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codeName="ThisWorkbook" defaultThemeVersion="166925"/>
  <mc:AlternateContent xmlns:mc="http://schemas.openxmlformats.org/markup-compatibility/2006">
    <mc:Choice Requires="x15">
      <x15ac:absPath xmlns:x15ac="http://schemas.microsoft.com/office/spreadsheetml/2010/11/ac" url="C:\Users\mithi\Desktop\CTEDD\CTEDD NEW PROJECT\Spreadsheet changes_EPA\"/>
    </mc:Choice>
  </mc:AlternateContent>
  <xr:revisionPtr revIDLastSave="0" documentId="13_ncr:1_{0D9C8E0C-AAD7-418A-903A-8835674809D6}" xr6:coauthVersionLast="47" xr6:coauthVersionMax="47" xr10:uidLastSave="{00000000-0000-0000-0000-000000000000}"/>
  <bookViews>
    <workbookView xWindow="-120" yWindow="-120" windowWidth="20730" windowHeight="11160" firstSheet="10" activeTab="10" xr2:uid="{00000000-000D-0000-FFFF-FFFF00000000}"/>
  </bookViews>
  <sheets>
    <sheet name="USER GUIDE" sheetId="1" r:id="rId1"/>
    <sheet name="Read Me" sheetId="30" r:id="rId2"/>
    <sheet name="Necessary Information" sheetId="34" r:id="rId3"/>
    <sheet name="Acronyms Used" sheetId="36" r:id="rId4"/>
    <sheet name=" QUICK OVERVIEW- Inputs&amp;Outputs" sheetId="33" r:id="rId5"/>
    <sheet name="Waste Mass Calculations" sheetId="6" r:id="rId6"/>
    <sheet name="Fleet Information" sheetId="20" r:id="rId7"/>
    <sheet name="AD Calculations" sheetId="3" r:id="rId8"/>
    <sheet name="Digester Methane Calculation" sheetId="37" r:id="rId9"/>
    <sheet name="Landfill Methane Calculation" sheetId="63" r:id="rId10"/>
    <sheet name="Cost-Benefit Tab_Digester" sheetId="28" r:id="rId11"/>
    <sheet name="Cost-Benefit Tab_Landfill" sheetId="61" r:id="rId12"/>
    <sheet name="Cost-Benefit Tab_Composting" sheetId="62" r:id="rId13"/>
    <sheet name="Multichoice Vehicle" sheetId="42" r:id="rId14"/>
    <sheet name="Emission-Waste Transport Vehicl" sheetId="44" r:id="rId15"/>
    <sheet name="Emission-Preprocessing" sheetId="48" r:id="rId16"/>
    <sheet name="Emission-AD " sheetId="59" r:id="rId17"/>
    <sheet name="Emission-Solid-liquid Residual" sheetId="45" r:id="rId18"/>
    <sheet name="Emission-Impurities" sheetId="55" r:id="rId19"/>
    <sheet name="Emission-Biogas Conversion" sheetId="43" r:id="rId20"/>
    <sheet name="Emission-GHG from Biogas Conver" sheetId="58" r:id="rId21"/>
    <sheet name="Emission-Vehicle to be refueled" sheetId="7" r:id="rId22"/>
    <sheet name="Emission-Combustion Pipeline NG" sheetId="60" r:id="rId23"/>
    <sheet name="Total AD Emission" sheetId="51" r:id="rId24"/>
    <sheet name="Emission-Landfilling" sheetId="50" r:id="rId25"/>
    <sheet name="Total Emission_Landfill" sheetId="54" r:id="rId26"/>
    <sheet name="Emission-Composting" sheetId="49" r:id="rId27"/>
    <sheet name="Total Emission_Composting" sheetId="56" r:id="rId28"/>
    <sheet name="Comparison Emission" sheetId="52" r:id="rId29"/>
    <sheet name="CN Table" sheetId="39" r:id="rId30"/>
    <sheet name="Unit Conversion" sheetId="25" r:id="rId31"/>
    <sheet name="Bibliography" sheetId="24" r:id="rId32"/>
    <sheet name="Help" sheetId="26" r:id="rId33"/>
  </sheets>
  <externalReferences>
    <externalReference r:id="rId34"/>
    <externalReference r:id="rId35"/>
    <externalReference r:id="rId36"/>
  </externalReferences>
  <definedNames>
    <definedName name="AD" localSheetId="8">#REF!</definedName>
    <definedName name="AD">#REF!</definedName>
    <definedName name="ADC">'Cost-Benefit Tab_Digester'!$A$49:$A$50</definedName>
    <definedName name="ADCC">'Cost-Benefit Tab_Digester'!$A$49:$A$52</definedName>
    <definedName name="ADEMISSION">'Comparison Emission'!$A$7:$A$26</definedName>
    <definedName name="ADF" localSheetId="8">#REF!</definedName>
    <definedName name="ADF">#REF!</definedName>
    <definedName name="ALL" localSheetId="8">'[1]Cost-Benefit Calculations'!$A$347:$A$354</definedName>
    <definedName name="ALL">'Cost-Benefit Tab_Digester'!#REF!</definedName>
    <definedName name="ANIMAL">'Cost-Benefit Tab_Digester'!#REF!</definedName>
    <definedName name="ANIMALI">'Cost-Benefit Tab_Digester'!#REF!</definedName>
    <definedName name="ANV">'Cost-Benefit Tab_Digester'!$A$12:$A$23</definedName>
    <definedName name="ANVC">'Cost-Benefit Tab_Digester'!$A$13:$A$23</definedName>
    <definedName name="AO">'Cost-Benefit Tab_Digester'!$A$180:$A$182</definedName>
    <definedName name="AOP">'Comparison Emission'!$A$15:$A$18</definedName>
    <definedName name="AOPN">'Comparison Emission'!$A$16:$A$18</definedName>
    <definedName name="BASE">'Comparison Emission'!#REF!</definedName>
    <definedName name="BBB" localSheetId="8">'[1]Cost-Benefit Calculations'!#REF!</definedName>
    <definedName name="BBB">'Cost-Benefit Tab_Digester'!#REF!</definedName>
    <definedName name="BG">'Cost-Benefit Tab_Digester'!#REF!</definedName>
    <definedName name="BIOCL">'Comparison Emission'!$A$41:$A$46</definedName>
    <definedName name="BIOCLE">'Comparison Emission'!$A$41:$A$47</definedName>
    <definedName name="BTU" localSheetId="8">#REF!</definedName>
    <definedName name="BTU">#REF!</definedName>
    <definedName name="Cali">'Cost-Benefit Tab_Digester'!$A$223:$A$224</definedName>
    <definedName name="Calii">'Cost-Benefit Tab_Landfill'!#REF!</definedName>
    <definedName name="Carbon">'Cost-Benefit Tab_Digester'!$A$147:$A$148</definedName>
    <definedName name="Category">'Fleet Information'!$A$3:$A$26</definedName>
    <definedName name="CC">'Cost-Benefit Tab_Digester'!$A$6:$A$9</definedName>
    <definedName name="CCC" localSheetId="8">'[1]Cost-Benefit Calculations'!#REF!</definedName>
    <definedName name="CCC">'Cost-Benefit Tab_Digester'!#REF!</definedName>
    <definedName name="CEV">'Multichoice Vehicle'!$A$66:$A$70</definedName>
    <definedName name="CF" localSheetId="8">'[1]Cost-Benefit Calculations'!$A$50,'[1]Cost-Benefit Calculations'!$A$54</definedName>
    <definedName name="CF">'Cost-Benefit Tab_Digester'!#REF!,'Cost-Benefit Tab_Digester'!#REF!</definedName>
    <definedName name="CH">'Cost-Benefit Tab_Digester'!#REF!</definedName>
    <definedName name="CHP">#REF!</definedName>
    <definedName name="CNC" localSheetId="8">'[1]Cost-Benefit Calculations'!#REF!</definedName>
    <definedName name="CNC">'Cost-Benefit Tab_Digester'!#REF!</definedName>
    <definedName name="CNG">'Cost-Benefit Tab_Digester'!#REF!</definedName>
    <definedName name="CNGGG">#REF!</definedName>
    <definedName name="CNGR">'Cost-Benefit Tab_Digester'!$A$69:$A$70</definedName>
    <definedName name="CO">'Emission-Vehicle to be refueled'!$A$31:$A$438</definedName>
    <definedName name="COM">'[2]Mass calc.'!$A$31:$A$32</definedName>
    <definedName name="COMPOSTINGEMISSION">'Comparison Emission'!$A$60:$A$68</definedName>
    <definedName name="COSTBASE">' QUICK OVERVIEW- Inputs&amp;Outputs'!$F$59:$F$65</definedName>
    <definedName name="CP">'Cost-Benefit Tab_Digester'!$A$8:$A$11</definedName>
    <definedName name="CR">#REF!</definedName>
    <definedName name="CREE">#REF!</definedName>
    <definedName name="CSA" localSheetId="8">'[1]Cost-Benefit Calculations'!#REF!</definedName>
    <definedName name="CSA">'Cost-Benefit Tab_Digester'!#REF!</definedName>
    <definedName name="CSC">'Emission-Vehicle to be refueled'!$A$235:$A$438</definedName>
    <definedName name="CSP">'Cost-Benefit Tab_Digester'!$A$120:$A$124</definedName>
    <definedName name="CTF">'Cost-Benefit Tab_Composting'!$A$24:$A$26</definedName>
    <definedName name="CTTF">'Cost-Benefit Tab_Digester'!$A$227:$A$244</definedName>
    <definedName name="data">'Fleet Information'!$A$3:$G$24</definedName>
    <definedName name="DD">'Cost-Benefit Tab_Digester'!$A$152:$A$153</definedName>
    <definedName name="DDC">'Cost-Benefit Tab_Digester'!$B$152:$B$153</definedName>
    <definedName name="DDCC">'Cost-Benefit Tab_Digester'!$B$152:$B$154</definedName>
    <definedName name="DDD" localSheetId="8">'[1]Cost-Benefit Calculations'!$A$339:$A$340</definedName>
    <definedName name="DDD">'[3]Cost-Benefit Calculations'!$A$341:$A$342</definedName>
    <definedName name="DE" localSheetId="8">#REF!</definedName>
    <definedName name="DE">#REF!</definedName>
    <definedName name="Digestercredit">'Cost-Benefit Tab_Digester'!$B$258:$B$259</definedName>
    <definedName name="Digestercredits">'Cost-Benefit Tab_Digester'!$A$258:$A$259</definedName>
    <definedName name="Digestercreditss">'Cost-Benefit Tab_Digester'!$A$258:$A$259</definedName>
    <definedName name="DT">'Cost-Benefit Tab_Digester'!$A$130:$A$131</definedName>
    <definedName name="EAD">'Cost-Benefit Tab_Digester'!$A$53</definedName>
    <definedName name="EADD">'Cost-Benefit Tab_Digester'!$A$53:$A$53</definedName>
    <definedName name="EB" localSheetId="8">'[1]Cost-Benefit Calculations'!$A$50,'[1]Cost-Benefit Calculations'!$A$54</definedName>
    <definedName name="EB">'Cost-Benefit Tab_Digester'!#REF!,'Cost-Benefit Tab_Digester'!#REF!</definedName>
    <definedName name="EC">'Cost-Benefit Tab_Digester'!#REF!</definedName>
    <definedName name="ECC" localSheetId="8">'[1]Cost-Benefit Calculations'!#REF!</definedName>
    <definedName name="ECC">'Cost-Benefit Tab_Digester'!#REF!</definedName>
    <definedName name="ED">#REF!</definedName>
    <definedName name="EE">'Cost-Benefit Tab_Digester'!$B$5:$B$24</definedName>
    <definedName name="ELEC">#REF!</definedName>
    <definedName name="ELECTRICITY">#REF!</definedName>
    <definedName name="ELEOCNG">#REF!</definedName>
    <definedName name="ENERGY">#REF!</definedName>
    <definedName name="ESC">'Emission-Vehicle to be refueled'!$A$31:$A$132</definedName>
    <definedName name="EV">#REF!</definedName>
    <definedName name="EVC">'Emission-Vehicle to be refueled'!$A$31:$A$81</definedName>
    <definedName name="EVE">'Multichoice Vehicle'!$B$110:$B$129</definedName>
    <definedName name="EVI">'[2]Mass calc.'!$A$17:$A$19</definedName>
    <definedName name="EVO" localSheetId="8">'[1]Cost-Benefit Calculations'!$A$77,'[1]Cost-Benefit Calculations'!#REF!,'[1]Cost-Benefit Calculations'!#REF!,'[1]Cost-Benefit Calculations'!#REF!</definedName>
    <definedName name="EVO">'Multichoice Vehicle'!$A$5,'Multichoice Vehicle'!$A$9,'Multichoice Vehicle'!$A$13,'Multichoice Vehicle'!$A$17</definedName>
    <definedName name="EVR" localSheetId="8">'[1]Cost-Benefit Calculations'!$A$41:$A$42</definedName>
    <definedName name="EVR">'Cost-Benefit Tab_Digester'!$A$62:$A$63</definedName>
    <definedName name="FC">'Cost-Benefit Tab_Digester'!$A$120:$A$126</definedName>
    <definedName name="FCF">'Cost-Benefit Tab_Digester'!$A$266:$A$270</definedName>
    <definedName name="FCFE">'Cost-Benefit Tab_Digester'!$A$266:$A$271</definedName>
    <definedName name="Fd">'Cost-Benefit Tab_Digester'!$A$159:$A$166</definedName>
    <definedName name="FF">'Cost-Benefit Tab_Digester'!$A$159:$A$168</definedName>
    <definedName name="FFF" localSheetId="8">'Digester Methane Calculation'!$A$89:$A$96</definedName>
    <definedName name="FFF">#REF!</definedName>
    <definedName name="FOG">'Cost-Benefit Tab_Digester'!$A$183:$A$185</definedName>
    <definedName name="FOGD">'Cost-Benefit Tab_Digester'!$A$184:$A$185</definedName>
    <definedName name="Food">'Cost-Benefit Tab_Digester'!$A$158:$A$166</definedName>
    <definedName name="FTC" localSheetId="8">#REF!</definedName>
    <definedName name="FTC">#REF!</definedName>
    <definedName name="FU" localSheetId="8">#REF!</definedName>
    <definedName name="FU">#REF!</definedName>
    <definedName name="FUEL" localSheetId="8">#REF!</definedName>
    <definedName name="FUEL">#REF!</definedName>
    <definedName name="GASOLINE">#REF!</definedName>
    <definedName name="GE">'Cost-Benefit Tab_Digester'!#REF!</definedName>
    <definedName name="GHGE">'Comparison Emission'!#REF!</definedName>
    <definedName name="GR">#REF!</definedName>
    <definedName name="GRE">'Cost-Benefit Tab_Digester'!$A$211:$A$214</definedName>
    <definedName name="IC">'Cost-Benefit Tab_Digester'!#REF!</definedName>
    <definedName name="INS">'Cost-Benefit Tab_Digester'!$A$58</definedName>
    <definedName name="KH">'Cost-Benefit Tab_Digester'!$B$58</definedName>
    <definedName name="Landfillchoices">'Cost-Benefit Tab_Landfill'!#REF!</definedName>
    <definedName name="LANDFILLEMISSION">'Comparison Emission'!$A$29:$A$57</definedName>
    <definedName name="Lcarbon">'Cost-Benefit Tab_Landfill'!#REF!</definedName>
    <definedName name="LLOSS">'Cost-Benefit Tab_Landfill'!#REF!</definedName>
    <definedName name="LOC">'Comparison Emission'!$A$62:$A$66</definedName>
    <definedName name="LOCE">'Comparison Emission'!$A$62:$A$67</definedName>
    <definedName name="LOL">'Cost-Benefit Tab_Landfill'!#REF!</definedName>
    <definedName name="LOregon">'Cost-Benefit Tab_Landfill'!#REF!</definedName>
    <definedName name="LOSS" localSheetId="8">'[1]Cost-Benefit Calculations'!$A$331:$A$335</definedName>
    <definedName name="LOSS">'Cost-Benefit Tab_Landfill'!#REF!</definedName>
    <definedName name="LOSSED">#REF!</definedName>
    <definedName name="LS" localSheetId="8">'[1]Cost-Benefit Calculations'!$A$293:$A$299</definedName>
    <definedName name="LS">'Cost-Benefit Tab_Landfill'!#REF!</definedName>
    <definedName name="LSU">'Cost-Benefit Tab_Landfill'!$A$52:$A$59</definedName>
    <definedName name="LVO">'Comparison Emission'!$A$30:$A$34</definedName>
    <definedName name="LVOE">'Comparison Emission'!$A$30:$A$35</definedName>
    <definedName name="LVR">'Comparison Emission'!$A$48:$A$55</definedName>
    <definedName name="LVRE">'Comparison Emission'!$A$48:$A$55</definedName>
    <definedName name="MO">'Multichoice Vehicle'!$A$5:$A$20</definedName>
    <definedName name="NAD">'Cost-Benefit Tab_Digester'!$A$45:$A$45</definedName>
    <definedName name="NCC">'Cost-Benefit Tab_Digester'!$A$77:$A$84</definedName>
    <definedName name="NCO">'Emission-Vehicle to be refueled'!$A$31:$A$438</definedName>
    <definedName name="NECC" localSheetId="8">'[1]Cost-Benefit Calculations'!#REF!</definedName>
    <definedName name="NECC">'Cost-Benefit Tab_Digester'!#REF!</definedName>
    <definedName name="NEN">'Comparison Emission'!$A$48:$A$56</definedName>
    <definedName name="NEW">#REF!</definedName>
    <definedName name="NNN">'Emission-Vehicle to be refueled'!$A$30:$A$438</definedName>
    <definedName name="NT">'Cost-Benefit Tab_Digester'!#REF!</definedName>
    <definedName name="NW">' QUICK OVERVIEW- Inputs&amp;Outputs'!$F$62:$F$65</definedName>
    <definedName name="OAD" localSheetId="8">'[1]Cost-Benefit Calculations'!#REF!</definedName>
    <definedName name="OAD">'Cost-Benefit Tab_Digester'!#REF!</definedName>
    <definedName name="OEV">'Multichoice Vehicle'!$B$5:$B$20</definedName>
    <definedName name="OOO" localSheetId="8">'Digester Methane Calculation'!$A$80:$A$87</definedName>
    <definedName name="OOO">#REF!</definedName>
    <definedName name="OPTION" localSheetId="8">'Digester Methane Calculation'!#REF!</definedName>
    <definedName name="OPTION">#REF!</definedName>
    <definedName name="Oregon">'Cost-Benefit Tab_Digester'!$A$143:$A$144</definedName>
    <definedName name="OTHERAD">'Cost-Benefit Tab_Digester'!$A$50:$A$52</definedName>
    <definedName name="OV">'Cost-Benefit Tab_Digester'!$A$13:$A$21</definedName>
    <definedName name="Ownercompost">'Cost-Benefit Tab_Composting'!#REF!</definedName>
    <definedName name="Ownerlandfill">'Cost-Benefit Tab_Landfill'!#REF!</definedName>
    <definedName name="Ownership">'Cost-Benefit Tab_Landfill'!#REF!</definedName>
    <definedName name="Ownershipcompost2">'Cost-Benefit Tab_Composting'!#REF!</definedName>
    <definedName name="Ownershiplandfill2">'Cost-Benefit Tab_Landfill'!#REF!</definedName>
    <definedName name="PO" localSheetId="8">'Digester Methane Calculation'!#REF!</definedName>
    <definedName name="PO">#REF!</definedName>
    <definedName name="POSSIBLE" localSheetId="8">'Digester Methane Calculation'!#REF!</definedName>
    <definedName name="POSSIBLE">#REF!</definedName>
    <definedName name="PP" localSheetId="8">#REF!</definedName>
    <definedName name="PP">#REF!</definedName>
    <definedName name="PPL">'Multichoice Vehicle'!#REF!</definedName>
    <definedName name="PPLT">'Multichoice Vehicle'!#REF!</definedName>
    <definedName name="PPP" localSheetId="8">#REF!</definedName>
    <definedName name="PPP">#REF!</definedName>
    <definedName name="PRO">'Comparison Emission'!$A$12:$A$14</definedName>
    <definedName name="PVE">'Multichoice Vehicle'!$B$132:$B$136</definedName>
    <definedName name="qq">'Cost-Benefit Tab_Digester'!#REF!,'Cost-Benefit Tab_Digester'!#REF!</definedName>
    <definedName name="RE" localSheetId="8">'[1]Cost-Benefit Calculations'!#REF!</definedName>
    <definedName name="RE">'Cost-Benefit Tab_Digester'!#REF!</definedName>
    <definedName name="RET">'[2]Mass calc.'!$A$26:$A$27</definedName>
    <definedName name="RETROFIT">#REF!</definedName>
    <definedName name="RR" localSheetId="8">'[1]Cost-Benefit Calculations'!#REF!</definedName>
    <definedName name="RR">'Cost-Benefit Tab_Digester'!#REF!</definedName>
    <definedName name="RT" localSheetId="8">'[1]Cost-Benefit Calculations'!#REF!</definedName>
    <definedName name="RT">'Cost-Benefit Tab_Digester'!#REF!</definedName>
    <definedName name="SC">'Cost-Benefit Tab_Digester'!$A$190:$A$191</definedName>
    <definedName name="SD" localSheetId="8">'[1]Cost-Benefit Calculations'!$A$50,'[1]Cost-Benefit Calculations'!$A$54</definedName>
    <definedName name="SD">'Cost-Benefit Tab_Digester'!#REF!,'Cost-Benefit Tab_Digester'!#REF!</definedName>
    <definedName name="Sewage">'Cost-Benefit Tab_Digester'!$A$179:$A$180</definedName>
    <definedName name="SPACE">#REF!</definedName>
    <definedName name="SSd">'Cost-Benefit Tab_Digester'!$A$180:$A$180</definedName>
    <definedName name="STO">'Cost-Benefit Tab_Digester'!$A$211:$A$216</definedName>
    <definedName name="STOO">'Cost-Benefit Tab_Digester'!$A$211:$A$220</definedName>
    <definedName name="TAE">'Comparison Emission'!$A$7:$A$26</definedName>
    <definedName name="TCE">'Comparison Emission'!$A$60:$A$68</definedName>
    <definedName name="TCTF">'Cost-Benefit Tab_Composting'!$A$23:$A$26</definedName>
    <definedName name="TCTFE">'Cost-Benefit Tab_Composting'!$A$23:$A$27</definedName>
    <definedName name="TF">'Cost-Benefit Tab_Digester'!#REF!</definedName>
    <definedName name="TIPE">'Cost-Benefit Tab_Landfill'!$A$52:$A$60</definedName>
    <definedName name="TLE">'Comparison Emission'!$A$29:$A$57</definedName>
    <definedName name="TRANSPORT">#REF!</definedName>
    <definedName name="TRUCK">'[2]Mass calc.'!$A$23:$A$24</definedName>
    <definedName name="TS">'Cost-Benefit Tab_Digester'!$B$92:$B$102</definedName>
    <definedName name="TSS">'Cost-Benefit Tab_Digester'!$B$92:$B$103</definedName>
    <definedName name="TT">'Waste Mass Calculations'!$Q$14:$Q$15</definedName>
    <definedName name="TTT">'Cost-Benefit Tab_Digester'!$C$28:$C$33</definedName>
    <definedName name="UUU">'Cost-Benefit Tab_Digester'!$A$5:$A$24</definedName>
    <definedName name="VC">#REF!</definedName>
    <definedName name="VCNG">'Multichoice Vehicle'!$B$88:$B$107</definedName>
    <definedName name="VEH">'Emission-Vehicle to be refueled'!$A$31:$A$438</definedName>
    <definedName name="VEV">'Multichoice Vehicle'!$B$66:$B$85</definedName>
    <definedName name="VF">'Cost-Benefit Tab_Digester'!$A$28:$A$41</definedName>
    <definedName name="VFF">'Cost-Benefit Tab_Digester'!$A$28:$A$41</definedName>
    <definedName name="VO">'Multichoice Vehicle'!#REF!</definedName>
    <definedName name="WV">'Comparison Emission'!$A$7:$A$11</definedName>
    <definedName name="ww">'Cost-Benefit Tab_Digester'!#REF!</definedName>
    <definedName name="www">'Cost-Benefit Tab_Digester'!#REF!</definedName>
    <definedName name="Yard">'Cost-Benefit Tab_Digester'!$A$169:$A$176</definedName>
    <definedName name="Yd">'Cost-Benefit Tab_Digester'!$A$170:$A$176</definedName>
    <definedName name="YY">'Cost-Benefit Tab_Digester'!$A$170:$A$178</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152" i="28" l="1"/>
  <c r="C33" i="45"/>
  <c r="K10" i="62"/>
  <c r="K9" i="62"/>
  <c r="K8" i="62"/>
  <c r="K5" i="62"/>
  <c r="W11" i="61"/>
  <c r="W10" i="61"/>
  <c r="W9" i="61"/>
  <c r="W6" i="61"/>
  <c r="W11" i="28"/>
  <c r="W10" i="28"/>
  <c r="W9" i="28"/>
  <c r="W6" i="28"/>
  <c r="Y6" i="61" s="1"/>
  <c r="Q15" i="60"/>
  <c r="Q16" i="60"/>
  <c r="Q17" i="60"/>
  <c r="Q18" i="60"/>
  <c r="Q19" i="60"/>
  <c r="Q20" i="60"/>
  <c r="Q21" i="60"/>
  <c r="Q22" i="60"/>
  <c r="Q23" i="60"/>
  <c r="Q24" i="60"/>
  <c r="Q25" i="60"/>
  <c r="Q26" i="60"/>
  <c r="Q27" i="60"/>
  <c r="Q28" i="60"/>
  <c r="Q29" i="60"/>
  <c r="Q30" i="60"/>
  <c r="Q31" i="60"/>
  <c r="Q32" i="60"/>
  <c r="Q33" i="60"/>
  <c r="Q34" i="60"/>
  <c r="Q35" i="60"/>
  <c r="Q36" i="60"/>
  <c r="Q37" i="60"/>
  <c r="Q38" i="60"/>
  <c r="Q39" i="60"/>
  <c r="Q40" i="60"/>
  <c r="Q41" i="60"/>
  <c r="Q42" i="60"/>
  <c r="Q43" i="60"/>
  <c r="Q44" i="60"/>
  <c r="Q45" i="60"/>
  <c r="Q46" i="60"/>
  <c r="Q47" i="60"/>
  <c r="Q48" i="60"/>
  <c r="Q49" i="60"/>
  <c r="Q50" i="60"/>
  <c r="Q51" i="60"/>
  <c r="Q52" i="60"/>
  <c r="Q53" i="60"/>
  <c r="Q54" i="60"/>
  <c r="Q55" i="60"/>
  <c r="Q56" i="60"/>
  <c r="Q57" i="60"/>
  <c r="Q58" i="60"/>
  <c r="Q59" i="60"/>
  <c r="Q60" i="60"/>
  <c r="Q61" i="60"/>
  <c r="Q62" i="60"/>
  <c r="Q63" i="60"/>
  <c r="Q64" i="60"/>
  <c r="Q65" i="60"/>
  <c r="I69" i="60"/>
  <c r="I70" i="60"/>
  <c r="I71" i="60"/>
  <c r="I72" i="60"/>
  <c r="I73" i="60"/>
  <c r="I74" i="60"/>
  <c r="I75" i="60"/>
  <c r="I76" i="60"/>
  <c r="I77" i="60"/>
  <c r="I78" i="60"/>
  <c r="I79" i="60"/>
  <c r="I80" i="60"/>
  <c r="I81" i="60"/>
  <c r="I82" i="60"/>
  <c r="I83" i="60"/>
  <c r="I84" i="60"/>
  <c r="I85" i="60"/>
  <c r="I86" i="60"/>
  <c r="I87" i="60"/>
  <c r="I88" i="60"/>
  <c r="I89" i="60"/>
  <c r="I90" i="60"/>
  <c r="I91" i="60"/>
  <c r="I92" i="60"/>
  <c r="I93" i="60"/>
  <c r="I94" i="60"/>
  <c r="I95" i="60"/>
  <c r="I96" i="60"/>
  <c r="I97" i="60"/>
  <c r="I98" i="60"/>
  <c r="I99" i="60"/>
  <c r="I100" i="60"/>
  <c r="I101" i="60"/>
  <c r="I102" i="60"/>
  <c r="I103" i="60"/>
  <c r="I104" i="60"/>
  <c r="I105" i="60"/>
  <c r="I106" i="60"/>
  <c r="I107" i="60"/>
  <c r="I108" i="60"/>
  <c r="I109" i="60"/>
  <c r="I110" i="60"/>
  <c r="I111" i="60"/>
  <c r="I112" i="60"/>
  <c r="I113" i="60"/>
  <c r="I114" i="60"/>
  <c r="I115" i="60"/>
  <c r="I116" i="60"/>
  <c r="I117" i="60"/>
  <c r="I118" i="60"/>
  <c r="I119" i="60"/>
  <c r="P15" i="60"/>
  <c r="P16" i="60"/>
  <c r="P17" i="60"/>
  <c r="P18" i="60"/>
  <c r="P19" i="60"/>
  <c r="P20" i="60"/>
  <c r="P21" i="60"/>
  <c r="P22" i="60"/>
  <c r="P23" i="60"/>
  <c r="P24" i="60"/>
  <c r="P25" i="60"/>
  <c r="P26" i="60"/>
  <c r="P27" i="60"/>
  <c r="P28" i="60"/>
  <c r="P29" i="60"/>
  <c r="P30" i="60"/>
  <c r="P31" i="60"/>
  <c r="P32" i="60"/>
  <c r="P33" i="60"/>
  <c r="P34" i="60"/>
  <c r="P35" i="60"/>
  <c r="P36" i="60"/>
  <c r="P37" i="60"/>
  <c r="P38" i="60"/>
  <c r="P39" i="60"/>
  <c r="P40" i="60"/>
  <c r="P41" i="60"/>
  <c r="P42" i="60"/>
  <c r="P43" i="60"/>
  <c r="P44" i="60"/>
  <c r="P45" i="60"/>
  <c r="P46" i="60"/>
  <c r="P47" i="60"/>
  <c r="P48" i="60"/>
  <c r="P49" i="60"/>
  <c r="P50" i="60"/>
  <c r="P51" i="60"/>
  <c r="P52" i="60"/>
  <c r="P53" i="60"/>
  <c r="P54" i="60"/>
  <c r="P55" i="60"/>
  <c r="P56" i="60"/>
  <c r="P57" i="60"/>
  <c r="P58" i="60"/>
  <c r="P59" i="60"/>
  <c r="P60" i="60"/>
  <c r="P61" i="60"/>
  <c r="P62" i="60"/>
  <c r="P63" i="60"/>
  <c r="P64" i="60"/>
  <c r="P65" i="60"/>
  <c r="J69" i="60"/>
  <c r="K69" i="60"/>
  <c r="L69" i="60"/>
  <c r="J70" i="60"/>
  <c r="K70" i="60"/>
  <c r="L70" i="60"/>
  <c r="J71" i="60"/>
  <c r="K71" i="60"/>
  <c r="L71" i="60"/>
  <c r="J72" i="60"/>
  <c r="K72" i="60"/>
  <c r="L72" i="60"/>
  <c r="J73" i="60"/>
  <c r="K73" i="60"/>
  <c r="L73" i="60"/>
  <c r="J74" i="60"/>
  <c r="K74" i="60"/>
  <c r="L74" i="60"/>
  <c r="J75" i="60"/>
  <c r="K75" i="60"/>
  <c r="L75" i="60"/>
  <c r="J76" i="60"/>
  <c r="K76" i="60"/>
  <c r="L76" i="60"/>
  <c r="J77" i="60"/>
  <c r="K77" i="60"/>
  <c r="L77" i="60"/>
  <c r="J78" i="60"/>
  <c r="K78" i="60"/>
  <c r="L78" i="60"/>
  <c r="J79" i="60"/>
  <c r="K79" i="60"/>
  <c r="L79" i="60"/>
  <c r="J80" i="60"/>
  <c r="K80" i="60"/>
  <c r="L80" i="60"/>
  <c r="J81" i="60"/>
  <c r="K81" i="60"/>
  <c r="L81" i="60"/>
  <c r="J82" i="60"/>
  <c r="K82" i="60"/>
  <c r="L82" i="60"/>
  <c r="J83" i="60"/>
  <c r="K83" i="60"/>
  <c r="L83" i="60"/>
  <c r="J84" i="60"/>
  <c r="K84" i="60"/>
  <c r="L84" i="60"/>
  <c r="J85" i="60"/>
  <c r="K85" i="60"/>
  <c r="L85" i="60"/>
  <c r="J86" i="60"/>
  <c r="K86" i="60"/>
  <c r="L86" i="60"/>
  <c r="J87" i="60"/>
  <c r="K87" i="60"/>
  <c r="L87" i="60"/>
  <c r="J88" i="60"/>
  <c r="K88" i="60"/>
  <c r="L88" i="60"/>
  <c r="J89" i="60"/>
  <c r="K89" i="60"/>
  <c r="L89" i="60"/>
  <c r="J90" i="60"/>
  <c r="K90" i="60"/>
  <c r="L90" i="60"/>
  <c r="J91" i="60"/>
  <c r="K91" i="60"/>
  <c r="L91" i="60"/>
  <c r="J92" i="60"/>
  <c r="K92" i="60"/>
  <c r="L92" i="60"/>
  <c r="J93" i="60"/>
  <c r="K93" i="60"/>
  <c r="L93" i="60"/>
  <c r="J94" i="60"/>
  <c r="K94" i="60"/>
  <c r="L94" i="60"/>
  <c r="J95" i="60"/>
  <c r="K95" i="60"/>
  <c r="L95" i="60"/>
  <c r="J96" i="60"/>
  <c r="K96" i="60"/>
  <c r="L96" i="60"/>
  <c r="J97" i="60"/>
  <c r="K97" i="60"/>
  <c r="L97" i="60"/>
  <c r="J98" i="60"/>
  <c r="K98" i="60"/>
  <c r="L98" i="60"/>
  <c r="J99" i="60"/>
  <c r="K99" i="60"/>
  <c r="L99" i="60"/>
  <c r="J100" i="60"/>
  <c r="K100" i="60"/>
  <c r="L100" i="60"/>
  <c r="J101" i="60"/>
  <c r="K101" i="60"/>
  <c r="L101" i="60"/>
  <c r="J102" i="60"/>
  <c r="K102" i="60"/>
  <c r="L102" i="60"/>
  <c r="J103" i="60"/>
  <c r="K103" i="60"/>
  <c r="L103" i="60"/>
  <c r="J104" i="60"/>
  <c r="K104" i="60"/>
  <c r="L104" i="60"/>
  <c r="J105" i="60"/>
  <c r="K105" i="60"/>
  <c r="L105" i="60"/>
  <c r="J106" i="60"/>
  <c r="K106" i="60"/>
  <c r="L106" i="60"/>
  <c r="J107" i="60"/>
  <c r="K107" i="60"/>
  <c r="L107" i="60"/>
  <c r="J108" i="60"/>
  <c r="K108" i="60"/>
  <c r="L108" i="60"/>
  <c r="J109" i="60"/>
  <c r="K109" i="60"/>
  <c r="L109" i="60"/>
  <c r="J110" i="60"/>
  <c r="K110" i="60"/>
  <c r="L110" i="60"/>
  <c r="J111" i="60"/>
  <c r="K111" i="60"/>
  <c r="L111" i="60"/>
  <c r="J112" i="60"/>
  <c r="K112" i="60"/>
  <c r="L112" i="60"/>
  <c r="J113" i="60"/>
  <c r="K113" i="60"/>
  <c r="L113" i="60"/>
  <c r="J114" i="60"/>
  <c r="K114" i="60"/>
  <c r="L114" i="60"/>
  <c r="J115" i="60"/>
  <c r="K115" i="60"/>
  <c r="L115" i="60"/>
  <c r="J116" i="60"/>
  <c r="K116" i="60"/>
  <c r="L116" i="60"/>
  <c r="J117" i="60"/>
  <c r="K117" i="60"/>
  <c r="L117" i="60"/>
  <c r="J118" i="60"/>
  <c r="K118" i="60"/>
  <c r="L118" i="60"/>
  <c r="J119" i="60"/>
  <c r="K119" i="60"/>
  <c r="L119" i="60"/>
  <c r="M15" i="60"/>
  <c r="N15" i="60"/>
  <c r="O15" i="60"/>
  <c r="M16" i="60"/>
  <c r="N16" i="60"/>
  <c r="O16" i="60"/>
  <c r="M17" i="60"/>
  <c r="N17" i="60"/>
  <c r="O17" i="60"/>
  <c r="M18" i="60"/>
  <c r="N18" i="60"/>
  <c r="O18" i="60"/>
  <c r="M19" i="60"/>
  <c r="N19" i="60"/>
  <c r="O19" i="60"/>
  <c r="M20" i="60"/>
  <c r="N20" i="60"/>
  <c r="O20" i="60"/>
  <c r="M21" i="60"/>
  <c r="N21" i="60"/>
  <c r="O21" i="60"/>
  <c r="M22" i="60"/>
  <c r="N22" i="60"/>
  <c r="O22" i="60"/>
  <c r="M23" i="60"/>
  <c r="N23" i="60"/>
  <c r="O23" i="60"/>
  <c r="M24" i="60"/>
  <c r="N24" i="60"/>
  <c r="O24" i="60"/>
  <c r="M25" i="60"/>
  <c r="N25" i="60"/>
  <c r="O25" i="60"/>
  <c r="M26" i="60"/>
  <c r="N26" i="60"/>
  <c r="O26" i="60"/>
  <c r="M27" i="60"/>
  <c r="N27" i="60"/>
  <c r="O27" i="60"/>
  <c r="M28" i="60"/>
  <c r="N28" i="60"/>
  <c r="O28" i="60"/>
  <c r="M29" i="60"/>
  <c r="N29" i="60"/>
  <c r="O29" i="60"/>
  <c r="M30" i="60"/>
  <c r="N30" i="60"/>
  <c r="O30" i="60"/>
  <c r="M31" i="60"/>
  <c r="N31" i="60"/>
  <c r="O31" i="60"/>
  <c r="M32" i="60"/>
  <c r="N32" i="60"/>
  <c r="O32" i="60"/>
  <c r="M33" i="60"/>
  <c r="N33" i="60"/>
  <c r="O33" i="60"/>
  <c r="M34" i="60"/>
  <c r="N34" i="60"/>
  <c r="O34" i="60"/>
  <c r="M35" i="60"/>
  <c r="N35" i="60"/>
  <c r="O35" i="60"/>
  <c r="M36" i="60"/>
  <c r="N36" i="60"/>
  <c r="O36" i="60"/>
  <c r="M37" i="60"/>
  <c r="N37" i="60"/>
  <c r="O37" i="60"/>
  <c r="M38" i="60"/>
  <c r="N38" i="60"/>
  <c r="O38" i="60"/>
  <c r="M39" i="60"/>
  <c r="N39" i="60"/>
  <c r="O39" i="60"/>
  <c r="M40" i="60"/>
  <c r="N40" i="60"/>
  <c r="O40" i="60"/>
  <c r="M41" i="60"/>
  <c r="N41" i="60"/>
  <c r="O41" i="60"/>
  <c r="M42" i="60"/>
  <c r="N42" i="60"/>
  <c r="O42" i="60"/>
  <c r="M43" i="60"/>
  <c r="N43" i="60"/>
  <c r="O43" i="60"/>
  <c r="M44" i="60"/>
  <c r="N44" i="60"/>
  <c r="O44" i="60"/>
  <c r="M45" i="60"/>
  <c r="N45" i="60"/>
  <c r="O45" i="60"/>
  <c r="M46" i="60"/>
  <c r="N46" i="60"/>
  <c r="O46" i="60"/>
  <c r="M47" i="60"/>
  <c r="N47" i="60"/>
  <c r="O47" i="60"/>
  <c r="M48" i="60"/>
  <c r="N48" i="60"/>
  <c r="O48" i="60"/>
  <c r="M49" i="60"/>
  <c r="N49" i="60"/>
  <c r="O49" i="60"/>
  <c r="M50" i="60"/>
  <c r="N50" i="60"/>
  <c r="O50" i="60"/>
  <c r="M51" i="60"/>
  <c r="N51" i="60"/>
  <c r="O51" i="60"/>
  <c r="M52" i="60"/>
  <c r="N52" i="60"/>
  <c r="O52" i="60"/>
  <c r="M53" i="60"/>
  <c r="N53" i="60"/>
  <c r="O53" i="60"/>
  <c r="M54" i="60"/>
  <c r="N54" i="60"/>
  <c r="O54" i="60"/>
  <c r="M55" i="60"/>
  <c r="N55" i="60"/>
  <c r="O55" i="60"/>
  <c r="M56" i="60"/>
  <c r="N56" i="60"/>
  <c r="O56" i="60"/>
  <c r="M57" i="60"/>
  <c r="N57" i="60"/>
  <c r="O57" i="60"/>
  <c r="M58" i="60"/>
  <c r="N58" i="60"/>
  <c r="O58" i="60"/>
  <c r="M59" i="60"/>
  <c r="N59" i="60"/>
  <c r="O59" i="60"/>
  <c r="M60" i="60"/>
  <c r="N60" i="60"/>
  <c r="O60" i="60"/>
  <c r="M61" i="60"/>
  <c r="N61" i="60"/>
  <c r="O61" i="60"/>
  <c r="M62" i="60"/>
  <c r="N62" i="60"/>
  <c r="O62" i="60"/>
  <c r="M63" i="60"/>
  <c r="N63" i="60"/>
  <c r="O63" i="60"/>
  <c r="M64" i="60"/>
  <c r="N64" i="60"/>
  <c r="O64" i="60"/>
  <c r="M65" i="60"/>
  <c r="N65" i="60"/>
  <c r="O65" i="60"/>
  <c r="O799" i="7"/>
  <c r="P799" i="7"/>
  <c r="Q799" i="7"/>
  <c r="R799" i="7"/>
  <c r="S799" i="7"/>
  <c r="T799" i="7"/>
  <c r="O800" i="7"/>
  <c r="P800" i="7"/>
  <c r="Q800" i="7"/>
  <c r="R800" i="7"/>
  <c r="S800" i="7"/>
  <c r="T800" i="7"/>
  <c r="O801" i="7"/>
  <c r="P801" i="7"/>
  <c r="Q801" i="7"/>
  <c r="R801" i="7"/>
  <c r="S801" i="7"/>
  <c r="T801" i="7"/>
  <c r="O802" i="7"/>
  <c r="P802" i="7"/>
  <c r="Q802" i="7"/>
  <c r="R802" i="7"/>
  <c r="S802" i="7"/>
  <c r="T802" i="7"/>
  <c r="O803" i="7"/>
  <c r="P803" i="7"/>
  <c r="Q803" i="7"/>
  <c r="R803" i="7"/>
  <c r="S803" i="7"/>
  <c r="T803" i="7"/>
  <c r="O804" i="7"/>
  <c r="P804" i="7"/>
  <c r="Q804" i="7"/>
  <c r="R804" i="7"/>
  <c r="S804" i="7"/>
  <c r="T804" i="7"/>
  <c r="O805" i="7"/>
  <c r="P805" i="7"/>
  <c r="Q805" i="7"/>
  <c r="R805" i="7"/>
  <c r="S805" i="7"/>
  <c r="T805" i="7"/>
  <c r="O806" i="7"/>
  <c r="P806" i="7"/>
  <c r="Q806" i="7"/>
  <c r="R806" i="7"/>
  <c r="S806" i="7"/>
  <c r="T806" i="7"/>
  <c r="O807" i="7"/>
  <c r="P807" i="7"/>
  <c r="Q807" i="7"/>
  <c r="R807" i="7"/>
  <c r="S807" i="7"/>
  <c r="T807" i="7"/>
  <c r="O808" i="7"/>
  <c r="P808" i="7"/>
  <c r="Q808" i="7"/>
  <c r="R808" i="7"/>
  <c r="S808" i="7"/>
  <c r="T808" i="7"/>
  <c r="O809" i="7"/>
  <c r="P809" i="7"/>
  <c r="Q809" i="7"/>
  <c r="R809" i="7"/>
  <c r="S809" i="7"/>
  <c r="T809" i="7"/>
  <c r="O810" i="7"/>
  <c r="P810" i="7"/>
  <c r="Q810" i="7"/>
  <c r="R810" i="7"/>
  <c r="S810" i="7"/>
  <c r="T810" i="7"/>
  <c r="O811" i="7"/>
  <c r="P811" i="7"/>
  <c r="Q811" i="7"/>
  <c r="R811" i="7"/>
  <c r="S811" i="7"/>
  <c r="T811" i="7"/>
  <c r="O812" i="7"/>
  <c r="P812" i="7"/>
  <c r="Q812" i="7"/>
  <c r="R812" i="7"/>
  <c r="S812" i="7"/>
  <c r="T812" i="7"/>
  <c r="O813" i="7"/>
  <c r="P813" i="7"/>
  <c r="Q813" i="7"/>
  <c r="R813" i="7"/>
  <c r="S813" i="7"/>
  <c r="T813" i="7"/>
  <c r="O814" i="7"/>
  <c r="P814" i="7"/>
  <c r="Q814" i="7"/>
  <c r="R814" i="7"/>
  <c r="S814" i="7"/>
  <c r="T814" i="7"/>
  <c r="O815" i="7"/>
  <c r="P815" i="7"/>
  <c r="Q815" i="7"/>
  <c r="R815" i="7"/>
  <c r="S815" i="7"/>
  <c r="T815" i="7"/>
  <c r="O816" i="7"/>
  <c r="P816" i="7"/>
  <c r="Q816" i="7"/>
  <c r="R816" i="7"/>
  <c r="S816" i="7"/>
  <c r="T816" i="7"/>
  <c r="O817" i="7"/>
  <c r="P817" i="7"/>
  <c r="Q817" i="7"/>
  <c r="R817" i="7"/>
  <c r="S817" i="7"/>
  <c r="T817" i="7"/>
  <c r="O818" i="7"/>
  <c r="P818" i="7"/>
  <c r="Q818" i="7"/>
  <c r="R818" i="7"/>
  <c r="S818" i="7"/>
  <c r="T818" i="7"/>
  <c r="O819" i="7"/>
  <c r="P819" i="7"/>
  <c r="Q819" i="7"/>
  <c r="R819" i="7"/>
  <c r="S819" i="7"/>
  <c r="T819" i="7"/>
  <c r="O820" i="7"/>
  <c r="P820" i="7"/>
  <c r="Q820" i="7"/>
  <c r="R820" i="7"/>
  <c r="S820" i="7"/>
  <c r="T820" i="7"/>
  <c r="O821" i="7"/>
  <c r="P821" i="7"/>
  <c r="Q821" i="7"/>
  <c r="R821" i="7"/>
  <c r="S821" i="7"/>
  <c r="T821" i="7"/>
  <c r="O822" i="7"/>
  <c r="P822" i="7"/>
  <c r="Q822" i="7"/>
  <c r="R822" i="7"/>
  <c r="S822" i="7"/>
  <c r="T822" i="7"/>
  <c r="O823" i="7"/>
  <c r="P823" i="7"/>
  <c r="Q823" i="7"/>
  <c r="R823" i="7"/>
  <c r="S823" i="7"/>
  <c r="T823" i="7"/>
  <c r="O824" i="7"/>
  <c r="P824" i="7"/>
  <c r="Q824" i="7"/>
  <c r="R824" i="7"/>
  <c r="S824" i="7"/>
  <c r="T824" i="7"/>
  <c r="O825" i="7"/>
  <c r="P825" i="7"/>
  <c r="Q825" i="7"/>
  <c r="R825" i="7"/>
  <c r="S825" i="7"/>
  <c r="T825" i="7"/>
  <c r="O826" i="7"/>
  <c r="P826" i="7"/>
  <c r="Q826" i="7"/>
  <c r="R826" i="7"/>
  <c r="S826" i="7"/>
  <c r="T826" i="7"/>
  <c r="O827" i="7"/>
  <c r="P827" i="7"/>
  <c r="Q827" i="7"/>
  <c r="R827" i="7"/>
  <c r="S827" i="7"/>
  <c r="T827" i="7"/>
  <c r="O828" i="7"/>
  <c r="P828" i="7"/>
  <c r="Q828" i="7"/>
  <c r="R828" i="7"/>
  <c r="S828" i="7"/>
  <c r="T828" i="7"/>
  <c r="O829" i="7"/>
  <c r="P829" i="7"/>
  <c r="Q829" i="7"/>
  <c r="R829" i="7"/>
  <c r="S829" i="7"/>
  <c r="T829" i="7"/>
  <c r="O830" i="7"/>
  <c r="P830" i="7"/>
  <c r="Q830" i="7"/>
  <c r="R830" i="7"/>
  <c r="S830" i="7"/>
  <c r="T830" i="7"/>
  <c r="O831" i="7"/>
  <c r="P831" i="7"/>
  <c r="Q831" i="7"/>
  <c r="R831" i="7"/>
  <c r="S831" i="7"/>
  <c r="T831" i="7"/>
  <c r="O832" i="7"/>
  <c r="P832" i="7"/>
  <c r="Q832" i="7"/>
  <c r="R832" i="7"/>
  <c r="S832" i="7"/>
  <c r="T832" i="7"/>
  <c r="O833" i="7"/>
  <c r="P833" i="7"/>
  <c r="Q833" i="7"/>
  <c r="R833" i="7"/>
  <c r="S833" i="7"/>
  <c r="T833" i="7"/>
  <c r="O834" i="7"/>
  <c r="P834" i="7"/>
  <c r="Q834" i="7"/>
  <c r="R834" i="7"/>
  <c r="S834" i="7"/>
  <c r="T834" i="7"/>
  <c r="O835" i="7"/>
  <c r="P835" i="7"/>
  <c r="Q835" i="7"/>
  <c r="R835" i="7"/>
  <c r="S835" i="7"/>
  <c r="T835" i="7"/>
  <c r="O836" i="7"/>
  <c r="P836" i="7"/>
  <c r="Q836" i="7"/>
  <c r="R836" i="7"/>
  <c r="S836" i="7"/>
  <c r="T836" i="7"/>
  <c r="O837" i="7"/>
  <c r="P837" i="7"/>
  <c r="Q837" i="7"/>
  <c r="R837" i="7"/>
  <c r="S837" i="7"/>
  <c r="T837" i="7"/>
  <c r="O838" i="7"/>
  <c r="P838" i="7"/>
  <c r="Q838" i="7"/>
  <c r="R838" i="7"/>
  <c r="S838" i="7"/>
  <c r="T838" i="7"/>
  <c r="O839" i="7"/>
  <c r="P839" i="7"/>
  <c r="Q839" i="7"/>
  <c r="R839" i="7"/>
  <c r="S839" i="7"/>
  <c r="T839" i="7"/>
  <c r="O840" i="7"/>
  <c r="P840" i="7"/>
  <c r="Q840" i="7"/>
  <c r="R840" i="7"/>
  <c r="S840" i="7"/>
  <c r="T840" i="7"/>
  <c r="O841" i="7"/>
  <c r="P841" i="7"/>
  <c r="Q841" i="7"/>
  <c r="R841" i="7"/>
  <c r="S841" i="7"/>
  <c r="T841" i="7"/>
  <c r="O842" i="7"/>
  <c r="P842" i="7"/>
  <c r="Q842" i="7"/>
  <c r="R842" i="7"/>
  <c r="S842" i="7"/>
  <c r="T842" i="7"/>
  <c r="O843" i="7"/>
  <c r="P843" i="7"/>
  <c r="Q843" i="7"/>
  <c r="R843" i="7"/>
  <c r="S843" i="7"/>
  <c r="T843" i="7"/>
  <c r="O844" i="7"/>
  <c r="P844" i="7"/>
  <c r="Q844" i="7"/>
  <c r="R844" i="7"/>
  <c r="S844" i="7"/>
  <c r="T844" i="7"/>
  <c r="O845" i="7"/>
  <c r="P845" i="7"/>
  <c r="Q845" i="7"/>
  <c r="R845" i="7"/>
  <c r="S845" i="7"/>
  <c r="T845" i="7"/>
  <c r="O846" i="7"/>
  <c r="P846" i="7"/>
  <c r="Q846" i="7"/>
  <c r="R846" i="7"/>
  <c r="S846" i="7"/>
  <c r="T846" i="7"/>
  <c r="O847" i="7"/>
  <c r="P847" i="7"/>
  <c r="Q847" i="7"/>
  <c r="R847" i="7"/>
  <c r="S847" i="7"/>
  <c r="T847" i="7"/>
  <c r="O848" i="7"/>
  <c r="P848" i="7"/>
  <c r="Q848" i="7"/>
  <c r="R848" i="7"/>
  <c r="S848" i="7"/>
  <c r="T848" i="7"/>
  <c r="O849" i="7"/>
  <c r="P849" i="7"/>
  <c r="Q849" i="7"/>
  <c r="R849" i="7"/>
  <c r="S849" i="7"/>
  <c r="T849" i="7"/>
  <c r="O748" i="7"/>
  <c r="P748" i="7"/>
  <c r="Q748" i="7"/>
  <c r="R748" i="7"/>
  <c r="S748" i="7"/>
  <c r="T748" i="7"/>
  <c r="O749" i="7"/>
  <c r="P749" i="7"/>
  <c r="Q749" i="7"/>
  <c r="R749" i="7"/>
  <c r="S749" i="7"/>
  <c r="T749" i="7"/>
  <c r="O750" i="7"/>
  <c r="P750" i="7"/>
  <c r="Q750" i="7"/>
  <c r="R750" i="7"/>
  <c r="S750" i="7"/>
  <c r="T750" i="7"/>
  <c r="O751" i="7"/>
  <c r="P751" i="7"/>
  <c r="Q751" i="7"/>
  <c r="R751" i="7"/>
  <c r="S751" i="7"/>
  <c r="T751" i="7"/>
  <c r="O752" i="7"/>
  <c r="P752" i="7"/>
  <c r="Q752" i="7"/>
  <c r="R752" i="7"/>
  <c r="S752" i="7"/>
  <c r="T752" i="7"/>
  <c r="O753" i="7"/>
  <c r="P753" i="7"/>
  <c r="Q753" i="7"/>
  <c r="R753" i="7"/>
  <c r="S753" i="7"/>
  <c r="T753" i="7"/>
  <c r="O754" i="7"/>
  <c r="P754" i="7"/>
  <c r="Q754" i="7"/>
  <c r="R754" i="7"/>
  <c r="S754" i="7"/>
  <c r="T754" i="7"/>
  <c r="O755" i="7"/>
  <c r="P755" i="7"/>
  <c r="Q755" i="7"/>
  <c r="R755" i="7"/>
  <c r="S755" i="7"/>
  <c r="T755" i="7"/>
  <c r="O756" i="7"/>
  <c r="P756" i="7"/>
  <c r="Q756" i="7"/>
  <c r="R756" i="7"/>
  <c r="S756" i="7"/>
  <c r="T756" i="7"/>
  <c r="O757" i="7"/>
  <c r="P757" i="7"/>
  <c r="Q757" i="7"/>
  <c r="R757" i="7"/>
  <c r="S757" i="7"/>
  <c r="T757" i="7"/>
  <c r="O758" i="7"/>
  <c r="P758" i="7"/>
  <c r="Q758" i="7"/>
  <c r="R758" i="7"/>
  <c r="S758" i="7"/>
  <c r="T758" i="7"/>
  <c r="O759" i="7"/>
  <c r="P759" i="7"/>
  <c r="Q759" i="7"/>
  <c r="R759" i="7"/>
  <c r="S759" i="7"/>
  <c r="T759" i="7"/>
  <c r="O760" i="7"/>
  <c r="P760" i="7"/>
  <c r="Q760" i="7"/>
  <c r="R760" i="7"/>
  <c r="S760" i="7"/>
  <c r="T760" i="7"/>
  <c r="O761" i="7"/>
  <c r="P761" i="7"/>
  <c r="Q761" i="7"/>
  <c r="R761" i="7"/>
  <c r="S761" i="7"/>
  <c r="T761" i="7"/>
  <c r="O762" i="7"/>
  <c r="P762" i="7"/>
  <c r="Q762" i="7"/>
  <c r="R762" i="7"/>
  <c r="S762" i="7"/>
  <c r="T762" i="7"/>
  <c r="O763" i="7"/>
  <c r="P763" i="7"/>
  <c r="Q763" i="7"/>
  <c r="R763" i="7"/>
  <c r="S763" i="7"/>
  <c r="T763" i="7"/>
  <c r="O764" i="7"/>
  <c r="P764" i="7"/>
  <c r="Q764" i="7"/>
  <c r="R764" i="7"/>
  <c r="S764" i="7"/>
  <c r="T764" i="7"/>
  <c r="O765" i="7"/>
  <c r="P765" i="7"/>
  <c r="Q765" i="7"/>
  <c r="R765" i="7"/>
  <c r="S765" i="7"/>
  <c r="T765" i="7"/>
  <c r="O766" i="7"/>
  <c r="P766" i="7"/>
  <c r="Q766" i="7"/>
  <c r="R766" i="7"/>
  <c r="S766" i="7"/>
  <c r="T766" i="7"/>
  <c r="O767" i="7"/>
  <c r="P767" i="7"/>
  <c r="Q767" i="7"/>
  <c r="R767" i="7"/>
  <c r="S767" i="7"/>
  <c r="T767" i="7"/>
  <c r="O768" i="7"/>
  <c r="P768" i="7"/>
  <c r="Q768" i="7"/>
  <c r="R768" i="7"/>
  <c r="S768" i="7"/>
  <c r="T768" i="7"/>
  <c r="O769" i="7"/>
  <c r="P769" i="7"/>
  <c r="Q769" i="7"/>
  <c r="R769" i="7"/>
  <c r="S769" i="7"/>
  <c r="T769" i="7"/>
  <c r="O770" i="7"/>
  <c r="P770" i="7"/>
  <c r="Q770" i="7"/>
  <c r="R770" i="7"/>
  <c r="S770" i="7"/>
  <c r="T770" i="7"/>
  <c r="O771" i="7"/>
  <c r="P771" i="7"/>
  <c r="Q771" i="7"/>
  <c r="R771" i="7"/>
  <c r="S771" i="7"/>
  <c r="T771" i="7"/>
  <c r="O772" i="7"/>
  <c r="P772" i="7"/>
  <c r="Q772" i="7"/>
  <c r="R772" i="7"/>
  <c r="S772" i="7"/>
  <c r="T772" i="7"/>
  <c r="O773" i="7"/>
  <c r="P773" i="7"/>
  <c r="Q773" i="7"/>
  <c r="R773" i="7"/>
  <c r="S773" i="7"/>
  <c r="T773" i="7"/>
  <c r="O774" i="7"/>
  <c r="P774" i="7"/>
  <c r="Q774" i="7"/>
  <c r="R774" i="7"/>
  <c r="S774" i="7"/>
  <c r="T774" i="7"/>
  <c r="O775" i="7"/>
  <c r="P775" i="7"/>
  <c r="Q775" i="7"/>
  <c r="R775" i="7"/>
  <c r="S775" i="7"/>
  <c r="T775" i="7"/>
  <c r="O776" i="7"/>
  <c r="P776" i="7"/>
  <c r="Q776" i="7"/>
  <c r="R776" i="7"/>
  <c r="S776" i="7"/>
  <c r="T776" i="7"/>
  <c r="O777" i="7"/>
  <c r="P777" i="7"/>
  <c r="Q777" i="7"/>
  <c r="R777" i="7"/>
  <c r="S777" i="7"/>
  <c r="T777" i="7"/>
  <c r="O778" i="7"/>
  <c r="P778" i="7"/>
  <c r="Q778" i="7"/>
  <c r="R778" i="7"/>
  <c r="S778" i="7"/>
  <c r="T778" i="7"/>
  <c r="O779" i="7"/>
  <c r="P779" i="7"/>
  <c r="Q779" i="7"/>
  <c r="R779" i="7"/>
  <c r="S779" i="7"/>
  <c r="T779" i="7"/>
  <c r="O780" i="7"/>
  <c r="P780" i="7"/>
  <c r="Q780" i="7"/>
  <c r="R780" i="7"/>
  <c r="S780" i="7"/>
  <c r="T780" i="7"/>
  <c r="O781" i="7"/>
  <c r="P781" i="7"/>
  <c r="Q781" i="7"/>
  <c r="R781" i="7"/>
  <c r="S781" i="7"/>
  <c r="T781" i="7"/>
  <c r="O782" i="7"/>
  <c r="P782" i="7"/>
  <c r="Q782" i="7"/>
  <c r="R782" i="7"/>
  <c r="S782" i="7"/>
  <c r="T782" i="7"/>
  <c r="O783" i="7"/>
  <c r="P783" i="7"/>
  <c r="Q783" i="7"/>
  <c r="R783" i="7"/>
  <c r="S783" i="7"/>
  <c r="T783" i="7"/>
  <c r="O784" i="7"/>
  <c r="P784" i="7"/>
  <c r="Q784" i="7"/>
  <c r="R784" i="7"/>
  <c r="S784" i="7"/>
  <c r="T784" i="7"/>
  <c r="O785" i="7"/>
  <c r="P785" i="7"/>
  <c r="Q785" i="7"/>
  <c r="R785" i="7"/>
  <c r="S785" i="7"/>
  <c r="T785" i="7"/>
  <c r="O786" i="7"/>
  <c r="P786" i="7"/>
  <c r="Q786" i="7"/>
  <c r="R786" i="7"/>
  <c r="S786" i="7"/>
  <c r="T786" i="7"/>
  <c r="O787" i="7"/>
  <c r="P787" i="7"/>
  <c r="Q787" i="7"/>
  <c r="R787" i="7"/>
  <c r="S787" i="7"/>
  <c r="T787" i="7"/>
  <c r="O788" i="7"/>
  <c r="P788" i="7"/>
  <c r="Q788" i="7"/>
  <c r="R788" i="7"/>
  <c r="S788" i="7"/>
  <c r="T788" i="7"/>
  <c r="O789" i="7"/>
  <c r="P789" i="7"/>
  <c r="Q789" i="7"/>
  <c r="R789" i="7"/>
  <c r="S789" i="7"/>
  <c r="T789" i="7"/>
  <c r="O790" i="7"/>
  <c r="P790" i="7"/>
  <c r="Q790" i="7"/>
  <c r="R790" i="7"/>
  <c r="S790" i="7"/>
  <c r="T790" i="7"/>
  <c r="O791" i="7"/>
  <c r="P791" i="7"/>
  <c r="Q791" i="7"/>
  <c r="R791" i="7"/>
  <c r="S791" i="7"/>
  <c r="T791" i="7"/>
  <c r="O792" i="7"/>
  <c r="P792" i="7"/>
  <c r="Q792" i="7"/>
  <c r="R792" i="7"/>
  <c r="S792" i="7"/>
  <c r="T792" i="7"/>
  <c r="O793" i="7"/>
  <c r="P793" i="7"/>
  <c r="Q793" i="7"/>
  <c r="R793" i="7"/>
  <c r="S793" i="7"/>
  <c r="T793" i="7"/>
  <c r="O794" i="7"/>
  <c r="P794" i="7"/>
  <c r="Q794" i="7"/>
  <c r="R794" i="7"/>
  <c r="S794" i="7"/>
  <c r="T794" i="7"/>
  <c r="O795" i="7"/>
  <c r="P795" i="7"/>
  <c r="Q795" i="7"/>
  <c r="R795" i="7"/>
  <c r="S795" i="7"/>
  <c r="T795" i="7"/>
  <c r="O796" i="7"/>
  <c r="P796" i="7"/>
  <c r="Q796" i="7"/>
  <c r="R796" i="7"/>
  <c r="S796" i="7"/>
  <c r="T796" i="7"/>
  <c r="O797" i="7"/>
  <c r="P797" i="7"/>
  <c r="Q797" i="7"/>
  <c r="R797" i="7"/>
  <c r="S797" i="7"/>
  <c r="T797" i="7"/>
  <c r="O798" i="7"/>
  <c r="P798" i="7"/>
  <c r="Q798" i="7"/>
  <c r="R798" i="7"/>
  <c r="S798" i="7"/>
  <c r="T798" i="7"/>
  <c r="O697" i="7"/>
  <c r="P697" i="7"/>
  <c r="Q697" i="7"/>
  <c r="R697" i="7"/>
  <c r="S697" i="7"/>
  <c r="T697" i="7"/>
  <c r="O698" i="7"/>
  <c r="P698" i="7"/>
  <c r="Q698" i="7"/>
  <c r="R698" i="7"/>
  <c r="S698" i="7"/>
  <c r="T698" i="7"/>
  <c r="O699" i="7"/>
  <c r="P699" i="7"/>
  <c r="Q699" i="7"/>
  <c r="R699" i="7"/>
  <c r="S699" i="7"/>
  <c r="T699" i="7"/>
  <c r="O700" i="7"/>
  <c r="P700" i="7"/>
  <c r="Q700" i="7"/>
  <c r="R700" i="7"/>
  <c r="S700" i="7"/>
  <c r="T700" i="7"/>
  <c r="O701" i="7"/>
  <c r="P701" i="7"/>
  <c r="Q701" i="7"/>
  <c r="R701" i="7"/>
  <c r="S701" i="7"/>
  <c r="T701" i="7"/>
  <c r="O702" i="7"/>
  <c r="P702" i="7"/>
  <c r="Q702" i="7"/>
  <c r="R702" i="7"/>
  <c r="S702" i="7"/>
  <c r="T702" i="7"/>
  <c r="O703" i="7"/>
  <c r="P703" i="7"/>
  <c r="Q703" i="7"/>
  <c r="R703" i="7"/>
  <c r="S703" i="7"/>
  <c r="T703" i="7"/>
  <c r="O704" i="7"/>
  <c r="P704" i="7"/>
  <c r="Q704" i="7"/>
  <c r="R704" i="7"/>
  <c r="S704" i="7"/>
  <c r="T704" i="7"/>
  <c r="O705" i="7"/>
  <c r="P705" i="7"/>
  <c r="Q705" i="7"/>
  <c r="R705" i="7"/>
  <c r="S705" i="7"/>
  <c r="T705" i="7"/>
  <c r="O706" i="7"/>
  <c r="P706" i="7"/>
  <c r="Q706" i="7"/>
  <c r="R706" i="7"/>
  <c r="S706" i="7"/>
  <c r="T706" i="7"/>
  <c r="O707" i="7"/>
  <c r="P707" i="7"/>
  <c r="Q707" i="7"/>
  <c r="R707" i="7"/>
  <c r="S707" i="7"/>
  <c r="T707" i="7"/>
  <c r="O708" i="7"/>
  <c r="P708" i="7"/>
  <c r="Q708" i="7"/>
  <c r="R708" i="7"/>
  <c r="S708" i="7"/>
  <c r="T708" i="7"/>
  <c r="O709" i="7"/>
  <c r="P709" i="7"/>
  <c r="Q709" i="7"/>
  <c r="R709" i="7"/>
  <c r="S709" i="7"/>
  <c r="T709" i="7"/>
  <c r="O710" i="7"/>
  <c r="P710" i="7"/>
  <c r="Q710" i="7"/>
  <c r="R710" i="7"/>
  <c r="S710" i="7"/>
  <c r="T710" i="7"/>
  <c r="O711" i="7"/>
  <c r="P711" i="7"/>
  <c r="Q711" i="7"/>
  <c r="R711" i="7"/>
  <c r="S711" i="7"/>
  <c r="T711" i="7"/>
  <c r="O712" i="7"/>
  <c r="P712" i="7"/>
  <c r="Q712" i="7"/>
  <c r="R712" i="7"/>
  <c r="S712" i="7"/>
  <c r="T712" i="7"/>
  <c r="O713" i="7"/>
  <c r="P713" i="7"/>
  <c r="Q713" i="7"/>
  <c r="R713" i="7"/>
  <c r="S713" i="7"/>
  <c r="T713" i="7"/>
  <c r="O714" i="7"/>
  <c r="P714" i="7"/>
  <c r="Q714" i="7"/>
  <c r="R714" i="7"/>
  <c r="S714" i="7"/>
  <c r="T714" i="7"/>
  <c r="O715" i="7"/>
  <c r="P715" i="7"/>
  <c r="Q715" i="7"/>
  <c r="R715" i="7"/>
  <c r="S715" i="7"/>
  <c r="T715" i="7"/>
  <c r="O716" i="7"/>
  <c r="P716" i="7"/>
  <c r="Q716" i="7"/>
  <c r="R716" i="7"/>
  <c r="S716" i="7"/>
  <c r="T716" i="7"/>
  <c r="O717" i="7"/>
  <c r="P717" i="7"/>
  <c r="Q717" i="7"/>
  <c r="R717" i="7"/>
  <c r="S717" i="7"/>
  <c r="T717" i="7"/>
  <c r="O718" i="7"/>
  <c r="P718" i="7"/>
  <c r="Q718" i="7"/>
  <c r="R718" i="7"/>
  <c r="S718" i="7"/>
  <c r="T718" i="7"/>
  <c r="O719" i="7"/>
  <c r="P719" i="7"/>
  <c r="Q719" i="7"/>
  <c r="R719" i="7"/>
  <c r="S719" i="7"/>
  <c r="T719" i="7"/>
  <c r="O720" i="7"/>
  <c r="P720" i="7"/>
  <c r="Q720" i="7"/>
  <c r="R720" i="7"/>
  <c r="S720" i="7"/>
  <c r="T720" i="7"/>
  <c r="O721" i="7"/>
  <c r="P721" i="7"/>
  <c r="Q721" i="7"/>
  <c r="R721" i="7"/>
  <c r="S721" i="7"/>
  <c r="T721" i="7"/>
  <c r="O722" i="7"/>
  <c r="P722" i="7"/>
  <c r="Q722" i="7"/>
  <c r="R722" i="7"/>
  <c r="S722" i="7"/>
  <c r="T722" i="7"/>
  <c r="O723" i="7"/>
  <c r="P723" i="7"/>
  <c r="Q723" i="7"/>
  <c r="R723" i="7"/>
  <c r="S723" i="7"/>
  <c r="T723" i="7"/>
  <c r="O724" i="7"/>
  <c r="P724" i="7"/>
  <c r="Q724" i="7"/>
  <c r="R724" i="7"/>
  <c r="S724" i="7"/>
  <c r="T724" i="7"/>
  <c r="O725" i="7"/>
  <c r="P725" i="7"/>
  <c r="Q725" i="7"/>
  <c r="R725" i="7"/>
  <c r="S725" i="7"/>
  <c r="T725" i="7"/>
  <c r="O726" i="7"/>
  <c r="P726" i="7"/>
  <c r="Q726" i="7"/>
  <c r="R726" i="7"/>
  <c r="S726" i="7"/>
  <c r="T726" i="7"/>
  <c r="O727" i="7"/>
  <c r="P727" i="7"/>
  <c r="Q727" i="7"/>
  <c r="R727" i="7"/>
  <c r="S727" i="7"/>
  <c r="T727" i="7"/>
  <c r="O728" i="7"/>
  <c r="P728" i="7"/>
  <c r="Q728" i="7"/>
  <c r="R728" i="7"/>
  <c r="S728" i="7"/>
  <c r="T728" i="7"/>
  <c r="O729" i="7"/>
  <c r="P729" i="7"/>
  <c r="Q729" i="7"/>
  <c r="R729" i="7"/>
  <c r="S729" i="7"/>
  <c r="T729" i="7"/>
  <c r="O730" i="7"/>
  <c r="P730" i="7"/>
  <c r="Q730" i="7"/>
  <c r="R730" i="7"/>
  <c r="S730" i="7"/>
  <c r="T730" i="7"/>
  <c r="O731" i="7"/>
  <c r="P731" i="7"/>
  <c r="Q731" i="7"/>
  <c r="R731" i="7"/>
  <c r="S731" i="7"/>
  <c r="T731" i="7"/>
  <c r="O732" i="7"/>
  <c r="P732" i="7"/>
  <c r="Q732" i="7"/>
  <c r="R732" i="7"/>
  <c r="S732" i="7"/>
  <c r="T732" i="7"/>
  <c r="O733" i="7"/>
  <c r="P733" i="7"/>
  <c r="Q733" i="7"/>
  <c r="R733" i="7"/>
  <c r="S733" i="7"/>
  <c r="T733" i="7"/>
  <c r="O734" i="7"/>
  <c r="P734" i="7"/>
  <c r="Q734" i="7"/>
  <c r="R734" i="7"/>
  <c r="S734" i="7"/>
  <c r="T734" i="7"/>
  <c r="O735" i="7"/>
  <c r="P735" i="7"/>
  <c r="Q735" i="7"/>
  <c r="R735" i="7"/>
  <c r="S735" i="7"/>
  <c r="T735" i="7"/>
  <c r="O736" i="7"/>
  <c r="P736" i="7"/>
  <c r="Q736" i="7"/>
  <c r="R736" i="7"/>
  <c r="S736" i="7"/>
  <c r="T736" i="7"/>
  <c r="O737" i="7"/>
  <c r="P737" i="7"/>
  <c r="Q737" i="7"/>
  <c r="R737" i="7"/>
  <c r="S737" i="7"/>
  <c r="T737" i="7"/>
  <c r="O738" i="7"/>
  <c r="P738" i="7"/>
  <c r="Q738" i="7"/>
  <c r="R738" i="7"/>
  <c r="S738" i="7"/>
  <c r="T738" i="7"/>
  <c r="O739" i="7"/>
  <c r="P739" i="7"/>
  <c r="Q739" i="7"/>
  <c r="R739" i="7"/>
  <c r="S739" i="7"/>
  <c r="T739" i="7"/>
  <c r="O740" i="7"/>
  <c r="P740" i="7"/>
  <c r="Q740" i="7"/>
  <c r="R740" i="7"/>
  <c r="S740" i="7"/>
  <c r="T740" i="7"/>
  <c r="O741" i="7"/>
  <c r="P741" i="7"/>
  <c r="Q741" i="7"/>
  <c r="R741" i="7"/>
  <c r="S741" i="7"/>
  <c r="T741" i="7"/>
  <c r="O742" i="7"/>
  <c r="P742" i="7"/>
  <c r="Q742" i="7"/>
  <c r="R742" i="7"/>
  <c r="S742" i="7"/>
  <c r="T742" i="7"/>
  <c r="O743" i="7"/>
  <c r="P743" i="7"/>
  <c r="Q743" i="7"/>
  <c r="R743" i="7"/>
  <c r="S743" i="7"/>
  <c r="T743" i="7"/>
  <c r="O744" i="7"/>
  <c r="P744" i="7"/>
  <c r="Q744" i="7"/>
  <c r="R744" i="7"/>
  <c r="S744" i="7"/>
  <c r="T744" i="7"/>
  <c r="O745" i="7"/>
  <c r="P745" i="7"/>
  <c r="Q745" i="7"/>
  <c r="R745" i="7"/>
  <c r="S745" i="7"/>
  <c r="T745" i="7"/>
  <c r="O746" i="7"/>
  <c r="P746" i="7"/>
  <c r="Q746" i="7"/>
  <c r="R746" i="7"/>
  <c r="S746" i="7"/>
  <c r="T746" i="7"/>
  <c r="O747" i="7"/>
  <c r="P747" i="7"/>
  <c r="Q747" i="7"/>
  <c r="R747" i="7"/>
  <c r="S747" i="7"/>
  <c r="T747" i="7"/>
  <c r="O646" i="7"/>
  <c r="P646" i="7"/>
  <c r="Q646" i="7"/>
  <c r="R646" i="7"/>
  <c r="S646" i="7"/>
  <c r="T646" i="7"/>
  <c r="O647" i="7"/>
  <c r="P647" i="7"/>
  <c r="Q647" i="7"/>
  <c r="R647" i="7"/>
  <c r="S647" i="7"/>
  <c r="T647" i="7"/>
  <c r="O648" i="7"/>
  <c r="P648" i="7"/>
  <c r="Q648" i="7"/>
  <c r="R648" i="7"/>
  <c r="S648" i="7"/>
  <c r="T648" i="7"/>
  <c r="O649" i="7"/>
  <c r="P649" i="7"/>
  <c r="Q649" i="7"/>
  <c r="R649" i="7"/>
  <c r="S649" i="7"/>
  <c r="T649" i="7"/>
  <c r="O650" i="7"/>
  <c r="P650" i="7"/>
  <c r="Q650" i="7"/>
  <c r="R650" i="7"/>
  <c r="S650" i="7"/>
  <c r="T650" i="7"/>
  <c r="O651" i="7"/>
  <c r="P651" i="7"/>
  <c r="Q651" i="7"/>
  <c r="R651" i="7"/>
  <c r="S651" i="7"/>
  <c r="T651" i="7"/>
  <c r="O652" i="7"/>
  <c r="P652" i="7"/>
  <c r="Q652" i="7"/>
  <c r="R652" i="7"/>
  <c r="S652" i="7"/>
  <c r="T652" i="7"/>
  <c r="O653" i="7"/>
  <c r="P653" i="7"/>
  <c r="Q653" i="7"/>
  <c r="R653" i="7"/>
  <c r="S653" i="7"/>
  <c r="T653" i="7"/>
  <c r="O654" i="7"/>
  <c r="P654" i="7"/>
  <c r="Q654" i="7"/>
  <c r="R654" i="7"/>
  <c r="S654" i="7"/>
  <c r="T654" i="7"/>
  <c r="O655" i="7"/>
  <c r="P655" i="7"/>
  <c r="Q655" i="7"/>
  <c r="R655" i="7"/>
  <c r="S655" i="7"/>
  <c r="T655" i="7"/>
  <c r="O656" i="7"/>
  <c r="P656" i="7"/>
  <c r="Q656" i="7"/>
  <c r="R656" i="7"/>
  <c r="S656" i="7"/>
  <c r="T656" i="7"/>
  <c r="O657" i="7"/>
  <c r="P657" i="7"/>
  <c r="Q657" i="7"/>
  <c r="R657" i="7"/>
  <c r="S657" i="7"/>
  <c r="T657" i="7"/>
  <c r="O658" i="7"/>
  <c r="P658" i="7"/>
  <c r="Q658" i="7"/>
  <c r="R658" i="7"/>
  <c r="S658" i="7"/>
  <c r="T658" i="7"/>
  <c r="O659" i="7"/>
  <c r="P659" i="7"/>
  <c r="Q659" i="7"/>
  <c r="R659" i="7"/>
  <c r="S659" i="7"/>
  <c r="T659" i="7"/>
  <c r="O660" i="7"/>
  <c r="P660" i="7"/>
  <c r="Q660" i="7"/>
  <c r="R660" i="7"/>
  <c r="S660" i="7"/>
  <c r="T660" i="7"/>
  <c r="O661" i="7"/>
  <c r="P661" i="7"/>
  <c r="Q661" i="7"/>
  <c r="R661" i="7"/>
  <c r="S661" i="7"/>
  <c r="T661" i="7"/>
  <c r="O662" i="7"/>
  <c r="P662" i="7"/>
  <c r="Q662" i="7"/>
  <c r="R662" i="7"/>
  <c r="S662" i="7"/>
  <c r="T662" i="7"/>
  <c r="O663" i="7"/>
  <c r="P663" i="7"/>
  <c r="Q663" i="7"/>
  <c r="R663" i="7"/>
  <c r="S663" i="7"/>
  <c r="T663" i="7"/>
  <c r="O664" i="7"/>
  <c r="P664" i="7"/>
  <c r="Q664" i="7"/>
  <c r="R664" i="7"/>
  <c r="S664" i="7"/>
  <c r="T664" i="7"/>
  <c r="O665" i="7"/>
  <c r="P665" i="7"/>
  <c r="Q665" i="7"/>
  <c r="R665" i="7"/>
  <c r="S665" i="7"/>
  <c r="T665" i="7"/>
  <c r="O666" i="7"/>
  <c r="P666" i="7"/>
  <c r="Q666" i="7"/>
  <c r="R666" i="7"/>
  <c r="S666" i="7"/>
  <c r="T666" i="7"/>
  <c r="O667" i="7"/>
  <c r="P667" i="7"/>
  <c r="Q667" i="7"/>
  <c r="R667" i="7"/>
  <c r="S667" i="7"/>
  <c r="T667" i="7"/>
  <c r="O668" i="7"/>
  <c r="P668" i="7"/>
  <c r="Q668" i="7"/>
  <c r="R668" i="7"/>
  <c r="S668" i="7"/>
  <c r="T668" i="7"/>
  <c r="O669" i="7"/>
  <c r="P669" i="7"/>
  <c r="Q669" i="7"/>
  <c r="R669" i="7"/>
  <c r="S669" i="7"/>
  <c r="T669" i="7"/>
  <c r="O670" i="7"/>
  <c r="P670" i="7"/>
  <c r="Q670" i="7"/>
  <c r="R670" i="7"/>
  <c r="S670" i="7"/>
  <c r="T670" i="7"/>
  <c r="O671" i="7"/>
  <c r="P671" i="7"/>
  <c r="Q671" i="7"/>
  <c r="R671" i="7"/>
  <c r="S671" i="7"/>
  <c r="T671" i="7"/>
  <c r="O672" i="7"/>
  <c r="P672" i="7"/>
  <c r="Q672" i="7"/>
  <c r="R672" i="7"/>
  <c r="S672" i="7"/>
  <c r="T672" i="7"/>
  <c r="O673" i="7"/>
  <c r="P673" i="7"/>
  <c r="Q673" i="7"/>
  <c r="R673" i="7"/>
  <c r="S673" i="7"/>
  <c r="T673" i="7"/>
  <c r="O674" i="7"/>
  <c r="P674" i="7"/>
  <c r="Q674" i="7"/>
  <c r="R674" i="7"/>
  <c r="S674" i="7"/>
  <c r="T674" i="7"/>
  <c r="O675" i="7"/>
  <c r="P675" i="7"/>
  <c r="Q675" i="7"/>
  <c r="R675" i="7"/>
  <c r="S675" i="7"/>
  <c r="T675" i="7"/>
  <c r="O676" i="7"/>
  <c r="P676" i="7"/>
  <c r="Q676" i="7"/>
  <c r="R676" i="7"/>
  <c r="S676" i="7"/>
  <c r="T676" i="7"/>
  <c r="O677" i="7"/>
  <c r="P677" i="7"/>
  <c r="Q677" i="7"/>
  <c r="R677" i="7"/>
  <c r="S677" i="7"/>
  <c r="T677" i="7"/>
  <c r="O678" i="7"/>
  <c r="P678" i="7"/>
  <c r="Q678" i="7"/>
  <c r="R678" i="7"/>
  <c r="S678" i="7"/>
  <c r="T678" i="7"/>
  <c r="O679" i="7"/>
  <c r="P679" i="7"/>
  <c r="Q679" i="7"/>
  <c r="R679" i="7"/>
  <c r="S679" i="7"/>
  <c r="T679" i="7"/>
  <c r="O680" i="7"/>
  <c r="P680" i="7"/>
  <c r="Q680" i="7"/>
  <c r="R680" i="7"/>
  <c r="S680" i="7"/>
  <c r="T680" i="7"/>
  <c r="O681" i="7"/>
  <c r="P681" i="7"/>
  <c r="Q681" i="7"/>
  <c r="R681" i="7"/>
  <c r="S681" i="7"/>
  <c r="T681" i="7"/>
  <c r="O682" i="7"/>
  <c r="P682" i="7"/>
  <c r="Q682" i="7"/>
  <c r="R682" i="7"/>
  <c r="S682" i="7"/>
  <c r="T682" i="7"/>
  <c r="O683" i="7"/>
  <c r="P683" i="7"/>
  <c r="Q683" i="7"/>
  <c r="R683" i="7"/>
  <c r="S683" i="7"/>
  <c r="T683" i="7"/>
  <c r="O684" i="7"/>
  <c r="P684" i="7"/>
  <c r="Q684" i="7"/>
  <c r="R684" i="7"/>
  <c r="S684" i="7"/>
  <c r="T684" i="7"/>
  <c r="O685" i="7"/>
  <c r="P685" i="7"/>
  <c r="Q685" i="7"/>
  <c r="R685" i="7"/>
  <c r="S685" i="7"/>
  <c r="T685" i="7"/>
  <c r="O686" i="7"/>
  <c r="P686" i="7"/>
  <c r="Q686" i="7"/>
  <c r="R686" i="7"/>
  <c r="S686" i="7"/>
  <c r="T686" i="7"/>
  <c r="O687" i="7"/>
  <c r="P687" i="7"/>
  <c r="Q687" i="7"/>
  <c r="R687" i="7"/>
  <c r="S687" i="7"/>
  <c r="T687" i="7"/>
  <c r="O688" i="7"/>
  <c r="P688" i="7"/>
  <c r="Q688" i="7"/>
  <c r="R688" i="7"/>
  <c r="S688" i="7"/>
  <c r="T688" i="7"/>
  <c r="O689" i="7"/>
  <c r="P689" i="7"/>
  <c r="Q689" i="7"/>
  <c r="R689" i="7"/>
  <c r="S689" i="7"/>
  <c r="T689" i="7"/>
  <c r="O690" i="7"/>
  <c r="P690" i="7"/>
  <c r="Q690" i="7"/>
  <c r="R690" i="7"/>
  <c r="S690" i="7"/>
  <c r="T690" i="7"/>
  <c r="O691" i="7"/>
  <c r="P691" i="7"/>
  <c r="Q691" i="7"/>
  <c r="R691" i="7"/>
  <c r="S691" i="7"/>
  <c r="T691" i="7"/>
  <c r="O692" i="7"/>
  <c r="P692" i="7"/>
  <c r="Q692" i="7"/>
  <c r="R692" i="7"/>
  <c r="S692" i="7"/>
  <c r="T692" i="7"/>
  <c r="O693" i="7"/>
  <c r="P693" i="7"/>
  <c r="Q693" i="7"/>
  <c r="R693" i="7"/>
  <c r="S693" i="7"/>
  <c r="T693" i="7"/>
  <c r="O694" i="7"/>
  <c r="P694" i="7"/>
  <c r="Q694" i="7"/>
  <c r="R694" i="7"/>
  <c r="S694" i="7"/>
  <c r="T694" i="7"/>
  <c r="O695" i="7"/>
  <c r="P695" i="7"/>
  <c r="Q695" i="7"/>
  <c r="R695" i="7"/>
  <c r="S695" i="7"/>
  <c r="T695" i="7"/>
  <c r="O696" i="7"/>
  <c r="P696" i="7"/>
  <c r="Q696" i="7"/>
  <c r="R696" i="7"/>
  <c r="S696" i="7"/>
  <c r="T696" i="7"/>
  <c r="O595" i="7"/>
  <c r="P595" i="7"/>
  <c r="Q595" i="7"/>
  <c r="R595" i="7"/>
  <c r="S595" i="7"/>
  <c r="T595" i="7"/>
  <c r="O596" i="7"/>
  <c r="P596" i="7"/>
  <c r="Q596" i="7"/>
  <c r="R596" i="7"/>
  <c r="S596" i="7"/>
  <c r="T596" i="7"/>
  <c r="O597" i="7"/>
  <c r="P597" i="7"/>
  <c r="Q597" i="7"/>
  <c r="R597" i="7"/>
  <c r="S597" i="7"/>
  <c r="T597" i="7"/>
  <c r="O598" i="7"/>
  <c r="P598" i="7"/>
  <c r="Q598" i="7"/>
  <c r="R598" i="7"/>
  <c r="S598" i="7"/>
  <c r="T598" i="7"/>
  <c r="O599" i="7"/>
  <c r="P599" i="7"/>
  <c r="Q599" i="7"/>
  <c r="R599" i="7"/>
  <c r="S599" i="7"/>
  <c r="T599" i="7"/>
  <c r="O600" i="7"/>
  <c r="P600" i="7"/>
  <c r="Q600" i="7"/>
  <c r="R600" i="7"/>
  <c r="S600" i="7"/>
  <c r="T600" i="7"/>
  <c r="O601" i="7"/>
  <c r="P601" i="7"/>
  <c r="Q601" i="7"/>
  <c r="R601" i="7"/>
  <c r="S601" i="7"/>
  <c r="T601" i="7"/>
  <c r="O602" i="7"/>
  <c r="P602" i="7"/>
  <c r="Q602" i="7"/>
  <c r="R602" i="7"/>
  <c r="S602" i="7"/>
  <c r="T602" i="7"/>
  <c r="O603" i="7"/>
  <c r="P603" i="7"/>
  <c r="Q603" i="7"/>
  <c r="R603" i="7"/>
  <c r="S603" i="7"/>
  <c r="T603" i="7"/>
  <c r="O604" i="7"/>
  <c r="P604" i="7"/>
  <c r="Q604" i="7"/>
  <c r="R604" i="7"/>
  <c r="S604" i="7"/>
  <c r="T604" i="7"/>
  <c r="O605" i="7"/>
  <c r="P605" i="7"/>
  <c r="Q605" i="7"/>
  <c r="R605" i="7"/>
  <c r="S605" i="7"/>
  <c r="T605" i="7"/>
  <c r="O606" i="7"/>
  <c r="P606" i="7"/>
  <c r="Q606" i="7"/>
  <c r="R606" i="7"/>
  <c r="S606" i="7"/>
  <c r="T606" i="7"/>
  <c r="O607" i="7"/>
  <c r="P607" i="7"/>
  <c r="Q607" i="7"/>
  <c r="R607" i="7"/>
  <c r="S607" i="7"/>
  <c r="T607" i="7"/>
  <c r="O608" i="7"/>
  <c r="P608" i="7"/>
  <c r="Q608" i="7"/>
  <c r="R608" i="7"/>
  <c r="S608" i="7"/>
  <c r="T608" i="7"/>
  <c r="O609" i="7"/>
  <c r="P609" i="7"/>
  <c r="Q609" i="7"/>
  <c r="R609" i="7"/>
  <c r="S609" i="7"/>
  <c r="T609" i="7"/>
  <c r="O610" i="7"/>
  <c r="P610" i="7"/>
  <c r="Q610" i="7"/>
  <c r="R610" i="7"/>
  <c r="S610" i="7"/>
  <c r="T610" i="7"/>
  <c r="O611" i="7"/>
  <c r="P611" i="7"/>
  <c r="Q611" i="7"/>
  <c r="R611" i="7"/>
  <c r="S611" i="7"/>
  <c r="T611" i="7"/>
  <c r="O612" i="7"/>
  <c r="P612" i="7"/>
  <c r="Q612" i="7"/>
  <c r="R612" i="7"/>
  <c r="S612" i="7"/>
  <c r="T612" i="7"/>
  <c r="O613" i="7"/>
  <c r="P613" i="7"/>
  <c r="Q613" i="7"/>
  <c r="R613" i="7"/>
  <c r="S613" i="7"/>
  <c r="T613" i="7"/>
  <c r="O614" i="7"/>
  <c r="P614" i="7"/>
  <c r="Q614" i="7"/>
  <c r="R614" i="7"/>
  <c r="S614" i="7"/>
  <c r="T614" i="7"/>
  <c r="O615" i="7"/>
  <c r="P615" i="7"/>
  <c r="Q615" i="7"/>
  <c r="R615" i="7"/>
  <c r="S615" i="7"/>
  <c r="T615" i="7"/>
  <c r="O616" i="7"/>
  <c r="P616" i="7"/>
  <c r="Q616" i="7"/>
  <c r="R616" i="7"/>
  <c r="S616" i="7"/>
  <c r="T616" i="7"/>
  <c r="O617" i="7"/>
  <c r="P617" i="7"/>
  <c r="Q617" i="7"/>
  <c r="R617" i="7"/>
  <c r="S617" i="7"/>
  <c r="T617" i="7"/>
  <c r="O618" i="7"/>
  <c r="P618" i="7"/>
  <c r="Q618" i="7"/>
  <c r="R618" i="7"/>
  <c r="S618" i="7"/>
  <c r="T618" i="7"/>
  <c r="O619" i="7"/>
  <c r="P619" i="7"/>
  <c r="Q619" i="7"/>
  <c r="R619" i="7"/>
  <c r="S619" i="7"/>
  <c r="T619" i="7"/>
  <c r="O620" i="7"/>
  <c r="P620" i="7"/>
  <c r="Q620" i="7"/>
  <c r="R620" i="7"/>
  <c r="S620" i="7"/>
  <c r="T620" i="7"/>
  <c r="O621" i="7"/>
  <c r="P621" i="7"/>
  <c r="Q621" i="7"/>
  <c r="R621" i="7"/>
  <c r="S621" i="7"/>
  <c r="T621" i="7"/>
  <c r="O622" i="7"/>
  <c r="P622" i="7"/>
  <c r="Q622" i="7"/>
  <c r="R622" i="7"/>
  <c r="S622" i="7"/>
  <c r="T622" i="7"/>
  <c r="O623" i="7"/>
  <c r="P623" i="7"/>
  <c r="Q623" i="7"/>
  <c r="R623" i="7"/>
  <c r="S623" i="7"/>
  <c r="T623" i="7"/>
  <c r="O624" i="7"/>
  <c r="P624" i="7"/>
  <c r="Q624" i="7"/>
  <c r="R624" i="7"/>
  <c r="S624" i="7"/>
  <c r="T624" i="7"/>
  <c r="O625" i="7"/>
  <c r="P625" i="7"/>
  <c r="Q625" i="7"/>
  <c r="R625" i="7"/>
  <c r="S625" i="7"/>
  <c r="T625" i="7"/>
  <c r="O626" i="7"/>
  <c r="P626" i="7"/>
  <c r="Q626" i="7"/>
  <c r="R626" i="7"/>
  <c r="S626" i="7"/>
  <c r="T626" i="7"/>
  <c r="O627" i="7"/>
  <c r="P627" i="7"/>
  <c r="Q627" i="7"/>
  <c r="R627" i="7"/>
  <c r="S627" i="7"/>
  <c r="T627" i="7"/>
  <c r="O628" i="7"/>
  <c r="P628" i="7"/>
  <c r="Q628" i="7"/>
  <c r="R628" i="7"/>
  <c r="S628" i="7"/>
  <c r="T628" i="7"/>
  <c r="O629" i="7"/>
  <c r="P629" i="7"/>
  <c r="Q629" i="7"/>
  <c r="R629" i="7"/>
  <c r="S629" i="7"/>
  <c r="T629" i="7"/>
  <c r="O630" i="7"/>
  <c r="P630" i="7"/>
  <c r="Q630" i="7"/>
  <c r="R630" i="7"/>
  <c r="S630" i="7"/>
  <c r="T630" i="7"/>
  <c r="O631" i="7"/>
  <c r="P631" i="7"/>
  <c r="Q631" i="7"/>
  <c r="R631" i="7"/>
  <c r="S631" i="7"/>
  <c r="T631" i="7"/>
  <c r="O632" i="7"/>
  <c r="P632" i="7"/>
  <c r="Q632" i="7"/>
  <c r="R632" i="7"/>
  <c r="S632" i="7"/>
  <c r="T632" i="7"/>
  <c r="O633" i="7"/>
  <c r="P633" i="7"/>
  <c r="Q633" i="7"/>
  <c r="R633" i="7"/>
  <c r="S633" i="7"/>
  <c r="T633" i="7"/>
  <c r="O634" i="7"/>
  <c r="P634" i="7"/>
  <c r="Q634" i="7"/>
  <c r="R634" i="7"/>
  <c r="S634" i="7"/>
  <c r="T634" i="7"/>
  <c r="O635" i="7"/>
  <c r="P635" i="7"/>
  <c r="Q635" i="7"/>
  <c r="R635" i="7"/>
  <c r="S635" i="7"/>
  <c r="T635" i="7"/>
  <c r="O636" i="7"/>
  <c r="P636" i="7"/>
  <c r="Q636" i="7"/>
  <c r="R636" i="7"/>
  <c r="S636" i="7"/>
  <c r="T636" i="7"/>
  <c r="O637" i="7"/>
  <c r="P637" i="7"/>
  <c r="Q637" i="7"/>
  <c r="R637" i="7"/>
  <c r="S637" i="7"/>
  <c r="T637" i="7"/>
  <c r="O638" i="7"/>
  <c r="P638" i="7"/>
  <c r="Q638" i="7"/>
  <c r="R638" i="7"/>
  <c r="S638" i="7"/>
  <c r="T638" i="7"/>
  <c r="O639" i="7"/>
  <c r="P639" i="7"/>
  <c r="Q639" i="7"/>
  <c r="R639" i="7"/>
  <c r="S639" i="7"/>
  <c r="T639" i="7"/>
  <c r="O640" i="7"/>
  <c r="P640" i="7"/>
  <c r="Q640" i="7"/>
  <c r="R640" i="7"/>
  <c r="S640" i="7"/>
  <c r="T640" i="7"/>
  <c r="O641" i="7"/>
  <c r="P641" i="7"/>
  <c r="Q641" i="7"/>
  <c r="R641" i="7"/>
  <c r="S641" i="7"/>
  <c r="T641" i="7"/>
  <c r="O642" i="7"/>
  <c r="P642" i="7"/>
  <c r="Q642" i="7"/>
  <c r="R642" i="7"/>
  <c r="S642" i="7"/>
  <c r="T642" i="7"/>
  <c r="O643" i="7"/>
  <c r="P643" i="7"/>
  <c r="Q643" i="7"/>
  <c r="R643" i="7"/>
  <c r="S643" i="7"/>
  <c r="T643" i="7"/>
  <c r="O644" i="7"/>
  <c r="P644" i="7"/>
  <c r="Q644" i="7"/>
  <c r="R644" i="7"/>
  <c r="S644" i="7"/>
  <c r="T644" i="7"/>
  <c r="O645" i="7"/>
  <c r="P645" i="7"/>
  <c r="Q645" i="7"/>
  <c r="R645" i="7"/>
  <c r="S645" i="7"/>
  <c r="T645" i="7"/>
  <c r="O544" i="7"/>
  <c r="P544" i="7"/>
  <c r="Q544" i="7"/>
  <c r="R544" i="7"/>
  <c r="S544" i="7"/>
  <c r="T544" i="7"/>
  <c r="O545" i="7"/>
  <c r="P545" i="7"/>
  <c r="Q545" i="7"/>
  <c r="R545" i="7"/>
  <c r="S545" i="7"/>
  <c r="T545" i="7"/>
  <c r="O546" i="7"/>
  <c r="P546" i="7"/>
  <c r="Q546" i="7"/>
  <c r="R546" i="7"/>
  <c r="S546" i="7"/>
  <c r="T546" i="7"/>
  <c r="O547" i="7"/>
  <c r="P547" i="7"/>
  <c r="Q547" i="7"/>
  <c r="R547" i="7"/>
  <c r="S547" i="7"/>
  <c r="T547" i="7"/>
  <c r="O548" i="7"/>
  <c r="P548" i="7"/>
  <c r="Q548" i="7"/>
  <c r="R548" i="7"/>
  <c r="S548" i="7"/>
  <c r="T548" i="7"/>
  <c r="O549" i="7"/>
  <c r="P549" i="7"/>
  <c r="Q549" i="7"/>
  <c r="R549" i="7"/>
  <c r="S549" i="7"/>
  <c r="T549" i="7"/>
  <c r="O550" i="7"/>
  <c r="P550" i="7"/>
  <c r="Q550" i="7"/>
  <c r="R550" i="7"/>
  <c r="S550" i="7"/>
  <c r="T550" i="7"/>
  <c r="O551" i="7"/>
  <c r="P551" i="7"/>
  <c r="Q551" i="7"/>
  <c r="R551" i="7"/>
  <c r="S551" i="7"/>
  <c r="T551" i="7"/>
  <c r="O552" i="7"/>
  <c r="P552" i="7"/>
  <c r="Q552" i="7"/>
  <c r="R552" i="7"/>
  <c r="S552" i="7"/>
  <c r="T552" i="7"/>
  <c r="O553" i="7"/>
  <c r="P553" i="7"/>
  <c r="Q553" i="7"/>
  <c r="R553" i="7"/>
  <c r="S553" i="7"/>
  <c r="T553" i="7"/>
  <c r="O554" i="7"/>
  <c r="P554" i="7"/>
  <c r="Q554" i="7"/>
  <c r="R554" i="7"/>
  <c r="S554" i="7"/>
  <c r="T554" i="7"/>
  <c r="O555" i="7"/>
  <c r="P555" i="7"/>
  <c r="Q555" i="7"/>
  <c r="R555" i="7"/>
  <c r="S555" i="7"/>
  <c r="T555" i="7"/>
  <c r="O556" i="7"/>
  <c r="P556" i="7"/>
  <c r="Q556" i="7"/>
  <c r="R556" i="7"/>
  <c r="S556" i="7"/>
  <c r="T556" i="7"/>
  <c r="O557" i="7"/>
  <c r="P557" i="7"/>
  <c r="Q557" i="7"/>
  <c r="R557" i="7"/>
  <c r="S557" i="7"/>
  <c r="T557" i="7"/>
  <c r="O558" i="7"/>
  <c r="P558" i="7"/>
  <c r="Q558" i="7"/>
  <c r="R558" i="7"/>
  <c r="S558" i="7"/>
  <c r="T558" i="7"/>
  <c r="O559" i="7"/>
  <c r="P559" i="7"/>
  <c r="Q559" i="7"/>
  <c r="R559" i="7"/>
  <c r="S559" i="7"/>
  <c r="T559" i="7"/>
  <c r="O560" i="7"/>
  <c r="P560" i="7"/>
  <c r="Q560" i="7"/>
  <c r="R560" i="7"/>
  <c r="S560" i="7"/>
  <c r="T560" i="7"/>
  <c r="O561" i="7"/>
  <c r="P561" i="7"/>
  <c r="Q561" i="7"/>
  <c r="R561" i="7"/>
  <c r="S561" i="7"/>
  <c r="T561" i="7"/>
  <c r="O562" i="7"/>
  <c r="P562" i="7"/>
  <c r="Q562" i="7"/>
  <c r="R562" i="7"/>
  <c r="S562" i="7"/>
  <c r="T562" i="7"/>
  <c r="O563" i="7"/>
  <c r="P563" i="7"/>
  <c r="Q563" i="7"/>
  <c r="R563" i="7"/>
  <c r="S563" i="7"/>
  <c r="T563" i="7"/>
  <c r="O564" i="7"/>
  <c r="P564" i="7"/>
  <c r="Q564" i="7"/>
  <c r="R564" i="7"/>
  <c r="S564" i="7"/>
  <c r="T564" i="7"/>
  <c r="O565" i="7"/>
  <c r="P565" i="7"/>
  <c r="Q565" i="7"/>
  <c r="R565" i="7"/>
  <c r="S565" i="7"/>
  <c r="T565" i="7"/>
  <c r="O566" i="7"/>
  <c r="P566" i="7"/>
  <c r="Q566" i="7"/>
  <c r="R566" i="7"/>
  <c r="S566" i="7"/>
  <c r="T566" i="7"/>
  <c r="O567" i="7"/>
  <c r="P567" i="7"/>
  <c r="Q567" i="7"/>
  <c r="R567" i="7"/>
  <c r="S567" i="7"/>
  <c r="T567" i="7"/>
  <c r="O568" i="7"/>
  <c r="P568" i="7"/>
  <c r="Q568" i="7"/>
  <c r="R568" i="7"/>
  <c r="S568" i="7"/>
  <c r="T568" i="7"/>
  <c r="O569" i="7"/>
  <c r="P569" i="7"/>
  <c r="Q569" i="7"/>
  <c r="R569" i="7"/>
  <c r="S569" i="7"/>
  <c r="T569" i="7"/>
  <c r="O570" i="7"/>
  <c r="P570" i="7"/>
  <c r="Q570" i="7"/>
  <c r="R570" i="7"/>
  <c r="S570" i="7"/>
  <c r="T570" i="7"/>
  <c r="O571" i="7"/>
  <c r="P571" i="7"/>
  <c r="Q571" i="7"/>
  <c r="R571" i="7"/>
  <c r="S571" i="7"/>
  <c r="T571" i="7"/>
  <c r="O572" i="7"/>
  <c r="P572" i="7"/>
  <c r="Q572" i="7"/>
  <c r="R572" i="7"/>
  <c r="S572" i="7"/>
  <c r="T572" i="7"/>
  <c r="O573" i="7"/>
  <c r="P573" i="7"/>
  <c r="Q573" i="7"/>
  <c r="R573" i="7"/>
  <c r="S573" i="7"/>
  <c r="T573" i="7"/>
  <c r="O574" i="7"/>
  <c r="P574" i="7"/>
  <c r="Q574" i="7"/>
  <c r="R574" i="7"/>
  <c r="S574" i="7"/>
  <c r="T574" i="7"/>
  <c r="O575" i="7"/>
  <c r="P575" i="7"/>
  <c r="Q575" i="7"/>
  <c r="R575" i="7"/>
  <c r="S575" i="7"/>
  <c r="T575" i="7"/>
  <c r="O576" i="7"/>
  <c r="P576" i="7"/>
  <c r="Q576" i="7"/>
  <c r="R576" i="7"/>
  <c r="S576" i="7"/>
  <c r="T576" i="7"/>
  <c r="O577" i="7"/>
  <c r="P577" i="7"/>
  <c r="Q577" i="7"/>
  <c r="R577" i="7"/>
  <c r="S577" i="7"/>
  <c r="T577" i="7"/>
  <c r="O578" i="7"/>
  <c r="P578" i="7"/>
  <c r="Q578" i="7"/>
  <c r="R578" i="7"/>
  <c r="S578" i="7"/>
  <c r="T578" i="7"/>
  <c r="O579" i="7"/>
  <c r="P579" i="7"/>
  <c r="Q579" i="7"/>
  <c r="R579" i="7"/>
  <c r="S579" i="7"/>
  <c r="T579" i="7"/>
  <c r="O580" i="7"/>
  <c r="P580" i="7"/>
  <c r="Q580" i="7"/>
  <c r="R580" i="7"/>
  <c r="S580" i="7"/>
  <c r="T580" i="7"/>
  <c r="O581" i="7"/>
  <c r="P581" i="7"/>
  <c r="Q581" i="7"/>
  <c r="R581" i="7"/>
  <c r="S581" i="7"/>
  <c r="T581" i="7"/>
  <c r="O582" i="7"/>
  <c r="P582" i="7"/>
  <c r="Q582" i="7"/>
  <c r="R582" i="7"/>
  <c r="S582" i="7"/>
  <c r="T582" i="7"/>
  <c r="O583" i="7"/>
  <c r="P583" i="7"/>
  <c r="Q583" i="7"/>
  <c r="R583" i="7"/>
  <c r="S583" i="7"/>
  <c r="T583" i="7"/>
  <c r="O584" i="7"/>
  <c r="P584" i="7"/>
  <c r="Q584" i="7"/>
  <c r="R584" i="7"/>
  <c r="S584" i="7"/>
  <c r="T584" i="7"/>
  <c r="O585" i="7"/>
  <c r="P585" i="7"/>
  <c r="Q585" i="7"/>
  <c r="R585" i="7"/>
  <c r="S585" i="7"/>
  <c r="T585" i="7"/>
  <c r="O586" i="7"/>
  <c r="P586" i="7"/>
  <c r="Q586" i="7"/>
  <c r="R586" i="7"/>
  <c r="S586" i="7"/>
  <c r="T586" i="7"/>
  <c r="O587" i="7"/>
  <c r="P587" i="7"/>
  <c r="Q587" i="7"/>
  <c r="R587" i="7"/>
  <c r="S587" i="7"/>
  <c r="T587" i="7"/>
  <c r="O588" i="7"/>
  <c r="P588" i="7"/>
  <c r="Q588" i="7"/>
  <c r="R588" i="7"/>
  <c r="S588" i="7"/>
  <c r="T588" i="7"/>
  <c r="O589" i="7"/>
  <c r="P589" i="7"/>
  <c r="Q589" i="7"/>
  <c r="R589" i="7"/>
  <c r="S589" i="7"/>
  <c r="T589" i="7"/>
  <c r="O590" i="7"/>
  <c r="P590" i="7"/>
  <c r="Q590" i="7"/>
  <c r="R590" i="7"/>
  <c r="S590" i="7"/>
  <c r="T590" i="7"/>
  <c r="O591" i="7"/>
  <c r="P591" i="7"/>
  <c r="Q591" i="7"/>
  <c r="R591" i="7"/>
  <c r="S591" i="7"/>
  <c r="T591" i="7"/>
  <c r="O592" i="7"/>
  <c r="P592" i="7"/>
  <c r="Q592" i="7"/>
  <c r="R592" i="7"/>
  <c r="S592" i="7"/>
  <c r="T592" i="7"/>
  <c r="O593" i="7"/>
  <c r="P593" i="7"/>
  <c r="Q593" i="7"/>
  <c r="R593" i="7"/>
  <c r="S593" i="7"/>
  <c r="T593" i="7"/>
  <c r="O594" i="7"/>
  <c r="P594" i="7"/>
  <c r="Q594" i="7"/>
  <c r="R594" i="7"/>
  <c r="S594" i="7"/>
  <c r="T594" i="7"/>
  <c r="O493" i="7"/>
  <c r="P493" i="7"/>
  <c r="Q493" i="7"/>
  <c r="R493" i="7"/>
  <c r="S493" i="7"/>
  <c r="T493" i="7"/>
  <c r="O494" i="7"/>
  <c r="P494" i="7"/>
  <c r="Q494" i="7"/>
  <c r="R494" i="7"/>
  <c r="S494" i="7"/>
  <c r="T494" i="7"/>
  <c r="O495" i="7"/>
  <c r="P495" i="7"/>
  <c r="Q495" i="7"/>
  <c r="R495" i="7"/>
  <c r="S495" i="7"/>
  <c r="T495" i="7"/>
  <c r="O496" i="7"/>
  <c r="P496" i="7"/>
  <c r="Q496" i="7"/>
  <c r="R496" i="7"/>
  <c r="S496" i="7"/>
  <c r="T496" i="7"/>
  <c r="O497" i="7"/>
  <c r="P497" i="7"/>
  <c r="Q497" i="7"/>
  <c r="R497" i="7"/>
  <c r="S497" i="7"/>
  <c r="T497" i="7"/>
  <c r="O498" i="7"/>
  <c r="P498" i="7"/>
  <c r="Q498" i="7"/>
  <c r="R498" i="7"/>
  <c r="S498" i="7"/>
  <c r="T498" i="7"/>
  <c r="O499" i="7"/>
  <c r="P499" i="7"/>
  <c r="Q499" i="7"/>
  <c r="R499" i="7"/>
  <c r="S499" i="7"/>
  <c r="T499" i="7"/>
  <c r="O500" i="7"/>
  <c r="P500" i="7"/>
  <c r="Q500" i="7"/>
  <c r="R500" i="7"/>
  <c r="S500" i="7"/>
  <c r="T500" i="7"/>
  <c r="O501" i="7"/>
  <c r="P501" i="7"/>
  <c r="Q501" i="7"/>
  <c r="R501" i="7"/>
  <c r="S501" i="7"/>
  <c r="T501" i="7"/>
  <c r="O502" i="7"/>
  <c r="P502" i="7"/>
  <c r="Q502" i="7"/>
  <c r="R502" i="7"/>
  <c r="S502" i="7"/>
  <c r="T502" i="7"/>
  <c r="O503" i="7"/>
  <c r="P503" i="7"/>
  <c r="Q503" i="7"/>
  <c r="R503" i="7"/>
  <c r="S503" i="7"/>
  <c r="T503" i="7"/>
  <c r="O504" i="7"/>
  <c r="P504" i="7"/>
  <c r="Q504" i="7"/>
  <c r="R504" i="7"/>
  <c r="S504" i="7"/>
  <c r="T504" i="7"/>
  <c r="O505" i="7"/>
  <c r="P505" i="7"/>
  <c r="Q505" i="7"/>
  <c r="R505" i="7"/>
  <c r="S505" i="7"/>
  <c r="T505" i="7"/>
  <c r="O506" i="7"/>
  <c r="P506" i="7"/>
  <c r="Q506" i="7"/>
  <c r="R506" i="7"/>
  <c r="S506" i="7"/>
  <c r="T506" i="7"/>
  <c r="O507" i="7"/>
  <c r="P507" i="7"/>
  <c r="Q507" i="7"/>
  <c r="R507" i="7"/>
  <c r="S507" i="7"/>
  <c r="T507" i="7"/>
  <c r="O508" i="7"/>
  <c r="P508" i="7"/>
  <c r="Q508" i="7"/>
  <c r="R508" i="7"/>
  <c r="S508" i="7"/>
  <c r="T508" i="7"/>
  <c r="O509" i="7"/>
  <c r="P509" i="7"/>
  <c r="Q509" i="7"/>
  <c r="R509" i="7"/>
  <c r="S509" i="7"/>
  <c r="T509" i="7"/>
  <c r="O510" i="7"/>
  <c r="P510" i="7"/>
  <c r="Q510" i="7"/>
  <c r="R510" i="7"/>
  <c r="S510" i="7"/>
  <c r="T510" i="7"/>
  <c r="O511" i="7"/>
  <c r="P511" i="7"/>
  <c r="Q511" i="7"/>
  <c r="R511" i="7"/>
  <c r="S511" i="7"/>
  <c r="T511" i="7"/>
  <c r="O512" i="7"/>
  <c r="P512" i="7"/>
  <c r="Q512" i="7"/>
  <c r="R512" i="7"/>
  <c r="S512" i="7"/>
  <c r="T512" i="7"/>
  <c r="O513" i="7"/>
  <c r="P513" i="7"/>
  <c r="Q513" i="7"/>
  <c r="R513" i="7"/>
  <c r="S513" i="7"/>
  <c r="T513" i="7"/>
  <c r="O514" i="7"/>
  <c r="P514" i="7"/>
  <c r="Q514" i="7"/>
  <c r="R514" i="7"/>
  <c r="S514" i="7"/>
  <c r="T514" i="7"/>
  <c r="O515" i="7"/>
  <c r="P515" i="7"/>
  <c r="Q515" i="7"/>
  <c r="R515" i="7"/>
  <c r="S515" i="7"/>
  <c r="T515" i="7"/>
  <c r="O516" i="7"/>
  <c r="P516" i="7"/>
  <c r="Q516" i="7"/>
  <c r="R516" i="7"/>
  <c r="S516" i="7"/>
  <c r="T516" i="7"/>
  <c r="O517" i="7"/>
  <c r="P517" i="7"/>
  <c r="Q517" i="7"/>
  <c r="R517" i="7"/>
  <c r="S517" i="7"/>
  <c r="T517" i="7"/>
  <c r="O518" i="7"/>
  <c r="P518" i="7"/>
  <c r="Q518" i="7"/>
  <c r="R518" i="7"/>
  <c r="S518" i="7"/>
  <c r="T518" i="7"/>
  <c r="O519" i="7"/>
  <c r="P519" i="7"/>
  <c r="Q519" i="7"/>
  <c r="R519" i="7"/>
  <c r="S519" i="7"/>
  <c r="T519" i="7"/>
  <c r="O520" i="7"/>
  <c r="P520" i="7"/>
  <c r="Q520" i="7"/>
  <c r="R520" i="7"/>
  <c r="S520" i="7"/>
  <c r="T520" i="7"/>
  <c r="O521" i="7"/>
  <c r="P521" i="7"/>
  <c r="Q521" i="7"/>
  <c r="R521" i="7"/>
  <c r="S521" i="7"/>
  <c r="T521" i="7"/>
  <c r="O522" i="7"/>
  <c r="P522" i="7"/>
  <c r="Q522" i="7"/>
  <c r="R522" i="7"/>
  <c r="S522" i="7"/>
  <c r="T522" i="7"/>
  <c r="O523" i="7"/>
  <c r="P523" i="7"/>
  <c r="Q523" i="7"/>
  <c r="R523" i="7"/>
  <c r="S523" i="7"/>
  <c r="T523" i="7"/>
  <c r="O524" i="7"/>
  <c r="P524" i="7"/>
  <c r="Q524" i="7"/>
  <c r="R524" i="7"/>
  <c r="S524" i="7"/>
  <c r="T524" i="7"/>
  <c r="O525" i="7"/>
  <c r="P525" i="7"/>
  <c r="Q525" i="7"/>
  <c r="R525" i="7"/>
  <c r="S525" i="7"/>
  <c r="T525" i="7"/>
  <c r="O526" i="7"/>
  <c r="P526" i="7"/>
  <c r="Q526" i="7"/>
  <c r="R526" i="7"/>
  <c r="S526" i="7"/>
  <c r="T526" i="7"/>
  <c r="O527" i="7"/>
  <c r="P527" i="7"/>
  <c r="Q527" i="7"/>
  <c r="R527" i="7"/>
  <c r="S527" i="7"/>
  <c r="T527" i="7"/>
  <c r="O528" i="7"/>
  <c r="P528" i="7"/>
  <c r="Q528" i="7"/>
  <c r="R528" i="7"/>
  <c r="S528" i="7"/>
  <c r="T528" i="7"/>
  <c r="O529" i="7"/>
  <c r="P529" i="7"/>
  <c r="Q529" i="7"/>
  <c r="R529" i="7"/>
  <c r="S529" i="7"/>
  <c r="T529" i="7"/>
  <c r="O530" i="7"/>
  <c r="P530" i="7"/>
  <c r="Q530" i="7"/>
  <c r="R530" i="7"/>
  <c r="S530" i="7"/>
  <c r="T530" i="7"/>
  <c r="O531" i="7"/>
  <c r="P531" i="7"/>
  <c r="Q531" i="7"/>
  <c r="R531" i="7"/>
  <c r="S531" i="7"/>
  <c r="T531" i="7"/>
  <c r="O532" i="7"/>
  <c r="P532" i="7"/>
  <c r="Q532" i="7"/>
  <c r="R532" i="7"/>
  <c r="S532" i="7"/>
  <c r="T532" i="7"/>
  <c r="O533" i="7"/>
  <c r="P533" i="7"/>
  <c r="Q533" i="7"/>
  <c r="R533" i="7"/>
  <c r="S533" i="7"/>
  <c r="T533" i="7"/>
  <c r="O534" i="7"/>
  <c r="P534" i="7"/>
  <c r="Q534" i="7"/>
  <c r="R534" i="7"/>
  <c r="S534" i="7"/>
  <c r="T534" i="7"/>
  <c r="O535" i="7"/>
  <c r="P535" i="7"/>
  <c r="Q535" i="7"/>
  <c r="R535" i="7"/>
  <c r="S535" i="7"/>
  <c r="T535" i="7"/>
  <c r="O536" i="7"/>
  <c r="P536" i="7"/>
  <c r="Q536" i="7"/>
  <c r="R536" i="7"/>
  <c r="S536" i="7"/>
  <c r="T536" i="7"/>
  <c r="O537" i="7"/>
  <c r="P537" i="7"/>
  <c r="Q537" i="7"/>
  <c r="R537" i="7"/>
  <c r="S537" i="7"/>
  <c r="T537" i="7"/>
  <c r="O538" i="7"/>
  <c r="P538" i="7"/>
  <c r="Q538" i="7"/>
  <c r="R538" i="7"/>
  <c r="S538" i="7"/>
  <c r="T538" i="7"/>
  <c r="O539" i="7"/>
  <c r="P539" i="7"/>
  <c r="Q539" i="7"/>
  <c r="R539" i="7"/>
  <c r="S539" i="7"/>
  <c r="T539" i="7"/>
  <c r="O540" i="7"/>
  <c r="P540" i="7"/>
  <c r="Q540" i="7"/>
  <c r="R540" i="7"/>
  <c r="S540" i="7"/>
  <c r="T540" i="7"/>
  <c r="O541" i="7"/>
  <c r="P541" i="7"/>
  <c r="Q541" i="7"/>
  <c r="R541" i="7"/>
  <c r="S541" i="7"/>
  <c r="T541" i="7"/>
  <c r="O542" i="7"/>
  <c r="P542" i="7"/>
  <c r="Q542" i="7"/>
  <c r="R542" i="7"/>
  <c r="S542" i="7"/>
  <c r="T542" i="7"/>
  <c r="O543" i="7"/>
  <c r="P543" i="7"/>
  <c r="Q543" i="7"/>
  <c r="R543" i="7"/>
  <c r="S543" i="7"/>
  <c r="T543" i="7"/>
  <c r="O442" i="7"/>
  <c r="P442" i="7"/>
  <c r="Q442" i="7"/>
  <c r="R442" i="7"/>
  <c r="S442" i="7"/>
  <c r="T442" i="7"/>
  <c r="O443" i="7"/>
  <c r="P443" i="7"/>
  <c r="Q443" i="7"/>
  <c r="R443" i="7"/>
  <c r="S443" i="7"/>
  <c r="T443" i="7"/>
  <c r="O444" i="7"/>
  <c r="P444" i="7"/>
  <c r="Q444" i="7"/>
  <c r="R444" i="7"/>
  <c r="S444" i="7"/>
  <c r="T444" i="7"/>
  <c r="O445" i="7"/>
  <c r="P445" i="7"/>
  <c r="Q445" i="7"/>
  <c r="R445" i="7"/>
  <c r="S445" i="7"/>
  <c r="T445" i="7"/>
  <c r="O446" i="7"/>
  <c r="P446" i="7"/>
  <c r="Q446" i="7"/>
  <c r="R446" i="7"/>
  <c r="S446" i="7"/>
  <c r="T446" i="7"/>
  <c r="O447" i="7"/>
  <c r="P447" i="7"/>
  <c r="Q447" i="7"/>
  <c r="R447" i="7"/>
  <c r="S447" i="7"/>
  <c r="T447" i="7"/>
  <c r="O448" i="7"/>
  <c r="P448" i="7"/>
  <c r="Q448" i="7"/>
  <c r="R448" i="7"/>
  <c r="S448" i="7"/>
  <c r="T448" i="7"/>
  <c r="O449" i="7"/>
  <c r="P449" i="7"/>
  <c r="Q449" i="7"/>
  <c r="R449" i="7"/>
  <c r="S449" i="7"/>
  <c r="T449" i="7"/>
  <c r="O450" i="7"/>
  <c r="P450" i="7"/>
  <c r="Q450" i="7"/>
  <c r="R450" i="7"/>
  <c r="S450" i="7"/>
  <c r="T450" i="7"/>
  <c r="O451" i="7"/>
  <c r="P451" i="7"/>
  <c r="Q451" i="7"/>
  <c r="R451" i="7"/>
  <c r="S451" i="7"/>
  <c r="T451" i="7"/>
  <c r="O452" i="7"/>
  <c r="P452" i="7"/>
  <c r="Q452" i="7"/>
  <c r="R452" i="7"/>
  <c r="S452" i="7"/>
  <c r="T452" i="7"/>
  <c r="O453" i="7"/>
  <c r="P453" i="7"/>
  <c r="Q453" i="7"/>
  <c r="R453" i="7"/>
  <c r="S453" i="7"/>
  <c r="T453" i="7"/>
  <c r="O454" i="7"/>
  <c r="P454" i="7"/>
  <c r="Q454" i="7"/>
  <c r="R454" i="7"/>
  <c r="S454" i="7"/>
  <c r="T454" i="7"/>
  <c r="O455" i="7"/>
  <c r="P455" i="7"/>
  <c r="Q455" i="7"/>
  <c r="R455" i="7"/>
  <c r="S455" i="7"/>
  <c r="T455" i="7"/>
  <c r="O456" i="7"/>
  <c r="P456" i="7"/>
  <c r="Q456" i="7"/>
  <c r="R456" i="7"/>
  <c r="S456" i="7"/>
  <c r="T456" i="7"/>
  <c r="O457" i="7"/>
  <c r="P457" i="7"/>
  <c r="Q457" i="7"/>
  <c r="R457" i="7"/>
  <c r="S457" i="7"/>
  <c r="T457" i="7"/>
  <c r="O458" i="7"/>
  <c r="P458" i="7"/>
  <c r="Q458" i="7"/>
  <c r="R458" i="7"/>
  <c r="S458" i="7"/>
  <c r="T458" i="7"/>
  <c r="O459" i="7"/>
  <c r="P459" i="7"/>
  <c r="Q459" i="7"/>
  <c r="R459" i="7"/>
  <c r="S459" i="7"/>
  <c r="T459" i="7"/>
  <c r="O460" i="7"/>
  <c r="P460" i="7"/>
  <c r="Q460" i="7"/>
  <c r="R460" i="7"/>
  <c r="S460" i="7"/>
  <c r="T460" i="7"/>
  <c r="O461" i="7"/>
  <c r="P461" i="7"/>
  <c r="Q461" i="7"/>
  <c r="R461" i="7"/>
  <c r="S461" i="7"/>
  <c r="T461" i="7"/>
  <c r="O462" i="7"/>
  <c r="P462" i="7"/>
  <c r="Q462" i="7"/>
  <c r="R462" i="7"/>
  <c r="S462" i="7"/>
  <c r="T462" i="7"/>
  <c r="O463" i="7"/>
  <c r="P463" i="7"/>
  <c r="Q463" i="7"/>
  <c r="R463" i="7"/>
  <c r="S463" i="7"/>
  <c r="T463" i="7"/>
  <c r="O464" i="7"/>
  <c r="P464" i="7"/>
  <c r="Q464" i="7"/>
  <c r="R464" i="7"/>
  <c r="S464" i="7"/>
  <c r="T464" i="7"/>
  <c r="O465" i="7"/>
  <c r="P465" i="7"/>
  <c r="Q465" i="7"/>
  <c r="R465" i="7"/>
  <c r="S465" i="7"/>
  <c r="T465" i="7"/>
  <c r="O466" i="7"/>
  <c r="P466" i="7"/>
  <c r="Q466" i="7"/>
  <c r="R466" i="7"/>
  <c r="S466" i="7"/>
  <c r="T466" i="7"/>
  <c r="O467" i="7"/>
  <c r="P467" i="7"/>
  <c r="Q467" i="7"/>
  <c r="R467" i="7"/>
  <c r="S467" i="7"/>
  <c r="T467" i="7"/>
  <c r="O468" i="7"/>
  <c r="P468" i="7"/>
  <c r="Q468" i="7"/>
  <c r="R468" i="7"/>
  <c r="S468" i="7"/>
  <c r="T468" i="7"/>
  <c r="O469" i="7"/>
  <c r="P469" i="7"/>
  <c r="Q469" i="7"/>
  <c r="R469" i="7"/>
  <c r="S469" i="7"/>
  <c r="T469" i="7"/>
  <c r="O470" i="7"/>
  <c r="P470" i="7"/>
  <c r="Q470" i="7"/>
  <c r="R470" i="7"/>
  <c r="S470" i="7"/>
  <c r="T470" i="7"/>
  <c r="O471" i="7"/>
  <c r="P471" i="7"/>
  <c r="Q471" i="7"/>
  <c r="R471" i="7"/>
  <c r="S471" i="7"/>
  <c r="T471" i="7"/>
  <c r="O472" i="7"/>
  <c r="P472" i="7"/>
  <c r="Q472" i="7"/>
  <c r="R472" i="7"/>
  <c r="S472" i="7"/>
  <c r="T472" i="7"/>
  <c r="O473" i="7"/>
  <c r="P473" i="7"/>
  <c r="Q473" i="7"/>
  <c r="R473" i="7"/>
  <c r="S473" i="7"/>
  <c r="T473" i="7"/>
  <c r="O474" i="7"/>
  <c r="P474" i="7"/>
  <c r="Q474" i="7"/>
  <c r="R474" i="7"/>
  <c r="S474" i="7"/>
  <c r="T474" i="7"/>
  <c r="O475" i="7"/>
  <c r="P475" i="7"/>
  <c r="Q475" i="7"/>
  <c r="R475" i="7"/>
  <c r="S475" i="7"/>
  <c r="T475" i="7"/>
  <c r="O476" i="7"/>
  <c r="P476" i="7"/>
  <c r="Q476" i="7"/>
  <c r="R476" i="7"/>
  <c r="S476" i="7"/>
  <c r="T476" i="7"/>
  <c r="O477" i="7"/>
  <c r="P477" i="7"/>
  <c r="Q477" i="7"/>
  <c r="R477" i="7"/>
  <c r="S477" i="7"/>
  <c r="T477" i="7"/>
  <c r="O478" i="7"/>
  <c r="P478" i="7"/>
  <c r="Q478" i="7"/>
  <c r="R478" i="7"/>
  <c r="S478" i="7"/>
  <c r="T478" i="7"/>
  <c r="O479" i="7"/>
  <c r="P479" i="7"/>
  <c r="Q479" i="7"/>
  <c r="R479" i="7"/>
  <c r="S479" i="7"/>
  <c r="T479" i="7"/>
  <c r="O480" i="7"/>
  <c r="P480" i="7"/>
  <c r="Q480" i="7"/>
  <c r="R480" i="7"/>
  <c r="S480" i="7"/>
  <c r="T480" i="7"/>
  <c r="O481" i="7"/>
  <c r="P481" i="7"/>
  <c r="Q481" i="7"/>
  <c r="R481" i="7"/>
  <c r="S481" i="7"/>
  <c r="T481" i="7"/>
  <c r="O482" i="7"/>
  <c r="P482" i="7"/>
  <c r="Q482" i="7"/>
  <c r="R482" i="7"/>
  <c r="S482" i="7"/>
  <c r="T482" i="7"/>
  <c r="O483" i="7"/>
  <c r="P483" i="7"/>
  <c r="Q483" i="7"/>
  <c r="R483" i="7"/>
  <c r="S483" i="7"/>
  <c r="T483" i="7"/>
  <c r="O484" i="7"/>
  <c r="P484" i="7"/>
  <c r="Q484" i="7"/>
  <c r="R484" i="7"/>
  <c r="S484" i="7"/>
  <c r="T484" i="7"/>
  <c r="O485" i="7"/>
  <c r="P485" i="7"/>
  <c r="Q485" i="7"/>
  <c r="R485" i="7"/>
  <c r="S485" i="7"/>
  <c r="T485" i="7"/>
  <c r="O486" i="7"/>
  <c r="P486" i="7"/>
  <c r="Q486" i="7"/>
  <c r="R486" i="7"/>
  <c r="S486" i="7"/>
  <c r="T486" i="7"/>
  <c r="O487" i="7"/>
  <c r="P487" i="7"/>
  <c r="Q487" i="7"/>
  <c r="R487" i="7"/>
  <c r="S487" i="7"/>
  <c r="T487" i="7"/>
  <c r="O488" i="7"/>
  <c r="P488" i="7"/>
  <c r="Q488" i="7"/>
  <c r="R488" i="7"/>
  <c r="S488" i="7"/>
  <c r="T488" i="7"/>
  <c r="O489" i="7"/>
  <c r="P489" i="7"/>
  <c r="Q489" i="7"/>
  <c r="R489" i="7"/>
  <c r="S489" i="7"/>
  <c r="T489" i="7"/>
  <c r="O490" i="7"/>
  <c r="P490" i="7"/>
  <c r="Q490" i="7"/>
  <c r="R490" i="7"/>
  <c r="S490" i="7"/>
  <c r="T490" i="7"/>
  <c r="O491" i="7"/>
  <c r="P491" i="7"/>
  <c r="Q491" i="7"/>
  <c r="R491" i="7"/>
  <c r="S491" i="7"/>
  <c r="T491" i="7"/>
  <c r="O492" i="7"/>
  <c r="P492" i="7"/>
  <c r="Q492" i="7"/>
  <c r="R492" i="7"/>
  <c r="S492" i="7"/>
  <c r="T492" i="7"/>
  <c r="O388" i="7"/>
  <c r="P388" i="7"/>
  <c r="Q388" i="7"/>
  <c r="R388" i="7"/>
  <c r="S388" i="7"/>
  <c r="T388" i="7"/>
  <c r="O389" i="7"/>
  <c r="P389" i="7"/>
  <c r="Q389" i="7"/>
  <c r="R389" i="7"/>
  <c r="S389" i="7"/>
  <c r="T389" i="7"/>
  <c r="O390" i="7"/>
  <c r="P390" i="7"/>
  <c r="Q390" i="7"/>
  <c r="R390" i="7"/>
  <c r="S390" i="7"/>
  <c r="T390" i="7"/>
  <c r="O391" i="7"/>
  <c r="P391" i="7"/>
  <c r="Q391" i="7"/>
  <c r="R391" i="7"/>
  <c r="S391" i="7"/>
  <c r="T391" i="7"/>
  <c r="O392" i="7"/>
  <c r="P392" i="7"/>
  <c r="Q392" i="7"/>
  <c r="R392" i="7"/>
  <c r="S392" i="7"/>
  <c r="T392" i="7"/>
  <c r="O393" i="7"/>
  <c r="P393" i="7"/>
  <c r="Q393" i="7"/>
  <c r="R393" i="7"/>
  <c r="S393" i="7"/>
  <c r="T393" i="7"/>
  <c r="O394" i="7"/>
  <c r="P394" i="7"/>
  <c r="Q394" i="7"/>
  <c r="R394" i="7"/>
  <c r="S394" i="7"/>
  <c r="T394" i="7"/>
  <c r="O395" i="7"/>
  <c r="P395" i="7"/>
  <c r="Q395" i="7"/>
  <c r="R395" i="7"/>
  <c r="S395" i="7"/>
  <c r="T395" i="7"/>
  <c r="O396" i="7"/>
  <c r="P396" i="7"/>
  <c r="Q396" i="7"/>
  <c r="R396" i="7"/>
  <c r="S396" i="7"/>
  <c r="T396" i="7"/>
  <c r="O397" i="7"/>
  <c r="P397" i="7"/>
  <c r="Q397" i="7"/>
  <c r="R397" i="7"/>
  <c r="S397" i="7"/>
  <c r="T397" i="7"/>
  <c r="O398" i="7"/>
  <c r="P398" i="7"/>
  <c r="Q398" i="7"/>
  <c r="R398" i="7"/>
  <c r="S398" i="7"/>
  <c r="T398" i="7"/>
  <c r="O399" i="7"/>
  <c r="P399" i="7"/>
  <c r="Q399" i="7"/>
  <c r="R399" i="7"/>
  <c r="S399" i="7"/>
  <c r="T399" i="7"/>
  <c r="O400" i="7"/>
  <c r="P400" i="7"/>
  <c r="Q400" i="7"/>
  <c r="R400" i="7"/>
  <c r="S400" i="7"/>
  <c r="T400" i="7"/>
  <c r="O401" i="7"/>
  <c r="P401" i="7"/>
  <c r="Q401" i="7"/>
  <c r="R401" i="7"/>
  <c r="S401" i="7"/>
  <c r="T401" i="7"/>
  <c r="O402" i="7"/>
  <c r="P402" i="7"/>
  <c r="Q402" i="7"/>
  <c r="R402" i="7"/>
  <c r="S402" i="7"/>
  <c r="T402" i="7"/>
  <c r="O403" i="7"/>
  <c r="P403" i="7"/>
  <c r="Q403" i="7"/>
  <c r="R403" i="7"/>
  <c r="S403" i="7"/>
  <c r="T403" i="7"/>
  <c r="O404" i="7"/>
  <c r="P404" i="7"/>
  <c r="Q404" i="7"/>
  <c r="R404" i="7"/>
  <c r="S404" i="7"/>
  <c r="T404" i="7"/>
  <c r="O405" i="7"/>
  <c r="P405" i="7"/>
  <c r="Q405" i="7"/>
  <c r="R405" i="7"/>
  <c r="S405" i="7"/>
  <c r="T405" i="7"/>
  <c r="O406" i="7"/>
  <c r="P406" i="7"/>
  <c r="Q406" i="7"/>
  <c r="R406" i="7"/>
  <c r="S406" i="7"/>
  <c r="T406" i="7"/>
  <c r="O407" i="7"/>
  <c r="P407" i="7"/>
  <c r="Q407" i="7"/>
  <c r="R407" i="7"/>
  <c r="S407" i="7"/>
  <c r="T407" i="7"/>
  <c r="O408" i="7"/>
  <c r="P408" i="7"/>
  <c r="Q408" i="7"/>
  <c r="R408" i="7"/>
  <c r="S408" i="7"/>
  <c r="T408" i="7"/>
  <c r="O409" i="7"/>
  <c r="P409" i="7"/>
  <c r="Q409" i="7"/>
  <c r="R409" i="7"/>
  <c r="S409" i="7"/>
  <c r="T409" i="7"/>
  <c r="O410" i="7"/>
  <c r="P410" i="7"/>
  <c r="Q410" i="7"/>
  <c r="R410" i="7"/>
  <c r="S410" i="7"/>
  <c r="T410" i="7"/>
  <c r="O411" i="7"/>
  <c r="P411" i="7"/>
  <c r="Q411" i="7"/>
  <c r="R411" i="7"/>
  <c r="S411" i="7"/>
  <c r="T411" i="7"/>
  <c r="O412" i="7"/>
  <c r="P412" i="7"/>
  <c r="Q412" i="7"/>
  <c r="R412" i="7"/>
  <c r="S412" i="7"/>
  <c r="T412" i="7"/>
  <c r="O413" i="7"/>
  <c r="P413" i="7"/>
  <c r="Q413" i="7"/>
  <c r="R413" i="7"/>
  <c r="S413" i="7"/>
  <c r="T413" i="7"/>
  <c r="O414" i="7"/>
  <c r="P414" i="7"/>
  <c r="Q414" i="7"/>
  <c r="R414" i="7"/>
  <c r="S414" i="7"/>
  <c r="T414" i="7"/>
  <c r="O415" i="7"/>
  <c r="P415" i="7"/>
  <c r="Q415" i="7"/>
  <c r="R415" i="7"/>
  <c r="S415" i="7"/>
  <c r="T415" i="7"/>
  <c r="O416" i="7"/>
  <c r="P416" i="7"/>
  <c r="Q416" i="7"/>
  <c r="R416" i="7"/>
  <c r="S416" i="7"/>
  <c r="T416" i="7"/>
  <c r="O417" i="7"/>
  <c r="P417" i="7"/>
  <c r="Q417" i="7"/>
  <c r="R417" i="7"/>
  <c r="S417" i="7"/>
  <c r="T417" i="7"/>
  <c r="O418" i="7"/>
  <c r="P418" i="7"/>
  <c r="Q418" i="7"/>
  <c r="R418" i="7"/>
  <c r="S418" i="7"/>
  <c r="T418" i="7"/>
  <c r="O419" i="7"/>
  <c r="P419" i="7"/>
  <c r="Q419" i="7"/>
  <c r="R419" i="7"/>
  <c r="S419" i="7"/>
  <c r="T419" i="7"/>
  <c r="O420" i="7"/>
  <c r="P420" i="7"/>
  <c r="Q420" i="7"/>
  <c r="R420" i="7"/>
  <c r="S420" i="7"/>
  <c r="T420" i="7"/>
  <c r="O421" i="7"/>
  <c r="P421" i="7"/>
  <c r="Q421" i="7"/>
  <c r="R421" i="7"/>
  <c r="S421" i="7"/>
  <c r="T421" i="7"/>
  <c r="O422" i="7"/>
  <c r="P422" i="7"/>
  <c r="Q422" i="7"/>
  <c r="R422" i="7"/>
  <c r="S422" i="7"/>
  <c r="T422" i="7"/>
  <c r="O423" i="7"/>
  <c r="P423" i="7"/>
  <c r="Q423" i="7"/>
  <c r="R423" i="7"/>
  <c r="S423" i="7"/>
  <c r="T423" i="7"/>
  <c r="O424" i="7"/>
  <c r="P424" i="7"/>
  <c r="Q424" i="7"/>
  <c r="R424" i="7"/>
  <c r="S424" i="7"/>
  <c r="T424" i="7"/>
  <c r="O425" i="7"/>
  <c r="P425" i="7"/>
  <c r="Q425" i="7"/>
  <c r="R425" i="7"/>
  <c r="S425" i="7"/>
  <c r="T425" i="7"/>
  <c r="O426" i="7"/>
  <c r="P426" i="7"/>
  <c r="Q426" i="7"/>
  <c r="R426" i="7"/>
  <c r="S426" i="7"/>
  <c r="T426" i="7"/>
  <c r="O427" i="7"/>
  <c r="P427" i="7"/>
  <c r="Q427" i="7"/>
  <c r="R427" i="7"/>
  <c r="S427" i="7"/>
  <c r="T427" i="7"/>
  <c r="O428" i="7"/>
  <c r="P428" i="7"/>
  <c r="Q428" i="7"/>
  <c r="R428" i="7"/>
  <c r="S428" i="7"/>
  <c r="T428" i="7"/>
  <c r="O429" i="7"/>
  <c r="P429" i="7"/>
  <c r="Q429" i="7"/>
  <c r="R429" i="7"/>
  <c r="S429" i="7"/>
  <c r="T429" i="7"/>
  <c r="O430" i="7"/>
  <c r="P430" i="7"/>
  <c r="Q430" i="7"/>
  <c r="R430" i="7"/>
  <c r="S430" i="7"/>
  <c r="T430" i="7"/>
  <c r="O431" i="7"/>
  <c r="P431" i="7"/>
  <c r="Q431" i="7"/>
  <c r="R431" i="7"/>
  <c r="S431" i="7"/>
  <c r="T431" i="7"/>
  <c r="O432" i="7"/>
  <c r="P432" i="7"/>
  <c r="Q432" i="7"/>
  <c r="R432" i="7"/>
  <c r="S432" i="7"/>
  <c r="T432" i="7"/>
  <c r="O433" i="7"/>
  <c r="P433" i="7"/>
  <c r="Q433" i="7"/>
  <c r="R433" i="7"/>
  <c r="S433" i="7"/>
  <c r="T433" i="7"/>
  <c r="O434" i="7"/>
  <c r="P434" i="7"/>
  <c r="Q434" i="7"/>
  <c r="R434" i="7"/>
  <c r="S434" i="7"/>
  <c r="T434" i="7"/>
  <c r="O435" i="7"/>
  <c r="P435" i="7"/>
  <c r="Q435" i="7"/>
  <c r="R435" i="7"/>
  <c r="S435" i="7"/>
  <c r="T435" i="7"/>
  <c r="O436" i="7"/>
  <c r="P436" i="7"/>
  <c r="Q436" i="7"/>
  <c r="R436" i="7"/>
  <c r="S436" i="7"/>
  <c r="T436" i="7"/>
  <c r="O437" i="7"/>
  <c r="P437" i="7"/>
  <c r="Q437" i="7"/>
  <c r="R437" i="7"/>
  <c r="S437" i="7"/>
  <c r="T437" i="7"/>
  <c r="O438" i="7"/>
  <c r="P438" i="7"/>
  <c r="Q438" i="7"/>
  <c r="R438" i="7"/>
  <c r="S438" i="7"/>
  <c r="T438" i="7"/>
  <c r="O337" i="7"/>
  <c r="P337" i="7"/>
  <c r="Q337" i="7"/>
  <c r="R337" i="7"/>
  <c r="S337" i="7"/>
  <c r="T337" i="7"/>
  <c r="O338" i="7"/>
  <c r="P338" i="7"/>
  <c r="Q338" i="7"/>
  <c r="R338" i="7"/>
  <c r="S338" i="7"/>
  <c r="T338" i="7"/>
  <c r="O339" i="7"/>
  <c r="P339" i="7"/>
  <c r="Q339" i="7"/>
  <c r="R339" i="7"/>
  <c r="S339" i="7"/>
  <c r="T339" i="7"/>
  <c r="O340" i="7"/>
  <c r="P340" i="7"/>
  <c r="Q340" i="7"/>
  <c r="R340" i="7"/>
  <c r="S340" i="7"/>
  <c r="T340" i="7"/>
  <c r="O341" i="7"/>
  <c r="P341" i="7"/>
  <c r="Q341" i="7"/>
  <c r="R341" i="7"/>
  <c r="S341" i="7"/>
  <c r="T341" i="7"/>
  <c r="O342" i="7"/>
  <c r="P342" i="7"/>
  <c r="Q342" i="7"/>
  <c r="R342" i="7"/>
  <c r="S342" i="7"/>
  <c r="T342" i="7"/>
  <c r="O343" i="7"/>
  <c r="P343" i="7"/>
  <c r="Q343" i="7"/>
  <c r="R343" i="7"/>
  <c r="S343" i="7"/>
  <c r="T343" i="7"/>
  <c r="O344" i="7"/>
  <c r="P344" i="7"/>
  <c r="Q344" i="7"/>
  <c r="R344" i="7"/>
  <c r="S344" i="7"/>
  <c r="T344" i="7"/>
  <c r="O345" i="7"/>
  <c r="P345" i="7"/>
  <c r="Q345" i="7"/>
  <c r="R345" i="7"/>
  <c r="S345" i="7"/>
  <c r="T345" i="7"/>
  <c r="O346" i="7"/>
  <c r="P346" i="7"/>
  <c r="Q346" i="7"/>
  <c r="R346" i="7"/>
  <c r="S346" i="7"/>
  <c r="T346" i="7"/>
  <c r="O347" i="7"/>
  <c r="P347" i="7"/>
  <c r="Q347" i="7"/>
  <c r="R347" i="7"/>
  <c r="S347" i="7"/>
  <c r="T347" i="7"/>
  <c r="O348" i="7"/>
  <c r="P348" i="7"/>
  <c r="Q348" i="7"/>
  <c r="R348" i="7"/>
  <c r="S348" i="7"/>
  <c r="T348" i="7"/>
  <c r="O349" i="7"/>
  <c r="P349" i="7"/>
  <c r="Q349" i="7"/>
  <c r="R349" i="7"/>
  <c r="S349" i="7"/>
  <c r="T349" i="7"/>
  <c r="O350" i="7"/>
  <c r="P350" i="7"/>
  <c r="Q350" i="7"/>
  <c r="R350" i="7"/>
  <c r="S350" i="7"/>
  <c r="T350" i="7"/>
  <c r="O351" i="7"/>
  <c r="P351" i="7"/>
  <c r="Q351" i="7"/>
  <c r="R351" i="7"/>
  <c r="S351" i="7"/>
  <c r="T351" i="7"/>
  <c r="O352" i="7"/>
  <c r="P352" i="7"/>
  <c r="Q352" i="7"/>
  <c r="R352" i="7"/>
  <c r="S352" i="7"/>
  <c r="T352" i="7"/>
  <c r="O353" i="7"/>
  <c r="P353" i="7"/>
  <c r="Q353" i="7"/>
  <c r="R353" i="7"/>
  <c r="S353" i="7"/>
  <c r="T353" i="7"/>
  <c r="O354" i="7"/>
  <c r="P354" i="7"/>
  <c r="Q354" i="7"/>
  <c r="R354" i="7"/>
  <c r="S354" i="7"/>
  <c r="T354" i="7"/>
  <c r="O355" i="7"/>
  <c r="P355" i="7"/>
  <c r="Q355" i="7"/>
  <c r="R355" i="7"/>
  <c r="S355" i="7"/>
  <c r="T355" i="7"/>
  <c r="O356" i="7"/>
  <c r="P356" i="7"/>
  <c r="Q356" i="7"/>
  <c r="R356" i="7"/>
  <c r="S356" i="7"/>
  <c r="T356" i="7"/>
  <c r="O357" i="7"/>
  <c r="P357" i="7"/>
  <c r="Q357" i="7"/>
  <c r="R357" i="7"/>
  <c r="S357" i="7"/>
  <c r="T357" i="7"/>
  <c r="O358" i="7"/>
  <c r="P358" i="7"/>
  <c r="Q358" i="7"/>
  <c r="R358" i="7"/>
  <c r="S358" i="7"/>
  <c r="T358" i="7"/>
  <c r="O359" i="7"/>
  <c r="P359" i="7"/>
  <c r="Q359" i="7"/>
  <c r="R359" i="7"/>
  <c r="S359" i="7"/>
  <c r="T359" i="7"/>
  <c r="O360" i="7"/>
  <c r="P360" i="7"/>
  <c r="Q360" i="7"/>
  <c r="R360" i="7"/>
  <c r="S360" i="7"/>
  <c r="T360" i="7"/>
  <c r="O361" i="7"/>
  <c r="P361" i="7"/>
  <c r="Q361" i="7"/>
  <c r="R361" i="7"/>
  <c r="S361" i="7"/>
  <c r="T361" i="7"/>
  <c r="O362" i="7"/>
  <c r="P362" i="7"/>
  <c r="Q362" i="7"/>
  <c r="R362" i="7"/>
  <c r="S362" i="7"/>
  <c r="T362" i="7"/>
  <c r="O363" i="7"/>
  <c r="P363" i="7"/>
  <c r="Q363" i="7"/>
  <c r="R363" i="7"/>
  <c r="S363" i="7"/>
  <c r="T363" i="7"/>
  <c r="O364" i="7"/>
  <c r="P364" i="7"/>
  <c r="Q364" i="7"/>
  <c r="R364" i="7"/>
  <c r="S364" i="7"/>
  <c r="T364" i="7"/>
  <c r="O365" i="7"/>
  <c r="P365" i="7"/>
  <c r="Q365" i="7"/>
  <c r="R365" i="7"/>
  <c r="S365" i="7"/>
  <c r="T365" i="7"/>
  <c r="O366" i="7"/>
  <c r="P366" i="7"/>
  <c r="Q366" i="7"/>
  <c r="R366" i="7"/>
  <c r="S366" i="7"/>
  <c r="T366" i="7"/>
  <c r="O367" i="7"/>
  <c r="P367" i="7"/>
  <c r="Q367" i="7"/>
  <c r="R367" i="7"/>
  <c r="S367" i="7"/>
  <c r="T367" i="7"/>
  <c r="O368" i="7"/>
  <c r="P368" i="7"/>
  <c r="Q368" i="7"/>
  <c r="R368" i="7"/>
  <c r="S368" i="7"/>
  <c r="T368" i="7"/>
  <c r="O369" i="7"/>
  <c r="P369" i="7"/>
  <c r="Q369" i="7"/>
  <c r="R369" i="7"/>
  <c r="S369" i="7"/>
  <c r="T369" i="7"/>
  <c r="O370" i="7"/>
  <c r="P370" i="7"/>
  <c r="Q370" i="7"/>
  <c r="R370" i="7"/>
  <c r="S370" i="7"/>
  <c r="T370" i="7"/>
  <c r="O371" i="7"/>
  <c r="P371" i="7"/>
  <c r="Q371" i="7"/>
  <c r="R371" i="7"/>
  <c r="S371" i="7"/>
  <c r="T371" i="7"/>
  <c r="O372" i="7"/>
  <c r="P372" i="7"/>
  <c r="Q372" i="7"/>
  <c r="R372" i="7"/>
  <c r="S372" i="7"/>
  <c r="T372" i="7"/>
  <c r="O373" i="7"/>
  <c r="P373" i="7"/>
  <c r="Q373" i="7"/>
  <c r="R373" i="7"/>
  <c r="S373" i="7"/>
  <c r="T373" i="7"/>
  <c r="O374" i="7"/>
  <c r="P374" i="7"/>
  <c r="Q374" i="7"/>
  <c r="R374" i="7"/>
  <c r="S374" i="7"/>
  <c r="T374" i="7"/>
  <c r="O375" i="7"/>
  <c r="P375" i="7"/>
  <c r="Q375" i="7"/>
  <c r="R375" i="7"/>
  <c r="S375" i="7"/>
  <c r="T375" i="7"/>
  <c r="O376" i="7"/>
  <c r="P376" i="7"/>
  <c r="Q376" i="7"/>
  <c r="R376" i="7"/>
  <c r="S376" i="7"/>
  <c r="T376" i="7"/>
  <c r="O377" i="7"/>
  <c r="P377" i="7"/>
  <c r="Q377" i="7"/>
  <c r="R377" i="7"/>
  <c r="S377" i="7"/>
  <c r="T377" i="7"/>
  <c r="O378" i="7"/>
  <c r="P378" i="7"/>
  <c r="Q378" i="7"/>
  <c r="R378" i="7"/>
  <c r="S378" i="7"/>
  <c r="T378" i="7"/>
  <c r="O379" i="7"/>
  <c r="P379" i="7"/>
  <c r="Q379" i="7"/>
  <c r="R379" i="7"/>
  <c r="S379" i="7"/>
  <c r="T379" i="7"/>
  <c r="O380" i="7"/>
  <c r="P380" i="7"/>
  <c r="Q380" i="7"/>
  <c r="R380" i="7"/>
  <c r="S380" i="7"/>
  <c r="T380" i="7"/>
  <c r="O381" i="7"/>
  <c r="P381" i="7"/>
  <c r="Q381" i="7"/>
  <c r="R381" i="7"/>
  <c r="S381" i="7"/>
  <c r="T381" i="7"/>
  <c r="O382" i="7"/>
  <c r="P382" i="7"/>
  <c r="Q382" i="7"/>
  <c r="R382" i="7"/>
  <c r="S382" i="7"/>
  <c r="T382" i="7"/>
  <c r="O383" i="7"/>
  <c r="P383" i="7"/>
  <c r="Q383" i="7"/>
  <c r="R383" i="7"/>
  <c r="S383" i="7"/>
  <c r="T383" i="7"/>
  <c r="O384" i="7"/>
  <c r="P384" i="7"/>
  <c r="Q384" i="7"/>
  <c r="R384" i="7"/>
  <c r="S384" i="7"/>
  <c r="T384" i="7"/>
  <c r="O385" i="7"/>
  <c r="P385" i="7"/>
  <c r="Q385" i="7"/>
  <c r="R385" i="7"/>
  <c r="S385" i="7"/>
  <c r="T385" i="7"/>
  <c r="O386" i="7"/>
  <c r="P386" i="7"/>
  <c r="Q386" i="7"/>
  <c r="R386" i="7"/>
  <c r="S386" i="7"/>
  <c r="T386" i="7"/>
  <c r="O387" i="7"/>
  <c r="P387" i="7"/>
  <c r="Q387" i="7"/>
  <c r="R387" i="7"/>
  <c r="S387" i="7"/>
  <c r="T387" i="7"/>
  <c r="O286" i="7"/>
  <c r="P286" i="7"/>
  <c r="Q286" i="7"/>
  <c r="R286" i="7"/>
  <c r="S286" i="7"/>
  <c r="T286" i="7"/>
  <c r="O287" i="7"/>
  <c r="P287" i="7"/>
  <c r="Q287" i="7"/>
  <c r="R287" i="7"/>
  <c r="S287" i="7"/>
  <c r="T287" i="7"/>
  <c r="O288" i="7"/>
  <c r="P288" i="7"/>
  <c r="Q288" i="7"/>
  <c r="R288" i="7"/>
  <c r="S288" i="7"/>
  <c r="T288" i="7"/>
  <c r="O289" i="7"/>
  <c r="P289" i="7"/>
  <c r="Q289" i="7"/>
  <c r="R289" i="7"/>
  <c r="S289" i="7"/>
  <c r="T289" i="7"/>
  <c r="O290" i="7"/>
  <c r="P290" i="7"/>
  <c r="Q290" i="7"/>
  <c r="R290" i="7"/>
  <c r="S290" i="7"/>
  <c r="T290" i="7"/>
  <c r="O291" i="7"/>
  <c r="P291" i="7"/>
  <c r="Q291" i="7"/>
  <c r="R291" i="7"/>
  <c r="S291" i="7"/>
  <c r="T291" i="7"/>
  <c r="O292" i="7"/>
  <c r="P292" i="7"/>
  <c r="Q292" i="7"/>
  <c r="R292" i="7"/>
  <c r="S292" i="7"/>
  <c r="T292" i="7"/>
  <c r="O293" i="7"/>
  <c r="P293" i="7"/>
  <c r="Q293" i="7"/>
  <c r="R293" i="7"/>
  <c r="S293" i="7"/>
  <c r="T293" i="7"/>
  <c r="O294" i="7"/>
  <c r="P294" i="7"/>
  <c r="Q294" i="7"/>
  <c r="R294" i="7"/>
  <c r="S294" i="7"/>
  <c r="T294" i="7"/>
  <c r="O295" i="7"/>
  <c r="P295" i="7"/>
  <c r="Q295" i="7"/>
  <c r="R295" i="7"/>
  <c r="S295" i="7"/>
  <c r="T295" i="7"/>
  <c r="O296" i="7"/>
  <c r="P296" i="7"/>
  <c r="Q296" i="7"/>
  <c r="R296" i="7"/>
  <c r="S296" i="7"/>
  <c r="T296" i="7"/>
  <c r="O297" i="7"/>
  <c r="P297" i="7"/>
  <c r="Q297" i="7"/>
  <c r="R297" i="7"/>
  <c r="S297" i="7"/>
  <c r="T297" i="7"/>
  <c r="O298" i="7"/>
  <c r="P298" i="7"/>
  <c r="Q298" i="7"/>
  <c r="R298" i="7"/>
  <c r="S298" i="7"/>
  <c r="T298" i="7"/>
  <c r="O299" i="7"/>
  <c r="P299" i="7"/>
  <c r="Q299" i="7"/>
  <c r="R299" i="7"/>
  <c r="S299" i="7"/>
  <c r="T299" i="7"/>
  <c r="O300" i="7"/>
  <c r="P300" i="7"/>
  <c r="Q300" i="7"/>
  <c r="R300" i="7"/>
  <c r="S300" i="7"/>
  <c r="T300" i="7"/>
  <c r="O301" i="7"/>
  <c r="P301" i="7"/>
  <c r="Q301" i="7"/>
  <c r="R301" i="7"/>
  <c r="S301" i="7"/>
  <c r="T301" i="7"/>
  <c r="O302" i="7"/>
  <c r="P302" i="7"/>
  <c r="Q302" i="7"/>
  <c r="R302" i="7"/>
  <c r="S302" i="7"/>
  <c r="T302" i="7"/>
  <c r="O303" i="7"/>
  <c r="P303" i="7"/>
  <c r="Q303" i="7"/>
  <c r="R303" i="7"/>
  <c r="S303" i="7"/>
  <c r="T303" i="7"/>
  <c r="O304" i="7"/>
  <c r="P304" i="7"/>
  <c r="Q304" i="7"/>
  <c r="R304" i="7"/>
  <c r="S304" i="7"/>
  <c r="T304" i="7"/>
  <c r="O305" i="7"/>
  <c r="P305" i="7"/>
  <c r="Q305" i="7"/>
  <c r="R305" i="7"/>
  <c r="S305" i="7"/>
  <c r="T305" i="7"/>
  <c r="O306" i="7"/>
  <c r="P306" i="7"/>
  <c r="Q306" i="7"/>
  <c r="R306" i="7"/>
  <c r="S306" i="7"/>
  <c r="T306" i="7"/>
  <c r="O307" i="7"/>
  <c r="P307" i="7"/>
  <c r="Q307" i="7"/>
  <c r="R307" i="7"/>
  <c r="S307" i="7"/>
  <c r="T307" i="7"/>
  <c r="O308" i="7"/>
  <c r="P308" i="7"/>
  <c r="Q308" i="7"/>
  <c r="R308" i="7"/>
  <c r="S308" i="7"/>
  <c r="T308" i="7"/>
  <c r="O309" i="7"/>
  <c r="P309" i="7"/>
  <c r="Q309" i="7"/>
  <c r="R309" i="7"/>
  <c r="S309" i="7"/>
  <c r="T309" i="7"/>
  <c r="O310" i="7"/>
  <c r="P310" i="7"/>
  <c r="Q310" i="7"/>
  <c r="R310" i="7"/>
  <c r="S310" i="7"/>
  <c r="T310" i="7"/>
  <c r="O311" i="7"/>
  <c r="P311" i="7"/>
  <c r="Q311" i="7"/>
  <c r="R311" i="7"/>
  <c r="S311" i="7"/>
  <c r="T311" i="7"/>
  <c r="O312" i="7"/>
  <c r="P312" i="7"/>
  <c r="Q312" i="7"/>
  <c r="R312" i="7"/>
  <c r="S312" i="7"/>
  <c r="T312" i="7"/>
  <c r="O313" i="7"/>
  <c r="P313" i="7"/>
  <c r="Q313" i="7"/>
  <c r="R313" i="7"/>
  <c r="S313" i="7"/>
  <c r="T313" i="7"/>
  <c r="O314" i="7"/>
  <c r="P314" i="7"/>
  <c r="Q314" i="7"/>
  <c r="R314" i="7"/>
  <c r="S314" i="7"/>
  <c r="T314" i="7"/>
  <c r="O315" i="7"/>
  <c r="P315" i="7"/>
  <c r="Q315" i="7"/>
  <c r="R315" i="7"/>
  <c r="S315" i="7"/>
  <c r="T315" i="7"/>
  <c r="O316" i="7"/>
  <c r="P316" i="7"/>
  <c r="Q316" i="7"/>
  <c r="R316" i="7"/>
  <c r="S316" i="7"/>
  <c r="T316" i="7"/>
  <c r="O317" i="7"/>
  <c r="P317" i="7"/>
  <c r="Q317" i="7"/>
  <c r="R317" i="7"/>
  <c r="S317" i="7"/>
  <c r="T317" i="7"/>
  <c r="O318" i="7"/>
  <c r="P318" i="7"/>
  <c r="Q318" i="7"/>
  <c r="R318" i="7"/>
  <c r="S318" i="7"/>
  <c r="T318" i="7"/>
  <c r="O319" i="7"/>
  <c r="P319" i="7"/>
  <c r="Q319" i="7"/>
  <c r="R319" i="7"/>
  <c r="S319" i="7"/>
  <c r="T319" i="7"/>
  <c r="O320" i="7"/>
  <c r="P320" i="7"/>
  <c r="Q320" i="7"/>
  <c r="R320" i="7"/>
  <c r="S320" i="7"/>
  <c r="T320" i="7"/>
  <c r="O321" i="7"/>
  <c r="P321" i="7"/>
  <c r="Q321" i="7"/>
  <c r="R321" i="7"/>
  <c r="S321" i="7"/>
  <c r="T321" i="7"/>
  <c r="O322" i="7"/>
  <c r="P322" i="7"/>
  <c r="Q322" i="7"/>
  <c r="R322" i="7"/>
  <c r="S322" i="7"/>
  <c r="T322" i="7"/>
  <c r="O323" i="7"/>
  <c r="P323" i="7"/>
  <c r="Q323" i="7"/>
  <c r="R323" i="7"/>
  <c r="S323" i="7"/>
  <c r="T323" i="7"/>
  <c r="O324" i="7"/>
  <c r="P324" i="7"/>
  <c r="Q324" i="7"/>
  <c r="R324" i="7"/>
  <c r="S324" i="7"/>
  <c r="T324" i="7"/>
  <c r="O325" i="7"/>
  <c r="P325" i="7"/>
  <c r="Q325" i="7"/>
  <c r="R325" i="7"/>
  <c r="S325" i="7"/>
  <c r="T325" i="7"/>
  <c r="O326" i="7"/>
  <c r="P326" i="7"/>
  <c r="Q326" i="7"/>
  <c r="R326" i="7"/>
  <c r="S326" i="7"/>
  <c r="T326" i="7"/>
  <c r="O327" i="7"/>
  <c r="P327" i="7"/>
  <c r="Q327" i="7"/>
  <c r="R327" i="7"/>
  <c r="S327" i="7"/>
  <c r="T327" i="7"/>
  <c r="O328" i="7"/>
  <c r="P328" i="7"/>
  <c r="Q328" i="7"/>
  <c r="R328" i="7"/>
  <c r="S328" i="7"/>
  <c r="T328" i="7"/>
  <c r="O329" i="7"/>
  <c r="P329" i="7"/>
  <c r="Q329" i="7"/>
  <c r="R329" i="7"/>
  <c r="S329" i="7"/>
  <c r="T329" i="7"/>
  <c r="O330" i="7"/>
  <c r="P330" i="7"/>
  <c r="Q330" i="7"/>
  <c r="R330" i="7"/>
  <c r="S330" i="7"/>
  <c r="T330" i="7"/>
  <c r="O331" i="7"/>
  <c r="P331" i="7"/>
  <c r="Q331" i="7"/>
  <c r="R331" i="7"/>
  <c r="S331" i="7"/>
  <c r="T331" i="7"/>
  <c r="O332" i="7"/>
  <c r="P332" i="7"/>
  <c r="Q332" i="7"/>
  <c r="R332" i="7"/>
  <c r="S332" i="7"/>
  <c r="T332" i="7"/>
  <c r="O333" i="7"/>
  <c r="P333" i="7"/>
  <c r="Q333" i="7"/>
  <c r="R333" i="7"/>
  <c r="S333" i="7"/>
  <c r="T333" i="7"/>
  <c r="O334" i="7"/>
  <c r="P334" i="7"/>
  <c r="Q334" i="7"/>
  <c r="R334" i="7"/>
  <c r="S334" i="7"/>
  <c r="T334" i="7"/>
  <c r="O335" i="7"/>
  <c r="P335" i="7"/>
  <c r="Q335" i="7"/>
  <c r="R335" i="7"/>
  <c r="S335" i="7"/>
  <c r="T335" i="7"/>
  <c r="O336" i="7"/>
  <c r="P336" i="7"/>
  <c r="Q336" i="7"/>
  <c r="R336" i="7"/>
  <c r="S336" i="7"/>
  <c r="T336" i="7"/>
  <c r="O235" i="7"/>
  <c r="P235" i="7"/>
  <c r="Q235" i="7"/>
  <c r="R235" i="7"/>
  <c r="S235" i="7"/>
  <c r="T235" i="7"/>
  <c r="O236" i="7"/>
  <c r="P236" i="7"/>
  <c r="Q236" i="7"/>
  <c r="R236" i="7"/>
  <c r="S236" i="7"/>
  <c r="T236" i="7"/>
  <c r="O237" i="7"/>
  <c r="P237" i="7"/>
  <c r="Q237" i="7"/>
  <c r="R237" i="7"/>
  <c r="S237" i="7"/>
  <c r="T237" i="7"/>
  <c r="O238" i="7"/>
  <c r="P238" i="7"/>
  <c r="Q238" i="7"/>
  <c r="R238" i="7"/>
  <c r="S238" i="7"/>
  <c r="T238" i="7"/>
  <c r="O239" i="7"/>
  <c r="P239" i="7"/>
  <c r="Q239" i="7"/>
  <c r="R239" i="7"/>
  <c r="S239" i="7"/>
  <c r="T239" i="7"/>
  <c r="O240" i="7"/>
  <c r="P240" i="7"/>
  <c r="Q240" i="7"/>
  <c r="R240" i="7"/>
  <c r="S240" i="7"/>
  <c r="T240" i="7"/>
  <c r="O241" i="7"/>
  <c r="P241" i="7"/>
  <c r="Q241" i="7"/>
  <c r="R241" i="7"/>
  <c r="S241" i="7"/>
  <c r="T241" i="7"/>
  <c r="O242" i="7"/>
  <c r="P242" i="7"/>
  <c r="Q242" i="7"/>
  <c r="R242" i="7"/>
  <c r="S242" i="7"/>
  <c r="T242" i="7"/>
  <c r="O243" i="7"/>
  <c r="P243" i="7"/>
  <c r="Q243" i="7"/>
  <c r="R243" i="7"/>
  <c r="S243" i="7"/>
  <c r="T243" i="7"/>
  <c r="O244" i="7"/>
  <c r="P244" i="7"/>
  <c r="Q244" i="7"/>
  <c r="R244" i="7"/>
  <c r="S244" i="7"/>
  <c r="T244" i="7"/>
  <c r="O245" i="7"/>
  <c r="P245" i="7"/>
  <c r="Q245" i="7"/>
  <c r="R245" i="7"/>
  <c r="S245" i="7"/>
  <c r="T245" i="7"/>
  <c r="O246" i="7"/>
  <c r="P246" i="7"/>
  <c r="Q246" i="7"/>
  <c r="R246" i="7"/>
  <c r="S246" i="7"/>
  <c r="T246" i="7"/>
  <c r="O247" i="7"/>
  <c r="P247" i="7"/>
  <c r="Q247" i="7"/>
  <c r="R247" i="7"/>
  <c r="S247" i="7"/>
  <c r="T247" i="7"/>
  <c r="O248" i="7"/>
  <c r="P248" i="7"/>
  <c r="Q248" i="7"/>
  <c r="R248" i="7"/>
  <c r="S248" i="7"/>
  <c r="T248" i="7"/>
  <c r="O249" i="7"/>
  <c r="P249" i="7"/>
  <c r="Q249" i="7"/>
  <c r="R249" i="7"/>
  <c r="S249" i="7"/>
  <c r="T249" i="7"/>
  <c r="O250" i="7"/>
  <c r="P250" i="7"/>
  <c r="Q250" i="7"/>
  <c r="R250" i="7"/>
  <c r="S250" i="7"/>
  <c r="T250" i="7"/>
  <c r="O251" i="7"/>
  <c r="P251" i="7"/>
  <c r="Q251" i="7"/>
  <c r="R251" i="7"/>
  <c r="S251" i="7"/>
  <c r="T251" i="7"/>
  <c r="O252" i="7"/>
  <c r="P252" i="7"/>
  <c r="Q252" i="7"/>
  <c r="R252" i="7"/>
  <c r="S252" i="7"/>
  <c r="T252" i="7"/>
  <c r="O253" i="7"/>
  <c r="P253" i="7"/>
  <c r="Q253" i="7"/>
  <c r="R253" i="7"/>
  <c r="S253" i="7"/>
  <c r="T253" i="7"/>
  <c r="O254" i="7"/>
  <c r="P254" i="7"/>
  <c r="Q254" i="7"/>
  <c r="R254" i="7"/>
  <c r="S254" i="7"/>
  <c r="T254" i="7"/>
  <c r="O255" i="7"/>
  <c r="P255" i="7"/>
  <c r="Q255" i="7"/>
  <c r="R255" i="7"/>
  <c r="S255" i="7"/>
  <c r="T255" i="7"/>
  <c r="O256" i="7"/>
  <c r="P256" i="7"/>
  <c r="Q256" i="7"/>
  <c r="R256" i="7"/>
  <c r="S256" i="7"/>
  <c r="T256" i="7"/>
  <c r="O257" i="7"/>
  <c r="P257" i="7"/>
  <c r="Q257" i="7"/>
  <c r="R257" i="7"/>
  <c r="S257" i="7"/>
  <c r="T257" i="7"/>
  <c r="O258" i="7"/>
  <c r="P258" i="7"/>
  <c r="Q258" i="7"/>
  <c r="R258" i="7"/>
  <c r="S258" i="7"/>
  <c r="T258" i="7"/>
  <c r="O259" i="7"/>
  <c r="P259" i="7"/>
  <c r="Q259" i="7"/>
  <c r="R259" i="7"/>
  <c r="S259" i="7"/>
  <c r="T259" i="7"/>
  <c r="O260" i="7"/>
  <c r="P260" i="7"/>
  <c r="Q260" i="7"/>
  <c r="R260" i="7"/>
  <c r="S260" i="7"/>
  <c r="T260" i="7"/>
  <c r="O261" i="7"/>
  <c r="P261" i="7"/>
  <c r="Q261" i="7"/>
  <c r="R261" i="7"/>
  <c r="S261" i="7"/>
  <c r="T261" i="7"/>
  <c r="O262" i="7"/>
  <c r="P262" i="7"/>
  <c r="Q262" i="7"/>
  <c r="R262" i="7"/>
  <c r="S262" i="7"/>
  <c r="T262" i="7"/>
  <c r="O263" i="7"/>
  <c r="P263" i="7"/>
  <c r="Q263" i="7"/>
  <c r="R263" i="7"/>
  <c r="S263" i="7"/>
  <c r="T263" i="7"/>
  <c r="O264" i="7"/>
  <c r="P264" i="7"/>
  <c r="Q264" i="7"/>
  <c r="R264" i="7"/>
  <c r="S264" i="7"/>
  <c r="T264" i="7"/>
  <c r="O265" i="7"/>
  <c r="P265" i="7"/>
  <c r="Q265" i="7"/>
  <c r="R265" i="7"/>
  <c r="S265" i="7"/>
  <c r="T265" i="7"/>
  <c r="O266" i="7"/>
  <c r="P266" i="7"/>
  <c r="Q266" i="7"/>
  <c r="R266" i="7"/>
  <c r="S266" i="7"/>
  <c r="T266" i="7"/>
  <c r="O267" i="7"/>
  <c r="P267" i="7"/>
  <c r="Q267" i="7"/>
  <c r="R267" i="7"/>
  <c r="S267" i="7"/>
  <c r="T267" i="7"/>
  <c r="O268" i="7"/>
  <c r="P268" i="7"/>
  <c r="Q268" i="7"/>
  <c r="R268" i="7"/>
  <c r="S268" i="7"/>
  <c r="T268" i="7"/>
  <c r="O269" i="7"/>
  <c r="P269" i="7"/>
  <c r="Q269" i="7"/>
  <c r="R269" i="7"/>
  <c r="S269" i="7"/>
  <c r="T269" i="7"/>
  <c r="O270" i="7"/>
  <c r="P270" i="7"/>
  <c r="Q270" i="7"/>
  <c r="R270" i="7"/>
  <c r="S270" i="7"/>
  <c r="T270" i="7"/>
  <c r="O271" i="7"/>
  <c r="P271" i="7"/>
  <c r="Q271" i="7"/>
  <c r="R271" i="7"/>
  <c r="S271" i="7"/>
  <c r="T271" i="7"/>
  <c r="O272" i="7"/>
  <c r="P272" i="7"/>
  <c r="Q272" i="7"/>
  <c r="R272" i="7"/>
  <c r="S272" i="7"/>
  <c r="T272" i="7"/>
  <c r="O273" i="7"/>
  <c r="P273" i="7"/>
  <c r="Q273" i="7"/>
  <c r="R273" i="7"/>
  <c r="S273" i="7"/>
  <c r="T273" i="7"/>
  <c r="O274" i="7"/>
  <c r="P274" i="7"/>
  <c r="Q274" i="7"/>
  <c r="R274" i="7"/>
  <c r="S274" i="7"/>
  <c r="T274" i="7"/>
  <c r="O275" i="7"/>
  <c r="P275" i="7"/>
  <c r="Q275" i="7"/>
  <c r="R275" i="7"/>
  <c r="S275" i="7"/>
  <c r="T275" i="7"/>
  <c r="O276" i="7"/>
  <c r="P276" i="7"/>
  <c r="Q276" i="7"/>
  <c r="R276" i="7"/>
  <c r="S276" i="7"/>
  <c r="T276" i="7"/>
  <c r="O277" i="7"/>
  <c r="P277" i="7"/>
  <c r="Q277" i="7"/>
  <c r="R277" i="7"/>
  <c r="S277" i="7"/>
  <c r="T277" i="7"/>
  <c r="O278" i="7"/>
  <c r="P278" i="7"/>
  <c r="Q278" i="7"/>
  <c r="R278" i="7"/>
  <c r="S278" i="7"/>
  <c r="T278" i="7"/>
  <c r="O279" i="7"/>
  <c r="P279" i="7"/>
  <c r="Q279" i="7"/>
  <c r="R279" i="7"/>
  <c r="S279" i="7"/>
  <c r="T279" i="7"/>
  <c r="O280" i="7"/>
  <c r="P280" i="7"/>
  <c r="Q280" i="7"/>
  <c r="R280" i="7"/>
  <c r="S280" i="7"/>
  <c r="T280" i="7"/>
  <c r="O281" i="7"/>
  <c r="P281" i="7"/>
  <c r="Q281" i="7"/>
  <c r="R281" i="7"/>
  <c r="S281" i="7"/>
  <c r="T281" i="7"/>
  <c r="O282" i="7"/>
  <c r="P282" i="7"/>
  <c r="Q282" i="7"/>
  <c r="R282" i="7"/>
  <c r="S282" i="7"/>
  <c r="T282" i="7"/>
  <c r="O283" i="7"/>
  <c r="P283" i="7"/>
  <c r="Q283" i="7"/>
  <c r="R283" i="7"/>
  <c r="S283" i="7"/>
  <c r="T283" i="7"/>
  <c r="O284" i="7"/>
  <c r="P284" i="7"/>
  <c r="Q284" i="7"/>
  <c r="R284" i="7"/>
  <c r="S284" i="7"/>
  <c r="T284" i="7"/>
  <c r="O285" i="7"/>
  <c r="P285" i="7"/>
  <c r="Q285" i="7"/>
  <c r="R285" i="7"/>
  <c r="S285" i="7"/>
  <c r="T285" i="7"/>
  <c r="O184" i="7"/>
  <c r="P184" i="7"/>
  <c r="Q184" i="7"/>
  <c r="R184" i="7"/>
  <c r="S184" i="7"/>
  <c r="T184" i="7"/>
  <c r="O185" i="7"/>
  <c r="P185" i="7"/>
  <c r="Q185" i="7"/>
  <c r="R185" i="7"/>
  <c r="S185" i="7"/>
  <c r="T185" i="7"/>
  <c r="O186" i="7"/>
  <c r="P186" i="7"/>
  <c r="Q186" i="7"/>
  <c r="R186" i="7"/>
  <c r="S186" i="7"/>
  <c r="T186" i="7"/>
  <c r="O187" i="7"/>
  <c r="P187" i="7"/>
  <c r="Q187" i="7"/>
  <c r="R187" i="7"/>
  <c r="S187" i="7"/>
  <c r="T187" i="7"/>
  <c r="O188" i="7"/>
  <c r="P188" i="7"/>
  <c r="Q188" i="7"/>
  <c r="R188" i="7"/>
  <c r="S188" i="7"/>
  <c r="T188" i="7"/>
  <c r="O189" i="7"/>
  <c r="P189" i="7"/>
  <c r="Q189" i="7"/>
  <c r="R189" i="7"/>
  <c r="S189" i="7"/>
  <c r="T189" i="7"/>
  <c r="O190" i="7"/>
  <c r="P190" i="7"/>
  <c r="Q190" i="7"/>
  <c r="R190" i="7"/>
  <c r="S190" i="7"/>
  <c r="T190" i="7"/>
  <c r="O191" i="7"/>
  <c r="P191" i="7"/>
  <c r="Q191" i="7"/>
  <c r="R191" i="7"/>
  <c r="S191" i="7"/>
  <c r="T191" i="7"/>
  <c r="O192" i="7"/>
  <c r="P192" i="7"/>
  <c r="Q192" i="7"/>
  <c r="R192" i="7"/>
  <c r="S192" i="7"/>
  <c r="T192" i="7"/>
  <c r="O193" i="7"/>
  <c r="P193" i="7"/>
  <c r="Q193" i="7"/>
  <c r="R193" i="7"/>
  <c r="S193" i="7"/>
  <c r="T193" i="7"/>
  <c r="O194" i="7"/>
  <c r="P194" i="7"/>
  <c r="Q194" i="7"/>
  <c r="R194" i="7"/>
  <c r="S194" i="7"/>
  <c r="T194" i="7"/>
  <c r="O195" i="7"/>
  <c r="P195" i="7"/>
  <c r="Q195" i="7"/>
  <c r="R195" i="7"/>
  <c r="S195" i="7"/>
  <c r="T195" i="7"/>
  <c r="O196" i="7"/>
  <c r="P196" i="7"/>
  <c r="Q196" i="7"/>
  <c r="R196" i="7"/>
  <c r="S196" i="7"/>
  <c r="T196" i="7"/>
  <c r="O197" i="7"/>
  <c r="P197" i="7"/>
  <c r="Q197" i="7"/>
  <c r="R197" i="7"/>
  <c r="S197" i="7"/>
  <c r="T197" i="7"/>
  <c r="O198" i="7"/>
  <c r="P198" i="7"/>
  <c r="Q198" i="7"/>
  <c r="R198" i="7"/>
  <c r="S198" i="7"/>
  <c r="T198" i="7"/>
  <c r="O199" i="7"/>
  <c r="P199" i="7"/>
  <c r="Q199" i="7"/>
  <c r="R199" i="7"/>
  <c r="S199" i="7"/>
  <c r="T199" i="7"/>
  <c r="O200" i="7"/>
  <c r="P200" i="7"/>
  <c r="Q200" i="7"/>
  <c r="R200" i="7"/>
  <c r="S200" i="7"/>
  <c r="T200" i="7"/>
  <c r="O201" i="7"/>
  <c r="P201" i="7"/>
  <c r="Q201" i="7"/>
  <c r="R201" i="7"/>
  <c r="S201" i="7"/>
  <c r="T201" i="7"/>
  <c r="O202" i="7"/>
  <c r="P202" i="7"/>
  <c r="Q202" i="7"/>
  <c r="R202" i="7"/>
  <c r="S202" i="7"/>
  <c r="T202" i="7"/>
  <c r="O203" i="7"/>
  <c r="P203" i="7"/>
  <c r="Q203" i="7"/>
  <c r="R203" i="7"/>
  <c r="S203" i="7"/>
  <c r="T203" i="7"/>
  <c r="O204" i="7"/>
  <c r="P204" i="7"/>
  <c r="Q204" i="7"/>
  <c r="R204" i="7"/>
  <c r="S204" i="7"/>
  <c r="T204" i="7"/>
  <c r="O205" i="7"/>
  <c r="P205" i="7"/>
  <c r="Q205" i="7"/>
  <c r="R205" i="7"/>
  <c r="S205" i="7"/>
  <c r="T205" i="7"/>
  <c r="O206" i="7"/>
  <c r="P206" i="7"/>
  <c r="Q206" i="7"/>
  <c r="R206" i="7"/>
  <c r="S206" i="7"/>
  <c r="T206" i="7"/>
  <c r="O207" i="7"/>
  <c r="P207" i="7"/>
  <c r="Q207" i="7"/>
  <c r="R207" i="7"/>
  <c r="S207" i="7"/>
  <c r="T207" i="7"/>
  <c r="O208" i="7"/>
  <c r="P208" i="7"/>
  <c r="Q208" i="7"/>
  <c r="R208" i="7"/>
  <c r="S208" i="7"/>
  <c r="T208" i="7"/>
  <c r="O209" i="7"/>
  <c r="P209" i="7"/>
  <c r="Q209" i="7"/>
  <c r="R209" i="7"/>
  <c r="S209" i="7"/>
  <c r="T209" i="7"/>
  <c r="O210" i="7"/>
  <c r="P210" i="7"/>
  <c r="Q210" i="7"/>
  <c r="R210" i="7"/>
  <c r="S210" i="7"/>
  <c r="T210" i="7"/>
  <c r="O211" i="7"/>
  <c r="P211" i="7"/>
  <c r="Q211" i="7"/>
  <c r="R211" i="7"/>
  <c r="S211" i="7"/>
  <c r="T211" i="7"/>
  <c r="O212" i="7"/>
  <c r="P212" i="7"/>
  <c r="Q212" i="7"/>
  <c r="R212" i="7"/>
  <c r="S212" i="7"/>
  <c r="T212" i="7"/>
  <c r="O213" i="7"/>
  <c r="P213" i="7"/>
  <c r="Q213" i="7"/>
  <c r="R213" i="7"/>
  <c r="S213" i="7"/>
  <c r="T213" i="7"/>
  <c r="O214" i="7"/>
  <c r="P214" i="7"/>
  <c r="Q214" i="7"/>
  <c r="R214" i="7"/>
  <c r="S214" i="7"/>
  <c r="T214" i="7"/>
  <c r="O215" i="7"/>
  <c r="P215" i="7"/>
  <c r="Q215" i="7"/>
  <c r="R215" i="7"/>
  <c r="S215" i="7"/>
  <c r="T215" i="7"/>
  <c r="O216" i="7"/>
  <c r="P216" i="7"/>
  <c r="Q216" i="7"/>
  <c r="R216" i="7"/>
  <c r="S216" i="7"/>
  <c r="T216" i="7"/>
  <c r="O217" i="7"/>
  <c r="P217" i="7"/>
  <c r="Q217" i="7"/>
  <c r="R217" i="7"/>
  <c r="S217" i="7"/>
  <c r="T217" i="7"/>
  <c r="O218" i="7"/>
  <c r="P218" i="7"/>
  <c r="Q218" i="7"/>
  <c r="R218" i="7"/>
  <c r="S218" i="7"/>
  <c r="T218" i="7"/>
  <c r="O219" i="7"/>
  <c r="P219" i="7"/>
  <c r="Q219" i="7"/>
  <c r="R219" i="7"/>
  <c r="S219" i="7"/>
  <c r="T219" i="7"/>
  <c r="O220" i="7"/>
  <c r="P220" i="7"/>
  <c r="Q220" i="7"/>
  <c r="R220" i="7"/>
  <c r="S220" i="7"/>
  <c r="T220" i="7"/>
  <c r="O221" i="7"/>
  <c r="P221" i="7"/>
  <c r="Q221" i="7"/>
  <c r="R221" i="7"/>
  <c r="S221" i="7"/>
  <c r="T221" i="7"/>
  <c r="O222" i="7"/>
  <c r="P222" i="7"/>
  <c r="Q222" i="7"/>
  <c r="R222" i="7"/>
  <c r="S222" i="7"/>
  <c r="T222" i="7"/>
  <c r="O223" i="7"/>
  <c r="P223" i="7"/>
  <c r="Q223" i="7"/>
  <c r="R223" i="7"/>
  <c r="S223" i="7"/>
  <c r="T223" i="7"/>
  <c r="O224" i="7"/>
  <c r="P224" i="7"/>
  <c r="Q224" i="7"/>
  <c r="R224" i="7"/>
  <c r="S224" i="7"/>
  <c r="T224" i="7"/>
  <c r="O225" i="7"/>
  <c r="P225" i="7"/>
  <c r="Q225" i="7"/>
  <c r="R225" i="7"/>
  <c r="S225" i="7"/>
  <c r="T225" i="7"/>
  <c r="O226" i="7"/>
  <c r="P226" i="7"/>
  <c r="Q226" i="7"/>
  <c r="R226" i="7"/>
  <c r="S226" i="7"/>
  <c r="T226" i="7"/>
  <c r="O227" i="7"/>
  <c r="P227" i="7"/>
  <c r="Q227" i="7"/>
  <c r="R227" i="7"/>
  <c r="S227" i="7"/>
  <c r="T227" i="7"/>
  <c r="O228" i="7"/>
  <c r="P228" i="7"/>
  <c r="Q228" i="7"/>
  <c r="R228" i="7"/>
  <c r="S228" i="7"/>
  <c r="T228" i="7"/>
  <c r="O229" i="7"/>
  <c r="P229" i="7"/>
  <c r="Q229" i="7"/>
  <c r="R229" i="7"/>
  <c r="S229" i="7"/>
  <c r="T229" i="7"/>
  <c r="O230" i="7"/>
  <c r="P230" i="7"/>
  <c r="Q230" i="7"/>
  <c r="R230" i="7"/>
  <c r="S230" i="7"/>
  <c r="T230" i="7"/>
  <c r="O231" i="7"/>
  <c r="P231" i="7"/>
  <c r="Q231" i="7"/>
  <c r="R231" i="7"/>
  <c r="S231" i="7"/>
  <c r="T231" i="7"/>
  <c r="O232" i="7"/>
  <c r="P232" i="7"/>
  <c r="Q232" i="7"/>
  <c r="R232" i="7"/>
  <c r="S232" i="7"/>
  <c r="T232" i="7"/>
  <c r="O233" i="7"/>
  <c r="P233" i="7"/>
  <c r="Q233" i="7"/>
  <c r="R233" i="7"/>
  <c r="S233" i="7"/>
  <c r="T233" i="7"/>
  <c r="O234" i="7"/>
  <c r="P234" i="7"/>
  <c r="Q234" i="7"/>
  <c r="R234" i="7"/>
  <c r="S234" i="7"/>
  <c r="T234" i="7"/>
  <c r="O133" i="7"/>
  <c r="P133" i="7"/>
  <c r="Q133" i="7"/>
  <c r="R133" i="7"/>
  <c r="S133" i="7"/>
  <c r="T133" i="7"/>
  <c r="O134" i="7"/>
  <c r="P134" i="7"/>
  <c r="Q134" i="7"/>
  <c r="R134" i="7"/>
  <c r="S134" i="7"/>
  <c r="T134" i="7"/>
  <c r="O135" i="7"/>
  <c r="P135" i="7"/>
  <c r="Q135" i="7"/>
  <c r="R135" i="7"/>
  <c r="S135" i="7"/>
  <c r="T135" i="7"/>
  <c r="O136" i="7"/>
  <c r="P136" i="7"/>
  <c r="Q136" i="7"/>
  <c r="R136" i="7"/>
  <c r="S136" i="7"/>
  <c r="T136" i="7"/>
  <c r="O137" i="7"/>
  <c r="P137" i="7"/>
  <c r="Q137" i="7"/>
  <c r="R137" i="7"/>
  <c r="S137" i="7"/>
  <c r="T137" i="7"/>
  <c r="O138" i="7"/>
  <c r="P138" i="7"/>
  <c r="Q138" i="7"/>
  <c r="R138" i="7"/>
  <c r="S138" i="7"/>
  <c r="T138" i="7"/>
  <c r="O139" i="7"/>
  <c r="P139" i="7"/>
  <c r="Q139" i="7"/>
  <c r="R139" i="7"/>
  <c r="S139" i="7"/>
  <c r="T139" i="7"/>
  <c r="O140" i="7"/>
  <c r="P140" i="7"/>
  <c r="Q140" i="7"/>
  <c r="R140" i="7"/>
  <c r="S140" i="7"/>
  <c r="T140" i="7"/>
  <c r="O141" i="7"/>
  <c r="P141" i="7"/>
  <c r="Q141" i="7"/>
  <c r="R141" i="7"/>
  <c r="S141" i="7"/>
  <c r="T141" i="7"/>
  <c r="O142" i="7"/>
  <c r="P142" i="7"/>
  <c r="Q142" i="7"/>
  <c r="R142" i="7"/>
  <c r="S142" i="7"/>
  <c r="T142" i="7"/>
  <c r="O143" i="7"/>
  <c r="P143" i="7"/>
  <c r="Q143" i="7"/>
  <c r="R143" i="7"/>
  <c r="S143" i="7"/>
  <c r="T143" i="7"/>
  <c r="O144" i="7"/>
  <c r="P144" i="7"/>
  <c r="Q144" i="7"/>
  <c r="R144" i="7"/>
  <c r="S144" i="7"/>
  <c r="T144" i="7"/>
  <c r="O145" i="7"/>
  <c r="P145" i="7"/>
  <c r="Q145" i="7"/>
  <c r="R145" i="7"/>
  <c r="S145" i="7"/>
  <c r="T145" i="7"/>
  <c r="O146" i="7"/>
  <c r="P146" i="7"/>
  <c r="Q146" i="7"/>
  <c r="R146" i="7"/>
  <c r="S146" i="7"/>
  <c r="T146" i="7"/>
  <c r="O147" i="7"/>
  <c r="P147" i="7"/>
  <c r="Q147" i="7"/>
  <c r="R147" i="7"/>
  <c r="S147" i="7"/>
  <c r="T147" i="7"/>
  <c r="O148" i="7"/>
  <c r="P148" i="7"/>
  <c r="Q148" i="7"/>
  <c r="R148" i="7"/>
  <c r="S148" i="7"/>
  <c r="T148" i="7"/>
  <c r="O149" i="7"/>
  <c r="P149" i="7"/>
  <c r="Q149" i="7"/>
  <c r="R149" i="7"/>
  <c r="S149" i="7"/>
  <c r="T149" i="7"/>
  <c r="O150" i="7"/>
  <c r="P150" i="7"/>
  <c r="Q150" i="7"/>
  <c r="R150" i="7"/>
  <c r="S150" i="7"/>
  <c r="T150" i="7"/>
  <c r="O151" i="7"/>
  <c r="P151" i="7"/>
  <c r="Q151" i="7"/>
  <c r="R151" i="7"/>
  <c r="S151" i="7"/>
  <c r="T151" i="7"/>
  <c r="O152" i="7"/>
  <c r="P152" i="7"/>
  <c r="Q152" i="7"/>
  <c r="R152" i="7"/>
  <c r="S152" i="7"/>
  <c r="T152" i="7"/>
  <c r="O153" i="7"/>
  <c r="P153" i="7"/>
  <c r="Q153" i="7"/>
  <c r="R153" i="7"/>
  <c r="S153" i="7"/>
  <c r="T153" i="7"/>
  <c r="O154" i="7"/>
  <c r="P154" i="7"/>
  <c r="Q154" i="7"/>
  <c r="R154" i="7"/>
  <c r="S154" i="7"/>
  <c r="T154" i="7"/>
  <c r="O155" i="7"/>
  <c r="P155" i="7"/>
  <c r="Q155" i="7"/>
  <c r="R155" i="7"/>
  <c r="S155" i="7"/>
  <c r="T155" i="7"/>
  <c r="O156" i="7"/>
  <c r="P156" i="7"/>
  <c r="Q156" i="7"/>
  <c r="R156" i="7"/>
  <c r="S156" i="7"/>
  <c r="T156" i="7"/>
  <c r="O157" i="7"/>
  <c r="P157" i="7"/>
  <c r="Q157" i="7"/>
  <c r="R157" i="7"/>
  <c r="S157" i="7"/>
  <c r="T157" i="7"/>
  <c r="O158" i="7"/>
  <c r="P158" i="7"/>
  <c r="Q158" i="7"/>
  <c r="R158" i="7"/>
  <c r="S158" i="7"/>
  <c r="T158" i="7"/>
  <c r="O159" i="7"/>
  <c r="P159" i="7"/>
  <c r="Q159" i="7"/>
  <c r="R159" i="7"/>
  <c r="S159" i="7"/>
  <c r="T159" i="7"/>
  <c r="O160" i="7"/>
  <c r="P160" i="7"/>
  <c r="Q160" i="7"/>
  <c r="R160" i="7"/>
  <c r="S160" i="7"/>
  <c r="T160" i="7"/>
  <c r="O161" i="7"/>
  <c r="P161" i="7"/>
  <c r="Q161" i="7"/>
  <c r="R161" i="7"/>
  <c r="S161" i="7"/>
  <c r="T161" i="7"/>
  <c r="O162" i="7"/>
  <c r="P162" i="7"/>
  <c r="Q162" i="7"/>
  <c r="R162" i="7"/>
  <c r="S162" i="7"/>
  <c r="T162" i="7"/>
  <c r="O163" i="7"/>
  <c r="P163" i="7"/>
  <c r="Q163" i="7"/>
  <c r="R163" i="7"/>
  <c r="S163" i="7"/>
  <c r="T163" i="7"/>
  <c r="O164" i="7"/>
  <c r="P164" i="7"/>
  <c r="Q164" i="7"/>
  <c r="R164" i="7"/>
  <c r="S164" i="7"/>
  <c r="T164" i="7"/>
  <c r="O165" i="7"/>
  <c r="P165" i="7"/>
  <c r="Q165" i="7"/>
  <c r="R165" i="7"/>
  <c r="S165" i="7"/>
  <c r="T165" i="7"/>
  <c r="O166" i="7"/>
  <c r="P166" i="7"/>
  <c r="Q166" i="7"/>
  <c r="R166" i="7"/>
  <c r="S166" i="7"/>
  <c r="T166" i="7"/>
  <c r="O167" i="7"/>
  <c r="P167" i="7"/>
  <c r="Q167" i="7"/>
  <c r="R167" i="7"/>
  <c r="S167" i="7"/>
  <c r="T167" i="7"/>
  <c r="O168" i="7"/>
  <c r="P168" i="7"/>
  <c r="Q168" i="7"/>
  <c r="R168" i="7"/>
  <c r="S168" i="7"/>
  <c r="T168" i="7"/>
  <c r="O169" i="7"/>
  <c r="P169" i="7"/>
  <c r="Q169" i="7"/>
  <c r="R169" i="7"/>
  <c r="S169" i="7"/>
  <c r="T169" i="7"/>
  <c r="O170" i="7"/>
  <c r="P170" i="7"/>
  <c r="Q170" i="7"/>
  <c r="R170" i="7"/>
  <c r="S170" i="7"/>
  <c r="T170" i="7"/>
  <c r="O171" i="7"/>
  <c r="P171" i="7"/>
  <c r="Q171" i="7"/>
  <c r="R171" i="7"/>
  <c r="S171" i="7"/>
  <c r="T171" i="7"/>
  <c r="O172" i="7"/>
  <c r="P172" i="7"/>
  <c r="Q172" i="7"/>
  <c r="R172" i="7"/>
  <c r="S172" i="7"/>
  <c r="T172" i="7"/>
  <c r="O173" i="7"/>
  <c r="P173" i="7"/>
  <c r="Q173" i="7"/>
  <c r="R173" i="7"/>
  <c r="S173" i="7"/>
  <c r="T173" i="7"/>
  <c r="O174" i="7"/>
  <c r="P174" i="7"/>
  <c r="Q174" i="7"/>
  <c r="R174" i="7"/>
  <c r="S174" i="7"/>
  <c r="T174" i="7"/>
  <c r="O175" i="7"/>
  <c r="P175" i="7"/>
  <c r="Q175" i="7"/>
  <c r="R175" i="7"/>
  <c r="S175" i="7"/>
  <c r="T175" i="7"/>
  <c r="O176" i="7"/>
  <c r="P176" i="7"/>
  <c r="Q176" i="7"/>
  <c r="R176" i="7"/>
  <c r="S176" i="7"/>
  <c r="T176" i="7"/>
  <c r="O177" i="7"/>
  <c r="P177" i="7"/>
  <c r="Q177" i="7"/>
  <c r="R177" i="7"/>
  <c r="S177" i="7"/>
  <c r="T177" i="7"/>
  <c r="O178" i="7"/>
  <c r="P178" i="7"/>
  <c r="Q178" i="7"/>
  <c r="R178" i="7"/>
  <c r="S178" i="7"/>
  <c r="T178" i="7"/>
  <c r="O179" i="7"/>
  <c r="P179" i="7"/>
  <c r="Q179" i="7"/>
  <c r="R179" i="7"/>
  <c r="S179" i="7"/>
  <c r="T179" i="7"/>
  <c r="O180" i="7"/>
  <c r="P180" i="7"/>
  <c r="Q180" i="7"/>
  <c r="R180" i="7"/>
  <c r="S180" i="7"/>
  <c r="T180" i="7"/>
  <c r="O181" i="7"/>
  <c r="P181" i="7"/>
  <c r="Q181" i="7"/>
  <c r="R181" i="7"/>
  <c r="S181" i="7"/>
  <c r="T181" i="7"/>
  <c r="O182" i="7"/>
  <c r="P182" i="7"/>
  <c r="Q182" i="7"/>
  <c r="R182" i="7"/>
  <c r="S182" i="7"/>
  <c r="T182" i="7"/>
  <c r="O183" i="7"/>
  <c r="P183" i="7"/>
  <c r="Q183" i="7"/>
  <c r="R183" i="7"/>
  <c r="S183" i="7"/>
  <c r="T183" i="7"/>
  <c r="O82" i="7"/>
  <c r="P82" i="7"/>
  <c r="Q82" i="7"/>
  <c r="R82" i="7"/>
  <c r="S82" i="7"/>
  <c r="T82" i="7"/>
  <c r="O83" i="7"/>
  <c r="P83" i="7"/>
  <c r="Q83" i="7"/>
  <c r="R83" i="7"/>
  <c r="S83" i="7"/>
  <c r="T83" i="7"/>
  <c r="O84" i="7"/>
  <c r="P84" i="7"/>
  <c r="Q84" i="7"/>
  <c r="R84" i="7"/>
  <c r="S84" i="7"/>
  <c r="T84" i="7"/>
  <c r="O85" i="7"/>
  <c r="P85" i="7"/>
  <c r="Q85" i="7"/>
  <c r="R85" i="7"/>
  <c r="S85" i="7"/>
  <c r="T85" i="7"/>
  <c r="O86" i="7"/>
  <c r="P86" i="7"/>
  <c r="Q86" i="7"/>
  <c r="R86" i="7"/>
  <c r="S86" i="7"/>
  <c r="T86" i="7"/>
  <c r="O87" i="7"/>
  <c r="P87" i="7"/>
  <c r="Q87" i="7"/>
  <c r="R87" i="7"/>
  <c r="S87" i="7"/>
  <c r="T87" i="7"/>
  <c r="O88" i="7"/>
  <c r="P88" i="7"/>
  <c r="Q88" i="7"/>
  <c r="R88" i="7"/>
  <c r="S88" i="7"/>
  <c r="T88" i="7"/>
  <c r="O89" i="7"/>
  <c r="P89" i="7"/>
  <c r="Q89" i="7"/>
  <c r="R89" i="7"/>
  <c r="S89" i="7"/>
  <c r="T89" i="7"/>
  <c r="O90" i="7"/>
  <c r="P90" i="7"/>
  <c r="Q90" i="7"/>
  <c r="R90" i="7"/>
  <c r="S90" i="7"/>
  <c r="T90" i="7"/>
  <c r="O91" i="7"/>
  <c r="P91" i="7"/>
  <c r="Q91" i="7"/>
  <c r="R91" i="7"/>
  <c r="S91" i="7"/>
  <c r="T91" i="7"/>
  <c r="O92" i="7"/>
  <c r="P92" i="7"/>
  <c r="Q92" i="7"/>
  <c r="R92" i="7"/>
  <c r="S92" i="7"/>
  <c r="T92" i="7"/>
  <c r="O93" i="7"/>
  <c r="P93" i="7"/>
  <c r="Q93" i="7"/>
  <c r="R93" i="7"/>
  <c r="S93" i="7"/>
  <c r="T93" i="7"/>
  <c r="O94" i="7"/>
  <c r="P94" i="7"/>
  <c r="Q94" i="7"/>
  <c r="R94" i="7"/>
  <c r="S94" i="7"/>
  <c r="T94" i="7"/>
  <c r="O95" i="7"/>
  <c r="P95" i="7"/>
  <c r="Q95" i="7"/>
  <c r="R95" i="7"/>
  <c r="S95" i="7"/>
  <c r="T95" i="7"/>
  <c r="O96" i="7"/>
  <c r="P96" i="7"/>
  <c r="Q96" i="7"/>
  <c r="R96" i="7"/>
  <c r="S96" i="7"/>
  <c r="T96" i="7"/>
  <c r="O97" i="7"/>
  <c r="P97" i="7"/>
  <c r="Q97" i="7"/>
  <c r="R97" i="7"/>
  <c r="S97" i="7"/>
  <c r="T97" i="7"/>
  <c r="O98" i="7"/>
  <c r="P98" i="7"/>
  <c r="Q98" i="7"/>
  <c r="R98" i="7"/>
  <c r="S98" i="7"/>
  <c r="T98" i="7"/>
  <c r="O99" i="7"/>
  <c r="P99" i="7"/>
  <c r="Q99" i="7"/>
  <c r="R99" i="7"/>
  <c r="S99" i="7"/>
  <c r="T99" i="7"/>
  <c r="O100" i="7"/>
  <c r="P100" i="7"/>
  <c r="Q100" i="7"/>
  <c r="R100" i="7"/>
  <c r="S100" i="7"/>
  <c r="T100" i="7"/>
  <c r="O101" i="7"/>
  <c r="P101" i="7"/>
  <c r="Q101" i="7"/>
  <c r="R101" i="7"/>
  <c r="S101" i="7"/>
  <c r="T101" i="7"/>
  <c r="O102" i="7"/>
  <c r="P102" i="7"/>
  <c r="Q102" i="7"/>
  <c r="R102" i="7"/>
  <c r="S102" i="7"/>
  <c r="T102" i="7"/>
  <c r="O103" i="7"/>
  <c r="P103" i="7"/>
  <c r="Q103" i="7"/>
  <c r="R103" i="7"/>
  <c r="S103" i="7"/>
  <c r="T103" i="7"/>
  <c r="O104" i="7"/>
  <c r="P104" i="7"/>
  <c r="Q104" i="7"/>
  <c r="R104" i="7"/>
  <c r="S104" i="7"/>
  <c r="T104" i="7"/>
  <c r="O105" i="7"/>
  <c r="P105" i="7"/>
  <c r="Q105" i="7"/>
  <c r="R105" i="7"/>
  <c r="S105" i="7"/>
  <c r="T105" i="7"/>
  <c r="O106" i="7"/>
  <c r="P106" i="7"/>
  <c r="Q106" i="7"/>
  <c r="R106" i="7"/>
  <c r="S106" i="7"/>
  <c r="T106" i="7"/>
  <c r="O107" i="7"/>
  <c r="P107" i="7"/>
  <c r="Q107" i="7"/>
  <c r="R107" i="7"/>
  <c r="S107" i="7"/>
  <c r="T107" i="7"/>
  <c r="O108" i="7"/>
  <c r="P108" i="7"/>
  <c r="Q108" i="7"/>
  <c r="R108" i="7"/>
  <c r="S108" i="7"/>
  <c r="T108" i="7"/>
  <c r="O109" i="7"/>
  <c r="P109" i="7"/>
  <c r="Q109" i="7"/>
  <c r="R109" i="7"/>
  <c r="S109" i="7"/>
  <c r="T109" i="7"/>
  <c r="O110" i="7"/>
  <c r="P110" i="7"/>
  <c r="Q110" i="7"/>
  <c r="R110" i="7"/>
  <c r="S110" i="7"/>
  <c r="T110" i="7"/>
  <c r="O111" i="7"/>
  <c r="P111" i="7"/>
  <c r="Q111" i="7"/>
  <c r="R111" i="7"/>
  <c r="S111" i="7"/>
  <c r="T111" i="7"/>
  <c r="O112" i="7"/>
  <c r="P112" i="7"/>
  <c r="Q112" i="7"/>
  <c r="R112" i="7"/>
  <c r="S112" i="7"/>
  <c r="T112" i="7"/>
  <c r="O113" i="7"/>
  <c r="P113" i="7"/>
  <c r="Q113" i="7"/>
  <c r="R113" i="7"/>
  <c r="S113" i="7"/>
  <c r="T113" i="7"/>
  <c r="O114" i="7"/>
  <c r="P114" i="7"/>
  <c r="Q114" i="7"/>
  <c r="R114" i="7"/>
  <c r="S114" i="7"/>
  <c r="T114" i="7"/>
  <c r="O115" i="7"/>
  <c r="P115" i="7"/>
  <c r="Q115" i="7"/>
  <c r="R115" i="7"/>
  <c r="S115" i="7"/>
  <c r="T115" i="7"/>
  <c r="O116" i="7"/>
  <c r="P116" i="7"/>
  <c r="Q116" i="7"/>
  <c r="R116" i="7"/>
  <c r="S116" i="7"/>
  <c r="T116" i="7"/>
  <c r="O117" i="7"/>
  <c r="P117" i="7"/>
  <c r="Q117" i="7"/>
  <c r="R117" i="7"/>
  <c r="S117" i="7"/>
  <c r="T117" i="7"/>
  <c r="O118" i="7"/>
  <c r="P118" i="7"/>
  <c r="Q118" i="7"/>
  <c r="R118" i="7"/>
  <c r="S118" i="7"/>
  <c r="T118" i="7"/>
  <c r="O119" i="7"/>
  <c r="P119" i="7"/>
  <c r="Q119" i="7"/>
  <c r="R119" i="7"/>
  <c r="S119" i="7"/>
  <c r="T119" i="7"/>
  <c r="O120" i="7"/>
  <c r="P120" i="7"/>
  <c r="Q120" i="7"/>
  <c r="R120" i="7"/>
  <c r="S120" i="7"/>
  <c r="T120" i="7"/>
  <c r="O121" i="7"/>
  <c r="P121" i="7"/>
  <c r="Q121" i="7"/>
  <c r="R121" i="7"/>
  <c r="S121" i="7"/>
  <c r="T121" i="7"/>
  <c r="O122" i="7"/>
  <c r="P122" i="7"/>
  <c r="Q122" i="7"/>
  <c r="R122" i="7"/>
  <c r="S122" i="7"/>
  <c r="T122" i="7"/>
  <c r="O123" i="7"/>
  <c r="P123" i="7"/>
  <c r="Q123" i="7"/>
  <c r="R123" i="7"/>
  <c r="S123" i="7"/>
  <c r="T123" i="7"/>
  <c r="O124" i="7"/>
  <c r="P124" i="7"/>
  <c r="Q124" i="7"/>
  <c r="R124" i="7"/>
  <c r="S124" i="7"/>
  <c r="T124" i="7"/>
  <c r="O125" i="7"/>
  <c r="P125" i="7"/>
  <c r="Q125" i="7"/>
  <c r="R125" i="7"/>
  <c r="S125" i="7"/>
  <c r="T125" i="7"/>
  <c r="O126" i="7"/>
  <c r="P126" i="7"/>
  <c r="Q126" i="7"/>
  <c r="R126" i="7"/>
  <c r="S126" i="7"/>
  <c r="T126" i="7"/>
  <c r="O127" i="7"/>
  <c r="P127" i="7"/>
  <c r="Q127" i="7"/>
  <c r="R127" i="7"/>
  <c r="S127" i="7"/>
  <c r="T127" i="7"/>
  <c r="O128" i="7"/>
  <c r="P128" i="7"/>
  <c r="Q128" i="7"/>
  <c r="R128" i="7"/>
  <c r="S128" i="7"/>
  <c r="T128" i="7"/>
  <c r="O129" i="7"/>
  <c r="P129" i="7"/>
  <c r="Q129" i="7"/>
  <c r="R129" i="7"/>
  <c r="S129" i="7"/>
  <c r="T129" i="7"/>
  <c r="O130" i="7"/>
  <c r="P130" i="7"/>
  <c r="Q130" i="7"/>
  <c r="R130" i="7"/>
  <c r="S130" i="7"/>
  <c r="T130" i="7"/>
  <c r="O131" i="7"/>
  <c r="P131" i="7"/>
  <c r="Q131" i="7"/>
  <c r="R131" i="7"/>
  <c r="S131" i="7"/>
  <c r="T131" i="7"/>
  <c r="O132" i="7"/>
  <c r="P132" i="7"/>
  <c r="Q132" i="7"/>
  <c r="R132" i="7"/>
  <c r="S132" i="7"/>
  <c r="T132" i="7"/>
  <c r="O31" i="7"/>
  <c r="P31" i="7"/>
  <c r="Q31" i="7"/>
  <c r="R31" i="7"/>
  <c r="S31" i="7"/>
  <c r="T31" i="7"/>
  <c r="O32" i="7"/>
  <c r="P32" i="7"/>
  <c r="Q32" i="7"/>
  <c r="R32" i="7"/>
  <c r="S32" i="7"/>
  <c r="T32" i="7"/>
  <c r="O33" i="7"/>
  <c r="P33" i="7"/>
  <c r="Q33" i="7"/>
  <c r="R33" i="7"/>
  <c r="S33" i="7"/>
  <c r="T33" i="7"/>
  <c r="O34" i="7"/>
  <c r="P34" i="7"/>
  <c r="Q34" i="7"/>
  <c r="R34" i="7"/>
  <c r="S34" i="7"/>
  <c r="T34" i="7"/>
  <c r="O35" i="7"/>
  <c r="P35" i="7"/>
  <c r="Q35" i="7"/>
  <c r="R35" i="7"/>
  <c r="S35" i="7"/>
  <c r="T35" i="7"/>
  <c r="O36" i="7"/>
  <c r="P36" i="7"/>
  <c r="Q36" i="7"/>
  <c r="R36" i="7"/>
  <c r="S36" i="7"/>
  <c r="T36" i="7"/>
  <c r="O37" i="7"/>
  <c r="P37" i="7"/>
  <c r="Q37" i="7"/>
  <c r="R37" i="7"/>
  <c r="S37" i="7"/>
  <c r="T37" i="7"/>
  <c r="O38" i="7"/>
  <c r="P38" i="7"/>
  <c r="Q38" i="7"/>
  <c r="R38" i="7"/>
  <c r="S38" i="7"/>
  <c r="T38" i="7"/>
  <c r="O39" i="7"/>
  <c r="P39" i="7"/>
  <c r="Q39" i="7"/>
  <c r="R39" i="7"/>
  <c r="S39" i="7"/>
  <c r="T39" i="7"/>
  <c r="O40" i="7"/>
  <c r="P40" i="7"/>
  <c r="Q40" i="7"/>
  <c r="R40" i="7"/>
  <c r="S40" i="7"/>
  <c r="T40" i="7"/>
  <c r="O41" i="7"/>
  <c r="P41" i="7"/>
  <c r="Q41" i="7"/>
  <c r="R41" i="7"/>
  <c r="S41" i="7"/>
  <c r="T41" i="7"/>
  <c r="O42" i="7"/>
  <c r="P42" i="7"/>
  <c r="Q42" i="7"/>
  <c r="R42" i="7"/>
  <c r="S42" i="7"/>
  <c r="T42" i="7"/>
  <c r="O43" i="7"/>
  <c r="P43" i="7"/>
  <c r="Q43" i="7"/>
  <c r="R43" i="7"/>
  <c r="S43" i="7"/>
  <c r="T43" i="7"/>
  <c r="O44" i="7"/>
  <c r="P44" i="7"/>
  <c r="Q44" i="7"/>
  <c r="R44" i="7"/>
  <c r="S44" i="7"/>
  <c r="T44" i="7"/>
  <c r="O45" i="7"/>
  <c r="P45" i="7"/>
  <c r="Q45" i="7"/>
  <c r="R45" i="7"/>
  <c r="S45" i="7"/>
  <c r="T45" i="7"/>
  <c r="O46" i="7"/>
  <c r="P46" i="7"/>
  <c r="Q46" i="7"/>
  <c r="R46" i="7"/>
  <c r="S46" i="7"/>
  <c r="T46" i="7"/>
  <c r="O47" i="7"/>
  <c r="P47" i="7"/>
  <c r="Q47" i="7"/>
  <c r="R47" i="7"/>
  <c r="S47" i="7"/>
  <c r="T47" i="7"/>
  <c r="O48" i="7"/>
  <c r="P48" i="7"/>
  <c r="Q48" i="7"/>
  <c r="R48" i="7"/>
  <c r="S48" i="7"/>
  <c r="T48" i="7"/>
  <c r="O49" i="7"/>
  <c r="P49" i="7"/>
  <c r="Q49" i="7"/>
  <c r="R49" i="7"/>
  <c r="S49" i="7"/>
  <c r="T49" i="7"/>
  <c r="O50" i="7"/>
  <c r="P50" i="7"/>
  <c r="Q50" i="7"/>
  <c r="R50" i="7"/>
  <c r="S50" i="7"/>
  <c r="T50" i="7"/>
  <c r="O51" i="7"/>
  <c r="P51" i="7"/>
  <c r="Q51" i="7"/>
  <c r="R51" i="7"/>
  <c r="S51" i="7"/>
  <c r="T51" i="7"/>
  <c r="O52" i="7"/>
  <c r="P52" i="7"/>
  <c r="Q52" i="7"/>
  <c r="R52" i="7"/>
  <c r="S52" i="7"/>
  <c r="T52" i="7"/>
  <c r="O53" i="7"/>
  <c r="P53" i="7"/>
  <c r="Q53" i="7"/>
  <c r="R53" i="7"/>
  <c r="S53" i="7"/>
  <c r="T53" i="7"/>
  <c r="O54" i="7"/>
  <c r="P54" i="7"/>
  <c r="Q54" i="7"/>
  <c r="R54" i="7"/>
  <c r="S54" i="7"/>
  <c r="T54" i="7"/>
  <c r="O55" i="7"/>
  <c r="P55" i="7"/>
  <c r="Q55" i="7"/>
  <c r="R55" i="7"/>
  <c r="S55" i="7"/>
  <c r="T55" i="7"/>
  <c r="O56" i="7"/>
  <c r="P56" i="7"/>
  <c r="Q56" i="7"/>
  <c r="R56" i="7"/>
  <c r="S56" i="7"/>
  <c r="T56" i="7"/>
  <c r="O57" i="7"/>
  <c r="P57" i="7"/>
  <c r="Q57" i="7"/>
  <c r="R57" i="7"/>
  <c r="S57" i="7"/>
  <c r="T57" i="7"/>
  <c r="O58" i="7"/>
  <c r="P58" i="7"/>
  <c r="Q58" i="7"/>
  <c r="R58" i="7"/>
  <c r="S58" i="7"/>
  <c r="T58" i="7"/>
  <c r="O59" i="7"/>
  <c r="P59" i="7"/>
  <c r="Q59" i="7"/>
  <c r="R59" i="7"/>
  <c r="S59" i="7"/>
  <c r="T59" i="7"/>
  <c r="O60" i="7"/>
  <c r="P60" i="7"/>
  <c r="Q60" i="7"/>
  <c r="R60" i="7"/>
  <c r="S60" i="7"/>
  <c r="T60" i="7"/>
  <c r="O61" i="7"/>
  <c r="P61" i="7"/>
  <c r="Q61" i="7"/>
  <c r="R61" i="7"/>
  <c r="S61" i="7"/>
  <c r="T61" i="7"/>
  <c r="O62" i="7"/>
  <c r="P62" i="7"/>
  <c r="Q62" i="7"/>
  <c r="R62" i="7"/>
  <c r="S62" i="7"/>
  <c r="T62" i="7"/>
  <c r="O63" i="7"/>
  <c r="P63" i="7"/>
  <c r="Q63" i="7"/>
  <c r="R63" i="7"/>
  <c r="S63" i="7"/>
  <c r="T63" i="7"/>
  <c r="O64" i="7"/>
  <c r="P64" i="7"/>
  <c r="Q64" i="7"/>
  <c r="R64" i="7"/>
  <c r="S64" i="7"/>
  <c r="T64" i="7"/>
  <c r="O65" i="7"/>
  <c r="P65" i="7"/>
  <c r="Q65" i="7"/>
  <c r="R65" i="7"/>
  <c r="S65" i="7"/>
  <c r="T65" i="7"/>
  <c r="O66" i="7"/>
  <c r="P66" i="7"/>
  <c r="Q66" i="7"/>
  <c r="R66" i="7"/>
  <c r="S66" i="7"/>
  <c r="T66" i="7"/>
  <c r="O67" i="7"/>
  <c r="P67" i="7"/>
  <c r="Q67" i="7"/>
  <c r="R67" i="7"/>
  <c r="S67" i="7"/>
  <c r="T67" i="7"/>
  <c r="O68" i="7"/>
  <c r="P68" i="7"/>
  <c r="Q68" i="7"/>
  <c r="R68" i="7"/>
  <c r="S68" i="7"/>
  <c r="T68" i="7"/>
  <c r="O69" i="7"/>
  <c r="P69" i="7"/>
  <c r="Q69" i="7"/>
  <c r="R69" i="7"/>
  <c r="S69" i="7"/>
  <c r="T69" i="7"/>
  <c r="O70" i="7"/>
  <c r="P70" i="7"/>
  <c r="Q70" i="7"/>
  <c r="R70" i="7"/>
  <c r="S70" i="7"/>
  <c r="T70" i="7"/>
  <c r="O71" i="7"/>
  <c r="P71" i="7"/>
  <c r="Q71" i="7"/>
  <c r="R71" i="7"/>
  <c r="S71" i="7"/>
  <c r="T71" i="7"/>
  <c r="O72" i="7"/>
  <c r="P72" i="7"/>
  <c r="Q72" i="7"/>
  <c r="R72" i="7"/>
  <c r="S72" i="7"/>
  <c r="T72" i="7"/>
  <c r="O73" i="7"/>
  <c r="P73" i="7"/>
  <c r="Q73" i="7"/>
  <c r="R73" i="7"/>
  <c r="S73" i="7"/>
  <c r="T73" i="7"/>
  <c r="O74" i="7"/>
  <c r="P74" i="7"/>
  <c r="Q74" i="7"/>
  <c r="R74" i="7"/>
  <c r="S74" i="7"/>
  <c r="T74" i="7"/>
  <c r="O75" i="7"/>
  <c r="P75" i="7"/>
  <c r="Q75" i="7"/>
  <c r="R75" i="7"/>
  <c r="S75" i="7"/>
  <c r="T75" i="7"/>
  <c r="O76" i="7"/>
  <c r="P76" i="7"/>
  <c r="Q76" i="7"/>
  <c r="R76" i="7"/>
  <c r="S76" i="7"/>
  <c r="T76" i="7"/>
  <c r="O77" i="7"/>
  <c r="P77" i="7"/>
  <c r="Q77" i="7"/>
  <c r="R77" i="7"/>
  <c r="S77" i="7"/>
  <c r="T77" i="7"/>
  <c r="O78" i="7"/>
  <c r="P78" i="7"/>
  <c r="Q78" i="7"/>
  <c r="R78" i="7"/>
  <c r="S78" i="7"/>
  <c r="T78" i="7"/>
  <c r="O79" i="7"/>
  <c r="P79" i="7"/>
  <c r="Q79" i="7"/>
  <c r="R79" i="7"/>
  <c r="S79" i="7"/>
  <c r="T79" i="7"/>
  <c r="O80" i="7"/>
  <c r="P80" i="7"/>
  <c r="Q80" i="7"/>
  <c r="R80" i="7"/>
  <c r="S80" i="7"/>
  <c r="T80" i="7"/>
  <c r="O81" i="7"/>
  <c r="P81" i="7"/>
  <c r="Q81" i="7"/>
  <c r="R81" i="7"/>
  <c r="S81" i="7"/>
  <c r="T81" i="7"/>
  <c r="L641" i="43"/>
  <c r="L640" i="43"/>
  <c r="L639" i="43"/>
  <c r="L638" i="43"/>
  <c r="L637" i="43"/>
  <c r="L636" i="43"/>
  <c r="L635" i="43"/>
  <c r="L634" i="43"/>
  <c r="L633" i="43"/>
  <c r="L632" i="43"/>
  <c r="L631" i="43"/>
  <c r="L630" i="43"/>
  <c r="L629" i="43"/>
  <c r="L628" i="43"/>
  <c r="L627" i="43"/>
  <c r="L626" i="43"/>
  <c r="L625" i="43"/>
  <c r="L624" i="43"/>
  <c r="L623" i="43"/>
  <c r="L622" i="43"/>
  <c r="L621" i="43"/>
  <c r="L620" i="43"/>
  <c r="L619" i="43"/>
  <c r="L618" i="43"/>
  <c r="L617" i="43"/>
  <c r="L616" i="43"/>
  <c r="L615" i="43"/>
  <c r="L614" i="43"/>
  <c r="L613" i="43"/>
  <c r="L612" i="43"/>
  <c r="L611" i="43"/>
  <c r="L610" i="43"/>
  <c r="L609" i="43"/>
  <c r="L608" i="43"/>
  <c r="L607" i="43"/>
  <c r="L606" i="43"/>
  <c r="L605" i="43"/>
  <c r="L604" i="43"/>
  <c r="L603" i="43"/>
  <c r="L602" i="43"/>
  <c r="L601" i="43"/>
  <c r="L600" i="43"/>
  <c r="L599" i="43"/>
  <c r="L598" i="43"/>
  <c r="L597" i="43"/>
  <c r="L596" i="43"/>
  <c r="L595" i="43"/>
  <c r="L594" i="43"/>
  <c r="L593" i="43"/>
  <c r="L592" i="43"/>
  <c r="L591" i="43"/>
  <c r="K641" i="43"/>
  <c r="K640" i="43"/>
  <c r="K639" i="43"/>
  <c r="K638" i="43"/>
  <c r="K637" i="43"/>
  <c r="K636" i="43"/>
  <c r="K635" i="43"/>
  <c r="K634" i="43"/>
  <c r="K633" i="43"/>
  <c r="K632" i="43"/>
  <c r="K631" i="43"/>
  <c r="K630" i="43"/>
  <c r="K629" i="43"/>
  <c r="K628" i="43"/>
  <c r="K627" i="43"/>
  <c r="K626" i="43"/>
  <c r="K625" i="43"/>
  <c r="K624" i="43"/>
  <c r="K623" i="43"/>
  <c r="K622" i="43"/>
  <c r="K621" i="43"/>
  <c r="K620" i="43"/>
  <c r="K619" i="43"/>
  <c r="K618" i="43"/>
  <c r="K617" i="43"/>
  <c r="K616" i="43"/>
  <c r="K615" i="43"/>
  <c r="K614" i="43"/>
  <c r="K613" i="43"/>
  <c r="K612" i="43"/>
  <c r="K611" i="43"/>
  <c r="K610" i="43"/>
  <c r="K609" i="43"/>
  <c r="K608" i="43"/>
  <c r="K607" i="43"/>
  <c r="K606" i="43"/>
  <c r="K605" i="43"/>
  <c r="K604" i="43"/>
  <c r="K603" i="43"/>
  <c r="K602" i="43"/>
  <c r="K601" i="43"/>
  <c r="K600" i="43"/>
  <c r="K599" i="43"/>
  <c r="K598" i="43"/>
  <c r="K597" i="43"/>
  <c r="K596" i="43"/>
  <c r="K595" i="43"/>
  <c r="K594" i="43"/>
  <c r="K593" i="43"/>
  <c r="K592" i="43"/>
  <c r="K591" i="43"/>
  <c r="J641" i="43"/>
  <c r="J640" i="43"/>
  <c r="J639" i="43"/>
  <c r="J638" i="43"/>
  <c r="J637" i="43"/>
  <c r="J636" i="43"/>
  <c r="J635" i="43"/>
  <c r="J634" i="43"/>
  <c r="J633" i="43"/>
  <c r="J632" i="43"/>
  <c r="J631" i="43"/>
  <c r="J630" i="43"/>
  <c r="J629" i="43"/>
  <c r="J628" i="43"/>
  <c r="J627" i="43"/>
  <c r="J626" i="43"/>
  <c r="J625" i="43"/>
  <c r="J624" i="43"/>
  <c r="J623" i="43"/>
  <c r="J622" i="43"/>
  <c r="J621" i="43"/>
  <c r="J620" i="43"/>
  <c r="J619" i="43"/>
  <c r="J618" i="43"/>
  <c r="J617" i="43"/>
  <c r="J616" i="43"/>
  <c r="J615" i="43"/>
  <c r="J614" i="43"/>
  <c r="J613" i="43"/>
  <c r="J612" i="43"/>
  <c r="J611" i="43"/>
  <c r="J610" i="43"/>
  <c r="J609" i="43"/>
  <c r="J608" i="43"/>
  <c r="J607" i="43"/>
  <c r="J606" i="43"/>
  <c r="J605" i="43"/>
  <c r="J604" i="43"/>
  <c r="J603" i="43"/>
  <c r="J602" i="43"/>
  <c r="J601" i="43"/>
  <c r="J600" i="43"/>
  <c r="J599" i="43"/>
  <c r="J598" i="43"/>
  <c r="J597" i="43"/>
  <c r="J596" i="43"/>
  <c r="J595" i="43"/>
  <c r="J594" i="43"/>
  <c r="J593" i="43"/>
  <c r="J592" i="43"/>
  <c r="J591" i="43"/>
  <c r="I641" i="43"/>
  <c r="I640" i="43"/>
  <c r="I639" i="43"/>
  <c r="I638" i="43"/>
  <c r="I637" i="43"/>
  <c r="I636" i="43"/>
  <c r="I635" i="43"/>
  <c r="I634" i="43"/>
  <c r="I633" i="43"/>
  <c r="I632" i="43"/>
  <c r="I631" i="43"/>
  <c r="I630" i="43"/>
  <c r="I629" i="43"/>
  <c r="I628" i="43"/>
  <c r="I627" i="43"/>
  <c r="I626" i="43"/>
  <c r="I625" i="43"/>
  <c r="I624" i="43"/>
  <c r="I623" i="43"/>
  <c r="I622" i="43"/>
  <c r="I621" i="43"/>
  <c r="I620" i="43"/>
  <c r="I619" i="43"/>
  <c r="I618" i="43"/>
  <c r="I617" i="43"/>
  <c r="I616" i="43"/>
  <c r="I615" i="43"/>
  <c r="I614" i="43"/>
  <c r="I613" i="43"/>
  <c r="I612" i="43"/>
  <c r="I611" i="43"/>
  <c r="I610" i="43"/>
  <c r="I609" i="43"/>
  <c r="I608" i="43"/>
  <c r="I607" i="43"/>
  <c r="I606" i="43"/>
  <c r="I605" i="43"/>
  <c r="I604" i="43"/>
  <c r="I603" i="43"/>
  <c r="I602" i="43"/>
  <c r="I601" i="43"/>
  <c r="I600" i="43"/>
  <c r="I599" i="43"/>
  <c r="I598" i="43"/>
  <c r="I597" i="43"/>
  <c r="I596" i="43"/>
  <c r="I595" i="43"/>
  <c r="I594" i="43"/>
  <c r="I593" i="43"/>
  <c r="I592" i="43"/>
  <c r="I591" i="43"/>
  <c r="L540" i="43"/>
  <c r="L541" i="43"/>
  <c r="L542" i="43"/>
  <c r="L543" i="43"/>
  <c r="L544" i="43"/>
  <c r="L545" i="43"/>
  <c r="L546" i="43"/>
  <c r="L547" i="43"/>
  <c r="L548" i="43"/>
  <c r="L549" i="43"/>
  <c r="L550" i="43"/>
  <c r="L551" i="43"/>
  <c r="L552" i="43"/>
  <c r="L553" i="43"/>
  <c r="L554" i="43"/>
  <c r="L555" i="43"/>
  <c r="L556" i="43"/>
  <c r="L557" i="43"/>
  <c r="L558" i="43"/>
  <c r="L559" i="43"/>
  <c r="L560" i="43"/>
  <c r="L561" i="43"/>
  <c r="L562" i="43"/>
  <c r="L563" i="43"/>
  <c r="L564" i="43"/>
  <c r="L565" i="43"/>
  <c r="L566" i="43"/>
  <c r="L567" i="43"/>
  <c r="L568" i="43"/>
  <c r="L569" i="43"/>
  <c r="L570" i="43"/>
  <c r="L571" i="43"/>
  <c r="L572" i="43"/>
  <c r="L573" i="43"/>
  <c r="L574" i="43"/>
  <c r="L575" i="43"/>
  <c r="L576" i="43"/>
  <c r="L577" i="43"/>
  <c r="L578" i="43"/>
  <c r="L579" i="43"/>
  <c r="L580" i="43"/>
  <c r="L581" i="43"/>
  <c r="L582" i="43"/>
  <c r="L583" i="43"/>
  <c r="L584" i="43"/>
  <c r="L585" i="43"/>
  <c r="L586" i="43"/>
  <c r="L587" i="43"/>
  <c r="L588" i="43"/>
  <c r="L589" i="43"/>
  <c r="L590" i="43"/>
  <c r="K540" i="43"/>
  <c r="K541" i="43"/>
  <c r="K542" i="43"/>
  <c r="K543" i="43"/>
  <c r="K544" i="43"/>
  <c r="K545" i="43"/>
  <c r="K546" i="43"/>
  <c r="K547" i="43"/>
  <c r="K548" i="43"/>
  <c r="K549" i="43"/>
  <c r="K550" i="43"/>
  <c r="K551" i="43"/>
  <c r="K552" i="43"/>
  <c r="K553" i="43"/>
  <c r="K554" i="43"/>
  <c r="K555" i="43"/>
  <c r="K556" i="43"/>
  <c r="K557" i="43"/>
  <c r="K558" i="43"/>
  <c r="K559" i="43"/>
  <c r="K560" i="43"/>
  <c r="K561" i="43"/>
  <c r="K562" i="43"/>
  <c r="K563" i="43"/>
  <c r="K564" i="43"/>
  <c r="K565" i="43"/>
  <c r="K566" i="43"/>
  <c r="K567" i="43"/>
  <c r="K568" i="43"/>
  <c r="K569" i="43"/>
  <c r="K570" i="43"/>
  <c r="K571" i="43"/>
  <c r="K572" i="43"/>
  <c r="K573" i="43"/>
  <c r="K574" i="43"/>
  <c r="K575" i="43"/>
  <c r="K576" i="43"/>
  <c r="K577" i="43"/>
  <c r="K578" i="43"/>
  <c r="K579" i="43"/>
  <c r="K580" i="43"/>
  <c r="K581" i="43"/>
  <c r="K582" i="43"/>
  <c r="K583" i="43"/>
  <c r="K584" i="43"/>
  <c r="K585" i="43"/>
  <c r="K586" i="43"/>
  <c r="K587" i="43"/>
  <c r="K588" i="43"/>
  <c r="K589" i="43"/>
  <c r="K590" i="43"/>
  <c r="J540" i="43"/>
  <c r="J541" i="43"/>
  <c r="J542" i="43"/>
  <c r="J543" i="43"/>
  <c r="J544" i="43"/>
  <c r="J545" i="43"/>
  <c r="J546" i="43"/>
  <c r="J547" i="43"/>
  <c r="J548" i="43"/>
  <c r="J549" i="43"/>
  <c r="J550" i="43"/>
  <c r="J551" i="43"/>
  <c r="J552" i="43"/>
  <c r="J553" i="43"/>
  <c r="J554" i="43"/>
  <c r="J555" i="43"/>
  <c r="J556" i="43"/>
  <c r="J557" i="43"/>
  <c r="J558" i="43"/>
  <c r="J559" i="43"/>
  <c r="J560" i="43"/>
  <c r="J561" i="43"/>
  <c r="J562" i="43"/>
  <c r="J563" i="43"/>
  <c r="J564" i="43"/>
  <c r="J565" i="43"/>
  <c r="J566" i="43"/>
  <c r="J567" i="43"/>
  <c r="J568" i="43"/>
  <c r="J569" i="43"/>
  <c r="J570" i="43"/>
  <c r="J571" i="43"/>
  <c r="J572" i="43"/>
  <c r="J573" i="43"/>
  <c r="J574" i="43"/>
  <c r="J575" i="43"/>
  <c r="J576" i="43"/>
  <c r="J577" i="43"/>
  <c r="J578" i="43"/>
  <c r="J579" i="43"/>
  <c r="J580" i="43"/>
  <c r="J581" i="43"/>
  <c r="J582" i="43"/>
  <c r="J583" i="43"/>
  <c r="J584" i="43"/>
  <c r="J585" i="43"/>
  <c r="J586" i="43"/>
  <c r="J587" i="43"/>
  <c r="J588" i="43"/>
  <c r="J589" i="43"/>
  <c r="J590" i="43"/>
  <c r="I540" i="43"/>
  <c r="I541" i="43"/>
  <c r="I542" i="43"/>
  <c r="I543" i="43"/>
  <c r="I544" i="43"/>
  <c r="I545" i="43"/>
  <c r="I546" i="43"/>
  <c r="I547" i="43"/>
  <c r="I548" i="43"/>
  <c r="I549" i="43"/>
  <c r="I550" i="43"/>
  <c r="I551" i="43"/>
  <c r="I552" i="43"/>
  <c r="I553" i="43"/>
  <c r="I554" i="43"/>
  <c r="I555" i="43"/>
  <c r="I556" i="43"/>
  <c r="I557" i="43"/>
  <c r="I558" i="43"/>
  <c r="I559" i="43"/>
  <c r="I560" i="43"/>
  <c r="I561" i="43"/>
  <c r="I562" i="43"/>
  <c r="I563" i="43"/>
  <c r="I564" i="43"/>
  <c r="I565" i="43"/>
  <c r="I566" i="43"/>
  <c r="I567" i="43"/>
  <c r="I568" i="43"/>
  <c r="I569" i="43"/>
  <c r="I570" i="43"/>
  <c r="I571" i="43"/>
  <c r="I572" i="43"/>
  <c r="I573" i="43"/>
  <c r="I574" i="43"/>
  <c r="I575" i="43"/>
  <c r="I576" i="43"/>
  <c r="I577" i="43"/>
  <c r="I578" i="43"/>
  <c r="I579" i="43"/>
  <c r="I580" i="43"/>
  <c r="I581" i="43"/>
  <c r="I582" i="43"/>
  <c r="I583" i="43"/>
  <c r="I584" i="43"/>
  <c r="I585" i="43"/>
  <c r="I586" i="43"/>
  <c r="I587" i="43"/>
  <c r="I588" i="43"/>
  <c r="I589" i="43"/>
  <c r="I590" i="43"/>
  <c r="L489" i="43"/>
  <c r="L490" i="43"/>
  <c r="L491" i="43"/>
  <c r="L492" i="43"/>
  <c r="L493" i="43"/>
  <c r="L494" i="43"/>
  <c r="L495" i="43"/>
  <c r="L496" i="43"/>
  <c r="L497" i="43"/>
  <c r="L498" i="43"/>
  <c r="L499" i="43"/>
  <c r="L500" i="43"/>
  <c r="L501" i="43"/>
  <c r="L502" i="43"/>
  <c r="L503" i="43"/>
  <c r="L504" i="43"/>
  <c r="L505" i="43"/>
  <c r="L506" i="43"/>
  <c r="L507" i="43"/>
  <c r="L508" i="43"/>
  <c r="L509" i="43"/>
  <c r="L510" i="43"/>
  <c r="L511" i="43"/>
  <c r="L512" i="43"/>
  <c r="L513" i="43"/>
  <c r="L514" i="43"/>
  <c r="L515" i="43"/>
  <c r="L516" i="43"/>
  <c r="L517" i="43"/>
  <c r="L518" i="43"/>
  <c r="L519" i="43"/>
  <c r="L520" i="43"/>
  <c r="L521" i="43"/>
  <c r="L522" i="43"/>
  <c r="L523" i="43"/>
  <c r="L524" i="43"/>
  <c r="L525" i="43"/>
  <c r="L526" i="43"/>
  <c r="L527" i="43"/>
  <c r="L528" i="43"/>
  <c r="L529" i="43"/>
  <c r="L530" i="43"/>
  <c r="L531" i="43"/>
  <c r="L532" i="43"/>
  <c r="L533" i="43"/>
  <c r="L534" i="43"/>
  <c r="L535" i="43"/>
  <c r="L536" i="43"/>
  <c r="L537" i="43"/>
  <c r="L538" i="43"/>
  <c r="L539" i="43"/>
  <c r="K489" i="43"/>
  <c r="K490" i="43"/>
  <c r="K491" i="43"/>
  <c r="K492" i="43"/>
  <c r="K493" i="43"/>
  <c r="K494" i="43"/>
  <c r="K495" i="43"/>
  <c r="K496" i="43"/>
  <c r="K497" i="43"/>
  <c r="K498" i="43"/>
  <c r="K499" i="43"/>
  <c r="K500" i="43"/>
  <c r="K501" i="43"/>
  <c r="K502" i="43"/>
  <c r="K503" i="43"/>
  <c r="K504" i="43"/>
  <c r="K505" i="43"/>
  <c r="K506" i="43"/>
  <c r="K507" i="43"/>
  <c r="K508" i="43"/>
  <c r="K509" i="43"/>
  <c r="K510" i="43"/>
  <c r="K511" i="43"/>
  <c r="K512" i="43"/>
  <c r="K513" i="43"/>
  <c r="K514" i="43"/>
  <c r="K515" i="43"/>
  <c r="K516" i="43"/>
  <c r="K517" i="43"/>
  <c r="K518" i="43"/>
  <c r="K519" i="43"/>
  <c r="K520" i="43"/>
  <c r="K521" i="43"/>
  <c r="K522" i="43"/>
  <c r="K523" i="43"/>
  <c r="K524" i="43"/>
  <c r="K525" i="43"/>
  <c r="K526" i="43"/>
  <c r="K527" i="43"/>
  <c r="K528" i="43"/>
  <c r="K529" i="43"/>
  <c r="K530" i="43"/>
  <c r="K531" i="43"/>
  <c r="K532" i="43"/>
  <c r="K533" i="43"/>
  <c r="K534" i="43"/>
  <c r="K535" i="43"/>
  <c r="K536" i="43"/>
  <c r="K537" i="43"/>
  <c r="K538" i="43"/>
  <c r="K539" i="43"/>
  <c r="J489" i="43"/>
  <c r="J490" i="43"/>
  <c r="J491" i="43"/>
  <c r="J492" i="43"/>
  <c r="J493" i="43"/>
  <c r="J494" i="43"/>
  <c r="J495" i="43"/>
  <c r="J496" i="43"/>
  <c r="J497" i="43"/>
  <c r="J498" i="43"/>
  <c r="J499" i="43"/>
  <c r="J500" i="43"/>
  <c r="J501" i="43"/>
  <c r="J502" i="43"/>
  <c r="J503" i="43"/>
  <c r="J504" i="43"/>
  <c r="J505" i="43"/>
  <c r="J506" i="43"/>
  <c r="J507" i="43"/>
  <c r="J508" i="43"/>
  <c r="J509" i="43"/>
  <c r="J510" i="43"/>
  <c r="J511" i="43"/>
  <c r="J512" i="43"/>
  <c r="J513" i="43"/>
  <c r="J514" i="43"/>
  <c r="J515" i="43"/>
  <c r="J516" i="43"/>
  <c r="J517" i="43"/>
  <c r="J518" i="43"/>
  <c r="J519" i="43"/>
  <c r="J520" i="43"/>
  <c r="J521" i="43"/>
  <c r="J522" i="43"/>
  <c r="J523" i="43"/>
  <c r="J524" i="43"/>
  <c r="J525" i="43"/>
  <c r="J526" i="43"/>
  <c r="J527" i="43"/>
  <c r="J528" i="43"/>
  <c r="J529" i="43"/>
  <c r="J530" i="43"/>
  <c r="J531" i="43"/>
  <c r="J532" i="43"/>
  <c r="J533" i="43"/>
  <c r="J534" i="43"/>
  <c r="J535" i="43"/>
  <c r="J536" i="43"/>
  <c r="J537" i="43"/>
  <c r="J538" i="43"/>
  <c r="J539" i="43"/>
  <c r="I489" i="43"/>
  <c r="I490" i="43"/>
  <c r="I491" i="43"/>
  <c r="I492" i="43"/>
  <c r="I493" i="43"/>
  <c r="I494" i="43"/>
  <c r="I495" i="43"/>
  <c r="I496" i="43"/>
  <c r="I497" i="43"/>
  <c r="I498" i="43"/>
  <c r="I499" i="43"/>
  <c r="I500" i="43"/>
  <c r="I501" i="43"/>
  <c r="I502" i="43"/>
  <c r="I503" i="43"/>
  <c r="I504" i="43"/>
  <c r="I505" i="43"/>
  <c r="I506" i="43"/>
  <c r="I507" i="43"/>
  <c r="I508" i="43"/>
  <c r="I509" i="43"/>
  <c r="I510" i="43"/>
  <c r="I511" i="43"/>
  <c r="I512" i="43"/>
  <c r="I513" i="43"/>
  <c r="I514" i="43"/>
  <c r="I515" i="43"/>
  <c r="I516" i="43"/>
  <c r="I517" i="43"/>
  <c r="I518" i="43"/>
  <c r="I519" i="43"/>
  <c r="I520" i="43"/>
  <c r="I521" i="43"/>
  <c r="I522" i="43"/>
  <c r="I523" i="43"/>
  <c r="I524" i="43"/>
  <c r="I525" i="43"/>
  <c r="I526" i="43"/>
  <c r="I527" i="43"/>
  <c r="I528" i="43"/>
  <c r="I529" i="43"/>
  <c r="I530" i="43"/>
  <c r="I531" i="43"/>
  <c r="I532" i="43"/>
  <c r="I533" i="43"/>
  <c r="I534" i="43"/>
  <c r="I535" i="43"/>
  <c r="I536" i="43"/>
  <c r="I537" i="43"/>
  <c r="I538" i="43"/>
  <c r="I539" i="43"/>
  <c r="L438" i="43"/>
  <c r="L439" i="43"/>
  <c r="L440" i="43"/>
  <c r="L441" i="43"/>
  <c r="L442" i="43"/>
  <c r="L443" i="43"/>
  <c r="L444" i="43"/>
  <c r="L445" i="43"/>
  <c r="L446" i="43"/>
  <c r="L447" i="43"/>
  <c r="L448" i="43"/>
  <c r="L449" i="43"/>
  <c r="L450" i="43"/>
  <c r="L451" i="43"/>
  <c r="L452" i="43"/>
  <c r="L453" i="43"/>
  <c r="L454" i="43"/>
  <c r="L455" i="43"/>
  <c r="L456" i="43"/>
  <c r="L457" i="43"/>
  <c r="L458" i="43"/>
  <c r="L459" i="43"/>
  <c r="L460" i="43"/>
  <c r="L461" i="43"/>
  <c r="L462" i="43"/>
  <c r="L463" i="43"/>
  <c r="L464" i="43"/>
  <c r="L465" i="43"/>
  <c r="L466" i="43"/>
  <c r="L467" i="43"/>
  <c r="L468" i="43"/>
  <c r="L469" i="43"/>
  <c r="L470" i="43"/>
  <c r="L471" i="43"/>
  <c r="L472" i="43"/>
  <c r="L473" i="43"/>
  <c r="L474" i="43"/>
  <c r="L475" i="43"/>
  <c r="L476" i="43"/>
  <c r="L477" i="43"/>
  <c r="L478" i="43"/>
  <c r="L479" i="43"/>
  <c r="L480" i="43"/>
  <c r="L481" i="43"/>
  <c r="L482" i="43"/>
  <c r="L483" i="43"/>
  <c r="L484" i="43"/>
  <c r="L485" i="43"/>
  <c r="L486" i="43"/>
  <c r="L487" i="43"/>
  <c r="L488" i="43"/>
  <c r="K438" i="43"/>
  <c r="K439" i="43"/>
  <c r="K440" i="43"/>
  <c r="K441" i="43"/>
  <c r="K442" i="43"/>
  <c r="K443" i="43"/>
  <c r="K444" i="43"/>
  <c r="K445" i="43"/>
  <c r="K446" i="43"/>
  <c r="K447" i="43"/>
  <c r="K448" i="43"/>
  <c r="K449" i="43"/>
  <c r="K450" i="43"/>
  <c r="K451" i="43"/>
  <c r="K452" i="43"/>
  <c r="K453" i="43"/>
  <c r="K454" i="43"/>
  <c r="K455" i="43"/>
  <c r="K456" i="43"/>
  <c r="K457" i="43"/>
  <c r="K458" i="43"/>
  <c r="K459" i="43"/>
  <c r="K460" i="43"/>
  <c r="K461" i="43"/>
  <c r="K462" i="43"/>
  <c r="K463" i="43"/>
  <c r="K464" i="43"/>
  <c r="K465" i="43"/>
  <c r="K466" i="43"/>
  <c r="K467" i="43"/>
  <c r="K468" i="43"/>
  <c r="K469" i="43"/>
  <c r="K470" i="43"/>
  <c r="K471" i="43"/>
  <c r="K472" i="43"/>
  <c r="K473" i="43"/>
  <c r="K474" i="43"/>
  <c r="K475" i="43"/>
  <c r="K476" i="43"/>
  <c r="K477" i="43"/>
  <c r="K478" i="43"/>
  <c r="K479" i="43"/>
  <c r="K480" i="43"/>
  <c r="K481" i="43"/>
  <c r="K482" i="43"/>
  <c r="K483" i="43"/>
  <c r="K484" i="43"/>
  <c r="K485" i="43"/>
  <c r="K486" i="43"/>
  <c r="K487" i="43"/>
  <c r="K488" i="43"/>
  <c r="J438" i="43"/>
  <c r="J439" i="43"/>
  <c r="J440" i="43"/>
  <c r="J441" i="43"/>
  <c r="J442" i="43"/>
  <c r="J443" i="43"/>
  <c r="J444" i="43"/>
  <c r="J445" i="43"/>
  <c r="J446" i="43"/>
  <c r="J447" i="43"/>
  <c r="J448" i="43"/>
  <c r="J449" i="43"/>
  <c r="J450" i="43"/>
  <c r="J451" i="43"/>
  <c r="J452" i="43"/>
  <c r="J453" i="43"/>
  <c r="J454" i="43"/>
  <c r="J455" i="43"/>
  <c r="J456" i="43"/>
  <c r="J457" i="43"/>
  <c r="J458" i="43"/>
  <c r="J459" i="43"/>
  <c r="J460" i="43"/>
  <c r="J461" i="43"/>
  <c r="J462" i="43"/>
  <c r="J463" i="43"/>
  <c r="J464" i="43"/>
  <c r="J465" i="43"/>
  <c r="J466" i="43"/>
  <c r="J467" i="43"/>
  <c r="J468" i="43"/>
  <c r="J469" i="43"/>
  <c r="J470" i="43"/>
  <c r="J471" i="43"/>
  <c r="J472" i="43"/>
  <c r="J473" i="43"/>
  <c r="J474" i="43"/>
  <c r="J475" i="43"/>
  <c r="J476" i="43"/>
  <c r="J477" i="43"/>
  <c r="J478" i="43"/>
  <c r="J479" i="43"/>
  <c r="J480" i="43"/>
  <c r="J481" i="43"/>
  <c r="J482" i="43"/>
  <c r="J483" i="43"/>
  <c r="J484" i="43"/>
  <c r="J485" i="43"/>
  <c r="J486" i="43"/>
  <c r="J487" i="43"/>
  <c r="J488" i="43"/>
  <c r="I438" i="43"/>
  <c r="I439" i="43"/>
  <c r="I440" i="43"/>
  <c r="I441" i="43"/>
  <c r="I442" i="43"/>
  <c r="I443" i="43"/>
  <c r="I444" i="43"/>
  <c r="I445" i="43"/>
  <c r="I446" i="43"/>
  <c r="I447" i="43"/>
  <c r="I448" i="43"/>
  <c r="I449" i="43"/>
  <c r="I450" i="43"/>
  <c r="I451" i="43"/>
  <c r="I452" i="43"/>
  <c r="I453" i="43"/>
  <c r="I454" i="43"/>
  <c r="I455" i="43"/>
  <c r="I456" i="43"/>
  <c r="I457" i="43"/>
  <c r="I458" i="43"/>
  <c r="I459" i="43"/>
  <c r="I460" i="43"/>
  <c r="I461" i="43"/>
  <c r="I462" i="43"/>
  <c r="I463" i="43"/>
  <c r="I464" i="43"/>
  <c r="I465" i="43"/>
  <c r="I466" i="43"/>
  <c r="I467" i="43"/>
  <c r="I468" i="43"/>
  <c r="I469" i="43"/>
  <c r="I470" i="43"/>
  <c r="I471" i="43"/>
  <c r="I472" i="43"/>
  <c r="I473" i="43"/>
  <c r="I474" i="43"/>
  <c r="I475" i="43"/>
  <c r="I476" i="43"/>
  <c r="I477" i="43"/>
  <c r="I478" i="43"/>
  <c r="I479" i="43"/>
  <c r="I480" i="43"/>
  <c r="I481" i="43"/>
  <c r="I482" i="43"/>
  <c r="I483" i="43"/>
  <c r="I484" i="43"/>
  <c r="I485" i="43"/>
  <c r="I486" i="43"/>
  <c r="I487" i="43"/>
  <c r="I488" i="43"/>
  <c r="L387" i="43"/>
  <c r="L388" i="43"/>
  <c r="L389" i="43"/>
  <c r="L390" i="43"/>
  <c r="L391" i="43"/>
  <c r="L392" i="43"/>
  <c r="L393" i="43"/>
  <c r="L394" i="43"/>
  <c r="L395" i="43"/>
  <c r="L396" i="43"/>
  <c r="L397" i="43"/>
  <c r="L398" i="43"/>
  <c r="L399" i="43"/>
  <c r="L400" i="43"/>
  <c r="L401" i="43"/>
  <c r="L402" i="43"/>
  <c r="L403" i="43"/>
  <c r="L404" i="43"/>
  <c r="L405" i="43"/>
  <c r="L406" i="43"/>
  <c r="L407" i="43"/>
  <c r="L408" i="43"/>
  <c r="L409" i="43"/>
  <c r="L410" i="43"/>
  <c r="L411" i="43"/>
  <c r="L412" i="43"/>
  <c r="L413" i="43"/>
  <c r="L414" i="43"/>
  <c r="L415" i="43"/>
  <c r="L416" i="43"/>
  <c r="L417" i="43"/>
  <c r="L418" i="43"/>
  <c r="L419" i="43"/>
  <c r="L420" i="43"/>
  <c r="L421" i="43"/>
  <c r="L422" i="43"/>
  <c r="L423" i="43"/>
  <c r="L424" i="43"/>
  <c r="L425" i="43"/>
  <c r="L426" i="43"/>
  <c r="L427" i="43"/>
  <c r="L428" i="43"/>
  <c r="L429" i="43"/>
  <c r="L430" i="43"/>
  <c r="L431" i="43"/>
  <c r="L432" i="43"/>
  <c r="L433" i="43"/>
  <c r="L434" i="43"/>
  <c r="L435" i="43"/>
  <c r="L436" i="43"/>
  <c r="L437" i="43"/>
  <c r="K387" i="43"/>
  <c r="K388" i="43"/>
  <c r="K389" i="43"/>
  <c r="K390" i="43"/>
  <c r="K391" i="43"/>
  <c r="K392" i="43"/>
  <c r="K393" i="43"/>
  <c r="K394" i="43"/>
  <c r="K395" i="43"/>
  <c r="K396" i="43"/>
  <c r="K397" i="43"/>
  <c r="K398" i="43"/>
  <c r="K399" i="43"/>
  <c r="K400" i="43"/>
  <c r="K401" i="43"/>
  <c r="K402" i="43"/>
  <c r="K403" i="43"/>
  <c r="K404" i="43"/>
  <c r="K405" i="43"/>
  <c r="K406" i="43"/>
  <c r="K407" i="43"/>
  <c r="K408" i="43"/>
  <c r="K409" i="43"/>
  <c r="K410" i="43"/>
  <c r="K411" i="43"/>
  <c r="K412" i="43"/>
  <c r="K413" i="43"/>
  <c r="K414" i="43"/>
  <c r="K415" i="43"/>
  <c r="K416" i="43"/>
  <c r="K417" i="43"/>
  <c r="K418" i="43"/>
  <c r="K419" i="43"/>
  <c r="K420" i="43"/>
  <c r="K421" i="43"/>
  <c r="K422" i="43"/>
  <c r="K423" i="43"/>
  <c r="K424" i="43"/>
  <c r="K425" i="43"/>
  <c r="K426" i="43"/>
  <c r="K427" i="43"/>
  <c r="K428" i="43"/>
  <c r="K429" i="43"/>
  <c r="K430" i="43"/>
  <c r="K431" i="43"/>
  <c r="K432" i="43"/>
  <c r="K433" i="43"/>
  <c r="K434" i="43"/>
  <c r="K435" i="43"/>
  <c r="K436" i="43"/>
  <c r="K437" i="43"/>
  <c r="J387" i="43"/>
  <c r="J388" i="43"/>
  <c r="J389" i="43"/>
  <c r="J390" i="43"/>
  <c r="J391" i="43"/>
  <c r="J392" i="43"/>
  <c r="J393" i="43"/>
  <c r="J394" i="43"/>
  <c r="J395" i="43"/>
  <c r="J396" i="43"/>
  <c r="J397" i="43"/>
  <c r="J398" i="43"/>
  <c r="J399" i="43"/>
  <c r="J400" i="43"/>
  <c r="J401" i="43"/>
  <c r="J402" i="43"/>
  <c r="J403" i="43"/>
  <c r="J404" i="43"/>
  <c r="J405" i="43"/>
  <c r="J406" i="43"/>
  <c r="J407" i="43"/>
  <c r="J408" i="43"/>
  <c r="J409" i="43"/>
  <c r="J410" i="43"/>
  <c r="J411" i="43"/>
  <c r="J412" i="43"/>
  <c r="J413" i="43"/>
  <c r="J414" i="43"/>
  <c r="J415" i="43"/>
  <c r="J416" i="43"/>
  <c r="J417" i="43"/>
  <c r="J418" i="43"/>
  <c r="J419" i="43"/>
  <c r="J420" i="43"/>
  <c r="J421" i="43"/>
  <c r="J422" i="43"/>
  <c r="J423" i="43"/>
  <c r="J424" i="43"/>
  <c r="J425" i="43"/>
  <c r="J426" i="43"/>
  <c r="J427" i="43"/>
  <c r="J428" i="43"/>
  <c r="J429" i="43"/>
  <c r="J430" i="43"/>
  <c r="J431" i="43"/>
  <c r="J432" i="43"/>
  <c r="J433" i="43"/>
  <c r="J434" i="43"/>
  <c r="J435" i="43"/>
  <c r="J436" i="43"/>
  <c r="J437" i="43"/>
  <c r="I387" i="43"/>
  <c r="I388" i="43"/>
  <c r="I389" i="43"/>
  <c r="I390" i="43"/>
  <c r="I391" i="43"/>
  <c r="I392" i="43"/>
  <c r="I393" i="43"/>
  <c r="I394" i="43"/>
  <c r="I395" i="43"/>
  <c r="I396" i="43"/>
  <c r="I397" i="43"/>
  <c r="I398" i="43"/>
  <c r="I399" i="43"/>
  <c r="I400" i="43"/>
  <c r="I401" i="43"/>
  <c r="I402" i="43"/>
  <c r="I403" i="43"/>
  <c r="I404" i="43"/>
  <c r="I405" i="43"/>
  <c r="I406" i="43"/>
  <c r="I407" i="43"/>
  <c r="I408" i="43"/>
  <c r="I409" i="43"/>
  <c r="I410" i="43"/>
  <c r="I411" i="43"/>
  <c r="I412" i="43"/>
  <c r="I413" i="43"/>
  <c r="I414" i="43"/>
  <c r="I415" i="43"/>
  <c r="I416" i="43"/>
  <c r="I417" i="43"/>
  <c r="I418" i="43"/>
  <c r="I419" i="43"/>
  <c r="I420" i="43"/>
  <c r="I421" i="43"/>
  <c r="I422" i="43"/>
  <c r="I423" i="43"/>
  <c r="I424" i="43"/>
  <c r="I425" i="43"/>
  <c r="I426" i="43"/>
  <c r="I427" i="43"/>
  <c r="I428" i="43"/>
  <c r="I429" i="43"/>
  <c r="I430" i="43"/>
  <c r="I431" i="43"/>
  <c r="I432" i="43"/>
  <c r="I433" i="43"/>
  <c r="I434" i="43"/>
  <c r="I435" i="43"/>
  <c r="I436" i="43"/>
  <c r="I437" i="43"/>
  <c r="L336" i="43"/>
  <c r="L337" i="43"/>
  <c r="L338" i="43"/>
  <c r="L339" i="43"/>
  <c r="L340" i="43"/>
  <c r="L341" i="43"/>
  <c r="L342" i="43"/>
  <c r="L343" i="43"/>
  <c r="L344" i="43"/>
  <c r="L345" i="43"/>
  <c r="L346" i="43"/>
  <c r="L347" i="43"/>
  <c r="L348" i="43"/>
  <c r="L349" i="43"/>
  <c r="L350" i="43"/>
  <c r="L351" i="43"/>
  <c r="L352" i="43"/>
  <c r="L353" i="43"/>
  <c r="L354" i="43"/>
  <c r="L355" i="43"/>
  <c r="L356" i="43"/>
  <c r="L357" i="43"/>
  <c r="L358" i="43"/>
  <c r="L359" i="43"/>
  <c r="L360" i="43"/>
  <c r="L361" i="43"/>
  <c r="L362" i="43"/>
  <c r="L363" i="43"/>
  <c r="L364" i="43"/>
  <c r="L365" i="43"/>
  <c r="L366" i="43"/>
  <c r="L367" i="43"/>
  <c r="L368" i="43"/>
  <c r="L369" i="43"/>
  <c r="L370" i="43"/>
  <c r="L371" i="43"/>
  <c r="L372" i="43"/>
  <c r="L373" i="43"/>
  <c r="L374" i="43"/>
  <c r="L375" i="43"/>
  <c r="L376" i="43"/>
  <c r="L377" i="43"/>
  <c r="L378" i="43"/>
  <c r="L379" i="43"/>
  <c r="L380" i="43"/>
  <c r="L381" i="43"/>
  <c r="L382" i="43"/>
  <c r="L383" i="43"/>
  <c r="L384" i="43"/>
  <c r="L385" i="43"/>
  <c r="L386" i="43"/>
  <c r="K336" i="43"/>
  <c r="K337" i="43"/>
  <c r="K338" i="43"/>
  <c r="K339" i="43"/>
  <c r="K340" i="43"/>
  <c r="K341" i="43"/>
  <c r="K342" i="43"/>
  <c r="K343" i="43"/>
  <c r="K344" i="43"/>
  <c r="K345" i="43"/>
  <c r="K346" i="43"/>
  <c r="K347" i="43"/>
  <c r="K348" i="43"/>
  <c r="K349" i="43"/>
  <c r="K350" i="43"/>
  <c r="K351" i="43"/>
  <c r="K352" i="43"/>
  <c r="K353" i="43"/>
  <c r="K354" i="43"/>
  <c r="K355" i="43"/>
  <c r="K356" i="43"/>
  <c r="K357" i="43"/>
  <c r="K358" i="43"/>
  <c r="K359" i="43"/>
  <c r="K360" i="43"/>
  <c r="K361" i="43"/>
  <c r="K362" i="43"/>
  <c r="K363" i="43"/>
  <c r="K364" i="43"/>
  <c r="K365" i="43"/>
  <c r="K366" i="43"/>
  <c r="K367" i="43"/>
  <c r="K368" i="43"/>
  <c r="K369" i="43"/>
  <c r="K370" i="43"/>
  <c r="K371" i="43"/>
  <c r="K372" i="43"/>
  <c r="K373" i="43"/>
  <c r="K374" i="43"/>
  <c r="K375" i="43"/>
  <c r="K376" i="43"/>
  <c r="K377" i="43"/>
  <c r="K378" i="43"/>
  <c r="K379" i="43"/>
  <c r="K380" i="43"/>
  <c r="K381" i="43"/>
  <c r="K382" i="43"/>
  <c r="K383" i="43"/>
  <c r="K384" i="43"/>
  <c r="K385" i="43"/>
  <c r="K386" i="43"/>
  <c r="J336" i="43"/>
  <c r="J337" i="43"/>
  <c r="J338" i="43"/>
  <c r="J339" i="43"/>
  <c r="J340" i="43"/>
  <c r="J341" i="43"/>
  <c r="J342" i="43"/>
  <c r="J343" i="43"/>
  <c r="J344" i="43"/>
  <c r="J345" i="43"/>
  <c r="J346" i="43"/>
  <c r="J347" i="43"/>
  <c r="J348" i="43"/>
  <c r="J349" i="43"/>
  <c r="J350" i="43"/>
  <c r="J351" i="43"/>
  <c r="J352" i="43"/>
  <c r="J353" i="43"/>
  <c r="J354" i="43"/>
  <c r="J355" i="43"/>
  <c r="J356" i="43"/>
  <c r="J357" i="43"/>
  <c r="J358" i="43"/>
  <c r="J359" i="43"/>
  <c r="J360" i="43"/>
  <c r="J361" i="43"/>
  <c r="J362" i="43"/>
  <c r="J363" i="43"/>
  <c r="J364" i="43"/>
  <c r="J365" i="43"/>
  <c r="J366" i="43"/>
  <c r="J367" i="43"/>
  <c r="J368" i="43"/>
  <c r="J369" i="43"/>
  <c r="J370" i="43"/>
  <c r="J371" i="43"/>
  <c r="J372" i="43"/>
  <c r="J373" i="43"/>
  <c r="J374" i="43"/>
  <c r="J375" i="43"/>
  <c r="J376" i="43"/>
  <c r="J377" i="43"/>
  <c r="J378" i="43"/>
  <c r="J379" i="43"/>
  <c r="J380" i="43"/>
  <c r="J381" i="43"/>
  <c r="J382" i="43"/>
  <c r="J383" i="43"/>
  <c r="J384" i="43"/>
  <c r="J385" i="43"/>
  <c r="J386" i="43"/>
  <c r="I336" i="43"/>
  <c r="I337" i="43"/>
  <c r="I338" i="43"/>
  <c r="I339" i="43"/>
  <c r="I340" i="43"/>
  <c r="I341" i="43"/>
  <c r="I342" i="43"/>
  <c r="I343" i="43"/>
  <c r="I344" i="43"/>
  <c r="I345" i="43"/>
  <c r="I346" i="43"/>
  <c r="I347" i="43"/>
  <c r="I348" i="43"/>
  <c r="I349" i="43"/>
  <c r="I350" i="43"/>
  <c r="I351" i="43"/>
  <c r="I352" i="43"/>
  <c r="I353" i="43"/>
  <c r="I354" i="43"/>
  <c r="I355" i="43"/>
  <c r="I356" i="43"/>
  <c r="I357" i="43"/>
  <c r="I358" i="43"/>
  <c r="I359" i="43"/>
  <c r="I360" i="43"/>
  <c r="I361" i="43"/>
  <c r="I362" i="43"/>
  <c r="I363" i="43"/>
  <c r="I364" i="43"/>
  <c r="I365" i="43"/>
  <c r="I366" i="43"/>
  <c r="I367" i="43"/>
  <c r="I368" i="43"/>
  <c r="I369" i="43"/>
  <c r="I370" i="43"/>
  <c r="I371" i="43"/>
  <c r="I372" i="43"/>
  <c r="I373" i="43"/>
  <c r="I374" i="43"/>
  <c r="I375" i="43"/>
  <c r="I376" i="43"/>
  <c r="I377" i="43"/>
  <c r="I378" i="43"/>
  <c r="I379" i="43"/>
  <c r="I380" i="43"/>
  <c r="I381" i="43"/>
  <c r="I382" i="43"/>
  <c r="I383" i="43"/>
  <c r="I384" i="43"/>
  <c r="I385" i="43"/>
  <c r="I386" i="43"/>
  <c r="L282" i="43"/>
  <c r="L283" i="43"/>
  <c r="L284" i="43"/>
  <c r="L285" i="43"/>
  <c r="L286" i="43"/>
  <c r="L287" i="43"/>
  <c r="L288" i="43"/>
  <c r="L289" i="43"/>
  <c r="L290" i="43"/>
  <c r="L291" i="43"/>
  <c r="L292" i="43"/>
  <c r="L293" i="43"/>
  <c r="L294" i="43"/>
  <c r="L295" i="43"/>
  <c r="L296" i="43"/>
  <c r="L297" i="43"/>
  <c r="L298" i="43"/>
  <c r="L299" i="43"/>
  <c r="L300" i="43"/>
  <c r="L301" i="43"/>
  <c r="L302" i="43"/>
  <c r="L303" i="43"/>
  <c r="L304" i="43"/>
  <c r="L305" i="43"/>
  <c r="L306" i="43"/>
  <c r="L307" i="43"/>
  <c r="L308" i="43"/>
  <c r="L309" i="43"/>
  <c r="L310" i="43"/>
  <c r="L311" i="43"/>
  <c r="L312" i="43"/>
  <c r="L313" i="43"/>
  <c r="L314" i="43"/>
  <c r="L315" i="43"/>
  <c r="L316" i="43"/>
  <c r="L317" i="43"/>
  <c r="L318" i="43"/>
  <c r="L319" i="43"/>
  <c r="L320" i="43"/>
  <c r="L321" i="43"/>
  <c r="L322" i="43"/>
  <c r="L323" i="43"/>
  <c r="L324" i="43"/>
  <c r="L325" i="43"/>
  <c r="L326" i="43"/>
  <c r="L327" i="43"/>
  <c r="L328" i="43"/>
  <c r="L329" i="43"/>
  <c r="L330" i="43"/>
  <c r="L331" i="43"/>
  <c r="L332" i="43"/>
  <c r="K282" i="43"/>
  <c r="K283" i="43"/>
  <c r="K284" i="43"/>
  <c r="K285" i="43"/>
  <c r="K286" i="43"/>
  <c r="K287" i="43"/>
  <c r="K288" i="43"/>
  <c r="K289" i="43"/>
  <c r="K290" i="43"/>
  <c r="K291" i="43"/>
  <c r="K292" i="43"/>
  <c r="K293" i="43"/>
  <c r="K294" i="43"/>
  <c r="K295" i="43"/>
  <c r="K296" i="43"/>
  <c r="K297" i="43"/>
  <c r="K298" i="43"/>
  <c r="K299" i="43"/>
  <c r="K300" i="43"/>
  <c r="K301" i="43"/>
  <c r="K302" i="43"/>
  <c r="K303" i="43"/>
  <c r="K304" i="43"/>
  <c r="K305" i="43"/>
  <c r="K306" i="43"/>
  <c r="K307" i="43"/>
  <c r="K308" i="43"/>
  <c r="K309" i="43"/>
  <c r="K310" i="43"/>
  <c r="K311" i="43"/>
  <c r="K312" i="43"/>
  <c r="K313" i="43"/>
  <c r="K314" i="43"/>
  <c r="K315" i="43"/>
  <c r="K316" i="43"/>
  <c r="K317" i="43"/>
  <c r="K318" i="43"/>
  <c r="K319" i="43"/>
  <c r="K320" i="43"/>
  <c r="K321" i="43"/>
  <c r="K322" i="43"/>
  <c r="K323" i="43"/>
  <c r="K324" i="43"/>
  <c r="K325" i="43"/>
  <c r="K326" i="43"/>
  <c r="K327" i="43"/>
  <c r="K328" i="43"/>
  <c r="K329" i="43"/>
  <c r="K330" i="43"/>
  <c r="K331" i="43"/>
  <c r="K332" i="43"/>
  <c r="J282" i="43"/>
  <c r="J283" i="43"/>
  <c r="J284" i="43"/>
  <c r="J285" i="43"/>
  <c r="J286" i="43"/>
  <c r="J287" i="43"/>
  <c r="J288" i="43"/>
  <c r="J289" i="43"/>
  <c r="J290" i="43"/>
  <c r="J291" i="43"/>
  <c r="J292" i="43"/>
  <c r="J293" i="43"/>
  <c r="J294" i="43"/>
  <c r="J295" i="43"/>
  <c r="J296" i="43"/>
  <c r="J297" i="43"/>
  <c r="J298" i="43"/>
  <c r="J299" i="43"/>
  <c r="J300" i="43"/>
  <c r="J301" i="43"/>
  <c r="J302" i="43"/>
  <c r="J303" i="43"/>
  <c r="J304" i="43"/>
  <c r="J305" i="43"/>
  <c r="J306" i="43"/>
  <c r="J307" i="43"/>
  <c r="J308" i="43"/>
  <c r="J309" i="43"/>
  <c r="J310" i="43"/>
  <c r="J311" i="43"/>
  <c r="J312" i="43"/>
  <c r="J313" i="43"/>
  <c r="J314" i="43"/>
  <c r="J315" i="43"/>
  <c r="J316" i="43"/>
  <c r="J317" i="43"/>
  <c r="J318" i="43"/>
  <c r="J319" i="43"/>
  <c r="J320" i="43"/>
  <c r="J321" i="43"/>
  <c r="J322" i="43"/>
  <c r="J323" i="43"/>
  <c r="J324" i="43"/>
  <c r="J325" i="43"/>
  <c r="J326" i="43"/>
  <c r="J327" i="43"/>
  <c r="J328" i="43"/>
  <c r="J329" i="43"/>
  <c r="J330" i="43"/>
  <c r="J331" i="43"/>
  <c r="J332" i="43"/>
  <c r="I282" i="43"/>
  <c r="I283" i="43"/>
  <c r="I284" i="43"/>
  <c r="I285" i="43"/>
  <c r="I286" i="43"/>
  <c r="I287" i="43"/>
  <c r="I288" i="43"/>
  <c r="I289" i="43"/>
  <c r="I290" i="43"/>
  <c r="I291" i="43"/>
  <c r="I292" i="43"/>
  <c r="I293" i="43"/>
  <c r="I294" i="43"/>
  <c r="I295" i="43"/>
  <c r="I296" i="43"/>
  <c r="I297" i="43"/>
  <c r="I298" i="43"/>
  <c r="I299" i="43"/>
  <c r="I300" i="43"/>
  <c r="I301" i="43"/>
  <c r="I302" i="43"/>
  <c r="I303" i="43"/>
  <c r="I304" i="43"/>
  <c r="I305" i="43"/>
  <c r="I306" i="43"/>
  <c r="I307" i="43"/>
  <c r="I308" i="43"/>
  <c r="I309" i="43"/>
  <c r="I310" i="43"/>
  <c r="I311" i="43"/>
  <c r="I312" i="43"/>
  <c r="I313" i="43"/>
  <c r="I314" i="43"/>
  <c r="I315" i="43"/>
  <c r="I316" i="43"/>
  <c r="I317" i="43"/>
  <c r="I318" i="43"/>
  <c r="I319" i="43"/>
  <c r="I320" i="43"/>
  <c r="I321" i="43"/>
  <c r="I322" i="43"/>
  <c r="I323" i="43"/>
  <c r="I324" i="43"/>
  <c r="I325" i="43"/>
  <c r="I326" i="43"/>
  <c r="I327" i="43"/>
  <c r="I328" i="43"/>
  <c r="I329" i="43"/>
  <c r="I330" i="43"/>
  <c r="I331" i="43"/>
  <c r="I332" i="43"/>
  <c r="L231" i="43"/>
  <c r="L232" i="43"/>
  <c r="L233" i="43"/>
  <c r="L234" i="43"/>
  <c r="L235" i="43"/>
  <c r="L236" i="43"/>
  <c r="L237" i="43"/>
  <c r="L238" i="43"/>
  <c r="L239" i="43"/>
  <c r="L240" i="43"/>
  <c r="L241" i="43"/>
  <c r="L242" i="43"/>
  <c r="L243" i="43"/>
  <c r="L244" i="43"/>
  <c r="L245" i="43"/>
  <c r="L246" i="43"/>
  <c r="L247" i="43"/>
  <c r="L248" i="43"/>
  <c r="L249" i="43"/>
  <c r="L250" i="43"/>
  <c r="L251" i="43"/>
  <c r="L252" i="43"/>
  <c r="L253" i="43"/>
  <c r="L254" i="43"/>
  <c r="L255" i="43"/>
  <c r="L256" i="43"/>
  <c r="L257" i="43"/>
  <c r="L258" i="43"/>
  <c r="L259" i="43"/>
  <c r="L260" i="43"/>
  <c r="L261" i="43"/>
  <c r="L262" i="43"/>
  <c r="L263" i="43"/>
  <c r="L264" i="43"/>
  <c r="L265" i="43"/>
  <c r="L266" i="43"/>
  <c r="L267" i="43"/>
  <c r="L268" i="43"/>
  <c r="L269" i="43"/>
  <c r="L270" i="43"/>
  <c r="L271" i="43"/>
  <c r="L272" i="43"/>
  <c r="L273" i="43"/>
  <c r="L274" i="43"/>
  <c r="L275" i="43"/>
  <c r="L276" i="43"/>
  <c r="L277" i="43"/>
  <c r="L278" i="43"/>
  <c r="L279" i="43"/>
  <c r="L280" i="43"/>
  <c r="L281" i="43"/>
  <c r="K231" i="43"/>
  <c r="K232" i="43"/>
  <c r="K233" i="43"/>
  <c r="K234" i="43"/>
  <c r="K235" i="43"/>
  <c r="K236" i="43"/>
  <c r="K237" i="43"/>
  <c r="K238" i="43"/>
  <c r="K239" i="43"/>
  <c r="K240" i="43"/>
  <c r="K241" i="43"/>
  <c r="K242" i="43"/>
  <c r="K243" i="43"/>
  <c r="K244" i="43"/>
  <c r="K245" i="43"/>
  <c r="K246" i="43"/>
  <c r="K247" i="43"/>
  <c r="K248" i="43"/>
  <c r="K249" i="43"/>
  <c r="K250" i="43"/>
  <c r="K251" i="43"/>
  <c r="K252" i="43"/>
  <c r="K253" i="43"/>
  <c r="K254" i="43"/>
  <c r="K255" i="43"/>
  <c r="K256" i="43"/>
  <c r="K257" i="43"/>
  <c r="K258" i="43"/>
  <c r="K259" i="43"/>
  <c r="K260" i="43"/>
  <c r="K261" i="43"/>
  <c r="K262" i="43"/>
  <c r="K263" i="43"/>
  <c r="K264" i="43"/>
  <c r="K265" i="43"/>
  <c r="K266" i="43"/>
  <c r="K267" i="43"/>
  <c r="K268" i="43"/>
  <c r="K269" i="43"/>
  <c r="K270" i="43"/>
  <c r="K271" i="43"/>
  <c r="K272" i="43"/>
  <c r="K273" i="43"/>
  <c r="K274" i="43"/>
  <c r="K275" i="43"/>
  <c r="K276" i="43"/>
  <c r="K277" i="43"/>
  <c r="K278" i="43"/>
  <c r="K279" i="43"/>
  <c r="K280" i="43"/>
  <c r="K281" i="43"/>
  <c r="J231" i="43"/>
  <c r="J232" i="43"/>
  <c r="J233" i="43"/>
  <c r="J234" i="43"/>
  <c r="J235" i="43"/>
  <c r="J236" i="43"/>
  <c r="J237" i="43"/>
  <c r="J238" i="43"/>
  <c r="J239" i="43"/>
  <c r="J240" i="43"/>
  <c r="J241" i="43"/>
  <c r="J242" i="43"/>
  <c r="J243" i="43"/>
  <c r="J244" i="43"/>
  <c r="J245" i="43"/>
  <c r="J246" i="43"/>
  <c r="J247" i="43"/>
  <c r="J248" i="43"/>
  <c r="J249" i="43"/>
  <c r="J250" i="43"/>
  <c r="J251" i="43"/>
  <c r="J252" i="43"/>
  <c r="J253" i="43"/>
  <c r="J254" i="43"/>
  <c r="J255" i="43"/>
  <c r="J256" i="43"/>
  <c r="J257" i="43"/>
  <c r="J258" i="43"/>
  <c r="J259" i="43"/>
  <c r="J260" i="43"/>
  <c r="J261" i="43"/>
  <c r="J262" i="43"/>
  <c r="J263" i="43"/>
  <c r="J264" i="43"/>
  <c r="J265" i="43"/>
  <c r="J266" i="43"/>
  <c r="J267" i="43"/>
  <c r="J268" i="43"/>
  <c r="J269" i="43"/>
  <c r="J270" i="43"/>
  <c r="J271" i="43"/>
  <c r="J272" i="43"/>
  <c r="J273" i="43"/>
  <c r="J274" i="43"/>
  <c r="J275" i="43"/>
  <c r="J276" i="43"/>
  <c r="J277" i="43"/>
  <c r="J278" i="43"/>
  <c r="J279" i="43"/>
  <c r="J280" i="43"/>
  <c r="J281" i="43"/>
  <c r="I231" i="43"/>
  <c r="I232" i="43"/>
  <c r="I233" i="43"/>
  <c r="I234" i="43"/>
  <c r="I235" i="43"/>
  <c r="I236" i="43"/>
  <c r="I237" i="43"/>
  <c r="I238" i="43"/>
  <c r="I239" i="43"/>
  <c r="I240" i="43"/>
  <c r="I241" i="43"/>
  <c r="I242" i="43"/>
  <c r="I243" i="43"/>
  <c r="I244" i="43"/>
  <c r="I245" i="43"/>
  <c r="I246" i="43"/>
  <c r="I247" i="43"/>
  <c r="I248" i="43"/>
  <c r="I249" i="43"/>
  <c r="I250" i="43"/>
  <c r="I251" i="43"/>
  <c r="I252" i="43"/>
  <c r="I253" i="43"/>
  <c r="I254" i="43"/>
  <c r="I255" i="43"/>
  <c r="I256" i="43"/>
  <c r="I257" i="43"/>
  <c r="I258" i="43"/>
  <c r="I259" i="43"/>
  <c r="I260" i="43"/>
  <c r="I261" i="43"/>
  <c r="I262" i="43"/>
  <c r="I263" i="43"/>
  <c r="I264" i="43"/>
  <c r="I265" i="43"/>
  <c r="I266" i="43"/>
  <c r="I267" i="43"/>
  <c r="I268" i="43"/>
  <c r="I269" i="43"/>
  <c r="I270" i="43"/>
  <c r="I271" i="43"/>
  <c r="I272" i="43"/>
  <c r="I273" i="43"/>
  <c r="I274" i="43"/>
  <c r="I275" i="43"/>
  <c r="I276" i="43"/>
  <c r="I277" i="43"/>
  <c r="I278" i="43"/>
  <c r="I279" i="43"/>
  <c r="I280" i="43"/>
  <c r="I281" i="43"/>
  <c r="L180" i="43"/>
  <c r="L181" i="43"/>
  <c r="L182" i="43"/>
  <c r="L183" i="43"/>
  <c r="L184" i="43"/>
  <c r="L185" i="43"/>
  <c r="L186" i="43"/>
  <c r="L187" i="43"/>
  <c r="L188" i="43"/>
  <c r="L189" i="43"/>
  <c r="L190" i="43"/>
  <c r="L191" i="43"/>
  <c r="L192" i="43"/>
  <c r="L193" i="43"/>
  <c r="L194" i="43"/>
  <c r="L195" i="43"/>
  <c r="L196" i="43"/>
  <c r="L197" i="43"/>
  <c r="L198" i="43"/>
  <c r="L199" i="43"/>
  <c r="L200" i="43"/>
  <c r="L201" i="43"/>
  <c r="L202" i="43"/>
  <c r="L203" i="43"/>
  <c r="L204" i="43"/>
  <c r="L205" i="43"/>
  <c r="L206" i="43"/>
  <c r="L207" i="43"/>
  <c r="L208" i="43"/>
  <c r="L209" i="43"/>
  <c r="L210" i="43"/>
  <c r="L211" i="43"/>
  <c r="L212" i="43"/>
  <c r="L213" i="43"/>
  <c r="L214" i="43"/>
  <c r="L215" i="43"/>
  <c r="L216" i="43"/>
  <c r="L217" i="43"/>
  <c r="L218" i="43"/>
  <c r="L219" i="43"/>
  <c r="L220" i="43"/>
  <c r="L221" i="43"/>
  <c r="L222" i="43"/>
  <c r="L223" i="43"/>
  <c r="L224" i="43"/>
  <c r="L225" i="43"/>
  <c r="L226" i="43"/>
  <c r="L227" i="43"/>
  <c r="L228" i="43"/>
  <c r="L229" i="43"/>
  <c r="L230" i="43"/>
  <c r="K180" i="43"/>
  <c r="K181" i="43"/>
  <c r="K182" i="43"/>
  <c r="K183" i="43"/>
  <c r="K184" i="43"/>
  <c r="K185" i="43"/>
  <c r="K186" i="43"/>
  <c r="K187" i="43"/>
  <c r="K188" i="43"/>
  <c r="K189" i="43"/>
  <c r="K190" i="43"/>
  <c r="K191" i="43"/>
  <c r="K192" i="43"/>
  <c r="K193" i="43"/>
  <c r="K194" i="43"/>
  <c r="K195" i="43"/>
  <c r="K196" i="43"/>
  <c r="K197" i="43"/>
  <c r="K198" i="43"/>
  <c r="K199" i="43"/>
  <c r="K200" i="43"/>
  <c r="K201" i="43"/>
  <c r="K202" i="43"/>
  <c r="K203" i="43"/>
  <c r="K204" i="43"/>
  <c r="K205" i="43"/>
  <c r="K206" i="43"/>
  <c r="K207" i="43"/>
  <c r="K208" i="43"/>
  <c r="K209" i="43"/>
  <c r="K210" i="43"/>
  <c r="K211" i="43"/>
  <c r="K212" i="43"/>
  <c r="K213" i="43"/>
  <c r="K214" i="43"/>
  <c r="K215" i="43"/>
  <c r="K216" i="43"/>
  <c r="K217" i="43"/>
  <c r="K218" i="43"/>
  <c r="K219" i="43"/>
  <c r="K220" i="43"/>
  <c r="K221" i="43"/>
  <c r="K222" i="43"/>
  <c r="K223" i="43"/>
  <c r="K224" i="43"/>
  <c r="K225" i="43"/>
  <c r="K226" i="43"/>
  <c r="K227" i="43"/>
  <c r="K228" i="43"/>
  <c r="K229" i="43"/>
  <c r="K230" i="43"/>
  <c r="J180" i="43"/>
  <c r="J181" i="43"/>
  <c r="J182" i="43"/>
  <c r="J183" i="43"/>
  <c r="J184" i="43"/>
  <c r="J185" i="43"/>
  <c r="J186" i="43"/>
  <c r="J187" i="43"/>
  <c r="J188" i="43"/>
  <c r="J189" i="43"/>
  <c r="J190" i="43"/>
  <c r="J191" i="43"/>
  <c r="J192" i="43"/>
  <c r="J193" i="43"/>
  <c r="J194" i="43"/>
  <c r="J195" i="43"/>
  <c r="J196" i="43"/>
  <c r="J197" i="43"/>
  <c r="J198" i="43"/>
  <c r="J199" i="43"/>
  <c r="J200" i="43"/>
  <c r="J201" i="43"/>
  <c r="J202" i="43"/>
  <c r="J203" i="43"/>
  <c r="J204" i="43"/>
  <c r="J205" i="43"/>
  <c r="J206" i="43"/>
  <c r="J207" i="43"/>
  <c r="J208" i="43"/>
  <c r="J209" i="43"/>
  <c r="J210" i="43"/>
  <c r="J211" i="43"/>
  <c r="J212" i="43"/>
  <c r="J213" i="43"/>
  <c r="J214" i="43"/>
  <c r="J215" i="43"/>
  <c r="J216" i="43"/>
  <c r="J217" i="43"/>
  <c r="J218" i="43"/>
  <c r="J219" i="43"/>
  <c r="J220" i="43"/>
  <c r="J221" i="43"/>
  <c r="J222" i="43"/>
  <c r="J223" i="43"/>
  <c r="J224" i="43"/>
  <c r="J225" i="43"/>
  <c r="J226" i="43"/>
  <c r="J227" i="43"/>
  <c r="J228" i="43"/>
  <c r="J229" i="43"/>
  <c r="J230" i="43"/>
  <c r="I180" i="43"/>
  <c r="I181" i="43"/>
  <c r="I182" i="43"/>
  <c r="I183" i="43"/>
  <c r="I184" i="43"/>
  <c r="I185" i="43"/>
  <c r="I186" i="43"/>
  <c r="I187" i="43"/>
  <c r="I188" i="43"/>
  <c r="I189" i="43"/>
  <c r="I190" i="43"/>
  <c r="I191" i="43"/>
  <c r="I192" i="43"/>
  <c r="I193" i="43"/>
  <c r="I194" i="43"/>
  <c r="I195" i="43"/>
  <c r="I196" i="43"/>
  <c r="I197" i="43"/>
  <c r="I198" i="43"/>
  <c r="I199" i="43"/>
  <c r="I200" i="43"/>
  <c r="I201" i="43"/>
  <c r="I202" i="43"/>
  <c r="I203" i="43"/>
  <c r="I204" i="43"/>
  <c r="I205" i="43"/>
  <c r="I206" i="43"/>
  <c r="I207" i="43"/>
  <c r="I208" i="43"/>
  <c r="I209" i="43"/>
  <c r="I210" i="43"/>
  <c r="I211" i="43"/>
  <c r="I212" i="43"/>
  <c r="I213" i="43"/>
  <c r="I214" i="43"/>
  <c r="I215" i="43"/>
  <c r="I216" i="43"/>
  <c r="I217" i="43"/>
  <c r="I218" i="43"/>
  <c r="I219" i="43"/>
  <c r="I220" i="43"/>
  <c r="I221" i="43"/>
  <c r="I222" i="43"/>
  <c r="I223" i="43"/>
  <c r="I224" i="43"/>
  <c r="I225" i="43"/>
  <c r="I226" i="43"/>
  <c r="I227" i="43"/>
  <c r="I228" i="43"/>
  <c r="I229" i="43"/>
  <c r="I230" i="43"/>
  <c r="L129" i="43"/>
  <c r="L130" i="43"/>
  <c r="L131" i="43"/>
  <c r="L132" i="43"/>
  <c r="L133" i="43"/>
  <c r="L134" i="43"/>
  <c r="L135" i="43"/>
  <c r="L136" i="43"/>
  <c r="L137" i="43"/>
  <c r="L138" i="43"/>
  <c r="L139" i="43"/>
  <c r="L140" i="43"/>
  <c r="L141" i="43"/>
  <c r="L142" i="43"/>
  <c r="L143" i="43"/>
  <c r="L144" i="43"/>
  <c r="L145" i="43"/>
  <c r="L146" i="43"/>
  <c r="L147" i="43"/>
  <c r="L148" i="43"/>
  <c r="L149" i="43"/>
  <c r="L150" i="43"/>
  <c r="L151" i="43"/>
  <c r="L152" i="43"/>
  <c r="L153" i="43"/>
  <c r="L154" i="43"/>
  <c r="L155" i="43"/>
  <c r="L156" i="43"/>
  <c r="L157" i="43"/>
  <c r="L158" i="43"/>
  <c r="L159" i="43"/>
  <c r="L160" i="43"/>
  <c r="L161" i="43"/>
  <c r="L162" i="43"/>
  <c r="L163" i="43"/>
  <c r="L164" i="43"/>
  <c r="L165" i="43"/>
  <c r="L166" i="43"/>
  <c r="L167" i="43"/>
  <c r="L168" i="43"/>
  <c r="L169" i="43"/>
  <c r="L170" i="43"/>
  <c r="L171" i="43"/>
  <c r="L172" i="43"/>
  <c r="L173" i="43"/>
  <c r="L174" i="43"/>
  <c r="L175" i="43"/>
  <c r="L176" i="43"/>
  <c r="L177" i="43"/>
  <c r="L178" i="43"/>
  <c r="L179" i="43"/>
  <c r="K129" i="43"/>
  <c r="K130" i="43"/>
  <c r="K131" i="43"/>
  <c r="K132" i="43"/>
  <c r="K133" i="43"/>
  <c r="K134" i="43"/>
  <c r="K135" i="43"/>
  <c r="K136" i="43"/>
  <c r="K137" i="43"/>
  <c r="K138" i="43"/>
  <c r="K139" i="43"/>
  <c r="K140" i="43"/>
  <c r="K141" i="43"/>
  <c r="K142" i="43"/>
  <c r="K143" i="43"/>
  <c r="K144" i="43"/>
  <c r="K145" i="43"/>
  <c r="K146" i="43"/>
  <c r="K147" i="43"/>
  <c r="K148" i="43"/>
  <c r="K149" i="43"/>
  <c r="K150" i="43"/>
  <c r="K151" i="43"/>
  <c r="K152" i="43"/>
  <c r="K153" i="43"/>
  <c r="K154" i="43"/>
  <c r="K155" i="43"/>
  <c r="K156" i="43"/>
  <c r="K157" i="43"/>
  <c r="K158" i="43"/>
  <c r="K159" i="43"/>
  <c r="K160" i="43"/>
  <c r="K161" i="43"/>
  <c r="K162" i="43"/>
  <c r="K163" i="43"/>
  <c r="K164" i="43"/>
  <c r="K165" i="43"/>
  <c r="K166" i="43"/>
  <c r="K167" i="43"/>
  <c r="K168" i="43"/>
  <c r="K169" i="43"/>
  <c r="K170" i="43"/>
  <c r="K171" i="43"/>
  <c r="K172" i="43"/>
  <c r="K173" i="43"/>
  <c r="K174" i="43"/>
  <c r="K175" i="43"/>
  <c r="K176" i="43"/>
  <c r="K177" i="43"/>
  <c r="K178" i="43"/>
  <c r="K179" i="43"/>
  <c r="J129" i="43"/>
  <c r="J130" i="43"/>
  <c r="J131" i="43"/>
  <c r="J132" i="43"/>
  <c r="J133" i="43"/>
  <c r="J134" i="43"/>
  <c r="J135" i="43"/>
  <c r="J136" i="43"/>
  <c r="J137" i="43"/>
  <c r="J138" i="43"/>
  <c r="J139" i="43"/>
  <c r="J140" i="43"/>
  <c r="J141" i="43"/>
  <c r="J142" i="43"/>
  <c r="J143" i="43"/>
  <c r="J144" i="43"/>
  <c r="J145" i="43"/>
  <c r="J146" i="43"/>
  <c r="J147" i="43"/>
  <c r="J148" i="43"/>
  <c r="J149" i="43"/>
  <c r="J150" i="43"/>
  <c r="J151" i="43"/>
  <c r="J152" i="43"/>
  <c r="J153" i="43"/>
  <c r="J154" i="43"/>
  <c r="J155" i="43"/>
  <c r="J156" i="43"/>
  <c r="J157" i="43"/>
  <c r="J158" i="43"/>
  <c r="J159" i="43"/>
  <c r="J160" i="43"/>
  <c r="J161" i="43"/>
  <c r="J162" i="43"/>
  <c r="J163" i="43"/>
  <c r="J164" i="43"/>
  <c r="J165" i="43"/>
  <c r="J166" i="43"/>
  <c r="J167" i="43"/>
  <c r="J168" i="43"/>
  <c r="J169" i="43"/>
  <c r="J170" i="43"/>
  <c r="J171" i="43"/>
  <c r="J172" i="43"/>
  <c r="J173" i="43"/>
  <c r="J174" i="43"/>
  <c r="J175" i="43"/>
  <c r="J176" i="43"/>
  <c r="J177" i="43"/>
  <c r="J178" i="43"/>
  <c r="J179" i="43"/>
  <c r="I129" i="43"/>
  <c r="I130" i="43"/>
  <c r="I131" i="43"/>
  <c r="I132" i="43"/>
  <c r="I133" i="43"/>
  <c r="I134" i="43"/>
  <c r="I135" i="43"/>
  <c r="I136" i="43"/>
  <c r="I137" i="43"/>
  <c r="I138" i="43"/>
  <c r="I139" i="43"/>
  <c r="I140" i="43"/>
  <c r="I141" i="43"/>
  <c r="I142" i="43"/>
  <c r="I143" i="43"/>
  <c r="I144" i="43"/>
  <c r="I145" i="43"/>
  <c r="I146" i="43"/>
  <c r="I147" i="43"/>
  <c r="I148" i="43"/>
  <c r="I149" i="43"/>
  <c r="I150" i="43"/>
  <c r="I151" i="43"/>
  <c r="I152" i="43"/>
  <c r="I153" i="43"/>
  <c r="I154" i="43"/>
  <c r="I155" i="43"/>
  <c r="I156" i="43"/>
  <c r="I157" i="43"/>
  <c r="I158" i="43"/>
  <c r="I159" i="43"/>
  <c r="I160" i="43"/>
  <c r="I161" i="43"/>
  <c r="I162" i="43"/>
  <c r="I163" i="43"/>
  <c r="I164" i="43"/>
  <c r="I165" i="43"/>
  <c r="I166" i="43"/>
  <c r="I167" i="43"/>
  <c r="I168" i="43"/>
  <c r="I169" i="43"/>
  <c r="I170" i="43"/>
  <c r="I171" i="43"/>
  <c r="I172" i="43"/>
  <c r="I173" i="43"/>
  <c r="I174" i="43"/>
  <c r="I175" i="43"/>
  <c r="I176" i="43"/>
  <c r="I177" i="43"/>
  <c r="I178" i="43"/>
  <c r="I179" i="43"/>
  <c r="L78" i="43"/>
  <c r="L79" i="43"/>
  <c r="L80" i="43"/>
  <c r="L81" i="43"/>
  <c r="L82" i="43"/>
  <c r="L83" i="43"/>
  <c r="L84" i="43"/>
  <c r="L85" i="43"/>
  <c r="L86" i="43"/>
  <c r="L87" i="43"/>
  <c r="L88" i="43"/>
  <c r="L89" i="43"/>
  <c r="L90" i="43"/>
  <c r="L91" i="43"/>
  <c r="L92" i="43"/>
  <c r="L93" i="43"/>
  <c r="L94" i="43"/>
  <c r="L95" i="43"/>
  <c r="L96" i="43"/>
  <c r="L97" i="43"/>
  <c r="L98" i="43"/>
  <c r="L99" i="43"/>
  <c r="L100" i="43"/>
  <c r="L101" i="43"/>
  <c r="L102" i="43"/>
  <c r="L103" i="43"/>
  <c r="L104" i="43"/>
  <c r="L105" i="43"/>
  <c r="L106" i="43"/>
  <c r="L107" i="43"/>
  <c r="L108" i="43"/>
  <c r="L109" i="43"/>
  <c r="L110" i="43"/>
  <c r="L111" i="43"/>
  <c r="L112" i="43"/>
  <c r="L113" i="43"/>
  <c r="L114" i="43"/>
  <c r="L115" i="43"/>
  <c r="L116" i="43"/>
  <c r="L117" i="43"/>
  <c r="L118" i="43"/>
  <c r="L119" i="43"/>
  <c r="L120" i="43"/>
  <c r="L121" i="43"/>
  <c r="L122" i="43"/>
  <c r="L123" i="43"/>
  <c r="L124" i="43"/>
  <c r="L125" i="43"/>
  <c r="L126" i="43"/>
  <c r="L127" i="43"/>
  <c r="L128" i="43"/>
  <c r="K78" i="43"/>
  <c r="K79" i="43"/>
  <c r="K80" i="43"/>
  <c r="K81" i="43"/>
  <c r="K82" i="43"/>
  <c r="K83" i="43"/>
  <c r="K84" i="43"/>
  <c r="K85" i="43"/>
  <c r="K86" i="43"/>
  <c r="K87" i="43"/>
  <c r="K88" i="43"/>
  <c r="K89" i="43"/>
  <c r="K90" i="43"/>
  <c r="K91" i="43"/>
  <c r="K92" i="43"/>
  <c r="K93" i="43"/>
  <c r="K94" i="43"/>
  <c r="K95" i="43"/>
  <c r="K96" i="43"/>
  <c r="K97" i="43"/>
  <c r="K98" i="43"/>
  <c r="K99" i="43"/>
  <c r="K100" i="43"/>
  <c r="K101" i="43"/>
  <c r="K102" i="43"/>
  <c r="K103" i="43"/>
  <c r="K104" i="43"/>
  <c r="K105" i="43"/>
  <c r="K106" i="43"/>
  <c r="K107" i="43"/>
  <c r="K108" i="43"/>
  <c r="K109" i="43"/>
  <c r="K110" i="43"/>
  <c r="K111" i="43"/>
  <c r="K112" i="43"/>
  <c r="K113" i="43"/>
  <c r="K114" i="43"/>
  <c r="K115" i="43"/>
  <c r="K116" i="43"/>
  <c r="K117" i="43"/>
  <c r="K118" i="43"/>
  <c r="K119" i="43"/>
  <c r="K120" i="43"/>
  <c r="K121" i="43"/>
  <c r="K122" i="43"/>
  <c r="K123" i="43"/>
  <c r="K124" i="43"/>
  <c r="K125" i="43"/>
  <c r="K126" i="43"/>
  <c r="K127" i="43"/>
  <c r="K128" i="43"/>
  <c r="J78" i="43"/>
  <c r="J79" i="43"/>
  <c r="J80" i="43"/>
  <c r="J81" i="43"/>
  <c r="J82" i="43"/>
  <c r="J83" i="43"/>
  <c r="J84" i="43"/>
  <c r="J85" i="43"/>
  <c r="J86" i="43"/>
  <c r="J87" i="43"/>
  <c r="J88" i="43"/>
  <c r="J89" i="43"/>
  <c r="J90" i="43"/>
  <c r="J91" i="43"/>
  <c r="J92" i="43"/>
  <c r="J93" i="43"/>
  <c r="J94" i="43"/>
  <c r="J95" i="43"/>
  <c r="J96" i="43"/>
  <c r="J97" i="43"/>
  <c r="J98" i="43"/>
  <c r="J99" i="43"/>
  <c r="J100" i="43"/>
  <c r="J101" i="43"/>
  <c r="J102" i="43"/>
  <c r="J103" i="43"/>
  <c r="J104" i="43"/>
  <c r="J105" i="43"/>
  <c r="J106" i="43"/>
  <c r="J107" i="43"/>
  <c r="J108" i="43"/>
  <c r="J109" i="43"/>
  <c r="J110" i="43"/>
  <c r="J111" i="43"/>
  <c r="J112" i="43"/>
  <c r="J113" i="43"/>
  <c r="J114" i="43"/>
  <c r="J115" i="43"/>
  <c r="J116" i="43"/>
  <c r="J117" i="43"/>
  <c r="J118" i="43"/>
  <c r="J119" i="43"/>
  <c r="J120" i="43"/>
  <c r="J121" i="43"/>
  <c r="J122" i="43"/>
  <c r="J123" i="43"/>
  <c r="J124" i="43"/>
  <c r="J125" i="43"/>
  <c r="J126" i="43"/>
  <c r="J127" i="43"/>
  <c r="J128" i="43"/>
  <c r="I78" i="43"/>
  <c r="I79" i="43"/>
  <c r="I80" i="43"/>
  <c r="I81" i="43"/>
  <c r="I82" i="43"/>
  <c r="I83" i="43"/>
  <c r="I84" i="43"/>
  <c r="I85" i="43"/>
  <c r="I86" i="43"/>
  <c r="I87" i="43"/>
  <c r="I88" i="43"/>
  <c r="I89" i="43"/>
  <c r="I90" i="43"/>
  <c r="I91" i="43"/>
  <c r="I92" i="43"/>
  <c r="I93" i="43"/>
  <c r="I94" i="43"/>
  <c r="I95" i="43"/>
  <c r="I96" i="43"/>
  <c r="I97" i="43"/>
  <c r="I98" i="43"/>
  <c r="I99" i="43"/>
  <c r="I100" i="43"/>
  <c r="I101" i="43"/>
  <c r="I102" i="43"/>
  <c r="I103" i="43"/>
  <c r="I104" i="43"/>
  <c r="I105" i="43"/>
  <c r="I106" i="43"/>
  <c r="I107" i="43"/>
  <c r="I108" i="43"/>
  <c r="I109" i="43"/>
  <c r="I110" i="43"/>
  <c r="I111" i="43"/>
  <c r="I112" i="43"/>
  <c r="I113" i="43"/>
  <c r="I114" i="43"/>
  <c r="I115" i="43"/>
  <c r="I116" i="43"/>
  <c r="I117" i="43"/>
  <c r="I118" i="43"/>
  <c r="I119" i="43"/>
  <c r="I120" i="43"/>
  <c r="I121" i="43"/>
  <c r="I122" i="43"/>
  <c r="I123" i="43"/>
  <c r="I124" i="43"/>
  <c r="I125" i="43"/>
  <c r="I126" i="43"/>
  <c r="I127" i="43"/>
  <c r="I128" i="43"/>
  <c r="L27" i="43"/>
  <c r="L28" i="43"/>
  <c r="L29" i="43"/>
  <c r="L30" i="43"/>
  <c r="L31" i="43"/>
  <c r="L32" i="43"/>
  <c r="L33" i="43"/>
  <c r="L34" i="43"/>
  <c r="L35" i="43"/>
  <c r="L36" i="43"/>
  <c r="L37" i="43"/>
  <c r="L38" i="43"/>
  <c r="L39" i="43"/>
  <c r="L40" i="43"/>
  <c r="L41" i="43"/>
  <c r="L42" i="43"/>
  <c r="L43" i="43"/>
  <c r="L44" i="43"/>
  <c r="L45" i="43"/>
  <c r="L46" i="43"/>
  <c r="L47" i="43"/>
  <c r="L48" i="43"/>
  <c r="L49" i="43"/>
  <c r="L50" i="43"/>
  <c r="L51" i="43"/>
  <c r="L52" i="43"/>
  <c r="L53" i="43"/>
  <c r="L54" i="43"/>
  <c r="L55" i="43"/>
  <c r="L56" i="43"/>
  <c r="L57" i="43"/>
  <c r="L58" i="43"/>
  <c r="L59" i="43"/>
  <c r="L60" i="43"/>
  <c r="L61" i="43"/>
  <c r="L62" i="43"/>
  <c r="L63" i="43"/>
  <c r="L64" i="43"/>
  <c r="L65" i="43"/>
  <c r="L66" i="43"/>
  <c r="L67" i="43"/>
  <c r="L68" i="43"/>
  <c r="L69" i="43"/>
  <c r="L70" i="43"/>
  <c r="L71" i="43"/>
  <c r="L72" i="43"/>
  <c r="L73" i="43"/>
  <c r="L74" i="43"/>
  <c r="L75" i="43"/>
  <c r="L76" i="43"/>
  <c r="L77" i="43"/>
  <c r="K27" i="43"/>
  <c r="K28" i="43"/>
  <c r="K29" i="43"/>
  <c r="K30" i="43"/>
  <c r="K31" i="43"/>
  <c r="K32" i="43"/>
  <c r="K33" i="43"/>
  <c r="K34" i="43"/>
  <c r="K35" i="43"/>
  <c r="K36" i="43"/>
  <c r="K37" i="43"/>
  <c r="K38" i="43"/>
  <c r="K39" i="43"/>
  <c r="K40" i="43"/>
  <c r="K41" i="43"/>
  <c r="K42" i="43"/>
  <c r="K43" i="43"/>
  <c r="K44" i="43"/>
  <c r="K45" i="43"/>
  <c r="K46" i="43"/>
  <c r="K47" i="43"/>
  <c r="K48" i="43"/>
  <c r="K49" i="43"/>
  <c r="K50" i="43"/>
  <c r="K51" i="43"/>
  <c r="K52" i="43"/>
  <c r="K53" i="43"/>
  <c r="K54" i="43"/>
  <c r="K55" i="43"/>
  <c r="K56" i="43"/>
  <c r="K57" i="43"/>
  <c r="K58" i="43"/>
  <c r="K59" i="43"/>
  <c r="K60" i="43"/>
  <c r="K61" i="43"/>
  <c r="K62" i="43"/>
  <c r="K63" i="43"/>
  <c r="K64" i="43"/>
  <c r="K65" i="43"/>
  <c r="K66" i="43"/>
  <c r="K67" i="43"/>
  <c r="K68" i="43"/>
  <c r="K69" i="43"/>
  <c r="K70" i="43"/>
  <c r="K71" i="43"/>
  <c r="K72" i="43"/>
  <c r="K73" i="43"/>
  <c r="K74" i="43"/>
  <c r="K75" i="43"/>
  <c r="K76" i="43"/>
  <c r="K77" i="43"/>
  <c r="J27" i="43"/>
  <c r="J28" i="43"/>
  <c r="J29" i="43"/>
  <c r="J30" i="43"/>
  <c r="J31" i="43"/>
  <c r="J32" i="43"/>
  <c r="J33" i="43"/>
  <c r="J34" i="43"/>
  <c r="J35" i="43"/>
  <c r="J36" i="43"/>
  <c r="J37" i="43"/>
  <c r="J38" i="43"/>
  <c r="J39" i="43"/>
  <c r="J40" i="43"/>
  <c r="J41" i="43"/>
  <c r="J42" i="43"/>
  <c r="J43" i="43"/>
  <c r="J44" i="43"/>
  <c r="J45" i="43"/>
  <c r="J46" i="43"/>
  <c r="J47" i="43"/>
  <c r="J48" i="43"/>
  <c r="J49" i="43"/>
  <c r="J50" i="43"/>
  <c r="J51" i="43"/>
  <c r="J52" i="43"/>
  <c r="J53" i="43"/>
  <c r="J54" i="43"/>
  <c r="J55" i="43"/>
  <c r="J56" i="43"/>
  <c r="J57" i="43"/>
  <c r="J58" i="43"/>
  <c r="J59" i="43"/>
  <c r="J60" i="43"/>
  <c r="J61" i="43"/>
  <c r="J62" i="43"/>
  <c r="J63" i="43"/>
  <c r="J64" i="43"/>
  <c r="J65" i="43"/>
  <c r="J66" i="43"/>
  <c r="J67" i="43"/>
  <c r="J68" i="43"/>
  <c r="J69" i="43"/>
  <c r="J70" i="43"/>
  <c r="J71" i="43"/>
  <c r="J72" i="43"/>
  <c r="J73" i="43"/>
  <c r="J74" i="43"/>
  <c r="J75" i="43"/>
  <c r="J76" i="43"/>
  <c r="J77" i="43"/>
  <c r="I27" i="43"/>
  <c r="I28" i="43"/>
  <c r="I29" i="43"/>
  <c r="I30" i="43"/>
  <c r="I31" i="43"/>
  <c r="I32" i="43"/>
  <c r="I33" i="43"/>
  <c r="I34" i="43"/>
  <c r="I35" i="43"/>
  <c r="I36" i="43"/>
  <c r="I37" i="43"/>
  <c r="I38" i="43"/>
  <c r="I39" i="43"/>
  <c r="I40" i="43"/>
  <c r="I41" i="43"/>
  <c r="I42" i="43"/>
  <c r="I43" i="43"/>
  <c r="I44" i="43"/>
  <c r="I45" i="43"/>
  <c r="I46" i="43"/>
  <c r="I47" i="43"/>
  <c r="I48" i="43"/>
  <c r="I49" i="43"/>
  <c r="I50" i="43"/>
  <c r="I51" i="43"/>
  <c r="I52" i="43"/>
  <c r="I53" i="43"/>
  <c r="I54" i="43"/>
  <c r="I55" i="43"/>
  <c r="I56" i="43"/>
  <c r="I57" i="43"/>
  <c r="I58" i="43"/>
  <c r="I59" i="43"/>
  <c r="I60" i="43"/>
  <c r="I61" i="43"/>
  <c r="I62" i="43"/>
  <c r="I63" i="43"/>
  <c r="I64" i="43"/>
  <c r="I65" i="43"/>
  <c r="I66" i="43"/>
  <c r="I67" i="43"/>
  <c r="I68" i="43"/>
  <c r="I69" i="43"/>
  <c r="I70" i="43"/>
  <c r="I71" i="43"/>
  <c r="I72" i="43"/>
  <c r="I73" i="43"/>
  <c r="I74" i="43"/>
  <c r="I75" i="43"/>
  <c r="I76" i="43"/>
  <c r="I77" i="43"/>
  <c r="L68" i="55"/>
  <c r="L69" i="55"/>
  <c r="L70" i="55"/>
  <c r="L71" i="55"/>
  <c r="L72" i="55"/>
  <c r="L73" i="55"/>
  <c r="L74" i="55"/>
  <c r="L75" i="55"/>
  <c r="L76" i="55"/>
  <c r="L77" i="55"/>
  <c r="L78" i="55"/>
  <c r="L79" i="55"/>
  <c r="L80" i="55"/>
  <c r="L81" i="55"/>
  <c r="L82" i="55"/>
  <c r="L83" i="55"/>
  <c r="L84" i="55"/>
  <c r="L85" i="55"/>
  <c r="L86" i="55"/>
  <c r="L87" i="55"/>
  <c r="L88" i="55"/>
  <c r="L89" i="55"/>
  <c r="L90" i="55"/>
  <c r="L91" i="55"/>
  <c r="L92" i="55"/>
  <c r="L93" i="55"/>
  <c r="L94" i="55"/>
  <c r="L95" i="55"/>
  <c r="L96" i="55"/>
  <c r="L97" i="55"/>
  <c r="L98" i="55"/>
  <c r="L99" i="55"/>
  <c r="L100" i="55"/>
  <c r="L101" i="55"/>
  <c r="L102" i="55"/>
  <c r="L103" i="55"/>
  <c r="L104" i="55"/>
  <c r="L105" i="55"/>
  <c r="L106" i="55"/>
  <c r="L107" i="55"/>
  <c r="L108" i="55"/>
  <c r="L109" i="55"/>
  <c r="L110" i="55"/>
  <c r="L111" i="55"/>
  <c r="L112" i="55"/>
  <c r="L113" i="55"/>
  <c r="L114" i="55"/>
  <c r="L115" i="55"/>
  <c r="L116" i="55"/>
  <c r="L117" i="55"/>
  <c r="L118" i="55"/>
  <c r="K68" i="55"/>
  <c r="K69" i="55"/>
  <c r="K70" i="55"/>
  <c r="K71" i="55"/>
  <c r="K72" i="55"/>
  <c r="K73" i="55"/>
  <c r="K74" i="55"/>
  <c r="K75" i="55"/>
  <c r="K76" i="55"/>
  <c r="K77" i="55"/>
  <c r="K78" i="55"/>
  <c r="K79" i="55"/>
  <c r="K80" i="55"/>
  <c r="K81" i="55"/>
  <c r="K82" i="55"/>
  <c r="K83" i="55"/>
  <c r="K84" i="55"/>
  <c r="K85" i="55"/>
  <c r="K86" i="55"/>
  <c r="K87" i="55"/>
  <c r="K88" i="55"/>
  <c r="K89" i="55"/>
  <c r="K90" i="55"/>
  <c r="K91" i="55"/>
  <c r="K92" i="55"/>
  <c r="K93" i="55"/>
  <c r="K94" i="55"/>
  <c r="K95" i="55"/>
  <c r="K96" i="55"/>
  <c r="K97" i="55"/>
  <c r="K98" i="55"/>
  <c r="K99" i="55"/>
  <c r="K100" i="55"/>
  <c r="K101" i="55"/>
  <c r="K102" i="55"/>
  <c r="K103" i="55"/>
  <c r="K104" i="55"/>
  <c r="K105" i="55"/>
  <c r="K106" i="55"/>
  <c r="K107" i="55"/>
  <c r="K108" i="55"/>
  <c r="K109" i="55"/>
  <c r="K110" i="55"/>
  <c r="K111" i="55"/>
  <c r="K112" i="55"/>
  <c r="K113" i="55"/>
  <c r="K114" i="55"/>
  <c r="K115" i="55"/>
  <c r="K116" i="55"/>
  <c r="K117" i="55"/>
  <c r="K118" i="55"/>
  <c r="J68" i="55"/>
  <c r="J69" i="55"/>
  <c r="J70" i="55"/>
  <c r="J71" i="55"/>
  <c r="J72" i="55"/>
  <c r="J73" i="55"/>
  <c r="J74" i="55"/>
  <c r="J75" i="55"/>
  <c r="J76" i="55"/>
  <c r="J77" i="55"/>
  <c r="J78" i="55"/>
  <c r="J79" i="55"/>
  <c r="J80" i="55"/>
  <c r="J81" i="55"/>
  <c r="J82" i="55"/>
  <c r="J83" i="55"/>
  <c r="J84" i="55"/>
  <c r="J85" i="55"/>
  <c r="J86" i="55"/>
  <c r="J87" i="55"/>
  <c r="J88" i="55"/>
  <c r="J89" i="55"/>
  <c r="J90" i="55"/>
  <c r="J91" i="55"/>
  <c r="J92" i="55"/>
  <c r="J93" i="55"/>
  <c r="J94" i="55"/>
  <c r="J95" i="55"/>
  <c r="J96" i="55"/>
  <c r="J97" i="55"/>
  <c r="J98" i="55"/>
  <c r="J99" i="55"/>
  <c r="J100" i="55"/>
  <c r="J101" i="55"/>
  <c r="J102" i="55"/>
  <c r="J103" i="55"/>
  <c r="J104" i="55"/>
  <c r="J105" i="55"/>
  <c r="J106" i="55"/>
  <c r="J107" i="55"/>
  <c r="J108" i="55"/>
  <c r="J109" i="55"/>
  <c r="J110" i="55"/>
  <c r="J111" i="55"/>
  <c r="J112" i="55"/>
  <c r="J113" i="55"/>
  <c r="J114" i="55"/>
  <c r="J115" i="55"/>
  <c r="J116" i="55"/>
  <c r="J117" i="55"/>
  <c r="J118" i="55"/>
  <c r="I68" i="55"/>
  <c r="I69" i="55"/>
  <c r="I70" i="55"/>
  <c r="I71" i="55"/>
  <c r="I72" i="55"/>
  <c r="I73" i="55"/>
  <c r="I74" i="55"/>
  <c r="I75" i="55"/>
  <c r="I76" i="55"/>
  <c r="I77" i="55"/>
  <c r="I78" i="55"/>
  <c r="I79" i="55"/>
  <c r="I80" i="55"/>
  <c r="I81" i="55"/>
  <c r="I82" i="55"/>
  <c r="I83" i="55"/>
  <c r="I84" i="55"/>
  <c r="I85" i="55"/>
  <c r="I86" i="55"/>
  <c r="I87" i="55"/>
  <c r="I88" i="55"/>
  <c r="I89" i="55"/>
  <c r="I90" i="55"/>
  <c r="I91" i="55"/>
  <c r="I92" i="55"/>
  <c r="I93" i="55"/>
  <c r="I94" i="55"/>
  <c r="I95" i="55"/>
  <c r="I96" i="55"/>
  <c r="I97" i="55"/>
  <c r="I98" i="55"/>
  <c r="I99" i="55"/>
  <c r="I100" i="55"/>
  <c r="I101" i="55"/>
  <c r="I102" i="55"/>
  <c r="I103" i="55"/>
  <c r="I104" i="55"/>
  <c r="I105" i="55"/>
  <c r="I106" i="55"/>
  <c r="I107" i="55"/>
  <c r="I108" i="55"/>
  <c r="I109" i="55"/>
  <c r="I110" i="55"/>
  <c r="I111" i="55"/>
  <c r="I112" i="55"/>
  <c r="I113" i="55"/>
  <c r="I114" i="55"/>
  <c r="I115" i="55"/>
  <c r="I116" i="55"/>
  <c r="I117" i="55"/>
  <c r="I118" i="55"/>
  <c r="L14" i="55"/>
  <c r="L15" i="55"/>
  <c r="L16" i="55"/>
  <c r="L17" i="55"/>
  <c r="L18" i="55"/>
  <c r="L19" i="55"/>
  <c r="L20" i="55"/>
  <c r="L21" i="55"/>
  <c r="L22" i="55"/>
  <c r="L23" i="55"/>
  <c r="L24" i="55"/>
  <c r="L25" i="55"/>
  <c r="L26" i="55"/>
  <c r="L27" i="55"/>
  <c r="L28" i="55"/>
  <c r="L29" i="55"/>
  <c r="L30" i="55"/>
  <c r="L31" i="55"/>
  <c r="L32" i="55"/>
  <c r="L33" i="55"/>
  <c r="L34" i="55"/>
  <c r="L35" i="55"/>
  <c r="L36" i="55"/>
  <c r="L37" i="55"/>
  <c r="L38" i="55"/>
  <c r="L39" i="55"/>
  <c r="L40" i="55"/>
  <c r="L41" i="55"/>
  <c r="L42" i="55"/>
  <c r="L43" i="55"/>
  <c r="L44" i="55"/>
  <c r="L45" i="55"/>
  <c r="L46" i="55"/>
  <c r="L47" i="55"/>
  <c r="L48" i="55"/>
  <c r="L49" i="55"/>
  <c r="L50" i="55"/>
  <c r="L51" i="55"/>
  <c r="L52" i="55"/>
  <c r="L53" i="55"/>
  <c r="L54" i="55"/>
  <c r="L55" i="55"/>
  <c r="L56" i="55"/>
  <c r="L57" i="55"/>
  <c r="L58" i="55"/>
  <c r="L59" i="55"/>
  <c r="L60" i="55"/>
  <c r="L61" i="55"/>
  <c r="L62" i="55"/>
  <c r="L63" i="55"/>
  <c r="L64" i="55"/>
  <c r="K14" i="55"/>
  <c r="K15" i="55"/>
  <c r="K16" i="55"/>
  <c r="K17" i="55"/>
  <c r="K18" i="55"/>
  <c r="K19" i="55"/>
  <c r="K20" i="55"/>
  <c r="K21" i="55"/>
  <c r="K22" i="55"/>
  <c r="K23" i="55"/>
  <c r="K24" i="55"/>
  <c r="K25" i="55"/>
  <c r="K26" i="55"/>
  <c r="K27" i="55"/>
  <c r="K28" i="55"/>
  <c r="K29" i="55"/>
  <c r="K30" i="55"/>
  <c r="K31" i="55"/>
  <c r="K32" i="55"/>
  <c r="K33" i="55"/>
  <c r="K34" i="55"/>
  <c r="K35" i="55"/>
  <c r="K36" i="55"/>
  <c r="K37" i="55"/>
  <c r="K38" i="55"/>
  <c r="K39" i="55"/>
  <c r="K40" i="55"/>
  <c r="K41" i="55"/>
  <c r="K42" i="55"/>
  <c r="K43" i="55"/>
  <c r="K44" i="55"/>
  <c r="K45" i="55"/>
  <c r="K46" i="55"/>
  <c r="K47" i="55"/>
  <c r="K48" i="55"/>
  <c r="K49" i="55"/>
  <c r="K50" i="55"/>
  <c r="K51" i="55"/>
  <c r="K52" i="55"/>
  <c r="K53" i="55"/>
  <c r="K54" i="55"/>
  <c r="K55" i="55"/>
  <c r="K56" i="55"/>
  <c r="K57" i="55"/>
  <c r="K58" i="55"/>
  <c r="K59" i="55"/>
  <c r="K60" i="55"/>
  <c r="K61" i="55"/>
  <c r="K62" i="55"/>
  <c r="K63" i="55"/>
  <c r="K64" i="55"/>
  <c r="J14" i="55"/>
  <c r="J15" i="55"/>
  <c r="J16" i="55"/>
  <c r="J17" i="55"/>
  <c r="J18" i="55"/>
  <c r="J19" i="55"/>
  <c r="J20" i="55"/>
  <c r="J21" i="55"/>
  <c r="J22" i="55"/>
  <c r="J23" i="55"/>
  <c r="J24" i="55"/>
  <c r="J25" i="55"/>
  <c r="J26" i="55"/>
  <c r="J27" i="55"/>
  <c r="J28" i="55"/>
  <c r="J29" i="55"/>
  <c r="J30" i="55"/>
  <c r="J31" i="55"/>
  <c r="J32" i="55"/>
  <c r="J33" i="55"/>
  <c r="J34" i="55"/>
  <c r="J35" i="55"/>
  <c r="J36" i="55"/>
  <c r="J37" i="55"/>
  <c r="J38" i="55"/>
  <c r="J39" i="55"/>
  <c r="J40" i="55"/>
  <c r="J41" i="55"/>
  <c r="J42" i="55"/>
  <c r="J43" i="55"/>
  <c r="J44" i="55"/>
  <c r="J45" i="55"/>
  <c r="J46" i="55"/>
  <c r="J47" i="55"/>
  <c r="J48" i="55"/>
  <c r="J49" i="55"/>
  <c r="J50" i="55"/>
  <c r="J51" i="55"/>
  <c r="J52" i="55"/>
  <c r="J53" i="55"/>
  <c r="J54" i="55"/>
  <c r="J55" i="55"/>
  <c r="J56" i="55"/>
  <c r="J57" i="55"/>
  <c r="J58" i="55"/>
  <c r="J59" i="55"/>
  <c r="J60" i="55"/>
  <c r="J61" i="55"/>
  <c r="J62" i="55"/>
  <c r="J63" i="55"/>
  <c r="J64" i="55"/>
  <c r="I14" i="55"/>
  <c r="I15" i="55"/>
  <c r="I16" i="55"/>
  <c r="I17" i="55"/>
  <c r="I18" i="55"/>
  <c r="I19" i="55"/>
  <c r="I20" i="55"/>
  <c r="I21" i="55"/>
  <c r="I22" i="55"/>
  <c r="I23" i="55"/>
  <c r="I24" i="55"/>
  <c r="I25" i="55"/>
  <c r="I26" i="55"/>
  <c r="I27" i="55"/>
  <c r="I28" i="55"/>
  <c r="I29" i="55"/>
  <c r="I30" i="55"/>
  <c r="I31" i="55"/>
  <c r="I32" i="55"/>
  <c r="I33" i="55"/>
  <c r="I34" i="55"/>
  <c r="I35" i="55"/>
  <c r="I36" i="55"/>
  <c r="I37" i="55"/>
  <c r="I38" i="55"/>
  <c r="I39" i="55"/>
  <c r="I40" i="55"/>
  <c r="I41" i="55"/>
  <c r="I42" i="55"/>
  <c r="I43" i="55"/>
  <c r="I44" i="55"/>
  <c r="I45" i="55"/>
  <c r="I46" i="55"/>
  <c r="I47" i="55"/>
  <c r="I48" i="55"/>
  <c r="I49" i="55"/>
  <c r="I50" i="55"/>
  <c r="I51" i="55"/>
  <c r="I52" i="55"/>
  <c r="I53" i="55"/>
  <c r="I54" i="55"/>
  <c r="I55" i="55"/>
  <c r="I56" i="55"/>
  <c r="I57" i="55"/>
  <c r="I58" i="55"/>
  <c r="I59" i="55"/>
  <c r="I60" i="55"/>
  <c r="I61" i="55"/>
  <c r="I62" i="55"/>
  <c r="I63" i="55"/>
  <c r="I64" i="55"/>
  <c r="L388" i="45"/>
  <c r="L389" i="45"/>
  <c r="L390" i="45"/>
  <c r="L391" i="45"/>
  <c r="L392" i="45"/>
  <c r="L393" i="45"/>
  <c r="L394" i="45"/>
  <c r="L395" i="45"/>
  <c r="L396" i="45"/>
  <c r="L397" i="45"/>
  <c r="L398" i="45"/>
  <c r="L399" i="45"/>
  <c r="L400" i="45"/>
  <c r="L401" i="45"/>
  <c r="L402" i="45"/>
  <c r="L403" i="45"/>
  <c r="L404" i="45"/>
  <c r="L405" i="45"/>
  <c r="L406" i="45"/>
  <c r="L407" i="45"/>
  <c r="L408" i="45"/>
  <c r="L409" i="45"/>
  <c r="L410" i="45"/>
  <c r="L411" i="45"/>
  <c r="L412" i="45"/>
  <c r="L413" i="45"/>
  <c r="L414" i="45"/>
  <c r="L415" i="45"/>
  <c r="L416" i="45"/>
  <c r="L417" i="45"/>
  <c r="L418" i="45"/>
  <c r="L419" i="45"/>
  <c r="L420" i="45"/>
  <c r="L421" i="45"/>
  <c r="L422" i="45"/>
  <c r="L423" i="45"/>
  <c r="L424" i="45"/>
  <c r="L425" i="45"/>
  <c r="L426" i="45"/>
  <c r="L427" i="45"/>
  <c r="L428" i="45"/>
  <c r="L429" i="45"/>
  <c r="L430" i="45"/>
  <c r="L431" i="45"/>
  <c r="L432" i="45"/>
  <c r="L433" i="45"/>
  <c r="L434" i="45"/>
  <c r="L435" i="45"/>
  <c r="L436" i="45"/>
  <c r="L437" i="45"/>
  <c r="L438" i="45"/>
  <c r="K388" i="45"/>
  <c r="K389" i="45"/>
  <c r="K390" i="45"/>
  <c r="K391" i="45"/>
  <c r="K392" i="45"/>
  <c r="K393" i="45"/>
  <c r="K394" i="45"/>
  <c r="K395" i="45"/>
  <c r="K396" i="45"/>
  <c r="K397" i="45"/>
  <c r="K398" i="45"/>
  <c r="K399" i="45"/>
  <c r="K400" i="45"/>
  <c r="K401" i="45"/>
  <c r="K402" i="45"/>
  <c r="K403" i="45"/>
  <c r="K404" i="45"/>
  <c r="K405" i="45"/>
  <c r="K406" i="45"/>
  <c r="K407" i="45"/>
  <c r="K408" i="45"/>
  <c r="K409" i="45"/>
  <c r="K410" i="45"/>
  <c r="K411" i="45"/>
  <c r="K412" i="45"/>
  <c r="K413" i="45"/>
  <c r="K414" i="45"/>
  <c r="K415" i="45"/>
  <c r="K416" i="45"/>
  <c r="K417" i="45"/>
  <c r="K418" i="45"/>
  <c r="K419" i="45"/>
  <c r="K420" i="45"/>
  <c r="K421" i="45"/>
  <c r="K422" i="45"/>
  <c r="K423" i="45"/>
  <c r="K424" i="45"/>
  <c r="K425" i="45"/>
  <c r="K426" i="45"/>
  <c r="K427" i="45"/>
  <c r="K428" i="45"/>
  <c r="K429" i="45"/>
  <c r="K430" i="45"/>
  <c r="K431" i="45"/>
  <c r="K432" i="45"/>
  <c r="K433" i="45"/>
  <c r="K434" i="45"/>
  <c r="K435" i="45"/>
  <c r="K436" i="45"/>
  <c r="K437" i="45"/>
  <c r="K438" i="45"/>
  <c r="J388" i="45"/>
  <c r="J389" i="45"/>
  <c r="J390" i="45"/>
  <c r="J391" i="45"/>
  <c r="J392" i="45"/>
  <c r="J393" i="45"/>
  <c r="J394" i="45"/>
  <c r="J395" i="45"/>
  <c r="J396" i="45"/>
  <c r="J397" i="45"/>
  <c r="J398" i="45"/>
  <c r="J399" i="45"/>
  <c r="J400" i="45"/>
  <c r="J401" i="45"/>
  <c r="J402" i="45"/>
  <c r="J403" i="45"/>
  <c r="J404" i="45"/>
  <c r="J405" i="45"/>
  <c r="J406" i="45"/>
  <c r="J407" i="45"/>
  <c r="J408" i="45"/>
  <c r="J409" i="45"/>
  <c r="J410" i="45"/>
  <c r="J411" i="45"/>
  <c r="J412" i="45"/>
  <c r="J413" i="45"/>
  <c r="J414" i="45"/>
  <c r="J415" i="45"/>
  <c r="J416" i="45"/>
  <c r="J417" i="45"/>
  <c r="J418" i="45"/>
  <c r="J419" i="45"/>
  <c r="J420" i="45"/>
  <c r="J421" i="45"/>
  <c r="J422" i="45"/>
  <c r="J423" i="45"/>
  <c r="J424" i="45"/>
  <c r="J425" i="45"/>
  <c r="J426" i="45"/>
  <c r="J427" i="45"/>
  <c r="J428" i="45"/>
  <c r="J429" i="45"/>
  <c r="J430" i="45"/>
  <c r="J431" i="45"/>
  <c r="J432" i="45"/>
  <c r="J433" i="45"/>
  <c r="J434" i="45"/>
  <c r="J435" i="45"/>
  <c r="J436" i="45"/>
  <c r="J437" i="45"/>
  <c r="J438" i="45"/>
  <c r="I388" i="45"/>
  <c r="I389" i="45"/>
  <c r="I390" i="45"/>
  <c r="I391" i="45"/>
  <c r="I392" i="45"/>
  <c r="I393" i="45"/>
  <c r="I394" i="45"/>
  <c r="I395" i="45"/>
  <c r="I396" i="45"/>
  <c r="I397" i="45"/>
  <c r="I398" i="45"/>
  <c r="I399" i="45"/>
  <c r="I400" i="45"/>
  <c r="I401" i="45"/>
  <c r="I402" i="45"/>
  <c r="I403" i="45"/>
  <c r="I404" i="45"/>
  <c r="I405" i="45"/>
  <c r="I406" i="45"/>
  <c r="I407" i="45"/>
  <c r="I408" i="45"/>
  <c r="I409" i="45"/>
  <c r="I410" i="45"/>
  <c r="I411" i="45"/>
  <c r="I412" i="45"/>
  <c r="I413" i="45"/>
  <c r="I414" i="45"/>
  <c r="I415" i="45"/>
  <c r="I416" i="45"/>
  <c r="I417" i="45"/>
  <c r="I418" i="45"/>
  <c r="I419" i="45"/>
  <c r="I420" i="45"/>
  <c r="I421" i="45"/>
  <c r="I422" i="45"/>
  <c r="I423" i="45"/>
  <c r="I424" i="45"/>
  <c r="I425" i="45"/>
  <c r="I426" i="45"/>
  <c r="I427" i="45"/>
  <c r="I428" i="45"/>
  <c r="I429" i="45"/>
  <c r="I430" i="45"/>
  <c r="I431" i="45"/>
  <c r="I432" i="45"/>
  <c r="I433" i="45"/>
  <c r="I434" i="45"/>
  <c r="I435" i="45"/>
  <c r="I436" i="45"/>
  <c r="I437" i="45"/>
  <c r="I438" i="45"/>
  <c r="L334" i="45"/>
  <c r="L335" i="45"/>
  <c r="L336" i="45"/>
  <c r="L337" i="45"/>
  <c r="L338" i="45"/>
  <c r="L339" i="45"/>
  <c r="L340" i="45"/>
  <c r="L341" i="45"/>
  <c r="L342" i="45"/>
  <c r="L343" i="45"/>
  <c r="L344" i="45"/>
  <c r="L345" i="45"/>
  <c r="L346" i="45"/>
  <c r="L347" i="45"/>
  <c r="L348" i="45"/>
  <c r="L349" i="45"/>
  <c r="L350" i="45"/>
  <c r="L351" i="45"/>
  <c r="L352" i="45"/>
  <c r="L353" i="45"/>
  <c r="L354" i="45"/>
  <c r="L355" i="45"/>
  <c r="L356" i="45"/>
  <c r="L357" i="45"/>
  <c r="L358" i="45"/>
  <c r="L359" i="45"/>
  <c r="L360" i="45"/>
  <c r="L361" i="45"/>
  <c r="L362" i="45"/>
  <c r="L363" i="45"/>
  <c r="L364" i="45"/>
  <c r="L365" i="45"/>
  <c r="L366" i="45"/>
  <c r="L367" i="45"/>
  <c r="L368" i="45"/>
  <c r="L369" i="45"/>
  <c r="L370" i="45"/>
  <c r="L371" i="45"/>
  <c r="L372" i="45"/>
  <c r="L373" i="45"/>
  <c r="L374" i="45"/>
  <c r="L375" i="45"/>
  <c r="L376" i="45"/>
  <c r="L377" i="45"/>
  <c r="L378" i="45"/>
  <c r="L379" i="45"/>
  <c r="L380" i="45"/>
  <c r="L381" i="45"/>
  <c r="L382" i="45"/>
  <c r="L383" i="45"/>
  <c r="L384" i="45"/>
  <c r="K334" i="45"/>
  <c r="K335" i="45"/>
  <c r="K336" i="45"/>
  <c r="K337" i="45"/>
  <c r="K338" i="45"/>
  <c r="K339" i="45"/>
  <c r="K340" i="45"/>
  <c r="K341" i="45"/>
  <c r="K342" i="45"/>
  <c r="K343" i="45"/>
  <c r="K344" i="45"/>
  <c r="K345" i="45"/>
  <c r="K346" i="45"/>
  <c r="K347" i="45"/>
  <c r="K348" i="45"/>
  <c r="K349" i="45"/>
  <c r="K350" i="45"/>
  <c r="K351" i="45"/>
  <c r="K352" i="45"/>
  <c r="K353" i="45"/>
  <c r="K354" i="45"/>
  <c r="K355" i="45"/>
  <c r="K356" i="45"/>
  <c r="K357" i="45"/>
  <c r="K358" i="45"/>
  <c r="K359" i="45"/>
  <c r="K360" i="45"/>
  <c r="K361" i="45"/>
  <c r="K362" i="45"/>
  <c r="K363" i="45"/>
  <c r="K364" i="45"/>
  <c r="K365" i="45"/>
  <c r="K366" i="45"/>
  <c r="K367" i="45"/>
  <c r="K368" i="45"/>
  <c r="K369" i="45"/>
  <c r="K370" i="45"/>
  <c r="K371" i="45"/>
  <c r="K372" i="45"/>
  <c r="K373" i="45"/>
  <c r="K374" i="45"/>
  <c r="K375" i="45"/>
  <c r="K376" i="45"/>
  <c r="K377" i="45"/>
  <c r="K378" i="45"/>
  <c r="K379" i="45"/>
  <c r="K380" i="45"/>
  <c r="K381" i="45"/>
  <c r="K382" i="45"/>
  <c r="K383" i="45"/>
  <c r="K384" i="45"/>
  <c r="J334" i="45"/>
  <c r="J335" i="45"/>
  <c r="J336" i="45"/>
  <c r="J337" i="45"/>
  <c r="J338" i="45"/>
  <c r="J339" i="45"/>
  <c r="J340" i="45"/>
  <c r="J341" i="45"/>
  <c r="J342" i="45"/>
  <c r="J343" i="45"/>
  <c r="J344" i="45"/>
  <c r="J345" i="45"/>
  <c r="J346" i="45"/>
  <c r="J347" i="45"/>
  <c r="J348" i="45"/>
  <c r="J349" i="45"/>
  <c r="J350" i="45"/>
  <c r="J351" i="45"/>
  <c r="J352" i="45"/>
  <c r="J353" i="45"/>
  <c r="J354" i="45"/>
  <c r="J355" i="45"/>
  <c r="J356" i="45"/>
  <c r="J357" i="45"/>
  <c r="J358" i="45"/>
  <c r="J359" i="45"/>
  <c r="J360" i="45"/>
  <c r="J361" i="45"/>
  <c r="J362" i="45"/>
  <c r="J363" i="45"/>
  <c r="J364" i="45"/>
  <c r="J365" i="45"/>
  <c r="J366" i="45"/>
  <c r="J367" i="45"/>
  <c r="J368" i="45"/>
  <c r="J369" i="45"/>
  <c r="J370" i="45"/>
  <c r="J371" i="45"/>
  <c r="J372" i="45"/>
  <c r="J373" i="45"/>
  <c r="J374" i="45"/>
  <c r="J375" i="45"/>
  <c r="J376" i="45"/>
  <c r="J377" i="45"/>
  <c r="J378" i="45"/>
  <c r="J379" i="45"/>
  <c r="J380" i="45"/>
  <c r="J381" i="45"/>
  <c r="J382" i="45"/>
  <c r="J383" i="45"/>
  <c r="J384" i="45"/>
  <c r="I334" i="45"/>
  <c r="I335" i="45"/>
  <c r="I336" i="45"/>
  <c r="I337" i="45"/>
  <c r="I338" i="45"/>
  <c r="I339" i="45"/>
  <c r="I340" i="45"/>
  <c r="I341" i="45"/>
  <c r="I342" i="45"/>
  <c r="I343" i="45"/>
  <c r="I344" i="45"/>
  <c r="I345" i="45"/>
  <c r="I346" i="45"/>
  <c r="I347" i="45"/>
  <c r="I348" i="45"/>
  <c r="I349" i="45"/>
  <c r="I350" i="45"/>
  <c r="I351" i="45"/>
  <c r="I352" i="45"/>
  <c r="I353" i="45"/>
  <c r="I354" i="45"/>
  <c r="I355" i="45"/>
  <c r="I356" i="45"/>
  <c r="I357" i="45"/>
  <c r="I358" i="45"/>
  <c r="I359" i="45"/>
  <c r="I360" i="45"/>
  <c r="I361" i="45"/>
  <c r="I362" i="45"/>
  <c r="I363" i="45"/>
  <c r="I364" i="45"/>
  <c r="I365" i="45"/>
  <c r="I366" i="45"/>
  <c r="I367" i="45"/>
  <c r="I368" i="45"/>
  <c r="I369" i="45"/>
  <c r="I370" i="45"/>
  <c r="I371" i="45"/>
  <c r="I372" i="45"/>
  <c r="I373" i="45"/>
  <c r="I374" i="45"/>
  <c r="I375" i="45"/>
  <c r="I376" i="45"/>
  <c r="I377" i="45"/>
  <c r="I378" i="45"/>
  <c r="I379" i="45"/>
  <c r="I380" i="45"/>
  <c r="I381" i="45"/>
  <c r="I382" i="45"/>
  <c r="I383" i="45"/>
  <c r="I384" i="45"/>
  <c r="L171" i="45"/>
  <c r="L172" i="45"/>
  <c r="L173" i="45"/>
  <c r="L174" i="45"/>
  <c r="L175" i="45"/>
  <c r="L176" i="45"/>
  <c r="L177" i="45"/>
  <c r="L178" i="45"/>
  <c r="L179" i="45"/>
  <c r="L180" i="45"/>
  <c r="L181" i="45"/>
  <c r="L182" i="45"/>
  <c r="L183" i="45"/>
  <c r="L184" i="45"/>
  <c r="L185" i="45"/>
  <c r="L186" i="45"/>
  <c r="L187" i="45"/>
  <c r="L188" i="45"/>
  <c r="L189" i="45"/>
  <c r="L190" i="45"/>
  <c r="L191" i="45"/>
  <c r="L192" i="45"/>
  <c r="L193" i="45"/>
  <c r="L194" i="45"/>
  <c r="L195" i="45"/>
  <c r="L196" i="45"/>
  <c r="L197" i="45"/>
  <c r="L198" i="45"/>
  <c r="L199" i="45"/>
  <c r="L200" i="45"/>
  <c r="L201" i="45"/>
  <c r="L202" i="45"/>
  <c r="L203" i="45"/>
  <c r="L204" i="45"/>
  <c r="L205" i="45"/>
  <c r="L206" i="45"/>
  <c r="L207" i="45"/>
  <c r="L208" i="45"/>
  <c r="L209" i="45"/>
  <c r="L210" i="45"/>
  <c r="L211" i="45"/>
  <c r="L212" i="45"/>
  <c r="L213" i="45"/>
  <c r="L214" i="45"/>
  <c r="L215" i="45"/>
  <c r="L216" i="45"/>
  <c r="L217" i="45"/>
  <c r="L218" i="45"/>
  <c r="L219" i="45"/>
  <c r="L220" i="45"/>
  <c r="L221" i="45"/>
  <c r="K171" i="45"/>
  <c r="K172" i="45"/>
  <c r="K173" i="45"/>
  <c r="K174" i="45"/>
  <c r="K175" i="45"/>
  <c r="K176" i="45"/>
  <c r="K177" i="45"/>
  <c r="K178" i="45"/>
  <c r="K179" i="45"/>
  <c r="K180" i="45"/>
  <c r="K181" i="45"/>
  <c r="K182" i="45"/>
  <c r="K183" i="45"/>
  <c r="K184" i="45"/>
  <c r="K185" i="45"/>
  <c r="K186" i="45"/>
  <c r="K187" i="45"/>
  <c r="K188" i="45"/>
  <c r="K189" i="45"/>
  <c r="K190" i="45"/>
  <c r="K191" i="45"/>
  <c r="K192" i="45"/>
  <c r="K193" i="45"/>
  <c r="K194" i="45"/>
  <c r="K195" i="45"/>
  <c r="K196" i="45"/>
  <c r="K197" i="45"/>
  <c r="K198" i="45"/>
  <c r="K199" i="45"/>
  <c r="K200" i="45"/>
  <c r="K201" i="45"/>
  <c r="K202" i="45"/>
  <c r="K203" i="45"/>
  <c r="K204" i="45"/>
  <c r="K205" i="45"/>
  <c r="K206" i="45"/>
  <c r="K207" i="45"/>
  <c r="K208" i="45"/>
  <c r="K209" i="45"/>
  <c r="K210" i="45"/>
  <c r="K211" i="45"/>
  <c r="K212" i="45"/>
  <c r="K213" i="45"/>
  <c r="K214" i="45"/>
  <c r="K215" i="45"/>
  <c r="K216" i="45"/>
  <c r="K217" i="45"/>
  <c r="K218" i="45"/>
  <c r="K219" i="45"/>
  <c r="K220" i="45"/>
  <c r="K221" i="45"/>
  <c r="J171" i="45"/>
  <c r="J172" i="45"/>
  <c r="J173" i="45"/>
  <c r="J174" i="45"/>
  <c r="J175" i="45"/>
  <c r="J176" i="45"/>
  <c r="J177" i="45"/>
  <c r="J178" i="45"/>
  <c r="J179" i="45"/>
  <c r="J180" i="45"/>
  <c r="J181" i="45"/>
  <c r="J182" i="45"/>
  <c r="J183" i="45"/>
  <c r="J184" i="45"/>
  <c r="J185" i="45"/>
  <c r="J186" i="45"/>
  <c r="J187" i="45"/>
  <c r="J188" i="45"/>
  <c r="J189" i="45"/>
  <c r="J190" i="45"/>
  <c r="J191" i="45"/>
  <c r="J192" i="45"/>
  <c r="J193" i="45"/>
  <c r="J194" i="45"/>
  <c r="J195" i="45"/>
  <c r="J196" i="45"/>
  <c r="J197" i="45"/>
  <c r="J198" i="45"/>
  <c r="J199" i="45"/>
  <c r="J200" i="45"/>
  <c r="J201" i="45"/>
  <c r="J202" i="45"/>
  <c r="J203" i="45"/>
  <c r="J204" i="45"/>
  <c r="J205" i="45"/>
  <c r="J206" i="45"/>
  <c r="J207" i="45"/>
  <c r="J208" i="45"/>
  <c r="J209" i="45"/>
  <c r="J210" i="45"/>
  <c r="J211" i="45"/>
  <c r="J212" i="45"/>
  <c r="J213" i="45"/>
  <c r="J214" i="45"/>
  <c r="J215" i="45"/>
  <c r="J216" i="45"/>
  <c r="J217" i="45"/>
  <c r="J218" i="45"/>
  <c r="J219" i="45"/>
  <c r="J220" i="45"/>
  <c r="J221" i="45"/>
  <c r="I171" i="45"/>
  <c r="I172" i="45"/>
  <c r="I173" i="45"/>
  <c r="I174" i="45"/>
  <c r="I175" i="45"/>
  <c r="I176" i="45"/>
  <c r="I177" i="45"/>
  <c r="I178" i="45"/>
  <c r="I179" i="45"/>
  <c r="I180" i="45"/>
  <c r="I181" i="45"/>
  <c r="I182" i="45"/>
  <c r="I183" i="45"/>
  <c r="I184" i="45"/>
  <c r="I185" i="45"/>
  <c r="I186" i="45"/>
  <c r="I187" i="45"/>
  <c r="I188" i="45"/>
  <c r="I189" i="45"/>
  <c r="I190" i="45"/>
  <c r="I191" i="45"/>
  <c r="I192" i="45"/>
  <c r="I193" i="45"/>
  <c r="I194" i="45"/>
  <c r="I195" i="45"/>
  <c r="I196" i="45"/>
  <c r="I197" i="45"/>
  <c r="I198" i="45"/>
  <c r="I199" i="45"/>
  <c r="I200" i="45"/>
  <c r="I201" i="45"/>
  <c r="I202" i="45"/>
  <c r="I203" i="45"/>
  <c r="I204" i="45"/>
  <c r="I205" i="45"/>
  <c r="I206" i="45"/>
  <c r="I207" i="45"/>
  <c r="I208" i="45"/>
  <c r="I209" i="45"/>
  <c r="I210" i="45"/>
  <c r="I211" i="45"/>
  <c r="I212" i="45"/>
  <c r="I213" i="45"/>
  <c r="I214" i="45"/>
  <c r="I215" i="45"/>
  <c r="I216" i="45"/>
  <c r="I217" i="45"/>
  <c r="I218" i="45"/>
  <c r="I219" i="45"/>
  <c r="I220" i="45"/>
  <c r="I221" i="45"/>
  <c r="L62" i="45"/>
  <c r="L63" i="45"/>
  <c r="L64" i="45"/>
  <c r="L65" i="45"/>
  <c r="L66" i="45"/>
  <c r="L67" i="45"/>
  <c r="L68" i="45"/>
  <c r="L69" i="45"/>
  <c r="L70" i="45"/>
  <c r="L71" i="45"/>
  <c r="L72" i="45"/>
  <c r="L73" i="45"/>
  <c r="L74" i="45"/>
  <c r="L75" i="45"/>
  <c r="L76" i="45"/>
  <c r="L77" i="45"/>
  <c r="L78" i="45"/>
  <c r="L79" i="45"/>
  <c r="L80" i="45"/>
  <c r="L81" i="45"/>
  <c r="L82" i="45"/>
  <c r="L83" i="45"/>
  <c r="L84" i="45"/>
  <c r="L85" i="45"/>
  <c r="L86" i="45"/>
  <c r="L87" i="45"/>
  <c r="L88" i="45"/>
  <c r="L89" i="45"/>
  <c r="L90" i="45"/>
  <c r="L91" i="45"/>
  <c r="L92" i="45"/>
  <c r="L93" i="45"/>
  <c r="L94" i="45"/>
  <c r="L95" i="45"/>
  <c r="L96" i="45"/>
  <c r="L97" i="45"/>
  <c r="L98" i="45"/>
  <c r="L99" i="45"/>
  <c r="L100" i="45"/>
  <c r="L101" i="45"/>
  <c r="L102" i="45"/>
  <c r="L103" i="45"/>
  <c r="L104" i="45"/>
  <c r="L105" i="45"/>
  <c r="L106" i="45"/>
  <c r="L107" i="45"/>
  <c r="L108" i="45"/>
  <c r="L109" i="45"/>
  <c r="L110" i="45"/>
  <c r="L111" i="45"/>
  <c r="L112" i="45"/>
  <c r="K62" i="45"/>
  <c r="K63" i="45"/>
  <c r="K64" i="45"/>
  <c r="K65" i="45"/>
  <c r="K66" i="45"/>
  <c r="K67" i="45"/>
  <c r="K68" i="45"/>
  <c r="K69" i="45"/>
  <c r="K70" i="45"/>
  <c r="K71" i="45"/>
  <c r="K72" i="45"/>
  <c r="K73" i="45"/>
  <c r="K74" i="45"/>
  <c r="K75" i="45"/>
  <c r="K76" i="45"/>
  <c r="K77" i="45"/>
  <c r="K78" i="45"/>
  <c r="K79" i="45"/>
  <c r="K80" i="45"/>
  <c r="K81" i="45"/>
  <c r="K82" i="45"/>
  <c r="K83" i="45"/>
  <c r="K84" i="45"/>
  <c r="K85" i="45"/>
  <c r="K86" i="45"/>
  <c r="K87" i="45"/>
  <c r="K88" i="45"/>
  <c r="K89" i="45"/>
  <c r="K90" i="45"/>
  <c r="K91" i="45"/>
  <c r="K92" i="45"/>
  <c r="K93" i="45"/>
  <c r="K94" i="45"/>
  <c r="K95" i="45"/>
  <c r="K96" i="45"/>
  <c r="K97" i="45"/>
  <c r="K98" i="45"/>
  <c r="K99" i="45"/>
  <c r="K100" i="45"/>
  <c r="K101" i="45"/>
  <c r="K102" i="45"/>
  <c r="K103" i="45"/>
  <c r="K104" i="45"/>
  <c r="K105" i="45"/>
  <c r="K106" i="45"/>
  <c r="K107" i="45"/>
  <c r="K108" i="45"/>
  <c r="K109" i="45"/>
  <c r="K110" i="45"/>
  <c r="K111" i="45"/>
  <c r="K112" i="45"/>
  <c r="J62" i="45"/>
  <c r="J63" i="45"/>
  <c r="J64" i="45"/>
  <c r="J65" i="45"/>
  <c r="J66" i="45"/>
  <c r="J67" i="45"/>
  <c r="J68" i="45"/>
  <c r="J69" i="45"/>
  <c r="J70" i="45"/>
  <c r="J71" i="45"/>
  <c r="J72" i="45"/>
  <c r="J73" i="45"/>
  <c r="J74" i="45"/>
  <c r="J75" i="45"/>
  <c r="J76" i="45"/>
  <c r="J77" i="45"/>
  <c r="J78" i="45"/>
  <c r="J79" i="45"/>
  <c r="J80" i="45"/>
  <c r="J81" i="45"/>
  <c r="J82" i="45"/>
  <c r="J83" i="45"/>
  <c r="J84" i="45"/>
  <c r="J85" i="45"/>
  <c r="J86" i="45"/>
  <c r="J87" i="45"/>
  <c r="J88" i="45"/>
  <c r="J89" i="45"/>
  <c r="J90" i="45"/>
  <c r="J91" i="45"/>
  <c r="J92" i="45"/>
  <c r="J93" i="45"/>
  <c r="J94" i="45"/>
  <c r="J95" i="45"/>
  <c r="J96" i="45"/>
  <c r="J97" i="45"/>
  <c r="J98" i="45"/>
  <c r="J99" i="45"/>
  <c r="J100" i="45"/>
  <c r="J101" i="45"/>
  <c r="J102" i="45"/>
  <c r="J103" i="45"/>
  <c r="J104" i="45"/>
  <c r="J105" i="45"/>
  <c r="J106" i="45"/>
  <c r="J107" i="45"/>
  <c r="J108" i="45"/>
  <c r="J109" i="45"/>
  <c r="J110" i="45"/>
  <c r="J111" i="45"/>
  <c r="J112" i="45"/>
  <c r="I62" i="45"/>
  <c r="I63" i="45"/>
  <c r="I64" i="45"/>
  <c r="I65" i="45"/>
  <c r="I66" i="45"/>
  <c r="I67" i="45"/>
  <c r="I68" i="45"/>
  <c r="I69" i="45"/>
  <c r="I70" i="45"/>
  <c r="I71" i="45"/>
  <c r="I72" i="45"/>
  <c r="I73" i="45"/>
  <c r="I74" i="45"/>
  <c r="I75" i="45"/>
  <c r="I76" i="45"/>
  <c r="I77" i="45"/>
  <c r="I78" i="45"/>
  <c r="I79" i="45"/>
  <c r="I80" i="45"/>
  <c r="I81" i="45"/>
  <c r="I82" i="45"/>
  <c r="I83" i="45"/>
  <c r="I84" i="45"/>
  <c r="I85" i="45"/>
  <c r="I86" i="45"/>
  <c r="I87" i="45"/>
  <c r="I88" i="45"/>
  <c r="I89" i="45"/>
  <c r="I90" i="45"/>
  <c r="I91" i="45"/>
  <c r="I92" i="45"/>
  <c r="I93" i="45"/>
  <c r="I94" i="45"/>
  <c r="I95" i="45"/>
  <c r="I96" i="45"/>
  <c r="I97" i="45"/>
  <c r="I98" i="45"/>
  <c r="I99" i="45"/>
  <c r="I100" i="45"/>
  <c r="I101" i="45"/>
  <c r="I102" i="45"/>
  <c r="I103" i="45"/>
  <c r="I104" i="45"/>
  <c r="I105" i="45"/>
  <c r="I106" i="45"/>
  <c r="I107" i="45"/>
  <c r="I108" i="45"/>
  <c r="I109" i="45"/>
  <c r="I110" i="45"/>
  <c r="I111" i="45"/>
  <c r="I112" i="45"/>
  <c r="L171" i="59"/>
  <c r="L172" i="59"/>
  <c r="L173" i="59"/>
  <c r="L174" i="59"/>
  <c r="L175" i="59"/>
  <c r="L176" i="59"/>
  <c r="L177" i="59"/>
  <c r="L178" i="59"/>
  <c r="L179" i="59"/>
  <c r="L180" i="59"/>
  <c r="L181" i="59"/>
  <c r="L182" i="59"/>
  <c r="L183" i="59"/>
  <c r="L184" i="59"/>
  <c r="L185" i="59"/>
  <c r="L186" i="59"/>
  <c r="L187" i="59"/>
  <c r="L188" i="59"/>
  <c r="L189" i="59"/>
  <c r="L190" i="59"/>
  <c r="L191" i="59"/>
  <c r="L192" i="59"/>
  <c r="L193" i="59"/>
  <c r="L194" i="59"/>
  <c r="L195" i="59"/>
  <c r="L196" i="59"/>
  <c r="L197" i="59"/>
  <c r="L198" i="59"/>
  <c r="L199" i="59"/>
  <c r="L200" i="59"/>
  <c r="L201" i="59"/>
  <c r="L202" i="59"/>
  <c r="L203" i="59"/>
  <c r="L204" i="59"/>
  <c r="L205" i="59"/>
  <c r="L206" i="59"/>
  <c r="L207" i="59"/>
  <c r="L208" i="59"/>
  <c r="L209" i="59"/>
  <c r="L210" i="59"/>
  <c r="L211" i="59"/>
  <c r="L212" i="59"/>
  <c r="L213" i="59"/>
  <c r="L214" i="59"/>
  <c r="L215" i="59"/>
  <c r="L216" i="59"/>
  <c r="L217" i="59"/>
  <c r="L218" i="59"/>
  <c r="L219" i="59"/>
  <c r="L220" i="59"/>
  <c r="L221" i="59"/>
  <c r="K171" i="59"/>
  <c r="K172" i="59"/>
  <c r="K173" i="59"/>
  <c r="K174" i="59"/>
  <c r="K175" i="59"/>
  <c r="K176" i="59"/>
  <c r="K177" i="59"/>
  <c r="K178" i="59"/>
  <c r="K179" i="59"/>
  <c r="K180" i="59"/>
  <c r="K181" i="59"/>
  <c r="K182" i="59"/>
  <c r="K183" i="59"/>
  <c r="K184" i="59"/>
  <c r="K185" i="59"/>
  <c r="K186" i="59"/>
  <c r="K187" i="59"/>
  <c r="K188" i="59"/>
  <c r="K189" i="59"/>
  <c r="K190" i="59"/>
  <c r="K191" i="59"/>
  <c r="K192" i="59"/>
  <c r="K193" i="59"/>
  <c r="K194" i="59"/>
  <c r="K195" i="59"/>
  <c r="K196" i="59"/>
  <c r="K197" i="59"/>
  <c r="K198" i="59"/>
  <c r="K199" i="59"/>
  <c r="K200" i="59"/>
  <c r="K201" i="59"/>
  <c r="K202" i="59"/>
  <c r="K203" i="59"/>
  <c r="K204" i="59"/>
  <c r="K205" i="59"/>
  <c r="K206" i="59"/>
  <c r="K207" i="59"/>
  <c r="K208" i="59"/>
  <c r="K209" i="59"/>
  <c r="K210" i="59"/>
  <c r="K211" i="59"/>
  <c r="K212" i="59"/>
  <c r="K213" i="59"/>
  <c r="K214" i="59"/>
  <c r="K215" i="59"/>
  <c r="K216" i="59"/>
  <c r="K217" i="59"/>
  <c r="K218" i="59"/>
  <c r="K219" i="59"/>
  <c r="K220" i="59"/>
  <c r="K221" i="59"/>
  <c r="J171" i="59"/>
  <c r="J172" i="59"/>
  <c r="J173" i="59"/>
  <c r="J174" i="59"/>
  <c r="J175" i="59"/>
  <c r="J176" i="59"/>
  <c r="J177" i="59"/>
  <c r="J178" i="59"/>
  <c r="J179" i="59"/>
  <c r="J180" i="59"/>
  <c r="J181" i="59"/>
  <c r="J182" i="59"/>
  <c r="J183" i="59"/>
  <c r="J184" i="59"/>
  <c r="J185" i="59"/>
  <c r="J186" i="59"/>
  <c r="J187" i="59"/>
  <c r="J188" i="59"/>
  <c r="J189" i="59"/>
  <c r="J190" i="59"/>
  <c r="J191" i="59"/>
  <c r="J192" i="59"/>
  <c r="J193" i="59"/>
  <c r="J194" i="59"/>
  <c r="J195" i="59"/>
  <c r="J196" i="59"/>
  <c r="J197" i="59"/>
  <c r="J198" i="59"/>
  <c r="J199" i="59"/>
  <c r="J200" i="59"/>
  <c r="J201" i="59"/>
  <c r="J202" i="59"/>
  <c r="J203" i="59"/>
  <c r="J204" i="59"/>
  <c r="J205" i="59"/>
  <c r="J206" i="59"/>
  <c r="J207" i="59"/>
  <c r="J208" i="59"/>
  <c r="J209" i="59"/>
  <c r="J210" i="59"/>
  <c r="J211" i="59"/>
  <c r="J212" i="59"/>
  <c r="J213" i="59"/>
  <c r="J214" i="59"/>
  <c r="J215" i="59"/>
  <c r="J216" i="59"/>
  <c r="J217" i="59"/>
  <c r="J218" i="59"/>
  <c r="J219" i="59"/>
  <c r="J220" i="59"/>
  <c r="J221" i="59"/>
  <c r="I171" i="59"/>
  <c r="I172" i="59"/>
  <c r="I173" i="59"/>
  <c r="I174" i="59"/>
  <c r="I175" i="59"/>
  <c r="I176" i="59"/>
  <c r="I177" i="59"/>
  <c r="I178" i="59"/>
  <c r="I179" i="59"/>
  <c r="I180" i="59"/>
  <c r="I181" i="59"/>
  <c r="I182" i="59"/>
  <c r="I183" i="59"/>
  <c r="I184" i="59"/>
  <c r="I185" i="59"/>
  <c r="I186" i="59"/>
  <c r="I187" i="59"/>
  <c r="I188" i="59"/>
  <c r="I189" i="59"/>
  <c r="I190" i="59"/>
  <c r="I191" i="59"/>
  <c r="I192" i="59"/>
  <c r="I193" i="59"/>
  <c r="I194" i="59"/>
  <c r="I195" i="59"/>
  <c r="I196" i="59"/>
  <c r="I197" i="59"/>
  <c r="I198" i="59"/>
  <c r="I199" i="59"/>
  <c r="I200" i="59"/>
  <c r="I201" i="59"/>
  <c r="I202" i="59"/>
  <c r="I203" i="59"/>
  <c r="I204" i="59"/>
  <c r="I205" i="59"/>
  <c r="I206" i="59"/>
  <c r="I207" i="59"/>
  <c r="I208" i="59"/>
  <c r="I209" i="59"/>
  <c r="I210" i="59"/>
  <c r="I211" i="59"/>
  <c r="I212" i="59"/>
  <c r="I213" i="59"/>
  <c r="I214" i="59"/>
  <c r="I215" i="59"/>
  <c r="I216" i="59"/>
  <c r="I217" i="59"/>
  <c r="I218" i="59"/>
  <c r="I219" i="59"/>
  <c r="I220" i="59"/>
  <c r="I221" i="59"/>
  <c r="L120" i="59"/>
  <c r="L121" i="59"/>
  <c r="L122" i="59"/>
  <c r="L123" i="59"/>
  <c r="L124" i="59"/>
  <c r="L125" i="59"/>
  <c r="L126" i="59"/>
  <c r="L127" i="59"/>
  <c r="L128" i="59"/>
  <c r="L129" i="59"/>
  <c r="L130" i="59"/>
  <c r="L131" i="59"/>
  <c r="L132" i="59"/>
  <c r="L133" i="59"/>
  <c r="L134" i="59"/>
  <c r="L135" i="59"/>
  <c r="L136" i="59"/>
  <c r="L137" i="59"/>
  <c r="L138" i="59"/>
  <c r="L139" i="59"/>
  <c r="L140" i="59"/>
  <c r="L141" i="59"/>
  <c r="L142" i="59"/>
  <c r="L143" i="59"/>
  <c r="L144" i="59"/>
  <c r="L145" i="59"/>
  <c r="L146" i="59"/>
  <c r="L147" i="59"/>
  <c r="L148" i="59"/>
  <c r="L149" i="59"/>
  <c r="L150" i="59"/>
  <c r="L151" i="59"/>
  <c r="L152" i="59"/>
  <c r="L153" i="59"/>
  <c r="L154" i="59"/>
  <c r="L155" i="59"/>
  <c r="L156" i="59"/>
  <c r="L157" i="59"/>
  <c r="L158" i="59"/>
  <c r="L159" i="59"/>
  <c r="L160" i="59"/>
  <c r="L161" i="59"/>
  <c r="L162" i="59"/>
  <c r="L163" i="59"/>
  <c r="L164" i="59"/>
  <c r="L165" i="59"/>
  <c r="L166" i="59"/>
  <c r="L167" i="59"/>
  <c r="L168" i="59"/>
  <c r="L169" i="59"/>
  <c r="L170" i="59"/>
  <c r="K120" i="59"/>
  <c r="K121" i="59"/>
  <c r="K122" i="59"/>
  <c r="K123" i="59"/>
  <c r="K124" i="59"/>
  <c r="K125" i="59"/>
  <c r="K126" i="59"/>
  <c r="K127" i="59"/>
  <c r="K128" i="59"/>
  <c r="K129" i="59"/>
  <c r="K130" i="59"/>
  <c r="K131" i="59"/>
  <c r="K132" i="59"/>
  <c r="K133" i="59"/>
  <c r="K134" i="59"/>
  <c r="K135" i="59"/>
  <c r="K136" i="59"/>
  <c r="K137" i="59"/>
  <c r="K138" i="59"/>
  <c r="K139" i="59"/>
  <c r="K140" i="59"/>
  <c r="K141" i="59"/>
  <c r="K142" i="59"/>
  <c r="K143" i="59"/>
  <c r="K144" i="59"/>
  <c r="K145" i="59"/>
  <c r="K146" i="59"/>
  <c r="K147" i="59"/>
  <c r="K148" i="59"/>
  <c r="K149" i="59"/>
  <c r="K150" i="59"/>
  <c r="K151" i="59"/>
  <c r="K152" i="59"/>
  <c r="K153" i="59"/>
  <c r="K154" i="59"/>
  <c r="K155" i="59"/>
  <c r="K156" i="59"/>
  <c r="K157" i="59"/>
  <c r="K158" i="59"/>
  <c r="K159" i="59"/>
  <c r="K160" i="59"/>
  <c r="K161" i="59"/>
  <c r="K162" i="59"/>
  <c r="K163" i="59"/>
  <c r="K164" i="59"/>
  <c r="K165" i="59"/>
  <c r="K166" i="59"/>
  <c r="K167" i="59"/>
  <c r="K168" i="59"/>
  <c r="K169" i="59"/>
  <c r="K170" i="59"/>
  <c r="J120" i="59"/>
  <c r="J121" i="59"/>
  <c r="J122" i="59"/>
  <c r="J123" i="59"/>
  <c r="J124" i="59"/>
  <c r="J125" i="59"/>
  <c r="J126" i="59"/>
  <c r="J127" i="59"/>
  <c r="J128" i="59"/>
  <c r="J129" i="59"/>
  <c r="J130" i="59"/>
  <c r="J131" i="59"/>
  <c r="J132" i="59"/>
  <c r="J133" i="59"/>
  <c r="J134" i="59"/>
  <c r="J135" i="59"/>
  <c r="J136" i="59"/>
  <c r="J137" i="59"/>
  <c r="J138" i="59"/>
  <c r="J139" i="59"/>
  <c r="J140" i="59"/>
  <c r="J141" i="59"/>
  <c r="J142" i="59"/>
  <c r="J143" i="59"/>
  <c r="J144" i="59"/>
  <c r="J145" i="59"/>
  <c r="J146" i="59"/>
  <c r="J147" i="59"/>
  <c r="J148" i="59"/>
  <c r="J149" i="59"/>
  <c r="J150" i="59"/>
  <c r="J151" i="59"/>
  <c r="J152" i="59"/>
  <c r="J153" i="59"/>
  <c r="J154" i="59"/>
  <c r="J155" i="59"/>
  <c r="J156" i="59"/>
  <c r="J157" i="59"/>
  <c r="J158" i="59"/>
  <c r="J159" i="59"/>
  <c r="J160" i="59"/>
  <c r="J161" i="59"/>
  <c r="J162" i="59"/>
  <c r="J163" i="59"/>
  <c r="J164" i="59"/>
  <c r="J165" i="59"/>
  <c r="J166" i="59"/>
  <c r="J167" i="59"/>
  <c r="J168" i="59"/>
  <c r="J169" i="59"/>
  <c r="J170" i="59"/>
  <c r="I120" i="59"/>
  <c r="I121" i="59"/>
  <c r="I122" i="59"/>
  <c r="I123" i="59"/>
  <c r="I124" i="59"/>
  <c r="I125" i="59"/>
  <c r="I126" i="59"/>
  <c r="I127" i="59"/>
  <c r="I128" i="59"/>
  <c r="I129" i="59"/>
  <c r="I130" i="59"/>
  <c r="I131" i="59"/>
  <c r="I132" i="59"/>
  <c r="I133" i="59"/>
  <c r="I134" i="59"/>
  <c r="I135" i="59"/>
  <c r="I136" i="59"/>
  <c r="I137" i="59"/>
  <c r="I138" i="59"/>
  <c r="I139" i="59"/>
  <c r="I140" i="59"/>
  <c r="I141" i="59"/>
  <c r="I142" i="59"/>
  <c r="I143" i="59"/>
  <c r="I144" i="59"/>
  <c r="I145" i="59"/>
  <c r="I146" i="59"/>
  <c r="I147" i="59"/>
  <c r="I148" i="59"/>
  <c r="I149" i="59"/>
  <c r="I150" i="59"/>
  <c r="I151" i="59"/>
  <c r="I152" i="59"/>
  <c r="I153" i="59"/>
  <c r="I154" i="59"/>
  <c r="I155" i="59"/>
  <c r="I156" i="59"/>
  <c r="I157" i="59"/>
  <c r="I158" i="59"/>
  <c r="I159" i="59"/>
  <c r="I160" i="59"/>
  <c r="I161" i="59"/>
  <c r="I162" i="59"/>
  <c r="I163" i="59"/>
  <c r="I164" i="59"/>
  <c r="I165" i="59"/>
  <c r="I166" i="59"/>
  <c r="I167" i="59"/>
  <c r="I168" i="59"/>
  <c r="I169" i="59"/>
  <c r="I170" i="59"/>
  <c r="L69" i="59"/>
  <c r="L70" i="59"/>
  <c r="L71" i="59"/>
  <c r="L72" i="59"/>
  <c r="L73" i="59"/>
  <c r="L74" i="59"/>
  <c r="L75" i="59"/>
  <c r="L76" i="59"/>
  <c r="L77" i="59"/>
  <c r="L78" i="59"/>
  <c r="L79" i="59"/>
  <c r="L80" i="59"/>
  <c r="L81" i="59"/>
  <c r="L82" i="59"/>
  <c r="L83" i="59"/>
  <c r="L84" i="59"/>
  <c r="L85" i="59"/>
  <c r="L86" i="59"/>
  <c r="L87" i="59"/>
  <c r="L88" i="59"/>
  <c r="L89" i="59"/>
  <c r="L90" i="59"/>
  <c r="L91" i="59"/>
  <c r="L92" i="59"/>
  <c r="L93" i="59"/>
  <c r="L94" i="59"/>
  <c r="L95" i="59"/>
  <c r="L96" i="59"/>
  <c r="L97" i="59"/>
  <c r="L98" i="59"/>
  <c r="L99" i="59"/>
  <c r="L100" i="59"/>
  <c r="L101" i="59"/>
  <c r="L102" i="59"/>
  <c r="L103" i="59"/>
  <c r="L104" i="59"/>
  <c r="L105" i="59"/>
  <c r="L106" i="59"/>
  <c r="L107" i="59"/>
  <c r="L108" i="59"/>
  <c r="L109" i="59"/>
  <c r="L110" i="59"/>
  <c r="L111" i="59"/>
  <c r="L112" i="59"/>
  <c r="L113" i="59"/>
  <c r="L114" i="59"/>
  <c r="L115" i="59"/>
  <c r="L116" i="59"/>
  <c r="L117" i="59"/>
  <c r="L118" i="59"/>
  <c r="L119" i="59"/>
  <c r="K69" i="59"/>
  <c r="K70" i="59"/>
  <c r="K71" i="59"/>
  <c r="K72" i="59"/>
  <c r="K73" i="59"/>
  <c r="K74" i="59"/>
  <c r="K75" i="59"/>
  <c r="K76" i="59"/>
  <c r="K77" i="59"/>
  <c r="K78" i="59"/>
  <c r="K79" i="59"/>
  <c r="K80" i="59"/>
  <c r="K81" i="59"/>
  <c r="K82" i="59"/>
  <c r="K83" i="59"/>
  <c r="K84" i="59"/>
  <c r="K85" i="59"/>
  <c r="K86" i="59"/>
  <c r="K87" i="59"/>
  <c r="K88" i="59"/>
  <c r="K89" i="59"/>
  <c r="K90" i="59"/>
  <c r="K91" i="59"/>
  <c r="K92" i="59"/>
  <c r="K93" i="59"/>
  <c r="K94" i="59"/>
  <c r="K95" i="59"/>
  <c r="K96" i="59"/>
  <c r="K97" i="59"/>
  <c r="K98" i="59"/>
  <c r="K99" i="59"/>
  <c r="K100" i="59"/>
  <c r="K101" i="59"/>
  <c r="K102" i="59"/>
  <c r="K103" i="59"/>
  <c r="K104" i="59"/>
  <c r="K105" i="59"/>
  <c r="K106" i="59"/>
  <c r="K107" i="59"/>
  <c r="K108" i="59"/>
  <c r="K109" i="59"/>
  <c r="K110" i="59"/>
  <c r="K111" i="59"/>
  <c r="K112" i="59"/>
  <c r="K113" i="59"/>
  <c r="K114" i="59"/>
  <c r="K115" i="59"/>
  <c r="K116" i="59"/>
  <c r="K117" i="59"/>
  <c r="K118" i="59"/>
  <c r="K119" i="59"/>
  <c r="J69" i="59"/>
  <c r="J70" i="59"/>
  <c r="J71" i="59"/>
  <c r="J72" i="59"/>
  <c r="J73" i="59"/>
  <c r="J74" i="59"/>
  <c r="J75" i="59"/>
  <c r="J76" i="59"/>
  <c r="J77" i="59"/>
  <c r="J78" i="59"/>
  <c r="J79" i="59"/>
  <c r="J80" i="59"/>
  <c r="J81" i="59"/>
  <c r="J82" i="59"/>
  <c r="J83" i="59"/>
  <c r="J84" i="59"/>
  <c r="J85" i="59"/>
  <c r="J86" i="59"/>
  <c r="J87" i="59"/>
  <c r="J88" i="59"/>
  <c r="J89" i="59"/>
  <c r="J90" i="59"/>
  <c r="J91" i="59"/>
  <c r="J92" i="59"/>
  <c r="J93" i="59"/>
  <c r="J94" i="59"/>
  <c r="J95" i="59"/>
  <c r="J96" i="59"/>
  <c r="J97" i="59"/>
  <c r="J98" i="59"/>
  <c r="J99" i="59"/>
  <c r="J100" i="59"/>
  <c r="J101" i="59"/>
  <c r="J102" i="59"/>
  <c r="J103" i="59"/>
  <c r="J104" i="59"/>
  <c r="J105" i="59"/>
  <c r="J106" i="59"/>
  <c r="J107" i="59"/>
  <c r="J108" i="59"/>
  <c r="J109" i="59"/>
  <c r="J110" i="59"/>
  <c r="J111" i="59"/>
  <c r="J112" i="59"/>
  <c r="J113" i="59"/>
  <c r="J114" i="59"/>
  <c r="J115" i="59"/>
  <c r="J116" i="59"/>
  <c r="J117" i="59"/>
  <c r="J118" i="59"/>
  <c r="J119" i="59"/>
  <c r="I69" i="59"/>
  <c r="I70" i="59"/>
  <c r="I71" i="59"/>
  <c r="I72" i="59"/>
  <c r="I73" i="59"/>
  <c r="I74" i="59"/>
  <c r="I75" i="59"/>
  <c r="I76" i="59"/>
  <c r="I77" i="59"/>
  <c r="I78" i="59"/>
  <c r="I79" i="59"/>
  <c r="I80" i="59"/>
  <c r="I81" i="59"/>
  <c r="I82" i="59"/>
  <c r="I83" i="59"/>
  <c r="I84" i="59"/>
  <c r="I85" i="59"/>
  <c r="I86" i="59"/>
  <c r="I87" i="59"/>
  <c r="I88" i="59"/>
  <c r="I89" i="59"/>
  <c r="I90" i="59"/>
  <c r="I91" i="59"/>
  <c r="I92" i="59"/>
  <c r="I93" i="59"/>
  <c r="I94" i="59"/>
  <c r="I95" i="59"/>
  <c r="I96" i="59"/>
  <c r="I97" i="59"/>
  <c r="I98" i="59"/>
  <c r="I99" i="59"/>
  <c r="I100" i="59"/>
  <c r="I101" i="59"/>
  <c r="I102" i="59"/>
  <c r="I103" i="59"/>
  <c r="I104" i="59"/>
  <c r="I105" i="59"/>
  <c r="I106" i="59"/>
  <c r="I107" i="59"/>
  <c r="I108" i="59"/>
  <c r="I109" i="59"/>
  <c r="I110" i="59"/>
  <c r="I111" i="59"/>
  <c r="I112" i="59"/>
  <c r="I113" i="59"/>
  <c r="I114" i="59"/>
  <c r="I115" i="59"/>
  <c r="I116" i="59"/>
  <c r="I117" i="59"/>
  <c r="I118" i="59"/>
  <c r="I119" i="59"/>
  <c r="L18" i="59"/>
  <c r="L19" i="59"/>
  <c r="L20" i="59"/>
  <c r="L21" i="59"/>
  <c r="L22" i="59"/>
  <c r="L23" i="59"/>
  <c r="L24" i="59"/>
  <c r="L25" i="59"/>
  <c r="L26" i="59"/>
  <c r="L27" i="59"/>
  <c r="L28" i="59"/>
  <c r="L29" i="59"/>
  <c r="L30" i="59"/>
  <c r="L31" i="59"/>
  <c r="L32" i="59"/>
  <c r="L33" i="59"/>
  <c r="L34" i="59"/>
  <c r="L35" i="59"/>
  <c r="L36" i="59"/>
  <c r="L37" i="59"/>
  <c r="L38" i="59"/>
  <c r="L39" i="59"/>
  <c r="L40" i="59"/>
  <c r="L41" i="59"/>
  <c r="L42" i="59"/>
  <c r="L43" i="59"/>
  <c r="L44" i="59"/>
  <c r="L45" i="59"/>
  <c r="L46" i="59"/>
  <c r="L47" i="59"/>
  <c r="L48" i="59"/>
  <c r="L49" i="59"/>
  <c r="L50" i="59"/>
  <c r="L51" i="59"/>
  <c r="L52" i="59"/>
  <c r="L53" i="59"/>
  <c r="L54" i="59"/>
  <c r="L55" i="59"/>
  <c r="L56" i="59"/>
  <c r="L57" i="59"/>
  <c r="L58" i="59"/>
  <c r="L59" i="59"/>
  <c r="L60" i="59"/>
  <c r="L61" i="59"/>
  <c r="L62" i="59"/>
  <c r="L63" i="59"/>
  <c r="L64" i="59"/>
  <c r="L65" i="59"/>
  <c r="L66" i="59"/>
  <c r="L67" i="59"/>
  <c r="L68" i="59"/>
  <c r="K18" i="59"/>
  <c r="K19" i="59"/>
  <c r="K20" i="59"/>
  <c r="K21" i="59"/>
  <c r="K22" i="59"/>
  <c r="K23" i="59"/>
  <c r="K24" i="59"/>
  <c r="K25" i="59"/>
  <c r="K26" i="59"/>
  <c r="K27" i="59"/>
  <c r="K28" i="59"/>
  <c r="K29" i="59"/>
  <c r="K30" i="59"/>
  <c r="K31" i="59"/>
  <c r="K32" i="59"/>
  <c r="K33" i="59"/>
  <c r="K34" i="59"/>
  <c r="K35" i="59"/>
  <c r="K36" i="59"/>
  <c r="K37" i="59"/>
  <c r="K38" i="59"/>
  <c r="K39" i="59"/>
  <c r="K40" i="59"/>
  <c r="K41" i="59"/>
  <c r="K42" i="59"/>
  <c r="K43" i="59"/>
  <c r="K44" i="59"/>
  <c r="K45" i="59"/>
  <c r="K46" i="59"/>
  <c r="K47" i="59"/>
  <c r="K48" i="59"/>
  <c r="K49" i="59"/>
  <c r="K50" i="59"/>
  <c r="K51" i="59"/>
  <c r="K52" i="59"/>
  <c r="K53" i="59"/>
  <c r="K54" i="59"/>
  <c r="K55" i="59"/>
  <c r="K56" i="59"/>
  <c r="K57" i="59"/>
  <c r="K58" i="59"/>
  <c r="K59" i="59"/>
  <c r="K60" i="59"/>
  <c r="K61" i="59"/>
  <c r="K62" i="59"/>
  <c r="K63" i="59"/>
  <c r="K64" i="59"/>
  <c r="K65" i="59"/>
  <c r="K66" i="59"/>
  <c r="K67" i="59"/>
  <c r="K68" i="59"/>
  <c r="J18" i="59"/>
  <c r="J19" i="59"/>
  <c r="J20" i="59"/>
  <c r="J21" i="59"/>
  <c r="J22" i="59"/>
  <c r="J23" i="59"/>
  <c r="J24" i="59"/>
  <c r="J25" i="59"/>
  <c r="J26" i="59"/>
  <c r="J27" i="59"/>
  <c r="J28" i="59"/>
  <c r="J29" i="59"/>
  <c r="J30" i="59"/>
  <c r="J31" i="59"/>
  <c r="J32" i="59"/>
  <c r="J33" i="59"/>
  <c r="J34" i="59"/>
  <c r="J35" i="59"/>
  <c r="J36" i="59"/>
  <c r="J37" i="59"/>
  <c r="J38" i="59"/>
  <c r="J39" i="59"/>
  <c r="J40" i="59"/>
  <c r="J41" i="59"/>
  <c r="J42" i="59"/>
  <c r="J43" i="59"/>
  <c r="J44" i="59"/>
  <c r="J45" i="59"/>
  <c r="J46" i="59"/>
  <c r="J47" i="59"/>
  <c r="J48" i="59"/>
  <c r="J49" i="59"/>
  <c r="J50" i="59"/>
  <c r="J51" i="59"/>
  <c r="J52" i="59"/>
  <c r="J53" i="59"/>
  <c r="J54" i="59"/>
  <c r="J55" i="59"/>
  <c r="J56" i="59"/>
  <c r="J57" i="59"/>
  <c r="J58" i="59"/>
  <c r="J59" i="59"/>
  <c r="J60" i="59"/>
  <c r="J61" i="59"/>
  <c r="J62" i="59"/>
  <c r="J63" i="59"/>
  <c r="J64" i="59"/>
  <c r="J65" i="59"/>
  <c r="J66" i="59"/>
  <c r="J67" i="59"/>
  <c r="J68" i="59"/>
  <c r="I18" i="59"/>
  <c r="I19" i="59"/>
  <c r="I20" i="59"/>
  <c r="I21" i="59"/>
  <c r="I22" i="59"/>
  <c r="I23" i="59"/>
  <c r="I24" i="59"/>
  <c r="I25" i="59"/>
  <c r="I26" i="59"/>
  <c r="I27" i="59"/>
  <c r="I28" i="59"/>
  <c r="I29" i="59"/>
  <c r="I30" i="59"/>
  <c r="I31" i="59"/>
  <c r="I32" i="59"/>
  <c r="I33" i="59"/>
  <c r="I34" i="59"/>
  <c r="I35" i="59"/>
  <c r="I36" i="59"/>
  <c r="I37" i="59"/>
  <c r="I38" i="59"/>
  <c r="I39" i="59"/>
  <c r="I40" i="59"/>
  <c r="I41" i="59"/>
  <c r="I42" i="59"/>
  <c r="I43" i="59"/>
  <c r="I44" i="59"/>
  <c r="I45" i="59"/>
  <c r="I46" i="59"/>
  <c r="I47" i="59"/>
  <c r="I48" i="59"/>
  <c r="I49" i="59"/>
  <c r="I50" i="59"/>
  <c r="I51" i="59"/>
  <c r="I52" i="59"/>
  <c r="I53" i="59"/>
  <c r="I54" i="59"/>
  <c r="I55" i="59"/>
  <c r="I56" i="59"/>
  <c r="I57" i="59"/>
  <c r="I58" i="59"/>
  <c r="I59" i="59"/>
  <c r="I60" i="59"/>
  <c r="I61" i="59"/>
  <c r="I62" i="59"/>
  <c r="I63" i="59"/>
  <c r="I64" i="59"/>
  <c r="I65" i="59"/>
  <c r="I66" i="59"/>
  <c r="I67" i="59"/>
  <c r="I68" i="59"/>
  <c r="L25" i="48"/>
  <c r="L26" i="48"/>
  <c r="L27" i="48"/>
  <c r="L28" i="48"/>
  <c r="L29" i="48"/>
  <c r="L30" i="48"/>
  <c r="L31" i="48"/>
  <c r="L32" i="48"/>
  <c r="L33" i="48"/>
  <c r="L34" i="48"/>
  <c r="L35" i="48"/>
  <c r="L36" i="48"/>
  <c r="L37" i="48"/>
  <c r="L38" i="48"/>
  <c r="L39" i="48"/>
  <c r="L40" i="48"/>
  <c r="L41" i="48"/>
  <c r="L42" i="48"/>
  <c r="L43" i="48"/>
  <c r="L44" i="48"/>
  <c r="L45" i="48"/>
  <c r="L46" i="48"/>
  <c r="L47" i="48"/>
  <c r="L48" i="48"/>
  <c r="L49" i="48"/>
  <c r="L50" i="48"/>
  <c r="L51" i="48"/>
  <c r="L52" i="48"/>
  <c r="L53" i="48"/>
  <c r="L54" i="48"/>
  <c r="L55" i="48"/>
  <c r="L56" i="48"/>
  <c r="L57" i="48"/>
  <c r="L58" i="48"/>
  <c r="L59" i="48"/>
  <c r="L60" i="48"/>
  <c r="L61" i="48"/>
  <c r="L62" i="48"/>
  <c r="L63" i="48"/>
  <c r="L64" i="48"/>
  <c r="L65" i="48"/>
  <c r="L66" i="48"/>
  <c r="L67" i="48"/>
  <c r="L68" i="48"/>
  <c r="L69" i="48"/>
  <c r="L70" i="48"/>
  <c r="L71" i="48"/>
  <c r="L72" i="48"/>
  <c r="L73" i="48"/>
  <c r="L74" i="48"/>
  <c r="L75" i="48"/>
  <c r="L79" i="48"/>
  <c r="L80" i="48"/>
  <c r="L81" i="48"/>
  <c r="L82" i="48"/>
  <c r="L83" i="48"/>
  <c r="L84" i="48"/>
  <c r="L85" i="48"/>
  <c r="L86" i="48"/>
  <c r="L87" i="48"/>
  <c r="L88" i="48"/>
  <c r="L89" i="48"/>
  <c r="L90" i="48"/>
  <c r="L91" i="48"/>
  <c r="L92" i="48"/>
  <c r="L93" i="48"/>
  <c r="L94" i="48"/>
  <c r="L95" i="48"/>
  <c r="L96" i="48"/>
  <c r="L97" i="48"/>
  <c r="L98" i="48"/>
  <c r="L99" i="48"/>
  <c r="L100" i="48"/>
  <c r="L101" i="48"/>
  <c r="L102" i="48"/>
  <c r="L103" i="48"/>
  <c r="L104" i="48"/>
  <c r="L105" i="48"/>
  <c r="L106" i="48"/>
  <c r="L107" i="48"/>
  <c r="L108" i="48"/>
  <c r="L109" i="48"/>
  <c r="L110" i="48"/>
  <c r="L111" i="48"/>
  <c r="L112" i="48"/>
  <c r="L113" i="48"/>
  <c r="L114" i="48"/>
  <c r="L115" i="48"/>
  <c r="L116" i="48"/>
  <c r="L117" i="48"/>
  <c r="L118" i="48"/>
  <c r="L119" i="48"/>
  <c r="L120" i="48"/>
  <c r="L121" i="48"/>
  <c r="L122" i="48"/>
  <c r="L123" i="48"/>
  <c r="L124" i="48"/>
  <c r="L125" i="48"/>
  <c r="L126" i="48"/>
  <c r="L127" i="48"/>
  <c r="L128" i="48"/>
  <c r="L129" i="48"/>
  <c r="K79" i="48"/>
  <c r="K80" i="48"/>
  <c r="K81" i="48"/>
  <c r="K82" i="48"/>
  <c r="K83" i="48"/>
  <c r="K84" i="48"/>
  <c r="K85" i="48"/>
  <c r="K86" i="48"/>
  <c r="K87" i="48"/>
  <c r="K88" i="48"/>
  <c r="K89" i="48"/>
  <c r="K90" i="48"/>
  <c r="K91" i="48"/>
  <c r="K92" i="48"/>
  <c r="K93" i="48"/>
  <c r="K94" i="48"/>
  <c r="K95" i="48"/>
  <c r="K96" i="48"/>
  <c r="K97" i="48"/>
  <c r="K98" i="48"/>
  <c r="K99" i="48"/>
  <c r="K100" i="48"/>
  <c r="K101" i="48"/>
  <c r="K102" i="48"/>
  <c r="K103" i="48"/>
  <c r="K104" i="48"/>
  <c r="K105" i="48"/>
  <c r="K106" i="48"/>
  <c r="K107" i="48"/>
  <c r="K108" i="48"/>
  <c r="K109" i="48"/>
  <c r="K110" i="48"/>
  <c r="K111" i="48"/>
  <c r="K112" i="48"/>
  <c r="K113" i="48"/>
  <c r="K114" i="48"/>
  <c r="K115" i="48"/>
  <c r="K116" i="48"/>
  <c r="K117" i="48"/>
  <c r="K118" i="48"/>
  <c r="K119" i="48"/>
  <c r="K120" i="48"/>
  <c r="K121" i="48"/>
  <c r="K122" i="48"/>
  <c r="K123" i="48"/>
  <c r="K124" i="48"/>
  <c r="K125" i="48"/>
  <c r="K126" i="48"/>
  <c r="K127" i="48"/>
  <c r="K128" i="48"/>
  <c r="K129" i="48"/>
  <c r="K25" i="48"/>
  <c r="K26" i="48"/>
  <c r="K27" i="48"/>
  <c r="K28" i="48"/>
  <c r="K29" i="48"/>
  <c r="K30" i="48"/>
  <c r="K31" i="48"/>
  <c r="K32" i="48"/>
  <c r="K33" i="48"/>
  <c r="K34" i="48"/>
  <c r="K35" i="48"/>
  <c r="K36" i="48"/>
  <c r="K37" i="48"/>
  <c r="K38" i="48"/>
  <c r="K39" i="48"/>
  <c r="K40" i="48"/>
  <c r="K41" i="48"/>
  <c r="K42" i="48"/>
  <c r="K43" i="48"/>
  <c r="K44" i="48"/>
  <c r="K45" i="48"/>
  <c r="K46" i="48"/>
  <c r="K47" i="48"/>
  <c r="K48" i="48"/>
  <c r="K49" i="48"/>
  <c r="K50" i="48"/>
  <c r="K51" i="48"/>
  <c r="K52" i="48"/>
  <c r="K53" i="48"/>
  <c r="K54" i="48"/>
  <c r="K55" i="48"/>
  <c r="K56" i="48"/>
  <c r="K57" i="48"/>
  <c r="K58" i="48"/>
  <c r="K59" i="48"/>
  <c r="K60" i="48"/>
  <c r="K61" i="48"/>
  <c r="K62" i="48"/>
  <c r="K63" i="48"/>
  <c r="K64" i="48"/>
  <c r="K65" i="48"/>
  <c r="K66" i="48"/>
  <c r="K67" i="48"/>
  <c r="K68" i="48"/>
  <c r="K69" i="48"/>
  <c r="K70" i="48"/>
  <c r="K71" i="48"/>
  <c r="K72" i="48"/>
  <c r="K73" i="48"/>
  <c r="K74" i="48"/>
  <c r="K75" i="48"/>
  <c r="J79" i="48"/>
  <c r="J80" i="48"/>
  <c r="J81" i="48"/>
  <c r="J82" i="48"/>
  <c r="J83" i="48"/>
  <c r="J84" i="48"/>
  <c r="J85" i="48"/>
  <c r="J86" i="48"/>
  <c r="J87" i="48"/>
  <c r="J88" i="48"/>
  <c r="J89" i="48"/>
  <c r="J90" i="48"/>
  <c r="J91" i="48"/>
  <c r="J92" i="48"/>
  <c r="J93" i="48"/>
  <c r="J94" i="48"/>
  <c r="J95" i="48"/>
  <c r="J96" i="48"/>
  <c r="J97" i="48"/>
  <c r="J98" i="48"/>
  <c r="J99" i="48"/>
  <c r="J100" i="48"/>
  <c r="J101" i="48"/>
  <c r="J102" i="48"/>
  <c r="J103" i="48"/>
  <c r="J104" i="48"/>
  <c r="J105" i="48"/>
  <c r="J106" i="48"/>
  <c r="J107" i="48"/>
  <c r="J108" i="48"/>
  <c r="J109" i="48"/>
  <c r="J110" i="48"/>
  <c r="J111" i="48"/>
  <c r="J112" i="48"/>
  <c r="J113" i="48"/>
  <c r="J114" i="48"/>
  <c r="J115" i="48"/>
  <c r="J116" i="48"/>
  <c r="J117" i="48"/>
  <c r="J118" i="48"/>
  <c r="J119" i="48"/>
  <c r="J120" i="48"/>
  <c r="J121" i="48"/>
  <c r="J122" i="48"/>
  <c r="J123" i="48"/>
  <c r="J124" i="48"/>
  <c r="J125" i="48"/>
  <c r="J126" i="48"/>
  <c r="J127" i="48"/>
  <c r="J128" i="48"/>
  <c r="J129" i="48"/>
  <c r="J25" i="48"/>
  <c r="J26" i="48"/>
  <c r="J27" i="48"/>
  <c r="J28" i="48"/>
  <c r="J29" i="48"/>
  <c r="J30" i="48"/>
  <c r="J31" i="48"/>
  <c r="J32" i="48"/>
  <c r="J33" i="48"/>
  <c r="J34" i="48"/>
  <c r="J35" i="48"/>
  <c r="J36" i="48"/>
  <c r="J37" i="48"/>
  <c r="J38" i="48"/>
  <c r="J39" i="48"/>
  <c r="J40" i="48"/>
  <c r="J41" i="48"/>
  <c r="J42" i="48"/>
  <c r="J43" i="48"/>
  <c r="J44" i="48"/>
  <c r="J45" i="48"/>
  <c r="J46" i="48"/>
  <c r="J47" i="48"/>
  <c r="J48" i="48"/>
  <c r="J49" i="48"/>
  <c r="J50" i="48"/>
  <c r="J51" i="48"/>
  <c r="J52" i="48"/>
  <c r="J53" i="48"/>
  <c r="J54" i="48"/>
  <c r="J55" i="48"/>
  <c r="J56" i="48"/>
  <c r="J57" i="48"/>
  <c r="J58" i="48"/>
  <c r="J59" i="48"/>
  <c r="J60" i="48"/>
  <c r="J61" i="48"/>
  <c r="J62" i="48"/>
  <c r="J63" i="48"/>
  <c r="J64" i="48"/>
  <c r="J65" i="48"/>
  <c r="J66" i="48"/>
  <c r="J67" i="48"/>
  <c r="J68" i="48"/>
  <c r="J69" i="48"/>
  <c r="J70" i="48"/>
  <c r="J71" i="48"/>
  <c r="J72" i="48"/>
  <c r="J73" i="48"/>
  <c r="J74" i="48"/>
  <c r="J75" i="48"/>
  <c r="I79" i="48"/>
  <c r="I80" i="48"/>
  <c r="I81" i="48"/>
  <c r="I82" i="48"/>
  <c r="I83" i="48"/>
  <c r="I84" i="48"/>
  <c r="I85" i="48"/>
  <c r="I86" i="48"/>
  <c r="I87" i="48"/>
  <c r="I88" i="48"/>
  <c r="I89" i="48"/>
  <c r="I90" i="48"/>
  <c r="I91" i="48"/>
  <c r="I92" i="48"/>
  <c r="I93" i="48"/>
  <c r="I94" i="48"/>
  <c r="I95" i="48"/>
  <c r="I96" i="48"/>
  <c r="I97" i="48"/>
  <c r="I98" i="48"/>
  <c r="I99" i="48"/>
  <c r="I100" i="48"/>
  <c r="I101" i="48"/>
  <c r="I102" i="48"/>
  <c r="I103" i="48"/>
  <c r="I104" i="48"/>
  <c r="I105" i="48"/>
  <c r="I106" i="48"/>
  <c r="I107" i="48"/>
  <c r="I108" i="48"/>
  <c r="I109" i="48"/>
  <c r="I110" i="48"/>
  <c r="I111" i="48"/>
  <c r="I112" i="48"/>
  <c r="I113" i="48"/>
  <c r="I114" i="48"/>
  <c r="I115" i="48"/>
  <c r="I116" i="48"/>
  <c r="I117" i="48"/>
  <c r="I118" i="48"/>
  <c r="I119" i="48"/>
  <c r="I120" i="48"/>
  <c r="I121" i="48"/>
  <c r="I122" i="48"/>
  <c r="I123" i="48"/>
  <c r="I124" i="48"/>
  <c r="I125" i="48"/>
  <c r="I126" i="48"/>
  <c r="I127" i="48"/>
  <c r="I128" i="48"/>
  <c r="I129" i="48"/>
  <c r="I25" i="48"/>
  <c r="I26" i="48"/>
  <c r="I27" i="48"/>
  <c r="I28" i="48"/>
  <c r="I29" i="48"/>
  <c r="I30" i="48"/>
  <c r="I31" i="48"/>
  <c r="I32" i="48"/>
  <c r="I33" i="48"/>
  <c r="I34" i="48"/>
  <c r="I35" i="48"/>
  <c r="I36" i="48"/>
  <c r="I37" i="48"/>
  <c r="I38" i="48"/>
  <c r="I39" i="48"/>
  <c r="I40" i="48"/>
  <c r="I41" i="48"/>
  <c r="I42" i="48"/>
  <c r="I43" i="48"/>
  <c r="I44" i="48"/>
  <c r="I45" i="48"/>
  <c r="I46" i="48"/>
  <c r="I47" i="48"/>
  <c r="I48" i="48"/>
  <c r="I49" i="48"/>
  <c r="I50" i="48"/>
  <c r="I51" i="48"/>
  <c r="I52" i="48"/>
  <c r="I53" i="48"/>
  <c r="I54" i="48"/>
  <c r="I55" i="48"/>
  <c r="I56" i="48"/>
  <c r="I57" i="48"/>
  <c r="I58" i="48"/>
  <c r="I59" i="48"/>
  <c r="I60" i="48"/>
  <c r="I61" i="48"/>
  <c r="I62" i="48"/>
  <c r="I63" i="48"/>
  <c r="I64" i="48"/>
  <c r="I65" i="48"/>
  <c r="I66" i="48"/>
  <c r="I67" i="48"/>
  <c r="I68" i="48"/>
  <c r="I69" i="48"/>
  <c r="I70" i="48"/>
  <c r="I71" i="48"/>
  <c r="I72" i="48"/>
  <c r="I73" i="48"/>
  <c r="I74" i="48"/>
  <c r="I75" i="48"/>
  <c r="P51" i="44"/>
  <c r="S803" i="44"/>
  <c r="R803" i="44"/>
  <c r="Q803" i="44"/>
  <c r="P803" i="44"/>
  <c r="O803" i="44"/>
  <c r="N803" i="44"/>
  <c r="S802" i="44"/>
  <c r="R802" i="44"/>
  <c r="Q802" i="44"/>
  <c r="P802" i="44"/>
  <c r="O802" i="44"/>
  <c r="N802" i="44"/>
  <c r="S801" i="44"/>
  <c r="R801" i="44"/>
  <c r="Q801" i="44"/>
  <c r="P801" i="44"/>
  <c r="O801" i="44"/>
  <c r="N801" i="44"/>
  <c r="S800" i="44"/>
  <c r="R800" i="44"/>
  <c r="Q800" i="44"/>
  <c r="P800" i="44"/>
  <c r="O800" i="44"/>
  <c r="N800" i="44"/>
  <c r="S799" i="44"/>
  <c r="R799" i="44"/>
  <c r="Q799" i="44"/>
  <c r="P799" i="44"/>
  <c r="O799" i="44"/>
  <c r="N799" i="44"/>
  <c r="S798" i="44"/>
  <c r="R798" i="44"/>
  <c r="Q798" i="44"/>
  <c r="P798" i="44"/>
  <c r="O798" i="44"/>
  <c r="N798" i="44"/>
  <c r="S797" i="44"/>
  <c r="R797" i="44"/>
  <c r="Q797" i="44"/>
  <c r="P797" i="44"/>
  <c r="O797" i="44"/>
  <c r="N797" i="44"/>
  <c r="S796" i="44"/>
  <c r="R796" i="44"/>
  <c r="Q796" i="44"/>
  <c r="P796" i="44"/>
  <c r="O796" i="44"/>
  <c r="N796" i="44"/>
  <c r="S795" i="44"/>
  <c r="R795" i="44"/>
  <c r="Q795" i="44"/>
  <c r="P795" i="44"/>
  <c r="O795" i="44"/>
  <c r="N795" i="44"/>
  <c r="S794" i="44"/>
  <c r="R794" i="44"/>
  <c r="Q794" i="44"/>
  <c r="P794" i="44"/>
  <c r="O794" i="44"/>
  <c r="N794" i="44"/>
  <c r="S793" i="44"/>
  <c r="R793" i="44"/>
  <c r="Q793" i="44"/>
  <c r="P793" i="44"/>
  <c r="O793" i="44"/>
  <c r="N793" i="44"/>
  <c r="S792" i="44"/>
  <c r="R792" i="44"/>
  <c r="Q792" i="44"/>
  <c r="P792" i="44"/>
  <c r="O792" i="44"/>
  <c r="N792" i="44"/>
  <c r="S791" i="44"/>
  <c r="R791" i="44"/>
  <c r="Q791" i="44"/>
  <c r="P791" i="44"/>
  <c r="O791" i="44"/>
  <c r="N791" i="44"/>
  <c r="S790" i="44"/>
  <c r="R790" i="44"/>
  <c r="Q790" i="44"/>
  <c r="P790" i="44"/>
  <c r="O790" i="44"/>
  <c r="N790" i="44"/>
  <c r="S789" i="44"/>
  <c r="R789" i="44"/>
  <c r="Q789" i="44"/>
  <c r="P789" i="44"/>
  <c r="O789" i="44"/>
  <c r="N789" i="44"/>
  <c r="S788" i="44"/>
  <c r="R788" i="44"/>
  <c r="Q788" i="44"/>
  <c r="P788" i="44"/>
  <c r="O788" i="44"/>
  <c r="N788" i="44"/>
  <c r="S787" i="44"/>
  <c r="R787" i="44"/>
  <c r="Q787" i="44"/>
  <c r="P787" i="44"/>
  <c r="O787" i="44"/>
  <c r="N787" i="44"/>
  <c r="S786" i="44"/>
  <c r="R786" i="44"/>
  <c r="Q786" i="44"/>
  <c r="P786" i="44"/>
  <c r="O786" i="44"/>
  <c r="N786" i="44"/>
  <c r="S785" i="44"/>
  <c r="R785" i="44"/>
  <c r="Q785" i="44"/>
  <c r="P785" i="44"/>
  <c r="O785" i="44"/>
  <c r="N785" i="44"/>
  <c r="S784" i="44"/>
  <c r="R784" i="44"/>
  <c r="Q784" i="44"/>
  <c r="P784" i="44"/>
  <c r="O784" i="44"/>
  <c r="N784" i="44"/>
  <c r="S783" i="44"/>
  <c r="R783" i="44"/>
  <c r="Q783" i="44"/>
  <c r="P783" i="44"/>
  <c r="O783" i="44"/>
  <c r="N783" i="44"/>
  <c r="S782" i="44"/>
  <c r="R782" i="44"/>
  <c r="Q782" i="44"/>
  <c r="P782" i="44"/>
  <c r="O782" i="44"/>
  <c r="N782" i="44"/>
  <c r="S781" i="44"/>
  <c r="R781" i="44"/>
  <c r="Q781" i="44"/>
  <c r="P781" i="44"/>
  <c r="O781" i="44"/>
  <c r="N781" i="44"/>
  <c r="S780" i="44"/>
  <c r="R780" i="44"/>
  <c r="Q780" i="44"/>
  <c r="P780" i="44"/>
  <c r="O780" i="44"/>
  <c r="N780" i="44"/>
  <c r="S779" i="44"/>
  <c r="R779" i="44"/>
  <c r="Q779" i="44"/>
  <c r="P779" i="44"/>
  <c r="O779" i="44"/>
  <c r="N779" i="44"/>
  <c r="S778" i="44"/>
  <c r="R778" i="44"/>
  <c r="Q778" i="44"/>
  <c r="P778" i="44"/>
  <c r="O778" i="44"/>
  <c r="N778" i="44"/>
  <c r="S777" i="44"/>
  <c r="R777" i="44"/>
  <c r="Q777" i="44"/>
  <c r="P777" i="44"/>
  <c r="O777" i="44"/>
  <c r="N777" i="44"/>
  <c r="S776" i="44"/>
  <c r="R776" i="44"/>
  <c r="Q776" i="44"/>
  <c r="P776" i="44"/>
  <c r="O776" i="44"/>
  <c r="N776" i="44"/>
  <c r="S775" i="44"/>
  <c r="R775" i="44"/>
  <c r="Q775" i="44"/>
  <c r="P775" i="44"/>
  <c r="O775" i="44"/>
  <c r="N775" i="44"/>
  <c r="S774" i="44"/>
  <c r="R774" i="44"/>
  <c r="Q774" i="44"/>
  <c r="P774" i="44"/>
  <c r="O774" i="44"/>
  <c r="N774" i="44"/>
  <c r="S773" i="44"/>
  <c r="R773" i="44"/>
  <c r="Q773" i="44"/>
  <c r="P773" i="44"/>
  <c r="O773" i="44"/>
  <c r="N773" i="44"/>
  <c r="S772" i="44"/>
  <c r="R772" i="44"/>
  <c r="Q772" i="44"/>
  <c r="P772" i="44"/>
  <c r="O772" i="44"/>
  <c r="N772" i="44"/>
  <c r="S771" i="44"/>
  <c r="R771" i="44"/>
  <c r="Q771" i="44"/>
  <c r="P771" i="44"/>
  <c r="O771" i="44"/>
  <c r="N771" i="44"/>
  <c r="S770" i="44"/>
  <c r="R770" i="44"/>
  <c r="Q770" i="44"/>
  <c r="P770" i="44"/>
  <c r="O770" i="44"/>
  <c r="N770" i="44"/>
  <c r="S769" i="44"/>
  <c r="R769" i="44"/>
  <c r="Q769" i="44"/>
  <c r="P769" i="44"/>
  <c r="O769" i="44"/>
  <c r="N769" i="44"/>
  <c r="S768" i="44"/>
  <c r="R768" i="44"/>
  <c r="Q768" i="44"/>
  <c r="P768" i="44"/>
  <c r="O768" i="44"/>
  <c r="N768" i="44"/>
  <c r="S767" i="44"/>
  <c r="R767" i="44"/>
  <c r="Q767" i="44"/>
  <c r="P767" i="44"/>
  <c r="O767" i="44"/>
  <c r="N767" i="44"/>
  <c r="S766" i="44"/>
  <c r="R766" i="44"/>
  <c r="Q766" i="44"/>
  <c r="P766" i="44"/>
  <c r="O766" i="44"/>
  <c r="N766" i="44"/>
  <c r="S765" i="44"/>
  <c r="R765" i="44"/>
  <c r="Q765" i="44"/>
  <c r="P765" i="44"/>
  <c r="O765" i="44"/>
  <c r="N765" i="44"/>
  <c r="S764" i="44"/>
  <c r="R764" i="44"/>
  <c r="Q764" i="44"/>
  <c r="P764" i="44"/>
  <c r="O764" i="44"/>
  <c r="N764" i="44"/>
  <c r="S763" i="44"/>
  <c r="R763" i="44"/>
  <c r="Q763" i="44"/>
  <c r="P763" i="44"/>
  <c r="O763" i="44"/>
  <c r="N763" i="44"/>
  <c r="S762" i="44"/>
  <c r="R762" i="44"/>
  <c r="Q762" i="44"/>
  <c r="P762" i="44"/>
  <c r="O762" i="44"/>
  <c r="N762" i="44"/>
  <c r="S761" i="44"/>
  <c r="R761" i="44"/>
  <c r="Q761" i="44"/>
  <c r="P761" i="44"/>
  <c r="O761" i="44"/>
  <c r="N761" i="44"/>
  <c r="S760" i="44"/>
  <c r="R760" i="44"/>
  <c r="Q760" i="44"/>
  <c r="P760" i="44"/>
  <c r="O760" i="44"/>
  <c r="N760" i="44"/>
  <c r="S759" i="44"/>
  <c r="R759" i="44"/>
  <c r="Q759" i="44"/>
  <c r="P759" i="44"/>
  <c r="O759" i="44"/>
  <c r="N759" i="44"/>
  <c r="S758" i="44"/>
  <c r="R758" i="44"/>
  <c r="Q758" i="44"/>
  <c r="P758" i="44"/>
  <c r="O758" i="44"/>
  <c r="N758" i="44"/>
  <c r="S757" i="44"/>
  <c r="R757" i="44"/>
  <c r="Q757" i="44"/>
  <c r="P757" i="44"/>
  <c r="O757" i="44"/>
  <c r="N757" i="44"/>
  <c r="S756" i="44"/>
  <c r="R756" i="44"/>
  <c r="Q756" i="44"/>
  <c r="P756" i="44"/>
  <c r="O756" i="44"/>
  <c r="N756" i="44"/>
  <c r="S755" i="44"/>
  <c r="R755" i="44"/>
  <c r="Q755" i="44"/>
  <c r="P755" i="44"/>
  <c r="O755" i="44"/>
  <c r="N755" i="44"/>
  <c r="S754" i="44"/>
  <c r="R754" i="44"/>
  <c r="Q754" i="44"/>
  <c r="P754" i="44"/>
  <c r="O754" i="44"/>
  <c r="N754" i="44"/>
  <c r="S753" i="44"/>
  <c r="R753" i="44"/>
  <c r="Q753" i="44"/>
  <c r="P753" i="44"/>
  <c r="O753" i="44"/>
  <c r="N753" i="44"/>
  <c r="S752" i="44"/>
  <c r="R752" i="44"/>
  <c r="Q752" i="44"/>
  <c r="P752" i="44"/>
  <c r="O752" i="44"/>
  <c r="N752" i="44"/>
  <c r="S751" i="44"/>
  <c r="R751" i="44"/>
  <c r="Q751" i="44"/>
  <c r="P751" i="44"/>
  <c r="O751" i="44"/>
  <c r="N751" i="44"/>
  <c r="S750" i="44"/>
  <c r="R750" i="44"/>
  <c r="Q750" i="44"/>
  <c r="P750" i="44"/>
  <c r="O750" i="44"/>
  <c r="N750" i="44"/>
  <c r="S749" i="44"/>
  <c r="R749" i="44"/>
  <c r="Q749" i="44"/>
  <c r="P749" i="44"/>
  <c r="O749" i="44"/>
  <c r="N749" i="44"/>
  <c r="S748" i="44"/>
  <c r="R748" i="44"/>
  <c r="Q748" i="44"/>
  <c r="P748" i="44"/>
  <c r="O748" i="44"/>
  <c r="N748" i="44"/>
  <c r="S747" i="44"/>
  <c r="R747" i="44"/>
  <c r="Q747" i="44"/>
  <c r="P747" i="44"/>
  <c r="O747" i="44"/>
  <c r="N747" i="44"/>
  <c r="S746" i="44"/>
  <c r="R746" i="44"/>
  <c r="Q746" i="44"/>
  <c r="P746" i="44"/>
  <c r="O746" i="44"/>
  <c r="N746" i="44"/>
  <c r="S745" i="44"/>
  <c r="R745" i="44"/>
  <c r="Q745" i="44"/>
  <c r="P745" i="44"/>
  <c r="O745" i="44"/>
  <c r="N745" i="44"/>
  <c r="S744" i="44"/>
  <c r="R744" i="44"/>
  <c r="Q744" i="44"/>
  <c r="P744" i="44"/>
  <c r="O744" i="44"/>
  <c r="N744" i="44"/>
  <c r="S743" i="44"/>
  <c r="R743" i="44"/>
  <c r="Q743" i="44"/>
  <c r="P743" i="44"/>
  <c r="O743" i="44"/>
  <c r="N743" i="44"/>
  <c r="S742" i="44"/>
  <c r="R742" i="44"/>
  <c r="Q742" i="44"/>
  <c r="P742" i="44"/>
  <c r="O742" i="44"/>
  <c r="N742" i="44"/>
  <c r="S741" i="44"/>
  <c r="R741" i="44"/>
  <c r="Q741" i="44"/>
  <c r="P741" i="44"/>
  <c r="O741" i="44"/>
  <c r="N741" i="44"/>
  <c r="S740" i="44"/>
  <c r="R740" i="44"/>
  <c r="Q740" i="44"/>
  <c r="P740" i="44"/>
  <c r="O740" i="44"/>
  <c r="N740" i="44"/>
  <c r="S739" i="44"/>
  <c r="R739" i="44"/>
  <c r="Q739" i="44"/>
  <c r="P739" i="44"/>
  <c r="O739" i="44"/>
  <c r="N739" i="44"/>
  <c r="S738" i="44"/>
  <c r="R738" i="44"/>
  <c r="Q738" i="44"/>
  <c r="P738" i="44"/>
  <c r="O738" i="44"/>
  <c r="N738" i="44"/>
  <c r="S737" i="44"/>
  <c r="R737" i="44"/>
  <c r="Q737" i="44"/>
  <c r="P737" i="44"/>
  <c r="O737" i="44"/>
  <c r="N737" i="44"/>
  <c r="S736" i="44"/>
  <c r="R736" i="44"/>
  <c r="Q736" i="44"/>
  <c r="P736" i="44"/>
  <c r="O736" i="44"/>
  <c r="N736" i="44"/>
  <c r="S735" i="44"/>
  <c r="R735" i="44"/>
  <c r="Q735" i="44"/>
  <c r="P735" i="44"/>
  <c r="O735" i="44"/>
  <c r="N735" i="44"/>
  <c r="S734" i="44"/>
  <c r="R734" i="44"/>
  <c r="Q734" i="44"/>
  <c r="P734" i="44"/>
  <c r="O734" i="44"/>
  <c r="N734" i="44"/>
  <c r="S733" i="44"/>
  <c r="R733" i="44"/>
  <c r="Q733" i="44"/>
  <c r="P733" i="44"/>
  <c r="O733" i="44"/>
  <c r="N733" i="44"/>
  <c r="S732" i="44"/>
  <c r="R732" i="44"/>
  <c r="Q732" i="44"/>
  <c r="P732" i="44"/>
  <c r="O732" i="44"/>
  <c r="N732" i="44"/>
  <c r="S731" i="44"/>
  <c r="R731" i="44"/>
  <c r="Q731" i="44"/>
  <c r="P731" i="44"/>
  <c r="O731" i="44"/>
  <c r="N731" i="44"/>
  <c r="S730" i="44"/>
  <c r="R730" i="44"/>
  <c r="Q730" i="44"/>
  <c r="P730" i="44"/>
  <c r="O730" i="44"/>
  <c r="N730" i="44"/>
  <c r="S729" i="44"/>
  <c r="R729" i="44"/>
  <c r="Q729" i="44"/>
  <c r="P729" i="44"/>
  <c r="O729" i="44"/>
  <c r="N729" i="44"/>
  <c r="S728" i="44"/>
  <c r="R728" i="44"/>
  <c r="Q728" i="44"/>
  <c r="P728" i="44"/>
  <c r="O728" i="44"/>
  <c r="N728" i="44"/>
  <c r="S727" i="44"/>
  <c r="R727" i="44"/>
  <c r="Q727" i="44"/>
  <c r="P727" i="44"/>
  <c r="O727" i="44"/>
  <c r="N727" i="44"/>
  <c r="S726" i="44"/>
  <c r="R726" i="44"/>
  <c r="Q726" i="44"/>
  <c r="P726" i="44"/>
  <c r="O726" i="44"/>
  <c r="N726" i="44"/>
  <c r="S725" i="44"/>
  <c r="R725" i="44"/>
  <c r="Q725" i="44"/>
  <c r="P725" i="44"/>
  <c r="O725" i="44"/>
  <c r="N725" i="44"/>
  <c r="S724" i="44"/>
  <c r="R724" i="44"/>
  <c r="Q724" i="44"/>
  <c r="P724" i="44"/>
  <c r="O724" i="44"/>
  <c r="N724" i="44"/>
  <c r="S723" i="44"/>
  <c r="R723" i="44"/>
  <c r="Q723" i="44"/>
  <c r="P723" i="44"/>
  <c r="O723" i="44"/>
  <c r="N723" i="44"/>
  <c r="S722" i="44"/>
  <c r="R722" i="44"/>
  <c r="Q722" i="44"/>
  <c r="P722" i="44"/>
  <c r="O722" i="44"/>
  <c r="N722" i="44"/>
  <c r="S721" i="44"/>
  <c r="R721" i="44"/>
  <c r="Q721" i="44"/>
  <c r="P721" i="44"/>
  <c r="O721" i="44"/>
  <c r="N721" i="44"/>
  <c r="S720" i="44"/>
  <c r="R720" i="44"/>
  <c r="Q720" i="44"/>
  <c r="P720" i="44"/>
  <c r="O720" i="44"/>
  <c r="N720" i="44"/>
  <c r="S719" i="44"/>
  <c r="R719" i="44"/>
  <c r="Q719" i="44"/>
  <c r="P719" i="44"/>
  <c r="O719" i="44"/>
  <c r="N719" i="44"/>
  <c r="S718" i="44"/>
  <c r="R718" i="44"/>
  <c r="Q718" i="44"/>
  <c r="P718" i="44"/>
  <c r="O718" i="44"/>
  <c r="N718" i="44"/>
  <c r="S717" i="44"/>
  <c r="R717" i="44"/>
  <c r="Q717" i="44"/>
  <c r="P717" i="44"/>
  <c r="O717" i="44"/>
  <c r="N717" i="44"/>
  <c r="S716" i="44"/>
  <c r="R716" i="44"/>
  <c r="Q716" i="44"/>
  <c r="P716" i="44"/>
  <c r="O716" i="44"/>
  <c r="N716" i="44"/>
  <c r="S715" i="44"/>
  <c r="R715" i="44"/>
  <c r="Q715" i="44"/>
  <c r="P715" i="44"/>
  <c r="O715" i="44"/>
  <c r="N715" i="44"/>
  <c r="S714" i="44"/>
  <c r="R714" i="44"/>
  <c r="Q714" i="44"/>
  <c r="P714" i="44"/>
  <c r="O714" i="44"/>
  <c r="N714" i="44"/>
  <c r="S713" i="44"/>
  <c r="R713" i="44"/>
  <c r="Q713" i="44"/>
  <c r="P713" i="44"/>
  <c r="O713" i="44"/>
  <c r="N713" i="44"/>
  <c r="S712" i="44"/>
  <c r="R712" i="44"/>
  <c r="Q712" i="44"/>
  <c r="P712" i="44"/>
  <c r="O712" i="44"/>
  <c r="N712" i="44"/>
  <c r="S711" i="44"/>
  <c r="R711" i="44"/>
  <c r="Q711" i="44"/>
  <c r="P711" i="44"/>
  <c r="O711" i="44"/>
  <c r="N711" i="44"/>
  <c r="S710" i="44"/>
  <c r="R710" i="44"/>
  <c r="Q710" i="44"/>
  <c r="P710" i="44"/>
  <c r="O710" i="44"/>
  <c r="N710" i="44"/>
  <c r="S709" i="44"/>
  <c r="R709" i="44"/>
  <c r="Q709" i="44"/>
  <c r="P709" i="44"/>
  <c r="O709" i="44"/>
  <c r="N709" i="44"/>
  <c r="S708" i="44"/>
  <c r="R708" i="44"/>
  <c r="Q708" i="44"/>
  <c r="P708" i="44"/>
  <c r="O708" i="44"/>
  <c r="N708" i="44"/>
  <c r="S707" i="44"/>
  <c r="R707" i="44"/>
  <c r="Q707" i="44"/>
  <c r="P707" i="44"/>
  <c r="O707" i="44"/>
  <c r="N707" i="44"/>
  <c r="S706" i="44"/>
  <c r="R706" i="44"/>
  <c r="Q706" i="44"/>
  <c r="P706" i="44"/>
  <c r="O706" i="44"/>
  <c r="N706" i="44"/>
  <c r="S705" i="44"/>
  <c r="R705" i="44"/>
  <c r="Q705" i="44"/>
  <c r="P705" i="44"/>
  <c r="O705" i="44"/>
  <c r="N705" i="44"/>
  <c r="S704" i="44"/>
  <c r="R704" i="44"/>
  <c r="Q704" i="44"/>
  <c r="P704" i="44"/>
  <c r="O704" i="44"/>
  <c r="N704" i="44"/>
  <c r="S703" i="44"/>
  <c r="R703" i="44"/>
  <c r="Q703" i="44"/>
  <c r="P703" i="44"/>
  <c r="O703" i="44"/>
  <c r="N703" i="44"/>
  <c r="S702" i="44"/>
  <c r="R702" i="44"/>
  <c r="Q702" i="44"/>
  <c r="P702" i="44"/>
  <c r="O702" i="44"/>
  <c r="N702" i="44"/>
  <c r="S701" i="44"/>
  <c r="R701" i="44"/>
  <c r="Q701" i="44"/>
  <c r="P701" i="44"/>
  <c r="O701" i="44"/>
  <c r="N701" i="44"/>
  <c r="S700" i="44"/>
  <c r="R700" i="44"/>
  <c r="Q700" i="44"/>
  <c r="P700" i="44"/>
  <c r="O700" i="44"/>
  <c r="N700" i="44"/>
  <c r="S699" i="44"/>
  <c r="R699" i="44"/>
  <c r="Q699" i="44"/>
  <c r="P699" i="44"/>
  <c r="O699" i="44"/>
  <c r="N699" i="44"/>
  <c r="S698" i="44"/>
  <c r="R698" i="44"/>
  <c r="Q698" i="44"/>
  <c r="P698" i="44"/>
  <c r="O698" i="44"/>
  <c r="N698" i="44"/>
  <c r="S697" i="44"/>
  <c r="R697" i="44"/>
  <c r="Q697" i="44"/>
  <c r="P697" i="44"/>
  <c r="O697" i="44"/>
  <c r="N697" i="44"/>
  <c r="S696" i="44"/>
  <c r="R696" i="44"/>
  <c r="Q696" i="44"/>
  <c r="P696" i="44"/>
  <c r="O696" i="44"/>
  <c r="N696" i="44"/>
  <c r="S695" i="44"/>
  <c r="R695" i="44"/>
  <c r="Q695" i="44"/>
  <c r="P695" i="44"/>
  <c r="O695" i="44"/>
  <c r="N695" i="44"/>
  <c r="S694" i="44"/>
  <c r="R694" i="44"/>
  <c r="Q694" i="44"/>
  <c r="P694" i="44"/>
  <c r="O694" i="44"/>
  <c r="N694" i="44"/>
  <c r="S693" i="44"/>
  <c r="R693" i="44"/>
  <c r="Q693" i="44"/>
  <c r="P693" i="44"/>
  <c r="O693" i="44"/>
  <c r="N693" i="44"/>
  <c r="S692" i="44"/>
  <c r="R692" i="44"/>
  <c r="Q692" i="44"/>
  <c r="P692" i="44"/>
  <c r="O692" i="44"/>
  <c r="N692" i="44"/>
  <c r="S691" i="44"/>
  <c r="R691" i="44"/>
  <c r="Q691" i="44"/>
  <c r="P691" i="44"/>
  <c r="O691" i="44"/>
  <c r="N691" i="44"/>
  <c r="S690" i="44"/>
  <c r="R690" i="44"/>
  <c r="Q690" i="44"/>
  <c r="P690" i="44"/>
  <c r="O690" i="44"/>
  <c r="N690" i="44"/>
  <c r="S689" i="44"/>
  <c r="R689" i="44"/>
  <c r="Q689" i="44"/>
  <c r="P689" i="44"/>
  <c r="O689" i="44"/>
  <c r="N689" i="44"/>
  <c r="S688" i="44"/>
  <c r="R688" i="44"/>
  <c r="Q688" i="44"/>
  <c r="P688" i="44"/>
  <c r="O688" i="44"/>
  <c r="N688" i="44"/>
  <c r="S687" i="44"/>
  <c r="R687" i="44"/>
  <c r="Q687" i="44"/>
  <c r="P687" i="44"/>
  <c r="O687" i="44"/>
  <c r="N687" i="44"/>
  <c r="S686" i="44"/>
  <c r="R686" i="44"/>
  <c r="Q686" i="44"/>
  <c r="P686" i="44"/>
  <c r="O686" i="44"/>
  <c r="N686" i="44"/>
  <c r="S685" i="44"/>
  <c r="R685" i="44"/>
  <c r="Q685" i="44"/>
  <c r="P685" i="44"/>
  <c r="O685" i="44"/>
  <c r="N685" i="44"/>
  <c r="S684" i="44"/>
  <c r="R684" i="44"/>
  <c r="Q684" i="44"/>
  <c r="P684" i="44"/>
  <c r="O684" i="44"/>
  <c r="N684" i="44"/>
  <c r="S683" i="44"/>
  <c r="R683" i="44"/>
  <c r="Q683" i="44"/>
  <c r="P683" i="44"/>
  <c r="O683" i="44"/>
  <c r="N683" i="44"/>
  <c r="S682" i="44"/>
  <c r="R682" i="44"/>
  <c r="Q682" i="44"/>
  <c r="P682" i="44"/>
  <c r="O682" i="44"/>
  <c r="N682" i="44"/>
  <c r="S681" i="44"/>
  <c r="R681" i="44"/>
  <c r="Q681" i="44"/>
  <c r="P681" i="44"/>
  <c r="O681" i="44"/>
  <c r="N681" i="44"/>
  <c r="S680" i="44"/>
  <c r="R680" i="44"/>
  <c r="Q680" i="44"/>
  <c r="P680" i="44"/>
  <c r="O680" i="44"/>
  <c r="N680" i="44"/>
  <c r="S679" i="44"/>
  <c r="R679" i="44"/>
  <c r="Q679" i="44"/>
  <c r="P679" i="44"/>
  <c r="O679" i="44"/>
  <c r="N679" i="44"/>
  <c r="S678" i="44"/>
  <c r="R678" i="44"/>
  <c r="Q678" i="44"/>
  <c r="P678" i="44"/>
  <c r="O678" i="44"/>
  <c r="N678" i="44"/>
  <c r="S677" i="44"/>
  <c r="R677" i="44"/>
  <c r="Q677" i="44"/>
  <c r="P677" i="44"/>
  <c r="O677" i="44"/>
  <c r="N677" i="44"/>
  <c r="S676" i="44"/>
  <c r="R676" i="44"/>
  <c r="Q676" i="44"/>
  <c r="P676" i="44"/>
  <c r="O676" i="44"/>
  <c r="N676" i="44"/>
  <c r="S675" i="44"/>
  <c r="R675" i="44"/>
  <c r="Q675" i="44"/>
  <c r="P675" i="44"/>
  <c r="O675" i="44"/>
  <c r="N675" i="44"/>
  <c r="S674" i="44"/>
  <c r="R674" i="44"/>
  <c r="Q674" i="44"/>
  <c r="P674" i="44"/>
  <c r="O674" i="44"/>
  <c r="N674" i="44"/>
  <c r="S673" i="44"/>
  <c r="R673" i="44"/>
  <c r="Q673" i="44"/>
  <c r="P673" i="44"/>
  <c r="O673" i="44"/>
  <c r="N673" i="44"/>
  <c r="S672" i="44"/>
  <c r="R672" i="44"/>
  <c r="Q672" i="44"/>
  <c r="P672" i="44"/>
  <c r="O672" i="44"/>
  <c r="N672" i="44"/>
  <c r="S671" i="44"/>
  <c r="R671" i="44"/>
  <c r="Q671" i="44"/>
  <c r="P671" i="44"/>
  <c r="O671" i="44"/>
  <c r="N671" i="44"/>
  <c r="S670" i="44"/>
  <c r="R670" i="44"/>
  <c r="Q670" i="44"/>
  <c r="P670" i="44"/>
  <c r="O670" i="44"/>
  <c r="N670" i="44"/>
  <c r="S669" i="44"/>
  <c r="R669" i="44"/>
  <c r="Q669" i="44"/>
  <c r="P669" i="44"/>
  <c r="O669" i="44"/>
  <c r="N669" i="44"/>
  <c r="S668" i="44"/>
  <c r="R668" i="44"/>
  <c r="Q668" i="44"/>
  <c r="P668" i="44"/>
  <c r="O668" i="44"/>
  <c r="N668" i="44"/>
  <c r="S667" i="44"/>
  <c r="R667" i="44"/>
  <c r="Q667" i="44"/>
  <c r="P667" i="44"/>
  <c r="O667" i="44"/>
  <c r="N667" i="44"/>
  <c r="S666" i="44"/>
  <c r="R666" i="44"/>
  <c r="Q666" i="44"/>
  <c r="P666" i="44"/>
  <c r="O666" i="44"/>
  <c r="N666" i="44"/>
  <c r="S665" i="44"/>
  <c r="R665" i="44"/>
  <c r="Q665" i="44"/>
  <c r="P665" i="44"/>
  <c r="O665" i="44"/>
  <c r="N665" i="44"/>
  <c r="S664" i="44"/>
  <c r="R664" i="44"/>
  <c r="Q664" i="44"/>
  <c r="P664" i="44"/>
  <c r="O664" i="44"/>
  <c r="N664" i="44"/>
  <c r="S663" i="44"/>
  <c r="R663" i="44"/>
  <c r="Q663" i="44"/>
  <c r="P663" i="44"/>
  <c r="O663" i="44"/>
  <c r="N663" i="44"/>
  <c r="S662" i="44"/>
  <c r="R662" i="44"/>
  <c r="Q662" i="44"/>
  <c r="P662" i="44"/>
  <c r="O662" i="44"/>
  <c r="N662" i="44"/>
  <c r="S661" i="44"/>
  <c r="R661" i="44"/>
  <c r="Q661" i="44"/>
  <c r="P661" i="44"/>
  <c r="O661" i="44"/>
  <c r="N661" i="44"/>
  <c r="S660" i="44"/>
  <c r="R660" i="44"/>
  <c r="Q660" i="44"/>
  <c r="P660" i="44"/>
  <c r="O660" i="44"/>
  <c r="N660" i="44"/>
  <c r="S659" i="44"/>
  <c r="R659" i="44"/>
  <c r="Q659" i="44"/>
  <c r="P659" i="44"/>
  <c r="O659" i="44"/>
  <c r="N659" i="44"/>
  <c r="S658" i="44"/>
  <c r="R658" i="44"/>
  <c r="Q658" i="44"/>
  <c r="P658" i="44"/>
  <c r="O658" i="44"/>
  <c r="N658" i="44"/>
  <c r="S657" i="44"/>
  <c r="R657" i="44"/>
  <c r="Q657" i="44"/>
  <c r="P657" i="44"/>
  <c r="O657" i="44"/>
  <c r="N657" i="44"/>
  <c r="S656" i="44"/>
  <c r="R656" i="44"/>
  <c r="Q656" i="44"/>
  <c r="P656" i="44"/>
  <c r="O656" i="44"/>
  <c r="N656" i="44"/>
  <c r="S655" i="44"/>
  <c r="R655" i="44"/>
  <c r="Q655" i="44"/>
  <c r="P655" i="44"/>
  <c r="O655" i="44"/>
  <c r="N655" i="44"/>
  <c r="S654" i="44"/>
  <c r="R654" i="44"/>
  <c r="Q654" i="44"/>
  <c r="P654" i="44"/>
  <c r="O654" i="44"/>
  <c r="N654" i="44"/>
  <c r="S653" i="44"/>
  <c r="R653" i="44"/>
  <c r="Q653" i="44"/>
  <c r="P653" i="44"/>
  <c r="O653" i="44"/>
  <c r="N653" i="44"/>
  <c r="S652" i="44"/>
  <c r="R652" i="44"/>
  <c r="Q652" i="44"/>
  <c r="P652" i="44"/>
  <c r="O652" i="44"/>
  <c r="N652" i="44"/>
  <c r="S651" i="44"/>
  <c r="R651" i="44"/>
  <c r="Q651" i="44"/>
  <c r="P651" i="44"/>
  <c r="O651" i="44"/>
  <c r="N651" i="44"/>
  <c r="S650" i="44"/>
  <c r="R650" i="44"/>
  <c r="Q650" i="44"/>
  <c r="P650" i="44"/>
  <c r="O650" i="44"/>
  <c r="N650" i="44"/>
  <c r="S649" i="44"/>
  <c r="R649" i="44"/>
  <c r="Q649" i="44"/>
  <c r="P649" i="44"/>
  <c r="O649" i="44"/>
  <c r="N649" i="44"/>
  <c r="S648" i="44"/>
  <c r="R648" i="44"/>
  <c r="Q648" i="44"/>
  <c r="P648" i="44"/>
  <c r="O648" i="44"/>
  <c r="N648" i="44"/>
  <c r="S647" i="44"/>
  <c r="R647" i="44"/>
  <c r="Q647" i="44"/>
  <c r="P647" i="44"/>
  <c r="O647" i="44"/>
  <c r="N647" i="44"/>
  <c r="S646" i="44"/>
  <c r="R646" i="44"/>
  <c r="Q646" i="44"/>
  <c r="P646" i="44"/>
  <c r="O646" i="44"/>
  <c r="N646" i="44"/>
  <c r="S645" i="44"/>
  <c r="R645" i="44"/>
  <c r="Q645" i="44"/>
  <c r="P645" i="44"/>
  <c r="O645" i="44"/>
  <c r="N645" i="44"/>
  <c r="S644" i="44"/>
  <c r="R644" i="44"/>
  <c r="Q644" i="44"/>
  <c r="P644" i="44"/>
  <c r="O644" i="44"/>
  <c r="N644" i="44"/>
  <c r="S643" i="44"/>
  <c r="R643" i="44"/>
  <c r="Q643" i="44"/>
  <c r="P643" i="44"/>
  <c r="O643" i="44"/>
  <c r="N643" i="44"/>
  <c r="S642" i="44"/>
  <c r="R642" i="44"/>
  <c r="Q642" i="44"/>
  <c r="P642" i="44"/>
  <c r="O642" i="44"/>
  <c r="N642" i="44"/>
  <c r="S641" i="44"/>
  <c r="R641" i="44"/>
  <c r="Q641" i="44"/>
  <c r="P641" i="44"/>
  <c r="O641" i="44"/>
  <c r="N641" i="44"/>
  <c r="S640" i="44"/>
  <c r="R640" i="44"/>
  <c r="Q640" i="44"/>
  <c r="P640" i="44"/>
  <c r="O640" i="44"/>
  <c r="N640" i="44"/>
  <c r="S639" i="44"/>
  <c r="R639" i="44"/>
  <c r="Q639" i="44"/>
  <c r="P639" i="44"/>
  <c r="O639" i="44"/>
  <c r="N639" i="44"/>
  <c r="S638" i="44"/>
  <c r="R638" i="44"/>
  <c r="Q638" i="44"/>
  <c r="P638" i="44"/>
  <c r="O638" i="44"/>
  <c r="N638" i="44"/>
  <c r="S637" i="44"/>
  <c r="R637" i="44"/>
  <c r="Q637" i="44"/>
  <c r="P637" i="44"/>
  <c r="O637" i="44"/>
  <c r="N637" i="44"/>
  <c r="S636" i="44"/>
  <c r="R636" i="44"/>
  <c r="Q636" i="44"/>
  <c r="P636" i="44"/>
  <c r="O636" i="44"/>
  <c r="N636" i="44"/>
  <c r="S635" i="44"/>
  <c r="R635" i="44"/>
  <c r="Q635" i="44"/>
  <c r="P635" i="44"/>
  <c r="O635" i="44"/>
  <c r="N635" i="44"/>
  <c r="S634" i="44"/>
  <c r="R634" i="44"/>
  <c r="Q634" i="44"/>
  <c r="P634" i="44"/>
  <c r="O634" i="44"/>
  <c r="N634" i="44"/>
  <c r="S633" i="44"/>
  <c r="R633" i="44"/>
  <c r="Q633" i="44"/>
  <c r="P633" i="44"/>
  <c r="O633" i="44"/>
  <c r="N633" i="44"/>
  <c r="S632" i="44"/>
  <c r="R632" i="44"/>
  <c r="Q632" i="44"/>
  <c r="P632" i="44"/>
  <c r="O632" i="44"/>
  <c r="N632" i="44"/>
  <c r="S631" i="44"/>
  <c r="R631" i="44"/>
  <c r="Q631" i="44"/>
  <c r="P631" i="44"/>
  <c r="O631" i="44"/>
  <c r="N631" i="44"/>
  <c r="S630" i="44"/>
  <c r="R630" i="44"/>
  <c r="Q630" i="44"/>
  <c r="P630" i="44"/>
  <c r="O630" i="44"/>
  <c r="N630" i="44"/>
  <c r="S629" i="44"/>
  <c r="R629" i="44"/>
  <c r="Q629" i="44"/>
  <c r="P629" i="44"/>
  <c r="O629" i="44"/>
  <c r="N629" i="44"/>
  <c r="S628" i="44"/>
  <c r="R628" i="44"/>
  <c r="Q628" i="44"/>
  <c r="P628" i="44"/>
  <c r="O628" i="44"/>
  <c r="N628" i="44"/>
  <c r="S627" i="44"/>
  <c r="R627" i="44"/>
  <c r="Q627" i="44"/>
  <c r="P627" i="44"/>
  <c r="O627" i="44"/>
  <c r="N627" i="44"/>
  <c r="S626" i="44"/>
  <c r="R626" i="44"/>
  <c r="Q626" i="44"/>
  <c r="P626" i="44"/>
  <c r="O626" i="44"/>
  <c r="N626" i="44"/>
  <c r="S625" i="44"/>
  <c r="R625" i="44"/>
  <c r="Q625" i="44"/>
  <c r="P625" i="44"/>
  <c r="O625" i="44"/>
  <c r="N625" i="44"/>
  <c r="S624" i="44"/>
  <c r="R624" i="44"/>
  <c r="Q624" i="44"/>
  <c r="P624" i="44"/>
  <c r="O624" i="44"/>
  <c r="N624" i="44"/>
  <c r="S623" i="44"/>
  <c r="R623" i="44"/>
  <c r="Q623" i="44"/>
  <c r="P623" i="44"/>
  <c r="O623" i="44"/>
  <c r="N623" i="44"/>
  <c r="S622" i="44"/>
  <c r="R622" i="44"/>
  <c r="Q622" i="44"/>
  <c r="P622" i="44"/>
  <c r="O622" i="44"/>
  <c r="N622" i="44"/>
  <c r="S621" i="44"/>
  <c r="R621" i="44"/>
  <c r="Q621" i="44"/>
  <c r="P621" i="44"/>
  <c r="O621" i="44"/>
  <c r="N621" i="44"/>
  <c r="S620" i="44"/>
  <c r="R620" i="44"/>
  <c r="Q620" i="44"/>
  <c r="P620" i="44"/>
  <c r="O620" i="44"/>
  <c r="N620" i="44"/>
  <c r="S619" i="44"/>
  <c r="R619" i="44"/>
  <c r="Q619" i="44"/>
  <c r="P619" i="44"/>
  <c r="O619" i="44"/>
  <c r="N619" i="44"/>
  <c r="S618" i="44"/>
  <c r="R618" i="44"/>
  <c r="Q618" i="44"/>
  <c r="P618" i="44"/>
  <c r="O618" i="44"/>
  <c r="N618" i="44"/>
  <c r="S617" i="44"/>
  <c r="R617" i="44"/>
  <c r="Q617" i="44"/>
  <c r="P617" i="44"/>
  <c r="O617" i="44"/>
  <c r="N617" i="44"/>
  <c r="S616" i="44"/>
  <c r="R616" i="44"/>
  <c r="Q616" i="44"/>
  <c r="P616" i="44"/>
  <c r="O616" i="44"/>
  <c r="N616" i="44"/>
  <c r="S615" i="44"/>
  <c r="R615" i="44"/>
  <c r="Q615" i="44"/>
  <c r="P615" i="44"/>
  <c r="O615" i="44"/>
  <c r="N615" i="44"/>
  <c r="S614" i="44"/>
  <c r="R614" i="44"/>
  <c r="Q614" i="44"/>
  <c r="P614" i="44"/>
  <c r="O614" i="44"/>
  <c r="N614" i="44"/>
  <c r="S613" i="44"/>
  <c r="R613" i="44"/>
  <c r="Q613" i="44"/>
  <c r="P613" i="44"/>
  <c r="O613" i="44"/>
  <c r="N613" i="44"/>
  <c r="S612" i="44"/>
  <c r="R612" i="44"/>
  <c r="Q612" i="44"/>
  <c r="P612" i="44"/>
  <c r="O612" i="44"/>
  <c r="N612" i="44"/>
  <c r="S611" i="44"/>
  <c r="R611" i="44"/>
  <c r="Q611" i="44"/>
  <c r="P611" i="44"/>
  <c r="O611" i="44"/>
  <c r="N611" i="44"/>
  <c r="S610" i="44"/>
  <c r="R610" i="44"/>
  <c r="Q610" i="44"/>
  <c r="P610" i="44"/>
  <c r="O610" i="44"/>
  <c r="N610" i="44"/>
  <c r="S609" i="44"/>
  <c r="R609" i="44"/>
  <c r="Q609" i="44"/>
  <c r="P609" i="44"/>
  <c r="O609" i="44"/>
  <c r="N609" i="44"/>
  <c r="S608" i="44"/>
  <c r="R608" i="44"/>
  <c r="Q608" i="44"/>
  <c r="P608" i="44"/>
  <c r="O608" i="44"/>
  <c r="N608" i="44"/>
  <c r="S607" i="44"/>
  <c r="R607" i="44"/>
  <c r="Q607" i="44"/>
  <c r="P607" i="44"/>
  <c r="O607" i="44"/>
  <c r="N607" i="44"/>
  <c r="S606" i="44"/>
  <c r="R606" i="44"/>
  <c r="Q606" i="44"/>
  <c r="P606" i="44"/>
  <c r="O606" i="44"/>
  <c r="N606" i="44"/>
  <c r="S605" i="44"/>
  <c r="R605" i="44"/>
  <c r="Q605" i="44"/>
  <c r="P605" i="44"/>
  <c r="O605" i="44"/>
  <c r="N605" i="44"/>
  <c r="S604" i="44"/>
  <c r="R604" i="44"/>
  <c r="Q604" i="44"/>
  <c r="P604" i="44"/>
  <c r="O604" i="44"/>
  <c r="N604" i="44"/>
  <c r="S603" i="44"/>
  <c r="R603" i="44"/>
  <c r="Q603" i="44"/>
  <c r="P603" i="44"/>
  <c r="O603" i="44"/>
  <c r="N603" i="44"/>
  <c r="S602" i="44"/>
  <c r="R602" i="44"/>
  <c r="Q602" i="44"/>
  <c r="P602" i="44"/>
  <c r="O602" i="44"/>
  <c r="N602" i="44"/>
  <c r="S601" i="44"/>
  <c r="R601" i="44"/>
  <c r="Q601" i="44"/>
  <c r="P601" i="44"/>
  <c r="O601" i="44"/>
  <c r="N601" i="44"/>
  <c r="S600" i="44"/>
  <c r="R600" i="44"/>
  <c r="Q600" i="44"/>
  <c r="P600" i="44"/>
  <c r="O600" i="44"/>
  <c r="N600" i="44"/>
  <c r="S599" i="44"/>
  <c r="R599" i="44"/>
  <c r="Q599" i="44"/>
  <c r="P599" i="44"/>
  <c r="O599" i="44"/>
  <c r="N599" i="44"/>
  <c r="S598" i="44"/>
  <c r="R598" i="44"/>
  <c r="Q598" i="44"/>
  <c r="P598" i="44"/>
  <c r="O598" i="44"/>
  <c r="N598" i="44"/>
  <c r="S597" i="44"/>
  <c r="R597" i="44"/>
  <c r="Q597" i="44"/>
  <c r="P597" i="44"/>
  <c r="O597" i="44"/>
  <c r="N597" i="44"/>
  <c r="S596" i="44"/>
  <c r="R596" i="44"/>
  <c r="Q596" i="44"/>
  <c r="P596" i="44"/>
  <c r="O596" i="44"/>
  <c r="N596" i="44"/>
  <c r="S595" i="44"/>
  <c r="R595" i="44"/>
  <c r="Q595" i="44"/>
  <c r="P595" i="44"/>
  <c r="O595" i="44"/>
  <c r="N595" i="44"/>
  <c r="S594" i="44"/>
  <c r="R594" i="44"/>
  <c r="Q594" i="44"/>
  <c r="P594" i="44"/>
  <c r="O594" i="44"/>
  <c r="N594" i="44"/>
  <c r="S593" i="44"/>
  <c r="R593" i="44"/>
  <c r="Q593" i="44"/>
  <c r="P593" i="44"/>
  <c r="O593" i="44"/>
  <c r="N593" i="44"/>
  <c r="S592" i="44"/>
  <c r="R592" i="44"/>
  <c r="Q592" i="44"/>
  <c r="P592" i="44"/>
  <c r="O592" i="44"/>
  <c r="N592" i="44"/>
  <c r="S591" i="44"/>
  <c r="R591" i="44"/>
  <c r="Q591" i="44"/>
  <c r="P591" i="44"/>
  <c r="O591" i="44"/>
  <c r="N591" i="44"/>
  <c r="S590" i="44"/>
  <c r="R590" i="44"/>
  <c r="Q590" i="44"/>
  <c r="P590" i="44"/>
  <c r="O590" i="44"/>
  <c r="N590" i="44"/>
  <c r="S589" i="44"/>
  <c r="R589" i="44"/>
  <c r="Q589" i="44"/>
  <c r="P589" i="44"/>
  <c r="O589" i="44"/>
  <c r="N589" i="44"/>
  <c r="S588" i="44"/>
  <c r="R588" i="44"/>
  <c r="Q588" i="44"/>
  <c r="P588" i="44"/>
  <c r="O588" i="44"/>
  <c r="N588" i="44"/>
  <c r="S587" i="44"/>
  <c r="R587" i="44"/>
  <c r="Q587" i="44"/>
  <c r="P587" i="44"/>
  <c r="O587" i="44"/>
  <c r="N587" i="44"/>
  <c r="S586" i="44"/>
  <c r="R586" i="44"/>
  <c r="Q586" i="44"/>
  <c r="P586" i="44"/>
  <c r="O586" i="44"/>
  <c r="N586" i="44"/>
  <c r="S585" i="44"/>
  <c r="R585" i="44"/>
  <c r="Q585" i="44"/>
  <c r="P585" i="44"/>
  <c r="O585" i="44"/>
  <c r="N585" i="44"/>
  <c r="S584" i="44"/>
  <c r="R584" i="44"/>
  <c r="Q584" i="44"/>
  <c r="P584" i="44"/>
  <c r="O584" i="44"/>
  <c r="N584" i="44"/>
  <c r="S583" i="44"/>
  <c r="R583" i="44"/>
  <c r="Q583" i="44"/>
  <c r="P583" i="44"/>
  <c r="O583" i="44"/>
  <c r="N583" i="44"/>
  <c r="S582" i="44"/>
  <c r="R582" i="44"/>
  <c r="Q582" i="44"/>
  <c r="P582" i="44"/>
  <c r="O582" i="44"/>
  <c r="N582" i="44"/>
  <c r="S581" i="44"/>
  <c r="R581" i="44"/>
  <c r="Q581" i="44"/>
  <c r="P581" i="44"/>
  <c r="O581" i="44"/>
  <c r="N581" i="44"/>
  <c r="S580" i="44"/>
  <c r="R580" i="44"/>
  <c r="Q580" i="44"/>
  <c r="P580" i="44"/>
  <c r="O580" i="44"/>
  <c r="N580" i="44"/>
  <c r="S579" i="44"/>
  <c r="R579" i="44"/>
  <c r="Q579" i="44"/>
  <c r="P579" i="44"/>
  <c r="O579" i="44"/>
  <c r="N579" i="44"/>
  <c r="S578" i="44"/>
  <c r="R578" i="44"/>
  <c r="Q578" i="44"/>
  <c r="P578" i="44"/>
  <c r="O578" i="44"/>
  <c r="N578" i="44"/>
  <c r="S577" i="44"/>
  <c r="R577" i="44"/>
  <c r="Q577" i="44"/>
  <c r="P577" i="44"/>
  <c r="O577" i="44"/>
  <c r="N577" i="44"/>
  <c r="S576" i="44"/>
  <c r="R576" i="44"/>
  <c r="Q576" i="44"/>
  <c r="P576" i="44"/>
  <c r="O576" i="44"/>
  <c r="N576" i="44"/>
  <c r="S575" i="44"/>
  <c r="R575" i="44"/>
  <c r="Q575" i="44"/>
  <c r="P575" i="44"/>
  <c r="O575" i="44"/>
  <c r="N575" i="44"/>
  <c r="S574" i="44"/>
  <c r="R574" i="44"/>
  <c r="Q574" i="44"/>
  <c r="P574" i="44"/>
  <c r="O574" i="44"/>
  <c r="N574" i="44"/>
  <c r="S573" i="44"/>
  <c r="R573" i="44"/>
  <c r="Q573" i="44"/>
  <c r="P573" i="44"/>
  <c r="O573" i="44"/>
  <c r="N573" i="44"/>
  <c r="S572" i="44"/>
  <c r="R572" i="44"/>
  <c r="Q572" i="44"/>
  <c r="P572" i="44"/>
  <c r="O572" i="44"/>
  <c r="N572" i="44"/>
  <c r="S571" i="44"/>
  <c r="R571" i="44"/>
  <c r="Q571" i="44"/>
  <c r="P571" i="44"/>
  <c r="O571" i="44"/>
  <c r="N571" i="44"/>
  <c r="S570" i="44"/>
  <c r="R570" i="44"/>
  <c r="Q570" i="44"/>
  <c r="P570" i="44"/>
  <c r="O570" i="44"/>
  <c r="N570" i="44"/>
  <c r="S569" i="44"/>
  <c r="R569" i="44"/>
  <c r="Q569" i="44"/>
  <c r="P569" i="44"/>
  <c r="O569" i="44"/>
  <c r="N569" i="44"/>
  <c r="S568" i="44"/>
  <c r="R568" i="44"/>
  <c r="Q568" i="44"/>
  <c r="P568" i="44"/>
  <c r="O568" i="44"/>
  <c r="N568" i="44"/>
  <c r="S567" i="44"/>
  <c r="R567" i="44"/>
  <c r="Q567" i="44"/>
  <c r="P567" i="44"/>
  <c r="O567" i="44"/>
  <c r="N567" i="44"/>
  <c r="S566" i="44"/>
  <c r="R566" i="44"/>
  <c r="Q566" i="44"/>
  <c r="P566" i="44"/>
  <c r="O566" i="44"/>
  <c r="N566" i="44"/>
  <c r="S565" i="44"/>
  <c r="R565" i="44"/>
  <c r="Q565" i="44"/>
  <c r="P565" i="44"/>
  <c r="O565" i="44"/>
  <c r="N565" i="44"/>
  <c r="S564" i="44"/>
  <c r="R564" i="44"/>
  <c r="Q564" i="44"/>
  <c r="P564" i="44"/>
  <c r="O564" i="44"/>
  <c r="N564" i="44"/>
  <c r="S563" i="44"/>
  <c r="R563" i="44"/>
  <c r="Q563" i="44"/>
  <c r="P563" i="44"/>
  <c r="O563" i="44"/>
  <c r="N563" i="44"/>
  <c r="S562" i="44"/>
  <c r="R562" i="44"/>
  <c r="Q562" i="44"/>
  <c r="P562" i="44"/>
  <c r="O562" i="44"/>
  <c r="N562" i="44"/>
  <c r="S561" i="44"/>
  <c r="R561" i="44"/>
  <c r="Q561" i="44"/>
  <c r="P561" i="44"/>
  <c r="O561" i="44"/>
  <c r="N561" i="44"/>
  <c r="S560" i="44"/>
  <c r="R560" i="44"/>
  <c r="Q560" i="44"/>
  <c r="P560" i="44"/>
  <c r="O560" i="44"/>
  <c r="N560" i="44"/>
  <c r="S559" i="44"/>
  <c r="R559" i="44"/>
  <c r="Q559" i="44"/>
  <c r="P559" i="44"/>
  <c r="O559" i="44"/>
  <c r="N559" i="44"/>
  <c r="S558" i="44"/>
  <c r="R558" i="44"/>
  <c r="Q558" i="44"/>
  <c r="P558" i="44"/>
  <c r="O558" i="44"/>
  <c r="N558" i="44"/>
  <c r="S557" i="44"/>
  <c r="R557" i="44"/>
  <c r="Q557" i="44"/>
  <c r="P557" i="44"/>
  <c r="O557" i="44"/>
  <c r="N557" i="44"/>
  <c r="S556" i="44"/>
  <c r="R556" i="44"/>
  <c r="Q556" i="44"/>
  <c r="P556" i="44"/>
  <c r="O556" i="44"/>
  <c r="N556" i="44"/>
  <c r="S555" i="44"/>
  <c r="R555" i="44"/>
  <c r="Q555" i="44"/>
  <c r="P555" i="44"/>
  <c r="O555" i="44"/>
  <c r="N555" i="44"/>
  <c r="S554" i="44"/>
  <c r="R554" i="44"/>
  <c r="Q554" i="44"/>
  <c r="P554" i="44"/>
  <c r="O554" i="44"/>
  <c r="N554" i="44"/>
  <c r="S553" i="44"/>
  <c r="R553" i="44"/>
  <c r="Q553" i="44"/>
  <c r="P553" i="44"/>
  <c r="O553" i="44"/>
  <c r="N553" i="44"/>
  <c r="S552" i="44"/>
  <c r="R552" i="44"/>
  <c r="Q552" i="44"/>
  <c r="P552" i="44"/>
  <c r="O552" i="44"/>
  <c r="N552" i="44"/>
  <c r="S551" i="44"/>
  <c r="R551" i="44"/>
  <c r="Q551" i="44"/>
  <c r="P551" i="44"/>
  <c r="O551" i="44"/>
  <c r="N551" i="44"/>
  <c r="S550" i="44"/>
  <c r="R550" i="44"/>
  <c r="Q550" i="44"/>
  <c r="P550" i="44"/>
  <c r="O550" i="44"/>
  <c r="N550" i="44"/>
  <c r="S549" i="44"/>
  <c r="R549" i="44"/>
  <c r="Q549" i="44"/>
  <c r="P549" i="44"/>
  <c r="O549" i="44"/>
  <c r="N549" i="44"/>
  <c r="S545" i="44"/>
  <c r="R545" i="44"/>
  <c r="Q545" i="44"/>
  <c r="P545" i="44"/>
  <c r="O545" i="44"/>
  <c r="N545" i="44"/>
  <c r="S544" i="44"/>
  <c r="R544" i="44"/>
  <c r="Q544" i="44"/>
  <c r="P544" i="44"/>
  <c r="O544" i="44"/>
  <c r="N544" i="44"/>
  <c r="S543" i="44"/>
  <c r="R543" i="44"/>
  <c r="Q543" i="44"/>
  <c r="P543" i="44"/>
  <c r="O543" i="44"/>
  <c r="N543" i="44"/>
  <c r="S542" i="44"/>
  <c r="R542" i="44"/>
  <c r="Q542" i="44"/>
  <c r="P542" i="44"/>
  <c r="O542" i="44"/>
  <c r="N542" i="44"/>
  <c r="S541" i="44"/>
  <c r="R541" i="44"/>
  <c r="Q541" i="44"/>
  <c r="P541" i="44"/>
  <c r="O541" i="44"/>
  <c r="N541" i="44"/>
  <c r="S540" i="44"/>
  <c r="R540" i="44"/>
  <c r="Q540" i="44"/>
  <c r="P540" i="44"/>
  <c r="O540" i="44"/>
  <c r="N540" i="44"/>
  <c r="S539" i="44"/>
  <c r="R539" i="44"/>
  <c r="Q539" i="44"/>
  <c r="P539" i="44"/>
  <c r="O539" i="44"/>
  <c r="N539" i="44"/>
  <c r="S538" i="44"/>
  <c r="R538" i="44"/>
  <c r="Q538" i="44"/>
  <c r="P538" i="44"/>
  <c r="O538" i="44"/>
  <c r="N538" i="44"/>
  <c r="S537" i="44"/>
  <c r="R537" i="44"/>
  <c r="Q537" i="44"/>
  <c r="P537" i="44"/>
  <c r="O537" i="44"/>
  <c r="N537" i="44"/>
  <c r="S536" i="44"/>
  <c r="R536" i="44"/>
  <c r="Q536" i="44"/>
  <c r="P536" i="44"/>
  <c r="O536" i="44"/>
  <c r="N536" i="44"/>
  <c r="S535" i="44"/>
  <c r="R535" i="44"/>
  <c r="Q535" i="44"/>
  <c r="P535" i="44"/>
  <c r="O535" i="44"/>
  <c r="N535" i="44"/>
  <c r="S534" i="44"/>
  <c r="R534" i="44"/>
  <c r="Q534" i="44"/>
  <c r="P534" i="44"/>
  <c r="O534" i="44"/>
  <c r="N534" i="44"/>
  <c r="S533" i="44"/>
  <c r="R533" i="44"/>
  <c r="Q533" i="44"/>
  <c r="P533" i="44"/>
  <c r="O533" i="44"/>
  <c r="N533" i="44"/>
  <c r="S532" i="44"/>
  <c r="R532" i="44"/>
  <c r="Q532" i="44"/>
  <c r="P532" i="44"/>
  <c r="O532" i="44"/>
  <c r="N532" i="44"/>
  <c r="S531" i="44"/>
  <c r="R531" i="44"/>
  <c r="Q531" i="44"/>
  <c r="P531" i="44"/>
  <c r="O531" i="44"/>
  <c r="N531" i="44"/>
  <c r="S530" i="44"/>
  <c r="R530" i="44"/>
  <c r="Q530" i="44"/>
  <c r="P530" i="44"/>
  <c r="O530" i="44"/>
  <c r="N530" i="44"/>
  <c r="S529" i="44"/>
  <c r="R529" i="44"/>
  <c r="Q529" i="44"/>
  <c r="P529" i="44"/>
  <c r="O529" i="44"/>
  <c r="N529" i="44"/>
  <c r="S528" i="44"/>
  <c r="R528" i="44"/>
  <c r="Q528" i="44"/>
  <c r="P528" i="44"/>
  <c r="O528" i="44"/>
  <c r="N528" i="44"/>
  <c r="S527" i="44"/>
  <c r="R527" i="44"/>
  <c r="Q527" i="44"/>
  <c r="P527" i="44"/>
  <c r="O527" i="44"/>
  <c r="N527" i="44"/>
  <c r="S526" i="44"/>
  <c r="R526" i="44"/>
  <c r="Q526" i="44"/>
  <c r="P526" i="44"/>
  <c r="O526" i="44"/>
  <c r="N526" i="44"/>
  <c r="S525" i="44"/>
  <c r="R525" i="44"/>
  <c r="Q525" i="44"/>
  <c r="P525" i="44"/>
  <c r="O525" i="44"/>
  <c r="N525" i="44"/>
  <c r="S524" i="44"/>
  <c r="R524" i="44"/>
  <c r="Q524" i="44"/>
  <c r="P524" i="44"/>
  <c r="O524" i="44"/>
  <c r="N524" i="44"/>
  <c r="S523" i="44"/>
  <c r="R523" i="44"/>
  <c r="Q523" i="44"/>
  <c r="P523" i="44"/>
  <c r="O523" i="44"/>
  <c r="N523" i="44"/>
  <c r="S522" i="44"/>
  <c r="R522" i="44"/>
  <c r="Q522" i="44"/>
  <c r="P522" i="44"/>
  <c r="O522" i="44"/>
  <c r="N522" i="44"/>
  <c r="S521" i="44"/>
  <c r="R521" i="44"/>
  <c r="Q521" i="44"/>
  <c r="P521" i="44"/>
  <c r="O521" i="44"/>
  <c r="N521" i="44"/>
  <c r="S520" i="44"/>
  <c r="R520" i="44"/>
  <c r="Q520" i="44"/>
  <c r="P520" i="44"/>
  <c r="O520" i="44"/>
  <c r="N520" i="44"/>
  <c r="S519" i="44"/>
  <c r="R519" i="44"/>
  <c r="Q519" i="44"/>
  <c r="P519" i="44"/>
  <c r="O519" i="44"/>
  <c r="N519" i="44"/>
  <c r="S518" i="44"/>
  <c r="R518" i="44"/>
  <c r="Q518" i="44"/>
  <c r="P518" i="44"/>
  <c r="O518" i="44"/>
  <c r="N518" i="44"/>
  <c r="S517" i="44"/>
  <c r="R517" i="44"/>
  <c r="Q517" i="44"/>
  <c r="P517" i="44"/>
  <c r="O517" i="44"/>
  <c r="N517" i="44"/>
  <c r="S516" i="44"/>
  <c r="R516" i="44"/>
  <c r="Q516" i="44"/>
  <c r="P516" i="44"/>
  <c r="O516" i="44"/>
  <c r="N516" i="44"/>
  <c r="S515" i="44"/>
  <c r="R515" i="44"/>
  <c r="Q515" i="44"/>
  <c r="P515" i="44"/>
  <c r="O515" i="44"/>
  <c r="N515" i="44"/>
  <c r="S514" i="44"/>
  <c r="R514" i="44"/>
  <c r="Q514" i="44"/>
  <c r="P514" i="44"/>
  <c r="O514" i="44"/>
  <c r="N514" i="44"/>
  <c r="S513" i="44"/>
  <c r="R513" i="44"/>
  <c r="Q513" i="44"/>
  <c r="P513" i="44"/>
  <c r="O513" i="44"/>
  <c r="N513" i="44"/>
  <c r="S512" i="44"/>
  <c r="R512" i="44"/>
  <c r="Q512" i="44"/>
  <c r="P512" i="44"/>
  <c r="O512" i="44"/>
  <c r="N512" i="44"/>
  <c r="S511" i="44"/>
  <c r="R511" i="44"/>
  <c r="Q511" i="44"/>
  <c r="P511" i="44"/>
  <c r="O511" i="44"/>
  <c r="N511" i="44"/>
  <c r="S510" i="44"/>
  <c r="R510" i="44"/>
  <c r="Q510" i="44"/>
  <c r="P510" i="44"/>
  <c r="O510" i="44"/>
  <c r="N510" i="44"/>
  <c r="S509" i="44"/>
  <c r="R509" i="44"/>
  <c r="Q509" i="44"/>
  <c r="P509" i="44"/>
  <c r="O509" i="44"/>
  <c r="N509" i="44"/>
  <c r="S508" i="44"/>
  <c r="R508" i="44"/>
  <c r="Q508" i="44"/>
  <c r="P508" i="44"/>
  <c r="O508" i="44"/>
  <c r="N508" i="44"/>
  <c r="S507" i="44"/>
  <c r="R507" i="44"/>
  <c r="Q507" i="44"/>
  <c r="P507" i="44"/>
  <c r="O507" i="44"/>
  <c r="N507" i="44"/>
  <c r="S506" i="44"/>
  <c r="R506" i="44"/>
  <c r="Q506" i="44"/>
  <c r="P506" i="44"/>
  <c r="O506" i="44"/>
  <c r="N506" i="44"/>
  <c r="S505" i="44"/>
  <c r="R505" i="44"/>
  <c r="Q505" i="44"/>
  <c r="P505" i="44"/>
  <c r="O505" i="44"/>
  <c r="N505" i="44"/>
  <c r="S504" i="44"/>
  <c r="R504" i="44"/>
  <c r="Q504" i="44"/>
  <c r="P504" i="44"/>
  <c r="O504" i="44"/>
  <c r="N504" i="44"/>
  <c r="S503" i="44"/>
  <c r="R503" i="44"/>
  <c r="Q503" i="44"/>
  <c r="P503" i="44"/>
  <c r="O503" i="44"/>
  <c r="N503" i="44"/>
  <c r="S502" i="44"/>
  <c r="R502" i="44"/>
  <c r="Q502" i="44"/>
  <c r="P502" i="44"/>
  <c r="O502" i="44"/>
  <c r="N502" i="44"/>
  <c r="S501" i="44"/>
  <c r="R501" i="44"/>
  <c r="Q501" i="44"/>
  <c r="P501" i="44"/>
  <c r="O501" i="44"/>
  <c r="N501" i="44"/>
  <c r="S500" i="44"/>
  <c r="R500" i="44"/>
  <c r="Q500" i="44"/>
  <c r="P500" i="44"/>
  <c r="O500" i="44"/>
  <c r="N500" i="44"/>
  <c r="S499" i="44"/>
  <c r="R499" i="44"/>
  <c r="Q499" i="44"/>
  <c r="P499" i="44"/>
  <c r="O499" i="44"/>
  <c r="N499" i="44"/>
  <c r="S498" i="44"/>
  <c r="R498" i="44"/>
  <c r="Q498" i="44"/>
  <c r="P498" i="44"/>
  <c r="O498" i="44"/>
  <c r="N498" i="44"/>
  <c r="S497" i="44"/>
  <c r="R497" i="44"/>
  <c r="Q497" i="44"/>
  <c r="P497" i="44"/>
  <c r="O497" i="44"/>
  <c r="N497" i="44"/>
  <c r="S496" i="44"/>
  <c r="R496" i="44"/>
  <c r="Q496" i="44"/>
  <c r="P496" i="44"/>
  <c r="O496" i="44"/>
  <c r="N496" i="44"/>
  <c r="S495" i="44"/>
  <c r="R495" i="44"/>
  <c r="Q495" i="44"/>
  <c r="P495" i="44"/>
  <c r="O495" i="44"/>
  <c r="N495" i="44"/>
  <c r="S494" i="44"/>
  <c r="R494" i="44"/>
  <c r="Q494" i="44"/>
  <c r="P494" i="44"/>
  <c r="O494" i="44"/>
  <c r="N494" i="44"/>
  <c r="S493" i="44"/>
  <c r="R493" i="44"/>
  <c r="Q493" i="44"/>
  <c r="P493" i="44"/>
  <c r="O493" i="44"/>
  <c r="N493" i="44"/>
  <c r="S492" i="44"/>
  <c r="R492" i="44"/>
  <c r="Q492" i="44"/>
  <c r="P492" i="44"/>
  <c r="O492" i="44"/>
  <c r="N492" i="44"/>
  <c r="S491" i="44"/>
  <c r="R491" i="44"/>
  <c r="Q491" i="44"/>
  <c r="P491" i="44"/>
  <c r="O491" i="44"/>
  <c r="N491" i="44"/>
  <c r="S490" i="44"/>
  <c r="R490" i="44"/>
  <c r="Q490" i="44"/>
  <c r="P490" i="44"/>
  <c r="O490" i="44"/>
  <c r="N490" i="44"/>
  <c r="S489" i="44"/>
  <c r="R489" i="44"/>
  <c r="Q489" i="44"/>
  <c r="P489" i="44"/>
  <c r="O489" i="44"/>
  <c r="N489" i="44"/>
  <c r="S488" i="44"/>
  <c r="R488" i="44"/>
  <c r="Q488" i="44"/>
  <c r="P488" i="44"/>
  <c r="O488" i="44"/>
  <c r="N488" i="44"/>
  <c r="S487" i="44"/>
  <c r="R487" i="44"/>
  <c r="Q487" i="44"/>
  <c r="P487" i="44"/>
  <c r="O487" i="44"/>
  <c r="N487" i="44"/>
  <c r="S486" i="44"/>
  <c r="R486" i="44"/>
  <c r="Q486" i="44"/>
  <c r="P486" i="44"/>
  <c r="O486" i="44"/>
  <c r="N486" i="44"/>
  <c r="S485" i="44"/>
  <c r="R485" i="44"/>
  <c r="Q485" i="44"/>
  <c r="P485" i="44"/>
  <c r="O485" i="44"/>
  <c r="N485" i="44"/>
  <c r="S484" i="44"/>
  <c r="R484" i="44"/>
  <c r="Q484" i="44"/>
  <c r="P484" i="44"/>
  <c r="O484" i="44"/>
  <c r="N484" i="44"/>
  <c r="S483" i="44"/>
  <c r="R483" i="44"/>
  <c r="Q483" i="44"/>
  <c r="P483" i="44"/>
  <c r="O483" i="44"/>
  <c r="N483" i="44"/>
  <c r="S482" i="44"/>
  <c r="R482" i="44"/>
  <c r="Q482" i="44"/>
  <c r="P482" i="44"/>
  <c r="O482" i="44"/>
  <c r="N482" i="44"/>
  <c r="S481" i="44"/>
  <c r="R481" i="44"/>
  <c r="Q481" i="44"/>
  <c r="P481" i="44"/>
  <c r="O481" i="44"/>
  <c r="N481" i="44"/>
  <c r="S480" i="44"/>
  <c r="R480" i="44"/>
  <c r="Q480" i="44"/>
  <c r="P480" i="44"/>
  <c r="O480" i="44"/>
  <c r="N480" i="44"/>
  <c r="S479" i="44"/>
  <c r="R479" i="44"/>
  <c r="Q479" i="44"/>
  <c r="P479" i="44"/>
  <c r="O479" i="44"/>
  <c r="N479" i="44"/>
  <c r="S478" i="44"/>
  <c r="R478" i="44"/>
  <c r="Q478" i="44"/>
  <c r="P478" i="44"/>
  <c r="O478" i="44"/>
  <c r="N478" i="44"/>
  <c r="S477" i="44"/>
  <c r="R477" i="44"/>
  <c r="Q477" i="44"/>
  <c r="P477" i="44"/>
  <c r="O477" i="44"/>
  <c r="N477" i="44"/>
  <c r="S476" i="44"/>
  <c r="R476" i="44"/>
  <c r="Q476" i="44"/>
  <c r="P476" i="44"/>
  <c r="O476" i="44"/>
  <c r="N476" i="44"/>
  <c r="S475" i="44"/>
  <c r="R475" i="44"/>
  <c r="Q475" i="44"/>
  <c r="P475" i="44"/>
  <c r="O475" i="44"/>
  <c r="N475" i="44"/>
  <c r="S474" i="44"/>
  <c r="R474" i="44"/>
  <c r="Q474" i="44"/>
  <c r="P474" i="44"/>
  <c r="O474" i="44"/>
  <c r="N474" i="44"/>
  <c r="S473" i="44"/>
  <c r="R473" i="44"/>
  <c r="Q473" i="44"/>
  <c r="P473" i="44"/>
  <c r="O473" i="44"/>
  <c r="N473" i="44"/>
  <c r="S472" i="44"/>
  <c r="R472" i="44"/>
  <c r="Q472" i="44"/>
  <c r="P472" i="44"/>
  <c r="O472" i="44"/>
  <c r="N472" i="44"/>
  <c r="S471" i="44"/>
  <c r="R471" i="44"/>
  <c r="Q471" i="44"/>
  <c r="P471" i="44"/>
  <c r="O471" i="44"/>
  <c r="N471" i="44"/>
  <c r="S470" i="44"/>
  <c r="R470" i="44"/>
  <c r="Q470" i="44"/>
  <c r="P470" i="44"/>
  <c r="O470" i="44"/>
  <c r="N470" i="44"/>
  <c r="S469" i="44"/>
  <c r="R469" i="44"/>
  <c r="Q469" i="44"/>
  <c r="P469" i="44"/>
  <c r="O469" i="44"/>
  <c r="N469" i="44"/>
  <c r="S468" i="44"/>
  <c r="R468" i="44"/>
  <c r="Q468" i="44"/>
  <c r="P468" i="44"/>
  <c r="O468" i="44"/>
  <c r="N468" i="44"/>
  <c r="S467" i="44"/>
  <c r="R467" i="44"/>
  <c r="Q467" i="44"/>
  <c r="P467" i="44"/>
  <c r="O467" i="44"/>
  <c r="N467" i="44"/>
  <c r="S466" i="44"/>
  <c r="R466" i="44"/>
  <c r="Q466" i="44"/>
  <c r="P466" i="44"/>
  <c r="O466" i="44"/>
  <c r="N466" i="44"/>
  <c r="S465" i="44"/>
  <c r="R465" i="44"/>
  <c r="Q465" i="44"/>
  <c r="P465" i="44"/>
  <c r="O465" i="44"/>
  <c r="N465" i="44"/>
  <c r="S464" i="44"/>
  <c r="R464" i="44"/>
  <c r="Q464" i="44"/>
  <c r="P464" i="44"/>
  <c r="O464" i="44"/>
  <c r="N464" i="44"/>
  <c r="S463" i="44"/>
  <c r="R463" i="44"/>
  <c r="Q463" i="44"/>
  <c r="P463" i="44"/>
  <c r="O463" i="44"/>
  <c r="N463" i="44"/>
  <c r="S462" i="44"/>
  <c r="R462" i="44"/>
  <c r="Q462" i="44"/>
  <c r="P462" i="44"/>
  <c r="O462" i="44"/>
  <c r="N462" i="44"/>
  <c r="S461" i="44"/>
  <c r="R461" i="44"/>
  <c r="Q461" i="44"/>
  <c r="P461" i="44"/>
  <c r="O461" i="44"/>
  <c r="N461" i="44"/>
  <c r="S460" i="44"/>
  <c r="R460" i="44"/>
  <c r="Q460" i="44"/>
  <c r="P460" i="44"/>
  <c r="O460" i="44"/>
  <c r="N460" i="44"/>
  <c r="S459" i="44"/>
  <c r="R459" i="44"/>
  <c r="Q459" i="44"/>
  <c r="P459" i="44"/>
  <c r="O459" i="44"/>
  <c r="N459" i="44"/>
  <c r="S458" i="44"/>
  <c r="R458" i="44"/>
  <c r="Q458" i="44"/>
  <c r="P458" i="44"/>
  <c r="O458" i="44"/>
  <c r="N458" i="44"/>
  <c r="S457" i="44"/>
  <c r="R457" i="44"/>
  <c r="Q457" i="44"/>
  <c r="P457" i="44"/>
  <c r="O457" i="44"/>
  <c r="N457" i="44"/>
  <c r="S456" i="44"/>
  <c r="R456" i="44"/>
  <c r="Q456" i="44"/>
  <c r="P456" i="44"/>
  <c r="O456" i="44"/>
  <c r="N456" i="44"/>
  <c r="S455" i="44"/>
  <c r="R455" i="44"/>
  <c r="Q455" i="44"/>
  <c r="P455" i="44"/>
  <c r="O455" i="44"/>
  <c r="N455" i="44"/>
  <c r="S454" i="44"/>
  <c r="R454" i="44"/>
  <c r="Q454" i="44"/>
  <c r="P454" i="44"/>
  <c r="O454" i="44"/>
  <c r="N454" i="44"/>
  <c r="S453" i="44"/>
  <c r="R453" i="44"/>
  <c r="Q453" i="44"/>
  <c r="P453" i="44"/>
  <c r="O453" i="44"/>
  <c r="N453" i="44"/>
  <c r="S452" i="44"/>
  <c r="R452" i="44"/>
  <c r="Q452" i="44"/>
  <c r="P452" i="44"/>
  <c r="O452" i="44"/>
  <c r="N452" i="44"/>
  <c r="S451" i="44"/>
  <c r="R451" i="44"/>
  <c r="Q451" i="44"/>
  <c r="P451" i="44"/>
  <c r="O451" i="44"/>
  <c r="N451" i="44"/>
  <c r="S450" i="44"/>
  <c r="R450" i="44"/>
  <c r="Q450" i="44"/>
  <c r="P450" i="44"/>
  <c r="O450" i="44"/>
  <c r="N450" i="44"/>
  <c r="S449" i="44"/>
  <c r="R449" i="44"/>
  <c r="Q449" i="44"/>
  <c r="P449" i="44"/>
  <c r="O449" i="44"/>
  <c r="N449" i="44"/>
  <c r="S448" i="44"/>
  <c r="R448" i="44"/>
  <c r="Q448" i="44"/>
  <c r="P448" i="44"/>
  <c r="O448" i="44"/>
  <c r="N448" i="44"/>
  <c r="S447" i="44"/>
  <c r="R447" i="44"/>
  <c r="Q447" i="44"/>
  <c r="P447" i="44"/>
  <c r="O447" i="44"/>
  <c r="N447" i="44"/>
  <c r="S446" i="44"/>
  <c r="R446" i="44"/>
  <c r="Q446" i="44"/>
  <c r="P446" i="44"/>
  <c r="O446" i="44"/>
  <c r="N446" i="44"/>
  <c r="S445" i="44"/>
  <c r="R445" i="44"/>
  <c r="Q445" i="44"/>
  <c r="P445" i="44"/>
  <c r="O445" i="44"/>
  <c r="N445" i="44"/>
  <c r="S444" i="44"/>
  <c r="R444" i="44"/>
  <c r="Q444" i="44"/>
  <c r="P444" i="44"/>
  <c r="O444" i="44"/>
  <c r="N444" i="44"/>
  <c r="S443" i="44"/>
  <c r="R443" i="44"/>
  <c r="Q443" i="44"/>
  <c r="P443" i="44"/>
  <c r="O443" i="44"/>
  <c r="N443" i="44"/>
  <c r="S442" i="44"/>
  <c r="R442" i="44"/>
  <c r="Q442" i="44"/>
  <c r="P442" i="44"/>
  <c r="O442" i="44"/>
  <c r="N442" i="44"/>
  <c r="S441" i="44"/>
  <c r="R441" i="44"/>
  <c r="Q441" i="44"/>
  <c r="P441" i="44"/>
  <c r="O441" i="44"/>
  <c r="N441" i="44"/>
  <c r="S440" i="44"/>
  <c r="R440" i="44"/>
  <c r="Q440" i="44"/>
  <c r="P440" i="44"/>
  <c r="O440" i="44"/>
  <c r="N440" i="44"/>
  <c r="S439" i="44"/>
  <c r="R439" i="44"/>
  <c r="Q439" i="44"/>
  <c r="P439" i="44"/>
  <c r="O439" i="44"/>
  <c r="N439" i="44"/>
  <c r="S438" i="44"/>
  <c r="R438" i="44"/>
  <c r="Q438" i="44"/>
  <c r="P438" i="44"/>
  <c r="O438" i="44"/>
  <c r="N438" i="44"/>
  <c r="S437" i="44"/>
  <c r="R437" i="44"/>
  <c r="Q437" i="44"/>
  <c r="P437" i="44"/>
  <c r="O437" i="44"/>
  <c r="N437" i="44"/>
  <c r="S436" i="44"/>
  <c r="R436" i="44"/>
  <c r="Q436" i="44"/>
  <c r="P436" i="44"/>
  <c r="O436" i="44"/>
  <c r="N436" i="44"/>
  <c r="S435" i="44"/>
  <c r="R435" i="44"/>
  <c r="Q435" i="44"/>
  <c r="P435" i="44"/>
  <c r="O435" i="44"/>
  <c r="N435" i="44"/>
  <c r="S434" i="44"/>
  <c r="R434" i="44"/>
  <c r="Q434" i="44"/>
  <c r="P434" i="44"/>
  <c r="O434" i="44"/>
  <c r="N434" i="44"/>
  <c r="S433" i="44"/>
  <c r="R433" i="44"/>
  <c r="Q433" i="44"/>
  <c r="P433" i="44"/>
  <c r="O433" i="44"/>
  <c r="N433" i="44"/>
  <c r="S432" i="44"/>
  <c r="R432" i="44"/>
  <c r="Q432" i="44"/>
  <c r="P432" i="44"/>
  <c r="O432" i="44"/>
  <c r="N432" i="44"/>
  <c r="S431" i="44"/>
  <c r="R431" i="44"/>
  <c r="Q431" i="44"/>
  <c r="P431" i="44"/>
  <c r="O431" i="44"/>
  <c r="N431" i="44"/>
  <c r="S430" i="44"/>
  <c r="R430" i="44"/>
  <c r="Q430" i="44"/>
  <c r="P430" i="44"/>
  <c r="O430" i="44"/>
  <c r="N430" i="44"/>
  <c r="S429" i="44"/>
  <c r="R429" i="44"/>
  <c r="Q429" i="44"/>
  <c r="P429" i="44"/>
  <c r="O429" i="44"/>
  <c r="N429" i="44"/>
  <c r="S428" i="44"/>
  <c r="R428" i="44"/>
  <c r="Q428" i="44"/>
  <c r="P428" i="44"/>
  <c r="O428" i="44"/>
  <c r="N428" i="44"/>
  <c r="S427" i="44"/>
  <c r="R427" i="44"/>
  <c r="Q427" i="44"/>
  <c r="P427" i="44"/>
  <c r="O427" i="44"/>
  <c r="N427" i="44"/>
  <c r="S426" i="44"/>
  <c r="R426" i="44"/>
  <c r="Q426" i="44"/>
  <c r="P426" i="44"/>
  <c r="O426" i="44"/>
  <c r="N426" i="44"/>
  <c r="S425" i="44"/>
  <c r="R425" i="44"/>
  <c r="Q425" i="44"/>
  <c r="P425" i="44"/>
  <c r="O425" i="44"/>
  <c r="N425" i="44"/>
  <c r="S424" i="44"/>
  <c r="R424" i="44"/>
  <c r="Q424" i="44"/>
  <c r="P424" i="44"/>
  <c r="O424" i="44"/>
  <c r="N424" i="44"/>
  <c r="S423" i="44"/>
  <c r="R423" i="44"/>
  <c r="Q423" i="44"/>
  <c r="P423" i="44"/>
  <c r="O423" i="44"/>
  <c r="N423" i="44"/>
  <c r="S422" i="44"/>
  <c r="R422" i="44"/>
  <c r="Q422" i="44"/>
  <c r="P422" i="44"/>
  <c r="O422" i="44"/>
  <c r="N422" i="44"/>
  <c r="S421" i="44"/>
  <c r="R421" i="44"/>
  <c r="Q421" i="44"/>
  <c r="P421" i="44"/>
  <c r="O421" i="44"/>
  <c r="N421" i="44"/>
  <c r="S420" i="44"/>
  <c r="R420" i="44"/>
  <c r="Q420" i="44"/>
  <c r="P420" i="44"/>
  <c r="O420" i="44"/>
  <c r="N420" i="44"/>
  <c r="S419" i="44"/>
  <c r="R419" i="44"/>
  <c r="Q419" i="44"/>
  <c r="P419" i="44"/>
  <c r="O419" i="44"/>
  <c r="N419" i="44"/>
  <c r="S418" i="44"/>
  <c r="R418" i="44"/>
  <c r="Q418" i="44"/>
  <c r="P418" i="44"/>
  <c r="O418" i="44"/>
  <c r="N418" i="44"/>
  <c r="S417" i="44"/>
  <c r="R417" i="44"/>
  <c r="Q417" i="44"/>
  <c r="P417" i="44"/>
  <c r="O417" i="44"/>
  <c r="N417" i="44"/>
  <c r="S416" i="44"/>
  <c r="R416" i="44"/>
  <c r="Q416" i="44"/>
  <c r="P416" i="44"/>
  <c r="O416" i="44"/>
  <c r="N416" i="44"/>
  <c r="S415" i="44"/>
  <c r="R415" i="44"/>
  <c r="Q415" i="44"/>
  <c r="P415" i="44"/>
  <c r="O415" i="44"/>
  <c r="N415" i="44"/>
  <c r="S414" i="44"/>
  <c r="R414" i="44"/>
  <c r="Q414" i="44"/>
  <c r="P414" i="44"/>
  <c r="O414" i="44"/>
  <c r="N414" i="44"/>
  <c r="S413" i="44"/>
  <c r="R413" i="44"/>
  <c r="Q413" i="44"/>
  <c r="P413" i="44"/>
  <c r="O413" i="44"/>
  <c r="N413" i="44"/>
  <c r="S412" i="44"/>
  <c r="R412" i="44"/>
  <c r="Q412" i="44"/>
  <c r="P412" i="44"/>
  <c r="O412" i="44"/>
  <c r="N412" i="44"/>
  <c r="S411" i="44"/>
  <c r="R411" i="44"/>
  <c r="Q411" i="44"/>
  <c r="P411" i="44"/>
  <c r="O411" i="44"/>
  <c r="N411" i="44"/>
  <c r="S410" i="44"/>
  <c r="R410" i="44"/>
  <c r="Q410" i="44"/>
  <c r="P410" i="44"/>
  <c r="O410" i="44"/>
  <c r="N410" i="44"/>
  <c r="S409" i="44"/>
  <c r="R409" i="44"/>
  <c r="Q409" i="44"/>
  <c r="P409" i="44"/>
  <c r="O409" i="44"/>
  <c r="N409" i="44"/>
  <c r="S408" i="44"/>
  <c r="R408" i="44"/>
  <c r="Q408" i="44"/>
  <c r="P408" i="44"/>
  <c r="O408" i="44"/>
  <c r="N408" i="44"/>
  <c r="S407" i="44"/>
  <c r="R407" i="44"/>
  <c r="Q407" i="44"/>
  <c r="P407" i="44"/>
  <c r="O407" i="44"/>
  <c r="N407" i="44"/>
  <c r="S406" i="44"/>
  <c r="R406" i="44"/>
  <c r="Q406" i="44"/>
  <c r="P406" i="44"/>
  <c r="O406" i="44"/>
  <c r="N406" i="44"/>
  <c r="S405" i="44"/>
  <c r="R405" i="44"/>
  <c r="Q405" i="44"/>
  <c r="P405" i="44"/>
  <c r="O405" i="44"/>
  <c r="N405" i="44"/>
  <c r="S404" i="44"/>
  <c r="R404" i="44"/>
  <c r="Q404" i="44"/>
  <c r="P404" i="44"/>
  <c r="O404" i="44"/>
  <c r="N404" i="44"/>
  <c r="S403" i="44"/>
  <c r="R403" i="44"/>
  <c r="Q403" i="44"/>
  <c r="P403" i="44"/>
  <c r="O403" i="44"/>
  <c r="N403" i="44"/>
  <c r="S402" i="44"/>
  <c r="R402" i="44"/>
  <c r="Q402" i="44"/>
  <c r="P402" i="44"/>
  <c r="O402" i="44"/>
  <c r="N402" i="44"/>
  <c r="S401" i="44"/>
  <c r="R401" i="44"/>
  <c r="Q401" i="44"/>
  <c r="P401" i="44"/>
  <c r="O401" i="44"/>
  <c r="N401" i="44"/>
  <c r="S400" i="44"/>
  <c r="R400" i="44"/>
  <c r="Q400" i="44"/>
  <c r="P400" i="44"/>
  <c r="O400" i="44"/>
  <c r="N400" i="44"/>
  <c r="S399" i="44"/>
  <c r="R399" i="44"/>
  <c r="Q399" i="44"/>
  <c r="P399" i="44"/>
  <c r="O399" i="44"/>
  <c r="N399" i="44"/>
  <c r="S398" i="44"/>
  <c r="R398" i="44"/>
  <c r="Q398" i="44"/>
  <c r="P398" i="44"/>
  <c r="O398" i="44"/>
  <c r="N398" i="44"/>
  <c r="S397" i="44"/>
  <c r="R397" i="44"/>
  <c r="Q397" i="44"/>
  <c r="P397" i="44"/>
  <c r="O397" i="44"/>
  <c r="N397" i="44"/>
  <c r="S396" i="44"/>
  <c r="R396" i="44"/>
  <c r="Q396" i="44"/>
  <c r="P396" i="44"/>
  <c r="O396" i="44"/>
  <c r="N396" i="44"/>
  <c r="S395" i="44"/>
  <c r="R395" i="44"/>
  <c r="Q395" i="44"/>
  <c r="P395" i="44"/>
  <c r="O395" i="44"/>
  <c r="N395" i="44"/>
  <c r="S394" i="44"/>
  <c r="R394" i="44"/>
  <c r="Q394" i="44"/>
  <c r="P394" i="44"/>
  <c r="O394" i="44"/>
  <c r="N394" i="44"/>
  <c r="S393" i="44"/>
  <c r="R393" i="44"/>
  <c r="Q393" i="44"/>
  <c r="P393" i="44"/>
  <c r="O393" i="44"/>
  <c r="N393" i="44"/>
  <c r="S392" i="44"/>
  <c r="R392" i="44"/>
  <c r="Q392" i="44"/>
  <c r="P392" i="44"/>
  <c r="O392" i="44"/>
  <c r="N392" i="44"/>
  <c r="S391" i="44"/>
  <c r="R391" i="44"/>
  <c r="Q391" i="44"/>
  <c r="P391" i="44"/>
  <c r="O391" i="44"/>
  <c r="N391" i="44"/>
  <c r="S390" i="44"/>
  <c r="R390" i="44"/>
  <c r="Q390" i="44"/>
  <c r="P390" i="44"/>
  <c r="O390" i="44"/>
  <c r="N390" i="44"/>
  <c r="S389" i="44"/>
  <c r="R389" i="44"/>
  <c r="Q389" i="44"/>
  <c r="P389" i="44"/>
  <c r="O389" i="44"/>
  <c r="N389" i="44"/>
  <c r="S388" i="44"/>
  <c r="R388" i="44"/>
  <c r="Q388" i="44"/>
  <c r="P388" i="44"/>
  <c r="O388" i="44"/>
  <c r="N388" i="44"/>
  <c r="S387" i="44"/>
  <c r="R387" i="44"/>
  <c r="Q387" i="44"/>
  <c r="P387" i="44"/>
  <c r="O387" i="44"/>
  <c r="N387" i="44"/>
  <c r="S386" i="44"/>
  <c r="R386" i="44"/>
  <c r="Q386" i="44"/>
  <c r="P386" i="44"/>
  <c r="O386" i="44"/>
  <c r="N386" i="44"/>
  <c r="S385" i="44"/>
  <c r="R385" i="44"/>
  <c r="Q385" i="44"/>
  <c r="P385" i="44"/>
  <c r="O385" i="44"/>
  <c r="N385" i="44"/>
  <c r="S384" i="44"/>
  <c r="R384" i="44"/>
  <c r="Q384" i="44"/>
  <c r="P384" i="44"/>
  <c r="O384" i="44"/>
  <c r="N384" i="44"/>
  <c r="S383" i="44"/>
  <c r="R383" i="44"/>
  <c r="Q383" i="44"/>
  <c r="P383" i="44"/>
  <c r="O383" i="44"/>
  <c r="N383" i="44"/>
  <c r="S382" i="44"/>
  <c r="R382" i="44"/>
  <c r="Q382" i="44"/>
  <c r="P382" i="44"/>
  <c r="O382" i="44"/>
  <c r="N382" i="44"/>
  <c r="S381" i="44"/>
  <c r="R381" i="44"/>
  <c r="Q381" i="44"/>
  <c r="P381" i="44"/>
  <c r="O381" i="44"/>
  <c r="N381" i="44"/>
  <c r="S380" i="44"/>
  <c r="R380" i="44"/>
  <c r="Q380" i="44"/>
  <c r="P380" i="44"/>
  <c r="O380" i="44"/>
  <c r="N380" i="44"/>
  <c r="S379" i="44"/>
  <c r="R379" i="44"/>
  <c r="Q379" i="44"/>
  <c r="P379" i="44"/>
  <c r="O379" i="44"/>
  <c r="N379" i="44"/>
  <c r="S378" i="44"/>
  <c r="R378" i="44"/>
  <c r="Q378" i="44"/>
  <c r="P378" i="44"/>
  <c r="O378" i="44"/>
  <c r="N378" i="44"/>
  <c r="S377" i="44"/>
  <c r="R377" i="44"/>
  <c r="Q377" i="44"/>
  <c r="P377" i="44"/>
  <c r="O377" i="44"/>
  <c r="N377" i="44"/>
  <c r="S376" i="44"/>
  <c r="R376" i="44"/>
  <c r="Q376" i="44"/>
  <c r="P376" i="44"/>
  <c r="O376" i="44"/>
  <c r="N376" i="44"/>
  <c r="S375" i="44"/>
  <c r="R375" i="44"/>
  <c r="Q375" i="44"/>
  <c r="P375" i="44"/>
  <c r="O375" i="44"/>
  <c r="N375" i="44"/>
  <c r="S374" i="44"/>
  <c r="R374" i="44"/>
  <c r="Q374" i="44"/>
  <c r="P374" i="44"/>
  <c r="O374" i="44"/>
  <c r="N374" i="44"/>
  <c r="S373" i="44"/>
  <c r="R373" i="44"/>
  <c r="Q373" i="44"/>
  <c r="P373" i="44"/>
  <c r="O373" i="44"/>
  <c r="N373" i="44"/>
  <c r="S372" i="44"/>
  <c r="R372" i="44"/>
  <c r="Q372" i="44"/>
  <c r="P372" i="44"/>
  <c r="O372" i="44"/>
  <c r="N372" i="44"/>
  <c r="S371" i="44"/>
  <c r="R371" i="44"/>
  <c r="Q371" i="44"/>
  <c r="P371" i="44"/>
  <c r="O371" i="44"/>
  <c r="N371" i="44"/>
  <c r="S370" i="44"/>
  <c r="R370" i="44"/>
  <c r="Q370" i="44"/>
  <c r="P370" i="44"/>
  <c r="O370" i="44"/>
  <c r="N370" i="44"/>
  <c r="S369" i="44"/>
  <c r="R369" i="44"/>
  <c r="Q369" i="44"/>
  <c r="P369" i="44"/>
  <c r="O369" i="44"/>
  <c r="N369" i="44"/>
  <c r="S368" i="44"/>
  <c r="R368" i="44"/>
  <c r="Q368" i="44"/>
  <c r="P368" i="44"/>
  <c r="O368" i="44"/>
  <c r="N368" i="44"/>
  <c r="S367" i="44"/>
  <c r="R367" i="44"/>
  <c r="Q367" i="44"/>
  <c r="P367" i="44"/>
  <c r="O367" i="44"/>
  <c r="N367" i="44"/>
  <c r="S366" i="44"/>
  <c r="R366" i="44"/>
  <c r="Q366" i="44"/>
  <c r="P366" i="44"/>
  <c r="O366" i="44"/>
  <c r="N366" i="44"/>
  <c r="S365" i="44"/>
  <c r="R365" i="44"/>
  <c r="Q365" i="44"/>
  <c r="P365" i="44"/>
  <c r="O365" i="44"/>
  <c r="N365" i="44"/>
  <c r="S364" i="44"/>
  <c r="R364" i="44"/>
  <c r="Q364" i="44"/>
  <c r="P364" i="44"/>
  <c r="O364" i="44"/>
  <c r="N364" i="44"/>
  <c r="S363" i="44"/>
  <c r="R363" i="44"/>
  <c r="Q363" i="44"/>
  <c r="P363" i="44"/>
  <c r="O363" i="44"/>
  <c r="N363" i="44"/>
  <c r="S362" i="44"/>
  <c r="R362" i="44"/>
  <c r="Q362" i="44"/>
  <c r="P362" i="44"/>
  <c r="O362" i="44"/>
  <c r="N362" i="44"/>
  <c r="S361" i="44"/>
  <c r="R361" i="44"/>
  <c r="Q361" i="44"/>
  <c r="P361" i="44"/>
  <c r="O361" i="44"/>
  <c r="N361" i="44"/>
  <c r="S360" i="44"/>
  <c r="R360" i="44"/>
  <c r="Q360" i="44"/>
  <c r="P360" i="44"/>
  <c r="O360" i="44"/>
  <c r="N360" i="44"/>
  <c r="S359" i="44"/>
  <c r="R359" i="44"/>
  <c r="Q359" i="44"/>
  <c r="P359" i="44"/>
  <c r="O359" i="44"/>
  <c r="N359" i="44"/>
  <c r="S358" i="44"/>
  <c r="R358" i="44"/>
  <c r="Q358" i="44"/>
  <c r="P358" i="44"/>
  <c r="O358" i="44"/>
  <c r="N358" i="44"/>
  <c r="S357" i="44"/>
  <c r="R357" i="44"/>
  <c r="Q357" i="44"/>
  <c r="P357" i="44"/>
  <c r="O357" i="44"/>
  <c r="N357" i="44"/>
  <c r="S356" i="44"/>
  <c r="R356" i="44"/>
  <c r="Q356" i="44"/>
  <c r="P356" i="44"/>
  <c r="O356" i="44"/>
  <c r="N356" i="44"/>
  <c r="S355" i="44"/>
  <c r="R355" i="44"/>
  <c r="Q355" i="44"/>
  <c r="P355" i="44"/>
  <c r="O355" i="44"/>
  <c r="N355" i="44"/>
  <c r="S354" i="44"/>
  <c r="R354" i="44"/>
  <c r="Q354" i="44"/>
  <c r="P354" i="44"/>
  <c r="O354" i="44"/>
  <c r="N354" i="44"/>
  <c r="S353" i="44"/>
  <c r="R353" i="44"/>
  <c r="Q353" i="44"/>
  <c r="P353" i="44"/>
  <c r="O353" i="44"/>
  <c r="N353" i="44"/>
  <c r="S352" i="44"/>
  <c r="R352" i="44"/>
  <c r="Q352" i="44"/>
  <c r="P352" i="44"/>
  <c r="O352" i="44"/>
  <c r="N352" i="44"/>
  <c r="S351" i="44"/>
  <c r="R351" i="44"/>
  <c r="Q351" i="44"/>
  <c r="P351" i="44"/>
  <c r="O351" i="44"/>
  <c r="N351" i="44"/>
  <c r="S350" i="44"/>
  <c r="R350" i="44"/>
  <c r="Q350" i="44"/>
  <c r="P350" i="44"/>
  <c r="O350" i="44"/>
  <c r="N350" i="44"/>
  <c r="S349" i="44"/>
  <c r="R349" i="44"/>
  <c r="Q349" i="44"/>
  <c r="P349" i="44"/>
  <c r="O349" i="44"/>
  <c r="N349" i="44"/>
  <c r="S348" i="44"/>
  <c r="R348" i="44"/>
  <c r="Q348" i="44"/>
  <c r="P348" i="44"/>
  <c r="O348" i="44"/>
  <c r="N348" i="44"/>
  <c r="S347" i="44"/>
  <c r="R347" i="44"/>
  <c r="Q347" i="44"/>
  <c r="P347" i="44"/>
  <c r="O347" i="44"/>
  <c r="N347" i="44"/>
  <c r="S346" i="44"/>
  <c r="R346" i="44"/>
  <c r="Q346" i="44"/>
  <c r="P346" i="44"/>
  <c r="O346" i="44"/>
  <c r="N346" i="44"/>
  <c r="S345" i="44"/>
  <c r="R345" i="44"/>
  <c r="Q345" i="44"/>
  <c r="P345" i="44"/>
  <c r="O345" i="44"/>
  <c r="N345" i="44"/>
  <c r="S344" i="44"/>
  <c r="R344" i="44"/>
  <c r="Q344" i="44"/>
  <c r="P344" i="44"/>
  <c r="O344" i="44"/>
  <c r="N344" i="44"/>
  <c r="S343" i="44"/>
  <c r="R343" i="44"/>
  <c r="Q343" i="44"/>
  <c r="P343" i="44"/>
  <c r="O343" i="44"/>
  <c r="N343" i="44"/>
  <c r="S342" i="44"/>
  <c r="R342" i="44"/>
  <c r="Q342" i="44"/>
  <c r="P342" i="44"/>
  <c r="O342" i="44"/>
  <c r="N342" i="44"/>
  <c r="S341" i="44"/>
  <c r="R341" i="44"/>
  <c r="Q341" i="44"/>
  <c r="P341" i="44"/>
  <c r="O341" i="44"/>
  <c r="N341" i="44"/>
  <c r="S340" i="44"/>
  <c r="R340" i="44"/>
  <c r="Q340" i="44"/>
  <c r="P340" i="44"/>
  <c r="O340" i="44"/>
  <c r="N340" i="44"/>
  <c r="S339" i="44"/>
  <c r="R339" i="44"/>
  <c r="Q339" i="44"/>
  <c r="P339" i="44"/>
  <c r="O339" i="44"/>
  <c r="N339" i="44"/>
  <c r="S338" i="44"/>
  <c r="R338" i="44"/>
  <c r="Q338" i="44"/>
  <c r="P338" i="44"/>
  <c r="O338" i="44"/>
  <c r="N338" i="44"/>
  <c r="S337" i="44"/>
  <c r="R337" i="44"/>
  <c r="Q337" i="44"/>
  <c r="P337" i="44"/>
  <c r="O337" i="44"/>
  <c r="N337" i="44"/>
  <c r="S336" i="44"/>
  <c r="R336" i="44"/>
  <c r="Q336" i="44"/>
  <c r="P336" i="44"/>
  <c r="O336" i="44"/>
  <c r="N336" i="44"/>
  <c r="S335" i="44"/>
  <c r="R335" i="44"/>
  <c r="Q335" i="44"/>
  <c r="P335" i="44"/>
  <c r="O335" i="44"/>
  <c r="N335" i="44"/>
  <c r="S334" i="44"/>
  <c r="R334" i="44"/>
  <c r="Q334" i="44"/>
  <c r="P334" i="44"/>
  <c r="O334" i="44"/>
  <c r="N334" i="44"/>
  <c r="S333" i="44"/>
  <c r="R333" i="44"/>
  <c r="Q333" i="44"/>
  <c r="P333" i="44"/>
  <c r="O333" i="44"/>
  <c r="N333" i="44"/>
  <c r="S332" i="44"/>
  <c r="R332" i="44"/>
  <c r="Q332" i="44"/>
  <c r="P332" i="44"/>
  <c r="O332" i="44"/>
  <c r="N332" i="44"/>
  <c r="S331" i="44"/>
  <c r="R331" i="44"/>
  <c r="Q331" i="44"/>
  <c r="P331" i="44"/>
  <c r="O331" i="44"/>
  <c r="N331" i="44"/>
  <c r="S330" i="44"/>
  <c r="R330" i="44"/>
  <c r="Q330" i="44"/>
  <c r="P330" i="44"/>
  <c r="O330" i="44"/>
  <c r="N330" i="44"/>
  <c r="S329" i="44"/>
  <c r="R329" i="44"/>
  <c r="Q329" i="44"/>
  <c r="P329" i="44"/>
  <c r="O329" i="44"/>
  <c r="N329" i="44"/>
  <c r="S328" i="44"/>
  <c r="R328" i="44"/>
  <c r="Q328" i="44"/>
  <c r="P328" i="44"/>
  <c r="O328" i="44"/>
  <c r="N328" i="44"/>
  <c r="S327" i="44"/>
  <c r="R327" i="44"/>
  <c r="Q327" i="44"/>
  <c r="P327" i="44"/>
  <c r="O327" i="44"/>
  <c r="N327" i="44"/>
  <c r="S326" i="44"/>
  <c r="R326" i="44"/>
  <c r="Q326" i="44"/>
  <c r="P326" i="44"/>
  <c r="O326" i="44"/>
  <c r="N326" i="44"/>
  <c r="S325" i="44"/>
  <c r="R325" i="44"/>
  <c r="Q325" i="44"/>
  <c r="P325" i="44"/>
  <c r="O325" i="44"/>
  <c r="N325" i="44"/>
  <c r="S324" i="44"/>
  <c r="R324" i="44"/>
  <c r="Q324" i="44"/>
  <c r="P324" i="44"/>
  <c r="O324" i="44"/>
  <c r="N324" i="44"/>
  <c r="S323" i="44"/>
  <c r="R323" i="44"/>
  <c r="Q323" i="44"/>
  <c r="P323" i="44"/>
  <c r="O323" i="44"/>
  <c r="N323" i="44"/>
  <c r="S322" i="44"/>
  <c r="R322" i="44"/>
  <c r="Q322" i="44"/>
  <c r="P322" i="44"/>
  <c r="O322" i="44"/>
  <c r="N322" i="44"/>
  <c r="S321" i="44"/>
  <c r="R321" i="44"/>
  <c r="Q321" i="44"/>
  <c r="P321" i="44"/>
  <c r="O321" i="44"/>
  <c r="N321" i="44"/>
  <c r="S320" i="44"/>
  <c r="R320" i="44"/>
  <c r="Q320" i="44"/>
  <c r="P320" i="44"/>
  <c r="O320" i="44"/>
  <c r="N320" i="44"/>
  <c r="S319" i="44"/>
  <c r="R319" i="44"/>
  <c r="Q319" i="44"/>
  <c r="P319" i="44"/>
  <c r="O319" i="44"/>
  <c r="N319" i="44"/>
  <c r="S318" i="44"/>
  <c r="R318" i="44"/>
  <c r="Q318" i="44"/>
  <c r="P318" i="44"/>
  <c r="O318" i="44"/>
  <c r="N318" i="44"/>
  <c r="S317" i="44"/>
  <c r="R317" i="44"/>
  <c r="Q317" i="44"/>
  <c r="P317" i="44"/>
  <c r="O317" i="44"/>
  <c r="N317" i="44"/>
  <c r="S316" i="44"/>
  <c r="R316" i="44"/>
  <c r="Q316" i="44"/>
  <c r="P316" i="44"/>
  <c r="O316" i="44"/>
  <c r="N316" i="44"/>
  <c r="S315" i="44"/>
  <c r="R315" i="44"/>
  <c r="Q315" i="44"/>
  <c r="P315" i="44"/>
  <c r="O315" i="44"/>
  <c r="N315" i="44"/>
  <c r="S314" i="44"/>
  <c r="R314" i="44"/>
  <c r="Q314" i="44"/>
  <c r="P314" i="44"/>
  <c r="O314" i="44"/>
  <c r="N314" i="44"/>
  <c r="S313" i="44"/>
  <c r="R313" i="44"/>
  <c r="Q313" i="44"/>
  <c r="P313" i="44"/>
  <c r="O313" i="44"/>
  <c r="N313" i="44"/>
  <c r="S312" i="44"/>
  <c r="R312" i="44"/>
  <c r="Q312" i="44"/>
  <c r="P312" i="44"/>
  <c r="O312" i="44"/>
  <c r="N312" i="44"/>
  <c r="S311" i="44"/>
  <c r="R311" i="44"/>
  <c r="Q311" i="44"/>
  <c r="P311" i="44"/>
  <c r="O311" i="44"/>
  <c r="N311" i="44"/>
  <c r="S310" i="44"/>
  <c r="R310" i="44"/>
  <c r="Q310" i="44"/>
  <c r="P310" i="44"/>
  <c r="O310" i="44"/>
  <c r="N310" i="44"/>
  <c r="S309" i="44"/>
  <c r="R309" i="44"/>
  <c r="Q309" i="44"/>
  <c r="P309" i="44"/>
  <c r="O309" i="44"/>
  <c r="N309" i="44"/>
  <c r="S308" i="44"/>
  <c r="R308" i="44"/>
  <c r="Q308" i="44"/>
  <c r="P308" i="44"/>
  <c r="O308" i="44"/>
  <c r="N308" i="44"/>
  <c r="S307" i="44"/>
  <c r="R307" i="44"/>
  <c r="Q307" i="44"/>
  <c r="P307" i="44"/>
  <c r="O307" i="44"/>
  <c r="N307" i="44"/>
  <c r="S306" i="44"/>
  <c r="R306" i="44"/>
  <c r="Q306" i="44"/>
  <c r="P306" i="44"/>
  <c r="O306" i="44"/>
  <c r="N306" i="44"/>
  <c r="S305" i="44"/>
  <c r="R305" i="44"/>
  <c r="Q305" i="44"/>
  <c r="P305" i="44"/>
  <c r="O305" i="44"/>
  <c r="N305" i="44"/>
  <c r="S304" i="44"/>
  <c r="R304" i="44"/>
  <c r="Q304" i="44"/>
  <c r="P304" i="44"/>
  <c r="O304" i="44"/>
  <c r="N304" i="44"/>
  <c r="S303" i="44"/>
  <c r="R303" i="44"/>
  <c r="Q303" i="44"/>
  <c r="P303" i="44"/>
  <c r="O303" i="44"/>
  <c r="N303" i="44"/>
  <c r="S302" i="44"/>
  <c r="R302" i="44"/>
  <c r="Q302" i="44"/>
  <c r="P302" i="44"/>
  <c r="O302" i="44"/>
  <c r="N302" i="44"/>
  <c r="S301" i="44"/>
  <c r="R301" i="44"/>
  <c r="Q301" i="44"/>
  <c r="P301" i="44"/>
  <c r="O301" i="44"/>
  <c r="N301" i="44"/>
  <c r="S300" i="44"/>
  <c r="R300" i="44"/>
  <c r="Q300" i="44"/>
  <c r="P300" i="44"/>
  <c r="O300" i="44"/>
  <c r="N300" i="44"/>
  <c r="S299" i="44"/>
  <c r="R299" i="44"/>
  <c r="Q299" i="44"/>
  <c r="P299" i="44"/>
  <c r="O299" i="44"/>
  <c r="N299" i="44"/>
  <c r="S298" i="44"/>
  <c r="R298" i="44"/>
  <c r="Q298" i="44"/>
  <c r="P298" i="44"/>
  <c r="O298" i="44"/>
  <c r="N298" i="44"/>
  <c r="S297" i="44"/>
  <c r="R297" i="44"/>
  <c r="Q297" i="44"/>
  <c r="P297" i="44"/>
  <c r="O297" i="44"/>
  <c r="N297" i="44"/>
  <c r="S296" i="44"/>
  <c r="R296" i="44"/>
  <c r="Q296" i="44"/>
  <c r="P296" i="44"/>
  <c r="O296" i="44"/>
  <c r="N296" i="44"/>
  <c r="S295" i="44"/>
  <c r="R295" i="44"/>
  <c r="Q295" i="44"/>
  <c r="P295" i="44"/>
  <c r="O295" i="44"/>
  <c r="N295" i="44"/>
  <c r="S294" i="44"/>
  <c r="R294" i="44"/>
  <c r="Q294" i="44"/>
  <c r="P294" i="44"/>
  <c r="O294" i="44"/>
  <c r="N294" i="44"/>
  <c r="S293" i="44"/>
  <c r="R293" i="44"/>
  <c r="Q293" i="44"/>
  <c r="P293" i="44"/>
  <c r="O293" i="44"/>
  <c r="N293" i="44"/>
  <c r="S292" i="44"/>
  <c r="R292" i="44"/>
  <c r="Q292" i="44"/>
  <c r="P292" i="44"/>
  <c r="O292" i="44"/>
  <c r="N292" i="44"/>
  <c r="S291" i="44"/>
  <c r="R291" i="44"/>
  <c r="Q291" i="44"/>
  <c r="P291" i="44"/>
  <c r="O291" i="44"/>
  <c r="N291" i="44"/>
  <c r="S185" i="44"/>
  <c r="S184" i="44"/>
  <c r="S183" i="44"/>
  <c r="S182" i="44"/>
  <c r="S181" i="44"/>
  <c r="S180" i="44"/>
  <c r="S179" i="44"/>
  <c r="S178" i="44"/>
  <c r="S177" i="44"/>
  <c r="S176" i="44"/>
  <c r="S175" i="44"/>
  <c r="S174" i="44"/>
  <c r="S173" i="44"/>
  <c r="S172" i="44"/>
  <c r="S171" i="44"/>
  <c r="S170" i="44"/>
  <c r="S169" i="44"/>
  <c r="S168" i="44"/>
  <c r="S167" i="44"/>
  <c r="S166" i="44"/>
  <c r="S165" i="44"/>
  <c r="S164" i="44"/>
  <c r="S163" i="44"/>
  <c r="S162" i="44"/>
  <c r="S161" i="44"/>
  <c r="S160" i="44"/>
  <c r="S159" i="44"/>
  <c r="S158" i="44"/>
  <c r="S157" i="44"/>
  <c r="S156" i="44"/>
  <c r="S155" i="44"/>
  <c r="S154" i="44"/>
  <c r="S153" i="44"/>
  <c r="S152" i="44"/>
  <c r="S151" i="44"/>
  <c r="S150" i="44"/>
  <c r="S149" i="44"/>
  <c r="S148" i="44"/>
  <c r="S147" i="44"/>
  <c r="S146" i="44"/>
  <c r="S145" i="44"/>
  <c r="S144" i="44"/>
  <c r="S143" i="44"/>
  <c r="S142" i="44"/>
  <c r="S141" i="44"/>
  <c r="S140" i="44"/>
  <c r="S139" i="44"/>
  <c r="S138" i="44"/>
  <c r="S137" i="44"/>
  <c r="S136" i="44"/>
  <c r="S135" i="44"/>
  <c r="S134" i="44"/>
  <c r="S133" i="44"/>
  <c r="S132" i="44"/>
  <c r="S131" i="44"/>
  <c r="S130" i="44"/>
  <c r="S129" i="44"/>
  <c r="S128" i="44"/>
  <c r="S127" i="44"/>
  <c r="S126" i="44"/>
  <c r="S125" i="44"/>
  <c r="S124" i="44"/>
  <c r="S123" i="44"/>
  <c r="S122" i="44"/>
  <c r="S121" i="44"/>
  <c r="S120" i="44"/>
  <c r="S119" i="44"/>
  <c r="S118" i="44"/>
  <c r="S117" i="44"/>
  <c r="S116" i="44"/>
  <c r="S115" i="44"/>
  <c r="S114" i="44"/>
  <c r="S113" i="44"/>
  <c r="S112" i="44"/>
  <c r="S111" i="44"/>
  <c r="S110" i="44"/>
  <c r="S109" i="44"/>
  <c r="S108" i="44"/>
  <c r="S107" i="44"/>
  <c r="S106" i="44"/>
  <c r="S105" i="44"/>
  <c r="S104" i="44"/>
  <c r="S103" i="44"/>
  <c r="S102" i="44"/>
  <c r="S101" i="44"/>
  <c r="S100" i="44"/>
  <c r="S99" i="44"/>
  <c r="S98" i="44"/>
  <c r="S97" i="44"/>
  <c r="S96" i="44"/>
  <c r="S95" i="44"/>
  <c r="S94" i="44"/>
  <c r="S93" i="44"/>
  <c r="S92" i="44"/>
  <c r="S91" i="44"/>
  <c r="S90" i="44"/>
  <c r="S89" i="44"/>
  <c r="S88" i="44"/>
  <c r="S87" i="44"/>
  <c r="S86" i="44"/>
  <c r="S85" i="44"/>
  <c r="S84" i="44"/>
  <c r="S83" i="44"/>
  <c r="S82" i="44"/>
  <c r="S81" i="44"/>
  <c r="S80" i="44"/>
  <c r="S79" i="44"/>
  <c r="S78" i="44"/>
  <c r="S77" i="44"/>
  <c r="S76" i="44"/>
  <c r="S75" i="44"/>
  <c r="S74" i="44"/>
  <c r="S73" i="44"/>
  <c r="S72" i="44"/>
  <c r="S71" i="44"/>
  <c r="S70" i="44"/>
  <c r="S69" i="44"/>
  <c r="S68" i="44"/>
  <c r="S67" i="44"/>
  <c r="S66" i="44"/>
  <c r="S65" i="44"/>
  <c r="S64" i="44"/>
  <c r="S63" i="44"/>
  <c r="S62" i="44"/>
  <c r="S61" i="44"/>
  <c r="S60" i="44"/>
  <c r="S59" i="44"/>
  <c r="S58" i="44"/>
  <c r="S57" i="44"/>
  <c r="S56" i="44"/>
  <c r="S55" i="44"/>
  <c r="S54" i="44"/>
  <c r="S53" i="44"/>
  <c r="S52" i="44"/>
  <c r="S51" i="44"/>
  <c r="S50" i="44"/>
  <c r="S49" i="44"/>
  <c r="S48" i="44"/>
  <c r="S47" i="44"/>
  <c r="S46" i="44"/>
  <c r="S45" i="44"/>
  <c r="S44" i="44"/>
  <c r="S43" i="44"/>
  <c r="S42" i="44"/>
  <c r="S41" i="44"/>
  <c r="S40" i="44"/>
  <c r="S39" i="44"/>
  <c r="S38" i="44"/>
  <c r="S37" i="44"/>
  <c r="S36" i="44"/>
  <c r="S35" i="44"/>
  <c r="S34" i="44"/>
  <c r="S33" i="44"/>
  <c r="R186" i="44"/>
  <c r="R185" i="44"/>
  <c r="R184" i="44"/>
  <c r="R183" i="44"/>
  <c r="R182" i="44"/>
  <c r="R181" i="44"/>
  <c r="R180" i="44"/>
  <c r="R179" i="44"/>
  <c r="R178" i="44"/>
  <c r="R177" i="44"/>
  <c r="R176" i="44"/>
  <c r="R175" i="44"/>
  <c r="R174" i="44"/>
  <c r="R173" i="44"/>
  <c r="R172" i="44"/>
  <c r="R171" i="44"/>
  <c r="R170" i="44"/>
  <c r="R169" i="44"/>
  <c r="R168" i="44"/>
  <c r="R167" i="44"/>
  <c r="R166" i="44"/>
  <c r="R165" i="44"/>
  <c r="R164" i="44"/>
  <c r="R163" i="44"/>
  <c r="R162" i="44"/>
  <c r="R161" i="44"/>
  <c r="R160" i="44"/>
  <c r="R159" i="44"/>
  <c r="R158" i="44"/>
  <c r="R157" i="44"/>
  <c r="R156" i="44"/>
  <c r="R155" i="44"/>
  <c r="R154" i="44"/>
  <c r="R153" i="44"/>
  <c r="R152" i="44"/>
  <c r="R151" i="44"/>
  <c r="R150" i="44"/>
  <c r="R149" i="44"/>
  <c r="R148" i="44"/>
  <c r="R147" i="44"/>
  <c r="R146" i="44"/>
  <c r="R145" i="44"/>
  <c r="R144" i="44"/>
  <c r="R143" i="44"/>
  <c r="R142" i="44"/>
  <c r="R141" i="44"/>
  <c r="R140" i="44"/>
  <c r="R139" i="44"/>
  <c r="R138" i="44"/>
  <c r="R137" i="44"/>
  <c r="R136" i="44"/>
  <c r="R135" i="44"/>
  <c r="R134" i="44"/>
  <c r="R133" i="44"/>
  <c r="R132" i="44"/>
  <c r="R131" i="44"/>
  <c r="R130" i="44"/>
  <c r="R129" i="44"/>
  <c r="R128" i="44"/>
  <c r="R127" i="44"/>
  <c r="R126" i="44"/>
  <c r="R125" i="44"/>
  <c r="R124" i="44"/>
  <c r="R123" i="44"/>
  <c r="R122" i="44"/>
  <c r="R121" i="44"/>
  <c r="R120" i="44"/>
  <c r="R119" i="44"/>
  <c r="R118" i="44"/>
  <c r="R117" i="44"/>
  <c r="R116" i="44"/>
  <c r="R115" i="44"/>
  <c r="R114" i="44"/>
  <c r="R113" i="44"/>
  <c r="R112" i="44"/>
  <c r="R111" i="44"/>
  <c r="R110" i="44"/>
  <c r="R109" i="44"/>
  <c r="R108" i="44"/>
  <c r="R107" i="44"/>
  <c r="R106" i="44"/>
  <c r="R105" i="44"/>
  <c r="R104" i="44"/>
  <c r="R103" i="44"/>
  <c r="R102" i="44"/>
  <c r="R101" i="44"/>
  <c r="R100" i="44"/>
  <c r="R99" i="44"/>
  <c r="R98" i="44"/>
  <c r="R97" i="44"/>
  <c r="R96" i="44"/>
  <c r="R95" i="44"/>
  <c r="R94" i="44"/>
  <c r="R93" i="44"/>
  <c r="R92" i="44"/>
  <c r="R91" i="44"/>
  <c r="R90" i="44"/>
  <c r="R89" i="44"/>
  <c r="R88" i="44"/>
  <c r="R87" i="44"/>
  <c r="R86" i="44"/>
  <c r="R85" i="44"/>
  <c r="R84" i="44"/>
  <c r="R83" i="44"/>
  <c r="R82" i="44"/>
  <c r="R81" i="44"/>
  <c r="R80" i="44"/>
  <c r="R79" i="44"/>
  <c r="R78" i="44"/>
  <c r="R77" i="44"/>
  <c r="R76" i="44"/>
  <c r="R75" i="44"/>
  <c r="R74" i="44"/>
  <c r="R73" i="44"/>
  <c r="R72" i="44"/>
  <c r="R71" i="44"/>
  <c r="R70" i="44"/>
  <c r="R69" i="44"/>
  <c r="R68" i="44"/>
  <c r="R67" i="44"/>
  <c r="R66" i="44"/>
  <c r="R65" i="44"/>
  <c r="R64" i="44"/>
  <c r="R63" i="44"/>
  <c r="R62" i="44"/>
  <c r="R61" i="44"/>
  <c r="R60" i="44"/>
  <c r="R59" i="44"/>
  <c r="R58" i="44"/>
  <c r="R57" i="44"/>
  <c r="R56" i="44"/>
  <c r="R55" i="44"/>
  <c r="R54" i="44"/>
  <c r="R53" i="44"/>
  <c r="R52" i="44"/>
  <c r="R51" i="44"/>
  <c r="R50" i="44"/>
  <c r="R49" i="44"/>
  <c r="R48" i="44"/>
  <c r="R47" i="44"/>
  <c r="R46" i="44"/>
  <c r="R45" i="44"/>
  <c r="R44" i="44"/>
  <c r="R43" i="44"/>
  <c r="R42" i="44"/>
  <c r="R41" i="44"/>
  <c r="R40" i="44"/>
  <c r="R39" i="44"/>
  <c r="R38" i="44"/>
  <c r="R37" i="44"/>
  <c r="R36" i="44"/>
  <c r="R35" i="44"/>
  <c r="R34" i="44"/>
  <c r="R33" i="44"/>
  <c r="Q185" i="44"/>
  <c r="Q184" i="44"/>
  <c r="Q183" i="44"/>
  <c r="Q182" i="44"/>
  <c r="Q181" i="44"/>
  <c r="Q180" i="44"/>
  <c r="Q179" i="44"/>
  <c r="Q178" i="44"/>
  <c r="Q177" i="44"/>
  <c r="Q176" i="44"/>
  <c r="Q175" i="44"/>
  <c r="Q174" i="44"/>
  <c r="Q173" i="44"/>
  <c r="Q172" i="44"/>
  <c r="Q171" i="44"/>
  <c r="Q170" i="44"/>
  <c r="Q169" i="44"/>
  <c r="Q168" i="44"/>
  <c r="Q167" i="44"/>
  <c r="Q166" i="44"/>
  <c r="Q165" i="44"/>
  <c r="Q164" i="44"/>
  <c r="Q163" i="44"/>
  <c r="Q162" i="44"/>
  <c r="Q161" i="44"/>
  <c r="Q160" i="44"/>
  <c r="Q159" i="44"/>
  <c r="Q158" i="44"/>
  <c r="Q157" i="44"/>
  <c r="Q156" i="44"/>
  <c r="Q155" i="44"/>
  <c r="Q154" i="44"/>
  <c r="Q153" i="44"/>
  <c r="Q152" i="44"/>
  <c r="Q151" i="44"/>
  <c r="Q150" i="44"/>
  <c r="Q149" i="44"/>
  <c r="Q148" i="44"/>
  <c r="Q147" i="44"/>
  <c r="Q146" i="44"/>
  <c r="Q145" i="44"/>
  <c r="Q144" i="44"/>
  <c r="Q143" i="44"/>
  <c r="Q142" i="44"/>
  <c r="Q141" i="44"/>
  <c r="Q140" i="44"/>
  <c r="Q139" i="44"/>
  <c r="Q138" i="44"/>
  <c r="Q137" i="44"/>
  <c r="Q136" i="44"/>
  <c r="Q135" i="44"/>
  <c r="Q134" i="44"/>
  <c r="Q133" i="44"/>
  <c r="Q132" i="44"/>
  <c r="Q131" i="44"/>
  <c r="Q130" i="44"/>
  <c r="Q129" i="44"/>
  <c r="Q128" i="44"/>
  <c r="Q127" i="44"/>
  <c r="Q126" i="44"/>
  <c r="Q125" i="44"/>
  <c r="Q124" i="44"/>
  <c r="Q123" i="44"/>
  <c r="Q122" i="44"/>
  <c r="Q121" i="44"/>
  <c r="Q120" i="44"/>
  <c r="Q119" i="44"/>
  <c r="Q118" i="44"/>
  <c r="Q117" i="44"/>
  <c r="Q116" i="44"/>
  <c r="Q115" i="44"/>
  <c r="Q114" i="44"/>
  <c r="Q113" i="44"/>
  <c r="Q112" i="44"/>
  <c r="Q111" i="44"/>
  <c r="Q110" i="44"/>
  <c r="Q109" i="44"/>
  <c r="Q108" i="44"/>
  <c r="Q107" i="44"/>
  <c r="Q106" i="44"/>
  <c r="Q105" i="44"/>
  <c r="Q104" i="44"/>
  <c r="Q103" i="44"/>
  <c r="Q102" i="44"/>
  <c r="Q101" i="44"/>
  <c r="Q100" i="44"/>
  <c r="Q99" i="44"/>
  <c r="Q98" i="44"/>
  <c r="Q97" i="44"/>
  <c r="Q96" i="44"/>
  <c r="Q95" i="44"/>
  <c r="Q94" i="44"/>
  <c r="Q93" i="44"/>
  <c r="Q92" i="44"/>
  <c r="Q91" i="44"/>
  <c r="Q90" i="44"/>
  <c r="Q89" i="44"/>
  <c r="Q88" i="44"/>
  <c r="Q87" i="44"/>
  <c r="Q86" i="44"/>
  <c r="Q85" i="44"/>
  <c r="Q84" i="44"/>
  <c r="Q83" i="44"/>
  <c r="Q82" i="44"/>
  <c r="Q81" i="44"/>
  <c r="Q80" i="44"/>
  <c r="Q79" i="44"/>
  <c r="Q78" i="44"/>
  <c r="Q77" i="44"/>
  <c r="Q76" i="44"/>
  <c r="Q75" i="44"/>
  <c r="Q74" i="44"/>
  <c r="Q73" i="44"/>
  <c r="Q72" i="44"/>
  <c r="Q71" i="44"/>
  <c r="Q70" i="44"/>
  <c r="Q69" i="44"/>
  <c r="Q68" i="44"/>
  <c r="Q67" i="44"/>
  <c r="Q66" i="44"/>
  <c r="Q65" i="44"/>
  <c r="Q64" i="44"/>
  <c r="Q63" i="44"/>
  <c r="Q62" i="44"/>
  <c r="Q61" i="44"/>
  <c r="Q60" i="44"/>
  <c r="Q59" i="44"/>
  <c r="Q58" i="44"/>
  <c r="Q57" i="44"/>
  <c r="Q56" i="44"/>
  <c r="Q55" i="44"/>
  <c r="Q54" i="44"/>
  <c r="Q53" i="44"/>
  <c r="Q52" i="44"/>
  <c r="Q51" i="44"/>
  <c r="Q50" i="44"/>
  <c r="Q49" i="44"/>
  <c r="Q48" i="44"/>
  <c r="Q47" i="44"/>
  <c r="Q46" i="44"/>
  <c r="Q45" i="44"/>
  <c r="Q44" i="44"/>
  <c r="Q43" i="44"/>
  <c r="Q42" i="44"/>
  <c r="Q41" i="44"/>
  <c r="Q40" i="44"/>
  <c r="Q39" i="44"/>
  <c r="Q38" i="44"/>
  <c r="Q37" i="44"/>
  <c r="Q36" i="44"/>
  <c r="Q35" i="44"/>
  <c r="Q34" i="44"/>
  <c r="Q33" i="44"/>
  <c r="P186" i="44"/>
  <c r="P185" i="44"/>
  <c r="P184" i="44"/>
  <c r="P183" i="44"/>
  <c r="P182" i="44"/>
  <c r="P181" i="44"/>
  <c r="P180" i="44"/>
  <c r="P179" i="44"/>
  <c r="P178" i="44"/>
  <c r="P177" i="44"/>
  <c r="P176" i="44"/>
  <c r="P175" i="44"/>
  <c r="P174" i="44"/>
  <c r="P173" i="44"/>
  <c r="P172" i="44"/>
  <c r="P171" i="44"/>
  <c r="P170" i="44"/>
  <c r="P169" i="44"/>
  <c r="P168" i="44"/>
  <c r="P167" i="44"/>
  <c r="P166" i="44"/>
  <c r="P165" i="44"/>
  <c r="P164" i="44"/>
  <c r="P163" i="44"/>
  <c r="P162" i="44"/>
  <c r="P161" i="44"/>
  <c r="P160" i="44"/>
  <c r="P159" i="44"/>
  <c r="P158" i="44"/>
  <c r="P157" i="44"/>
  <c r="P156" i="44"/>
  <c r="P155" i="44"/>
  <c r="P154" i="44"/>
  <c r="P153" i="44"/>
  <c r="P152" i="44"/>
  <c r="P151" i="44"/>
  <c r="P150" i="44"/>
  <c r="P149" i="44"/>
  <c r="P148" i="44"/>
  <c r="P147" i="44"/>
  <c r="P146" i="44"/>
  <c r="P145" i="44"/>
  <c r="P144" i="44"/>
  <c r="P143" i="44"/>
  <c r="P142" i="44"/>
  <c r="P141" i="44"/>
  <c r="P140" i="44"/>
  <c r="P139" i="44"/>
  <c r="P138" i="44"/>
  <c r="P137" i="44"/>
  <c r="P136" i="44"/>
  <c r="P135" i="44"/>
  <c r="P134" i="44"/>
  <c r="P133" i="44"/>
  <c r="P132" i="44"/>
  <c r="P131" i="44"/>
  <c r="P130" i="44"/>
  <c r="P129" i="44"/>
  <c r="P128" i="44"/>
  <c r="P127" i="44"/>
  <c r="P126" i="44"/>
  <c r="P125" i="44"/>
  <c r="P124" i="44"/>
  <c r="P123" i="44"/>
  <c r="P122" i="44"/>
  <c r="P121" i="44"/>
  <c r="P120" i="44"/>
  <c r="P119" i="44"/>
  <c r="P118" i="44"/>
  <c r="P117" i="44"/>
  <c r="P116" i="44"/>
  <c r="P115" i="44"/>
  <c r="P114" i="44"/>
  <c r="P113" i="44"/>
  <c r="P112" i="44"/>
  <c r="P111" i="44"/>
  <c r="P110" i="44"/>
  <c r="P109" i="44"/>
  <c r="P108" i="44"/>
  <c r="P107" i="44"/>
  <c r="P106" i="44"/>
  <c r="P105" i="44"/>
  <c r="P104" i="44"/>
  <c r="P103" i="44"/>
  <c r="P102" i="44"/>
  <c r="P101" i="44"/>
  <c r="P100" i="44"/>
  <c r="P99" i="44"/>
  <c r="P98" i="44"/>
  <c r="P97" i="44"/>
  <c r="P96" i="44"/>
  <c r="P95" i="44"/>
  <c r="P94" i="44"/>
  <c r="P93" i="44"/>
  <c r="P92" i="44"/>
  <c r="P91" i="44"/>
  <c r="P90" i="44"/>
  <c r="P89" i="44"/>
  <c r="P88" i="44"/>
  <c r="P87" i="44"/>
  <c r="P86" i="44"/>
  <c r="P85" i="44"/>
  <c r="P84" i="44"/>
  <c r="P83" i="44"/>
  <c r="P82" i="44"/>
  <c r="P81" i="44"/>
  <c r="P80" i="44"/>
  <c r="P79" i="44"/>
  <c r="P78" i="44"/>
  <c r="P77" i="44"/>
  <c r="P76" i="44"/>
  <c r="P75" i="44"/>
  <c r="P74" i="44"/>
  <c r="P73" i="44"/>
  <c r="P72" i="44"/>
  <c r="P71" i="44"/>
  <c r="P70" i="44"/>
  <c r="P69" i="44"/>
  <c r="P68" i="44"/>
  <c r="P67" i="44"/>
  <c r="P66" i="44"/>
  <c r="P65" i="44"/>
  <c r="P64" i="44"/>
  <c r="P63" i="44"/>
  <c r="P62" i="44"/>
  <c r="P61" i="44"/>
  <c r="P60" i="44"/>
  <c r="P59" i="44"/>
  <c r="P58" i="44"/>
  <c r="P57" i="44"/>
  <c r="P56" i="44"/>
  <c r="P55" i="44"/>
  <c r="P54" i="44"/>
  <c r="P53" i="44"/>
  <c r="P52" i="44"/>
  <c r="P50" i="44"/>
  <c r="P49" i="44"/>
  <c r="P48" i="44"/>
  <c r="P47" i="44"/>
  <c r="P46" i="44"/>
  <c r="P45" i="44"/>
  <c r="P44" i="44"/>
  <c r="P43" i="44"/>
  <c r="P42" i="44"/>
  <c r="P41" i="44"/>
  <c r="P40" i="44"/>
  <c r="P39" i="44"/>
  <c r="P38" i="44"/>
  <c r="P37" i="44"/>
  <c r="P36" i="44"/>
  <c r="P35" i="44"/>
  <c r="P34" i="44"/>
  <c r="P33" i="44"/>
  <c r="O237" i="44"/>
  <c r="O185" i="44"/>
  <c r="O184" i="44"/>
  <c r="O183" i="44"/>
  <c r="O182" i="44"/>
  <c r="O181" i="44"/>
  <c r="O180" i="44"/>
  <c r="O179" i="44"/>
  <c r="O178" i="44"/>
  <c r="O177" i="44"/>
  <c r="O176" i="44"/>
  <c r="O175" i="44"/>
  <c r="O174" i="44"/>
  <c r="O173" i="44"/>
  <c r="O172" i="44"/>
  <c r="O171" i="44"/>
  <c r="O170" i="44"/>
  <c r="O169" i="44"/>
  <c r="O168" i="44"/>
  <c r="O167" i="44"/>
  <c r="O166" i="44"/>
  <c r="O165" i="44"/>
  <c r="O164" i="44"/>
  <c r="O163" i="44"/>
  <c r="O162" i="44"/>
  <c r="O161" i="44"/>
  <c r="O160" i="44"/>
  <c r="O159" i="44"/>
  <c r="O158" i="44"/>
  <c r="O157" i="44"/>
  <c r="O156" i="44"/>
  <c r="O155" i="44"/>
  <c r="O154" i="44"/>
  <c r="O153" i="44"/>
  <c r="O152" i="44"/>
  <c r="O151" i="44"/>
  <c r="O150" i="44"/>
  <c r="O149" i="44"/>
  <c r="O148" i="44"/>
  <c r="O147" i="44"/>
  <c r="O146" i="44"/>
  <c r="O145" i="44"/>
  <c r="O144" i="44"/>
  <c r="O143" i="44"/>
  <c r="O142" i="44"/>
  <c r="O141" i="44"/>
  <c r="O140" i="44"/>
  <c r="O139" i="44"/>
  <c r="O138" i="44"/>
  <c r="O137" i="44"/>
  <c r="O136" i="44"/>
  <c r="O135" i="44"/>
  <c r="O134" i="44"/>
  <c r="O133" i="44"/>
  <c r="O132" i="44"/>
  <c r="O131" i="44"/>
  <c r="O130" i="44"/>
  <c r="O129" i="44"/>
  <c r="O128" i="44"/>
  <c r="O127" i="44"/>
  <c r="O126" i="44"/>
  <c r="O125" i="44"/>
  <c r="O124" i="44"/>
  <c r="O123" i="44"/>
  <c r="O122" i="44"/>
  <c r="O121" i="44"/>
  <c r="O120" i="44"/>
  <c r="O119" i="44"/>
  <c r="O118" i="44"/>
  <c r="O117" i="44"/>
  <c r="O116" i="44"/>
  <c r="O115" i="44"/>
  <c r="O114" i="44"/>
  <c r="O113" i="44"/>
  <c r="O112" i="44"/>
  <c r="O111" i="44"/>
  <c r="O110" i="44"/>
  <c r="O109" i="44"/>
  <c r="O108" i="44"/>
  <c r="O107" i="44"/>
  <c r="O106" i="44"/>
  <c r="O105" i="44"/>
  <c r="O104" i="44"/>
  <c r="O103" i="44"/>
  <c r="O102" i="44"/>
  <c r="O101" i="44"/>
  <c r="O100" i="44"/>
  <c r="O99" i="44"/>
  <c r="O98" i="44"/>
  <c r="O97" i="44"/>
  <c r="O96" i="44"/>
  <c r="O95" i="44"/>
  <c r="O94" i="44"/>
  <c r="O93" i="44"/>
  <c r="O92" i="44"/>
  <c r="O91" i="44"/>
  <c r="O90" i="44"/>
  <c r="O89" i="44"/>
  <c r="O88" i="44"/>
  <c r="O87" i="44"/>
  <c r="O86" i="44"/>
  <c r="O85" i="44"/>
  <c r="O84" i="44"/>
  <c r="O83" i="44"/>
  <c r="O82" i="44"/>
  <c r="O81" i="44"/>
  <c r="O80" i="44"/>
  <c r="O79" i="44"/>
  <c r="O78" i="44"/>
  <c r="O77" i="44"/>
  <c r="O76" i="44"/>
  <c r="O75" i="44"/>
  <c r="O74" i="44"/>
  <c r="O73" i="44"/>
  <c r="O72" i="44"/>
  <c r="O71" i="44"/>
  <c r="O70" i="44"/>
  <c r="O69" i="44"/>
  <c r="O68" i="44"/>
  <c r="O67" i="44"/>
  <c r="O66" i="44"/>
  <c r="O65" i="44"/>
  <c r="O64" i="44"/>
  <c r="O63" i="44"/>
  <c r="O62" i="44"/>
  <c r="O61" i="44"/>
  <c r="O60" i="44"/>
  <c r="O59" i="44"/>
  <c r="O58" i="44"/>
  <c r="O57" i="44"/>
  <c r="O56" i="44"/>
  <c r="O55" i="44"/>
  <c r="O54" i="44"/>
  <c r="O53" i="44"/>
  <c r="O52" i="44"/>
  <c r="O51" i="44"/>
  <c r="O50" i="44"/>
  <c r="O49" i="44"/>
  <c r="O48" i="44"/>
  <c r="O47" i="44"/>
  <c r="O46" i="44"/>
  <c r="O45" i="44"/>
  <c r="O44" i="44"/>
  <c r="O43" i="44"/>
  <c r="O42" i="44"/>
  <c r="O41" i="44"/>
  <c r="O40" i="44"/>
  <c r="O39" i="44"/>
  <c r="O38" i="44"/>
  <c r="O37" i="44"/>
  <c r="O36" i="44"/>
  <c r="O35" i="44"/>
  <c r="O34" i="44"/>
  <c r="O33" i="44"/>
  <c r="N186" i="44"/>
  <c r="N185" i="44"/>
  <c r="N184" i="44"/>
  <c r="N183" i="44"/>
  <c r="N182" i="44"/>
  <c r="N181" i="44"/>
  <c r="N180" i="44"/>
  <c r="N179" i="44"/>
  <c r="N178" i="44"/>
  <c r="N177" i="44"/>
  <c r="N176" i="44"/>
  <c r="N175" i="44"/>
  <c r="N174" i="44"/>
  <c r="N173" i="44"/>
  <c r="N172" i="44"/>
  <c r="N171" i="44"/>
  <c r="N170" i="44"/>
  <c r="N169" i="44"/>
  <c r="N168" i="44"/>
  <c r="N167" i="44"/>
  <c r="N166" i="44"/>
  <c r="N165" i="44"/>
  <c r="N164" i="44"/>
  <c r="N163" i="44"/>
  <c r="N162" i="44"/>
  <c r="N161" i="44"/>
  <c r="N160" i="44"/>
  <c r="N159" i="44"/>
  <c r="N158" i="44"/>
  <c r="N157" i="44"/>
  <c r="N156" i="44"/>
  <c r="N155" i="44"/>
  <c r="N154" i="44"/>
  <c r="N153" i="44"/>
  <c r="N152" i="44"/>
  <c r="N151" i="44"/>
  <c r="N150" i="44"/>
  <c r="N149" i="44"/>
  <c r="N148" i="44"/>
  <c r="N147" i="44"/>
  <c r="N146" i="44"/>
  <c r="N145" i="44"/>
  <c r="N144" i="44"/>
  <c r="N143" i="44"/>
  <c r="N142" i="44"/>
  <c r="N141" i="44"/>
  <c r="N140" i="44"/>
  <c r="N139" i="44"/>
  <c r="N138" i="44"/>
  <c r="N137" i="44"/>
  <c r="N136" i="44"/>
  <c r="N135" i="44"/>
  <c r="N134" i="44"/>
  <c r="N133" i="44"/>
  <c r="N132" i="44"/>
  <c r="N131" i="44"/>
  <c r="N130" i="44"/>
  <c r="N129" i="44"/>
  <c r="N128" i="44"/>
  <c r="N127" i="44"/>
  <c r="N126" i="44"/>
  <c r="N125" i="44"/>
  <c r="N124" i="44"/>
  <c r="N123" i="44"/>
  <c r="N122" i="44"/>
  <c r="N121" i="44"/>
  <c r="N120" i="44"/>
  <c r="N119" i="44"/>
  <c r="N118" i="44"/>
  <c r="N117" i="44"/>
  <c r="N116" i="44"/>
  <c r="N115" i="44"/>
  <c r="N114" i="44"/>
  <c r="N113" i="44"/>
  <c r="N112" i="44"/>
  <c r="N111" i="44"/>
  <c r="N110" i="44"/>
  <c r="N109" i="44"/>
  <c r="N108" i="44"/>
  <c r="N107" i="44"/>
  <c r="N106" i="44"/>
  <c r="N105" i="44"/>
  <c r="N104" i="44"/>
  <c r="N103" i="44"/>
  <c r="N102" i="44"/>
  <c r="N101" i="44"/>
  <c r="N100" i="44"/>
  <c r="N99" i="44"/>
  <c r="N98" i="44"/>
  <c r="N97" i="44"/>
  <c r="N96" i="44"/>
  <c r="N95" i="44"/>
  <c r="N94" i="44"/>
  <c r="N93" i="44"/>
  <c r="N92" i="44"/>
  <c r="N91" i="44"/>
  <c r="N90" i="44"/>
  <c r="N89" i="44"/>
  <c r="N88" i="44"/>
  <c r="N87" i="44"/>
  <c r="N86" i="44"/>
  <c r="N85" i="44"/>
  <c r="N84" i="44"/>
  <c r="N83" i="44"/>
  <c r="N82" i="44"/>
  <c r="N81" i="44"/>
  <c r="N80" i="44"/>
  <c r="N79" i="44"/>
  <c r="N78" i="44"/>
  <c r="N77" i="44"/>
  <c r="N76" i="44"/>
  <c r="N75" i="44"/>
  <c r="N74" i="44"/>
  <c r="N73" i="44"/>
  <c r="N72" i="44"/>
  <c r="N71" i="44"/>
  <c r="N70" i="44"/>
  <c r="N69" i="44"/>
  <c r="N68" i="44"/>
  <c r="N67" i="44"/>
  <c r="N66" i="44"/>
  <c r="N65" i="44"/>
  <c r="N64" i="44"/>
  <c r="N63" i="44"/>
  <c r="N62" i="44"/>
  <c r="N61" i="44"/>
  <c r="N60" i="44"/>
  <c r="N59" i="44"/>
  <c r="N58" i="44"/>
  <c r="N57" i="44"/>
  <c r="N56" i="44"/>
  <c r="N55" i="44"/>
  <c r="N54" i="44"/>
  <c r="N53" i="44"/>
  <c r="N52" i="44"/>
  <c r="N51" i="44"/>
  <c r="N50" i="44"/>
  <c r="N49" i="44"/>
  <c r="N48" i="44"/>
  <c r="N47" i="44"/>
  <c r="N46" i="44"/>
  <c r="N45" i="44"/>
  <c r="N44" i="44"/>
  <c r="N43" i="44"/>
  <c r="N42" i="44"/>
  <c r="N41" i="44"/>
  <c r="N40" i="44"/>
  <c r="N39" i="44"/>
  <c r="N38" i="44"/>
  <c r="N37" i="44"/>
  <c r="N36" i="44"/>
  <c r="N35" i="44"/>
  <c r="N34" i="44"/>
  <c r="N33" i="44"/>
  <c r="P56" i="33"/>
  <c r="B27" i="62" l="1"/>
  <c r="B60" i="61"/>
  <c r="P51" i="33"/>
  <c r="K50" i="33"/>
  <c r="F55" i="33"/>
  <c r="P55" i="33"/>
  <c r="F53" i="33"/>
  <c r="P53" i="33"/>
  <c r="F54" i="33"/>
  <c r="G54" i="33"/>
  <c r="H54" i="33"/>
  <c r="I54" i="33"/>
  <c r="J54" i="33"/>
  <c r="K54" i="33"/>
  <c r="L54" i="33"/>
  <c r="M54" i="33"/>
  <c r="N54" i="33"/>
  <c r="O54" i="33"/>
  <c r="F48" i="33"/>
  <c r="P48" i="33"/>
  <c r="F47" i="33"/>
  <c r="P46" i="33"/>
  <c r="K40" i="52"/>
  <c r="P47" i="33" s="1"/>
  <c r="F43" i="33"/>
  <c r="F44" i="33"/>
  <c r="K44" i="33"/>
  <c r="P44" i="33"/>
  <c r="P41" i="33"/>
  <c r="P42" i="33"/>
  <c r="K42" i="33"/>
  <c r="P40" i="33"/>
  <c r="K40" i="33"/>
  <c r="P39" i="33"/>
  <c r="C20" i="52"/>
  <c r="H20" i="52"/>
  <c r="J20" i="52"/>
  <c r="M23" i="33"/>
  <c r="K23" i="33"/>
  <c r="I23" i="33"/>
  <c r="F11" i="60"/>
  <c r="E11" i="60"/>
  <c r="D11" i="60"/>
  <c r="G11" i="60"/>
  <c r="C11" i="60"/>
  <c r="S124" i="42" l="1"/>
  <c r="S119" i="42"/>
  <c r="E15" i="45" l="1"/>
  <c r="B20" i="45"/>
  <c r="M70" i="42" l="1"/>
  <c r="H254" i="28"/>
  <c r="M92" i="42"/>
  <c r="D44" i="63"/>
  <c r="D47" i="63"/>
  <c r="D50" i="63"/>
  <c r="D56" i="63"/>
  <c r="D60" i="63"/>
  <c r="D75" i="63"/>
  <c r="D60" i="37"/>
  <c r="C152" i="28"/>
  <c r="Y10" i="61"/>
  <c r="X10" i="61"/>
  <c r="Y9" i="61"/>
  <c r="X9" i="61"/>
  <c r="X7" i="61"/>
  <c r="X8" i="61"/>
  <c r="Y8" i="61"/>
  <c r="Y7" i="61"/>
  <c r="X6" i="61"/>
  <c r="Y10" i="28"/>
  <c r="X10" i="28"/>
  <c r="Y9" i="28"/>
  <c r="X9" i="28"/>
  <c r="X8" i="28"/>
  <c r="Y8" i="28"/>
  <c r="Y7" i="28"/>
  <c r="X7" i="28"/>
  <c r="Y6" i="28"/>
  <c r="X6" i="28"/>
  <c r="H177" i="28"/>
  <c r="B163" i="28"/>
  <c r="D53" i="63"/>
  <c r="E52" i="63" s="1"/>
  <c r="F52" i="63" s="1"/>
  <c r="G52" i="63" s="1"/>
  <c r="R86" i="63" s="1"/>
  <c r="R95" i="63" s="1"/>
  <c r="D41" i="63"/>
  <c r="E40" i="63" s="1"/>
  <c r="F40" i="63" s="1"/>
  <c r="G40" i="63" s="1"/>
  <c r="N86" i="63" s="1"/>
  <c r="N95" i="63" s="1"/>
  <c r="D29" i="63"/>
  <c r="D20" i="63"/>
  <c r="D26" i="63"/>
  <c r="D28" i="63"/>
  <c r="D25" i="63"/>
  <c r="D38" i="63"/>
  <c r="D32" i="63"/>
  <c r="D23" i="63"/>
  <c r="D17" i="63"/>
  <c r="D14" i="63"/>
  <c r="D11" i="63"/>
  <c r="D19" i="63"/>
  <c r="D16" i="63"/>
  <c r="G84" i="37"/>
  <c r="G93" i="37" s="1"/>
  <c r="D53" i="37"/>
  <c r="E52" i="37" s="1"/>
  <c r="D41" i="37"/>
  <c r="E40" i="37" s="1"/>
  <c r="F40" i="37" s="1"/>
  <c r="G40" i="37" s="1"/>
  <c r="E173" i="28" s="1"/>
  <c r="D38" i="37"/>
  <c r="D29" i="37"/>
  <c r="E28" i="37" s="1"/>
  <c r="F28" i="37" s="1"/>
  <c r="G28" i="37" s="1"/>
  <c r="J86" i="37" s="1"/>
  <c r="J95" i="37" s="1"/>
  <c r="D20" i="37"/>
  <c r="E19" i="37" s="1"/>
  <c r="F19" i="37" s="1"/>
  <c r="G19" i="37" s="1"/>
  <c r="G82" i="37" s="1"/>
  <c r="G91" i="37" s="1"/>
  <c r="D17" i="37"/>
  <c r="E16" i="37" s="1"/>
  <c r="F16" i="37" s="1"/>
  <c r="G16" i="37" s="1"/>
  <c r="B177" i="28"/>
  <c r="B173" i="28"/>
  <c r="B167" i="28"/>
  <c r="D49" i="6"/>
  <c r="D21" i="6"/>
  <c r="F52" i="37" l="1"/>
  <c r="C177" i="28"/>
  <c r="G86" i="37"/>
  <c r="G95" i="37" s="1"/>
  <c r="N82" i="37"/>
  <c r="N91" i="37" s="1"/>
  <c r="N86" i="37"/>
  <c r="N95" i="37" s="1"/>
  <c r="D167" i="28"/>
  <c r="C163" i="28"/>
  <c r="G87" i="37"/>
  <c r="G96" i="37" s="1"/>
  <c r="D173" i="28"/>
  <c r="D163" i="28"/>
  <c r="N83" i="37"/>
  <c r="N92" i="37" s="1"/>
  <c r="N87" i="37"/>
  <c r="N96" i="37" s="1"/>
  <c r="E163" i="28"/>
  <c r="F173" i="28"/>
  <c r="E167" i="28"/>
  <c r="G173" i="28"/>
  <c r="G80" i="37"/>
  <c r="G89" i="37" s="1"/>
  <c r="N80" i="37"/>
  <c r="N89" i="37" s="1"/>
  <c r="N84" i="37"/>
  <c r="N93" i="37" s="1"/>
  <c r="H173" i="28"/>
  <c r="G81" i="37"/>
  <c r="G90" i="37" s="1"/>
  <c r="C167" i="28"/>
  <c r="R82" i="63"/>
  <c r="R91" i="63" s="1"/>
  <c r="F177" i="28"/>
  <c r="N81" i="37"/>
  <c r="N90" i="37" s="1"/>
  <c r="N85" i="37"/>
  <c r="N94" i="37" s="1"/>
  <c r="C173" i="28"/>
  <c r="R80" i="63"/>
  <c r="G177" i="28"/>
  <c r="R83" i="63"/>
  <c r="R92" i="63" s="1"/>
  <c r="R84" i="63"/>
  <c r="R93" i="63" s="1"/>
  <c r="R85" i="63"/>
  <c r="R94" i="63" s="1"/>
  <c r="R89" i="63"/>
  <c r="R81" i="63"/>
  <c r="R90" i="63" s="1"/>
  <c r="N82" i="63"/>
  <c r="N91" i="63" s="1"/>
  <c r="N83" i="63"/>
  <c r="N92" i="63" s="1"/>
  <c r="N80" i="63"/>
  <c r="N89" i="63" s="1"/>
  <c r="R87" i="63"/>
  <c r="R96" i="63" s="1"/>
  <c r="N85" i="63"/>
  <c r="N94" i="63" s="1"/>
  <c r="N81" i="63"/>
  <c r="N90" i="63" s="1"/>
  <c r="N84" i="63"/>
  <c r="N93" i="63" s="1"/>
  <c r="N87" i="63"/>
  <c r="N96" i="63" s="1"/>
  <c r="E19" i="63"/>
  <c r="E28" i="63"/>
  <c r="J80" i="37"/>
  <c r="J89" i="37" s="1"/>
  <c r="J81" i="37"/>
  <c r="J90" i="37" s="1"/>
  <c r="G85" i="37"/>
  <c r="G94" i="37" s="1"/>
  <c r="J82" i="37"/>
  <c r="J91" i="37" s="1"/>
  <c r="J84" i="37"/>
  <c r="J93" i="37" s="1"/>
  <c r="G83" i="37"/>
  <c r="G92" i="37" s="1"/>
  <c r="J87" i="37"/>
  <c r="J96" i="37" s="1"/>
  <c r="J83" i="37"/>
  <c r="J92" i="37" s="1"/>
  <c r="J85" i="37"/>
  <c r="J94" i="37" s="1"/>
  <c r="F28" i="63" l="1"/>
  <c r="G167" i="28" s="1"/>
  <c r="F167" i="28"/>
  <c r="F19" i="63"/>
  <c r="F163" i="28"/>
  <c r="G52" i="37"/>
  <c r="R87" i="37"/>
  <c r="R96" i="37" s="1"/>
  <c r="R83" i="37"/>
  <c r="R92" i="37" s="1"/>
  <c r="R81" i="37"/>
  <c r="R90" i="37" s="1"/>
  <c r="D177" i="28"/>
  <c r="R85" i="37"/>
  <c r="R94" i="37" s="1"/>
  <c r="G87" i="63"/>
  <c r="G96" i="63" s="1"/>
  <c r="G81" i="63"/>
  <c r="G90" i="63" s="1"/>
  <c r="G85" i="63"/>
  <c r="G94" i="63" s="1"/>
  <c r="G19" i="63"/>
  <c r="G84" i="63" s="1"/>
  <c r="G93" i="63" s="1"/>
  <c r="G28" i="63"/>
  <c r="J87" i="63"/>
  <c r="J96" i="63" s="1"/>
  <c r="J85" i="63"/>
  <c r="J94" i="63" s="1"/>
  <c r="J83" i="63"/>
  <c r="J92" i="63" s="1"/>
  <c r="J81" i="63"/>
  <c r="J90" i="63" s="1"/>
  <c r="D18" i="50"/>
  <c r="D74" i="63"/>
  <c r="D71" i="63"/>
  <c r="D66" i="63"/>
  <c r="D65" i="63"/>
  <c r="D64" i="63"/>
  <c r="D58" i="63"/>
  <c r="D55" i="63"/>
  <c r="D49" i="63"/>
  <c r="D46" i="63"/>
  <c r="D43" i="63"/>
  <c r="D37" i="63"/>
  <c r="D34" i="63"/>
  <c r="D31" i="63"/>
  <c r="D22" i="63"/>
  <c r="D13" i="63"/>
  <c r="D10" i="63"/>
  <c r="D7" i="63"/>
  <c r="J80" i="63" l="1"/>
  <c r="J89" i="63" s="1"/>
  <c r="H167" i="28"/>
  <c r="E177" i="28"/>
  <c r="R84" i="37"/>
  <c r="R93" i="37" s="1"/>
  <c r="R80" i="37"/>
  <c r="R89" i="37" s="1"/>
  <c r="R86" i="37"/>
  <c r="R95" i="37" s="1"/>
  <c r="R82" i="37"/>
  <c r="R91" i="37" s="1"/>
  <c r="G83" i="63"/>
  <c r="G92" i="63" s="1"/>
  <c r="G163" i="28"/>
  <c r="G80" i="63"/>
  <c r="G89" i="63" s="1"/>
  <c r="H163" i="28"/>
  <c r="G86" i="63"/>
  <c r="G95" i="63" s="1"/>
  <c r="G82" i="63"/>
  <c r="G91" i="63" s="1"/>
  <c r="J86" i="63"/>
  <c r="J95" i="63" s="1"/>
  <c r="J84" i="63"/>
  <c r="J93" i="63" s="1"/>
  <c r="J82" i="63"/>
  <c r="J91" i="63" s="1"/>
  <c r="B6" i="45"/>
  <c r="G136" i="42" l="1"/>
  <c r="D133" i="42"/>
  <c r="D134" i="42"/>
  <c r="D135" i="42"/>
  <c r="D136" i="42"/>
  <c r="C133" i="42"/>
  <c r="C134" i="42"/>
  <c r="C135" i="42"/>
  <c r="C136" i="42"/>
  <c r="C132" i="42"/>
  <c r="D132" i="42"/>
  <c r="C110" i="42"/>
  <c r="C111" i="42"/>
  <c r="C112" i="42"/>
  <c r="C113" i="42"/>
  <c r="C115" i="42"/>
  <c r="C116" i="42"/>
  <c r="C117" i="42"/>
  <c r="C118" i="42"/>
  <c r="C120" i="42"/>
  <c r="C121" i="42"/>
  <c r="C122" i="42"/>
  <c r="C123" i="42"/>
  <c r="C125" i="42"/>
  <c r="C126" i="42"/>
  <c r="C127" i="42"/>
  <c r="C128" i="42"/>
  <c r="B60" i="52"/>
  <c r="G53" i="33" s="1"/>
  <c r="C60" i="52"/>
  <c r="H53" i="33" s="1"/>
  <c r="D60" i="52"/>
  <c r="I53" i="33" s="1"/>
  <c r="E60" i="52"/>
  <c r="J53" i="33" s="1"/>
  <c r="F60" i="52"/>
  <c r="K53" i="33" s="1"/>
  <c r="G60" i="52"/>
  <c r="L53" i="33" s="1"/>
  <c r="H60" i="52"/>
  <c r="M53" i="33" s="1"/>
  <c r="J60" i="52"/>
  <c r="O53" i="33" s="1"/>
  <c r="C68" i="52"/>
  <c r="H55" i="33" s="1"/>
  <c r="F68" i="52"/>
  <c r="K55" i="33" s="1"/>
  <c r="H68" i="52"/>
  <c r="M55" i="33" s="1"/>
  <c r="J68" i="52"/>
  <c r="O55" i="33" s="1"/>
  <c r="B29" i="52"/>
  <c r="G46" i="33" s="1"/>
  <c r="C29" i="52"/>
  <c r="H46" i="33" s="1"/>
  <c r="D29" i="52"/>
  <c r="I46" i="33" s="1"/>
  <c r="E29" i="52"/>
  <c r="J46" i="33" s="1"/>
  <c r="F29" i="52"/>
  <c r="K46" i="33" s="1"/>
  <c r="G29" i="52"/>
  <c r="L46" i="33" s="1"/>
  <c r="A36" i="52"/>
  <c r="C36" i="52"/>
  <c r="F36" i="52"/>
  <c r="H36" i="52"/>
  <c r="J36" i="52"/>
  <c r="A37" i="52"/>
  <c r="C37" i="52"/>
  <c r="F37" i="52"/>
  <c r="H37" i="52"/>
  <c r="J37" i="52"/>
  <c r="C38" i="52"/>
  <c r="H38" i="52"/>
  <c r="J38" i="52"/>
  <c r="C41" i="52"/>
  <c r="H41" i="52"/>
  <c r="J41" i="52"/>
  <c r="C42" i="52"/>
  <c r="H50" i="33" s="1"/>
  <c r="H42" i="52"/>
  <c r="M50" i="33" s="1"/>
  <c r="J42" i="52"/>
  <c r="O50" i="33" s="1"/>
  <c r="C43" i="52"/>
  <c r="H43" i="52"/>
  <c r="J43" i="52"/>
  <c r="C44" i="52"/>
  <c r="H44" i="52"/>
  <c r="J44" i="52"/>
  <c r="C45" i="52"/>
  <c r="H45" i="52"/>
  <c r="J45" i="52"/>
  <c r="C46" i="52"/>
  <c r="H46" i="52"/>
  <c r="J46" i="52"/>
  <c r="C57" i="52"/>
  <c r="H48" i="33" s="1"/>
  <c r="F57" i="52"/>
  <c r="K48" i="33" s="1"/>
  <c r="H57" i="52"/>
  <c r="M48" i="33" s="1"/>
  <c r="J57" i="52"/>
  <c r="O48" i="33" s="1"/>
  <c r="G39" i="52"/>
  <c r="H39" i="52"/>
  <c r="J39" i="52"/>
  <c r="A19" i="52"/>
  <c r="B19" i="52"/>
  <c r="C19" i="52"/>
  <c r="D19" i="52"/>
  <c r="E19" i="52"/>
  <c r="F19" i="52"/>
  <c r="G19" i="52"/>
  <c r="H19" i="52"/>
  <c r="J19" i="52"/>
  <c r="C12" i="52"/>
  <c r="F12" i="52"/>
  <c r="H12" i="52"/>
  <c r="J12" i="52"/>
  <c r="H13" i="52"/>
  <c r="M40" i="33" s="1"/>
  <c r="I13" i="52"/>
  <c r="N40" i="33" s="1"/>
  <c r="J13" i="52"/>
  <c r="O40" i="33" s="1"/>
  <c r="C15" i="52"/>
  <c r="H41" i="33" s="1"/>
  <c r="H15" i="52"/>
  <c r="M41" i="33" s="1"/>
  <c r="J15" i="52"/>
  <c r="O41" i="33" s="1"/>
  <c r="C16" i="52"/>
  <c r="H16" i="52"/>
  <c r="J16" i="52"/>
  <c r="C17" i="52"/>
  <c r="H42" i="33" s="1"/>
  <c r="H17" i="52"/>
  <c r="M42" i="33" s="1"/>
  <c r="J17" i="52"/>
  <c r="O42" i="33" s="1"/>
  <c r="C18" i="52"/>
  <c r="H18" i="52"/>
  <c r="J18" i="52"/>
  <c r="A21" i="52"/>
  <c r="A22" i="52"/>
  <c r="C23" i="52"/>
  <c r="F23" i="52"/>
  <c r="H23" i="52"/>
  <c r="J23" i="52"/>
  <c r="C26" i="52"/>
  <c r="H44" i="33" s="1"/>
  <c r="H26" i="52"/>
  <c r="M44" i="33" s="1"/>
  <c r="J26" i="52"/>
  <c r="O44" i="33" s="1"/>
  <c r="B24" i="52"/>
  <c r="C24" i="52"/>
  <c r="D24" i="52"/>
  <c r="E24" i="52"/>
  <c r="F24" i="52"/>
  <c r="G24" i="52"/>
  <c r="H24" i="52"/>
  <c r="J24" i="52"/>
  <c r="I126" i="50"/>
  <c r="I125" i="50"/>
  <c r="I124" i="50"/>
  <c r="I123" i="50"/>
  <c r="I122" i="50"/>
  <c r="I121" i="50"/>
  <c r="I120" i="50"/>
  <c r="I119" i="50"/>
  <c r="I118" i="50"/>
  <c r="I117" i="50"/>
  <c r="I116" i="50"/>
  <c r="I115" i="50"/>
  <c r="I114" i="50"/>
  <c r="I113" i="50"/>
  <c r="I112" i="50"/>
  <c r="I111" i="50"/>
  <c r="I110" i="50"/>
  <c r="I109" i="50"/>
  <c r="I108" i="50"/>
  <c r="I107" i="50"/>
  <c r="I106" i="50"/>
  <c r="I105" i="50"/>
  <c r="I104" i="50"/>
  <c r="I103" i="50"/>
  <c r="I102" i="50"/>
  <c r="I101" i="50"/>
  <c r="I100" i="50"/>
  <c r="I99" i="50"/>
  <c r="I98" i="50"/>
  <c r="I97" i="50"/>
  <c r="I96" i="50"/>
  <c r="I95" i="50"/>
  <c r="I94" i="50"/>
  <c r="I93" i="50"/>
  <c r="I92" i="50"/>
  <c r="I91" i="50"/>
  <c r="I90" i="50"/>
  <c r="I89" i="50"/>
  <c r="I88" i="50"/>
  <c r="I87" i="50"/>
  <c r="I86" i="50"/>
  <c r="I85" i="50"/>
  <c r="I84" i="50"/>
  <c r="I83" i="50"/>
  <c r="I82" i="50"/>
  <c r="I81" i="50"/>
  <c r="I80" i="50"/>
  <c r="I79" i="50"/>
  <c r="I78" i="50"/>
  <c r="I77" i="50"/>
  <c r="I76" i="50"/>
  <c r="K126" i="50"/>
  <c r="J126" i="50"/>
  <c r="K125" i="50"/>
  <c r="J125" i="50"/>
  <c r="K124" i="50"/>
  <c r="J124" i="50"/>
  <c r="K123" i="50"/>
  <c r="J123" i="50"/>
  <c r="K122" i="50"/>
  <c r="J122" i="50"/>
  <c r="K121" i="50"/>
  <c r="J121" i="50"/>
  <c r="K120" i="50"/>
  <c r="J120" i="50"/>
  <c r="K119" i="50"/>
  <c r="J119" i="50"/>
  <c r="K118" i="50"/>
  <c r="J118" i="50"/>
  <c r="K117" i="50"/>
  <c r="J117" i="50"/>
  <c r="K116" i="50"/>
  <c r="J116" i="50"/>
  <c r="K115" i="50"/>
  <c r="J115" i="50"/>
  <c r="K114" i="50"/>
  <c r="J114" i="50"/>
  <c r="K113" i="50"/>
  <c r="J113" i="50"/>
  <c r="K112" i="50"/>
  <c r="J112" i="50"/>
  <c r="K111" i="50"/>
  <c r="J111" i="50"/>
  <c r="K110" i="50"/>
  <c r="J110" i="50"/>
  <c r="K109" i="50"/>
  <c r="J109" i="50"/>
  <c r="K108" i="50"/>
  <c r="J108" i="50"/>
  <c r="K107" i="50"/>
  <c r="J107" i="50"/>
  <c r="K106" i="50"/>
  <c r="J106" i="50"/>
  <c r="K105" i="50"/>
  <c r="J105" i="50"/>
  <c r="K104" i="50"/>
  <c r="J104" i="50"/>
  <c r="K103" i="50"/>
  <c r="J103" i="50"/>
  <c r="K102" i="50"/>
  <c r="J102" i="50"/>
  <c r="K101" i="50"/>
  <c r="J101" i="50"/>
  <c r="K100" i="50"/>
  <c r="J100" i="50"/>
  <c r="K99" i="50"/>
  <c r="J99" i="50"/>
  <c r="K98" i="50"/>
  <c r="J98" i="50"/>
  <c r="K97" i="50"/>
  <c r="J97" i="50"/>
  <c r="K96" i="50"/>
  <c r="J96" i="50"/>
  <c r="K95" i="50"/>
  <c r="J95" i="50"/>
  <c r="K94" i="50"/>
  <c r="J94" i="50"/>
  <c r="K93" i="50"/>
  <c r="J93" i="50"/>
  <c r="K92" i="50"/>
  <c r="J92" i="50"/>
  <c r="K91" i="50"/>
  <c r="J91" i="50"/>
  <c r="K90" i="50"/>
  <c r="J90" i="50"/>
  <c r="K89" i="50"/>
  <c r="J89" i="50"/>
  <c r="K88" i="50"/>
  <c r="J88" i="50"/>
  <c r="K87" i="50"/>
  <c r="J87" i="50"/>
  <c r="K86" i="50"/>
  <c r="J86" i="50"/>
  <c r="K85" i="50"/>
  <c r="J85" i="50"/>
  <c r="K84" i="50"/>
  <c r="J84" i="50"/>
  <c r="K83" i="50"/>
  <c r="J83" i="50"/>
  <c r="K82" i="50"/>
  <c r="J82" i="50"/>
  <c r="K81" i="50"/>
  <c r="J81" i="50"/>
  <c r="K80" i="50"/>
  <c r="J80" i="50"/>
  <c r="K79" i="50"/>
  <c r="J79" i="50"/>
  <c r="K78" i="50"/>
  <c r="J78" i="50"/>
  <c r="K77" i="50"/>
  <c r="J77" i="50"/>
  <c r="K76" i="50"/>
  <c r="J76" i="50"/>
  <c r="C15" i="45"/>
  <c r="D15" i="45"/>
  <c r="F15" i="45"/>
  <c r="G15" i="45"/>
  <c r="F6" i="49"/>
  <c r="B7" i="49"/>
  <c r="B6" i="49"/>
  <c r="D13" i="50"/>
  <c r="A13" i="48"/>
  <c r="K23" i="7"/>
  <c r="J23" i="7"/>
  <c r="I23" i="7"/>
  <c r="H23" i="7"/>
  <c r="G23" i="7"/>
  <c r="F23" i="7"/>
  <c r="E23" i="7"/>
  <c r="D23" i="7"/>
  <c r="C23" i="7"/>
  <c r="K22" i="7"/>
  <c r="J22" i="7"/>
  <c r="G22" i="7"/>
  <c r="F22" i="7"/>
  <c r="K21" i="7"/>
  <c r="J21" i="7"/>
  <c r="H21" i="7"/>
  <c r="G21" i="7"/>
  <c r="F21" i="7"/>
  <c r="K20" i="7"/>
  <c r="J20" i="7"/>
  <c r="I20" i="7"/>
  <c r="H20" i="7"/>
  <c r="G20" i="7"/>
  <c r="F20" i="7"/>
  <c r="E20" i="7"/>
  <c r="D20" i="7"/>
  <c r="C20" i="7"/>
  <c r="C19" i="7"/>
  <c r="D19" i="7"/>
  <c r="E19" i="7"/>
  <c r="F19" i="7"/>
  <c r="G19" i="7"/>
  <c r="H19" i="7"/>
  <c r="I19" i="7"/>
  <c r="J19" i="7"/>
  <c r="K19" i="7"/>
  <c r="K10" i="7"/>
  <c r="J10" i="7"/>
  <c r="I10" i="7"/>
  <c r="H10" i="7"/>
  <c r="G10" i="7"/>
  <c r="F10" i="7"/>
  <c r="E10" i="7"/>
  <c r="D10" i="7"/>
  <c r="C10" i="7"/>
  <c r="K9" i="7"/>
  <c r="J9" i="7"/>
  <c r="G9" i="7"/>
  <c r="F9" i="7"/>
  <c r="K8" i="7"/>
  <c r="J8" i="7"/>
  <c r="H8" i="7"/>
  <c r="G8" i="7"/>
  <c r="F8" i="7"/>
  <c r="K7" i="7"/>
  <c r="J7" i="7"/>
  <c r="I7" i="7"/>
  <c r="H7" i="7"/>
  <c r="G7" i="7"/>
  <c r="F7" i="7"/>
  <c r="E7" i="7"/>
  <c r="D7" i="7"/>
  <c r="C7" i="7"/>
  <c r="J40" i="52" l="1"/>
  <c r="O47" i="33" s="1"/>
  <c r="H40" i="52"/>
  <c r="M47" i="33" s="1"/>
  <c r="C25" i="52"/>
  <c r="H43" i="33" s="1"/>
  <c r="J25" i="52"/>
  <c r="O43" i="33" s="1"/>
  <c r="H25" i="52"/>
  <c r="M43" i="33" s="1"/>
  <c r="F25" i="52"/>
  <c r="K43" i="33" s="1"/>
  <c r="C21" i="48"/>
  <c r="V11" i="28"/>
  <c r="U11" i="28"/>
  <c r="B9" i="42"/>
  <c r="B13" i="42" s="1"/>
  <c r="B17" i="42" s="1"/>
  <c r="B10" i="42"/>
  <c r="B14" i="42" s="1"/>
  <c r="B18" i="42" s="1"/>
  <c r="B11" i="42"/>
  <c r="B15" i="42" s="1"/>
  <c r="B19" i="42" s="1"/>
  <c r="B12" i="42"/>
  <c r="B16" i="42" s="1"/>
  <c r="B20" i="42" s="1"/>
  <c r="B27" i="42"/>
  <c r="B31" i="42" s="1"/>
  <c r="B35" i="42" s="1"/>
  <c r="B28" i="42"/>
  <c r="B32" i="42" s="1"/>
  <c r="B36" i="42" s="1"/>
  <c r="B29" i="42"/>
  <c r="B33" i="42" s="1"/>
  <c r="B37" i="42" s="1"/>
  <c r="B30" i="42"/>
  <c r="B34" i="42" s="1"/>
  <c r="B38" i="42" s="1"/>
  <c r="B45" i="42"/>
  <c r="B49" i="42" s="1"/>
  <c r="B53" i="42" s="1"/>
  <c r="B46" i="42"/>
  <c r="B50" i="42" s="1"/>
  <c r="B54" i="42" s="1"/>
  <c r="B47" i="42"/>
  <c r="B51" i="42" s="1"/>
  <c r="B55" i="42" s="1"/>
  <c r="B48" i="42"/>
  <c r="B52" i="42" s="1"/>
  <c r="B56" i="42" s="1"/>
  <c r="D110" i="42"/>
  <c r="D111" i="42"/>
  <c r="D112" i="42"/>
  <c r="D113" i="42"/>
  <c r="D115" i="42"/>
  <c r="D116" i="42"/>
  <c r="D117" i="42"/>
  <c r="D118" i="42"/>
  <c r="D120" i="42"/>
  <c r="D121" i="42"/>
  <c r="D122" i="42"/>
  <c r="D123" i="42"/>
  <c r="D125" i="42"/>
  <c r="D126" i="42"/>
  <c r="D127" i="42"/>
  <c r="D128" i="42"/>
  <c r="V12" i="33"/>
  <c r="V14" i="33"/>
  <c r="V10" i="33"/>
  <c r="U14" i="33"/>
  <c r="U12" i="33"/>
  <c r="R14" i="33"/>
  <c r="R12" i="33"/>
  <c r="R10" i="33"/>
  <c r="Q14" i="33"/>
  <c r="Q12" i="33"/>
  <c r="E73" i="63"/>
  <c r="F185" i="28" s="1"/>
  <c r="E57" i="63"/>
  <c r="F55" i="63"/>
  <c r="S87" i="63" s="1"/>
  <c r="S96" i="63" s="1"/>
  <c r="F49" i="63"/>
  <c r="G49" i="63" s="1"/>
  <c r="H176" i="28" s="1"/>
  <c r="E46" i="63"/>
  <c r="F175" i="28" s="1"/>
  <c r="F43" i="63"/>
  <c r="G174" i="28" s="1"/>
  <c r="E37" i="63"/>
  <c r="F172" i="28" s="1"/>
  <c r="E31" i="63"/>
  <c r="F168" i="28" s="1"/>
  <c r="E25" i="63"/>
  <c r="F166" i="28" s="1"/>
  <c r="E22" i="63"/>
  <c r="F165" i="28" s="1"/>
  <c r="F13" i="63"/>
  <c r="F10" i="63"/>
  <c r="G10" i="63" s="1"/>
  <c r="H161" i="28" s="1"/>
  <c r="J14" i="33" s="1"/>
  <c r="G20" i="45"/>
  <c r="F20" i="45"/>
  <c r="E20" i="45"/>
  <c r="D20" i="45"/>
  <c r="C20" i="45"/>
  <c r="H23" i="58"/>
  <c r="L11" i="60"/>
  <c r="K11" i="60"/>
  <c r="J11" i="60"/>
  <c r="I11" i="60"/>
  <c r="H11" i="60"/>
  <c r="I6" i="60"/>
  <c r="G6" i="60"/>
  <c r="F6" i="60"/>
  <c r="E6" i="60"/>
  <c r="C6" i="60"/>
  <c r="O6" i="60"/>
  <c r="N6" i="60"/>
  <c r="M6" i="60"/>
  <c r="L6" i="60"/>
  <c r="K6" i="60"/>
  <c r="H18" i="58"/>
  <c r="H22" i="58"/>
  <c r="H21" i="58"/>
  <c r="H20" i="58"/>
  <c r="H19" i="58"/>
  <c r="C21" i="58"/>
  <c r="C20" i="58"/>
  <c r="C19" i="58"/>
  <c r="C18" i="58"/>
  <c r="C10" i="58"/>
  <c r="E10" i="43"/>
  <c r="C10" i="43"/>
  <c r="H20" i="45" l="1"/>
  <c r="B58" i="45" s="1"/>
  <c r="I20" i="45"/>
  <c r="C58" i="45" s="1"/>
  <c r="K20" i="45"/>
  <c r="E58" i="45" s="1"/>
  <c r="J20" i="45"/>
  <c r="G413" i="45" s="1"/>
  <c r="L20" i="45"/>
  <c r="F58" i="45" s="1"/>
  <c r="F25" i="63"/>
  <c r="I87" i="63" s="1"/>
  <c r="I96" i="63" s="1"/>
  <c r="E10" i="63"/>
  <c r="F161" i="28" s="1"/>
  <c r="J10" i="33" s="1"/>
  <c r="E13" i="63"/>
  <c r="F162" i="28" s="1"/>
  <c r="G162" i="28"/>
  <c r="E87" i="63"/>
  <c r="E96" i="63" s="1"/>
  <c r="E43" i="63"/>
  <c r="F174" i="28" s="1"/>
  <c r="E16" i="63"/>
  <c r="E55" i="63"/>
  <c r="F178" i="28" s="1"/>
  <c r="F46" i="63"/>
  <c r="P87" i="63" s="1"/>
  <c r="P96" i="63" s="1"/>
  <c r="F73" i="63"/>
  <c r="W87" i="63" s="1"/>
  <c r="W96" i="63" s="1"/>
  <c r="E49" i="63"/>
  <c r="F176" i="28" s="1"/>
  <c r="G176" i="28"/>
  <c r="G43" i="63"/>
  <c r="H174" i="28" s="1"/>
  <c r="G13" i="63"/>
  <c r="H162" i="28" s="1"/>
  <c r="G55" i="63"/>
  <c r="H178" i="28" s="1"/>
  <c r="G178" i="28"/>
  <c r="G161" i="28"/>
  <c r="J12" i="33" s="1"/>
  <c r="Q87" i="63"/>
  <c r="Q96" i="63" s="1"/>
  <c r="Q85" i="63"/>
  <c r="Q94" i="63" s="1"/>
  <c r="Q83" i="63"/>
  <c r="Q92" i="63" s="1"/>
  <c r="Q81" i="63"/>
  <c r="Q90" i="63" s="1"/>
  <c r="D87" i="63"/>
  <c r="D96" i="63" s="1"/>
  <c r="D85" i="63"/>
  <c r="D94" i="63" s="1"/>
  <c r="D81" i="63"/>
  <c r="D90" i="63" s="1"/>
  <c r="D83" i="63"/>
  <c r="D92" i="63" s="1"/>
  <c r="F57" i="63"/>
  <c r="G57" i="63" s="1"/>
  <c r="O87" i="63"/>
  <c r="O96" i="63" s="1"/>
  <c r="O85" i="63"/>
  <c r="O94" i="63" s="1"/>
  <c r="O83" i="63"/>
  <c r="O92" i="63" s="1"/>
  <c r="O81" i="63"/>
  <c r="O90" i="63" s="1"/>
  <c r="F31" i="63"/>
  <c r="E81" i="63"/>
  <c r="E90" i="63" s="1"/>
  <c r="S81" i="63"/>
  <c r="S90" i="63" s="1"/>
  <c r="E83" i="63"/>
  <c r="E92" i="63" s="1"/>
  <c r="S83" i="63"/>
  <c r="S92" i="63" s="1"/>
  <c r="F37" i="63"/>
  <c r="F22" i="63"/>
  <c r="E85" i="63"/>
  <c r="E94" i="63" s="1"/>
  <c r="S85" i="63"/>
  <c r="S94" i="63" s="1"/>
  <c r="A44" i="45"/>
  <c r="B44" i="45"/>
  <c r="C44" i="45"/>
  <c r="D44" i="45"/>
  <c r="A45" i="45"/>
  <c r="D6" i="60"/>
  <c r="F10" i="43"/>
  <c r="G10" i="43"/>
  <c r="B48" i="45"/>
  <c r="C48" i="45"/>
  <c r="D48" i="45"/>
  <c r="E48" i="45"/>
  <c r="G429" i="45" l="1"/>
  <c r="G416" i="45"/>
  <c r="D438" i="45"/>
  <c r="D419" i="45"/>
  <c r="G433" i="45"/>
  <c r="G408" i="45"/>
  <c r="D408" i="45"/>
  <c r="G418" i="45"/>
  <c r="G406" i="45"/>
  <c r="G414" i="45"/>
  <c r="G424" i="45"/>
  <c r="D428" i="45"/>
  <c r="G388" i="45"/>
  <c r="G432" i="45"/>
  <c r="G397" i="45"/>
  <c r="G425" i="45"/>
  <c r="G404" i="45"/>
  <c r="D423" i="45"/>
  <c r="G426" i="45"/>
  <c r="D389" i="45"/>
  <c r="D402" i="45"/>
  <c r="G396" i="45"/>
  <c r="F427" i="45"/>
  <c r="C393" i="45"/>
  <c r="G412" i="45"/>
  <c r="C390" i="45"/>
  <c r="G417" i="45"/>
  <c r="G410" i="45"/>
  <c r="G419" i="45"/>
  <c r="G398" i="45"/>
  <c r="G415" i="45"/>
  <c r="G405" i="45"/>
  <c r="C409" i="45"/>
  <c r="G395" i="45"/>
  <c r="G391" i="45"/>
  <c r="G437" i="45"/>
  <c r="C413" i="45"/>
  <c r="G401" i="45"/>
  <c r="G394" i="45"/>
  <c r="G403" i="45"/>
  <c r="C396" i="45"/>
  <c r="G399" i="45"/>
  <c r="C410" i="45"/>
  <c r="G409" i="45"/>
  <c r="G402" i="45"/>
  <c r="G411" i="45"/>
  <c r="G390" i="45"/>
  <c r="G407" i="45"/>
  <c r="G389" i="45"/>
  <c r="D410" i="45"/>
  <c r="D393" i="45"/>
  <c r="D418" i="45"/>
  <c r="F408" i="45"/>
  <c r="D390" i="45"/>
  <c r="D401" i="45"/>
  <c r="F431" i="45"/>
  <c r="D398" i="45"/>
  <c r="D434" i="45"/>
  <c r="E438" i="45"/>
  <c r="D396" i="45"/>
  <c r="D421" i="45"/>
  <c r="D406" i="45"/>
  <c r="D417" i="45"/>
  <c r="D399" i="45"/>
  <c r="D431" i="45"/>
  <c r="D427" i="45"/>
  <c r="D397" i="45"/>
  <c r="D435" i="45"/>
  <c r="D405" i="45"/>
  <c r="D391" i="45"/>
  <c r="D395" i="45"/>
  <c r="D414" i="45"/>
  <c r="D403" i="45"/>
  <c r="D412" i="45"/>
  <c r="D437" i="45"/>
  <c r="D422" i="45"/>
  <c r="D392" i="45"/>
  <c r="D433" i="45"/>
  <c r="D436" i="45"/>
  <c r="D416" i="45"/>
  <c r="D424" i="45"/>
  <c r="D426" i="45"/>
  <c r="E437" i="45"/>
  <c r="D388" i="45"/>
  <c r="D413" i="45"/>
  <c r="D432" i="45"/>
  <c r="D409" i="45"/>
  <c r="D407" i="45"/>
  <c r="E13" i="54"/>
  <c r="E37" i="52" s="1"/>
  <c r="D404" i="45"/>
  <c r="D429" i="45"/>
  <c r="D425" i="45"/>
  <c r="D394" i="45"/>
  <c r="D411" i="45"/>
  <c r="D420" i="45"/>
  <c r="D430" i="45"/>
  <c r="D400" i="45"/>
  <c r="D415" i="45"/>
  <c r="F396" i="45"/>
  <c r="F416" i="45"/>
  <c r="C417" i="45"/>
  <c r="F424" i="45"/>
  <c r="F394" i="45"/>
  <c r="F432" i="45"/>
  <c r="C402" i="45"/>
  <c r="F401" i="45"/>
  <c r="F402" i="45"/>
  <c r="F404" i="45"/>
  <c r="F397" i="45"/>
  <c r="F409" i="45"/>
  <c r="F410" i="45"/>
  <c r="F412" i="45"/>
  <c r="F422" i="45"/>
  <c r="F417" i="45"/>
  <c r="F430" i="45"/>
  <c r="C400" i="45"/>
  <c r="F415" i="45"/>
  <c r="G13" i="54"/>
  <c r="G37" i="52" s="1"/>
  <c r="F425" i="45"/>
  <c r="C388" i="45"/>
  <c r="E425" i="45"/>
  <c r="C398" i="45"/>
  <c r="F421" i="45"/>
  <c r="F405" i="45"/>
  <c r="F418" i="45"/>
  <c r="F420" i="45"/>
  <c r="F413" i="45"/>
  <c r="F438" i="45"/>
  <c r="C408" i="45"/>
  <c r="F423" i="45"/>
  <c r="F411" i="45"/>
  <c r="E428" i="45"/>
  <c r="D13" i="54"/>
  <c r="D37" i="52" s="1"/>
  <c r="E407" i="45"/>
  <c r="E433" i="45"/>
  <c r="E392" i="45"/>
  <c r="E436" i="45"/>
  <c r="C401" i="45"/>
  <c r="E415" i="45"/>
  <c r="C438" i="45"/>
  <c r="E424" i="45"/>
  <c r="C437" i="45"/>
  <c r="E395" i="45"/>
  <c r="E414" i="45"/>
  <c r="E418" i="45"/>
  <c r="C416" i="45"/>
  <c r="E422" i="45"/>
  <c r="C436" i="45"/>
  <c r="E426" i="45"/>
  <c r="C391" i="45"/>
  <c r="C405" i="45"/>
  <c r="E423" i="45"/>
  <c r="E410" i="45"/>
  <c r="E400" i="45"/>
  <c r="E435" i="45"/>
  <c r="E431" i="45"/>
  <c r="C424" i="45"/>
  <c r="E421" i="45"/>
  <c r="E430" i="45"/>
  <c r="C395" i="45"/>
  <c r="E409" i="45"/>
  <c r="E434" i="45"/>
  <c r="C399" i="45"/>
  <c r="E429" i="45"/>
  <c r="C394" i="45"/>
  <c r="C403" i="45"/>
  <c r="E417" i="45"/>
  <c r="F390" i="45"/>
  <c r="I13" i="54"/>
  <c r="I37" i="52" s="1"/>
  <c r="F398" i="45"/>
  <c r="E411" i="45"/>
  <c r="F388" i="45"/>
  <c r="F391" i="45"/>
  <c r="E404" i="45"/>
  <c r="C433" i="45"/>
  <c r="G434" i="45"/>
  <c r="E397" i="45"/>
  <c r="C426" i="45"/>
  <c r="G427" i="45"/>
  <c r="E390" i="45"/>
  <c r="C419" i="45"/>
  <c r="G420" i="45"/>
  <c r="F434" i="45"/>
  <c r="C412" i="45"/>
  <c r="G422" i="45"/>
  <c r="F436" i="45"/>
  <c r="C414" i="45"/>
  <c r="G423" i="45"/>
  <c r="F437" i="45"/>
  <c r="C415" i="45"/>
  <c r="F419" i="45"/>
  <c r="G421" i="45"/>
  <c r="C429" i="45"/>
  <c r="D58" i="45"/>
  <c r="E403" i="45"/>
  <c r="C432" i="45"/>
  <c r="E396" i="45"/>
  <c r="C425" i="45"/>
  <c r="E389" i="45"/>
  <c r="C418" i="45"/>
  <c r="F433" i="45"/>
  <c r="C411" i="45"/>
  <c r="F426" i="45"/>
  <c r="C404" i="45"/>
  <c r="F428" i="45"/>
  <c r="C406" i="45"/>
  <c r="F429" i="45"/>
  <c r="C407" i="45"/>
  <c r="C389" i="45"/>
  <c r="E416" i="45"/>
  <c r="F403" i="45"/>
  <c r="G392" i="45"/>
  <c r="F406" i="45"/>
  <c r="E419" i="45"/>
  <c r="F399" i="45"/>
  <c r="E412" i="45"/>
  <c r="E388" i="45"/>
  <c r="F392" i="45"/>
  <c r="E405" i="45"/>
  <c r="C434" i="45"/>
  <c r="G435" i="45"/>
  <c r="E398" i="45"/>
  <c r="C427" i="45"/>
  <c r="G428" i="45"/>
  <c r="E391" i="45"/>
  <c r="C420" i="45"/>
  <c r="G430" i="45"/>
  <c r="E393" i="45"/>
  <c r="C422" i="45"/>
  <c r="G431" i="45"/>
  <c r="E394" i="45"/>
  <c r="C423" i="45"/>
  <c r="E432" i="45"/>
  <c r="F435" i="45"/>
  <c r="F395" i="45"/>
  <c r="C397" i="45"/>
  <c r="G400" i="45"/>
  <c r="F414" i="45"/>
  <c r="E427" i="45"/>
  <c r="C392" i="45"/>
  <c r="G393" i="45"/>
  <c r="F407" i="45"/>
  <c r="E420" i="45"/>
  <c r="B13" i="54"/>
  <c r="B37" i="52" s="1"/>
  <c r="F400" i="45"/>
  <c r="E413" i="45"/>
  <c r="F393" i="45"/>
  <c r="E406" i="45"/>
  <c r="C435" i="45"/>
  <c r="G436" i="45"/>
  <c r="E399" i="45"/>
  <c r="C428" i="45"/>
  <c r="G438" i="45"/>
  <c r="E401" i="45"/>
  <c r="C430" i="45"/>
  <c r="F389" i="45"/>
  <c r="E402" i="45"/>
  <c r="C431" i="45"/>
  <c r="E408" i="45"/>
  <c r="C421" i="45"/>
  <c r="F164" i="28"/>
  <c r="F16" i="63"/>
  <c r="G185" i="28"/>
  <c r="W85" i="63"/>
  <c r="W94" i="63" s="1"/>
  <c r="P85" i="63"/>
  <c r="P94" i="63" s="1"/>
  <c r="G25" i="63"/>
  <c r="H166" i="28" s="1"/>
  <c r="I81" i="63"/>
  <c r="I90" i="63" s="1"/>
  <c r="I85" i="63"/>
  <c r="I94" i="63" s="1"/>
  <c r="G166" i="28"/>
  <c r="P83" i="63"/>
  <c r="P92" i="63" s="1"/>
  <c r="I83" i="63"/>
  <c r="I92" i="63" s="1"/>
  <c r="G73" i="63"/>
  <c r="H185" i="28" s="1"/>
  <c r="W81" i="63"/>
  <c r="W90" i="63" s="1"/>
  <c r="G175" i="28"/>
  <c r="G46" i="63"/>
  <c r="H175" i="28" s="1"/>
  <c r="W83" i="63"/>
  <c r="W92" i="63" s="1"/>
  <c r="P81" i="63"/>
  <c r="P90" i="63" s="1"/>
  <c r="G172" i="28"/>
  <c r="G37" i="63"/>
  <c r="H172" i="28" s="1"/>
  <c r="G168" i="28"/>
  <c r="G31" i="63"/>
  <c r="H168" i="28" s="1"/>
  <c r="G22" i="63"/>
  <c r="H165" i="28" s="1"/>
  <c r="G165" i="28"/>
  <c r="D80" i="63"/>
  <c r="D89" i="63" s="1"/>
  <c r="D86" i="63"/>
  <c r="D95" i="63" s="1"/>
  <c r="D84" i="63"/>
  <c r="D93" i="63" s="1"/>
  <c r="D82" i="63"/>
  <c r="D91" i="63" s="1"/>
  <c r="E86" i="63"/>
  <c r="E95" i="63" s="1"/>
  <c r="E84" i="63"/>
  <c r="E93" i="63" s="1"/>
  <c r="E82" i="63"/>
  <c r="E91" i="63" s="1"/>
  <c r="E80" i="63"/>
  <c r="E89" i="63" s="1"/>
  <c r="T86" i="63"/>
  <c r="T95" i="63" s="1"/>
  <c r="T80" i="63"/>
  <c r="T89" i="63" s="1"/>
  <c r="T84" i="63"/>
  <c r="T93" i="63" s="1"/>
  <c r="T82" i="63"/>
  <c r="T91" i="63" s="1"/>
  <c r="T87" i="63"/>
  <c r="T96" i="63" s="1"/>
  <c r="T85" i="63"/>
  <c r="T94" i="63" s="1"/>
  <c r="T83" i="63"/>
  <c r="T92" i="63" s="1"/>
  <c r="T81" i="63"/>
  <c r="T90" i="63" s="1"/>
  <c r="S86" i="63"/>
  <c r="S95" i="63" s="1"/>
  <c r="Q86" i="63"/>
  <c r="Q95" i="63" s="1"/>
  <c r="Q84" i="63"/>
  <c r="Q93" i="63" s="1"/>
  <c r="Q82" i="63"/>
  <c r="Q91" i="63" s="1"/>
  <c r="Q80" i="63"/>
  <c r="Q89" i="63" s="1"/>
  <c r="O86" i="63"/>
  <c r="O95" i="63" s="1"/>
  <c r="O84" i="63"/>
  <c r="O93" i="63" s="1"/>
  <c r="O82" i="63"/>
  <c r="O91" i="63" s="1"/>
  <c r="O80" i="63"/>
  <c r="O89" i="63" s="1"/>
  <c r="M87" i="63"/>
  <c r="M96" i="63" s="1"/>
  <c r="M85" i="63"/>
  <c r="M94" i="63" s="1"/>
  <c r="M83" i="63"/>
  <c r="M92" i="63" s="1"/>
  <c r="M81" i="63"/>
  <c r="M90" i="63" s="1"/>
  <c r="H87" i="63"/>
  <c r="H96" i="63" s="1"/>
  <c r="H85" i="63"/>
  <c r="H94" i="63" s="1"/>
  <c r="H81" i="63"/>
  <c r="H83" i="63"/>
  <c r="H92" i="63" s="1"/>
  <c r="S84" i="63"/>
  <c r="S93" i="63" s="1"/>
  <c r="S80" i="63"/>
  <c r="S89" i="63" s="1"/>
  <c r="S82" i="63"/>
  <c r="S91" i="63" s="1"/>
  <c r="K87" i="63"/>
  <c r="K96" i="63" s="1"/>
  <c r="K85" i="63"/>
  <c r="K94" i="63" s="1"/>
  <c r="K83" i="63"/>
  <c r="K92" i="63" s="1"/>
  <c r="K81" i="63"/>
  <c r="K90" i="63" s="1"/>
  <c r="W86" i="63" l="1"/>
  <c r="W95" i="63" s="1"/>
  <c r="I82" i="63"/>
  <c r="I91" i="63" s="1"/>
  <c r="I86" i="63"/>
  <c r="I95" i="63" s="1"/>
  <c r="P80" i="63"/>
  <c r="P89" i="63" s="1"/>
  <c r="I80" i="63"/>
  <c r="I89" i="63" s="1"/>
  <c r="W80" i="63"/>
  <c r="W89" i="63" s="1"/>
  <c r="I84" i="63"/>
  <c r="I93" i="63" s="1"/>
  <c r="W82" i="63"/>
  <c r="W91" i="63" s="1"/>
  <c r="W84" i="63"/>
  <c r="W93" i="63" s="1"/>
  <c r="H86" i="63"/>
  <c r="H95" i="63" s="1"/>
  <c r="P84" i="63"/>
  <c r="P93" i="63" s="1"/>
  <c r="P86" i="63"/>
  <c r="P95" i="63" s="1"/>
  <c r="G16" i="63"/>
  <c r="F80" i="63" s="1"/>
  <c r="F85" i="63"/>
  <c r="F94" i="63" s="1"/>
  <c r="F83" i="63"/>
  <c r="F92" i="63" s="1"/>
  <c r="F81" i="63"/>
  <c r="F90" i="63" s="1"/>
  <c r="G164" i="28"/>
  <c r="F87" i="63"/>
  <c r="F96" i="63" s="1"/>
  <c r="P82" i="63"/>
  <c r="P91" i="63" s="1"/>
  <c r="K86" i="63"/>
  <c r="K95" i="63" s="1"/>
  <c r="K84" i="63"/>
  <c r="K93" i="63" s="1"/>
  <c r="K82" i="63"/>
  <c r="K91" i="63" s="1"/>
  <c r="K80" i="63"/>
  <c r="K89" i="63" s="1"/>
  <c r="H82" i="63"/>
  <c r="H91" i="63" s="1"/>
  <c r="H84" i="63"/>
  <c r="H93" i="63" s="1"/>
  <c r="H80" i="63"/>
  <c r="H89" i="63" s="1"/>
  <c r="H90" i="63"/>
  <c r="M86" i="63"/>
  <c r="M95" i="63" s="1"/>
  <c r="M84" i="63"/>
  <c r="M93" i="63" s="1"/>
  <c r="M80" i="63"/>
  <c r="M89" i="63" s="1"/>
  <c r="M82" i="63"/>
  <c r="M91" i="63" s="1"/>
  <c r="H164" i="28" l="1"/>
  <c r="F86" i="63"/>
  <c r="F95" i="63" s="1"/>
  <c r="F84" i="63"/>
  <c r="F93" i="63" s="1"/>
  <c r="F82" i="63"/>
  <c r="F91" i="63" s="1"/>
  <c r="F89" i="63"/>
  <c r="P433" i="45"/>
  <c r="P428" i="45"/>
  <c r="P423" i="45"/>
  <c r="P410" i="45"/>
  <c r="P406" i="45"/>
  <c r="P402" i="45"/>
  <c r="P398" i="45"/>
  <c r="P394" i="45"/>
  <c r="P390" i="45"/>
  <c r="P409" i="45"/>
  <c r="P397" i="45"/>
  <c r="P393" i="45"/>
  <c r="P426" i="45"/>
  <c r="P417" i="45"/>
  <c r="P412" i="45"/>
  <c r="P396" i="45"/>
  <c r="P392" i="45"/>
  <c r="P430" i="45"/>
  <c r="P416" i="45"/>
  <c r="P411" i="45"/>
  <c r="P407" i="45"/>
  <c r="P437" i="45"/>
  <c r="P432" i="45"/>
  <c r="P427" i="45"/>
  <c r="P414" i="45"/>
  <c r="P435" i="45"/>
  <c r="P422" i="45"/>
  <c r="P413" i="45"/>
  <c r="P405" i="45"/>
  <c r="P401" i="45"/>
  <c r="P404" i="45"/>
  <c r="P436" i="45"/>
  <c r="P431" i="45"/>
  <c r="P418" i="45"/>
  <c r="P389" i="45"/>
  <c r="P408" i="45"/>
  <c r="P400" i="45"/>
  <c r="P421" i="45"/>
  <c r="P434" i="45"/>
  <c r="P424" i="45"/>
  <c r="P395" i="45"/>
  <c r="P420" i="45"/>
  <c r="P425" i="45"/>
  <c r="P415" i="45"/>
  <c r="P403" i="45"/>
  <c r="P419" i="45"/>
  <c r="P388" i="45"/>
  <c r="P391" i="45"/>
  <c r="P429" i="45"/>
  <c r="P438" i="45"/>
  <c r="P399" i="45"/>
  <c r="N434" i="45"/>
  <c r="N425" i="45"/>
  <c r="N420" i="45"/>
  <c r="N415" i="45"/>
  <c r="N436" i="45"/>
  <c r="N422" i="45"/>
  <c r="N413" i="45"/>
  <c r="N405" i="45"/>
  <c r="N438" i="45"/>
  <c r="N429" i="45"/>
  <c r="N424" i="45"/>
  <c r="N419" i="45"/>
  <c r="N437" i="45"/>
  <c r="N432" i="45"/>
  <c r="N427" i="45"/>
  <c r="N414" i="45"/>
  <c r="N418" i="45"/>
  <c r="N435" i="45"/>
  <c r="N409" i="45"/>
  <c r="N433" i="45"/>
  <c r="N428" i="45"/>
  <c r="N423" i="45"/>
  <c r="N410" i="45"/>
  <c r="N406" i="45"/>
  <c r="N402" i="45"/>
  <c r="N398" i="45"/>
  <c r="N394" i="45"/>
  <c r="N390" i="45"/>
  <c r="N431" i="45"/>
  <c r="N408" i="45"/>
  <c r="N400" i="45"/>
  <c r="N399" i="45"/>
  <c r="N388" i="45"/>
  <c r="N403" i="45"/>
  <c r="N417" i="45"/>
  <c r="N421" i="45"/>
  <c r="N411" i="45"/>
  <c r="N401" i="45"/>
  <c r="N426" i="45"/>
  <c r="N392" i="45"/>
  <c r="N416" i="45"/>
  <c r="N407" i="45"/>
  <c r="N412" i="45"/>
  <c r="N396" i="45"/>
  <c r="N395" i="45"/>
  <c r="N397" i="45"/>
  <c r="N391" i="45"/>
  <c r="N393" i="45"/>
  <c r="N430" i="45"/>
  <c r="N404" i="45"/>
  <c r="N389" i="45"/>
  <c r="M430" i="45"/>
  <c r="M421" i="45"/>
  <c r="M416" i="45"/>
  <c r="M411" i="45"/>
  <c r="M407" i="45"/>
  <c r="M403" i="45"/>
  <c r="M399" i="45"/>
  <c r="M395" i="45"/>
  <c r="M391" i="45"/>
  <c r="M388" i="45"/>
  <c r="M402" i="45"/>
  <c r="M414" i="45"/>
  <c r="M418" i="45"/>
  <c r="M434" i="45"/>
  <c r="M425" i="45"/>
  <c r="M420" i="45"/>
  <c r="M415" i="45"/>
  <c r="M433" i="45"/>
  <c r="M428" i="45"/>
  <c r="M423" i="45"/>
  <c r="M410" i="45"/>
  <c r="M390" i="45"/>
  <c r="M436" i="45"/>
  <c r="M438" i="45"/>
  <c r="M429" i="45"/>
  <c r="M424" i="45"/>
  <c r="M419" i="45"/>
  <c r="M406" i="45"/>
  <c r="M398" i="45"/>
  <c r="M394" i="45"/>
  <c r="M437" i="45"/>
  <c r="M432" i="45"/>
  <c r="M427" i="45"/>
  <c r="M431" i="45"/>
  <c r="M417" i="45"/>
  <c r="M389" i="45"/>
  <c r="M409" i="45"/>
  <c r="M397" i="45"/>
  <c r="M413" i="45"/>
  <c r="M392" i="45"/>
  <c r="M393" i="45"/>
  <c r="M404" i="45"/>
  <c r="M408" i="45"/>
  <c r="M405" i="45"/>
  <c r="M400" i="45"/>
  <c r="M435" i="45"/>
  <c r="M422" i="45"/>
  <c r="M401" i="45"/>
  <c r="M412" i="45"/>
  <c r="M396" i="45"/>
  <c r="M426" i="45"/>
  <c r="Q437" i="45"/>
  <c r="Q432" i="45"/>
  <c r="Q427" i="45"/>
  <c r="Q414" i="45"/>
  <c r="Q412" i="45"/>
  <c r="Q404" i="45"/>
  <c r="Q421" i="45"/>
  <c r="Q407" i="45"/>
  <c r="Q399" i="45"/>
  <c r="Q388" i="45"/>
  <c r="Q420" i="45"/>
  <c r="Q436" i="45"/>
  <c r="Q431" i="45"/>
  <c r="Q418" i="45"/>
  <c r="Q426" i="45"/>
  <c r="Q434" i="45"/>
  <c r="Q415" i="45"/>
  <c r="Q435" i="45"/>
  <c r="Q422" i="45"/>
  <c r="Q413" i="45"/>
  <c r="Q409" i="45"/>
  <c r="Q405" i="45"/>
  <c r="Q401" i="45"/>
  <c r="Q397" i="45"/>
  <c r="Q393" i="45"/>
  <c r="Q389" i="45"/>
  <c r="Q417" i="45"/>
  <c r="Q408" i="45"/>
  <c r="Q400" i="45"/>
  <c r="Q396" i="45"/>
  <c r="Q392" i="45"/>
  <c r="Q430" i="45"/>
  <c r="Q416" i="45"/>
  <c r="Q411" i="45"/>
  <c r="Q403" i="45"/>
  <c r="Q395" i="45"/>
  <c r="Q391" i="45"/>
  <c r="Q425" i="45"/>
  <c r="Q402" i="45"/>
  <c r="Q406" i="45"/>
  <c r="Q428" i="45"/>
  <c r="Q390" i="45"/>
  <c r="Q424" i="45"/>
  <c r="Q394" i="45"/>
  <c r="Q429" i="45"/>
  <c r="Q438" i="45"/>
  <c r="Q419" i="45"/>
  <c r="Q423" i="45"/>
  <c r="Q398" i="45"/>
  <c r="Q433" i="45"/>
  <c r="Q410" i="45"/>
  <c r="O438" i="45"/>
  <c r="O429" i="45"/>
  <c r="O424" i="45"/>
  <c r="O419" i="45"/>
  <c r="O401" i="45"/>
  <c r="O397" i="45"/>
  <c r="O433" i="45"/>
  <c r="O428" i="45"/>
  <c r="O423" i="45"/>
  <c r="O410" i="45"/>
  <c r="O406" i="45"/>
  <c r="O402" i="45"/>
  <c r="O398" i="45"/>
  <c r="O394" i="45"/>
  <c r="O390" i="45"/>
  <c r="O436" i="45"/>
  <c r="O431" i="45"/>
  <c r="O418" i="45"/>
  <c r="O426" i="45"/>
  <c r="O404" i="45"/>
  <c r="O437" i="45"/>
  <c r="O432" i="45"/>
  <c r="O427" i="45"/>
  <c r="O414" i="45"/>
  <c r="O435" i="45"/>
  <c r="O422" i="45"/>
  <c r="O413" i="45"/>
  <c r="O409" i="45"/>
  <c r="O405" i="45"/>
  <c r="O393" i="45"/>
  <c r="O389" i="45"/>
  <c r="O417" i="45"/>
  <c r="O412" i="45"/>
  <c r="O408" i="45"/>
  <c r="O421" i="45"/>
  <c r="O411" i="45"/>
  <c r="O434" i="45"/>
  <c r="O396" i="45"/>
  <c r="O395" i="45"/>
  <c r="O392" i="45"/>
  <c r="O415" i="45"/>
  <c r="O430" i="45"/>
  <c r="O420" i="45"/>
  <c r="O399" i="45"/>
  <c r="O425" i="45"/>
  <c r="O391" i="45"/>
  <c r="O416" i="45"/>
  <c r="O403" i="45"/>
  <c r="O407" i="45"/>
  <c r="O400" i="45"/>
  <c r="O388" i="45"/>
  <c r="H129" i="48"/>
  <c r="H128" i="48"/>
  <c r="H127" i="48"/>
  <c r="H126" i="48"/>
  <c r="H125" i="48"/>
  <c r="H124" i="48"/>
  <c r="H123" i="48"/>
  <c r="H122" i="48"/>
  <c r="H121" i="48"/>
  <c r="H120" i="48"/>
  <c r="H119" i="48"/>
  <c r="H118" i="48"/>
  <c r="H117" i="48"/>
  <c r="H116" i="48"/>
  <c r="H115" i="48"/>
  <c r="H114" i="48"/>
  <c r="H113" i="48"/>
  <c r="H112" i="48"/>
  <c r="H111" i="48"/>
  <c r="H110" i="48"/>
  <c r="H109" i="48"/>
  <c r="H108" i="48"/>
  <c r="H107" i="48"/>
  <c r="H106" i="48"/>
  <c r="H105" i="48"/>
  <c r="H104" i="48"/>
  <c r="H103" i="48"/>
  <c r="H102" i="48"/>
  <c r="H101" i="48"/>
  <c r="H100" i="48"/>
  <c r="H99" i="48"/>
  <c r="H98" i="48"/>
  <c r="H97" i="48"/>
  <c r="H96" i="48"/>
  <c r="H95" i="48"/>
  <c r="H94" i="48"/>
  <c r="H93" i="48"/>
  <c r="H92" i="48"/>
  <c r="H91" i="48"/>
  <c r="H90" i="48"/>
  <c r="H89" i="48"/>
  <c r="H88" i="48"/>
  <c r="H87" i="48"/>
  <c r="H86" i="48"/>
  <c r="H85" i="48"/>
  <c r="H84" i="48"/>
  <c r="H83" i="48"/>
  <c r="H82" i="48"/>
  <c r="H81" i="48"/>
  <c r="H80" i="48"/>
  <c r="H79" i="48"/>
  <c r="R388" i="45" l="1"/>
  <c r="K13" i="54" l="1"/>
  <c r="L37" i="52"/>
  <c r="H6" i="60" l="1"/>
  <c r="C9" i="48"/>
  <c r="B9" i="48"/>
  <c r="C8" i="48"/>
  <c r="B8" i="48"/>
  <c r="C4" i="59"/>
  <c r="A10" i="45" l="1"/>
  <c r="H10" i="55"/>
  <c r="G10" i="55"/>
  <c r="F10" i="55"/>
  <c r="E10" i="55"/>
  <c r="D10" i="55"/>
  <c r="F25" i="44"/>
  <c r="K25" i="44"/>
  <c r="J25" i="44"/>
  <c r="G25" i="44"/>
  <c r="K15" i="44"/>
  <c r="J15" i="44"/>
  <c r="G15" i="44"/>
  <c r="F15" i="44"/>
  <c r="A18" i="7"/>
  <c r="V18" i="7"/>
  <c r="V19" i="7"/>
  <c r="W19" i="7"/>
  <c r="X19" i="7"/>
  <c r="Y19" i="7"/>
  <c r="Z19" i="7"/>
  <c r="AA19" i="7"/>
  <c r="AB19" i="7"/>
  <c r="AC19" i="7"/>
  <c r="AD19" i="7"/>
  <c r="A20" i="7"/>
  <c r="A21" i="7"/>
  <c r="A22" i="7"/>
  <c r="A23" i="7"/>
  <c r="A24" i="7"/>
  <c r="A25" i="7"/>
  <c r="A26" i="7"/>
  <c r="A27" i="7"/>
  <c r="D14" i="50"/>
  <c r="C13" i="50"/>
  <c r="C14" i="50" s="1"/>
  <c r="B13" i="50"/>
  <c r="B12" i="50"/>
  <c r="B14" i="50" l="1"/>
  <c r="H332" i="43" l="1"/>
  <c r="H331" i="43"/>
  <c r="H330" i="43"/>
  <c r="H329" i="43"/>
  <c r="H328" i="43"/>
  <c r="H327" i="43"/>
  <c r="H326" i="43"/>
  <c r="H325" i="43"/>
  <c r="H324" i="43"/>
  <c r="H323" i="43"/>
  <c r="H322" i="43"/>
  <c r="H321" i="43"/>
  <c r="H320" i="43"/>
  <c r="H319" i="43"/>
  <c r="H318" i="43"/>
  <c r="H317" i="43"/>
  <c r="H316" i="43"/>
  <c r="H315" i="43"/>
  <c r="H314" i="43"/>
  <c r="H313" i="43"/>
  <c r="H312" i="43"/>
  <c r="H311" i="43"/>
  <c r="H310" i="43"/>
  <c r="H309" i="43"/>
  <c r="H308" i="43"/>
  <c r="H307" i="43"/>
  <c r="H306" i="43"/>
  <c r="H305" i="43"/>
  <c r="H304" i="43"/>
  <c r="H303" i="43"/>
  <c r="H302" i="43"/>
  <c r="H301" i="43"/>
  <c r="H300" i="43"/>
  <c r="H299" i="43"/>
  <c r="H298" i="43"/>
  <c r="H297" i="43"/>
  <c r="H296" i="43"/>
  <c r="H295" i="43"/>
  <c r="H294" i="43"/>
  <c r="H293" i="43"/>
  <c r="H292" i="43"/>
  <c r="H291" i="43"/>
  <c r="H290" i="43"/>
  <c r="H289" i="43"/>
  <c r="H288" i="43"/>
  <c r="H287" i="43"/>
  <c r="H286" i="43"/>
  <c r="H285" i="43"/>
  <c r="H284" i="43"/>
  <c r="H283" i="43"/>
  <c r="H282" i="43"/>
  <c r="H281" i="43"/>
  <c r="H280" i="43"/>
  <c r="H279" i="43"/>
  <c r="H278" i="43"/>
  <c r="H277" i="43"/>
  <c r="H276" i="43"/>
  <c r="H275" i="43"/>
  <c r="H274" i="43"/>
  <c r="H273" i="43"/>
  <c r="H272" i="43"/>
  <c r="H271" i="43"/>
  <c r="H270" i="43"/>
  <c r="H269" i="43"/>
  <c r="H268" i="43"/>
  <c r="H267" i="43"/>
  <c r="H266" i="43"/>
  <c r="H265" i="43"/>
  <c r="H264" i="43"/>
  <c r="H263" i="43"/>
  <c r="H262" i="43"/>
  <c r="H261" i="43"/>
  <c r="H260" i="43"/>
  <c r="H259" i="43"/>
  <c r="H258" i="43"/>
  <c r="H257" i="43"/>
  <c r="H256" i="43"/>
  <c r="H255" i="43"/>
  <c r="H254" i="43"/>
  <c r="H253" i="43"/>
  <c r="H252" i="43"/>
  <c r="H251" i="43"/>
  <c r="H250" i="43"/>
  <c r="H249" i="43"/>
  <c r="H248" i="43"/>
  <c r="H247" i="43"/>
  <c r="H246" i="43"/>
  <c r="H245" i="43"/>
  <c r="H244" i="43"/>
  <c r="H243" i="43"/>
  <c r="H242" i="43"/>
  <c r="H241" i="43"/>
  <c r="H240" i="43"/>
  <c r="H239" i="43"/>
  <c r="H238" i="43"/>
  <c r="H237" i="43"/>
  <c r="H236" i="43"/>
  <c r="H235" i="43"/>
  <c r="H234" i="43"/>
  <c r="H233" i="43"/>
  <c r="H232" i="43"/>
  <c r="H231" i="43"/>
  <c r="H230" i="43"/>
  <c r="H229" i="43"/>
  <c r="H228" i="43"/>
  <c r="H227" i="43"/>
  <c r="H226" i="43"/>
  <c r="H225" i="43"/>
  <c r="H224" i="43"/>
  <c r="H223" i="43"/>
  <c r="H222" i="43"/>
  <c r="H221" i="43"/>
  <c r="H220" i="43"/>
  <c r="H219" i="43"/>
  <c r="H218" i="43"/>
  <c r="H217" i="43"/>
  <c r="H216" i="43"/>
  <c r="H215" i="43"/>
  <c r="H214" i="43"/>
  <c r="H213" i="43"/>
  <c r="H212" i="43"/>
  <c r="H211" i="43"/>
  <c r="H210" i="43"/>
  <c r="H209" i="43"/>
  <c r="H208" i="43"/>
  <c r="H207" i="43"/>
  <c r="H206" i="43"/>
  <c r="H205" i="43"/>
  <c r="H204" i="43"/>
  <c r="H203" i="43"/>
  <c r="H202" i="43"/>
  <c r="H201" i="43"/>
  <c r="H200" i="43"/>
  <c r="H199" i="43"/>
  <c r="H198" i="43"/>
  <c r="H197" i="43"/>
  <c r="H196" i="43"/>
  <c r="H195" i="43"/>
  <c r="H194" i="43"/>
  <c r="H193" i="43"/>
  <c r="H192" i="43"/>
  <c r="H191" i="43"/>
  <c r="H190" i="43"/>
  <c r="H189" i="43"/>
  <c r="H188" i="43"/>
  <c r="H187" i="43"/>
  <c r="H186" i="43"/>
  <c r="H185" i="43"/>
  <c r="H184" i="43"/>
  <c r="H183" i="43"/>
  <c r="H182" i="43"/>
  <c r="H181" i="43"/>
  <c r="H180" i="43"/>
  <c r="H128" i="43"/>
  <c r="H127" i="43"/>
  <c r="H126" i="43"/>
  <c r="H125" i="43"/>
  <c r="H124" i="43"/>
  <c r="H123" i="43"/>
  <c r="H122" i="43"/>
  <c r="H121" i="43"/>
  <c r="H120" i="43"/>
  <c r="H119" i="43"/>
  <c r="H118" i="43"/>
  <c r="H117" i="43"/>
  <c r="H116" i="43"/>
  <c r="H115" i="43"/>
  <c r="H114" i="43"/>
  <c r="H113" i="43"/>
  <c r="H112" i="43"/>
  <c r="H111" i="43"/>
  <c r="H110" i="43"/>
  <c r="H109" i="43"/>
  <c r="H108" i="43"/>
  <c r="H107" i="43"/>
  <c r="H106" i="43"/>
  <c r="H105" i="43"/>
  <c r="H104" i="43"/>
  <c r="H103" i="43"/>
  <c r="H102" i="43"/>
  <c r="H101" i="43"/>
  <c r="H100" i="43"/>
  <c r="H99" i="43"/>
  <c r="H98" i="43"/>
  <c r="H97" i="43"/>
  <c r="H96" i="43"/>
  <c r="H95" i="43"/>
  <c r="H94" i="43"/>
  <c r="H93" i="43"/>
  <c r="H92" i="43"/>
  <c r="H91" i="43"/>
  <c r="H90" i="43"/>
  <c r="H89" i="43"/>
  <c r="H88" i="43"/>
  <c r="H87" i="43"/>
  <c r="H86" i="43"/>
  <c r="H85" i="43"/>
  <c r="H84" i="43"/>
  <c r="H83" i="43"/>
  <c r="H82" i="43"/>
  <c r="H81" i="43"/>
  <c r="H80" i="43"/>
  <c r="H79" i="43"/>
  <c r="H78" i="43"/>
  <c r="H179" i="43"/>
  <c r="H178" i="43"/>
  <c r="H177" i="43"/>
  <c r="H176" i="43"/>
  <c r="H175" i="43"/>
  <c r="H174" i="43"/>
  <c r="H173" i="43"/>
  <c r="H172" i="43"/>
  <c r="H171" i="43"/>
  <c r="H170" i="43"/>
  <c r="H169" i="43"/>
  <c r="H168" i="43"/>
  <c r="H167" i="43"/>
  <c r="H166" i="43"/>
  <c r="H165" i="43"/>
  <c r="H164" i="43"/>
  <c r="H163" i="43"/>
  <c r="H162" i="43"/>
  <c r="H161" i="43"/>
  <c r="H160" i="43"/>
  <c r="H159" i="43"/>
  <c r="H158" i="43"/>
  <c r="H157" i="43"/>
  <c r="H156" i="43"/>
  <c r="H155" i="43"/>
  <c r="H154" i="43"/>
  <c r="H153" i="43"/>
  <c r="H152" i="43"/>
  <c r="H151" i="43"/>
  <c r="H150" i="43"/>
  <c r="H149" i="43"/>
  <c r="H148" i="43"/>
  <c r="H147" i="43"/>
  <c r="H146" i="43"/>
  <c r="H145" i="43"/>
  <c r="H144" i="43"/>
  <c r="H143" i="43"/>
  <c r="H142" i="43"/>
  <c r="H141" i="43"/>
  <c r="H140" i="43"/>
  <c r="H139" i="43"/>
  <c r="H138" i="43"/>
  <c r="H137" i="43"/>
  <c r="H136" i="43"/>
  <c r="H135" i="43"/>
  <c r="H134" i="43"/>
  <c r="H133" i="43"/>
  <c r="H132" i="43"/>
  <c r="H131" i="43"/>
  <c r="H130" i="43"/>
  <c r="H129" i="43"/>
  <c r="H77" i="43"/>
  <c r="H76" i="43"/>
  <c r="H75" i="43"/>
  <c r="H74" i="43"/>
  <c r="H73" i="43"/>
  <c r="H72" i="43"/>
  <c r="H71" i="43"/>
  <c r="H70" i="43"/>
  <c r="H69" i="43"/>
  <c r="H68" i="43"/>
  <c r="H67" i="43"/>
  <c r="H66" i="43"/>
  <c r="H65" i="43"/>
  <c r="H64" i="43"/>
  <c r="H63" i="43"/>
  <c r="H62" i="43"/>
  <c r="H61" i="43"/>
  <c r="H60" i="43"/>
  <c r="H59" i="43"/>
  <c r="H58" i="43"/>
  <c r="H57" i="43"/>
  <c r="H56" i="43"/>
  <c r="H55" i="43"/>
  <c r="H54" i="43"/>
  <c r="H53" i="43"/>
  <c r="H52" i="43"/>
  <c r="H51" i="43"/>
  <c r="H50" i="43"/>
  <c r="H49" i="43"/>
  <c r="H48" i="43"/>
  <c r="H47" i="43"/>
  <c r="H46" i="43"/>
  <c r="H45" i="43"/>
  <c r="H44" i="43"/>
  <c r="H43" i="43"/>
  <c r="H42" i="43"/>
  <c r="H41" i="43"/>
  <c r="H40" i="43"/>
  <c r="H39" i="43"/>
  <c r="H38" i="43"/>
  <c r="H37" i="43"/>
  <c r="H36" i="43"/>
  <c r="H35" i="43"/>
  <c r="H34" i="43"/>
  <c r="H33" i="43"/>
  <c r="H32" i="43"/>
  <c r="H31" i="43"/>
  <c r="H30" i="43"/>
  <c r="H29" i="43"/>
  <c r="H28" i="43"/>
  <c r="H27" i="43"/>
  <c r="S236" i="44" l="1"/>
  <c r="Q236" i="44"/>
  <c r="P236" i="44"/>
  <c r="P287" i="44" s="1"/>
  <c r="O236" i="44"/>
  <c r="R235" i="44"/>
  <c r="R286" i="44" s="1"/>
  <c r="Q234" i="44"/>
  <c r="Q285" i="44" s="1"/>
  <c r="N234" i="44"/>
  <c r="S233" i="44"/>
  <c r="P233" i="44"/>
  <c r="P284" i="44" s="1"/>
  <c r="R232" i="44"/>
  <c r="R283" i="44" s="1"/>
  <c r="O232" i="44"/>
  <c r="O283" i="44" s="1"/>
  <c r="S231" i="44"/>
  <c r="R231" i="44"/>
  <c r="R282" i="44" s="1"/>
  <c r="N231" i="44"/>
  <c r="N282" i="44" s="1"/>
  <c r="P230" i="44"/>
  <c r="P281" i="44" s="1"/>
  <c r="P229" i="44"/>
  <c r="N228" i="44"/>
  <c r="N279" i="44" s="1"/>
  <c r="R227" i="44"/>
  <c r="R278" i="44" s="1"/>
  <c r="Q226" i="44"/>
  <c r="Q277" i="44" s="1"/>
  <c r="P225" i="44"/>
  <c r="P276" i="44" s="1"/>
  <c r="R224" i="44"/>
  <c r="Q223" i="44"/>
  <c r="Q274" i="44" s="1"/>
  <c r="N223" i="44"/>
  <c r="N274" i="44" s="1"/>
  <c r="P222" i="44"/>
  <c r="O221" i="44"/>
  <c r="O272" i="44" s="1"/>
  <c r="S220" i="44"/>
  <c r="O220" i="44"/>
  <c r="Q218" i="44"/>
  <c r="Q269" i="44" s="1"/>
  <c r="Q215" i="44"/>
  <c r="P214" i="44"/>
  <c r="P265" i="44" s="1"/>
  <c r="P213" i="44"/>
  <c r="N212" i="44"/>
  <c r="N263" i="44" s="1"/>
  <c r="O211" i="44"/>
  <c r="S209" i="44"/>
  <c r="S260" i="44" s="1"/>
  <c r="R208" i="44"/>
  <c r="P206" i="44"/>
  <c r="O205" i="44"/>
  <c r="O256" i="44" s="1"/>
  <c r="N202" i="44"/>
  <c r="S201" i="44"/>
  <c r="R200" i="44"/>
  <c r="R251" i="44" s="1"/>
  <c r="P198" i="44"/>
  <c r="P249" i="44" s="1"/>
  <c r="N196" i="44"/>
  <c r="N247" i="44" s="1"/>
  <c r="S193" i="44"/>
  <c r="S244" i="44" s="1"/>
  <c r="Q193" i="44"/>
  <c r="Q244" i="44" s="1"/>
  <c r="P193" i="44"/>
  <c r="P244" i="44" s="1"/>
  <c r="R192" i="44"/>
  <c r="R243" i="44" s="1"/>
  <c r="P192" i="44"/>
  <c r="P243" i="44" s="1"/>
  <c r="R191" i="44"/>
  <c r="O191" i="44"/>
  <c r="O242" i="44" s="1"/>
  <c r="N190" i="44"/>
  <c r="N241" i="44" s="1"/>
  <c r="O188" i="44"/>
  <c r="S187" i="44"/>
  <c r="S238" i="44" s="1"/>
  <c r="N187" i="44"/>
  <c r="S186" i="44"/>
  <c r="B8" i="49"/>
  <c r="B11" i="49" s="1"/>
  <c r="B45" i="45" s="1"/>
  <c r="R216" i="44" l="1"/>
  <c r="R267" i="44" s="1"/>
  <c r="Q199" i="44"/>
  <c r="Q250" i="44" s="1"/>
  <c r="S217" i="44"/>
  <c r="S268" i="44" s="1"/>
  <c r="Q207" i="44"/>
  <c r="Q258" i="44" s="1"/>
  <c r="S225" i="44"/>
  <c r="S276" i="44" s="1"/>
  <c r="Q231" i="44"/>
  <c r="O262" i="44"/>
  <c r="P264" i="44"/>
  <c r="N253" i="44"/>
  <c r="N192" i="44"/>
  <c r="S194" i="44"/>
  <c r="Q196" i="44"/>
  <c r="O203" i="44"/>
  <c r="O254" i="44" s="1"/>
  <c r="S207" i="44"/>
  <c r="R223" i="44"/>
  <c r="R274" i="44" s="1"/>
  <c r="Q188" i="44"/>
  <c r="Q239" i="44" s="1"/>
  <c r="S199" i="44"/>
  <c r="S215" i="44"/>
  <c r="N216" i="44"/>
  <c r="N267" i="44" s="1"/>
  <c r="R225" i="44"/>
  <c r="R276" i="44" s="1"/>
  <c r="N226" i="44"/>
  <c r="N277" i="44" s="1"/>
  <c r="P228" i="44"/>
  <c r="P279" i="44" s="1"/>
  <c r="S230" i="44"/>
  <c r="Q235" i="44"/>
  <c r="S284" i="44"/>
  <c r="Q198" i="44"/>
  <c r="R201" i="44"/>
  <c r="R252" i="44" s="1"/>
  <c r="R204" i="44"/>
  <c r="N205" i="44"/>
  <c r="N256" i="44" s="1"/>
  <c r="Q206" i="44"/>
  <c r="Q257" i="44" s="1"/>
  <c r="O208" i="44"/>
  <c r="O259" i="44" s="1"/>
  <c r="R209" i="44"/>
  <c r="R260" i="44" s="1"/>
  <c r="R212" i="44"/>
  <c r="R263" i="44" s="1"/>
  <c r="N213" i="44"/>
  <c r="N264" i="44" s="1"/>
  <c r="Q214" i="44"/>
  <c r="O216" i="44"/>
  <c r="O267" i="44" s="1"/>
  <c r="R221" i="44"/>
  <c r="O222" i="44"/>
  <c r="O273" i="44" s="1"/>
  <c r="S223" i="44"/>
  <c r="O226" i="44"/>
  <c r="Q228" i="44"/>
  <c r="N229" i="44"/>
  <c r="N280" i="44" s="1"/>
  <c r="N232" i="44"/>
  <c r="N283" i="44" s="1"/>
  <c r="S237" i="44"/>
  <c r="P273" i="44"/>
  <c r="Q187" i="44"/>
  <c r="Q238" i="44" s="1"/>
  <c r="S188" i="44"/>
  <c r="R190" i="44"/>
  <c r="Q195" i="44"/>
  <c r="Q246" i="44" s="1"/>
  <c r="S196" i="44"/>
  <c r="R198" i="44"/>
  <c r="R249" i="44" s="1"/>
  <c r="Q203" i="44"/>
  <c r="S204" i="44"/>
  <c r="R206" i="44"/>
  <c r="R257" i="44" s="1"/>
  <c r="Q211" i="44"/>
  <c r="Q262" i="44" s="1"/>
  <c r="S212" i="44"/>
  <c r="R214" i="44"/>
  <c r="R265" i="44" s="1"/>
  <c r="O218" i="44"/>
  <c r="S221" i="44"/>
  <c r="P226" i="44"/>
  <c r="R228" i="44"/>
  <c r="R279" i="44" s="1"/>
  <c r="S234" i="44"/>
  <c r="Q287" i="44"/>
  <c r="N285" i="44"/>
  <c r="Q212" i="44"/>
  <c r="N224" i="44"/>
  <c r="N237" i="44"/>
  <c r="Q192" i="44"/>
  <c r="Q243" i="44" s="1"/>
  <c r="N194" i="44"/>
  <c r="N245" i="44" s="1"/>
  <c r="Q200" i="44"/>
  <c r="Q251" i="44" s="1"/>
  <c r="P205" i="44"/>
  <c r="P256" i="44" s="1"/>
  <c r="N207" i="44"/>
  <c r="N258" i="44" s="1"/>
  <c r="N210" i="44"/>
  <c r="N261" i="44" s="1"/>
  <c r="S214" i="44"/>
  <c r="Q216" i="44"/>
  <c r="Q267" i="44" s="1"/>
  <c r="P220" i="44"/>
  <c r="P271" i="44" s="1"/>
  <c r="Q222" i="44"/>
  <c r="Q224" i="44"/>
  <c r="Q275" i="44" s="1"/>
  <c r="S282" i="44"/>
  <c r="N233" i="44"/>
  <c r="R236" i="44"/>
  <c r="P189" i="44"/>
  <c r="R242" i="44"/>
  <c r="R259" i="44"/>
  <c r="O271" i="44"/>
  <c r="Q282" i="44"/>
  <c r="P211" i="44"/>
  <c r="P218" i="44"/>
  <c r="P269" i="44" s="1"/>
  <c r="Q189" i="44"/>
  <c r="O194" i="44"/>
  <c r="Q197" i="44"/>
  <c r="Q248" i="44" s="1"/>
  <c r="O202" i="44"/>
  <c r="Q205" i="44"/>
  <c r="O210" i="44"/>
  <c r="Q213" i="44"/>
  <c r="Q264" i="44" s="1"/>
  <c r="N217" i="44"/>
  <c r="N219" i="44"/>
  <c r="Q220" i="44"/>
  <c r="R222" i="44"/>
  <c r="R273" i="44" s="1"/>
  <c r="N225" i="44"/>
  <c r="P227" i="44"/>
  <c r="Q229" i="44"/>
  <c r="O230" i="44"/>
  <c r="O281" i="44" s="1"/>
  <c r="Q232" i="44"/>
  <c r="Q283" i="44" s="1"/>
  <c r="O233" i="44"/>
  <c r="S287" i="44"/>
  <c r="N238" i="44"/>
  <c r="O187" i="44"/>
  <c r="N200" i="44"/>
  <c r="N251" i="44" s="1"/>
  <c r="R217" i="44"/>
  <c r="R268" i="44" s="1"/>
  <c r="R188" i="44"/>
  <c r="R239" i="44" s="1"/>
  <c r="O192" i="44"/>
  <c r="O243" i="44" s="1"/>
  <c r="R187" i="44"/>
  <c r="R238" i="44" s="1"/>
  <c r="S190" i="44"/>
  <c r="N191" i="44"/>
  <c r="N242" i="44" s="1"/>
  <c r="R195" i="44"/>
  <c r="R246" i="44" s="1"/>
  <c r="S198" i="44"/>
  <c r="N199" i="44"/>
  <c r="N250" i="44" s="1"/>
  <c r="R203" i="44"/>
  <c r="R254" i="44" s="1"/>
  <c r="S206" i="44"/>
  <c r="Q208" i="44"/>
  <c r="Q259" i="44" s="1"/>
  <c r="R211" i="44"/>
  <c r="R262" i="44" s="1"/>
  <c r="N215" i="44"/>
  <c r="N266" i="44" s="1"/>
  <c r="P237" i="44"/>
  <c r="Q186" i="44"/>
  <c r="Q237" i="44" s="1"/>
  <c r="R189" i="44"/>
  <c r="R240" i="44" s="1"/>
  <c r="P191" i="44"/>
  <c r="S192" i="44"/>
  <c r="N193" i="44"/>
  <c r="P194" i="44"/>
  <c r="R197" i="44"/>
  <c r="P199" i="44"/>
  <c r="P250" i="44" s="1"/>
  <c r="S200" i="44"/>
  <c r="N201" i="44"/>
  <c r="P202" i="44"/>
  <c r="P253" i="44" s="1"/>
  <c r="R205" i="44"/>
  <c r="P207" i="44"/>
  <c r="P258" i="44" s="1"/>
  <c r="S208" i="44"/>
  <c r="N209" i="44"/>
  <c r="P210" i="44"/>
  <c r="R213" i="44"/>
  <c r="P215" i="44"/>
  <c r="P266" i="44" s="1"/>
  <c r="S216" i="44"/>
  <c r="O217" i="44"/>
  <c r="O219" i="44"/>
  <c r="O270" i="44" s="1"/>
  <c r="R220" i="44"/>
  <c r="N221" i="44"/>
  <c r="N272" i="44" s="1"/>
  <c r="S222" i="44"/>
  <c r="S224" i="44"/>
  <c r="O225" i="44"/>
  <c r="O276" i="44" s="1"/>
  <c r="S226" i="44"/>
  <c r="Q227" i="44"/>
  <c r="Q278" i="44" s="1"/>
  <c r="R229" i="44"/>
  <c r="P197" i="44"/>
  <c r="P257" i="44"/>
  <c r="P280" i="44"/>
  <c r="S202" i="44"/>
  <c r="Q204" i="44"/>
  <c r="Q221" i="44"/>
  <c r="P231" i="44"/>
  <c r="P282" i="44" s="1"/>
  <c r="O239" i="44"/>
  <c r="S252" i="44"/>
  <c r="P187" i="44"/>
  <c r="P238" i="44" s="1"/>
  <c r="N189" i="44"/>
  <c r="R193" i="44"/>
  <c r="R196" i="44"/>
  <c r="R247" i="44" s="1"/>
  <c r="P203" i="44"/>
  <c r="O193" i="44"/>
  <c r="O196" i="44"/>
  <c r="O247" i="44" s="1"/>
  <c r="Q210" i="44"/>
  <c r="Q261" i="44" s="1"/>
  <c r="S213" i="44"/>
  <c r="P219" i="44"/>
  <c r="S271" i="44"/>
  <c r="P223" i="44"/>
  <c r="P274" i="44" s="1"/>
  <c r="S229" i="44"/>
  <c r="O234" i="44"/>
  <c r="N218" i="44"/>
  <c r="S191" i="44"/>
  <c r="N208" i="44"/>
  <c r="S210" i="44"/>
  <c r="P195" i="44"/>
  <c r="N197" i="44"/>
  <c r="N248" i="44" s="1"/>
  <c r="O200" i="44"/>
  <c r="O251" i="44" s="1"/>
  <c r="O186" i="44"/>
  <c r="R237" i="44"/>
  <c r="S189" i="44"/>
  <c r="Q194" i="44"/>
  <c r="Q245" i="44" s="1"/>
  <c r="S197" i="44"/>
  <c r="O201" i="44"/>
  <c r="Q202" i="44"/>
  <c r="Q253" i="44" s="1"/>
  <c r="S205" i="44"/>
  <c r="O209" i="44"/>
  <c r="O260" i="44" s="1"/>
  <c r="O212" i="44"/>
  <c r="O263" i="44" s="1"/>
  <c r="S218" i="44"/>
  <c r="P188" i="44"/>
  <c r="O190" i="44"/>
  <c r="N195" i="44"/>
  <c r="N246" i="44" s="1"/>
  <c r="P196" i="44"/>
  <c r="O198" i="44"/>
  <c r="O249" i="44" s="1"/>
  <c r="R199" i="44"/>
  <c r="R250" i="44" s="1"/>
  <c r="P201" i="44"/>
  <c r="P252" i="44" s="1"/>
  <c r="N203" i="44"/>
  <c r="P204" i="44"/>
  <c r="P255" i="44" s="1"/>
  <c r="O206" i="44"/>
  <c r="O257" i="44" s="1"/>
  <c r="R207" i="44"/>
  <c r="R258" i="44" s="1"/>
  <c r="P209" i="44"/>
  <c r="P260" i="44" s="1"/>
  <c r="N211" i="44"/>
  <c r="N262" i="44" s="1"/>
  <c r="P212" i="44"/>
  <c r="P263" i="44" s="1"/>
  <c r="O214" i="44"/>
  <c r="O265" i="44" s="1"/>
  <c r="R215" i="44"/>
  <c r="R266" i="44" s="1"/>
  <c r="Q219" i="44"/>
  <c r="P221" i="44"/>
  <c r="P272" i="44" s="1"/>
  <c r="R230" i="44"/>
  <c r="R281" i="44" s="1"/>
  <c r="R233" i="44"/>
  <c r="R284" i="44" s="1"/>
  <c r="P234" i="44"/>
  <c r="P285" i="44" s="1"/>
  <c r="Q190" i="44"/>
  <c r="O195" i="44"/>
  <c r="O204" i="44"/>
  <c r="Q266" i="44"/>
  <c r="R275" i="44"/>
  <c r="O227" i="44"/>
  <c r="O287" i="44"/>
  <c r="N235" i="44"/>
  <c r="O228" i="44"/>
  <c r="O279" i="44" s="1"/>
  <c r="O235" i="44"/>
  <c r="O286" i="44" s="1"/>
  <c r="Q230" i="44"/>
  <c r="S232" i="44"/>
  <c r="P235" i="44"/>
  <c r="P217" i="44"/>
  <c r="P268" i="44" s="1"/>
  <c r="R219" i="44"/>
  <c r="R270" i="44" s="1"/>
  <c r="O224" i="44"/>
  <c r="O275" i="44" s="1"/>
  <c r="R194" i="44"/>
  <c r="S195" i="44"/>
  <c r="N198" i="44"/>
  <c r="O199" i="44"/>
  <c r="P200" i="44"/>
  <c r="Q201" i="44"/>
  <c r="R202" i="44"/>
  <c r="S203" i="44"/>
  <c r="N206" i="44"/>
  <c r="N257" i="44" s="1"/>
  <c r="O207" i="44"/>
  <c r="P208" i="44"/>
  <c r="Q209" i="44"/>
  <c r="R210" i="44"/>
  <c r="S211" i="44"/>
  <c r="N214" i="44"/>
  <c r="O215" i="44"/>
  <c r="P216" i="44"/>
  <c r="Q217" i="44"/>
  <c r="R218" i="44"/>
  <c r="S219" i="44"/>
  <c r="N222" i="44"/>
  <c r="N273" i="44" s="1"/>
  <c r="O223" i="44"/>
  <c r="P224" i="44"/>
  <c r="Q225" i="44"/>
  <c r="R226" i="44"/>
  <c r="S227" i="44"/>
  <c r="N230" i="44"/>
  <c r="O231" i="44"/>
  <c r="P232" i="44"/>
  <c r="Q233" i="44"/>
  <c r="R234" i="44"/>
  <c r="S235" i="44"/>
  <c r="N188" i="44"/>
  <c r="N239" i="44" s="1"/>
  <c r="O189" i="44"/>
  <c r="O240" i="44" s="1"/>
  <c r="P190" i="44"/>
  <c r="P241" i="44" s="1"/>
  <c r="Q191" i="44"/>
  <c r="Q242" i="44" s="1"/>
  <c r="O197" i="44"/>
  <c r="N204" i="44"/>
  <c r="N255" i="44" s="1"/>
  <c r="O213" i="44"/>
  <c r="N220" i="44"/>
  <c r="N271" i="44" s="1"/>
  <c r="N227" i="44"/>
  <c r="N278" i="44" s="1"/>
  <c r="S228" i="44"/>
  <c r="O229" i="44"/>
  <c r="N236" i="44"/>
  <c r="N287" i="44" s="1"/>
  <c r="S254" i="44" l="1"/>
  <c r="O246" i="44"/>
  <c r="S267" i="44"/>
  <c r="R264" i="44"/>
  <c r="S241" i="44"/>
  <c r="Q271" i="44"/>
  <c r="N275" i="44"/>
  <c r="S274" i="44"/>
  <c r="R255" i="44"/>
  <c r="S286" i="44"/>
  <c r="Q276" i="44"/>
  <c r="O266" i="44"/>
  <c r="P251" i="44"/>
  <c r="S240" i="44"/>
  <c r="P254" i="44"/>
  <c r="P245" i="44"/>
  <c r="N276" i="44"/>
  <c r="Q256" i="44"/>
  <c r="N284" i="44"/>
  <c r="S265" i="44"/>
  <c r="Q279" i="44"/>
  <c r="S281" i="44"/>
  <c r="S266" i="44"/>
  <c r="N281" i="44"/>
  <c r="R269" i="44"/>
  <c r="S256" i="44"/>
  <c r="O285" i="44"/>
  <c r="P270" i="44"/>
  <c r="S243" i="44"/>
  <c r="O284" i="44"/>
  <c r="N268" i="44"/>
  <c r="S255" i="44"/>
  <c r="R272" i="44"/>
  <c r="Q265" i="44"/>
  <c r="Q247" i="44"/>
  <c r="O264" i="44"/>
  <c r="P283" i="44"/>
  <c r="R261" i="44"/>
  <c r="O258" i="44"/>
  <c r="S246" i="44"/>
  <c r="P286" i="44"/>
  <c r="S248" i="44"/>
  <c r="P246" i="44"/>
  <c r="N259" i="44"/>
  <c r="N240" i="44"/>
  <c r="Q255" i="44"/>
  <c r="R280" i="44"/>
  <c r="S275" i="44"/>
  <c r="N252" i="44"/>
  <c r="S272" i="44"/>
  <c r="R241" i="44"/>
  <c r="S258" i="44"/>
  <c r="S278" i="44"/>
  <c r="Q268" i="44"/>
  <c r="R253" i="44"/>
  <c r="S283" i="44"/>
  <c r="O278" i="44"/>
  <c r="Q241" i="44"/>
  <c r="P239" i="44"/>
  <c r="S280" i="44"/>
  <c r="S264" i="44"/>
  <c r="O244" i="44"/>
  <c r="P248" i="44"/>
  <c r="S277" i="44"/>
  <c r="S259" i="44"/>
  <c r="R256" i="44"/>
  <c r="P242" i="44"/>
  <c r="Q280" i="44"/>
  <c r="N270" i="44"/>
  <c r="O245" i="44"/>
  <c r="Q263" i="44"/>
  <c r="Q254" i="44"/>
  <c r="S247" i="44"/>
  <c r="O248" i="44"/>
  <c r="R285" i="44"/>
  <c r="P275" i="44"/>
  <c r="N265" i="44"/>
  <c r="Q260" i="44"/>
  <c r="O250" i="44"/>
  <c r="Q281" i="44"/>
  <c r="P247" i="44"/>
  <c r="S269" i="44"/>
  <c r="N269" i="44"/>
  <c r="O268" i="44"/>
  <c r="P261" i="44"/>
  <c r="N244" i="44"/>
  <c r="S257" i="44"/>
  <c r="O238" i="44"/>
  <c r="O253" i="44"/>
  <c r="P240" i="44"/>
  <c r="S250" i="44"/>
  <c r="S245" i="44"/>
  <c r="O282" i="44"/>
  <c r="S270" i="44"/>
  <c r="R245" i="44"/>
  <c r="N286" i="44"/>
  <c r="O255" i="44"/>
  <c r="S242" i="44"/>
  <c r="Q272" i="44"/>
  <c r="S253" i="44"/>
  <c r="R248" i="44"/>
  <c r="S249" i="44"/>
  <c r="P262" i="44"/>
  <c r="S285" i="44"/>
  <c r="O277" i="44"/>
  <c r="O280" i="44"/>
  <c r="R277" i="44"/>
  <c r="P267" i="44"/>
  <c r="Q252" i="44"/>
  <c r="Q270" i="44"/>
  <c r="S273" i="44"/>
  <c r="R271" i="44"/>
  <c r="S251" i="44"/>
  <c r="P278" i="44"/>
  <c r="O261" i="44"/>
  <c r="R287" i="44"/>
  <c r="P277" i="44"/>
  <c r="S263" i="44"/>
  <c r="S239" i="44"/>
  <c r="Q249" i="44"/>
  <c r="Q286" i="44"/>
  <c r="S279" i="44"/>
  <c r="Q284" i="44"/>
  <c r="O274" i="44"/>
  <c r="S262" i="44"/>
  <c r="P259" i="44"/>
  <c r="N249" i="44"/>
  <c r="N254" i="44"/>
  <c r="O241" i="44"/>
  <c r="O252" i="44"/>
  <c r="S261" i="44"/>
  <c r="R244" i="44"/>
  <c r="N260" i="44"/>
  <c r="Q240" i="44"/>
  <c r="Q273" i="44"/>
  <c r="O269" i="44"/>
  <c r="N243" i="44"/>
  <c r="C26" i="45" l="1"/>
  <c r="C25" i="45"/>
  <c r="C32" i="45" s="1"/>
  <c r="E137" i="28" l="1"/>
  <c r="E138" i="28"/>
  <c r="E139" i="28"/>
  <c r="E136" i="28"/>
  <c r="K5" i="44" l="1"/>
  <c r="J5" i="44"/>
  <c r="G5" i="44"/>
  <c r="F5" i="44"/>
  <c r="J202" i="28" l="1"/>
  <c r="I207" i="28"/>
  <c r="D207" i="28"/>
  <c r="C207" i="28"/>
  <c r="H206" i="28"/>
  <c r="I206" i="28" s="1"/>
  <c r="D206" i="28"/>
  <c r="C206" i="28"/>
  <c r="D205" i="28"/>
  <c r="C205" i="28"/>
  <c r="H204" i="28"/>
  <c r="I204" i="28" s="1"/>
  <c r="D204" i="28"/>
  <c r="C204" i="28"/>
  <c r="D203" i="28"/>
  <c r="C203" i="28"/>
  <c r="I202" i="28"/>
  <c r="D202" i="28"/>
  <c r="K202" i="28" l="1"/>
  <c r="L202" i="28" s="1"/>
  <c r="K207" i="28"/>
  <c r="L207" i="28" s="1"/>
  <c r="K204" i="28"/>
  <c r="L204" i="28" s="1"/>
  <c r="K206" i="28"/>
  <c r="L206" i="28" s="1"/>
  <c r="M202" i="28" l="1"/>
  <c r="C153" i="28"/>
  <c r="F113" i="28"/>
  <c r="F114" i="28"/>
  <c r="D12" i="3" l="1"/>
  <c r="D8" i="3"/>
  <c r="D12" i="6"/>
  <c r="D14" i="6"/>
  <c r="B16" i="6"/>
  <c r="D16" i="6" s="1"/>
  <c r="D17" i="6" l="1"/>
  <c r="D11" i="3"/>
  <c r="D9" i="3"/>
  <c r="D7" i="3"/>
  <c r="E70" i="6"/>
  <c r="D69" i="63" s="1"/>
  <c r="E69" i="6"/>
  <c r="D68" i="63" s="1"/>
  <c r="E68" i="6"/>
  <c r="D67" i="63" s="1"/>
  <c r="B190" i="28"/>
  <c r="D190" i="28" s="1"/>
  <c r="G190" i="28" s="1"/>
  <c r="H190" i="28" s="1"/>
  <c r="D58" i="6"/>
  <c r="D10" i="3" s="1"/>
  <c r="D56" i="37"/>
  <c r="D32" i="37"/>
  <c r="D14" i="37"/>
  <c r="D11" i="37"/>
  <c r="B63" i="6"/>
  <c r="D63" i="6" s="1"/>
  <c r="E63" i="6" s="1"/>
  <c r="D72" i="63" s="1"/>
  <c r="E63" i="63" l="1"/>
  <c r="F63" i="63" s="1"/>
  <c r="F70" i="63"/>
  <c r="E70" i="63"/>
  <c r="F182" i="28" s="1"/>
  <c r="E31" i="37"/>
  <c r="F31" i="37"/>
  <c r="G31" i="37" s="1"/>
  <c r="F10" i="37"/>
  <c r="G10" i="37" s="1"/>
  <c r="D80" i="37" s="1"/>
  <c r="E10" i="37"/>
  <c r="D75" i="37"/>
  <c r="E13" i="37"/>
  <c r="F13" i="37"/>
  <c r="E55" i="37"/>
  <c r="F55" i="37"/>
  <c r="G55" i="37" s="1"/>
  <c r="B185" i="28"/>
  <c r="T10" i="33" s="1"/>
  <c r="F60" i="61" s="1"/>
  <c r="Y11" i="61"/>
  <c r="Z11" i="61" s="1"/>
  <c r="D34" i="61" s="1"/>
  <c r="B238" i="28" s="1"/>
  <c r="X11" i="61"/>
  <c r="X11" i="28"/>
  <c r="Y11" i="28"/>
  <c r="Z11" i="28" s="1"/>
  <c r="D33" i="28" s="1"/>
  <c r="B232" i="28" s="1"/>
  <c r="M10" i="62"/>
  <c r="N10" i="62" s="1"/>
  <c r="B19" i="62" s="1"/>
  <c r="B244" i="28" s="1"/>
  <c r="L10" i="62"/>
  <c r="B182" i="28"/>
  <c r="D67" i="37"/>
  <c r="D68" i="37"/>
  <c r="B181" i="28"/>
  <c r="P10" i="33" s="1"/>
  <c r="E60" i="61" s="1"/>
  <c r="D69" i="37"/>
  <c r="D72" i="37"/>
  <c r="F181" i="28" l="1"/>
  <c r="G70" i="63"/>
  <c r="V85" i="63"/>
  <c r="V94" i="63" s="1"/>
  <c r="V81" i="63"/>
  <c r="V90" i="63" s="1"/>
  <c r="G182" i="28"/>
  <c r="V87" i="63"/>
  <c r="V96" i="63" s="1"/>
  <c r="V83" i="63"/>
  <c r="V92" i="63" s="1"/>
  <c r="U83" i="63"/>
  <c r="U92" i="63" s="1"/>
  <c r="U81" i="63"/>
  <c r="U90" i="63" s="1"/>
  <c r="U85" i="63"/>
  <c r="U94" i="63" s="1"/>
  <c r="G181" i="28"/>
  <c r="U87" i="63"/>
  <c r="U96" i="63" s="1"/>
  <c r="G63" i="63"/>
  <c r="G13" i="37"/>
  <c r="E162" i="28" s="1"/>
  <c r="E83" i="37"/>
  <c r="E87" i="37"/>
  <c r="E81" i="37"/>
  <c r="F58" i="61"/>
  <c r="F55" i="61"/>
  <c r="F53" i="61"/>
  <c r="F56" i="61"/>
  <c r="E73" i="37"/>
  <c r="F73" i="37"/>
  <c r="G73" i="37" s="1"/>
  <c r="F54" i="61"/>
  <c r="F59" i="61"/>
  <c r="F57" i="61"/>
  <c r="E57" i="61"/>
  <c r="E54" i="61"/>
  <c r="E53" i="61"/>
  <c r="E55" i="61"/>
  <c r="E56" i="61"/>
  <c r="E58" i="61"/>
  <c r="E59" i="61"/>
  <c r="E63" i="37"/>
  <c r="F63" i="37" s="1"/>
  <c r="G63" i="37" s="1"/>
  <c r="F70" i="37"/>
  <c r="G70" i="37" s="1"/>
  <c r="E70" i="37"/>
  <c r="H181" i="28" l="1"/>
  <c r="U86" i="63"/>
  <c r="U95" i="63" s="1"/>
  <c r="U82" i="63"/>
  <c r="U91" i="63" s="1"/>
  <c r="U84" i="63"/>
  <c r="U93" i="63" s="1"/>
  <c r="U80" i="63"/>
  <c r="U89" i="63" s="1"/>
  <c r="H182" i="28"/>
  <c r="V84" i="63"/>
  <c r="V93" i="63" s="1"/>
  <c r="V80" i="63"/>
  <c r="V89" i="63" s="1"/>
  <c r="V86" i="63"/>
  <c r="V95" i="63" s="1"/>
  <c r="V82" i="63"/>
  <c r="V91" i="63" s="1"/>
  <c r="E84" i="37"/>
  <c r="E82" i="37"/>
  <c r="E86" i="37"/>
  <c r="E80" i="37"/>
  <c r="E89" i="37" s="1"/>
  <c r="W83" i="37"/>
  <c r="W81" i="37"/>
  <c r="W82" i="37"/>
  <c r="W91" i="37" s="1"/>
  <c r="W80" i="37"/>
  <c r="V83" i="37"/>
  <c r="V81" i="37"/>
  <c r="I190" i="28"/>
  <c r="B213" i="28" s="1"/>
  <c r="U81" i="37" l="1"/>
  <c r="U83" i="37"/>
  <c r="V82" i="37"/>
  <c r="V80" i="37"/>
  <c r="U80" i="37"/>
  <c r="U82" i="37"/>
  <c r="N8" i="6"/>
  <c r="N7" i="6"/>
  <c r="B178" i="28" l="1"/>
  <c r="B168" i="28"/>
  <c r="W87" i="37"/>
  <c r="E57" i="37" l="1"/>
  <c r="F57" i="37"/>
  <c r="G57" i="37" s="1"/>
  <c r="V85" i="37"/>
  <c r="W85" i="37"/>
  <c r="D185" i="28"/>
  <c r="C185" i="28"/>
  <c r="T83" i="37" l="1"/>
  <c r="T81" i="37"/>
  <c r="D83" i="37"/>
  <c r="D81" i="37"/>
  <c r="K83" i="37"/>
  <c r="K81" i="37"/>
  <c r="T82" i="37"/>
  <c r="T80" i="37"/>
  <c r="S81" i="37"/>
  <c r="S83" i="37"/>
  <c r="D182" i="28"/>
  <c r="V87" i="37"/>
  <c r="S87" i="37"/>
  <c r="D178" i="28"/>
  <c r="S85" i="37"/>
  <c r="D161" i="28"/>
  <c r="I12" i="33" s="1"/>
  <c r="D85" i="37"/>
  <c r="D87" i="37"/>
  <c r="D162" i="28"/>
  <c r="E85" i="37"/>
  <c r="T87" i="37"/>
  <c r="K87" i="37"/>
  <c r="D168" i="28"/>
  <c r="K85" i="37"/>
  <c r="D82" i="37" l="1"/>
  <c r="S80" i="37"/>
  <c r="S82" i="37"/>
  <c r="K80" i="37"/>
  <c r="K82" i="37"/>
  <c r="T85" i="37"/>
  <c r="V94" i="37" l="1"/>
  <c r="O7" i="6"/>
  <c r="B162" i="28"/>
  <c r="D23" i="37" l="1"/>
  <c r="B164" i="28"/>
  <c r="B165" i="28"/>
  <c r="B161" i="28"/>
  <c r="V89" i="37"/>
  <c r="V84" i="37"/>
  <c r="V93" i="37" s="1"/>
  <c r="V86" i="37"/>
  <c r="V95" i="37" s="1"/>
  <c r="E182" i="28"/>
  <c r="V91" i="37"/>
  <c r="V90" i="37"/>
  <c r="V96" i="37"/>
  <c r="V92" i="37"/>
  <c r="C182" i="28"/>
  <c r="K94" i="37"/>
  <c r="C168" i="28"/>
  <c r="C178" i="28"/>
  <c r="E22" i="37" l="1"/>
  <c r="F22" i="37"/>
  <c r="F81" i="37"/>
  <c r="F83" i="37"/>
  <c r="D164" i="28"/>
  <c r="F87" i="37"/>
  <c r="F85" i="37"/>
  <c r="C181" i="28"/>
  <c r="D181" i="28"/>
  <c r="U92" i="37"/>
  <c r="U87" i="37"/>
  <c r="U96" i="37" s="1"/>
  <c r="U90" i="37"/>
  <c r="U85" i="37"/>
  <c r="U94" i="37" s="1"/>
  <c r="S90" i="37"/>
  <c r="K90" i="37"/>
  <c r="E168" i="28"/>
  <c r="E178" i="28"/>
  <c r="K96" i="37"/>
  <c r="S96" i="37"/>
  <c r="K92" i="37"/>
  <c r="S92" i="37"/>
  <c r="S94" i="37"/>
  <c r="G22" i="37" l="1"/>
  <c r="H81" i="37"/>
  <c r="D165" i="28"/>
  <c r="H83" i="37"/>
  <c r="H85" i="37"/>
  <c r="H87" i="37"/>
  <c r="F82" i="37"/>
  <c r="F80" i="37"/>
  <c r="U89" i="37"/>
  <c r="E181" i="28"/>
  <c r="U84" i="37"/>
  <c r="U93" i="37" s="1"/>
  <c r="U91" i="37"/>
  <c r="U86" i="37"/>
  <c r="U95" i="37" s="1"/>
  <c r="S84" i="37"/>
  <c r="S93" i="37" s="1"/>
  <c r="S91" i="37"/>
  <c r="S89" i="37"/>
  <c r="K84" i="37"/>
  <c r="K93" i="37" s="1"/>
  <c r="K91" i="37"/>
  <c r="K89" i="37"/>
  <c r="K86" i="37"/>
  <c r="K95" i="37" s="1"/>
  <c r="H82" i="37" l="1"/>
  <c r="H80" i="37"/>
  <c r="C180" i="28"/>
  <c r="Q10" i="33" s="1"/>
  <c r="H90" i="37"/>
  <c r="F96" i="37"/>
  <c r="E96" i="37"/>
  <c r="D96" i="37"/>
  <c r="B113" i="28" l="1"/>
  <c r="C113" i="28" s="1"/>
  <c r="D113" i="28" s="1"/>
  <c r="E113" i="28" s="1"/>
  <c r="A138" i="28"/>
  <c r="B138" i="28" s="1"/>
  <c r="C138" i="28" s="1"/>
  <c r="D138" i="28" s="1"/>
  <c r="F138" i="28" s="1"/>
  <c r="G138" i="28" s="1"/>
  <c r="E92" i="37"/>
  <c r="H92" i="37"/>
  <c r="E165" i="28"/>
  <c r="E94" i="37"/>
  <c r="H94" i="37"/>
  <c r="H96" i="37"/>
  <c r="D90" i="37"/>
  <c r="F90" i="37"/>
  <c r="D92" i="37"/>
  <c r="F92" i="37"/>
  <c r="D94" i="37"/>
  <c r="F94" i="37"/>
  <c r="E161" i="28"/>
  <c r="I14" i="33" s="1"/>
  <c r="E90" i="37"/>
  <c r="C165" i="28"/>
  <c r="C164" i="28"/>
  <c r="C162" i="28"/>
  <c r="C161" i="28"/>
  <c r="I10" i="33" s="1"/>
  <c r="C48" i="6"/>
  <c r="D48" i="6" s="1"/>
  <c r="D50" i="37" s="1"/>
  <c r="C46" i="6"/>
  <c r="D46" i="6" s="1"/>
  <c r="D47" i="37" s="1"/>
  <c r="D44" i="6"/>
  <c r="B44" i="6"/>
  <c r="D39" i="6"/>
  <c r="D40" i="6" s="1"/>
  <c r="B39" i="6"/>
  <c r="A23" i="6"/>
  <c r="C23" i="6" s="1"/>
  <c r="D23" i="6" s="1"/>
  <c r="D24" i="6" s="1"/>
  <c r="B14" i="6"/>
  <c r="B12" i="6"/>
  <c r="F49" i="37" l="1"/>
  <c r="E49" i="37"/>
  <c r="C184" i="28" s="1"/>
  <c r="U10" i="33" s="1"/>
  <c r="B5" i="44"/>
  <c r="R5" i="44" s="1"/>
  <c r="B17" i="44"/>
  <c r="B6" i="44"/>
  <c r="Z7" i="28"/>
  <c r="D29" i="28" s="1"/>
  <c r="B228" i="28" s="1"/>
  <c r="M6" i="62"/>
  <c r="N6" i="62" s="1"/>
  <c r="B15" i="62" s="1"/>
  <c r="B240" i="28" s="1"/>
  <c r="B7" i="44"/>
  <c r="Z6" i="28"/>
  <c r="D28" i="28" s="1"/>
  <c r="B227" i="28" s="1"/>
  <c r="B15" i="44"/>
  <c r="Z8" i="28"/>
  <c r="D30" i="28" s="1"/>
  <c r="B229" i="28" s="1"/>
  <c r="M5" i="62"/>
  <c r="N5" i="62" s="1"/>
  <c r="B14" i="62" s="1"/>
  <c r="B239" i="28" s="1"/>
  <c r="L6" i="62"/>
  <c r="B27" i="44" s="1"/>
  <c r="Z8" i="61"/>
  <c r="D31" i="61" s="1"/>
  <c r="B235" i="28" s="1"/>
  <c r="L5" i="62"/>
  <c r="B25" i="44" s="1"/>
  <c r="Z7" i="61"/>
  <c r="D30" i="61" s="1"/>
  <c r="B234" i="28" s="1"/>
  <c r="B16" i="44"/>
  <c r="Z6" i="61"/>
  <c r="D29" i="61" s="1"/>
  <c r="B233" i="28" s="1"/>
  <c r="M7" i="62"/>
  <c r="N7" i="62" s="1"/>
  <c r="B16" i="62" s="1"/>
  <c r="B241" i="28" s="1"/>
  <c r="L7" i="62"/>
  <c r="B26" i="44" s="1"/>
  <c r="D26" i="37"/>
  <c r="Z9" i="28"/>
  <c r="D31" i="28" s="1"/>
  <c r="B230" i="28" s="1"/>
  <c r="B19" i="44"/>
  <c r="M8" i="62"/>
  <c r="N8" i="62" s="1"/>
  <c r="B17" i="62" s="1"/>
  <c r="B242" i="28" s="1"/>
  <c r="Z9" i="61"/>
  <c r="D32" i="61" s="1"/>
  <c r="B236" i="28" s="1"/>
  <c r="L8" i="62"/>
  <c r="B29" i="44" s="1"/>
  <c r="B9" i="44"/>
  <c r="B174" i="28"/>
  <c r="Z10" i="28"/>
  <c r="D32" i="28" s="1"/>
  <c r="B231" i="28" s="1"/>
  <c r="M9" i="62"/>
  <c r="N9" i="62" s="1"/>
  <c r="B18" i="62" s="1"/>
  <c r="B243" i="28" s="1"/>
  <c r="Z10" i="61"/>
  <c r="D33" i="61" s="1"/>
  <c r="B237" i="28" s="1"/>
  <c r="L9" i="62"/>
  <c r="B28" i="44" s="1"/>
  <c r="B18" i="44"/>
  <c r="B8" i="44"/>
  <c r="D44" i="37"/>
  <c r="F46" i="37"/>
  <c r="E46" i="37"/>
  <c r="C175" i="28" s="1"/>
  <c r="L113" i="28"/>
  <c r="G113" i="28"/>
  <c r="H113" i="28" s="1"/>
  <c r="J113" i="28"/>
  <c r="K113" i="28" s="1"/>
  <c r="B176" i="28"/>
  <c r="B166" i="28"/>
  <c r="B172" i="28"/>
  <c r="B175" i="28"/>
  <c r="F89" i="37"/>
  <c r="E164" i="28"/>
  <c r="F84" i="37"/>
  <c r="F93" i="37" s="1"/>
  <c r="F86" i="37"/>
  <c r="F95" i="37" s="1"/>
  <c r="F91" i="37"/>
  <c r="D89" i="37"/>
  <c r="D91" i="37"/>
  <c r="D86" i="37"/>
  <c r="D95" i="37" s="1"/>
  <c r="D84" i="37"/>
  <c r="D93" i="37" s="1"/>
  <c r="C176" i="28"/>
  <c r="E95" i="37"/>
  <c r="E93" i="37"/>
  <c r="E91" i="37"/>
  <c r="H86" i="37"/>
  <c r="H95" i="37" s="1"/>
  <c r="H84" i="37"/>
  <c r="H93" i="37" s="1"/>
  <c r="H91" i="37"/>
  <c r="H89" i="37"/>
  <c r="D38" i="44" l="1"/>
  <c r="D46" i="44"/>
  <c r="D54" i="44"/>
  <c r="D62" i="44"/>
  <c r="D70" i="44"/>
  <c r="D78" i="44"/>
  <c r="D48" i="44"/>
  <c r="D80" i="44"/>
  <c r="D41" i="44"/>
  <c r="D49" i="44"/>
  <c r="D57" i="44"/>
  <c r="D65" i="44"/>
  <c r="D73" i="44"/>
  <c r="D81" i="44"/>
  <c r="D34" i="44"/>
  <c r="D42" i="44"/>
  <c r="D50" i="44"/>
  <c r="D58" i="44"/>
  <c r="D66" i="44"/>
  <c r="D74" i="44"/>
  <c r="D82" i="44"/>
  <c r="D47" i="44"/>
  <c r="D79" i="44"/>
  <c r="D40" i="44"/>
  <c r="D56" i="44"/>
  <c r="D71" i="44"/>
  <c r="D64" i="44"/>
  <c r="D35" i="44"/>
  <c r="D43" i="44"/>
  <c r="D51" i="44"/>
  <c r="D59" i="44"/>
  <c r="D67" i="44"/>
  <c r="D75" i="44"/>
  <c r="D83" i="44"/>
  <c r="D45" i="44"/>
  <c r="D61" i="44"/>
  <c r="D55" i="44"/>
  <c r="D72" i="44"/>
  <c r="D36" i="44"/>
  <c r="D44" i="44"/>
  <c r="D52" i="44"/>
  <c r="D60" i="44"/>
  <c r="D68" i="44"/>
  <c r="D76" i="44"/>
  <c r="D33" i="44"/>
  <c r="D53" i="44"/>
  <c r="D69" i="44"/>
  <c r="D37" i="44"/>
  <c r="D77" i="44"/>
  <c r="D39" i="44"/>
  <c r="D63" i="44"/>
  <c r="H26" i="33"/>
  <c r="Q85" i="37"/>
  <c r="Q81" i="37"/>
  <c r="Q87" i="37"/>
  <c r="Q83" i="37"/>
  <c r="Q19" i="44"/>
  <c r="G34" i="52" s="1"/>
  <c r="S19" i="44"/>
  <c r="I34" i="52" s="1"/>
  <c r="R19" i="44"/>
  <c r="H34" i="52" s="1"/>
  <c r="M19" i="44"/>
  <c r="C34" i="52" s="1"/>
  <c r="N19" i="44"/>
  <c r="D34" i="52" s="1"/>
  <c r="T19" i="44"/>
  <c r="J34" i="52" s="1"/>
  <c r="P19" i="44"/>
  <c r="F34" i="52" s="1"/>
  <c r="O19" i="44"/>
  <c r="E34" i="52" s="1"/>
  <c r="L19" i="44"/>
  <c r="B34" i="52" s="1"/>
  <c r="L7" i="44"/>
  <c r="S7" i="44"/>
  <c r="P7" i="44"/>
  <c r="O7" i="44"/>
  <c r="Q7" i="44"/>
  <c r="R7" i="44"/>
  <c r="T7" i="44"/>
  <c r="M7" i="44"/>
  <c r="N7" i="44"/>
  <c r="T25" i="44"/>
  <c r="M25" i="44"/>
  <c r="P25" i="44"/>
  <c r="O25" i="44"/>
  <c r="Q25" i="44"/>
  <c r="R25" i="44"/>
  <c r="S25" i="44"/>
  <c r="L25" i="44"/>
  <c r="N25" i="44"/>
  <c r="F25" i="37"/>
  <c r="E25" i="37"/>
  <c r="C166" i="28" s="1"/>
  <c r="G46" i="37"/>
  <c r="P86" i="37" s="1"/>
  <c r="P95" i="37" s="1"/>
  <c r="P83" i="37"/>
  <c r="P92" i="37" s="1"/>
  <c r="P87" i="37"/>
  <c r="P96" i="37" s="1"/>
  <c r="P81" i="37"/>
  <c r="P90" i="37" s="1"/>
  <c r="D175" i="28"/>
  <c r="P85" i="37"/>
  <c r="P94" i="37" s="1"/>
  <c r="F37" i="37"/>
  <c r="E37" i="37"/>
  <c r="C172" i="28" s="1"/>
  <c r="S27" i="44"/>
  <c r="M27" i="44"/>
  <c r="O27" i="44"/>
  <c r="N27" i="44"/>
  <c r="P27" i="44"/>
  <c r="Q27" i="44"/>
  <c r="R27" i="44"/>
  <c r="T27" i="44"/>
  <c r="L27" i="44"/>
  <c r="T6" i="44"/>
  <c r="R6" i="44"/>
  <c r="Q6" i="44"/>
  <c r="S6" i="44"/>
  <c r="L6" i="44"/>
  <c r="O6" i="44"/>
  <c r="M6" i="44"/>
  <c r="P6" i="44"/>
  <c r="N6" i="44"/>
  <c r="F43" i="37"/>
  <c r="E43" i="37"/>
  <c r="C174" i="28" s="1"/>
  <c r="Q9" i="44"/>
  <c r="S9" i="44"/>
  <c r="L9" i="44"/>
  <c r="N9" i="44"/>
  <c r="M9" i="44"/>
  <c r="O9" i="44"/>
  <c r="P9" i="44"/>
  <c r="R9" i="44"/>
  <c r="T9" i="44"/>
  <c r="R26" i="44"/>
  <c r="N26" i="44"/>
  <c r="M26" i="44"/>
  <c r="O26" i="44"/>
  <c r="P26" i="44"/>
  <c r="Q26" i="44"/>
  <c r="S26" i="44"/>
  <c r="T26" i="44"/>
  <c r="L26" i="44"/>
  <c r="N17" i="44"/>
  <c r="D32" i="52" s="1"/>
  <c r="M17" i="44"/>
  <c r="C32" i="52" s="1"/>
  <c r="Q17" i="44"/>
  <c r="G32" i="52" s="1"/>
  <c r="L17" i="44"/>
  <c r="B32" i="52" s="1"/>
  <c r="R17" i="44"/>
  <c r="H32" i="52" s="1"/>
  <c r="S17" i="44"/>
  <c r="I32" i="52" s="1"/>
  <c r="T17" i="44"/>
  <c r="J32" i="52" s="1"/>
  <c r="P17" i="44"/>
  <c r="F32" i="52" s="1"/>
  <c r="O17" i="44"/>
  <c r="E32" i="52" s="1"/>
  <c r="Q5" i="44"/>
  <c r="L5" i="44"/>
  <c r="S5" i="44"/>
  <c r="P5" i="44"/>
  <c r="M5" i="44"/>
  <c r="O5" i="44"/>
  <c r="T5" i="44"/>
  <c r="N5" i="44"/>
  <c r="O29" i="44"/>
  <c r="R29" i="44"/>
  <c r="P29" i="44"/>
  <c r="T29" i="44"/>
  <c r="L29" i="44"/>
  <c r="M29" i="44"/>
  <c r="S29" i="44"/>
  <c r="Q29" i="44"/>
  <c r="N29" i="44"/>
  <c r="N18" i="44"/>
  <c r="D33" i="52" s="1"/>
  <c r="O18" i="44"/>
  <c r="E33" i="52" s="1"/>
  <c r="P18" i="44"/>
  <c r="F33" i="52" s="1"/>
  <c r="L18" i="44"/>
  <c r="B33" i="52" s="1"/>
  <c r="R18" i="44"/>
  <c r="H33" i="52" s="1"/>
  <c r="T18" i="44"/>
  <c r="J33" i="52" s="1"/>
  <c r="Q18" i="44"/>
  <c r="G33" i="52" s="1"/>
  <c r="S18" i="44"/>
  <c r="I33" i="52" s="1"/>
  <c r="M18" i="44"/>
  <c r="C33" i="52" s="1"/>
  <c r="N15" i="44"/>
  <c r="D30" i="52" s="1"/>
  <c r="M15" i="44"/>
  <c r="C30" i="52" s="1"/>
  <c r="L15" i="44"/>
  <c r="B30" i="52" s="1"/>
  <c r="O15" i="44"/>
  <c r="E30" i="52" s="1"/>
  <c r="R15" i="44"/>
  <c r="H30" i="52" s="1"/>
  <c r="S15" i="44"/>
  <c r="I30" i="52" s="1"/>
  <c r="T15" i="44"/>
  <c r="J30" i="52" s="1"/>
  <c r="P15" i="44"/>
  <c r="F30" i="52" s="1"/>
  <c r="Q15" i="44"/>
  <c r="G30" i="52" s="1"/>
  <c r="T8" i="44"/>
  <c r="Q8" i="44"/>
  <c r="O8" i="44"/>
  <c r="P8" i="44"/>
  <c r="N8" i="44"/>
  <c r="L8" i="44"/>
  <c r="S8" i="44"/>
  <c r="R8" i="44"/>
  <c r="M8" i="44"/>
  <c r="R28" i="44"/>
  <c r="T28" i="44"/>
  <c r="P28" i="44"/>
  <c r="N28" i="44"/>
  <c r="S28" i="44"/>
  <c r="L28" i="44"/>
  <c r="O28" i="44"/>
  <c r="M28" i="44"/>
  <c r="Q28" i="44"/>
  <c r="N16" i="44"/>
  <c r="D31" i="52" s="1"/>
  <c r="I49" i="33" s="1"/>
  <c r="T16" i="44"/>
  <c r="J31" i="52" s="1"/>
  <c r="O49" i="33" s="1"/>
  <c r="P16" i="44"/>
  <c r="F31" i="52" s="1"/>
  <c r="K49" i="33" s="1"/>
  <c r="M16" i="44"/>
  <c r="C31" i="52" s="1"/>
  <c r="H49" i="33" s="1"/>
  <c r="O16" i="44"/>
  <c r="E31" i="52" s="1"/>
  <c r="J49" i="33" s="1"/>
  <c r="S16" i="44"/>
  <c r="I31" i="52" s="1"/>
  <c r="N49" i="33" s="1"/>
  <c r="Q16" i="44"/>
  <c r="G31" i="52" s="1"/>
  <c r="L49" i="33" s="1"/>
  <c r="R16" i="44"/>
  <c r="H31" i="52" s="1"/>
  <c r="M49" i="33" s="1"/>
  <c r="L16" i="44"/>
  <c r="B31" i="52" s="1"/>
  <c r="G49" i="33" s="1"/>
  <c r="G49" i="37"/>
  <c r="Q90" i="37"/>
  <c r="Q94" i="37"/>
  <c r="Q96" i="37"/>
  <c r="D176" i="28"/>
  <c r="Q92" i="37"/>
  <c r="B114" i="28"/>
  <c r="C114" i="28" s="1"/>
  <c r="D114" i="28" s="1"/>
  <c r="E114" i="28" s="1"/>
  <c r="A139" i="28"/>
  <c r="B139" i="28" s="1"/>
  <c r="C139" i="28" s="1"/>
  <c r="D139" i="28" s="1"/>
  <c r="F139" i="28" s="1"/>
  <c r="G139" i="28" s="1"/>
  <c r="W90" i="37"/>
  <c r="W96" i="37"/>
  <c r="W94" i="37"/>
  <c r="W92" i="37"/>
  <c r="J9" i="51" l="1"/>
  <c r="J10" i="52" s="1"/>
  <c r="E188" i="44"/>
  <c r="E196" i="44"/>
  <c r="E204" i="44"/>
  <c r="E212" i="44"/>
  <c r="E220" i="44"/>
  <c r="E228" i="44"/>
  <c r="E236" i="44"/>
  <c r="E190" i="44"/>
  <c r="E198" i="44"/>
  <c r="E206" i="44"/>
  <c r="E214" i="44"/>
  <c r="E222" i="44"/>
  <c r="E230" i="44"/>
  <c r="E186" i="44"/>
  <c r="E191" i="44"/>
  <c r="E199" i="44"/>
  <c r="E207" i="44"/>
  <c r="E215" i="44"/>
  <c r="E223" i="44"/>
  <c r="E231" i="44"/>
  <c r="E200" i="44"/>
  <c r="E211" i="44"/>
  <c r="E225" i="44"/>
  <c r="E187" i="44"/>
  <c r="E201" i="44"/>
  <c r="E213" i="44"/>
  <c r="E226" i="44"/>
  <c r="E189" i="44"/>
  <c r="E202" i="44"/>
  <c r="E216" i="44"/>
  <c r="E227" i="44"/>
  <c r="E193" i="44"/>
  <c r="E205" i="44"/>
  <c r="E218" i="44"/>
  <c r="E232" i="44"/>
  <c r="E194" i="44"/>
  <c r="E208" i="44"/>
  <c r="E219" i="44"/>
  <c r="E233" i="44"/>
  <c r="E217" i="44"/>
  <c r="E221" i="44"/>
  <c r="E192" i="44"/>
  <c r="E224" i="44"/>
  <c r="E195" i="44"/>
  <c r="E229" i="44"/>
  <c r="E197" i="44"/>
  <c r="E234" i="44"/>
  <c r="E203" i="44"/>
  <c r="E235" i="44"/>
  <c r="E209" i="44"/>
  <c r="E210" i="44"/>
  <c r="E756" i="44"/>
  <c r="E764" i="44"/>
  <c r="E772" i="44"/>
  <c r="E780" i="44"/>
  <c r="E788" i="44"/>
  <c r="E796" i="44"/>
  <c r="E753" i="44"/>
  <c r="E758" i="44"/>
  <c r="E766" i="44"/>
  <c r="E774" i="44"/>
  <c r="E782" i="44"/>
  <c r="E790" i="44"/>
  <c r="E798" i="44"/>
  <c r="E759" i="44"/>
  <c r="E767" i="44"/>
  <c r="E775" i="44"/>
  <c r="E783" i="44"/>
  <c r="E791" i="44"/>
  <c r="E799" i="44"/>
  <c r="E763" i="44"/>
  <c r="E777" i="44"/>
  <c r="E789" i="44"/>
  <c r="E802" i="44"/>
  <c r="E765" i="44"/>
  <c r="E778" i="44"/>
  <c r="E792" i="44"/>
  <c r="E803" i="44"/>
  <c r="E754" i="44"/>
  <c r="E768" i="44"/>
  <c r="E779" i="44"/>
  <c r="E793" i="44"/>
  <c r="E757" i="44"/>
  <c r="E770" i="44"/>
  <c r="E784" i="44"/>
  <c r="E795" i="44"/>
  <c r="E760" i="44"/>
  <c r="E771" i="44"/>
  <c r="E785" i="44"/>
  <c r="E797" i="44"/>
  <c r="E781" i="44"/>
  <c r="E786" i="44"/>
  <c r="E755" i="44"/>
  <c r="E787" i="44"/>
  <c r="E761" i="44"/>
  <c r="E794" i="44"/>
  <c r="E762" i="44"/>
  <c r="E800" i="44"/>
  <c r="E769" i="44"/>
  <c r="E801" i="44"/>
  <c r="E773" i="44"/>
  <c r="E776" i="44"/>
  <c r="D85" i="44"/>
  <c r="D92" i="44"/>
  <c r="D100" i="44"/>
  <c r="D108" i="44"/>
  <c r="D116" i="44"/>
  <c r="D124" i="44"/>
  <c r="D132" i="44"/>
  <c r="D101" i="44"/>
  <c r="D86" i="44"/>
  <c r="D94" i="44"/>
  <c r="D102" i="44"/>
  <c r="D110" i="44"/>
  <c r="D126" i="44"/>
  <c r="D87" i="44"/>
  <c r="D95" i="44"/>
  <c r="D103" i="44"/>
  <c r="D111" i="44"/>
  <c r="D119" i="44"/>
  <c r="D127" i="44"/>
  <c r="D84" i="44"/>
  <c r="D88" i="44"/>
  <c r="D96" i="44"/>
  <c r="D104" i="44"/>
  <c r="D112" i="44"/>
  <c r="D120" i="44"/>
  <c r="D128" i="44"/>
  <c r="D125" i="44"/>
  <c r="D107" i="44"/>
  <c r="D93" i="44"/>
  <c r="D133" i="44"/>
  <c r="D118" i="44"/>
  <c r="D89" i="44"/>
  <c r="D97" i="44"/>
  <c r="D105" i="44"/>
  <c r="D113" i="44"/>
  <c r="D121" i="44"/>
  <c r="D129" i="44"/>
  <c r="D115" i="44"/>
  <c r="D109" i="44"/>
  <c r="D134" i="44"/>
  <c r="D90" i="44"/>
  <c r="D98" i="44"/>
  <c r="D106" i="44"/>
  <c r="D114" i="44"/>
  <c r="D122" i="44"/>
  <c r="D130" i="44"/>
  <c r="D99" i="44"/>
  <c r="D123" i="44"/>
  <c r="D131" i="44"/>
  <c r="D91" i="44"/>
  <c r="D117" i="44"/>
  <c r="D555" i="44"/>
  <c r="D563" i="44"/>
  <c r="D571" i="44"/>
  <c r="D579" i="44"/>
  <c r="D587" i="44"/>
  <c r="D595" i="44"/>
  <c r="D550" i="44"/>
  <c r="D558" i="44"/>
  <c r="D566" i="44"/>
  <c r="D574" i="44"/>
  <c r="D582" i="44"/>
  <c r="D590" i="44"/>
  <c r="D598" i="44"/>
  <c r="D551" i="44"/>
  <c r="D561" i="44"/>
  <c r="D572" i="44"/>
  <c r="D583" i="44"/>
  <c r="D593" i="44"/>
  <c r="D552" i="44"/>
  <c r="D562" i="44"/>
  <c r="D573" i="44"/>
  <c r="D584" i="44"/>
  <c r="D594" i="44"/>
  <c r="D553" i="44"/>
  <c r="D564" i="44"/>
  <c r="D575" i="44"/>
  <c r="D585" i="44"/>
  <c r="D596" i="44"/>
  <c r="D554" i="44"/>
  <c r="D565" i="44"/>
  <c r="D576" i="44"/>
  <c r="D586" i="44"/>
  <c r="D597" i="44"/>
  <c r="D556" i="44"/>
  <c r="D567" i="44"/>
  <c r="D588" i="44"/>
  <c r="D599" i="44"/>
  <c r="D577" i="44"/>
  <c r="D557" i="44"/>
  <c r="D568" i="44"/>
  <c r="D578" i="44"/>
  <c r="D589" i="44"/>
  <c r="D549" i="44"/>
  <c r="D559" i="44"/>
  <c r="D569" i="44"/>
  <c r="D580" i="44"/>
  <c r="D591" i="44"/>
  <c r="D560" i="44"/>
  <c r="D570" i="44"/>
  <c r="D592" i="44"/>
  <c r="D581" i="44"/>
  <c r="E141" i="44"/>
  <c r="E149" i="44"/>
  <c r="E157" i="44"/>
  <c r="E165" i="44"/>
  <c r="E173" i="44"/>
  <c r="E181" i="44"/>
  <c r="E143" i="44"/>
  <c r="E151" i="44"/>
  <c r="E159" i="44"/>
  <c r="E167" i="44"/>
  <c r="E175" i="44"/>
  <c r="E183" i="44"/>
  <c r="E136" i="44"/>
  <c r="E144" i="44"/>
  <c r="E152" i="44"/>
  <c r="E160" i="44"/>
  <c r="E168" i="44"/>
  <c r="E176" i="44"/>
  <c r="E184" i="44"/>
  <c r="E147" i="44"/>
  <c r="E161" i="44"/>
  <c r="E172" i="44"/>
  <c r="E135" i="44"/>
  <c r="E137" i="44"/>
  <c r="E148" i="44"/>
  <c r="E162" i="44"/>
  <c r="E174" i="44"/>
  <c r="E138" i="44"/>
  <c r="E150" i="44"/>
  <c r="E163" i="44"/>
  <c r="E177" i="44"/>
  <c r="E140" i="44"/>
  <c r="E154" i="44"/>
  <c r="E166" i="44"/>
  <c r="E179" i="44"/>
  <c r="E142" i="44"/>
  <c r="E155" i="44"/>
  <c r="E169" i="44"/>
  <c r="E180" i="44"/>
  <c r="E146" i="44"/>
  <c r="E182" i="44"/>
  <c r="E153" i="44"/>
  <c r="E185" i="44"/>
  <c r="E156" i="44"/>
  <c r="E158" i="44"/>
  <c r="E164" i="44"/>
  <c r="E170" i="44"/>
  <c r="E139" i="44"/>
  <c r="E171" i="44"/>
  <c r="E145" i="44"/>
  <c r="E178" i="44"/>
  <c r="D194" i="44"/>
  <c r="D202" i="44"/>
  <c r="D210" i="44"/>
  <c r="D218" i="44"/>
  <c r="D226" i="44"/>
  <c r="D234" i="44"/>
  <c r="D189" i="44"/>
  <c r="D197" i="44"/>
  <c r="D205" i="44"/>
  <c r="D213" i="44"/>
  <c r="D221" i="44"/>
  <c r="D229" i="44"/>
  <c r="D186" i="44"/>
  <c r="D192" i="44"/>
  <c r="D203" i="44"/>
  <c r="D214" i="44"/>
  <c r="D224" i="44"/>
  <c r="D235" i="44"/>
  <c r="D204" i="44"/>
  <c r="D215" i="44"/>
  <c r="D195" i="44"/>
  <c r="D206" i="44"/>
  <c r="D216" i="44"/>
  <c r="D227" i="44"/>
  <c r="D196" i="44"/>
  <c r="D207" i="44"/>
  <c r="D217" i="44"/>
  <c r="D228" i="44"/>
  <c r="D187" i="44"/>
  <c r="D198" i="44"/>
  <c r="D208" i="44"/>
  <c r="D219" i="44"/>
  <c r="D230" i="44"/>
  <c r="D225" i="44"/>
  <c r="D193" i="44"/>
  <c r="D236" i="44"/>
  <c r="D188" i="44"/>
  <c r="D199" i="44"/>
  <c r="D209" i="44"/>
  <c r="D220" i="44"/>
  <c r="D231" i="44"/>
  <c r="D190" i="44"/>
  <c r="D200" i="44"/>
  <c r="D211" i="44"/>
  <c r="D222" i="44"/>
  <c r="D232" i="44"/>
  <c r="D201" i="44"/>
  <c r="D212" i="44"/>
  <c r="D223" i="44"/>
  <c r="D191" i="44"/>
  <c r="D233" i="44"/>
  <c r="U5" i="44"/>
  <c r="E87" i="44"/>
  <c r="E95" i="44"/>
  <c r="E103" i="44"/>
  <c r="E111" i="44"/>
  <c r="E119" i="44"/>
  <c r="E127" i="44"/>
  <c r="E84" i="44"/>
  <c r="E89" i="44"/>
  <c r="E97" i="44"/>
  <c r="E105" i="44"/>
  <c r="E113" i="44"/>
  <c r="E121" i="44"/>
  <c r="E129" i="44"/>
  <c r="E90" i="44"/>
  <c r="E98" i="44"/>
  <c r="E106" i="44"/>
  <c r="E114" i="44"/>
  <c r="E122" i="44"/>
  <c r="E130" i="44"/>
  <c r="E96" i="44"/>
  <c r="E85" i="44"/>
  <c r="E99" i="44"/>
  <c r="E86" i="44"/>
  <c r="E100" i="44"/>
  <c r="E112" i="44"/>
  <c r="E125" i="44"/>
  <c r="E91" i="44"/>
  <c r="E102" i="44"/>
  <c r="E92" i="44"/>
  <c r="E104" i="44"/>
  <c r="E117" i="44"/>
  <c r="E131" i="44"/>
  <c r="E109" i="44"/>
  <c r="E126" i="44"/>
  <c r="E110" i="44"/>
  <c r="E128" i="44"/>
  <c r="E88" i="44"/>
  <c r="E115" i="44"/>
  <c r="E132" i="44"/>
  <c r="E93" i="44"/>
  <c r="E116" i="44"/>
  <c r="E133" i="44"/>
  <c r="E94" i="44"/>
  <c r="E118" i="44"/>
  <c r="E134" i="44"/>
  <c r="E101" i="44"/>
  <c r="E120" i="44"/>
  <c r="E107" i="44"/>
  <c r="E123" i="44"/>
  <c r="E124" i="44"/>
  <c r="E108" i="44"/>
  <c r="D140" i="44"/>
  <c r="D148" i="44"/>
  <c r="D156" i="44"/>
  <c r="D164" i="44"/>
  <c r="D172" i="44"/>
  <c r="D180" i="44"/>
  <c r="D143" i="44"/>
  <c r="D151" i="44"/>
  <c r="D159" i="44"/>
  <c r="D167" i="44"/>
  <c r="D175" i="44"/>
  <c r="D183" i="44"/>
  <c r="D144" i="44"/>
  <c r="D154" i="44"/>
  <c r="D165" i="44"/>
  <c r="D176" i="44"/>
  <c r="D135" i="44"/>
  <c r="D145" i="44"/>
  <c r="D136" i="44"/>
  <c r="D146" i="44"/>
  <c r="D157" i="44"/>
  <c r="D168" i="44"/>
  <c r="D178" i="44"/>
  <c r="D137" i="44"/>
  <c r="D147" i="44"/>
  <c r="D158" i="44"/>
  <c r="D169" i="44"/>
  <c r="D179" i="44"/>
  <c r="D138" i="44"/>
  <c r="D149" i="44"/>
  <c r="D160" i="44"/>
  <c r="D170" i="44"/>
  <c r="D174" i="44"/>
  <c r="D177" i="44"/>
  <c r="D181" i="44"/>
  <c r="D166" i="44"/>
  <c r="D139" i="44"/>
  <c r="D150" i="44"/>
  <c r="D161" i="44"/>
  <c r="D171" i="44"/>
  <c r="D182" i="44"/>
  <c r="D153" i="44"/>
  <c r="D141" i="44"/>
  <c r="D152" i="44"/>
  <c r="D162" i="44"/>
  <c r="D173" i="44"/>
  <c r="D184" i="44"/>
  <c r="D142" i="44"/>
  <c r="D163" i="44"/>
  <c r="D185" i="44"/>
  <c r="D155" i="44"/>
  <c r="E556" i="44"/>
  <c r="E564" i="44"/>
  <c r="E572" i="44"/>
  <c r="E580" i="44"/>
  <c r="E588" i="44"/>
  <c r="E596" i="44"/>
  <c r="E550" i="44"/>
  <c r="E558" i="44"/>
  <c r="E566" i="44"/>
  <c r="E574" i="44"/>
  <c r="E582" i="44"/>
  <c r="E590" i="44"/>
  <c r="E598" i="44"/>
  <c r="E551" i="44"/>
  <c r="E559" i="44"/>
  <c r="E567" i="44"/>
  <c r="E575" i="44"/>
  <c r="E583" i="44"/>
  <c r="E591" i="44"/>
  <c r="E599" i="44"/>
  <c r="E561" i="44"/>
  <c r="E573" i="44"/>
  <c r="E586" i="44"/>
  <c r="E549" i="44"/>
  <c r="E562" i="44"/>
  <c r="E576" i="44"/>
  <c r="E587" i="44"/>
  <c r="E552" i="44"/>
  <c r="E563" i="44"/>
  <c r="E577" i="44"/>
  <c r="E589" i="44"/>
  <c r="E554" i="44"/>
  <c r="E568" i="44"/>
  <c r="E579" i="44"/>
  <c r="E593" i="44"/>
  <c r="E555" i="44"/>
  <c r="E569" i="44"/>
  <c r="E581" i="44"/>
  <c r="E594" i="44"/>
  <c r="E578" i="44"/>
  <c r="E584" i="44"/>
  <c r="E553" i="44"/>
  <c r="E585" i="44"/>
  <c r="E557" i="44"/>
  <c r="E592" i="44"/>
  <c r="E560" i="44"/>
  <c r="E595" i="44"/>
  <c r="E565" i="44"/>
  <c r="E597" i="44"/>
  <c r="E570" i="44"/>
  <c r="E571" i="44"/>
  <c r="D757" i="44"/>
  <c r="D765" i="44"/>
  <c r="D773" i="44"/>
  <c r="D781" i="44"/>
  <c r="D789" i="44"/>
  <c r="D797" i="44"/>
  <c r="D759" i="44"/>
  <c r="D767" i="44"/>
  <c r="D775" i="44"/>
  <c r="D783" i="44"/>
  <c r="D791" i="44"/>
  <c r="D799" i="44"/>
  <c r="D760" i="44"/>
  <c r="D768" i="44"/>
  <c r="D776" i="44"/>
  <c r="D784" i="44"/>
  <c r="D792" i="44"/>
  <c r="D800" i="44"/>
  <c r="D755" i="44"/>
  <c r="D769" i="44"/>
  <c r="D780" i="44"/>
  <c r="D794" i="44"/>
  <c r="D761" i="44"/>
  <c r="D772" i="44"/>
  <c r="D786" i="44"/>
  <c r="D798" i="44"/>
  <c r="D762" i="44"/>
  <c r="D778" i="44"/>
  <c r="D795" i="44"/>
  <c r="D763" i="44"/>
  <c r="D779" i="44"/>
  <c r="D796" i="44"/>
  <c r="D764" i="44"/>
  <c r="D782" i="44"/>
  <c r="D801" i="44"/>
  <c r="D766" i="44"/>
  <c r="D785" i="44"/>
  <c r="D802" i="44"/>
  <c r="D770" i="44"/>
  <c r="D787" i="44"/>
  <c r="D803" i="44"/>
  <c r="D754" i="44"/>
  <c r="D771" i="44"/>
  <c r="D788" i="44"/>
  <c r="D753" i="44"/>
  <c r="D756" i="44"/>
  <c r="D774" i="44"/>
  <c r="D790" i="44"/>
  <c r="D777" i="44"/>
  <c r="D793" i="44"/>
  <c r="D758" i="44"/>
  <c r="D603" i="44"/>
  <c r="D611" i="44"/>
  <c r="D619" i="44"/>
  <c r="D627" i="44"/>
  <c r="D635" i="44"/>
  <c r="D605" i="44"/>
  <c r="D613" i="44"/>
  <c r="D621" i="44"/>
  <c r="D629" i="44"/>
  <c r="D637" i="44"/>
  <c r="D606" i="44"/>
  <c r="D614" i="44"/>
  <c r="D622" i="44"/>
  <c r="D630" i="44"/>
  <c r="D638" i="44"/>
  <c r="D602" i="44"/>
  <c r="D616" i="44"/>
  <c r="D628" i="44"/>
  <c r="D641" i="44"/>
  <c r="D649" i="44"/>
  <c r="D608" i="44"/>
  <c r="D620" i="44"/>
  <c r="D633" i="44"/>
  <c r="D644" i="44"/>
  <c r="D609" i="44"/>
  <c r="D625" i="44"/>
  <c r="D642" i="44"/>
  <c r="D610" i="44"/>
  <c r="D626" i="44"/>
  <c r="D643" i="44"/>
  <c r="D612" i="44"/>
  <c r="D631" i="44"/>
  <c r="D645" i="44"/>
  <c r="D615" i="44"/>
  <c r="D632" i="44"/>
  <c r="D646" i="44"/>
  <c r="D634" i="44"/>
  <c r="D617" i="44"/>
  <c r="D647" i="44"/>
  <c r="D601" i="44"/>
  <c r="D618" i="44"/>
  <c r="D636" i="44"/>
  <c r="D648" i="44"/>
  <c r="D604" i="44"/>
  <c r="D623" i="44"/>
  <c r="D639" i="44"/>
  <c r="D650" i="44"/>
  <c r="D607" i="44"/>
  <c r="D624" i="44"/>
  <c r="D640" i="44"/>
  <c r="D600" i="44"/>
  <c r="E656" i="44"/>
  <c r="E664" i="44"/>
  <c r="E672" i="44"/>
  <c r="E680" i="44"/>
  <c r="E688" i="44"/>
  <c r="E696" i="44"/>
  <c r="E658" i="44"/>
  <c r="E666" i="44"/>
  <c r="E674" i="44"/>
  <c r="E682" i="44"/>
  <c r="E690" i="44"/>
  <c r="E698" i="44"/>
  <c r="E659" i="44"/>
  <c r="E667" i="44"/>
  <c r="E675" i="44"/>
  <c r="E683" i="44"/>
  <c r="E691" i="44"/>
  <c r="E699" i="44"/>
  <c r="E662" i="44"/>
  <c r="E676" i="44"/>
  <c r="E687" i="44"/>
  <c r="E701" i="44"/>
  <c r="E652" i="44"/>
  <c r="E663" i="44"/>
  <c r="E677" i="44"/>
  <c r="E689" i="44"/>
  <c r="E651" i="44"/>
  <c r="E653" i="44"/>
  <c r="E665" i="44"/>
  <c r="E678" i="44"/>
  <c r="E692" i="44"/>
  <c r="E655" i="44"/>
  <c r="E669" i="44"/>
  <c r="E681" i="44"/>
  <c r="E694" i="44"/>
  <c r="E657" i="44"/>
  <c r="E670" i="44"/>
  <c r="E684" i="44"/>
  <c r="E695" i="44"/>
  <c r="E679" i="44"/>
  <c r="E685" i="44"/>
  <c r="E654" i="44"/>
  <c r="E686" i="44"/>
  <c r="E660" i="44"/>
  <c r="E693" i="44"/>
  <c r="E661" i="44"/>
  <c r="E697" i="44"/>
  <c r="E668" i="44"/>
  <c r="E700" i="44"/>
  <c r="E671" i="44"/>
  <c r="E673" i="44"/>
  <c r="E710" i="44"/>
  <c r="E718" i="44"/>
  <c r="E726" i="44"/>
  <c r="E734" i="44"/>
  <c r="E742" i="44"/>
  <c r="E750" i="44"/>
  <c r="E704" i="44"/>
  <c r="E712" i="44"/>
  <c r="E720" i="44"/>
  <c r="E728" i="44"/>
  <c r="E736" i="44"/>
  <c r="E744" i="44"/>
  <c r="E752" i="44"/>
  <c r="E705" i="44"/>
  <c r="E713" i="44"/>
  <c r="E721" i="44"/>
  <c r="E729" i="44"/>
  <c r="E737" i="44"/>
  <c r="E745" i="44"/>
  <c r="E702" i="44"/>
  <c r="E714" i="44"/>
  <c r="E725" i="44"/>
  <c r="E739" i="44"/>
  <c r="E751" i="44"/>
  <c r="E715" i="44"/>
  <c r="E727" i="44"/>
  <c r="E740" i="44"/>
  <c r="E703" i="44"/>
  <c r="E716" i="44"/>
  <c r="E730" i="44"/>
  <c r="E741" i="44"/>
  <c r="E707" i="44"/>
  <c r="E719" i="44"/>
  <c r="E732" i="44"/>
  <c r="E746" i="44"/>
  <c r="E708" i="44"/>
  <c r="E722" i="44"/>
  <c r="E733" i="44"/>
  <c r="E747" i="44"/>
  <c r="E711" i="44"/>
  <c r="E748" i="44"/>
  <c r="E717" i="44"/>
  <c r="E749" i="44"/>
  <c r="E723" i="44"/>
  <c r="E724" i="44"/>
  <c r="E731" i="44"/>
  <c r="E735" i="44"/>
  <c r="E706" i="44"/>
  <c r="E738" i="44"/>
  <c r="E743" i="44"/>
  <c r="E709" i="44"/>
  <c r="E602" i="44"/>
  <c r="E610" i="44"/>
  <c r="E618" i="44"/>
  <c r="E626" i="44"/>
  <c r="E634" i="44"/>
  <c r="E642" i="44"/>
  <c r="E650" i="44"/>
  <c r="E604" i="44"/>
  <c r="E612" i="44"/>
  <c r="E620" i="44"/>
  <c r="E628" i="44"/>
  <c r="E636" i="44"/>
  <c r="E644" i="44"/>
  <c r="E605" i="44"/>
  <c r="E613" i="44"/>
  <c r="E621" i="44"/>
  <c r="E629" i="44"/>
  <c r="E637" i="44"/>
  <c r="E645" i="44"/>
  <c r="E611" i="44"/>
  <c r="E624" i="44"/>
  <c r="E638" i="44"/>
  <c r="E649" i="44"/>
  <c r="E614" i="44"/>
  <c r="E625" i="44"/>
  <c r="E639" i="44"/>
  <c r="E600" i="44"/>
  <c r="E601" i="44"/>
  <c r="E615" i="44"/>
  <c r="E627" i="44"/>
  <c r="E640" i="44"/>
  <c r="E606" i="44"/>
  <c r="E617" i="44"/>
  <c r="E631" i="44"/>
  <c r="E643" i="44"/>
  <c r="E607" i="44"/>
  <c r="E619" i="44"/>
  <c r="E632" i="44"/>
  <c r="E646" i="44"/>
  <c r="E609" i="44"/>
  <c r="E647" i="44"/>
  <c r="E616" i="44"/>
  <c r="E648" i="44"/>
  <c r="E622" i="44"/>
  <c r="E623" i="44"/>
  <c r="E630" i="44"/>
  <c r="E633" i="44"/>
  <c r="E603" i="44"/>
  <c r="E635" i="44"/>
  <c r="E641" i="44"/>
  <c r="E608" i="44"/>
  <c r="E241" i="44"/>
  <c r="E249" i="44"/>
  <c r="E257" i="44"/>
  <c r="E265" i="44"/>
  <c r="E273" i="44"/>
  <c r="E281" i="44"/>
  <c r="E243" i="44"/>
  <c r="E251" i="44"/>
  <c r="E259" i="44"/>
  <c r="E267" i="44"/>
  <c r="E275" i="44"/>
  <c r="E283" i="44"/>
  <c r="E244" i="44"/>
  <c r="E252" i="44"/>
  <c r="E260" i="44"/>
  <c r="E268" i="44"/>
  <c r="E276" i="44"/>
  <c r="E284" i="44"/>
  <c r="E248" i="44"/>
  <c r="E262" i="44"/>
  <c r="E274" i="44"/>
  <c r="E287" i="44"/>
  <c r="E238" i="44"/>
  <c r="E250" i="44"/>
  <c r="E263" i="44"/>
  <c r="E277" i="44"/>
  <c r="E237" i="44"/>
  <c r="E239" i="44"/>
  <c r="E253" i="44"/>
  <c r="E264" i="44"/>
  <c r="E278" i="44"/>
  <c r="E242" i="44"/>
  <c r="E255" i="44"/>
  <c r="E269" i="44"/>
  <c r="E280" i="44"/>
  <c r="E245" i="44"/>
  <c r="E256" i="44"/>
  <c r="E270" i="44"/>
  <c r="E282" i="44"/>
  <c r="E247" i="44"/>
  <c r="E285" i="44"/>
  <c r="E254" i="44"/>
  <c r="E286" i="44"/>
  <c r="E258" i="44"/>
  <c r="E261" i="44"/>
  <c r="E266" i="44"/>
  <c r="E271" i="44"/>
  <c r="E240" i="44"/>
  <c r="E272" i="44"/>
  <c r="E279" i="44"/>
  <c r="E246" i="44"/>
  <c r="D657" i="44"/>
  <c r="D665" i="44"/>
  <c r="D673" i="44"/>
  <c r="D681" i="44"/>
  <c r="D689" i="44"/>
  <c r="D697" i="44"/>
  <c r="D659" i="44"/>
  <c r="D667" i="44"/>
  <c r="D675" i="44"/>
  <c r="D683" i="44"/>
  <c r="D691" i="44"/>
  <c r="D699" i="44"/>
  <c r="D652" i="44"/>
  <c r="D660" i="44"/>
  <c r="D668" i="44"/>
  <c r="D676" i="44"/>
  <c r="D684" i="44"/>
  <c r="D692" i="44"/>
  <c r="D700" i="44"/>
  <c r="D654" i="44"/>
  <c r="D666" i="44"/>
  <c r="D679" i="44"/>
  <c r="D693" i="44"/>
  <c r="D658" i="44"/>
  <c r="D671" i="44"/>
  <c r="D685" i="44"/>
  <c r="D696" i="44"/>
  <c r="D661" i="44"/>
  <c r="D677" i="44"/>
  <c r="D694" i="44"/>
  <c r="D662" i="44"/>
  <c r="D678" i="44"/>
  <c r="D695" i="44"/>
  <c r="D663" i="44"/>
  <c r="D680" i="44"/>
  <c r="D698" i="44"/>
  <c r="D664" i="44"/>
  <c r="D682" i="44"/>
  <c r="D701" i="44"/>
  <c r="D651" i="44"/>
  <c r="D669" i="44"/>
  <c r="D686" i="44"/>
  <c r="D653" i="44"/>
  <c r="D670" i="44"/>
  <c r="D687" i="44"/>
  <c r="D655" i="44"/>
  <c r="D672" i="44"/>
  <c r="D688" i="44"/>
  <c r="D656" i="44"/>
  <c r="D674" i="44"/>
  <c r="D690" i="44"/>
  <c r="E41" i="44"/>
  <c r="E49" i="44"/>
  <c r="E57" i="44"/>
  <c r="E65" i="44"/>
  <c r="E73" i="44"/>
  <c r="E81" i="44"/>
  <c r="E35" i="44"/>
  <c r="E43" i="44"/>
  <c r="E51" i="44"/>
  <c r="E59" i="44"/>
  <c r="E67" i="44"/>
  <c r="E75" i="44"/>
  <c r="E83" i="44"/>
  <c r="E36" i="44"/>
  <c r="E44" i="44"/>
  <c r="E52" i="44"/>
  <c r="E60" i="44"/>
  <c r="E68" i="44"/>
  <c r="E76" i="44"/>
  <c r="E33" i="44"/>
  <c r="E37" i="44"/>
  <c r="E48" i="44"/>
  <c r="E62" i="44"/>
  <c r="E74" i="44"/>
  <c r="E40" i="44"/>
  <c r="E54" i="44"/>
  <c r="E66" i="44"/>
  <c r="E79" i="44"/>
  <c r="E42" i="44"/>
  <c r="E58" i="44"/>
  <c r="E77" i="44"/>
  <c r="E45" i="44"/>
  <c r="E61" i="44"/>
  <c r="E78" i="44"/>
  <c r="E46" i="44"/>
  <c r="E63" i="44"/>
  <c r="E80" i="44"/>
  <c r="E47" i="44"/>
  <c r="E64" i="44"/>
  <c r="E82" i="44"/>
  <c r="E50" i="44"/>
  <c r="E56" i="44"/>
  <c r="E69" i="44"/>
  <c r="E34" i="44"/>
  <c r="E53" i="44"/>
  <c r="E70" i="44"/>
  <c r="E38" i="44"/>
  <c r="E55" i="44"/>
  <c r="E71" i="44"/>
  <c r="E39" i="44"/>
  <c r="E72" i="44"/>
  <c r="D703" i="44"/>
  <c r="D711" i="44"/>
  <c r="D719" i="44"/>
  <c r="D727" i="44"/>
  <c r="D735" i="44"/>
  <c r="D743" i="44"/>
  <c r="D751" i="44"/>
  <c r="D705" i="44"/>
  <c r="D713" i="44"/>
  <c r="D721" i="44"/>
  <c r="D729" i="44"/>
  <c r="D737" i="44"/>
  <c r="D745" i="44"/>
  <c r="D702" i="44"/>
  <c r="D706" i="44"/>
  <c r="D714" i="44"/>
  <c r="D722" i="44"/>
  <c r="D730" i="44"/>
  <c r="D738" i="44"/>
  <c r="D746" i="44"/>
  <c r="D704" i="44"/>
  <c r="D717" i="44"/>
  <c r="D731" i="44"/>
  <c r="D742" i="44"/>
  <c r="D709" i="44"/>
  <c r="D723" i="44"/>
  <c r="D734" i="44"/>
  <c r="D748" i="44"/>
  <c r="D710" i="44"/>
  <c r="D726" i="44"/>
  <c r="D744" i="44"/>
  <c r="D712" i="44"/>
  <c r="D728" i="44"/>
  <c r="D747" i="44"/>
  <c r="D715" i="44"/>
  <c r="D732" i="44"/>
  <c r="D749" i="44"/>
  <c r="D716" i="44"/>
  <c r="D733" i="44"/>
  <c r="D750" i="44"/>
  <c r="D752" i="44"/>
  <c r="D718" i="44"/>
  <c r="D736" i="44"/>
  <c r="D720" i="44"/>
  <c r="D739" i="44"/>
  <c r="D741" i="44"/>
  <c r="D707" i="44"/>
  <c r="D724" i="44"/>
  <c r="D740" i="44"/>
  <c r="D708" i="44"/>
  <c r="D725" i="44"/>
  <c r="D240" i="44"/>
  <c r="D248" i="44"/>
  <c r="D256" i="44"/>
  <c r="D264" i="44"/>
  <c r="D272" i="44"/>
  <c r="D280" i="44"/>
  <c r="D237" i="44"/>
  <c r="D243" i="44"/>
  <c r="D251" i="44"/>
  <c r="D259" i="44"/>
  <c r="D267" i="44"/>
  <c r="D275" i="44"/>
  <c r="D283" i="44"/>
  <c r="D241" i="44"/>
  <c r="D252" i="44"/>
  <c r="D262" i="44"/>
  <c r="D273" i="44"/>
  <c r="D284" i="44"/>
  <c r="D242" i="44"/>
  <c r="D253" i="44"/>
  <c r="D263" i="44"/>
  <c r="D274" i="44"/>
  <c r="D244" i="44"/>
  <c r="D254" i="44"/>
  <c r="D265" i="44"/>
  <c r="D276" i="44"/>
  <c r="D286" i="44"/>
  <c r="D245" i="44"/>
  <c r="D255" i="44"/>
  <c r="D266" i="44"/>
  <c r="D277" i="44"/>
  <c r="D287" i="44"/>
  <c r="D246" i="44"/>
  <c r="D257" i="44"/>
  <c r="D268" i="44"/>
  <c r="D278" i="44"/>
  <c r="D247" i="44"/>
  <c r="D258" i="44"/>
  <c r="D269" i="44"/>
  <c r="D279" i="44"/>
  <c r="D271" i="44"/>
  <c r="D238" i="44"/>
  <c r="D249" i="44"/>
  <c r="D260" i="44"/>
  <c r="D270" i="44"/>
  <c r="D281" i="44"/>
  <c r="D239" i="44"/>
  <c r="D261" i="44"/>
  <c r="D282" i="44"/>
  <c r="D250" i="44"/>
  <c r="D285" i="44"/>
  <c r="D299" i="44"/>
  <c r="D307" i="44"/>
  <c r="D315" i="44"/>
  <c r="D323" i="44"/>
  <c r="D331" i="44"/>
  <c r="D339" i="44"/>
  <c r="D295" i="44"/>
  <c r="D327" i="44"/>
  <c r="D292" i="44"/>
  <c r="D300" i="44"/>
  <c r="D308" i="44"/>
  <c r="D316" i="44"/>
  <c r="D324" i="44"/>
  <c r="D332" i="44"/>
  <c r="D340" i="44"/>
  <c r="D335" i="44"/>
  <c r="D314" i="44"/>
  <c r="D293" i="44"/>
  <c r="D301" i="44"/>
  <c r="D309" i="44"/>
  <c r="D317" i="44"/>
  <c r="D325" i="44"/>
  <c r="D333" i="44"/>
  <c r="D341" i="44"/>
  <c r="D319" i="44"/>
  <c r="D294" i="44"/>
  <c r="D302" i="44"/>
  <c r="D310" i="44"/>
  <c r="D318" i="44"/>
  <c r="D326" i="44"/>
  <c r="D334" i="44"/>
  <c r="D291" i="44"/>
  <c r="D303" i="44"/>
  <c r="D298" i="44"/>
  <c r="D311" i="44"/>
  <c r="D296" i="44"/>
  <c r="D304" i="44"/>
  <c r="D312" i="44"/>
  <c r="D320" i="44"/>
  <c r="D328" i="44"/>
  <c r="D336" i="44"/>
  <c r="D306" i="44"/>
  <c r="D297" i="44"/>
  <c r="D305" i="44"/>
  <c r="D313" i="44"/>
  <c r="D321" i="44"/>
  <c r="D329" i="44"/>
  <c r="D337" i="44"/>
  <c r="D322" i="44"/>
  <c r="D330" i="44"/>
  <c r="D338" i="44"/>
  <c r="D445" i="44"/>
  <c r="D453" i="44"/>
  <c r="D461" i="44"/>
  <c r="D469" i="44"/>
  <c r="D477" i="44"/>
  <c r="D485" i="44"/>
  <c r="D493" i="44"/>
  <c r="D465" i="44"/>
  <c r="D446" i="44"/>
  <c r="D454" i="44"/>
  <c r="D462" i="44"/>
  <c r="D470" i="44"/>
  <c r="D478" i="44"/>
  <c r="D486" i="44"/>
  <c r="D494" i="44"/>
  <c r="D449" i="44"/>
  <c r="D489" i="44"/>
  <c r="D460" i="44"/>
  <c r="D484" i="44"/>
  <c r="D447" i="44"/>
  <c r="D455" i="44"/>
  <c r="D463" i="44"/>
  <c r="D471" i="44"/>
  <c r="D479" i="44"/>
  <c r="D487" i="44"/>
  <c r="D444" i="44"/>
  <c r="D457" i="44"/>
  <c r="D481" i="44"/>
  <c r="D476" i="44"/>
  <c r="D448" i="44"/>
  <c r="D456" i="44"/>
  <c r="D464" i="44"/>
  <c r="D472" i="44"/>
  <c r="D480" i="44"/>
  <c r="D488" i="44"/>
  <c r="D492" i="44"/>
  <c r="D473" i="44"/>
  <c r="D450" i="44"/>
  <c r="D458" i="44"/>
  <c r="D466" i="44"/>
  <c r="D474" i="44"/>
  <c r="D482" i="44"/>
  <c r="D490" i="44"/>
  <c r="D468" i="44"/>
  <c r="D451" i="44"/>
  <c r="D459" i="44"/>
  <c r="D467" i="44"/>
  <c r="D475" i="44"/>
  <c r="D483" i="44"/>
  <c r="D491" i="44"/>
  <c r="D452" i="44"/>
  <c r="E397" i="44"/>
  <c r="E405" i="44"/>
  <c r="E413" i="44"/>
  <c r="E421" i="44"/>
  <c r="E429" i="44"/>
  <c r="E437" i="44"/>
  <c r="E412" i="44"/>
  <c r="E398" i="44"/>
  <c r="E406" i="44"/>
  <c r="E414" i="44"/>
  <c r="E422" i="44"/>
  <c r="E430" i="44"/>
  <c r="E438" i="44"/>
  <c r="E399" i="44"/>
  <c r="E407" i="44"/>
  <c r="E415" i="44"/>
  <c r="E423" i="44"/>
  <c r="E431" i="44"/>
  <c r="E439" i="44"/>
  <c r="E404" i="44"/>
  <c r="E400" i="44"/>
  <c r="E408" i="44"/>
  <c r="E416" i="44"/>
  <c r="E424" i="44"/>
  <c r="E432" i="44"/>
  <c r="E440" i="44"/>
  <c r="E436" i="44"/>
  <c r="E401" i="44"/>
  <c r="E409" i="44"/>
  <c r="E417" i="44"/>
  <c r="E425" i="44"/>
  <c r="E433" i="44"/>
  <c r="E441" i="44"/>
  <c r="E394" i="44"/>
  <c r="E402" i="44"/>
  <c r="E410" i="44"/>
  <c r="E418" i="44"/>
  <c r="E426" i="44"/>
  <c r="E434" i="44"/>
  <c r="E442" i="44"/>
  <c r="E396" i="44"/>
  <c r="E428" i="44"/>
  <c r="E395" i="44"/>
  <c r="E403" i="44"/>
  <c r="E411" i="44"/>
  <c r="E419" i="44"/>
  <c r="E427" i="44"/>
  <c r="E435" i="44"/>
  <c r="E443" i="44"/>
  <c r="E420" i="44"/>
  <c r="E393" i="44"/>
  <c r="D499" i="44"/>
  <c r="D507" i="44"/>
  <c r="D515" i="44"/>
  <c r="D523" i="44"/>
  <c r="D531" i="44"/>
  <c r="D539" i="44"/>
  <c r="D519" i="44"/>
  <c r="D500" i="44"/>
  <c r="D508" i="44"/>
  <c r="D516" i="44"/>
  <c r="D524" i="44"/>
  <c r="D532" i="44"/>
  <c r="D540" i="44"/>
  <c r="D503" i="44"/>
  <c r="D506" i="44"/>
  <c r="D530" i="44"/>
  <c r="D501" i="44"/>
  <c r="D509" i="44"/>
  <c r="D517" i="44"/>
  <c r="D525" i="44"/>
  <c r="D533" i="44"/>
  <c r="D541" i="44"/>
  <c r="D527" i="44"/>
  <c r="D502" i="44"/>
  <c r="D510" i="44"/>
  <c r="D518" i="44"/>
  <c r="D526" i="44"/>
  <c r="D534" i="44"/>
  <c r="D542" i="44"/>
  <c r="D543" i="44"/>
  <c r="D514" i="44"/>
  <c r="D495" i="44"/>
  <c r="D511" i="44"/>
  <c r="D535" i="44"/>
  <c r="D496" i="44"/>
  <c r="D504" i="44"/>
  <c r="D512" i="44"/>
  <c r="D520" i="44"/>
  <c r="D528" i="44"/>
  <c r="D536" i="44"/>
  <c r="D544" i="44"/>
  <c r="D498" i="44"/>
  <c r="D538" i="44"/>
  <c r="D497" i="44"/>
  <c r="D505" i="44"/>
  <c r="D513" i="44"/>
  <c r="D521" i="44"/>
  <c r="D529" i="44"/>
  <c r="D537" i="44"/>
  <c r="D545" i="44"/>
  <c r="D522" i="44"/>
  <c r="D345" i="44"/>
  <c r="D353" i="44"/>
  <c r="D361" i="44"/>
  <c r="D369" i="44"/>
  <c r="D377" i="44"/>
  <c r="D385" i="44"/>
  <c r="D342" i="44"/>
  <c r="D349" i="44"/>
  <c r="D373" i="44"/>
  <c r="D346" i="44"/>
  <c r="D354" i="44"/>
  <c r="D362" i="44"/>
  <c r="D370" i="44"/>
  <c r="D378" i="44"/>
  <c r="D386" i="44"/>
  <c r="D381" i="44"/>
  <c r="D344" i="44"/>
  <c r="D376" i="44"/>
  <c r="D347" i="44"/>
  <c r="D355" i="44"/>
  <c r="D363" i="44"/>
  <c r="D371" i="44"/>
  <c r="D379" i="44"/>
  <c r="D387" i="44"/>
  <c r="D365" i="44"/>
  <c r="D389" i="44"/>
  <c r="D348" i="44"/>
  <c r="D356" i="44"/>
  <c r="D364" i="44"/>
  <c r="D372" i="44"/>
  <c r="D380" i="44"/>
  <c r="D388" i="44"/>
  <c r="D357" i="44"/>
  <c r="D360" i="44"/>
  <c r="D350" i="44"/>
  <c r="D358" i="44"/>
  <c r="D366" i="44"/>
  <c r="D374" i="44"/>
  <c r="D382" i="44"/>
  <c r="D390" i="44"/>
  <c r="D368" i="44"/>
  <c r="D343" i="44"/>
  <c r="D351" i="44"/>
  <c r="D359" i="44"/>
  <c r="D367" i="44"/>
  <c r="D375" i="44"/>
  <c r="D383" i="44"/>
  <c r="D391" i="44"/>
  <c r="D352" i="44"/>
  <c r="D392" i="44"/>
  <c r="D384" i="44"/>
  <c r="D399" i="44"/>
  <c r="D407" i="44"/>
  <c r="D415" i="44"/>
  <c r="D423" i="44"/>
  <c r="D431" i="44"/>
  <c r="D439" i="44"/>
  <c r="D395" i="44"/>
  <c r="D419" i="44"/>
  <c r="D398" i="44"/>
  <c r="D400" i="44"/>
  <c r="D408" i="44"/>
  <c r="D416" i="44"/>
  <c r="D424" i="44"/>
  <c r="D432" i="44"/>
  <c r="D440" i="44"/>
  <c r="D435" i="44"/>
  <c r="D422" i="44"/>
  <c r="D401" i="44"/>
  <c r="D409" i="44"/>
  <c r="D417" i="44"/>
  <c r="D425" i="44"/>
  <c r="D433" i="44"/>
  <c r="D441" i="44"/>
  <c r="D411" i="44"/>
  <c r="D443" i="44"/>
  <c r="D394" i="44"/>
  <c r="D402" i="44"/>
  <c r="D410" i="44"/>
  <c r="D418" i="44"/>
  <c r="D426" i="44"/>
  <c r="D434" i="44"/>
  <c r="D442" i="44"/>
  <c r="D403" i="44"/>
  <c r="D430" i="44"/>
  <c r="D427" i="44"/>
  <c r="D396" i="44"/>
  <c r="D404" i="44"/>
  <c r="D412" i="44"/>
  <c r="D420" i="44"/>
  <c r="D428" i="44"/>
  <c r="D436" i="44"/>
  <c r="D393" i="44"/>
  <c r="D406" i="44"/>
  <c r="D438" i="44"/>
  <c r="D397" i="44"/>
  <c r="D405" i="44"/>
  <c r="D413" i="44"/>
  <c r="D421" i="44"/>
  <c r="D429" i="44"/>
  <c r="D437" i="44"/>
  <c r="D414" i="44"/>
  <c r="E343" i="44"/>
  <c r="E351" i="44"/>
  <c r="E359" i="44"/>
  <c r="E367" i="44"/>
  <c r="E375" i="44"/>
  <c r="E383" i="44"/>
  <c r="E391" i="44"/>
  <c r="E344" i="44"/>
  <c r="E352" i="44"/>
  <c r="E360" i="44"/>
  <c r="E368" i="44"/>
  <c r="E376" i="44"/>
  <c r="E384" i="44"/>
  <c r="E392" i="44"/>
  <c r="E345" i="44"/>
  <c r="E353" i="44"/>
  <c r="E361" i="44"/>
  <c r="E369" i="44"/>
  <c r="E377" i="44"/>
  <c r="E385" i="44"/>
  <c r="E342" i="44"/>
  <c r="E346" i="44"/>
  <c r="E354" i="44"/>
  <c r="E362" i="44"/>
  <c r="E370" i="44"/>
  <c r="E378" i="44"/>
  <c r="E386" i="44"/>
  <c r="E347" i="44"/>
  <c r="E355" i="44"/>
  <c r="E363" i="44"/>
  <c r="E371" i="44"/>
  <c r="E379" i="44"/>
  <c r="E387" i="44"/>
  <c r="E348" i="44"/>
  <c r="E356" i="44"/>
  <c r="E364" i="44"/>
  <c r="E372" i="44"/>
  <c r="E380" i="44"/>
  <c r="E388" i="44"/>
  <c r="E350" i="44"/>
  <c r="E366" i="44"/>
  <c r="E382" i="44"/>
  <c r="E349" i="44"/>
  <c r="E357" i="44"/>
  <c r="E365" i="44"/>
  <c r="E373" i="44"/>
  <c r="E381" i="44"/>
  <c r="E389" i="44"/>
  <c r="E358" i="44"/>
  <c r="E374" i="44"/>
  <c r="E390" i="44"/>
  <c r="E497" i="44"/>
  <c r="E505" i="44"/>
  <c r="E513" i="44"/>
  <c r="E521" i="44"/>
  <c r="E529" i="44"/>
  <c r="E537" i="44"/>
  <c r="E545" i="44"/>
  <c r="E498" i="44"/>
  <c r="E506" i="44"/>
  <c r="E514" i="44"/>
  <c r="E522" i="44"/>
  <c r="E530" i="44"/>
  <c r="E538" i="44"/>
  <c r="E495" i="44"/>
  <c r="E499" i="44"/>
  <c r="E507" i="44"/>
  <c r="E515" i="44"/>
  <c r="E523" i="44"/>
  <c r="E531" i="44"/>
  <c r="E539" i="44"/>
  <c r="E500" i="44"/>
  <c r="E508" i="44"/>
  <c r="E516" i="44"/>
  <c r="E524" i="44"/>
  <c r="E532" i="44"/>
  <c r="E540" i="44"/>
  <c r="E501" i="44"/>
  <c r="E509" i="44"/>
  <c r="E517" i="44"/>
  <c r="E525" i="44"/>
  <c r="E533" i="44"/>
  <c r="E541" i="44"/>
  <c r="E502" i="44"/>
  <c r="E510" i="44"/>
  <c r="E518" i="44"/>
  <c r="E526" i="44"/>
  <c r="E534" i="44"/>
  <c r="E542" i="44"/>
  <c r="E504" i="44"/>
  <c r="E512" i="44"/>
  <c r="E528" i="44"/>
  <c r="E544" i="44"/>
  <c r="E503" i="44"/>
  <c r="E511" i="44"/>
  <c r="E519" i="44"/>
  <c r="E527" i="44"/>
  <c r="E535" i="44"/>
  <c r="E543" i="44"/>
  <c r="E496" i="44"/>
  <c r="E520" i="44"/>
  <c r="E536" i="44"/>
  <c r="E451" i="44"/>
  <c r="E459" i="44"/>
  <c r="E467" i="44"/>
  <c r="E475" i="44"/>
  <c r="E483" i="44"/>
  <c r="E491" i="44"/>
  <c r="E452" i="44"/>
  <c r="E460" i="44"/>
  <c r="E468" i="44"/>
  <c r="E476" i="44"/>
  <c r="E484" i="44"/>
  <c r="E492" i="44"/>
  <c r="E466" i="44"/>
  <c r="E445" i="44"/>
  <c r="E453" i="44"/>
  <c r="E461" i="44"/>
  <c r="E469" i="44"/>
  <c r="E477" i="44"/>
  <c r="E485" i="44"/>
  <c r="E493" i="44"/>
  <c r="E446" i="44"/>
  <c r="E454" i="44"/>
  <c r="E462" i="44"/>
  <c r="E470" i="44"/>
  <c r="E478" i="44"/>
  <c r="E486" i="44"/>
  <c r="E494" i="44"/>
  <c r="E447" i="44"/>
  <c r="E455" i="44"/>
  <c r="E463" i="44"/>
  <c r="E471" i="44"/>
  <c r="E479" i="44"/>
  <c r="E487" i="44"/>
  <c r="E444" i="44"/>
  <c r="E448" i="44"/>
  <c r="E456" i="44"/>
  <c r="E464" i="44"/>
  <c r="E472" i="44"/>
  <c r="E480" i="44"/>
  <c r="E488" i="44"/>
  <c r="E458" i="44"/>
  <c r="E482" i="44"/>
  <c r="E449" i="44"/>
  <c r="E457" i="44"/>
  <c r="E465" i="44"/>
  <c r="E473" i="44"/>
  <c r="E481" i="44"/>
  <c r="E489" i="44"/>
  <c r="E450" i="44"/>
  <c r="E474" i="44"/>
  <c r="E490" i="44"/>
  <c r="E297" i="44"/>
  <c r="E305" i="44"/>
  <c r="E313" i="44"/>
  <c r="E321" i="44"/>
  <c r="E329" i="44"/>
  <c r="E337" i="44"/>
  <c r="E298" i="44"/>
  <c r="E306" i="44"/>
  <c r="E314" i="44"/>
  <c r="E322" i="44"/>
  <c r="E330" i="44"/>
  <c r="E338" i="44"/>
  <c r="E299" i="44"/>
  <c r="E307" i="44"/>
  <c r="E315" i="44"/>
  <c r="E323" i="44"/>
  <c r="E331" i="44"/>
  <c r="E339" i="44"/>
  <c r="E292" i="44"/>
  <c r="E300" i="44"/>
  <c r="E308" i="44"/>
  <c r="E316" i="44"/>
  <c r="E324" i="44"/>
  <c r="E332" i="44"/>
  <c r="E340" i="44"/>
  <c r="E293" i="44"/>
  <c r="E301" i="44"/>
  <c r="E309" i="44"/>
  <c r="E317" i="44"/>
  <c r="E325" i="44"/>
  <c r="E333" i="44"/>
  <c r="E341" i="44"/>
  <c r="E294" i="44"/>
  <c r="E302" i="44"/>
  <c r="E310" i="44"/>
  <c r="E318" i="44"/>
  <c r="E326" i="44"/>
  <c r="E334" i="44"/>
  <c r="E291" i="44"/>
  <c r="E296" i="44"/>
  <c r="E312" i="44"/>
  <c r="E328" i="44"/>
  <c r="E295" i="44"/>
  <c r="E303" i="44"/>
  <c r="E311" i="44"/>
  <c r="E319" i="44"/>
  <c r="E327" i="44"/>
  <c r="E335" i="44"/>
  <c r="E304" i="44"/>
  <c r="E320" i="44"/>
  <c r="E336" i="44"/>
  <c r="S86" i="37"/>
  <c r="S95" i="37" s="1"/>
  <c r="Q84" i="37"/>
  <c r="Q80" i="37"/>
  <c r="Q89" i="37" s="1"/>
  <c r="Q86" i="37"/>
  <c r="Q95" i="37" s="1"/>
  <c r="Q82" i="37"/>
  <c r="M85" i="37"/>
  <c r="M94" i="37" s="1"/>
  <c r="M81" i="37"/>
  <c r="M87" i="37"/>
  <c r="M96" i="37" s="1"/>
  <c r="M83" i="37"/>
  <c r="O85" i="37"/>
  <c r="O94" i="37" s="1"/>
  <c r="O81" i="37"/>
  <c r="O90" i="37" s="1"/>
  <c r="O83" i="37"/>
  <c r="O92" i="37" s="1"/>
  <c r="O87" i="37"/>
  <c r="O96" i="37" s="1"/>
  <c r="I81" i="37"/>
  <c r="I90" i="37" s="1"/>
  <c r="I85" i="37"/>
  <c r="I87" i="37"/>
  <c r="I96" i="37" s="1"/>
  <c r="I83" i="37"/>
  <c r="I92" i="37" s="1"/>
  <c r="Q93" i="37"/>
  <c r="E176" i="28"/>
  <c r="E175" i="28"/>
  <c r="P84" i="37"/>
  <c r="P93" i="37" s="1"/>
  <c r="B7" i="54"/>
  <c r="J348" i="44"/>
  <c r="Y348" i="44" s="1"/>
  <c r="J369" i="44"/>
  <c r="Y369" i="44" s="1"/>
  <c r="J350" i="44"/>
  <c r="Y350" i="44" s="1"/>
  <c r="J343" i="44"/>
  <c r="Y343" i="44" s="1"/>
  <c r="J366" i="44"/>
  <c r="Y366" i="44" s="1"/>
  <c r="J383" i="44"/>
  <c r="Y383" i="44" s="1"/>
  <c r="J357" i="44"/>
  <c r="Y357" i="44" s="1"/>
  <c r="J372" i="44"/>
  <c r="Y372" i="44" s="1"/>
  <c r="J346" i="44"/>
  <c r="Y346" i="44" s="1"/>
  <c r="J392" i="44"/>
  <c r="Y392" i="44" s="1"/>
  <c r="J385" i="44"/>
  <c r="Y385" i="44" s="1"/>
  <c r="J344" i="44"/>
  <c r="Y344" i="44" s="1"/>
  <c r="J360" i="44"/>
  <c r="Y360" i="44" s="1"/>
  <c r="J381" i="44"/>
  <c r="Y381" i="44" s="1"/>
  <c r="J379" i="44"/>
  <c r="Y379" i="44" s="1"/>
  <c r="J351" i="44"/>
  <c r="Y351" i="44" s="1"/>
  <c r="J375" i="44"/>
  <c r="Y375" i="44" s="1"/>
  <c r="J354" i="44"/>
  <c r="Y354" i="44" s="1"/>
  <c r="J364" i="44"/>
  <c r="Y364" i="44" s="1"/>
  <c r="J368" i="44"/>
  <c r="Y368" i="44" s="1"/>
  <c r="J342" i="44"/>
  <c r="Y342" i="44" s="1"/>
  <c r="J370" i="44"/>
  <c r="Y370" i="44" s="1"/>
  <c r="J380" i="44"/>
  <c r="Y380" i="44" s="1"/>
  <c r="J378" i="44"/>
  <c r="Y378" i="44" s="1"/>
  <c r="J355" i="44"/>
  <c r="Y355" i="44" s="1"/>
  <c r="J374" i="44"/>
  <c r="Y374" i="44" s="1"/>
  <c r="J349" i="44"/>
  <c r="Y349" i="44" s="1"/>
  <c r="J388" i="44"/>
  <c r="Y388" i="44" s="1"/>
  <c r="J390" i="44"/>
  <c r="Y390" i="44" s="1"/>
  <c r="J371" i="44"/>
  <c r="Y371" i="44" s="1"/>
  <c r="J352" i="44"/>
  <c r="Y352" i="44" s="1"/>
  <c r="J365" i="44"/>
  <c r="Y365" i="44" s="1"/>
  <c r="J347" i="44"/>
  <c r="Y347" i="44" s="1"/>
  <c r="J362" i="44"/>
  <c r="Y362" i="44" s="1"/>
  <c r="J345" i="44"/>
  <c r="Y345" i="44" s="1"/>
  <c r="J382" i="44"/>
  <c r="Y382" i="44" s="1"/>
  <c r="J391" i="44"/>
  <c r="Y391" i="44" s="1"/>
  <c r="J353" i="44"/>
  <c r="Y353" i="44" s="1"/>
  <c r="J358" i="44"/>
  <c r="Y358" i="44" s="1"/>
  <c r="J384" i="44"/>
  <c r="Y384" i="44" s="1"/>
  <c r="J376" i="44"/>
  <c r="Y376" i="44" s="1"/>
  <c r="J386" i="44"/>
  <c r="Y386" i="44" s="1"/>
  <c r="J363" i="44"/>
  <c r="Y363" i="44" s="1"/>
  <c r="J356" i="44"/>
  <c r="Y356" i="44" s="1"/>
  <c r="J387" i="44"/>
  <c r="Y387" i="44" s="1"/>
  <c r="J361" i="44"/>
  <c r="Y361" i="44" s="1"/>
  <c r="J367" i="44"/>
  <c r="Y367" i="44" s="1"/>
  <c r="J373" i="44"/>
  <c r="Y373" i="44" s="1"/>
  <c r="J389" i="44"/>
  <c r="Y389" i="44" s="1"/>
  <c r="J377" i="44"/>
  <c r="Y377" i="44" s="1"/>
  <c r="J359" i="44"/>
  <c r="Y359" i="44" s="1"/>
  <c r="D7" i="54"/>
  <c r="H378" i="44"/>
  <c r="W378" i="44" s="1"/>
  <c r="H342" i="44"/>
  <c r="W342" i="44" s="1"/>
  <c r="H366" i="44"/>
  <c r="W366" i="44" s="1"/>
  <c r="H382" i="44"/>
  <c r="W382" i="44" s="1"/>
  <c r="H359" i="44"/>
  <c r="W359" i="44" s="1"/>
  <c r="H363" i="44"/>
  <c r="W363" i="44" s="1"/>
  <c r="H353" i="44"/>
  <c r="W353" i="44" s="1"/>
  <c r="H367" i="44"/>
  <c r="W367" i="44" s="1"/>
  <c r="H351" i="44"/>
  <c r="W351" i="44" s="1"/>
  <c r="H383" i="44"/>
  <c r="W383" i="44" s="1"/>
  <c r="H348" i="44"/>
  <c r="W348" i="44" s="1"/>
  <c r="H350" i="44"/>
  <c r="W350" i="44" s="1"/>
  <c r="H362" i="44"/>
  <c r="W362" i="44" s="1"/>
  <c r="H347" i="44"/>
  <c r="W347" i="44" s="1"/>
  <c r="H365" i="44"/>
  <c r="W365" i="44" s="1"/>
  <c r="H384" i="44"/>
  <c r="W384" i="44" s="1"/>
  <c r="H375" i="44"/>
  <c r="W375" i="44" s="1"/>
  <c r="H386" i="44"/>
  <c r="W386" i="44" s="1"/>
  <c r="H379" i="44"/>
  <c r="W379" i="44" s="1"/>
  <c r="H352" i="44"/>
  <c r="W352" i="44" s="1"/>
  <c r="H373" i="44"/>
  <c r="W373" i="44" s="1"/>
  <c r="H364" i="44"/>
  <c r="W364" i="44" s="1"/>
  <c r="H345" i="44"/>
  <c r="W345" i="44" s="1"/>
  <c r="H389" i="44"/>
  <c r="W389" i="44" s="1"/>
  <c r="H368" i="44"/>
  <c r="W368" i="44" s="1"/>
  <c r="H387" i="44"/>
  <c r="W387" i="44" s="1"/>
  <c r="H380" i="44"/>
  <c r="W380" i="44" s="1"/>
  <c r="H385" i="44"/>
  <c r="W385" i="44" s="1"/>
  <c r="H371" i="44"/>
  <c r="W371" i="44" s="1"/>
  <c r="H391" i="44"/>
  <c r="W391" i="44" s="1"/>
  <c r="H346" i="44"/>
  <c r="W346" i="44" s="1"/>
  <c r="H344" i="44"/>
  <c r="W344" i="44" s="1"/>
  <c r="H372" i="44"/>
  <c r="W372" i="44" s="1"/>
  <c r="H354" i="44"/>
  <c r="W354" i="44" s="1"/>
  <c r="H356" i="44"/>
  <c r="W356" i="44" s="1"/>
  <c r="H343" i="44"/>
  <c r="W343" i="44" s="1"/>
  <c r="H370" i="44"/>
  <c r="W370" i="44" s="1"/>
  <c r="H376" i="44"/>
  <c r="W376" i="44" s="1"/>
  <c r="H360" i="44"/>
  <c r="W360" i="44" s="1"/>
  <c r="H361" i="44"/>
  <c r="W361" i="44" s="1"/>
  <c r="H388" i="44"/>
  <c r="W388" i="44" s="1"/>
  <c r="H374" i="44"/>
  <c r="W374" i="44" s="1"/>
  <c r="H369" i="44"/>
  <c r="W369" i="44" s="1"/>
  <c r="H381" i="44"/>
  <c r="W381" i="44" s="1"/>
  <c r="H390" i="44"/>
  <c r="W390" i="44" s="1"/>
  <c r="H357" i="44"/>
  <c r="W357" i="44" s="1"/>
  <c r="H355" i="44"/>
  <c r="W355" i="44" s="1"/>
  <c r="H358" i="44"/>
  <c r="W358" i="44" s="1"/>
  <c r="H349" i="44"/>
  <c r="W349" i="44" s="1"/>
  <c r="H392" i="44"/>
  <c r="W392" i="44" s="1"/>
  <c r="H377" i="44"/>
  <c r="W377" i="44" s="1"/>
  <c r="F33" i="44"/>
  <c r="U33" i="44" s="1"/>
  <c r="F42" i="44"/>
  <c r="U42" i="44" s="1"/>
  <c r="E6" i="51"/>
  <c r="E7" i="52" s="1"/>
  <c r="F82" i="44"/>
  <c r="U82" i="44" s="1"/>
  <c r="F34" i="44"/>
  <c r="U34" i="44" s="1"/>
  <c r="F79" i="44"/>
  <c r="U79" i="44" s="1"/>
  <c r="F69" i="44"/>
  <c r="U69" i="44" s="1"/>
  <c r="F51" i="44"/>
  <c r="U51" i="44" s="1"/>
  <c r="F48" i="44"/>
  <c r="U48" i="44" s="1"/>
  <c r="F75" i="44"/>
  <c r="U75" i="44" s="1"/>
  <c r="F78" i="44"/>
  <c r="U78" i="44" s="1"/>
  <c r="F50" i="44"/>
  <c r="U50" i="44" s="1"/>
  <c r="F39" i="44"/>
  <c r="U39" i="44" s="1"/>
  <c r="F35" i="44"/>
  <c r="U35" i="44" s="1"/>
  <c r="F68" i="44"/>
  <c r="U68" i="44" s="1"/>
  <c r="F63" i="44"/>
  <c r="U63" i="44" s="1"/>
  <c r="F65" i="44"/>
  <c r="U65" i="44" s="1"/>
  <c r="F77" i="44"/>
  <c r="U77" i="44" s="1"/>
  <c r="F49" i="44"/>
  <c r="U49" i="44" s="1"/>
  <c r="F70" i="44"/>
  <c r="U70" i="44" s="1"/>
  <c r="F44" i="44"/>
  <c r="U44" i="44" s="1"/>
  <c r="F71" i="44"/>
  <c r="U71" i="44" s="1"/>
  <c r="F76" i="44"/>
  <c r="U76" i="44" s="1"/>
  <c r="F60" i="44"/>
  <c r="U60" i="44" s="1"/>
  <c r="F58" i="44"/>
  <c r="U58" i="44" s="1"/>
  <c r="F61" i="44"/>
  <c r="U61" i="44" s="1"/>
  <c r="F45" i="44"/>
  <c r="U45" i="44" s="1"/>
  <c r="F73" i="44"/>
  <c r="U73" i="44" s="1"/>
  <c r="F83" i="44"/>
  <c r="U83" i="44" s="1"/>
  <c r="F38" i="44"/>
  <c r="U38" i="44" s="1"/>
  <c r="F40" i="44"/>
  <c r="U40" i="44" s="1"/>
  <c r="F74" i="44"/>
  <c r="U74" i="44" s="1"/>
  <c r="F55" i="44"/>
  <c r="U55" i="44" s="1"/>
  <c r="F72" i="44"/>
  <c r="U72" i="44" s="1"/>
  <c r="F54" i="44"/>
  <c r="U54" i="44" s="1"/>
  <c r="F62" i="44"/>
  <c r="U62" i="44" s="1"/>
  <c r="F57" i="44"/>
  <c r="U57" i="44" s="1"/>
  <c r="F80" i="44"/>
  <c r="U80" i="44" s="1"/>
  <c r="F41" i="44"/>
  <c r="U41" i="44" s="1"/>
  <c r="F47" i="44"/>
  <c r="U47" i="44" s="1"/>
  <c r="F53" i="44"/>
  <c r="U53" i="44" s="1"/>
  <c r="F43" i="44"/>
  <c r="U43" i="44" s="1"/>
  <c r="F36" i="44"/>
  <c r="U36" i="44" s="1"/>
  <c r="F67" i="44"/>
  <c r="U67" i="44" s="1"/>
  <c r="F81" i="44"/>
  <c r="U81" i="44" s="1"/>
  <c r="F37" i="44"/>
  <c r="U37" i="44" s="1"/>
  <c r="F56" i="44"/>
  <c r="U56" i="44" s="1"/>
  <c r="F52" i="44"/>
  <c r="U52" i="44" s="1"/>
  <c r="F66" i="44"/>
  <c r="U66" i="44" s="1"/>
  <c r="F64" i="44"/>
  <c r="U64" i="44" s="1"/>
  <c r="F46" i="44"/>
  <c r="U46" i="44" s="1"/>
  <c r="F59" i="44"/>
  <c r="U59" i="44" s="1"/>
  <c r="J94" i="44"/>
  <c r="Y94" i="44" s="1"/>
  <c r="J87" i="44"/>
  <c r="Y87" i="44" s="1"/>
  <c r="J117" i="44"/>
  <c r="Y117" i="44" s="1"/>
  <c r="J110" i="44"/>
  <c r="Y110" i="44" s="1"/>
  <c r="J127" i="44"/>
  <c r="Y127" i="44" s="1"/>
  <c r="J106" i="44"/>
  <c r="Y106" i="44" s="1"/>
  <c r="J118" i="44"/>
  <c r="Y118" i="44" s="1"/>
  <c r="J132" i="44"/>
  <c r="Y132" i="44" s="1"/>
  <c r="B7" i="51"/>
  <c r="B8" i="52" s="1"/>
  <c r="J129" i="44"/>
  <c r="Y129" i="44" s="1"/>
  <c r="J112" i="44"/>
  <c r="Y112" i="44" s="1"/>
  <c r="J104" i="44"/>
  <c r="Y104" i="44" s="1"/>
  <c r="J102" i="44"/>
  <c r="Y102" i="44" s="1"/>
  <c r="J123" i="44"/>
  <c r="Y123" i="44" s="1"/>
  <c r="J120" i="44"/>
  <c r="Y120" i="44" s="1"/>
  <c r="J114" i="44"/>
  <c r="Y114" i="44" s="1"/>
  <c r="J109" i="44"/>
  <c r="Y109" i="44" s="1"/>
  <c r="J133" i="44"/>
  <c r="Y133" i="44" s="1"/>
  <c r="J100" i="44"/>
  <c r="Y100" i="44" s="1"/>
  <c r="J126" i="44"/>
  <c r="Y126" i="44" s="1"/>
  <c r="J113" i="44"/>
  <c r="Y113" i="44" s="1"/>
  <c r="J96" i="44"/>
  <c r="Y96" i="44" s="1"/>
  <c r="J92" i="44"/>
  <c r="Y92" i="44" s="1"/>
  <c r="J116" i="44"/>
  <c r="Y116" i="44" s="1"/>
  <c r="J91" i="44"/>
  <c r="Y91" i="44" s="1"/>
  <c r="J130" i="44"/>
  <c r="Y130" i="44" s="1"/>
  <c r="J90" i="44"/>
  <c r="Y90" i="44" s="1"/>
  <c r="J131" i="44"/>
  <c r="Y131" i="44" s="1"/>
  <c r="J84" i="44"/>
  <c r="Y84" i="44" s="1"/>
  <c r="J121" i="44"/>
  <c r="Y121" i="44" s="1"/>
  <c r="J99" i="44"/>
  <c r="Y99" i="44" s="1"/>
  <c r="J108" i="44"/>
  <c r="Y108" i="44" s="1"/>
  <c r="J95" i="44"/>
  <c r="Y95" i="44" s="1"/>
  <c r="J86" i="44"/>
  <c r="Y86" i="44" s="1"/>
  <c r="J107" i="44"/>
  <c r="Y107" i="44" s="1"/>
  <c r="J89" i="44"/>
  <c r="Y89" i="44" s="1"/>
  <c r="J98" i="44"/>
  <c r="Y98" i="44" s="1"/>
  <c r="J97" i="44"/>
  <c r="Y97" i="44" s="1"/>
  <c r="J111" i="44"/>
  <c r="Y111" i="44" s="1"/>
  <c r="J122" i="44"/>
  <c r="Y122" i="44" s="1"/>
  <c r="J93" i="44"/>
  <c r="Y93" i="44" s="1"/>
  <c r="J88" i="44"/>
  <c r="Y88" i="44" s="1"/>
  <c r="J115" i="44"/>
  <c r="Y115" i="44" s="1"/>
  <c r="J134" i="44"/>
  <c r="Y134" i="44" s="1"/>
  <c r="J128" i="44"/>
  <c r="Y128" i="44" s="1"/>
  <c r="J119" i="44"/>
  <c r="Y119" i="44" s="1"/>
  <c r="J124" i="44"/>
  <c r="Y124" i="44" s="1"/>
  <c r="J103" i="44"/>
  <c r="Y103" i="44" s="1"/>
  <c r="J101" i="44"/>
  <c r="Y101" i="44" s="1"/>
  <c r="J85" i="44"/>
  <c r="Y85" i="44" s="1"/>
  <c r="J105" i="44"/>
  <c r="Y105" i="44" s="1"/>
  <c r="J125" i="44"/>
  <c r="Y125" i="44" s="1"/>
  <c r="H10" i="54"/>
  <c r="H7" i="54"/>
  <c r="B12" i="56"/>
  <c r="B66" i="52" s="1"/>
  <c r="J799" i="44"/>
  <c r="Y799" i="44" s="1"/>
  <c r="J769" i="44"/>
  <c r="Y769" i="44" s="1"/>
  <c r="J778" i="44"/>
  <c r="Y778" i="44" s="1"/>
  <c r="J787" i="44"/>
  <c r="Y787" i="44" s="1"/>
  <c r="J798" i="44"/>
  <c r="Y798" i="44" s="1"/>
  <c r="J753" i="44"/>
  <c r="Y753" i="44" s="1"/>
  <c r="J760" i="44"/>
  <c r="Y760" i="44" s="1"/>
  <c r="J777" i="44"/>
  <c r="Y777" i="44" s="1"/>
  <c r="J786" i="44"/>
  <c r="Y786" i="44" s="1"/>
  <c r="J795" i="44"/>
  <c r="Y795" i="44" s="1"/>
  <c r="J780" i="44"/>
  <c r="Y780" i="44" s="1"/>
  <c r="J788" i="44"/>
  <c r="Y788" i="44" s="1"/>
  <c r="J768" i="44"/>
  <c r="Y768" i="44" s="1"/>
  <c r="J785" i="44"/>
  <c r="Y785" i="44" s="1"/>
  <c r="J794" i="44"/>
  <c r="Y794" i="44" s="1"/>
  <c r="J803" i="44"/>
  <c r="Y803" i="44" s="1"/>
  <c r="J781" i="44"/>
  <c r="Y781" i="44" s="1"/>
  <c r="J773" i="44"/>
  <c r="Y773" i="44" s="1"/>
  <c r="J759" i="44"/>
  <c r="Y759" i="44" s="1"/>
  <c r="J776" i="44"/>
  <c r="Y776" i="44" s="1"/>
  <c r="J793" i="44"/>
  <c r="Y793" i="44" s="1"/>
  <c r="J802" i="44"/>
  <c r="Y802" i="44" s="1"/>
  <c r="J758" i="44"/>
  <c r="Y758" i="44" s="1"/>
  <c r="J757" i="44"/>
  <c r="Y757" i="44" s="1"/>
  <c r="J756" i="44"/>
  <c r="Y756" i="44" s="1"/>
  <c r="J767" i="44"/>
  <c r="Y767" i="44" s="1"/>
  <c r="J784" i="44"/>
  <c r="Y784" i="44" s="1"/>
  <c r="J801" i="44"/>
  <c r="Y801" i="44" s="1"/>
  <c r="J755" i="44"/>
  <c r="Y755" i="44" s="1"/>
  <c r="J766" i="44"/>
  <c r="Y766" i="44" s="1"/>
  <c r="J789" i="44"/>
  <c r="Y789" i="44" s="1"/>
  <c r="J765" i="44"/>
  <c r="Y765" i="44" s="1"/>
  <c r="J775" i="44"/>
  <c r="Y775" i="44" s="1"/>
  <c r="J792" i="44"/>
  <c r="Y792" i="44" s="1"/>
  <c r="J754" i="44"/>
  <c r="Y754" i="44" s="1"/>
  <c r="J763" i="44"/>
  <c r="Y763" i="44" s="1"/>
  <c r="J774" i="44"/>
  <c r="Y774" i="44" s="1"/>
  <c r="J764" i="44"/>
  <c r="Y764" i="44" s="1"/>
  <c r="J797" i="44"/>
  <c r="Y797" i="44" s="1"/>
  <c r="J783" i="44"/>
  <c r="Y783" i="44" s="1"/>
  <c r="J800" i="44"/>
  <c r="Y800" i="44" s="1"/>
  <c r="J762" i="44"/>
  <c r="Y762" i="44" s="1"/>
  <c r="J771" i="44"/>
  <c r="Y771" i="44" s="1"/>
  <c r="J782" i="44"/>
  <c r="Y782" i="44" s="1"/>
  <c r="J796" i="44"/>
  <c r="Y796" i="44" s="1"/>
  <c r="J770" i="44"/>
  <c r="Y770" i="44" s="1"/>
  <c r="J779" i="44"/>
  <c r="Y779" i="44" s="1"/>
  <c r="J790" i="44"/>
  <c r="Y790" i="44" s="1"/>
  <c r="J772" i="44"/>
  <c r="Y772" i="44" s="1"/>
  <c r="J791" i="44"/>
  <c r="Y791" i="44" s="1"/>
  <c r="J761" i="44"/>
  <c r="Y761" i="44" s="1"/>
  <c r="U16" i="44"/>
  <c r="K31" i="52" s="1"/>
  <c r="P49" i="33" s="1"/>
  <c r="I7" i="54"/>
  <c r="C357" i="44"/>
  <c r="C383" i="44"/>
  <c r="C355" i="44"/>
  <c r="C391" i="44"/>
  <c r="C345" i="44"/>
  <c r="C387" i="44"/>
  <c r="C358" i="44"/>
  <c r="C373" i="44"/>
  <c r="C348" i="44"/>
  <c r="C385" i="44"/>
  <c r="C376" i="44"/>
  <c r="C379" i="44"/>
  <c r="C372" i="44"/>
  <c r="C366" i="44"/>
  <c r="C381" i="44"/>
  <c r="C360" i="44"/>
  <c r="C354" i="44"/>
  <c r="C359" i="44"/>
  <c r="C346" i="44"/>
  <c r="C388" i="44"/>
  <c r="C382" i="44"/>
  <c r="C342" i="44"/>
  <c r="C353" i="44"/>
  <c r="C364" i="44"/>
  <c r="C390" i="44"/>
  <c r="C370" i="44"/>
  <c r="C375" i="44"/>
  <c r="C386" i="44"/>
  <c r="C349" i="44"/>
  <c r="C380" i="44"/>
  <c r="C356" i="44"/>
  <c r="C347" i="44"/>
  <c r="C365" i="44"/>
  <c r="C392" i="44"/>
  <c r="C377" i="44"/>
  <c r="C367" i="44"/>
  <c r="C389" i="44"/>
  <c r="C343" i="44"/>
  <c r="C344" i="44"/>
  <c r="C352" i="44"/>
  <c r="C351" i="44"/>
  <c r="C369" i="44"/>
  <c r="C362" i="44"/>
  <c r="C350" i="44"/>
  <c r="C361" i="44"/>
  <c r="C368" i="44"/>
  <c r="C378" i="44"/>
  <c r="C374" i="44"/>
  <c r="C371" i="44"/>
  <c r="C384" i="44"/>
  <c r="C363" i="44"/>
  <c r="D6" i="54"/>
  <c r="H294" i="44"/>
  <c r="W294" i="44" s="1"/>
  <c r="H301" i="44"/>
  <c r="W301" i="44" s="1"/>
  <c r="H315" i="44"/>
  <c r="W315" i="44" s="1"/>
  <c r="H303" i="44"/>
  <c r="W303" i="44" s="1"/>
  <c r="H308" i="44"/>
  <c r="W308" i="44" s="1"/>
  <c r="H313" i="44"/>
  <c r="W313" i="44" s="1"/>
  <c r="H306" i="44"/>
  <c r="W306" i="44" s="1"/>
  <c r="H318" i="44"/>
  <c r="W318" i="44" s="1"/>
  <c r="H325" i="44"/>
  <c r="W325" i="44" s="1"/>
  <c r="H292" i="44"/>
  <c r="W292" i="44" s="1"/>
  <c r="H300" i="44"/>
  <c r="W300" i="44" s="1"/>
  <c r="H329" i="44"/>
  <c r="W329" i="44" s="1"/>
  <c r="H320" i="44"/>
  <c r="W320" i="44" s="1"/>
  <c r="H309" i="44"/>
  <c r="W309" i="44" s="1"/>
  <c r="H304" i="44"/>
  <c r="W304" i="44" s="1"/>
  <c r="H307" i="44"/>
  <c r="W307" i="44" s="1"/>
  <c r="H335" i="44"/>
  <c r="W335" i="44" s="1"/>
  <c r="H310" i="44"/>
  <c r="W310" i="44" s="1"/>
  <c r="H341" i="44"/>
  <c r="W341" i="44" s="1"/>
  <c r="H336" i="44"/>
  <c r="W336" i="44" s="1"/>
  <c r="H311" i="44"/>
  <c r="W311" i="44" s="1"/>
  <c r="H299" i="44"/>
  <c r="W299" i="44" s="1"/>
  <c r="H326" i="44"/>
  <c r="W326" i="44" s="1"/>
  <c r="H295" i="44"/>
  <c r="W295" i="44" s="1"/>
  <c r="H319" i="44"/>
  <c r="W319" i="44" s="1"/>
  <c r="H296" i="44"/>
  <c r="W296" i="44" s="1"/>
  <c r="H321" i="44"/>
  <c r="W321" i="44" s="1"/>
  <c r="H334" i="44"/>
  <c r="W334" i="44" s="1"/>
  <c r="H305" i="44"/>
  <c r="W305" i="44" s="1"/>
  <c r="H331" i="44"/>
  <c r="W331" i="44" s="1"/>
  <c r="H312" i="44"/>
  <c r="W312" i="44" s="1"/>
  <c r="H339" i="44"/>
  <c r="W339" i="44" s="1"/>
  <c r="H291" i="44"/>
  <c r="W291" i="44" s="1"/>
  <c r="H327" i="44"/>
  <c r="W327" i="44" s="1"/>
  <c r="H316" i="44"/>
  <c r="W316" i="44" s="1"/>
  <c r="H332" i="44"/>
  <c r="W332" i="44" s="1"/>
  <c r="H322" i="44"/>
  <c r="W322" i="44" s="1"/>
  <c r="H330" i="44"/>
  <c r="W330" i="44" s="1"/>
  <c r="H302" i="44"/>
  <c r="W302" i="44" s="1"/>
  <c r="H323" i="44"/>
  <c r="W323" i="44" s="1"/>
  <c r="H293" i="44"/>
  <c r="W293" i="44" s="1"/>
  <c r="H328" i="44"/>
  <c r="W328" i="44" s="1"/>
  <c r="H317" i="44"/>
  <c r="W317" i="44" s="1"/>
  <c r="H297" i="44"/>
  <c r="W297" i="44" s="1"/>
  <c r="H314" i="44"/>
  <c r="W314" i="44" s="1"/>
  <c r="H340" i="44"/>
  <c r="W340" i="44" s="1"/>
  <c r="H333" i="44"/>
  <c r="W333" i="44" s="1"/>
  <c r="H337" i="44"/>
  <c r="W337" i="44" s="1"/>
  <c r="H324" i="44"/>
  <c r="W324" i="44" s="1"/>
  <c r="H298" i="44"/>
  <c r="W298" i="44" s="1"/>
  <c r="H338" i="44"/>
  <c r="W338" i="44" s="1"/>
  <c r="H8" i="54"/>
  <c r="J8" i="51"/>
  <c r="J9" i="52" s="1"/>
  <c r="E7" i="54"/>
  <c r="F370" i="44"/>
  <c r="U370" i="44" s="1"/>
  <c r="F385" i="44"/>
  <c r="U385" i="44" s="1"/>
  <c r="F364" i="44"/>
  <c r="U364" i="44" s="1"/>
  <c r="F372" i="44"/>
  <c r="U372" i="44" s="1"/>
  <c r="F376" i="44"/>
  <c r="U376" i="44" s="1"/>
  <c r="F380" i="44"/>
  <c r="U380" i="44" s="1"/>
  <c r="F386" i="44"/>
  <c r="U386" i="44" s="1"/>
  <c r="F343" i="44"/>
  <c r="U343" i="44" s="1"/>
  <c r="F384" i="44"/>
  <c r="U384" i="44" s="1"/>
  <c r="F347" i="44"/>
  <c r="U347" i="44" s="1"/>
  <c r="F349" i="44"/>
  <c r="U349" i="44" s="1"/>
  <c r="F351" i="44"/>
  <c r="U351" i="44" s="1"/>
  <c r="F345" i="44"/>
  <c r="U345" i="44" s="1"/>
  <c r="F355" i="44"/>
  <c r="U355" i="44" s="1"/>
  <c r="F357" i="44"/>
  <c r="U357" i="44" s="1"/>
  <c r="F359" i="44"/>
  <c r="U359" i="44" s="1"/>
  <c r="F363" i="44"/>
  <c r="U363" i="44" s="1"/>
  <c r="F367" i="44"/>
  <c r="U367" i="44" s="1"/>
  <c r="F369" i="44"/>
  <c r="U369" i="44" s="1"/>
  <c r="F371" i="44"/>
  <c r="U371" i="44" s="1"/>
  <c r="F360" i="44"/>
  <c r="U360" i="44" s="1"/>
  <c r="F356" i="44"/>
  <c r="U356" i="44" s="1"/>
  <c r="F377" i="44"/>
  <c r="U377" i="44" s="1"/>
  <c r="F383" i="44"/>
  <c r="U383" i="44" s="1"/>
  <c r="F390" i="44"/>
  <c r="U390" i="44" s="1"/>
  <c r="F368" i="44"/>
  <c r="U368" i="44" s="1"/>
  <c r="F346" i="44"/>
  <c r="U346" i="44" s="1"/>
  <c r="F342" i="44"/>
  <c r="U342" i="44" s="1"/>
  <c r="F344" i="44"/>
  <c r="U344" i="44" s="1"/>
  <c r="F379" i="44"/>
  <c r="U379" i="44" s="1"/>
  <c r="F382" i="44"/>
  <c r="U382" i="44" s="1"/>
  <c r="F354" i="44"/>
  <c r="U354" i="44" s="1"/>
  <c r="F365" i="44"/>
  <c r="U365" i="44" s="1"/>
  <c r="F358" i="44"/>
  <c r="U358" i="44" s="1"/>
  <c r="F391" i="44"/>
  <c r="U391" i="44" s="1"/>
  <c r="F362" i="44"/>
  <c r="U362" i="44" s="1"/>
  <c r="F375" i="44"/>
  <c r="U375" i="44" s="1"/>
  <c r="F388" i="44"/>
  <c r="U388" i="44" s="1"/>
  <c r="F350" i="44"/>
  <c r="U350" i="44" s="1"/>
  <c r="F378" i="44"/>
  <c r="U378" i="44" s="1"/>
  <c r="F387" i="44"/>
  <c r="U387" i="44" s="1"/>
  <c r="F373" i="44"/>
  <c r="U373" i="44" s="1"/>
  <c r="F366" i="44"/>
  <c r="U366" i="44" s="1"/>
  <c r="F353" i="44"/>
  <c r="U353" i="44" s="1"/>
  <c r="F352" i="44"/>
  <c r="U352" i="44" s="1"/>
  <c r="F389" i="44"/>
  <c r="U389" i="44" s="1"/>
  <c r="F392" i="44"/>
  <c r="U392" i="44" s="1"/>
  <c r="F361" i="44"/>
  <c r="U361" i="44" s="1"/>
  <c r="F374" i="44"/>
  <c r="U374" i="44" s="1"/>
  <c r="F348" i="44"/>
  <c r="U348" i="44" s="1"/>
  <c r="F381" i="44"/>
  <c r="U381" i="44" s="1"/>
  <c r="B11" i="56"/>
  <c r="B65" i="52" s="1"/>
  <c r="J713" i="44"/>
  <c r="Y713" i="44" s="1"/>
  <c r="J722" i="44"/>
  <c r="Y722" i="44" s="1"/>
  <c r="J739" i="44"/>
  <c r="Y739" i="44" s="1"/>
  <c r="J709" i="44"/>
  <c r="Y709" i="44" s="1"/>
  <c r="J720" i="44"/>
  <c r="Y720" i="44" s="1"/>
  <c r="J743" i="44"/>
  <c r="Y743" i="44" s="1"/>
  <c r="J727" i="44"/>
  <c r="Y727" i="44" s="1"/>
  <c r="J737" i="44"/>
  <c r="Y737" i="44" s="1"/>
  <c r="J746" i="44"/>
  <c r="Y746" i="44" s="1"/>
  <c r="J716" i="44"/>
  <c r="Y716" i="44" s="1"/>
  <c r="J733" i="44"/>
  <c r="Y733" i="44" s="1"/>
  <c r="J744" i="44"/>
  <c r="Y744" i="44" s="1"/>
  <c r="J726" i="44"/>
  <c r="Y726" i="44" s="1"/>
  <c r="J729" i="44"/>
  <c r="Y729" i="44" s="1"/>
  <c r="J715" i="44"/>
  <c r="Y715" i="44" s="1"/>
  <c r="J748" i="44"/>
  <c r="Y748" i="44" s="1"/>
  <c r="J736" i="44"/>
  <c r="Y736" i="44" s="1"/>
  <c r="J750" i="44"/>
  <c r="Y750" i="44" s="1"/>
  <c r="J745" i="44"/>
  <c r="Y745" i="44" s="1"/>
  <c r="J723" i="44"/>
  <c r="Y723" i="44" s="1"/>
  <c r="J717" i="44"/>
  <c r="Y717" i="44" s="1"/>
  <c r="J752" i="44"/>
  <c r="Y752" i="44" s="1"/>
  <c r="J703" i="44"/>
  <c r="Y703" i="44" s="1"/>
  <c r="J702" i="44"/>
  <c r="Y702" i="44" s="1"/>
  <c r="J731" i="44"/>
  <c r="Y731" i="44" s="1"/>
  <c r="J725" i="44"/>
  <c r="Y725" i="44" s="1"/>
  <c r="J710" i="44"/>
  <c r="Y710" i="44" s="1"/>
  <c r="J718" i="44"/>
  <c r="Y718" i="44" s="1"/>
  <c r="J706" i="44"/>
  <c r="Y706" i="44" s="1"/>
  <c r="J747" i="44"/>
  <c r="Y747" i="44" s="1"/>
  <c r="J741" i="44"/>
  <c r="Y741" i="44" s="1"/>
  <c r="J742" i="44"/>
  <c r="Y742" i="44" s="1"/>
  <c r="J735" i="44"/>
  <c r="Y735" i="44" s="1"/>
  <c r="J714" i="44"/>
  <c r="Y714" i="44" s="1"/>
  <c r="J708" i="44"/>
  <c r="Y708" i="44" s="1"/>
  <c r="J749" i="44"/>
  <c r="Y749" i="44" s="1"/>
  <c r="J711" i="44"/>
  <c r="Y711" i="44" s="1"/>
  <c r="J730" i="44"/>
  <c r="Y730" i="44" s="1"/>
  <c r="J724" i="44"/>
  <c r="Y724" i="44" s="1"/>
  <c r="J704" i="44"/>
  <c r="Y704" i="44" s="1"/>
  <c r="J719" i="44"/>
  <c r="Y719" i="44" s="1"/>
  <c r="J705" i="44"/>
  <c r="Y705" i="44" s="1"/>
  <c r="J738" i="44"/>
  <c r="Y738" i="44" s="1"/>
  <c r="J732" i="44"/>
  <c r="Y732" i="44" s="1"/>
  <c r="J712" i="44"/>
  <c r="Y712" i="44" s="1"/>
  <c r="J751" i="44"/>
  <c r="Y751" i="44" s="1"/>
  <c r="J734" i="44"/>
  <c r="Y734" i="44" s="1"/>
  <c r="J721" i="44"/>
  <c r="Y721" i="44" s="1"/>
  <c r="J707" i="44"/>
  <c r="Y707" i="44" s="1"/>
  <c r="J740" i="44"/>
  <c r="Y740" i="44" s="1"/>
  <c r="J728" i="44"/>
  <c r="Y728" i="44" s="1"/>
  <c r="C192" i="44"/>
  <c r="U8" i="44"/>
  <c r="I9" i="51"/>
  <c r="I10" i="52" s="1"/>
  <c r="C219" i="44"/>
  <c r="C211" i="44"/>
  <c r="C210" i="44"/>
  <c r="C201" i="44"/>
  <c r="C231" i="44"/>
  <c r="C202" i="44"/>
  <c r="C190" i="44"/>
  <c r="C204" i="44"/>
  <c r="C187" i="44"/>
  <c r="C207" i="44"/>
  <c r="C214" i="44"/>
  <c r="C220" i="44"/>
  <c r="C206" i="44"/>
  <c r="C199" i="44"/>
  <c r="C236" i="44"/>
  <c r="C216" i="44"/>
  <c r="C223" i="44"/>
  <c r="C229" i="44"/>
  <c r="C228" i="44"/>
  <c r="C221" i="44"/>
  <c r="C224" i="44"/>
  <c r="C197" i="44"/>
  <c r="C235" i="44"/>
  <c r="C227" i="44"/>
  <c r="C213" i="44"/>
  <c r="C215" i="44"/>
  <c r="C209" i="44"/>
  <c r="C195" i="44"/>
  <c r="C198" i="44"/>
  <c r="C188" i="44"/>
  <c r="C212" i="44"/>
  <c r="C205" i="44"/>
  <c r="C234" i="44"/>
  <c r="C203" i="44"/>
  <c r="C196" i="44"/>
  <c r="C225" i="44"/>
  <c r="C191" i="44"/>
  <c r="C194" i="44"/>
  <c r="C233" i="44"/>
  <c r="C208" i="44"/>
  <c r="C189" i="44"/>
  <c r="C232" i="44"/>
  <c r="C226" i="44"/>
  <c r="C222" i="44"/>
  <c r="C193" i="44"/>
  <c r="C217" i="44"/>
  <c r="C186" i="44"/>
  <c r="C218" i="44"/>
  <c r="C200" i="44"/>
  <c r="C230" i="44"/>
  <c r="F6" i="54"/>
  <c r="G332" i="44"/>
  <c r="V332" i="44" s="1"/>
  <c r="G292" i="44"/>
  <c r="V292" i="44" s="1"/>
  <c r="G307" i="44"/>
  <c r="V307" i="44" s="1"/>
  <c r="G333" i="44"/>
  <c r="V333" i="44" s="1"/>
  <c r="G319" i="44"/>
  <c r="V319" i="44" s="1"/>
  <c r="G296" i="44"/>
  <c r="V296" i="44" s="1"/>
  <c r="G338" i="44"/>
  <c r="V338" i="44" s="1"/>
  <c r="G294" i="44"/>
  <c r="V294" i="44" s="1"/>
  <c r="G300" i="44"/>
  <c r="V300" i="44" s="1"/>
  <c r="G308" i="44"/>
  <c r="V308" i="44" s="1"/>
  <c r="G323" i="44"/>
  <c r="V323" i="44" s="1"/>
  <c r="G310" i="44"/>
  <c r="V310" i="44" s="1"/>
  <c r="G304" i="44"/>
  <c r="V304" i="44" s="1"/>
  <c r="G336" i="44"/>
  <c r="V336" i="44" s="1"/>
  <c r="G325" i="44"/>
  <c r="V325" i="44" s="1"/>
  <c r="G328" i="44"/>
  <c r="V328" i="44" s="1"/>
  <c r="G316" i="44"/>
  <c r="V316" i="44" s="1"/>
  <c r="G331" i="44"/>
  <c r="V331" i="44" s="1"/>
  <c r="G320" i="44"/>
  <c r="V320" i="44" s="1"/>
  <c r="G318" i="44"/>
  <c r="V318" i="44" s="1"/>
  <c r="G297" i="44"/>
  <c r="V297" i="44" s="1"/>
  <c r="G341" i="44"/>
  <c r="V341" i="44" s="1"/>
  <c r="G299" i="44"/>
  <c r="V299" i="44" s="1"/>
  <c r="G291" i="44"/>
  <c r="V291" i="44" s="1"/>
  <c r="G314" i="44"/>
  <c r="V314" i="44" s="1"/>
  <c r="G309" i="44"/>
  <c r="V309" i="44" s="1"/>
  <c r="G315" i="44"/>
  <c r="V315" i="44" s="1"/>
  <c r="G293" i="44"/>
  <c r="V293" i="44" s="1"/>
  <c r="G317" i="44"/>
  <c r="V317" i="44" s="1"/>
  <c r="G327" i="44"/>
  <c r="V327" i="44" s="1"/>
  <c r="G339" i="44"/>
  <c r="V339" i="44" s="1"/>
  <c r="G305" i="44"/>
  <c r="V305" i="44" s="1"/>
  <c r="G337" i="44"/>
  <c r="V337" i="44" s="1"/>
  <c r="G312" i="44"/>
  <c r="V312" i="44" s="1"/>
  <c r="G301" i="44"/>
  <c r="V301" i="44" s="1"/>
  <c r="G335" i="44"/>
  <c r="V335" i="44" s="1"/>
  <c r="G302" i="44"/>
  <c r="V302" i="44" s="1"/>
  <c r="G324" i="44"/>
  <c r="V324" i="44" s="1"/>
  <c r="G298" i="44"/>
  <c r="V298" i="44" s="1"/>
  <c r="G313" i="44"/>
  <c r="V313" i="44" s="1"/>
  <c r="G306" i="44"/>
  <c r="V306" i="44" s="1"/>
  <c r="G330" i="44"/>
  <c r="V330" i="44" s="1"/>
  <c r="G334" i="44"/>
  <c r="V334" i="44" s="1"/>
  <c r="G295" i="44"/>
  <c r="V295" i="44" s="1"/>
  <c r="G329" i="44"/>
  <c r="V329" i="44" s="1"/>
  <c r="G322" i="44"/>
  <c r="V322" i="44" s="1"/>
  <c r="G340" i="44"/>
  <c r="V340" i="44" s="1"/>
  <c r="G303" i="44"/>
  <c r="V303" i="44" s="1"/>
  <c r="G311" i="44"/>
  <c r="V311" i="44" s="1"/>
  <c r="G321" i="44"/>
  <c r="V321" i="44" s="1"/>
  <c r="G326" i="44"/>
  <c r="V326" i="44" s="1"/>
  <c r="C9" i="54"/>
  <c r="K453" i="44"/>
  <c r="Z453" i="44" s="1"/>
  <c r="K468" i="44"/>
  <c r="Z468" i="44" s="1"/>
  <c r="K489" i="44"/>
  <c r="Z489" i="44" s="1"/>
  <c r="K486" i="44"/>
  <c r="Z486" i="44" s="1"/>
  <c r="K449" i="44"/>
  <c r="Z449" i="44" s="1"/>
  <c r="K451" i="44"/>
  <c r="Z451" i="44" s="1"/>
  <c r="K471" i="44"/>
  <c r="Z471" i="44" s="1"/>
  <c r="K477" i="44"/>
  <c r="Z477" i="44" s="1"/>
  <c r="K492" i="44"/>
  <c r="Z492" i="44" s="1"/>
  <c r="K466" i="44"/>
  <c r="Z466" i="44" s="1"/>
  <c r="K487" i="44"/>
  <c r="Z487" i="44" s="1"/>
  <c r="K491" i="44"/>
  <c r="Z491" i="44" s="1"/>
  <c r="K444" i="44"/>
  <c r="Z444" i="44" s="1"/>
  <c r="K461" i="44"/>
  <c r="Z461" i="44" s="1"/>
  <c r="K447" i="44"/>
  <c r="Z447" i="44" s="1"/>
  <c r="K458" i="44"/>
  <c r="Z458" i="44" s="1"/>
  <c r="K463" i="44"/>
  <c r="Z463" i="44" s="1"/>
  <c r="K454" i="44"/>
  <c r="Z454" i="44" s="1"/>
  <c r="K493" i="44"/>
  <c r="Z493" i="44" s="1"/>
  <c r="K479" i="44"/>
  <c r="Z479" i="44" s="1"/>
  <c r="K473" i="44"/>
  <c r="Z473" i="44" s="1"/>
  <c r="K464" i="44"/>
  <c r="Z464" i="44" s="1"/>
  <c r="K455" i="44"/>
  <c r="Z455" i="44" s="1"/>
  <c r="K452" i="44"/>
  <c r="Z452" i="44" s="1"/>
  <c r="K446" i="44"/>
  <c r="Z446" i="44" s="1"/>
  <c r="K448" i="44"/>
  <c r="Z448" i="44" s="1"/>
  <c r="K480" i="44"/>
  <c r="Z480" i="44" s="1"/>
  <c r="K483" i="44"/>
  <c r="Z483" i="44" s="1"/>
  <c r="K460" i="44"/>
  <c r="Z460" i="44" s="1"/>
  <c r="K456" i="44"/>
  <c r="Z456" i="44" s="1"/>
  <c r="K462" i="44"/>
  <c r="Z462" i="44" s="1"/>
  <c r="K494" i="44"/>
  <c r="Z494" i="44" s="1"/>
  <c r="K476" i="44"/>
  <c r="Z476" i="44" s="1"/>
  <c r="K478" i="44"/>
  <c r="Z478" i="44" s="1"/>
  <c r="K474" i="44"/>
  <c r="Z474" i="44" s="1"/>
  <c r="K465" i="44"/>
  <c r="Z465" i="44" s="1"/>
  <c r="K484" i="44"/>
  <c r="Z484" i="44" s="1"/>
  <c r="K450" i="44"/>
  <c r="Z450" i="44" s="1"/>
  <c r="K457" i="44"/>
  <c r="Z457" i="44" s="1"/>
  <c r="K481" i="44"/>
  <c r="Z481" i="44" s="1"/>
  <c r="K467" i="44"/>
  <c r="Z467" i="44" s="1"/>
  <c r="K470" i="44"/>
  <c r="Z470" i="44" s="1"/>
  <c r="K488" i="44"/>
  <c r="Z488" i="44" s="1"/>
  <c r="K482" i="44"/>
  <c r="Z482" i="44" s="1"/>
  <c r="K469" i="44"/>
  <c r="Z469" i="44" s="1"/>
  <c r="K490" i="44"/>
  <c r="Z490" i="44" s="1"/>
  <c r="K485" i="44"/>
  <c r="Z485" i="44" s="1"/>
  <c r="K472" i="44"/>
  <c r="Z472" i="44" s="1"/>
  <c r="K459" i="44"/>
  <c r="Z459" i="44" s="1"/>
  <c r="K475" i="44"/>
  <c r="Z475" i="44" s="1"/>
  <c r="K445" i="44"/>
  <c r="Z445" i="44" s="1"/>
  <c r="D9" i="54"/>
  <c r="H462" i="44"/>
  <c r="W462" i="44" s="1"/>
  <c r="H469" i="44"/>
  <c r="W469" i="44" s="1"/>
  <c r="H452" i="44"/>
  <c r="W452" i="44" s="1"/>
  <c r="H472" i="44"/>
  <c r="W472" i="44" s="1"/>
  <c r="H476" i="44"/>
  <c r="W476" i="44" s="1"/>
  <c r="H480" i="44"/>
  <c r="W480" i="44" s="1"/>
  <c r="H482" i="44"/>
  <c r="W482" i="44" s="1"/>
  <c r="H486" i="44"/>
  <c r="W486" i="44" s="1"/>
  <c r="H493" i="44"/>
  <c r="W493" i="44" s="1"/>
  <c r="H484" i="44"/>
  <c r="W484" i="44" s="1"/>
  <c r="H459" i="44"/>
  <c r="W459" i="44" s="1"/>
  <c r="H463" i="44"/>
  <c r="W463" i="44" s="1"/>
  <c r="H467" i="44"/>
  <c r="W467" i="44" s="1"/>
  <c r="H453" i="44"/>
  <c r="W453" i="44" s="1"/>
  <c r="H464" i="44"/>
  <c r="W464" i="44" s="1"/>
  <c r="H473" i="44"/>
  <c r="W473" i="44" s="1"/>
  <c r="H450" i="44"/>
  <c r="W450" i="44" s="1"/>
  <c r="H446" i="44"/>
  <c r="W446" i="44" s="1"/>
  <c r="H477" i="44"/>
  <c r="W477" i="44" s="1"/>
  <c r="H457" i="44"/>
  <c r="W457" i="44" s="1"/>
  <c r="H448" i="44"/>
  <c r="W448" i="44" s="1"/>
  <c r="H492" i="44"/>
  <c r="W492" i="44" s="1"/>
  <c r="H454" i="44"/>
  <c r="W454" i="44" s="1"/>
  <c r="H485" i="44"/>
  <c r="W485" i="44" s="1"/>
  <c r="H471" i="44"/>
  <c r="W471" i="44" s="1"/>
  <c r="H460" i="44"/>
  <c r="W460" i="44" s="1"/>
  <c r="H451" i="44"/>
  <c r="W451" i="44" s="1"/>
  <c r="H455" i="44"/>
  <c r="W455" i="44" s="1"/>
  <c r="H447" i="44"/>
  <c r="W447" i="44" s="1"/>
  <c r="H444" i="44"/>
  <c r="W444" i="44" s="1"/>
  <c r="H475" i="44"/>
  <c r="W475" i="44" s="1"/>
  <c r="H490" i="44"/>
  <c r="W490" i="44" s="1"/>
  <c r="H468" i="44"/>
  <c r="W468" i="44" s="1"/>
  <c r="H470" i="44"/>
  <c r="W470" i="44" s="1"/>
  <c r="H487" i="44"/>
  <c r="W487" i="44" s="1"/>
  <c r="H449" i="44"/>
  <c r="W449" i="44" s="1"/>
  <c r="H478" i="44"/>
  <c r="W478" i="44" s="1"/>
  <c r="H474" i="44"/>
  <c r="W474" i="44" s="1"/>
  <c r="H479" i="44"/>
  <c r="W479" i="44" s="1"/>
  <c r="H494" i="44"/>
  <c r="W494" i="44" s="1"/>
  <c r="H483" i="44"/>
  <c r="W483" i="44" s="1"/>
  <c r="H491" i="44"/>
  <c r="W491" i="44" s="1"/>
  <c r="H445" i="44"/>
  <c r="W445" i="44" s="1"/>
  <c r="H458" i="44"/>
  <c r="W458" i="44" s="1"/>
  <c r="H466" i="44"/>
  <c r="W466" i="44" s="1"/>
  <c r="H456" i="44"/>
  <c r="W456" i="44" s="1"/>
  <c r="H461" i="44"/>
  <c r="W461" i="44" s="1"/>
  <c r="H489" i="44"/>
  <c r="W489" i="44" s="1"/>
  <c r="H465" i="44"/>
  <c r="W465" i="44" s="1"/>
  <c r="H488" i="44"/>
  <c r="W488" i="44" s="1"/>
  <c r="H481" i="44"/>
  <c r="W481" i="44" s="1"/>
  <c r="H12" i="56"/>
  <c r="H66" i="52" s="1"/>
  <c r="C65" i="44"/>
  <c r="I6" i="51"/>
  <c r="I7" i="52" s="1"/>
  <c r="C45" i="44"/>
  <c r="C54" i="44"/>
  <c r="C34" i="44"/>
  <c r="C79" i="44"/>
  <c r="C55" i="44"/>
  <c r="C51" i="44"/>
  <c r="C72" i="44"/>
  <c r="C60" i="44"/>
  <c r="C48" i="44"/>
  <c r="C69" i="44"/>
  <c r="C50" i="44"/>
  <c r="C46" i="44"/>
  <c r="C58" i="44"/>
  <c r="C47" i="44"/>
  <c r="C68" i="44"/>
  <c r="C56" i="44"/>
  <c r="C78" i="44"/>
  <c r="C67" i="44"/>
  <c r="C71" i="44"/>
  <c r="C80" i="44"/>
  <c r="C40" i="44"/>
  <c r="C75" i="44"/>
  <c r="C33" i="44"/>
  <c r="C66" i="44"/>
  <c r="C41" i="44"/>
  <c r="C63" i="44"/>
  <c r="C39" i="44"/>
  <c r="C83" i="44"/>
  <c r="C82" i="44"/>
  <c r="C59" i="44"/>
  <c r="C53" i="44"/>
  <c r="C38" i="44"/>
  <c r="C64" i="44"/>
  <c r="C36" i="44"/>
  <c r="C73" i="44"/>
  <c r="C49" i="44"/>
  <c r="C37" i="44"/>
  <c r="C52" i="44"/>
  <c r="C81" i="44"/>
  <c r="C35" i="44"/>
  <c r="C44" i="44"/>
  <c r="C76" i="44"/>
  <c r="C61" i="44"/>
  <c r="C42" i="44"/>
  <c r="C70" i="44"/>
  <c r="C43" i="44"/>
  <c r="C62" i="44"/>
  <c r="C74" i="44"/>
  <c r="C57" i="44"/>
  <c r="C77" i="44"/>
  <c r="B8" i="54"/>
  <c r="J427" i="44"/>
  <c r="Y427" i="44" s="1"/>
  <c r="J434" i="44"/>
  <c r="Y434" i="44" s="1"/>
  <c r="J406" i="44"/>
  <c r="Y406" i="44" s="1"/>
  <c r="J423" i="44"/>
  <c r="Y423" i="44" s="1"/>
  <c r="J404" i="44"/>
  <c r="Y404" i="44" s="1"/>
  <c r="J414" i="44"/>
  <c r="Y414" i="44" s="1"/>
  <c r="J443" i="44"/>
  <c r="Y443" i="44" s="1"/>
  <c r="J397" i="44"/>
  <c r="Y397" i="44" s="1"/>
  <c r="J428" i="44"/>
  <c r="Y428" i="44" s="1"/>
  <c r="J398" i="44"/>
  <c r="Y398" i="44" s="1"/>
  <c r="J421" i="44"/>
  <c r="Y421" i="44" s="1"/>
  <c r="J420" i="44"/>
  <c r="Y420" i="44" s="1"/>
  <c r="J394" i="44"/>
  <c r="Y394" i="44" s="1"/>
  <c r="J407" i="44"/>
  <c r="Y407" i="44" s="1"/>
  <c r="J438" i="44"/>
  <c r="Y438" i="44" s="1"/>
  <c r="J399" i="44"/>
  <c r="Y399" i="44" s="1"/>
  <c r="J433" i="44"/>
  <c r="Y433" i="44" s="1"/>
  <c r="J424" i="44"/>
  <c r="Y424" i="44" s="1"/>
  <c r="J395" i="44"/>
  <c r="Y395" i="44" s="1"/>
  <c r="J426" i="44"/>
  <c r="Y426" i="44" s="1"/>
  <c r="J422" i="44"/>
  <c r="Y422" i="44" s="1"/>
  <c r="J405" i="44"/>
  <c r="Y405" i="44" s="1"/>
  <c r="J432" i="44"/>
  <c r="Y432" i="44" s="1"/>
  <c r="J411" i="44"/>
  <c r="Y411" i="44" s="1"/>
  <c r="J417" i="44"/>
  <c r="Y417" i="44" s="1"/>
  <c r="J409" i="44"/>
  <c r="Y409" i="44" s="1"/>
  <c r="J440" i="44"/>
  <c r="Y440" i="44" s="1"/>
  <c r="J419" i="44"/>
  <c r="Y419" i="44" s="1"/>
  <c r="J429" i="44"/>
  <c r="Y429" i="44" s="1"/>
  <c r="J437" i="44"/>
  <c r="Y437" i="44" s="1"/>
  <c r="J413" i="44"/>
  <c r="Y413" i="44" s="1"/>
  <c r="J403" i="44"/>
  <c r="Y403" i="44" s="1"/>
  <c r="J416" i="44"/>
  <c r="Y416" i="44" s="1"/>
  <c r="J441" i="44"/>
  <c r="Y441" i="44" s="1"/>
  <c r="J402" i="44"/>
  <c r="Y402" i="44" s="1"/>
  <c r="J436" i="44"/>
  <c r="Y436" i="44" s="1"/>
  <c r="J425" i="44"/>
  <c r="Y425" i="44" s="1"/>
  <c r="J410" i="44"/>
  <c r="Y410" i="44" s="1"/>
  <c r="J400" i="44"/>
  <c r="Y400" i="44" s="1"/>
  <c r="J430" i="44"/>
  <c r="Y430" i="44" s="1"/>
  <c r="J418" i="44"/>
  <c r="Y418" i="44" s="1"/>
  <c r="J401" i="44"/>
  <c r="Y401" i="44" s="1"/>
  <c r="J442" i="44"/>
  <c r="Y442" i="44" s="1"/>
  <c r="J415" i="44"/>
  <c r="Y415" i="44" s="1"/>
  <c r="J439" i="44"/>
  <c r="Y439" i="44" s="1"/>
  <c r="J431" i="44"/>
  <c r="Y431" i="44" s="1"/>
  <c r="J435" i="44"/>
  <c r="Y435" i="44" s="1"/>
  <c r="J396" i="44"/>
  <c r="Y396" i="44" s="1"/>
  <c r="J393" i="44"/>
  <c r="Y393" i="44" s="1"/>
  <c r="J412" i="44"/>
  <c r="Y412" i="44" s="1"/>
  <c r="J408" i="44"/>
  <c r="Y408" i="44" s="1"/>
  <c r="F9" i="56"/>
  <c r="F63" i="52" s="1"/>
  <c r="G643" i="44"/>
  <c r="V643" i="44" s="1"/>
  <c r="G617" i="44"/>
  <c r="V617" i="44" s="1"/>
  <c r="G647" i="44"/>
  <c r="V647" i="44" s="1"/>
  <c r="G613" i="44"/>
  <c r="V613" i="44" s="1"/>
  <c r="G648" i="44"/>
  <c r="V648" i="44" s="1"/>
  <c r="G605" i="44"/>
  <c r="V605" i="44" s="1"/>
  <c r="G606" i="44"/>
  <c r="V606" i="44" s="1"/>
  <c r="G633" i="44"/>
  <c r="V633" i="44" s="1"/>
  <c r="G623" i="44"/>
  <c r="V623" i="44" s="1"/>
  <c r="G644" i="44"/>
  <c r="V644" i="44" s="1"/>
  <c r="G618" i="44"/>
  <c r="V618" i="44" s="1"/>
  <c r="G639" i="44"/>
  <c r="V639" i="44" s="1"/>
  <c r="G603" i="44"/>
  <c r="V603" i="44" s="1"/>
  <c r="G614" i="44"/>
  <c r="V614" i="44" s="1"/>
  <c r="G641" i="44"/>
  <c r="V641" i="44" s="1"/>
  <c r="G636" i="44"/>
  <c r="V636" i="44" s="1"/>
  <c r="G615" i="44"/>
  <c r="V615" i="44" s="1"/>
  <c r="G634" i="44"/>
  <c r="V634" i="44" s="1"/>
  <c r="G607" i="44"/>
  <c r="V607" i="44" s="1"/>
  <c r="G627" i="44"/>
  <c r="V627" i="44" s="1"/>
  <c r="G649" i="44"/>
  <c r="V649" i="44" s="1"/>
  <c r="G642" i="44"/>
  <c r="V642" i="44" s="1"/>
  <c r="G604" i="44"/>
  <c r="V604" i="44" s="1"/>
  <c r="G635" i="44"/>
  <c r="V635" i="44" s="1"/>
  <c r="G612" i="44"/>
  <c r="V612" i="44" s="1"/>
  <c r="G629" i="44"/>
  <c r="V629" i="44" s="1"/>
  <c r="G620" i="44"/>
  <c r="V620" i="44" s="1"/>
  <c r="G600" i="44"/>
  <c r="V600" i="44" s="1"/>
  <c r="G624" i="44"/>
  <c r="V624" i="44" s="1"/>
  <c r="G631" i="44"/>
  <c r="V631" i="44" s="1"/>
  <c r="G638" i="44"/>
  <c r="V638" i="44" s="1"/>
  <c r="G622" i="44"/>
  <c r="V622" i="44" s="1"/>
  <c r="G637" i="44"/>
  <c r="V637" i="44" s="1"/>
  <c r="G645" i="44"/>
  <c r="V645" i="44" s="1"/>
  <c r="G621" i="44"/>
  <c r="V621" i="44" s="1"/>
  <c r="G630" i="44"/>
  <c r="V630" i="44" s="1"/>
  <c r="G610" i="44"/>
  <c r="V610" i="44" s="1"/>
  <c r="G616" i="44"/>
  <c r="V616" i="44" s="1"/>
  <c r="G626" i="44"/>
  <c r="V626" i="44" s="1"/>
  <c r="G601" i="44"/>
  <c r="V601" i="44" s="1"/>
  <c r="G646" i="44"/>
  <c r="V646" i="44" s="1"/>
  <c r="G632" i="44"/>
  <c r="V632" i="44" s="1"/>
  <c r="G640" i="44"/>
  <c r="V640" i="44" s="1"/>
  <c r="G611" i="44"/>
  <c r="V611" i="44" s="1"/>
  <c r="G609" i="44"/>
  <c r="V609" i="44" s="1"/>
  <c r="G608" i="44"/>
  <c r="V608" i="44" s="1"/>
  <c r="G602" i="44"/>
  <c r="V602" i="44" s="1"/>
  <c r="G619" i="44"/>
  <c r="V619" i="44" s="1"/>
  <c r="G625" i="44"/>
  <c r="V625" i="44" s="1"/>
  <c r="G628" i="44"/>
  <c r="V628" i="44" s="1"/>
  <c r="G650" i="44"/>
  <c r="V650" i="44" s="1"/>
  <c r="F240" i="44"/>
  <c r="U240" i="44" s="1"/>
  <c r="E10" i="51"/>
  <c r="E11" i="52" s="1"/>
  <c r="F275" i="44"/>
  <c r="U275" i="44" s="1"/>
  <c r="F258" i="44"/>
  <c r="U258" i="44" s="1"/>
  <c r="F246" i="44"/>
  <c r="U246" i="44" s="1"/>
  <c r="F245" i="44"/>
  <c r="U245" i="44" s="1"/>
  <c r="F242" i="44"/>
  <c r="U242" i="44" s="1"/>
  <c r="F270" i="44"/>
  <c r="U270" i="44" s="1"/>
  <c r="F284" i="44"/>
  <c r="U284" i="44" s="1"/>
  <c r="F277" i="44"/>
  <c r="U277" i="44" s="1"/>
  <c r="F256" i="44"/>
  <c r="U256" i="44" s="1"/>
  <c r="F271" i="44"/>
  <c r="U271" i="44" s="1"/>
  <c r="F255" i="44"/>
  <c r="U255" i="44" s="1"/>
  <c r="F268" i="44"/>
  <c r="U268" i="44" s="1"/>
  <c r="F243" i="44"/>
  <c r="U243" i="44" s="1"/>
  <c r="F279" i="44"/>
  <c r="U279" i="44" s="1"/>
  <c r="F251" i="44"/>
  <c r="U251" i="44" s="1"/>
  <c r="F273" i="44"/>
  <c r="U273" i="44" s="1"/>
  <c r="F263" i="44"/>
  <c r="U263" i="44" s="1"/>
  <c r="F261" i="44"/>
  <c r="U261" i="44" s="1"/>
  <c r="F287" i="44"/>
  <c r="U287" i="44" s="1"/>
  <c r="F259" i="44"/>
  <c r="U259" i="44" s="1"/>
  <c r="F264" i="44"/>
  <c r="U264" i="44" s="1"/>
  <c r="F274" i="44"/>
  <c r="U274" i="44" s="1"/>
  <c r="F278" i="44"/>
  <c r="U278" i="44" s="1"/>
  <c r="F280" i="44"/>
  <c r="U280" i="44" s="1"/>
  <c r="F257" i="44"/>
  <c r="U257" i="44" s="1"/>
  <c r="F237" i="44"/>
  <c r="U237" i="44" s="1"/>
  <c r="F253" i="44"/>
  <c r="U253" i="44" s="1"/>
  <c r="F248" i="44"/>
  <c r="U248" i="44" s="1"/>
  <c r="F283" i="44"/>
  <c r="U283" i="44" s="1"/>
  <c r="F286" i="44"/>
  <c r="U286" i="44" s="1"/>
  <c r="F266" i="44"/>
  <c r="U266" i="44" s="1"/>
  <c r="F241" i="44"/>
  <c r="U241" i="44" s="1"/>
  <c r="F285" i="44"/>
  <c r="U285" i="44" s="1"/>
  <c r="F269" i="44"/>
  <c r="U269" i="44" s="1"/>
  <c r="F249" i="44"/>
  <c r="U249" i="44" s="1"/>
  <c r="F239" i="44"/>
  <c r="U239" i="44" s="1"/>
  <c r="F250" i="44"/>
  <c r="U250" i="44" s="1"/>
  <c r="F281" i="44"/>
  <c r="U281" i="44" s="1"/>
  <c r="F252" i="44"/>
  <c r="U252" i="44" s="1"/>
  <c r="F247" i="44"/>
  <c r="U247" i="44" s="1"/>
  <c r="F254" i="44"/>
  <c r="U254" i="44" s="1"/>
  <c r="F272" i="44"/>
  <c r="U272" i="44" s="1"/>
  <c r="F238" i="44"/>
  <c r="U238" i="44" s="1"/>
  <c r="F267" i="44"/>
  <c r="U267" i="44" s="1"/>
  <c r="F282" i="44"/>
  <c r="U282" i="44" s="1"/>
  <c r="F262" i="44"/>
  <c r="U262" i="44" s="1"/>
  <c r="F276" i="44"/>
  <c r="U276" i="44" s="1"/>
  <c r="F260" i="44"/>
  <c r="U260" i="44" s="1"/>
  <c r="F244" i="44"/>
  <c r="U244" i="44" s="1"/>
  <c r="F265" i="44"/>
  <c r="U265" i="44" s="1"/>
  <c r="H128" i="44"/>
  <c r="W128" i="44" s="1"/>
  <c r="H119" i="44"/>
  <c r="W119" i="44" s="1"/>
  <c r="H121" i="44"/>
  <c r="W121" i="44" s="1"/>
  <c r="H123" i="44"/>
  <c r="W123" i="44" s="1"/>
  <c r="D7" i="51"/>
  <c r="D8" i="52" s="1"/>
  <c r="H104" i="44"/>
  <c r="W104" i="44" s="1"/>
  <c r="H129" i="44"/>
  <c r="W129" i="44" s="1"/>
  <c r="H96" i="44"/>
  <c r="W96" i="44" s="1"/>
  <c r="H103" i="44"/>
  <c r="W103" i="44" s="1"/>
  <c r="H84" i="44"/>
  <c r="W84" i="44" s="1"/>
  <c r="H92" i="44"/>
  <c r="W92" i="44" s="1"/>
  <c r="H111" i="44"/>
  <c r="W111" i="44" s="1"/>
  <c r="H131" i="44"/>
  <c r="W131" i="44" s="1"/>
  <c r="H110" i="44"/>
  <c r="W110" i="44" s="1"/>
  <c r="H125" i="44"/>
  <c r="W125" i="44" s="1"/>
  <c r="H117" i="44"/>
  <c r="W117" i="44" s="1"/>
  <c r="H100" i="44"/>
  <c r="W100" i="44" s="1"/>
  <c r="H90" i="44"/>
  <c r="W90" i="44" s="1"/>
  <c r="H127" i="44"/>
  <c r="W127" i="44" s="1"/>
  <c r="H107" i="44"/>
  <c r="W107" i="44" s="1"/>
  <c r="H94" i="44"/>
  <c r="W94" i="44" s="1"/>
  <c r="H116" i="44"/>
  <c r="W116" i="44" s="1"/>
  <c r="H108" i="44"/>
  <c r="W108" i="44" s="1"/>
  <c r="H106" i="44"/>
  <c r="W106" i="44" s="1"/>
  <c r="H120" i="44"/>
  <c r="W120" i="44" s="1"/>
  <c r="H133" i="44"/>
  <c r="W133" i="44" s="1"/>
  <c r="H102" i="44"/>
  <c r="W102" i="44" s="1"/>
  <c r="H93" i="44"/>
  <c r="W93" i="44" s="1"/>
  <c r="H124" i="44"/>
  <c r="W124" i="44" s="1"/>
  <c r="H87" i="44"/>
  <c r="W87" i="44" s="1"/>
  <c r="H132" i="44"/>
  <c r="W132" i="44" s="1"/>
  <c r="H130" i="44"/>
  <c r="W130" i="44" s="1"/>
  <c r="H114" i="44"/>
  <c r="W114" i="44" s="1"/>
  <c r="H95" i="44"/>
  <c r="W95" i="44" s="1"/>
  <c r="H113" i="44"/>
  <c r="W113" i="44" s="1"/>
  <c r="H97" i="44"/>
  <c r="W97" i="44" s="1"/>
  <c r="H98" i="44"/>
  <c r="W98" i="44" s="1"/>
  <c r="H134" i="44"/>
  <c r="W134" i="44" s="1"/>
  <c r="H118" i="44"/>
  <c r="W118" i="44" s="1"/>
  <c r="H85" i="44"/>
  <c r="W85" i="44" s="1"/>
  <c r="H122" i="44"/>
  <c r="W122" i="44" s="1"/>
  <c r="H126" i="44"/>
  <c r="W126" i="44" s="1"/>
  <c r="H91" i="44"/>
  <c r="W91" i="44" s="1"/>
  <c r="H99" i="44"/>
  <c r="W99" i="44" s="1"/>
  <c r="H105" i="44"/>
  <c r="W105" i="44" s="1"/>
  <c r="H109" i="44"/>
  <c r="W109" i="44" s="1"/>
  <c r="H115" i="44"/>
  <c r="W115" i="44" s="1"/>
  <c r="H101" i="44"/>
  <c r="W101" i="44" s="1"/>
  <c r="H86" i="44"/>
  <c r="W86" i="44" s="1"/>
  <c r="H112" i="44"/>
  <c r="W112" i="44" s="1"/>
  <c r="H88" i="44"/>
  <c r="W88" i="44" s="1"/>
  <c r="H89" i="44"/>
  <c r="W89" i="44" s="1"/>
  <c r="J7" i="51"/>
  <c r="J8" i="52" s="1"/>
  <c r="C10" i="56"/>
  <c r="C64" i="52" s="1"/>
  <c r="K679" i="44"/>
  <c r="Z679" i="44" s="1"/>
  <c r="K696" i="44"/>
  <c r="Z696" i="44" s="1"/>
  <c r="K666" i="44"/>
  <c r="Z666" i="44" s="1"/>
  <c r="K683" i="44"/>
  <c r="Z683" i="44" s="1"/>
  <c r="K686" i="44"/>
  <c r="Z686" i="44" s="1"/>
  <c r="K668" i="44"/>
  <c r="Z668" i="44" s="1"/>
  <c r="K656" i="44"/>
  <c r="Z656" i="44" s="1"/>
  <c r="K673" i="44"/>
  <c r="Z673" i="44" s="1"/>
  <c r="K690" i="44"/>
  <c r="Z690" i="44" s="1"/>
  <c r="K653" i="44"/>
  <c r="Z653" i="44" s="1"/>
  <c r="K684" i="44"/>
  <c r="Z684" i="44" s="1"/>
  <c r="K701" i="44"/>
  <c r="Z701" i="44" s="1"/>
  <c r="K680" i="44"/>
  <c r="Z680" i="44" s="1"/>
  <c r="K674" i="44"/>
  <c r="Z674" i="44" s="1"/>
  <c r="K654" i="44"/>
  <c r="Z654" i="44" s="1"/>
  <c r="K661" i="44"/>
  <c r="Z661" i="44" s="1"/>
  <c r="K663" i="44"/>
  <c r="Z663" i="44" s="1"/>
  <c r="K657" i="44"/>
  <c r="Z657" i="44" s="1"/>
  <c r="K698" i="44"/>
  <c r="Z698" i="44" s="1"/>
  <c r="K670" i="44"/>
  <c r="Z670" i="44" s="1"/>
  <c r="K700" i="44"/>
  <c r="Z700" i="44" s="1"/>
  <c r="K671" i="44"/>
  <c r="Z671" i="44" s="1"/>
  <c r="K665" i="44"/>
  <c r="Z665" i="44" s="1"/>
  <c r="K659" i="44"/>
  <c r="Z659" i="44" s="1"/>
  <c r="K678" i="44"/>
  <c r="Z678" i="44" s="1"/>
  <c r="K676" i="44"/>
  <c r="Z676" i="44" s="1"/>
  <c r="K681" i="44"/>
  <c r="Z681" i="44" s="1"/>
  <c r="K699" i="44"/>
  <c r="Z699" i="44" s="1"/>
  <c r="K660" i="44"/>
  <c r="Z660" i="44" s="1"/>
  <c r="K655" i="44"/>
  <c r="Z655" i="44" s="1"/>
  <c r="K697" i="44"/>
  <c r="Z697" i="44" s="1"/>
  <c r="K687" i="44"/>
  <c r="Z687" i="44" s="1"/>
  <c r="K658" i="44"/>
  <c r="Z658" i="44" s="1"/>
  <c r="K651" i="44"/>
  <c r="Z651" i="44" s="1"/>
  <c r="K695" i="44"/>
  <c r="Z695" i="44" s="1"/>
  <c r="K682" i="44"/>
  <c r="Z682" i="44" s="1"/>
  <c r="K652" i="44"/>
  <c r="Z652" i="44" s="1"/>
  <c r="K664" i="44"/>
  <c r="Z664" i="44" s="1"/>
  <c r="K667" i="44"/>
  <c r="Z667" i="44" s="1"/>
  <c r="K685" i="44"/>
  <c r="Z685" i="44" s="1"/>
  <c r="K672" i="44"/>
  <c r="Z672" i="44" s="1"/>
  <c r="K675" i="44"/>
  <c r="Z675" i="44" s="1"/>
  <c r="K693" i="44"/>
  <c r="Z693" i="44" s="1"/>
  <c r="K677" i="44"/>
  <c r="Z677" i="44" s="1"/>
  <c r="K688" i="44"/>
  <c r="Z688" i="44" s="1"/>
  <c r="K689" i="44"/>
  <c r="Z689" i="44" s="1"/>
  <c r="K691" i="44"/>
  <c r="Z691" i="44" s="1"/>
  <c r="K692" i="44"/>
  <c r="Z692" i="44" s="1"/>
  <c r="K669" i="44"/>
  <c r="Z669" i="44" s="1"/>
  <c r="K694" i="44"/>
  <c r="Z694" i="44" s="1"/>
  <c r="K662" i="44"/>
  <c r="Z662" i="44" s="1"/>
  <c r="G8" i="56"/>
  <c r="G62" i="52" s="1"/>
  <c r="I569" i="44"/>
  <c r="X569" i="44" s="1"/>
  <c r="I584" i="44"/>
  <c r="X584" i="44" s="1"/>
  <c r="I554" i="44"/>
  <c r="X554" i="44" s="1"/>
  <c r="I562" i="44"/>
  <c r="X562" i="44" s="1"/>
  <c r="I567" i="44"/>
  <c r="X567" i="44" s="1"/>
  <c r="I556" i="44"/>
  <c r="X556" i="44" s="1"/>
  <c r="I598" i="44"/>
  <c r="X598" i="44" s="1"/>
  <c r="I577" i="44"/>
  <c r="X577" i="44" s="1"/>
  <c r="I592" i="44"/>
  <c r="X592" i="44" s="1"/>
  <c r="I564" i="44"/>
  <c r="X564" i="44" s="1"/>
  <c r="I578" i="44"/>
  <c r="X578" i="44" s="1"/>
  <c r="I583" i="44"/>
  <c r="X583" i="44" s="1"/>
  <c r="I572" i="44"/>
  <c r="X572" i="44" s="1"/>
  <c r="I585" i="44"/>
  <c r="X585" i="44" s="1"/>
  <c r="I549" i="44"/>
  <c r="X549" i="44" s="1"/>
  <c r="I574" i="44"/>
  <c r="X574" i="44" s="1"/>
  <c r="I590" i="44"/>
  <c r="X590" i="44" s="1"/>
  <c r="I550" i="44"/>
  <c r="X550" i="44" s="1"/>
  <c r="I594" i="44"/>
  <c r="X594" i="44" s="1"/>
  <c r="I593" i="44"/>
  <c r="X593" i="44" s="1"/>
  <c r="I555" i="44"/>
  <c r="X555" i="44" s="1"/>
  <c r="I586" i="44"/>
  <c r="X586" i="44" s="1"/>
  <c r="I559" i="44"/>
  <c r="X559" i="44" s="1"/>
  <c r="I570" i="44"/>
  <c r="X570" i="44" s="1"/>
  <c r="I557" i="44"/>
  <c r="X557" i="44" s="1"/>
  <c r="I552" i="44"/>
  <c r="X552" i="44" s="1"/>
  <c r="I565" i="44"/>
  <c r="X565" i="44" s="1"/>
  <c r="I596" i="44"/>
  <c r="X596" i="44" s="1"/>
  <c r="I581" i="44"/>
  <c r="X581" i="44" s="1"/>
  <c r="I588" i="44"/>
  <c r="X588" i="44" s="1"/>
  <c r="I573" i="44"/>
  <c r="X573" i="44" s="1"/>
  <c r="I560" i="44"/>
  <c r="X560" i="44" s="1"/>
  <c r="I575" i="44"/>
  <c r="X575" i="44" s="1"/>
  <c r="I563" i="44"/>
  <c r="X563" i="44" s="1"/>
  <c r="I599" i="44"/>
  <c r="X599" i="44" s="1"/>
  <c r="I551" i="44"/>
  <c r="X551" i="44" s="1"/>
  <c r="I595" i="44"/>
  <c r="X595" i="44" s="1"/>
  <c r="I553" i="44"/>
  <c r="X553" i="44" s="1"/>
  <c r="I568" i="44"/>
  <c r="X568" i="44" s="1"/>
  <c r="I587" i="44"/>
  <c r="X587" i="44" s="1"/>
  <c r="I579" i="44"/>
  <c r="X579" i="44" s="1"/>
  <c r="I566" i="44"/>
  <c r="X566" i="44" s="1"/>
  <c r="I571" i="44"/>
  <c r="X571" i="44" s="1"/>
  <c r="I558" i="44"/>
  <c r="X558" i="44" s="1"/>
  <c r="I582" i="44"/>
  <c r="X582" i="44" s="1"/>
  <c r="I589" i="44"/>
  <c r="X589" i="44" s="1"/>
  <c r="I580" i="44"/>
  <c r="X580" i="44" s="1"/>
  <c r="I561" i="44"/>
  <c r="X561" i="44" s="1"/>
  <c r="I576" i="44"/>
  <c r="X576" i="44" s="1"/>
  <c r="I597" i="44"/>
  <c r="X597" i="44" s="1"/>
  <c r="I591" i="44"/>
  <c r="X591" i="44" s="1"/>
  <c r="H8" i="51"/>
  <c r="H9" i="52" s="1"/>
  <c r="F10" i="54"/>
  <c r="G536" i="44"/>
  <c r="V536" i="44" s="1"/>
  <c r="G501" i="44"/>
  <c r="V501" i="44" s="1"/>
  <c r="G532" i="44"/>
  <c r="V532" i="44" s="1"/>
  <c r="G496" i="44"/>
  <c r="V496" i="44" s="1"/>
  <c r="G511" i="44"/>
  <c r="V511" i="44" s="1"/>
  <c r="G533" i="44"/>
  <c r="V533" i="44" s="1"/>
  <c r="G512" i="44"/>
  <c r="V512" i="44" s="1"/>
  <c r="G543" i="44"/>
  <c r="V543" i="44" s="1"/>
  <c r="G497" i="44"/>
  <c r="V497" i="44" s="1"/>
  <c r="G499" i="44"/>
  <c r="V499" i="44" s="1"/>
  <c r="G505" i="44"/>
  <c r="V505" i="44" s="1"/>
  <c r="G537" i="44"/>
  <c r="V537" i="44" s="1"/>
  <c r="G520" i="44"/>
  <c r="V520" i="44" s="1"/>
  <c r="G513" i="44"/>
  <c r="V513" i="44" s="1"/>
  <c r="G509" i="44"/>
  <c r="V509" i="44" s="1"/>
  <c r="G515" i="44"/>
  <c r="V515" i="44" s="1"/>
  <c r="G517" i="44"/>
  <c r="V517" i="44" s="1"/>
  <c r="G508" i="44"/>
  <c r="V508" i="44" s="1"/>
  <c r="G528" i="44"/>
  <c r="V528" i="44" s="1"/>
  <c r="G523" i="44"/>
  <c r="V523" i="44" s="1"/>
  <c r="G525" i="44"/>
  <c r="V525" i="44" s="1"/>
  <c r="G529" i="44"/>
  <c r="V529" i="44" s="1"/>
  <c r="G531" i="44"/>
  <c r="V531" i="44" s="1"/>
  <c r="G524" i="44"/>
  <c r="V524" i="44" s="1"/>
  <c r="G544" i="44"/>
  <c r="V544" i="44" s="1"/>
  <c r="G545" i="44"/>
  <c r="V545" i="44" s="1"/>
  <c r="G539" i="44"/>
  <c r="V539" i="44" s="1"/>
  <c r="G541" i="44"/>
  <c r="V541" i="44" s="1"/>
  <c r="G506" i="44"/>
  <c r="V506" i="44" s="1"/>
  <c r="G538" i="44"/>
  <c r="V538" i="44" s="1"/>
  <c r="G503" i="44"/>
  <c r="V503" i="44" s="1"/>
  <c r="G500" i="44"/>
  <c r="V500" i="44" s="1"/>
  <c r="G498" i="44"/>
  <c r="V498" i="44" s="1"/>
  <c r="G502" i="44"/>
  <c r="V502" i="44" s="1"/>
  <c r="G518" i="44"/>
  <c r="V518" i="44" s="1"/>
  <c r="G519" i="44"/>
  <c r="V519" i="44" s="1"/>
  <c r="G510" i="44"/>
  <c r="V510" i="44" s="1"/>
  <c r="G514" i="44"/>
  <c r="V514" i="44" s="1"/>
  <c r="G516" i="44"/>
  <c r="V516" i="44" s="1"/>
  <c r="G534" i="44"/>
  <c r="V534" i="44" s="1"/>
  <c r="G527" i="44"/>
  <c r="V527" i="44" s="1"/>
  <c r="G522" i="44"/>
  <c r="V522" i="44" s="1"/>
  <c r="G526" i="44"/>
  <c r="V526" i="44" s="1"/>
  <c r="G530" i="44"/>
  <c r="V530" i="44" s="1"/>
  <c r="G507" i="44"/>
  <c r="V507" i="44" s="1"/>
  <c r="G535" i="44"/>
  <c r="V535" i="44" s="1"/>
  <c r="G542" i="44"/>
  <c r="V542" i="44" s="1"/>
  <c r="G540" i="44"/>
  <c r="V540" i="44" s="1"/>
  <c r="G495" i="44"/>
  <c r="V495" i="44" s="1"/>
  <c r="G521" i="44"/>
  <c r="V521" i="44" s="1"/>
  <c r="G504" i="44"/>
  <c r="V504" i="44" s="1"/>
  <c r="E6" i="54"/>
  <c r="F321" i="44"/>
  <c r="U321" i="44" s="1"/>
  <c r="F336" i="44"/>
  <c r="U336" i="44" s="1"/>
  <c r="F323" i="44"/>
  <c r="U323" i="44" s="1"/>
  <c r="F325" i="44"/>
  <c r="U325" i="44" s="1"/>
  <c r="F306" i="44"/>
  <c r="U306" i="44" s="1"/>
  <c r="F315" i="44"/>
  <c r="U315" i="44" s="1"/>
  <c r="F337" i="44"/>
  <c r="U337" i="44" s="1"/>
  <c r="F302" i="44"/>
  <c r="U302" i="44" s="1"/>
  <c r="F298" i="44"/>
  <c r="U298" i="44" s="1"/>
  <c r="F300" i="44"/>
  <c r="U300" i="44" s="1"/>
  <c r="F291" i="44"/>
  <c r="U291" i="44" s="1"/>
  <c r="F294" i="44"/>
  <c r="U294" i="44" s="1"/>
  <c r="F296" i="44"/>
  <c r="U296" i="44" s="1"/>
  <c r="F314" i="44"/>
  <c r="U314" i="44" s="1"/>
  <c r="F310" i="44"/>
  <c r="U310" i="44" s="1"/>
  <c r="F318" i="44"/>
  <c r="U318" i="44" s="1"/>
  <c r="F307" i="44"/>
  <c r="U307" i="44" s="1"/>
  <c r="F316" i="44"/>
  <c r="U316" i="44" s="1"/>
  <c r="F328" i="44"/>
  <c r="U328" i="44" s="1"/>
  <c r="F340" i="44"/>
  <c r="U340" i="44" s="1"/>
  <c r="F322" i="44"/>
  <c r="U322" i="44" s="1"/>
  <c r="F317" i="44"/>
  <c r="U317" i="44" s="1"/>
  <c r="F297" i="44"/>
  <c r="U297" i="44" s="1"/>
  <c r="F292" i="44"/>
  <c r="U292" i="44" s="1"/>
  <c r="F295" i="44"/>
  <c r="U295" i="44" s="1"/>
  <c r="F327" i="44"/>
  <c r="U327" i="44" s="1"/>
  <c r="F335" i="44"/>
  <c r="U335" i="44" s="1"/>
  <c r="F305" i="44"/>
  <c r="U305" i="44" s="1"/>
  <c r="F324" i="44"/>
  <c r="U324" i="44" s="1"/>
  <c r="F309" i="44"/>
  <c r="U309" i="44" s="1"/>
  <c r="F308" i="44"/>
  <c r="U308" i="44" s="1"/>
  <c r="F313" i="44"/>
  <c r="U313" i="44" s="1"/>
  <c r="F334" i="44"/>
  <c r="U334" i="44" s="1"/>
  <c r="F339" i="44"/>
  <c r="U339" i="44" s="1"/>
  <c r="F330" i="44"/>
  <c r="U330" i="44" s="1"/>
  <c r="F329" i="44"/>
  <c r="U329" i="44" s="1"/>
  <c r="F301" i="44"/>
  <c r="U301" i="44" s="1"/>
  <c r="F338" i="44"/>
  <c r="U338" i="44" s="1"/>
  <c r="F293" i="44"/>
  <c r="U293" i="44" s="1"/>
  <c r="F304" i="44"/>
  <c r="U304" i="44" s="1"/>
  <c r="F311" i="44"/>
  <c r="U311" i="44" s="1"/>
  <c r="F303" i="44"/>
  <c r="U303" i="44" s="1"/>
  <c r="F331" i="44"/>
  <c r="U331" i="44" s="1"/>
  <c r="F312" i="44"/>
  <c r="U312" i="44" s="1"/>
  <c r="F333" i="44"/>
  <c r="U333" i="44" s="1"/>
  <c r="F319" i="44"/>
  <c r="U319" i="44" s="1"/>
  <c r="F332" i="44"/>
  <c r="U332" i="44" s="1"/>
  <c r="F320" i="44"/>
  <c r="U320" i="44" s="1"/>
  <c r="F341" i="44"/>
  <c r="U341" i="44" s="1"/>
  <c r="F299" i="44"/>
  <c r="U299" i="44" s="1"/>
  <c r="F326" i="44"/>
  <c r="U326" i="44" s="1"/>
  <c r="F8" i="54"/>
  <c r="G404" i="44"/>
  <c r="V404" i="44" s="1"/>
  <c r="G411" i="44"/>
  <c r="V411" i="44" s="1"/>
  <c r="G437" i="44"/>
  <c r="V437" i="44" s="1"/>
  <c r="G394" i="44"/>
  <c r="V394" i="44" s="1"/>
  <c r="G398" i="44"/>
  <c r="V398" i="44" s="1"/>
  <c r="G400" i="44"/>
  <c r="V400" i="44" s="1"/>
  <c r="G418" i="44"/>
  <c r="V418" i="44" s="1"/>
  <c r="G428" i="44"/>
  <c r="V428" i="44" s="1"/>
  <c r="G435" i="44"/>
  <c r="V435" i="44" s="1"/>
  <c r="G424" i="44"/>
  <c r="V424" i="44" s="1"/>
  <c r="G438" i="44"/>
  <c r="V438" i="44" s="1"/>
  <c r="G440" i="44"/>
  <c r="V440" i="44" s="1"/>
  <c r="G442" i="44"/>
  <c r="V442" i="44" s="1"/>
  <c r="G420" i="44"/>
  <c r="V420" i="44" s="1"/>
  <c r="G405" i="44"/>
  <c r="V405" i="44" s="1"/>
  <c r="G433" i="44"/>
  <c r="V433" i="44" s="1"/>
  <c r="G426" i="44"/>
  <c r="V426" i="44" s="1"/>
  <c r="G417" i="44"/>
  <c r="V417" i="44" s="1"/>
  <c r="G395" i="44"/>
  <c r="V395" i="44" s="1"/>
  <c r="G402" i="44"/>
  <c r="V402" i="44" s="1"/>
  <c r="G397" i="44"/>
  <c r="V397" i="44" s="1"/>
  <c r="G429" i="44"/>
  <c r="V429" i="44" s="1"/>
  <c r="G432" i="44"/>
  <c r="V432" i="44" s="1"/>
  <c r="G393" i="44"/>
  <c r="V393" i="44" s="1"/>
  <c r="G434" i="44"/>
  <c r="V434" i="44" s="1"/>
  <c r="G410" i="44"/>
  <c r="V410" i="44" s="1"/>
  <c r="G406" i="44"/>
  <c r="V406" i="44" s="1"/>
  <c r="G413" i="44"/>
  <c r="V413" i="44" s="1"/>
  <c r="G416" i="44"/>
  <c r="V416" i="44" s="1"/>
  <c r="G414" i="44"/>
  <c r="V414" i="44" s="1"/>
  <c r="G431" i="44"/>
  <c r="V431" i="44" s="1"/>
  <c r="G403" i="44"/>
  <c r="V403" i="44" s="1"/>
  <c r="G407" i="44"/>
  <c r="V407" i="44" s="1"/>
  <c r="G399" i="44"/>
  <c r="V399" i="44" s="1"/>
  <c r="G419" i="44"/>
  <c r="V419" i="44" s="1"/>
  <c r="G421" i="44"/>
  <c r="V421" i="44" s="1"/>
  <c r="G443" i="44"/>
  <c r="V443" i="44" s="1"/>
  <c r="G427" i="44"/>
  <c r="V427" i="44" s="1"/>
  <c r="G408" i="44"/>
  <c r="V408" i="44" s="1"/>
  <c r="G441" i="44"/>
  <c r="V441" i="44" s="1"/>
  <c r="G422" i="44"/>
  <c r="V422" i="44" s="1"/>
  <c r="G439" i="44"/>
  <c r="V439" i="44" s="1"/>
  <c r="G396" i="44"/>
  <c r="V396" i="44" s="1"/>
  <c r="G415" i="44"/>
  <c r="V415" i="44" s="1"/>
  <c r="G409" i="44"/>
  <c r="V409" i="44" s="1"/>
  <c r="G430" i="44"/>
  <c r="V430" i="44" s="1"/>
  <c r="G412" i="44"/>
  <c r="V412" i="44" s="1"/>
  <c r="G423" i="44"/>
  <c r="V423" i="44" s="1"/>
  <c r="G401" i="44"/>
  <c r="V401" i="44" s="1"/>
  <c r="G436" i="44"/>
  <c r="V436" i="44" s="1"/>
  <c r="G425" i="44"/>
  <c r="V425" i="44" s="1"/>
  <c r="C273" i="44"/>
  <c r="U9" i="44"/>
  <c r="I10" i="51"/>
  <c r="I11" i="52" s="1"/>
  <c r="C244" i="44"/>
  <c r="C252" i="44"/>
  <c r="C287" i="44"/>
  <c r="C278" i="44"/>
  <c r="C240" i="44"/>
  <c r="C265" i="44"/>
  <c r="C269" i="44"/>
  <c r="C270" i="44"/>
  <c r="C283" i="44"/>
  <c r="C254" i="44"/>
  <c r="C276" i="44"/>
  <c r="C257" i="44"/>
  <c r="C274" i="44"/>
  <c r="C249" i="44"/>
  <c r="C261" i="44"/>
  <c r="C256" i="44"/>
  <c r="C258" i="44"/>
  <c r="C248" i="44"/>
  <c r="C285" i="44"/>
  <c r="C286" i="44"/>
  <c r="C255" i="44"/>
  <c r="C246" i="44"/>
  <c r="C263" i="44"/>
  <c r="C253" i="44"/>
  <c r="C271" i="44"/>
  <c r="C267" i="44"/>
  <c r="C268" i="44"/>
  <c r="C282" i="44"/>
  <c r="C266" i="44"/>
  <c r="C280" i="44"/>
  <c r="C250" i="44"/>
  <c r="C264" i="44"/>
  <c r="C251" i="44"/>
  <c r="C237" i="44"/>
  <c r="C245" i="44"/>
  <c r="C281" i="44"/>
  <c r="C275" i="44"/>
  <c r="C279" i="44"/>
  <c r="C241" i="44"/>
  <c r="C238" i="44"/>
  <c r="C277" i="44"/>
  <c r="C259" i="44"/>
  <c r="C260" i="44"/>
  <c r="C272" i="44"/>
  <c r="C242" i="44"/>
  <c r="C243" i="44"/>
  <c r="C262" i="44"/>
  <c r="C239" i="44"/>
  <c r="C284" i="44"/>
  <c r="C247" i="44"/>
  <c r="J8" i="56"/>
  <c r="J62" i="52" s="1"/>
  <c r="H11" i="56"/>
  <c r="H65" i="52" s="1"/>
  <c r="H6" i="51"/>
  <c r="H7" i="52" s="1"/>
  <c r="E9" i="54"/>
  <c r="F470" i="44"/>
  <c r="U470" i="44" s="1"/>
  <c r="F477" i="44"/>
  <c r="U477" i="44" s="1"/>
  <c r="F494" i="44"/>
  <c r="U494" i="44" s="1"/>
  <c r="F451" i="44"/>
  <c r="U451" i="44" s="1"/>
  <c r="F461" i="44"/>
  <c r="U461" i="44" s="1"/>
  <c r="F450" i="44"/>
  <c r="U450" i="44" s="1"/>
  <c r="F489" i="44"/>
  <c r="U489" i="44" s="1"/>
  <c r="F491" i="44"/>
  <c r="U491" i="44" s="1"/>
  <c r="F468" i="44"/>
  <c r="U468" i="44" s="1"/>
  <c r="F454" i="44"/>
  <c r="U454" i="44" s="1"/>
  <c r="F485" i="44"/>
  <c r="U485" i="44" s="1"/>
  <c r="F472" i="44"/>
  <c r="U472" i="44" s="1"/>
  <c r="F464" i="44"/>
  <c r="U464" i="44" s="1"/>
  <c r="F466" i="44"/>
  <c r="U466" i="44" s="1"/>
  <c r="F457" i="44"/>
  <c r="U457" i="44" s="1"/>
  <c r="F462" i="44"/>
  <c r="U462" i="44" s="1"/>
  <c r="F493" i="44"/>
  <c r="U493" i="44" s="1"/>
  <c r="F482" i="44"/>
  <c r="U482" i="44" s="1"/>
  <c r="F476" i="44"/>
  <c r="U476" i="44" s="1"/>
  <c r="F480" i="44"/>
  <c r="U480" i="44" s="1"/>
  <c r="F471" i="44"/>
  <c r="U471" i="44" s="1"/>
  <c r="F453" i="44"/>
  <c r="U453" i="44" s="1"/>
  <c r="F447" i="44"/>
  <c r="U447" i="44" s="1"/>
  <c r="F452" i="44"/>
  <c r="U452" i="44" s="1"/>
  <c r="F474" i="44"/>
  <c r="U474" i="44" s="1"/>
  <c r="F463" i="44"/>
  <c r="U463" i="44" s="1"/>
  <c r="F475" i="44"/>
  <c r="U475" i="44" s="1"/>
  <c r="F467" i="44"/>
  <c r="U467" i="44" s="1"/>
  <c r="F473" i="44"/>
  <c r="U473" i="44" s="1"/>
  <c r="F448" i="44"/>
  <c r="U448" i="44" s="1"/>
  <c r="F481" i="44"/>
  <c r="U481" i="44" s="1"/>
  <c r="F445" i="44"/>
  <c r="U445" i="44" s="1"/>
  <c r="F449" i="44"/>
  <c r="U449" i="44" s="1"/>
  <c r="F488" i="44"/>
  <c r="U488" i="44" s="1"/>
  <c r="F483" i="44"/>
  <c r="U483" i="44" s="1"/>
  <c r="F479" i="44"/>
  <c r="U479" i="44" s="1"/>
  <c r="F444" i="44"/>
  <c r="U444" i="44" s="1"/>
  <c r="F455" i="44"/>
  <c r="U455" i="44" s="1"/>
  <c r="F460" i="44"/>
  <c r="U460" i="44" s="1"/>
  <c r="F456" i="44"/>
  <c r="U456" i="44" s="1"/>
  <c r="F446" i="44"/>
  <c r="U446" i="44" s="1"/>
  <c r="F492" i="44"/>
  <c r="U492" i="44" s="1"/>
  <c r="F484" i="44"/>
  <c r="U484" i="44" s="1"/>
  <c r="F478" i="44"/>
  <c r="U478" i="44" s="1"/>
  <c r="F459" i="44"/>
  <c r="U459" i="44" s="1"/>
  <c r="F487" i="44"/>
  <c r="U487" i="44" s="1"/>
  <c r="F486" i="44"/>
  <c r="U486" i="44" s="1"/>
  <c r="F469" i="44"/>
  <c r="U469" i="44" s="1"/>
  <c r="F490" i="44"/>
  <c r="U490" i="44" s="1"/>
  <c r="F465" i="44"/>
  <c r="U465" i="44" s="1"/>
  <c r="F458" i="44"/>
  <c r="U458" i="44" s="1"/>
  <c r="G252" i="44"/>
  <c r="V252" i="44" s="1"/>
  <c r="F10" i="51"/>
  <c r="F11" i="52" s="1"/>
  <c r="G271" i="44"/>
  <c r="V271" i="44" s="1"/>
  <c r="G280" i="44"/>
  <c r="V280" i="44" s="1"/>
  <c r="G250" i="44"/>
  <c r="V250" i="44" s="1"/>
  <c r="G237" i="44"/>
  <c r="V237" i="44" s="1"/>
  <c r="G262" i="44"/>
  <c r="V262" i="44" s="1"/>
  <c r="G244" i="44"/>
  <c r="V244" i="44" s="1"/>
  <c r="G263" i="44"/>
  <c r="V263" i="44" s="1"/>
  <c r="G249" i="44"/>
  <c r="V249" i="44" s="1"/>
  <c r="G276" i="44"/>
  <c r="V276" i="44" s="1"/>
  <c r="G248" i="44"/>
  <c r="V248" i="44" s="1"/>
  <c r="G283" i="44"/>
  <c r="V283" i="44" s="1"/>
  <c r="G253" i="44"/>
  <c r="V253" i="44" s="1"/>
  <c r="G279" i="44"/>
  <c r="V279" i="44" s="1"/>
  <c r="G270" i="44"/>
  <c r="V270" i="44" s="1"/>
  <c r="G282" i="44"/>
  <c r="V282" i="44" s="1"/>
  <c r="G245" i="44"/>
  <c r="V245" i="44" s="1"/>
  <c r="G261" i="44"/>
  <c r="V261" i="44" s="1"/>
  <c r="G275" i="44"/>
  <c r="V275" i="44" s="1"/>
  <c r="G246" i="44"/>
  <c r="V246" i="44" s="1"/>
  <c r="G266" i="44"/>
  <c r="V266" i="44" s="1"/>
  <c r="G268" i="44"/>
  <c r="V268" i="44" s="1"/>
  <c r="G240" i="44"/>
  <c r="V240" i="44" s="1"/>
  <c r="G257" i="44"/>
  <c r="V257" i="44" s="1"/>
  <c r="G284" i="44"/>
  <c r="V284" i="44" s="1"/>
  <c r="G239" i="44"/>
  <c r="V239" i="44" s="1"/>
  <c r="G278" i="44"/>
  <c r="V278" i="44" s="1"/>
  <c r="G274" i="44"/>
  <c r="V274" i="44" s="1"/>
  <c r="G251" i="44"/>
  <c r="V251" i="44" s="1"/>
  <c r="G258" i="44"/>
  <c r="V258" i="44" s="1"/>
  <c r="G256" i="44"/>
  <c r="V256" i="44" s="1"/>
  <c r="G273" i="44"/>
  <c r="V273" i="44" s="1"/>
  <c r="G285" i="44"/>
  <c r="V285" i="44" s="1"/>
  <c r="G287" i="44"/>
  <c r="V287" i="44" s="1"/>
  <c r="G281" i="44"/>
  <c r="V281" i="44" s="1"/>
  <c r="G269" i="44"/>
  <c r="V269" i="44" s="1"/>
  <c r="G272" i="44"/>
  <c r="V272" i="44" s="1"/>
  <c r="G247" i="44"/>
  <c r="V247" i="44" s="1"/>
  <c r="G254" i="44"/>
  <c r="V254" i="44" s="1"/>
  <c r="G238" i="44"/>
  <c r="V238" i="44" s="1"/>
  <c r="G286" i="44"/>
  <c r="V286" i="44" s="1"/>
  <c r="G259" i="44"/>
  <c r="V259" i="44" s="1"/>
  <c r="G277" i="44"/>
  <c r="V277" i="44" s="1"/>
  <c r="G264" i="44"/>
  <c r="V264" i="44" s="1"/>
  <c r="G260" i="44"/>
  <c r="V260" i="44" s="1"/>
  <c r="G255" i="44"/>
  <c r="V255" i="44" s="1"/>
  <c r="G265" i="44"/>
  <c r="V265" i="44" s="1"/>
  <c r="G243" i="44"/>
  <c r="V243" i="44" s="1"/>
  <c r="G242" i="44"/>
  <c r="V242" i="44" s="1"/>
  <c r="G241" i="44"/>
  <c r="V241" i="44" s="1"/>
  <c r="G267" i="44"/>
  <c r="V267" i="44" s="1"/>
  <c r="E10" i="56"/>
  <c r="E64" i="52" s="1"/>
  <c r="J56" i="33" s="1"/>
  <c r="F663" i="44"/>
  <c r="U663" i="44" s="1"/>
  <c r="F692" i="44"/>
  <c r="U692" i="44" s="1"/>
  <c r="F674" i="44"/>
  <c r="U674" i="44" s="1"/>
  <c r="F654" i="44"/>
  <c r="U654" i="44" s="1"/>
  <c r="F689" i="44"/>
  <c r="U689" i="44" s="1"/>
  <c r="F669" i="44"/>
  <c r="U669" i="44" s="1"/>
  <c r="F664" i="44"/>
  <c r="U664" i="44" s="1"/>
  <c r="F679" i="44"/>
  <c r="U679" i="44" s="1"/>
  <c r="F661" i="44"/>
  <c r="U661" i="44" s="1"/>
  <c r="F694" i="44"/>
  <c r="U694" i="44" s="1"/>
  <c r="F676" i="44"/>
  <c r="U676" i="44" s="1"/>
  <c r="F658" i="44"/>
  <c r="U658" i="44" s="1"/>
  <c r="F691" i="44"/>
  <c r="U691" i="44" s="1"/>
  <c r="F672" i="44"/>
  <c r="U672" i="44" s="1"/>
  <c r="F687" i="44"/>
  <c r="U687" i="44" s="1"/>
  <c r="F673" i="44"/>
  <c r="U673" i="44" s="1"/>
  <c r="F653" i="44"/>
  <c r="U653" i="44" s="1"/>
  <c r="F686" i="44"/>
  <c r="U686" i="44" s="1"/>
  <c r="F668" i="44"/>
  <c r="U668" i="44" s="1"/>
  <c r="F701" i="44"/>
  <c r="U701" i="44" s="1"/>
  <c r="F660" i="44"/>
  <c r="U660" i="44" s="1"/>
  <c r="F684" i="44"/>
  <c r="U684" i="44" s="1"/>
  <c r="F667" i="44"/>
  <c r="U667" i="44" s="1"/>
  <c r="F680" i="44"/>
  <c r="U680" i="44" s="1"/>
  <c r="F682" i="44"/>
  <c r="U682" i="44" s="1"/>
  <c r="F675" i="44"/>
  <c r="U675" i="44" s="1"/>
  <c r="F699" i="44"/>
  <c r="U699" i="44" s="1"/>
  <c r="F688" i="44"/>
  <c r="U688" i="44" s="1"/>
  <c r="F651" i="44"/>
  <c r="U651" i="44" s="1"/>
  <c r="F685" i="44"/>
  <c r="U685" i="44" s="1"/>
  <c r="F678" i="44"/>
  <c r="U678" i="44" s="1"/>
  <c r="F695" i="44"/>
  <c r="U695" i="44" s="1"/>
  <c r="F666" i="44"/>
  <c r="U666" i="44" s="1"/>
  <c r="F683" i="44"/>
  <c r="U683" i="44" s="1"/>
  <c r="F657" i="44"/>
  <c r="U657" i="44" s="1"/>
  <c r="F693" i="44"/>
  <c r="U693" i="44" s="1"/>
  <c r="F677" i="44"/>
  <c r="U677" i="44" s="1"/>
  <c r="F656" i="44"/>
  <c r="U656" i="44" s="1"/>
  <c r="F652" i="44"/>
  <c r="U652" i="44" s="1"/>
  <c r="F690" i="44"/>
  <c r="U690" i="44" s="1"/>
  <c r="F696" i="44"/>
  <c r="U696" i="44" s="1"/>
  <c r="F662" i="44"/>
  <c r="U662" i="44" s="1"/>
  <c r="F700" i="44"/>
  <c r="U700" i="44" s="1"/>
  <c r="F655" i="44"/>
  <c r="U655" i="44" s="1"/>
  <c r="F665" i="44"/>
  <c r="U665" i="44" s="1"/>
  <c r="F659" i="44"/>
  <c r="U659" i="44" s="1"/>
  <c r="F698" i="44"/>
  <c r="U698" i="44" s="1"/>
  <c r="F681" i="44"/>
  <c r="U681" i="44" s="1"/>
  <c r="F670" i="44"/>
  <c r="U670" i="44" s="1"/>
  <c r="F671" i="44"/>
  <c r="U671" i="44" s="1"/>
  <c r="F697" i="44"/>
  <c r="U697" i="44" s="1"/>
  <c r="E10" i="54"/>
  <c r="F507" i="44"/>
  <c r="U507" i="44" s="1"/>
  <c r="F533" i="44"/>
  <c r="U533" i="44" s="1"/>
  <c r="F519" i="44"/>
  <c r="U519" i="44" s="1"/>
  <c r="F496" i="44"/>
  <c r="U496" i="44" s="1"/>
  <c r="F502" i="44"/>
  <c r="U502" i="44" s="1"/>
  <c r="F504" i="44"/>
  <c r="U504" i="44" s="1"/>
  <c r="F516" i="44"/>
  <c r="U516" i="44" s="1"/>
  <c r="F531" i="44"/>
  <c r="U531" i="44" s="1"/>
  <c r="F510" i="44"/>
  <c r="U510" i="44" s="1"/>
  <c r="F522" i="44"/>
  <c r="U522" i="44" s="1"/>
  <c r="F538" i="44"/>
  <c r="U538" i="44" s="1"/>
  <c r="F544" i="44"/>
  <c r="U544" i="44" s="1"/>
  <c r="F495" i="44"/>
  <c r="U495" i="44" s="1"/>
  <c r="F523" i="44"/>
  <c r="U523" i="44" s="1"/>
  <c r="F530" i="44"/>
  <c r="U530" i="44" s="1"/>
  <c r="F537" i="44"/>
  <c r="U537" i="44" s="1"/>
  <c r="F528" i="44"/>
  <c r="U528" i="44" s="1"/>
  <c r="F500" i="44"/>
  <c r="U500" i="44" s="1"/>
  <c r="F539" i="44"/>
  <c r="U539" i="44" s="1"/>
  <c r="F542" i="44"/>
  <c r="U542" i="44" s="1"/>
  <c r="F512" i="44"/>
  <c r="U512" i="44" s="1"/>
  <c r="F503" i="44"/>
  <c r="U503" i="44" s="1"/>
  <c r="F508" i="44"/>
  <c r="U508" i="44" s="1"/>
  <c r="F501" i="44"/>
  <c r="U501" i="44" s="1"/>
  <c r="F505" i="44"/>
  <c r="U505" i="44" s="1"/>
  <c r="F526" i="44"/>
  <c r="U526" i="44" s="1"/>
  <c r="F517" i="44"/>
  <c r="U517" i="44" s="1"/>
  <c r="F540" i="44"/>
  <c r="U540" i="44" s="1"/>
  <c r="F543" i="44"/>
  <c r="U543" i="44" s="1"/>
  <c r="F536" i="44"/>
  <c r="U536" i="44" s="1"/>
  <c r="F527" i="44"/>
  <c r="U527" i="44" s="1"/>
  <c r="F518" i="44"/>
  <c r="U518" i="44" s="1"/>
  <c r="F499" i="44"/>
  <c r="U499" i="44" s="1"/>
  <c r="F509" i="44"/>
  <c r="U509" i="44" s="1"/>
  <c r="F534" i="44"/>
  <c r="U534" i="44" s="1"/>
  <c r="F515" i="44"/>
  <c r="U515" i="44" s="1"/>
  <c r="F525" i="44"/>
  <c r="U525" i="44" s="1"/>
  <c r="F511" i="44"/>
  <c r="U511" i="44" s="1"/>
  <c r="F497" i="44"/>
  <c r="U497" i="44" s="1"/>
  <c r="F532" i="44"/>
  <c r="U532" i="44" s="1"/>
  <c r="F521" i="44"/>
  <c r="U521" i="44" s="1"/>
  <c r="F513" i="44"/>
  <c r="U513" i="44" s="1"/>
  <c r="F498" i="44"/>
  <c r="U498" i="44" s="1"/>
  <c r="F541" i="44"/>
  <c r="U541" i="44" s="1"/>
  <c r="F506" i="44"/>
  <c r="U506" i="44" s="1"/>
  <c r="F520" i="44"/>
  <c r="U520" i="44" s="1"/>
  <c r="F514" i="44"/>
  <c r="U514" i="44" s="1"/>
  <c r="F535" i="44"/>
  <c r="U535" i="44" s="1"/>
  <c r="F529" i="44"/>
  <c r="U529" i="44" s="1"/>
  <c r="F545" i="44"/>
  <c r="U545" i="44" s="1"/>
  <c r="F524" i="44"/>
  <c r="U524" i="44" s="1"/>
  <c r="C7" i="54"/>
  <c r="K342" i="44"/>
  <c r="Z342" i="44" s="1"/>
  <c r="K349" i="44"/>
  <c r="Z349" i="44" s="1"/>
  <c r="K380" i="44"/>
  <c r="Z380" i="44" s="1"/>
  <c r="K356" i="44"/>
  <c r="Z356" i="44" s="1"/>
  <c r="K362" i="44"/>
  <c r="Z362" i="44" s="1"/>
  <c r="K364" i="44"/>
  <c r="Z364" i="44" s="1"/>
  <c r="K353" i="44"/>
  <c r="Z353" i="44" s="1"/>
  <c r="K360" i="44"/>
  <c r="Z360" i="44" s="1"/>
  <c r="K381" i="44"/>
  <c r="Z381" i="44" s="1"/>
  <c r="K366" i="44"/>
  <c r="Z366" i="44" s="1"/>
  <c r="K343" i="44"/>
  <c r="Z343" i="44" s="1"/>
  <c r="K347" i="44"/>
  <c r="Z347" i="44" s="1"/>
  <c r="K365" i="44"/>
  <c r="Z365" i="44" s="1"/>
  <c r="K361" i="44"/>
  <c r="Z361" i="44" s="1"/>
  <c r="K368" i="44"/>
  <c r="Z368" i="44" s="1"/>
  <c r="K391" i="44"/>
  <c r="Z391" i="44" s="1"/>
  <c r="K382" i="44"/>
  <c r="Z382" i="44" s="1"/>
  <c r="K357" i="44"/>
  <c r="Z357" i="44" s="1"/>
  <c r="K363" i="44"/>
  <c r="Z363" i="44" s="1"/>
  <c r="K379" i="44"/>
  <c r="Z379" i="44" s="1"/>
  <c r="K369" i="44"/>
  <c r="Z369" i="44" s="1"/>
  <c r="K376" i="44"/>
  <c r="Z376" i="44" s="1"/>
  <c r="K348" i="44"/>
  <c r="Z348" i="44" s="1"/>
  <c r="K355" i="44"/>
  <c r="Z355" i="44" s="1"/>
  <c r="K373" i="44"/>
  <c r="Z373" i="44" s="1"/>
  <c r="K375" i="44"/>
  <c r="Z375" i="44" s="1"/>
  <c r="K377" i="44"/>
  <c r="Z377" i="44" s="1"/>
  <c r="K384" i="44"/>
  <c r="Z384" i="44" s="1"/>
  <c r="K358" i="44"/>
  <c r="Z358" i="44" s="1"/>
  <c r="K367" i="44"/>
  <c r="Z367" i="44" s="1"/>
  <c r="K387" i="44"/>
  <c r="Z387" i="44" s="1"/>
  <c r="K389" i="44"/>
  <c r="Z389" i="44" s="1"/>
  <c r="K370" i="44"/>
  <c r="Z370" i="44" s="1"/>
  <c r="K388" i="44"/>
  <c r="Z388" i="44" s="1"/>
  <c r="K345" i="44"/>
  <c r="Z345" i="44" s="1"/>
  <c r="K390" i="44"/>
  <c r="Z390" i="44" s="1"/>
  <c r="K350" i="44"/>
  <c r="Z350" i="44" s="1"/>
  <c r="K385" i="44"/>
  <c r="Z385" i="44" s="1"/>
  <c r="K354" i="44"/>
  <c r="Z354" i="44" s="1"/>
  <c r="K378" i="44"/>
  <c r="Z378" i="44" s="1"/>
  <c r="K344" i="44"/>
  <c r="Z344" i="44" s="1"/>
  <c r="K383" i="44"/>
  <c r="Z383" i="44" s="1"/>
  <c r="K351" i="44"/>
  <c r="Z351" i="44" s="1"/>
  <c r="K352" i="44"/>
  <c r="Z352" i="44" s="1"/>
  <c r="K372" i="44"/>
  <c r="Z372" i="44" s="1"/>
  <c r="K392" i="44"/>
  <c r="Z392" i="44" s="1"/>
  <c r="K386" i="44"/>
  <c r="Z386" i="44" s="1"/>
  <c r="K359" i="44"/>
  <c r="Z359" i="44" s="1"/>
  <c r="K346" i="44"/>
  <c r="Z346" i="44" s="1"/>
  <c r="K371" i="44"/>
  <c r="Z371" i="44" s="1"/>
  <c r="K374" i="44"/>
  <c r="Z374" i="44" s="1"/>
  <c r="I11" i="56"/>
  <c r="I65" i="52" s="1"/>
  <c r="U28" i="44"/>
  <c r="C708" i="44"/>
  <c r="C723" i="44"/>
  <c r="C746" i="44"/>
  <c r="C738" i="44"/>
  <c r="C709" i="44"/>
  <c r="C720" i="44"/>
  <c r="C734" i="44"/>
  <c r="C724" i="44"/>
  <c r="C739" i="44"/>
  <c r="C713" i="44"/>
  <c r="C732" i="44"/>
  <c r="C747" i="44"/>
  <c r="C725" i="44"/>
  <c r="C729" i="44"/>
  <c r="C751" i="44"/>
  <c r="C702" i="44"/>
  <c r="C731" i="44"/>
  <c r="C710" i="44"/>
  <c r="C721" i="44"/>
  <c r="C728" i="44"/>
  <c r="C704" i="44"/>
  <c r="C722" i="44"/>
  <c r="C737" i="44"/>
  <c r="C705" i="44"/>
  <c r="C714" i="44"/>
  <c r="C752" i="44"/>
  <c r="C712" i="44"/>
  <c r="C733" i="44"/>
  <c r="C716" i="44"/>
  <c r="C726" i="44"/>
  <c r="C717" i="44"/>
  <c r="C742" i="44"/>
  <c r="C706" i="44"/>
  <c r="C740" i="44"/>
  <c r="C736" i="44"/>
  <c r="C743" i="44"/>
  <c r="C719" i="44"/>
  <c r="C711" i="44"/>
  <c r="C748" i="44"/>
  <c r="C703" i="44"/>
  <c r="C718" i="44"/>
  <c r="C749" i="44"/>
  <c r="C741" i="44"/>
  <c r="C707" i="44"/>
  <c r="C735" i="44"/>
  <c r="C730" i="44"/>
  <c r="C750" i="44"/>
  <c r="C715" i="44"/>
  <c r="C745" i="44"/>
  <c r="C744" i="44"/>
  <c r="C727" i="44"/>
  <c r="J233" i="44"/>
  <c r="Y233" i="44" s="1"/>
  <c r="J206" i="44"/>
  <c r="Y206" i="44" s="1"/>
  <c r="J188" i="44"/>
  <c r="Y188" i="44" s="1"/>
  <c r="J194" i="44"/>
  <c r="Y194" i="44" s="1"/>
  <c r="J228" i="44"/>
  <c r="Y228" i="44" s="1"/>
  <c r="B9" i="51"/>
  <c r="B10" i="52" s="1"/>
  <c r="J223" i="44"/>
  <c r="Y223" i="44" s="1"/>
  <c r="J198" i="44"/>
  <c r="Y198" i="44" s="1"/>
  <c r="J225" i="44"/>
  <c r="Y225" i="44" s="1"/>
  <c r="J217" i="44"/>
  <c r="Y217" i="44" s="1"/>
  <c r="J189" i="44"/>
  <c r="Y189" i="44" s="1"/>
  <c r="J215" i="44"/>
  <c r="Y215" i="44" s="1"/>
  <c r="J230" i="44"/>
  <c r="Y230" i="44" s="1"/>
  <c r="J187" i="44"/>
  <c r="Y187" i="44" s="1"/>
  <c r="J205" i="44"/>
  <c r="Y205" i="44" s="1"/>
  <c r="J211" i="44"/>
  <c r="Y211" i="44" s="1"/>
  <c r="J186" i="44"/>
  <c r="Y186" i="44" s="1"/>
  <c r="J195" i="44"/>
  <c r="Y195" i="44" s="1"/>
  <c r="J212" i="44"/>
  <c r="Y212" i="44" s="1"/>
  <c r="J192" i="44"/>
  <c r="Y192" i="44" s="1"/>
  <c r="J207" i="44"/>
  <c r="Y207" i="44" s="1"/>
  <c r="J232" i="44"/>
  <c r="Y232" i="44" s="1"/>
  <c r="J226" i="44"/>
  <c r="Y226" i="44" s="1"/>
  <c r="J222" i="44"/>
  <c r="Y222" i="44" s="1"/>
  <c r="J203" i="44"/>
  <c r="Y203" i="44" s="1"/>
  <c r="J190" i="44"/>
  <c r="Y190" i="44" s="1"/>
  <c r="J218" i="44"/>
  <c r="Y218" i="44" s="1"/>
  <c r="J213" i="44"/>
  <c r="Y213" i="44" s="1"/>
  <c r="J214" i="44"/>
  <c r="Y214" i="44" s="1"/>
  <c r="J197" i="44"/>
  <c r="Y197" i="44" s="1"/>
  <c r="J208" i="44"/>
  <c r="Y208" i="44" s="1"/>
  <c r="J191" i="44"/>
  <c r="Y191" i="44" s="1"/>
  <c r="J221" i="44"/>
  <c r="Y221" i="44" s="1"/>
  <c r="J229" i="44"/>
  <c r="Y229" i="44" s="1"/>
  <c r="J235" i="44"/>
  <c r="Y235" i="44" s="1"/>
  <c r="J199" i="44"/>
  <c r="Y199" i="44" s="1"/>
  <c r="J201" i="44"/>
  <c r="Y201" i="44" s="1"/>
  <c r="J210" i="44"/>
  <c r="Y210" i="44" s="1"/>
  <c r="J209" i="44"/>
  <c r="Y209" i="44" s="1"/>
  <c r="J220" i="44"/>
  <c r="Y220" i="44" s="1"/>
  <c r="J204" i="44"/>
  <c r="Y204" i="44" s="1"/>
  <c r="J224" i="44"/>
  <c r="Y224" i="44" s="1"/>
  <c r="J236" i="44"/>
  <c r="Y236" i="44" s="1"/>
  <c r="J219" i="44"/>
  <c r="Y219" i="44" s="1"/>
  <c r="J193" i="44"/>
  <c r="Y193" i="44" s="1"/>
  <c r="J200" i="44"/>
  <c r="Y200" i="44" s="1"/>
  <c r="J202" i="44"/>
  <c r="Y202" i="44" s="1"/>
  <c r="J227" i="44"/>
  <c r="Y227" i="44" s="1"/>
  <c r="J231" i="44"/>
  <c r="Y231" i="44" s="1"/>
  <c r="J234" i="44"/>
  <c r="Y234" i="44" s="1"/>
  <c r="J196" i="44"/>
  <c r="Y196" i="44" s="1"/>
  <c r="J216" i="44"/>
  <c r="Y216" i="44" s="1"/>
  <c r="J6" i="54"/>
  <c r="I9" i="54"/>
  <c r="U18" i="44"/>
  <c r="K33" i="52" s="1"/>
  <c r="C458" i="44"/>
  <c r="C473" i="44"/>
  <c r="C446" i="44"/>
  <c r="C487" i="44"/>
  <c r="C484" i="44"/>
  <c r="C471" i="44"/>
  <c r="C462" i="44"/>
  <c r="C482" i="44"/>
  <c r="C447" i="44"/>
  <c r="C478" i="44"/>
  <c r="C486" i="44"/>
  <c r="C485" i="44"/>
  <c r="C476" i="44"/>
  <c r="C490" i="44"/>
  <c r="C459" i="44"/>
  <c r="C488" i="44"/>
  <c r="C463" i="44"/>
  <c r="C452" i="44"/>
  <c r="C494" i="44"/>
  <c r="C449" i="44"/>
  <c r="C469" i="44"/>
  <c r="C445" i="44"/>
  <c r="C483" i="44"/>
  <c r="C470" i="44"/>
  <c r="C455" i="44"/>
  <c r="C457" i="44"/>
  <c r="C479" i="44"/>
  <c r="C461" i="44"/>
  <c r="C448" i="44"/>
  <c r="C492" i="44"/>
  <c r="C477" i="44"/>
  <c r="C450" i="44"/>
  <c r="C468" i="44"/>
  <c r="C493" i="44"/>
  <c r="C466" i="44"/>
  <c r="C475" i="44"/>
  <c r="C454" i="44"/>
  <c r="C474" i="44"/>
  <c r="C460" i="44"/>
  <c r="C444" i="44"/>
  <c r="C465" i="44"/>
  <c r="C472" i="44"/>
  <c r="C480" i="44"/>
  <c r="C491" i="44"/>
  <c r="C467" i="44"/>
  <c r="C481" i="44"/>
  <c r="C489" i="44"/>
  <c r="C456" i="44"/>
  <c r="C464" i="44"/>
  <c r="C451" i="44"/>
  <c r="C453" i="44"/>
  <c r="D12" i="56"/>
  <c r="D66" i="52" s="1"/>
  <c r="H769" i="44"/>
  <c r="W769" i="44" s="1"/>
  <c r="H766" i="44"/>
  <c r="W766" i="44" s="1"/>
  <c r="H788" i="44"/>
  <c r="W788" i="44" s="1"/>
  <c r="H756" i="44"/>
  <c r="W756" i="44" s="1"/>
  <c r="H795" i="44"/>
  <c r="W795" i="44" s="1"/>
  <c r="H784" i="44"/>
  <c r="W784" i="44" s="1"/>
  <c r="H778" i="44"/>
  <c r="W778" i="44" s="1"/>
  <c r="H770" i="44"/>
  <c r="W770" i="44" s="1"/>
  <c r="H793" i="44"/>
  <c r="W793" i="44" s="1"/>
  <c r="H764" i="44"/>
  <c r="W764" i="44" s="1"/>
  <c r="H802" i="44"/>
  <c r="W802" i="44" s="1"/>
  <c r="H797" i="44"/>
  <c r="W797" i="44" s="1"/>
  <c r="H786" i="44"/>
  <c r="W786" i="44" s="1"/>
  <c r="H762" i="44"/>
  <c r="W762" i="44" s="1"/>
  <c r="H757" i="44"/>
  <c r="W757" i="44" s="1"/>
  <c r="H799" i="44"/>
  <c r="W799" i="44" s="1"/>
  <c r="H781" i="44"/>
  <c r="W781" i="44" s="1"/>
  <c r="H790" i="44"/>
  <c r="W790" i="44" s="1"/>
  <c r="H755" i="44"/>
  <c r="W755" i="44" s="1"/>
  <c r="H772" i="44"/>
  <c r="W772" i="44" s="1"/>
  <c r="H776" i="44"/>
  <c r="W776" i="44" s="1"/>
  <c r="H760" i="44"/>
  <c r="W760" i="44" s="1"/>
  <c r="H773" i="44"/>
  <c r="W773" i="44" s="1"/>
  <c r="H763" i="44"/>
  <c r="W763" i="44" s="1"/>
  <c r="H780" i="44"/>
  <c r="W780" i="44" s="1"/>
  <c r="H789" i="44"/>
  <c r="W789" i="44" s="1"/>
  <c r="H782" i="44"/>
  <c r="W782" i="44" s="1"/>
  <c r="H792" i="44"/>
  <c r="W792" i="44" s="1"/>
  <c r="H777" i="44"/>
  <c r="W777" i="44" s="1"/>
  <c r="H775" i="44"/>
  <c r="W775" i="44" s="1"/>
  <c r="H800" i="44"/>
  <c r="W800" i="44" s="1"/>
  <c r="H803" i="44"/>
  <c r="W803" i="44" s="1"/>
  <c r="H785" i="44"/>
  <c r="W785" i="44" s="1"/>
  <c r="H779" i="44"/>
  <c r="W779" i="44" s="1"/>
  <c r="H801" i="44"/>
  <c r="W801" i="44" s="1"/>
  <c r="H759" i="44"/>
  <c r="W759" i="44" s="1"/>
  <c r="H796" i="44"/>
  <c r="W796" i="44" s="1"/>
  <c r="H798" i="44"/>
  <c r="W798" i="44" s="1"/>
  <c r="H787" i="44"/>
  <c r="W787" i="44" s="1"/>
  <c r="H753" i="44"/>
  <c r="W753" i="44" s="1"/>
  <c r="H765" i="44"/>
  <c r="W765" i="44" s="1"/>
  <c r="H761" i="44"/>
  <c r="W761" i="44" s="1"/>
  <c r="H783" i="44"/>
  <c r="W783" i="44" s="1"/>
  <c r="H767" i="44"/>
  <c r="W767" i="44" s="1"/>
  <c r="H754" i="44"/>
  <c r="W754" i="44" s="1"/>
  <c r="H791" i="44"/>
  <c r="W791" i="44" s="1"/>
  <c r="H768" i="44"/>
  <c r="W768" i="44" s="1"/>
  <c r="H774" i="44"/>
  <c r="W774" i="44" s="1"/>
  <c r="H794" i="44"/>
  <c r="W794" i="44" s="1"/>
  <c r="H758" i="44"/>
  <c r="W758" i="44" s="1"/>
  <c r="H771" i="44"/>
  <c r="W771" i="44" s="1"/>
  <c r="E12" i="56"/>
  <c r="E66" i="52" s="1"/>
  <c r="F769" i="44"/>
  <c r="U769" i="44" s="1"/>
  <c r="F783" i="44"/>
  <c r="U783" i="44" s="1"/>
  <c r="F793" i="44"/>
  <c r="U793" i="44" s="1"/>
  <c r="F791" i="44"/>
  <c r="U791" i="44" s="1"/>
  <c r="F770" i="44"/>
  <c r="U770" i="44" s="1"/>
  <c r="F762" i="44"/>
  <c r="U762" i="44" s="1"/>
  <c r="F778" i="44"/>
  <c r="U778" i="44" s="1"/>
  <c r="F796" i="44"/>
  <c r="U796" i="44" s="1"/>
  <c r="F798" i="44"/>
  <c r="U798" i="44" s="1"/>
  <c r="F785" i="44"/>
  <c r="U785" i="44" s="1"/>
  <c r="F771" i="44"/>
  <c r="U771" i="44" s="1"/>
  <c r="F802" i="44"/>
  <c r="U802" i="44" s="1"/>
  <c r="F753" i="44"/>
  <c r="U753" i="44" s="1"/>
  <c r="F779" i="44"/>
  <c r="U779" i="44" s="1"/>
  <c r="F784" i="44"/>
  <c r="U784" i="44" s="1"/>
  <c r="F801" i="44"/>
  <c r="U801" i="44" s="1"/>
  <c r="F781" i="44"/>
  <c r="U781" i="44" s="1"/>
  <c r="F757" i="44"/>
  <c r="U757" i="44" s="1"/>
  <c r="F763" i="44"/>
  <c r="U763" i="44" s="1"/>
  <c r="F795" i="44"/>
  <c r="U795" i="44" s="1"/>
  <c r="F797" i="44"/>
  <c r="U797" i="44" s="1"/>
  <c r="F759" i="44"/>
  <c r="U759" i="44" s="1"/>
  <c r="F792" i="44"/>
  <c r="U792" i="44" s="1"/>
  <c r="F773" i="44"/>
  <c r="U773" i="44" s="1"/>
  <c r="F776" i="44"/>
  <c r="U776" i="44" s="1"/>
  <c r="F754" i="44"/>
  <c r="U754" i="44" s="1"/>
  <c r="F756" i="44"/>
  <c r="U756" i="44" s="1"/>
  <c r="F767" i="44"/>
  <c r="U767" i="44" s="1"/>
  <c r="F803" i="44"/>
  <c r="U803" i="44" s="1"/>
  <c r="F787" i="44"/>
  <c r="U787" i="44" s="1"/>
  <c r="F789" i="44"/>
  <c r="U789" i="44" s="1"/>
  <c r="F766" i="44"/>
  <c r="U766" i="44" s="1"/>
  <c r="F772" i="44"/>
  <c r="U772" i="44" s="1"/>
  <c r="F761" i="44"/>
  <c r="U761" i="44" s="1"/>
  <c r="F800" i="44"/>
  <c r="U800" i="44" s="1"/>
  <c r="F768" i="44"/>
  <c r="U768" i="44" s="1"/>
  <c r="F777" i="44"/>
  <c r="U777" i="44" s="1"/>
  <c r="F774" i="44"/>
  <c r="U774" i="44" s="1"/>
  <c r="F786" i="44"/>
  <c r="U786" i="44" s="1"/>
  <c r="F775" i="44"/>
  <c r="U775" i="44" s="1"/>
  <c r="F788" i="44"/>
  <c r="U788" i="44" s="1"/>
  <c r="F799" i="44"/>
  <c r="U799" i="44" s="1"/>
  <c r="F764" i="44"/>
  <c r="U764" i="44" s="1"/>
  <c r="F780" i="44"/>
  <c r="U780" i="44" s="1"/>
  <c r="F782" i="44"/>
  <c r="U782" i="44" s="1"/>
  <c r="F755" i="44"/>
  <c r="U755" i="44" s="1"/>
  <c r="F760" i="44"/>
  <c r="U760" i="44" s="1"/>
  <c r="F758" i="44"/>
  <c r="U758" i="44" s="1"/>
  <c r="F790" i="44"/>
  <c r="U790" i="44" s="1"/>
  <c r="F794" i="44"/>
  <c r="U794" i="44" s="1"/>
  <c r="F765" i="44"/>
  <c r="U765" i="44" s="1"/>
  <c r="B6" i="51"/>
  <c r="B7" i="52" s="1"/>
  <c r="J49" i="44"/>
  <c r="Y49" i="44" s="1"/>
  <c r="J65" i="44"/>
  <c r="Y65" i="44" s="1"/>
  <c r="J64" i="44"/>
  <c r="Y64" i="44" s="1"/>
  <c r="J51" i="44"/>
  <c r="Y51" i="44" s="1"/>
  <c r="J40" i="44"/>
  <c r="Y40" i="44" s="1"/>
  <c r="J56" i="44"/>
  <c r="Y56" i="44" s="1"/>
  <c r="J74" i="44"/>
  <c r="Y74" i="44" s="1"/>
  <c r="J83" i="44"/>
  <c r="Y83" i="44" s="1"/>
  <c r="J43" i="44"/>
  <c r="Y43" i="44" s="1"/>
  <c r="J45" i="44"/>
  <c r="Y45" i="44" s="1"/>
  <c r="J61" i="44"/>
  <c r="Y61" i="44" s="1"/>
  <c r="J35" i="44"/>
  <c r="Y35" i="44" s="1"/>
  <c r="J79" i="44"/>
  <c r="Y79" i="44" s="1"/>
  <c r="J39" i="44"/>
  <c r="Y39" i="44" s="1"/>
  <c r="J80" i="44"/>
  <c r="Y80" i="44" s="1"/>
  <c r="J62" i="44"/>
  <c r="Y62" i="44" s="1"/>
  <c r="J78" i="44"/>
  <c r="Y78" i="44" s="1"/>
  <c r="J50" i="44"/>
  <c r="Y50" i="44" s="1"/>
  <c r="J37" i="44"/>
  <c r="Y37" i="44" s="1"/>
  <c r="J67" i="44"/>
  <c r="Y67" i="44" s="1"/>
  <c r="J81" i="44"/>
  <c r="Y81" i="44" s="1"/>
  <c r="J46" i="44"/>
  <c r="Y46" i="44" s="1"/>
  <c r="J57" i="44"/>
  <c r="Y57" i="44" s="1"/>
  <c r="J73" i="44"/>
  <c r="Y73" i="44" s="1"/>
  <c r="J38" i="44"/>
  <c r="Y38" i="44" s="1"/>
  <c r="J54" i="44"/>
  <c r="Y54" i="44" s="1"/>
  <c r="J44" i="44"/>
  <c r="Y44" i="44" s="1"/>
  <c r="J68" i="44"/>
  <c r="Y68" i="44" s="1"/>
  <c r="J63" i="44"/>
  <c r="Y63" i="44" s="1"/>
  <c r="J66" i="44"/>
  <c r="Y66" i="44" s="1"/>
  <c r="J36" i="44"/>
  <c r="Y36" i="44" s="1"/>
  <c r="J72" i="44"/>
  <c r="Y72" i="44" s="1"/>
  <c r="J59" i="44"/>
  <c r="Y59" i="44" s="1"/>
  <c r="J41" i="44"/>
  <c r="Y41" i="44" s="1"/>
  <c r="J47" i="44"/>
  <c r="Y47" i="44" s="1"/>
  <c r="J34" i="44"/>
  <c r="Y34" i="44" s="1"/>
  <c r="J33" i="44"/>
  <c r="Y33" i="44" s="1"/>
  <c r="J58" i="44"/>
  <c r="Y58" i="44" s="1"/>
  <c r="J70" i="44"/>
  <c r="Y70" i="44" s="1"/>
  <c r="J42" i="44"/>
  <c r="Y42" i="44" s="1"/>
  <c r="J60" i="44"/>
  <c r="Y60" i="44" s="1"/>
  <c r="J53" i="44"/>
  <c r="Y53" i="44" s="1"/>
  <c r="J82" i="44"/>
  <c r="Y82" i="44" s="1"/>
  <c r="J69" i="44"/>
  <c r="Y69" i="44" s="1"/>
  <c r="J77" i="44"/>
  <c r="Y77" i="44" s="1"/>
  <c r="J55" i="44"/>
  <c r="Y55" i="44" s="1"/>
  <c r="J75" i="44"/>
  <c r="Y75" i="44" s="1"/>
  <c r="J48" i="44"/>
  <c r="Y48" i="44" s="1"/>
  <c r="J76" i="44"/>
  <c r="Y76" i="44" s="1"/>
  <c r="J52" i="44"/>
  <c r="Y52" i="44" s="1"/>
  <c r="J71" i="44"/>
  <c r="Y71" i="44" s="1"/>
  <c r="G8" i="54"/>
  <c r="I407" i="44"/>
  <c r="X407" i="44" s="1"/>
  <c r="I422" i="44"/>
  <c r="X422" i="44" s="1"/>
  <c r="I394" i="44"/>
  <c r="X394" i="44" s="1"/>
  <c r="I393" i="44"/>
  <c r="X393" i="44" s="1"/>
  <c r="I401" i="44"/>
  <c r="X401" i="44" s="1"/>
  <c r="I410" i="44"/>
  <c r="X410" i="44" s="1"/>
  <c r="I400" i="44"/>
  <c r="X400" i="44" s="1"/>
  <c r="I423" i="44"/>
  <c r="X423" i="44" s="1"/>
  <c r="I438" i="44"/>
  <c r="X438" i="44" s="1"/>
  <c r="I416" i="44"/>
  <c r="X416" i="44" s="1"/>
  <c r="I419" i="44"/>
  <c r="X419" i="44" s="1"/>
  <c r="I429" i="44"/>
  <c r="X429" i="44" s="1"/>
  <c r="I412" i="44"/>
  <c r="X412" i="44" s="1"/>
  <c r="I431" i="44"/>
  <c r="X431" i="44" s="1"/>
  <c r="I395" i="44"/>
  <c r="X395" i="44" s="1"/>
  <c r="I426" i="44"/>
  <c r="X426" i="44" s="1"/>
  <c r="I433" i="44"/>
  <c r="X433" i="44" s="1"/>
  <c r="I443" i="44"/>
  <c r="X443" i="44" s="1"/>
  <c r="I442" i="44"/>
  <c r="X442" i="44" s="1"/>
  <c r="I405" i="44"/>
  <c r="X405" i="44" s="1"/>
  <c r="I432" i="44"/>
  <c r="X432" i="44" s="1"/>
  <c r="I434" i="44"/>
  <c r="X434" i="44" s="1"/>
  <c r="I428" i="44"/>
  <c r="X428" i="44" s="1"/>
  <c r="I415" i="44"/>
  <c r="X415" i="44" s="1"/>
  <c r="I427" i="44"/>
  <c r="X427" i="44" s="1"/>
  <c r="I397" i="44"/>
  <c r="X397" i="44" s="1"/>
  <c r="I435" i="44"/>
  <c r="X435" i="44" s="1"/>
  <c r="I439" i="44"/>
  <c r="X439" i="44" s="1"/>
  <c r="I437" i="44"/>
  <c r="X437" i="44" s="1"/>
  <c r="I411" i="44"/>
  <c r="X411" i="44" s="1"/>
  <c r="I440" i="44"/>
  <c r="X440" i="44" s="1"/>
  <c r="I430" i="44"/>
  <c r="X430" i="44" s="1"/>
  <c r="I441" i="44"/>
  <c r="X441" i="44" s="1"/>
  <c r="I404" i="44"/>
  <c r="X404" i="44" s="1"/>
  <c r="I408" i="44"/>
  <c r="X408" i="44" s="1"/>
  <c r="I436" i="44"/>
  <c r="X436" i="44" s="1"/>
  <c r="I409" i="44"/>
  <c r="X409" i="44" s="1"/>
  <c r="I399" i="44"/>
  <c r="X399" i="44" s="1"/>
  <c r="I402" i="44"/>
  <c r="X402" i="44" s="1"/>
  <c r="I420" i="44"/>
  <c r="X420" i="44" s="1"/>
  <c r="I398" i="44"/>
  <c r="X398" i="44" s="1"/>
  <c r="I418" i="44"/>
  <c r="X418" i="44" s="1"/>
  <c r="I421" i="44"/>
  <c r="X421" i="44" s="1"/>
  <c r="I406" i="44"/>
  <c r="X406" i="44" s="1"/>
  <c r="I403" i="44"/>
  <c r="X403" i="44" s="1"/>
  <c r="I396" i="44"/>
  <c r="X396" i="44" s="1"/>
  <c r="I417" i="44"/>
  <c r="X417" i="44" s="1"/>
  <c r="I425" i="44"/>
  <c r="X425" i="44" s="1"/>
  <c r="I413" i="44"/>
  <c r="X413" i="44" s="1"/>
  <c r="I424" i="44"/>
  <c r="X424" i="44" s="1"/>
  <c r="I414" i="44"/>
  <c r="X414" i="44" s="1"/>
  <c r="E9" i="56"/>
  <c r="E63" i="52" s="1"/>
  <c r="F650" i="44"/>
  <c r="U650" i="44" s="1"/>
  <c r="F612" i="44"/>
  <c r="U612" i="44" s="1"/>
  <c r="F645" i="44"/>
  <c r="U645" i="44" s="1"/>
  <c r="F610" i="44"/>
  <c r="U610" i="44" s="1"/>
  <c r="F617" i="44"/>
  <c r="U617" i="44" s="1"/>
  <c r="F644" i="44"/>
  <c r="U644" i="44" s="1"/>
  <c r="F624" i="44"/>
  <c r="U624" i="44" s="1"/>
  <c r="F606" i="44"/>
  <c r="U606" i="44" s="1"/>
  <c r="F639" i="44"/>
  <c r="U639" i="44" s="1"/>
  <c r="F631" i="44"/>
  <c r="U631" i="44" s="1"/>
  <c r="F618" i="44"/>
  <c r="U618" i="44" s="1"/>
  <c r="F625" i="44"/>
  <c r="U625" i="44" s="1"/>
  <c r="F603" i="44"/>
  <c r="U603" i="44" s="1"/>
  <c r="F626" i="44"/>
  <c r="U626" i="44" s="1"/>
  <c r="F633" i="44"/>
  <c r="U633" i="44" s="1"/>
  <c r="F613" i="44"/>
  <c r="U613" i="44" s="1"/>
  <c r="F646" i="44"/>
  <c r="U646" i="44" s="1"/>
  <c r="F628" i="44"/>
  <c r="U628" i="44" s="1"/>
  <c r="F608" i="44"/>
  <c r="U608" i="44" s="1"/>
  <c r="F634" i="44"/>
  <c r="U634" i="44" s="1"/>
  <c r="F641" i="44"/>
  <c r="U641" i="44" s="1"/>
  <c r="F623" i="44"/>
  <c r="U623" i="44" s="1"/>
  <c r="F605" i="44"/>
  <c r="U605" i="44" s="1"/>
  <c r="F638" i="44"/>
  <c r="U638" i="44" s="1"/>
  <c r="F620" i="44"/>
  <c r="U620" i="44" s="1"/>
  <c r="F635" i="44"/>
  <c r="U635" i="44" s="1"/>
  <c r="F616" i="44"/>
  <c r="U616" i="44" s="1"/>
  <c r="F611" i="44"/>
  <c r="U611" i="44" s="1"/>
  <c r="F602" i="44"/>
  <c r="U602" i="44" s="1"/>
  <c r="F604" i="44"/>
  <c r="U604" i="44" s="1"/>
  <c r="F648" i="44"/>
  <c r="U648" i="44" s="1"/>
  <c r="F621" i="44"/>
  <c r="U621" i="44" s="1"/>
  <c r="F642" i="44"/>
  <c r="U642" i="44" s="1"/>
  <c r="F614" i="44"/>
  <c r="U614" i="44" s="1"/>
  <c r="F607" i="44"/>
  <c r="U607" i="44" s="1"/>
  <c r="F643" i="44"/>
  <c r="U643" i="44" s="1"/>
  <c r="F601" i="44"/>
  <c r="U601" i="44" s="1"/>
  <c r="F636" i="44"/>
  <c r="U636" i="44" s="1"/>
  <c r="F619" i="44"/>
  <c r="U619" i="44" s="1"/>
  <c r="F609" i="44"/>
  <c r="U609" i="44" s="1"/>
  <c r="F615" i="44"/>
  <c r="U615" i="44" s="1"/>
  <c r="F629" i="44"/>
  <c r="U629" i="44" s="1"/>
  <c r="F649" i="44"/>
  <c r="U649" i="44" s="1"/>
  <c r="F627" i="44"/>
  <c r="U627" i="44" s="1"/>
  <c r="F600" i="44"/>
  <c r="U600" i="44" s="1"/>
  <c r="F622" i="44"/>
  <c r="U622" i="44" s="1"/>
  <c r="F637" i="44"/>
  <c r="U637" i="44" s="1"/>
  <c r="F630" i="44"/>
  <c r="U630" i="44" s="1"/>
  <c r="F632" i="44"/>
  <c r="U632" i="44" s="1"/>
  <c r="F647" i="44"/>
  <c r="U647" i="44" s="1"/>
  <c r="F640" i="44"/>
  <c r="U640" i="44" s="1"/>
  <c r="K245" i="44"/>
  <c r="Z245" i="44" s="1"/>
  <c r="K266" i="44"/>
  <c r="Z266" i="44" s="1"/>
  <c r="C10" i="51"/>
  <c r="C11" i="52" s="1"/>
  <c r="K255" i="44"/>
  <c r="Z255" i="44" s="1"/>
  <c r="K238" i="44"/>
  <c r="Z238" i="44" s="1"/>
  <c r="K268" i="44"/>
  <c r="Z268" i="44" s="1"/>
  <c r="K265" i="44"/>
  <c r="Z265" i="44" s="1"/>
  <c r="K269" i="44"/>
  <c r="Z269" i="44" s="1"/>
  <c r="K271" i="44"/>
  <c r="Z271" i="44" s="1"/>
  <c r="K275" i="44"/>
  <c r="Z275" i="44" s="1"/>
  <c r="K254" i="44"/>
  <c r="Z254" i="44" s="1"/>
  <c r="K267" i="44"/>
  <c r="Z267" i="44" s="1"/>
  <c r="K242" i="44"/>
  <c r="Z242" i="44" s="1"/>
  <c r="K277" i="44"/>
  <c r="Z277" i="44" s="1"/>
  <c r="K279" i="44"/>
  <c r="Z279" i="44" s="1"/>
  <c r="K283" i="44"/>
  <c r="Z283" i="44" s="1"/>
  <c r="K256" i="44"/>
  <c r="Z256" i="44" s="1"/>
  <c r="K243" i="44"/>
  <c r="Z243" i="44" s="1"/>
  <c r="K241" i="44"/>
  <c r="Z241" i="44" s="1"/>
  <c r="K258" i="44"/>
  <c r="Z258" i="44" s="1"/>
  <c r="K246" i="44"/>
  <c r="Z246" i="44" s="1"/>
  <c r="K249" i="44"/>
  <c r="Z249" i="44" s="1"/>
  <c r="K240" i="44"/>
  <c r="Z240" i="44" s="1"/>
  <c r="K244" i="44"/>
  <c r="Z244" i="44" s="1"/>
  <c r="K262" i="44"/>
  <c r="Z262" i="44" s="1"/>
  <c r="K263" i="44"/>
  <c r="Z263" i="44" s="1"/>
  <c r="K284" i="44"/>
  <c r="Z284" i="44" s="1"/>
  <c r="K247" i="44"/>
  <c r="Z247" i="44" s="1"/>
  <c r="K280" i="44"/>
  <c r="Z280" i="44" s="1"/>
  <c r="K250" i="44"/>
  <c r="Z250" i="44" s="1"/>
  <c r="K276" i="44"/>
  <c r="Z276" i="44" s="1"/>
  <c r="K239" i="44"/>
  <c r="Z239" i="44" s="1"/>
  <c r="K248" i="44"/>
  <c r="Z248" i="44" s="1"/>
  <c r="K259" i="44"/>
  <c r="Z259" i="44" s="1"/>
  <c r="K285" i="44"/>
  <c r="Z285" i="44" s="1"/>
  <c r="K286" i="44"/>
  <c r="Z286" i="44" s="1"/>
  <c r="K264" i="44"/>
  <c r="Z264" i="44" s="1"/>
  <c r="K251" i="44"/>
  <c r="Z251" i="44" s="1"/>
  <c r="K252" i="44"/>
  <c r="Z252" i="44" s="1"/>
  <c r="K272" i="44"/>
  <c r="Z272" i="44" s="1"/>
  <c r="K282" i="44"/>
  <c r="Z282" i="44" s="1"/>
  <c r="K273" i="44"/>
  <c r="Z273" i="44" s="1"/>
  <c r="K281" i="44"/>
  <c r="Z281" i="44" s="1"/>
  <c r="K260" i="44"/>
  <c r="Z260" i="44" s="1"/>
  <c r="K237" i="44"/>
  <c r="Z237" i="44" s="1"/>
  <c r="K257" i="44"/>
  <c r="Z257" i="44" s="1"/>
  <c r="K253" i="44"/>
  <c r="Z253" i="44" s="1"/>
  <c r="K270" i="44"/>
  <c r="Z270" i="44" s="1"/>
  <c r="K287" i="44"/>
  <c r="Z287" i="44" s="1"/>
  <c r="K261" i="44"/>
  <c r="Z261" i="44" s="1"/>
  <c r="K278" i="44"/>
  <c r="Z278" i="44" s="1"/>
  <c r="K274" i="44"/>
  <c r="Z274" i="44" s="1"/>
  <c r="G110" i="44"/>
  <c r="V110" i="44" s="1"/>
  <c r="G132" i="44"/>
  <c r="V132" i="44" s="1"/>
  <c r="G125" i="44"/>
  <c r="V125" i="44" s="1"/>
  <c r="G129" i="44"/>
  <c r="V129" i="44" s="1"/>
  <c r="F7" i="51"/>
  <c r="F8" i="52" s="1"/>
  <c r="G101" i="44"/>
  <c r="V101" i="44" s="1"/>
  <c r="G98" i="44"/>
  <c r="V98" i="44" s="1"/>
  <c r="G127" i="44"/>
  <c r="V127" i="44" s="1"/>
  <c r="G123" i="44"/>
  <c r="V123" i="44" s="1"/>
  <c r="G124" i="44"/>
  <c r="V124" i="44" s="1"/>
  <c r="G115" i="44"/>
  <c r="V115" i="44" s="1"/>
  <c r="G119" i="44"/>
  <c r="V119" i="44" s="1"/>
  <c r="G95" i="44"/>
  <c r="V95" i="44" s="1"/>
  <c r="G109" i="44"/>
  <c r="V109" i="44" s="1"/>
  <c r="G126" i="44"/>
  <c r="V126" i="44" s="1"/>
  <c r="G92" i="44"/>
  <c r="V92" i="44" s="1"/>
  <c r="G122" i="44"/>
  <c r="V122" i="44" s="1"/>
  <c r="G99" i="44"/>
  <c r="V99" i="44" s="1"/>
  <c r="G131" i="44"/>
  <c r="V131" i="44" s="1"/>
  <c r="G117" i="44"/>
  <c r="V117" i="44" s="1"/>
  <c r="G94" i="44"/>
  <c r="V94" i="44" s="1"/>
  <c r="G88" i="44"/>
  <c r="V88" i="44" s="1"/>
  <c r="G90" i="44"/>
  <c r="V90" i="44" s="1"/>
  <c r="G86" i="44"/>
  <c r="V86" i="44" s="1"/>
  <c r="G112" i="44"/>
  <c r="V112" i="44" s="1"/>
  <c r="G108" i="44"/>
  <c r="V108" i="44" s="1"/>
  <c r="G118" i="44"/>
  <c r="V118" i="44" s="1"/>
  <c r="G104" i="44"/>
  <c r="V104" i="44" s="1"/>
  <c r="G120" i="44"/>
  <c r="V120" i="44" s="1"/>
  <c r="G114" i="44"/>
  <c r="V114" i="44" s="1"/>
  <c r="G134" i="44"/>
  <c r="V134" i="44" s="1"/>
  <c r="G102" i="44"/>
  <c r="V102" i="44" s="1"/>
  <c r="G93" i="44"/>
  <c r="V93" i="44" s="1"/>
  <c r="G91" i="44"/>
  <c r="V91" i="44" s="1"/>
  <c r="G107" i="44"/>
  <c r="V107" i="44" s="1"/>
  <c r="G105" i="44"/>
  <c r="V105" i="44" s="1"/>
  <c r="G130" i="44"/>
  <c r="V130" i="44" s="1"/>
  <c r="G96" i="44"/>
  <c r="V96" i="44" s="1"/>
  <c r="G113" i="44"/>
  <c r="V113" i="44" s="1"/>
  <c r="G106" i="44"/>
  <c r="V106" i="44" s="1"/>
  <c r="G128" i="44"/>
  <c r="V128" i="44" s="1"/>
  <c r="G103" i="44"/>
  <c r="V103" i="44" s="1"/>
  <c r="G116" i="44"/>
  <c r="V116" i="44" s="1"/>
  <c r="G89" i="44"/>
  <c r="V89" i="44" s="1"/>
  <c r="G84" i="44"/>
  <c r="V84" i="44" s="1"/>
  <c r="G100" i="44"/>
  <c r="V100" i="44" s="1"/>
  <c r="G85" i="44"/>
  <c r="V85" i="44" s="1"/>
  <c r="G97" i="44"/>
  <c r="V97" i="44" s="1"/>
  <c r="G121" i="44"/>
  <c r="V121" i="44" s="1"/>
  <c r="G87" i="44"/>
  <c r="V87" i="44" s="1"/>
  <c r="G133" i="44"/>
  <c r="V133" i="44" s="1"/>
  <c r="G111" i="44"/>
  <c r="V111" i="44" s="1"/>
  <c r="B10" i="56"/>
  <c r="B64" i="52" s="1"/>
  <c r="G56" i="33" s="1"/>
  <c r="J691" i="44"/>
  <c r="Y691" i="44" s="1"/>
  <c r="J700" i="44"/>
  <c r="Y700" i="44" s="1"/>
  <c r="J654" i="44"/>
  <c r="Y654" i="44" s="1"/>
  <c r="J663" i="44"/>
  <c r="Y663" i="44" s="1"/>
  <c r="J682" i="44"/>
  <c r="Y682" i="44" s="1"/>
  <c r="J664" i="44"/>
  <c r="Y664" i="44" s="1"/>
  <c r="J660" i="44"/>
  <c r="Y660" i="44" s="1"/>
  <c r="J669" i="44"/>
  <c r="Y669" i="44" s="1"/>
  <c r="J678" i="44"/>
  <c r="Y678" i="44" s="1"/>
  <c r="J687" i="44"/>
  <c r="Y687" i="44" s="1"/>
  <c r="J672" i="44"/>
  <c r="Y672" i="44" s="1"/>
  <c r="J657" i="44"/>
  <c r="Y657" i="44" s="1"/>
  <c r="J667" i="44"/>
  <c r="Y667" i="44" s="1"/>
  <c r="J692" i="44"/>
  <c r="Y692" i="44" s="1"/>
  <c r="J670" i="44"/>
  <c r="Y670" i="44" s="1"/>
  <c r="J658" i="44"/>
  <c r="Y658" i="44" s="1"/>
  <c r="J688" i="44"/>
  <c r="Y688" i="44" s="1"/>
  <c r="J699" i="44"/>
  <c r="Y699" i="44" s="1"/>
  <c r="J677" i="44"/>
  <c r="Y677" i="44" s="1"/>
  <c r="J651" i="44"/>
  <c r="Y651" i="44" s="1"/>
  <c r="J690" i="44"/>
  <c r="Y690" i="44" s="1"/>
  <c r="J680" i="44"/>
  <c r="Y680" i="44" s="1"/>
  <c r="J659" i="44"/>
  <c r="Y659" i="44" s="1"/>
  <c r="J661" i="44"/>
  <c r="Y661" i="44" s="1"/>
  <c r="J671" i="44"/>
  <c r="Y671" i="44" s="1"/>
  <c r="J656" i="44"/>
  <c r="Y656" i="44" s="1"/>
  <c r="J665" i="44"/>
  <c r="Y665" i="44" s="1"/>
  <c r="J662" i="44"/>
  <c r="Y662" i="44" s="1"/>
  <c r="J653" i="44"/>
  <c r="Y653" i="44" s="1"/>
  <c r="J675" i="44"/>
  <c r="Y675" i="44" s="1"/>
  <c r="J685" i="44"/>
  <c r="Y685" i="44" s="1"/>
  <c r="J679" i="44"/>
  <c r="Y679" i="44" s="1"/>
  <c r="J696" i="44"/>
  <c r="Y696" i="44" s="1"/>
  <c r="J683" i="44"/>
  <c r="Y683" i="44" s="1"/>
  <c r="J693" i="44"/>
  <c r="Y693" i="44" s="1"/>
  <c r="J695" i="44"/>
  <c r="Y695" i="44" s="1"/>
  <c r="J668" i="44"/>
  <c r="Y668" i="44" s="1"/>
  <c r="J652" i="44"/>
  <c r="Y652" i="44" s="1"/>
  <c r="J701" i="44"/>
  <c r="Y701" i="44" s="1"/>
  <c r="J666" i="44"/>
  <c r="Y666" i="44" s="1"/>
  <c r="J689" i="44"/>
  <c r="Y689" i="44" s="1"/>
  <c r="J674" i="44"/>
  <c r="Y674" i="44" s="1"/>
  <c r="J697" i="44"/>
  <c r="Y697" i="44" s="1"/>
  <c r="J681" i="44"/>
  <c r="Y681" i="44" s="1"/>
  <c r="J676" i="44"/>
  <c r="Y676" i="44" s="1"/>
  <c r="J686" i="44"/>
  <c r="Y686" i="44" s="1"/>
  <c r="J698" i="44"/>
  <c r="Y698" i="44" s="1"/>
  <c r="J684" i="44"/>
  <c r="Y684" i="44" s="1"/>
  <c r="J694" i="44"/>
  <c r="Y694" i="44" s="1"/>
  <c r="J673" i="44"/>
  <c r="Y673" i="44" s="1"/>
  <c r="J655" i="44"/>
  <c r="Y655" i="44" s="1"/>
  <c r="U27" i="44"/>
  <c r="I10" i="56"/>
  <c r="I64" i="52" s="1"/>
  <c r="N56" i="33" s="1"/>
  <c r="C694" i="44"/>
  <c r="C701" i="44"/>
  <c r="C675" i="44"/>
  <c r="C658" i="44"/>
  <c r="C695" i="44"/>
  <c r="C659" i="44"/>
  <c r="C654" i="44"/>
  <c r="C661" i="44"/>
  <c r="C676" i="44"/>
  <c r="C664" i="44"/>
  <c r="C679" i="44"/>
  <c r="C681" i="44"/>
  <c r="C684" i="44"/>
  <c r="C662" i="44"/>
  <c r="C685" i="44"/>
  <c r="C687" i="44"/>
  <c r="C691" i="44"/>
  <c r="C682" i="44"/>
  <c r="C686" i="44"/>
  <c r="C666" i="44"/>
  <c r="C692" i="44"/>
  <c r="C673" i="44"/>
  <c r="C660" i="44"/>
  <c r="C651" i="44"/>
  <c r="C688" i="44"/>
  <c r="C657" i="44"/>
  <c r="C674" i="44"/>
  <c r="C667" i="44"/>
  <c r="C653" i="44"/>
  <c r="C698" i="44"/>
  <c r="C671" i="44"/>
  <c r="C696" i="44"/>
  <c r="C689" i="44"/>
  <c r="C669" i="44"/>
  <c r="C655" i="44"/>
  <c r="C672" i="44"/>
  <c r="C699" i="44"/>
  <c r="C678" i="44"/>
  <c r="C668" i="44"/>
  <c r="C677" i="44"/>
  <c r="C690" i="44"/>
  <c r="C693" i="44"/>
  <c r="C652" i="44"/>
  <c r="C656" i="44"/>
  <c r="C700" i="44"/>
  <c r="C680" i="44"/>
  <c r="C663" i="44"/>
  <c r="C683" i="44"/>
  <c r="C670" i="44"/>
  <c r="C697" i="44"/>
  <c r="C665" i="44"/>
  <c r="P82" i="37"/>
  <c r="P91" i="37" s="1"/>
  <c r="P80" i="37"/>
  <c r="P89" i="37" s="1"/>
  <c r="E8" i="56"/>
  <c r="E62" i="52" s="1"/>
  <c r="F587" i="44"/>
  <c r="U587" i="44" s="1"/>
  <c r="F559" i="44"/>
  <c r="U559" i="44" s="1"/>
  <c r="F549" i="44"/>
  <c r="U549" i="44" s="1"/>
  <c r="F573" i="44"/>
  <c r="U573" i="44" s="1"/>
  <c r="F564" i="44"/>
  <c r="U564" i="44" s="1"/>
  <c r="F584" i="44"/>
  <c r="U584" i="44" s="1"/>
  <c r="F562" i="44"/>
  <c r="U562" i="44" s="1"/>
  <c r="F591" i="44"/>
  <c r="U591" i="44" s="1"/>
  <c r="F589" i="44"/>
  <c r="U589" i="44" s="1"/>
  <c r="F576" i="44"/>
  <c r="U576" i="44" s="1"/>
  <c r="F565" i="44"/>
  <c r="U565" i="44" s="1"/>
  <c r="F585" i="44"/>
  <c r="U585" i="44" s="1"/>
  <c r="F578" i="44"/>
  <c r="U578" i="44" s="1"/>
  <c r="F590" i="44"/>
  <c r="U590" i="44" s="1"/>
  <c r="F556" i="44"/>
  <c r="U556" i="44" s="1"/>
  <c r="F571" i="44"/>
  <c r="U571" i="44" s="1"/>
  <c r="F569" i="44"/>
  <c r="U569" i="44" s="1"/>
  <c r="F560" i="44"/>
  <c r="U560" i="44" s="1"/>
  <c r="F577" i="44"/>
  <c r="U577" i="44" s="1"/>
  <c r="F551" i="44"/>
  <c r="U551" i="44" s="1"/>
  <c r="F579" i="44"/>
  <c r="U579" i="44" s="1"/>
  <c r="F581" i="44"/>
  <c r="U581" i="44" s="1"/>
  <c r="F574" i="44"/>
  <c r="U574" i="44" s="1"/>
  <c r="F597" i="44"/>
  <c r="U597" i="44" s="1"/>
  <c r="F595" i="44"/>
  <c r="U595" i="44" s="1"/>
  <c r="F558" i="44"/>
  <c r="U558" i="44" s="1"/>
  <c r="F588" i="44"/>
  <c r="U588" i="44" s="1"/>
  <c r="F582" i="44"/>
  <c r="U582" i="44" s="1"/>
  <c r="F552" i="44"/>
  <c r="U552" i="44" s="1"/>
  <c r="F554" i="44"/>
  <c r="U554" i="44" s="1"/>
  <c r="F568" i="44"/>
  <c r="U568" i="44" s="1"/>
  <c r="F553" i="44"/>
  <c r="U553" i="44" s="1"/>
  <c r="F598" i="44"/>
  <c r="U598" i="44" s="1"/>
  <c r="F572" i="44"/>
  <c r="U572" i="44" s="1"/>
  <c r="F580" i="44"/>
  <c r="U580" i="44" s="1"/>
  <c r="F550" i="44"/>
  <c r="U550" i="44" s="1"/>
  <c r="F575" i="44"/>
  <c r="U575" i="44" s="1"/>
  <c r="F567" i="44"/>
  <c r="U567" i="44" s="1"/>
  <c r="F555" i="44"/>
  <c r="U555" i="44" s="1"/>
  <c r="F593" i="44"/>
  <c r="U593" i="44" s="1"/>
  <c r="F592" i="44"/>
  <c r="U592" i="44" s="1"/>
  <c r="F594" i="44"/>
  <c r="U594" i="44" s="1"/>
  <c r="F596" i="44"/>
  <c r="U596" i="44" s="1"/>
  <c r="F557" i="44"/>
  <c r="U557" i="44" s="1"/>
  <c r="F583" i="44"/>
  <c r="U583" i="44" s="1"/>
  <c r="F563" i="44"/>
  <c r="U563" i="44" s="1"/>
  <c r="F599" i="44"/>
  <c r="U599" i="44" s="1"/>
  <c r="F570" i="44"/>
  <c r="U570" i="44" s="1"/>
  <c r="F566" i="44"/>
  <c r="U566" i="44" s="1"/>
  <c r="F561" i="44"/>
  <c r="U561" i="44" s="1"/>
  <c r="F586" i="44"/>
  <c r="U586" i="44" s="1"/>
  <c r="I151" i="44"/>
  <c r="X151" i="44" s="1"/>
  <c r="I180" i="44"/>
  <c r="X180" i="44" s="1"/>
  <c r="I139" i="44"/>
  <c r="X139" i="44" s="1"/>
  <c r="G8" i="51"/>
  <c r="G9" i="52" s="1"/>
  <c r="I163" i="44"/>
  <c r="X163" i="44" s="1"/>
  <c r="I177" i="44"/>
  <c r="X177" i="44" s="1"/>
  <c r="I156" i="44"/>
  <c r="X156" i="44" s="1"/>
  <c r="I153" i="44"/>
  <c r="X153" i="44" s="1"/>
  <c r="I143" i="44"/>
  <c r="X143" i="44" s="1"/>
  <c r="I171" i="44"/>
  <c r="X171" i="44" s="1"/>
  <c r="I174" i="44"/>
  <c r="X174" i="44" s="1"/>
  <c r="I141" i="44"/>
  <c r="X141" i="44" s="1"/>
  <c r="I149" i="44"/>
  <c r="X149" i="44" s="1"/>
  <c r="I150" i="44"/>
  <c r="X150" i="44" s="1"/>
  <c r="I137" i="44"/>
  <c r="X137" i="44" s="1"/>
  <c r="I142" i="44"/>
  <c r="X142" i="44" s="1"/>
  <c r="I175" i="44"/>
  <c r="X175" i="44" s="1"/>
  <c r="I160" i="44"/>
  <c r="X160" i="44" s="1"/>
  <c r="I178" i="44"/>
  <c r="X178" i="44" s="1"/>
  <c r="I169" i="44"/>
  <c r="X169" i="44" s="1"/>
  <c r="I145" i="44"/>
  <c r="X145" i="44" s="1"/>
  <c r="I159" i="44"/>
  <c r="X159" i="44" s="1"/>
  <c r="I183" i="44"/>
  <c r="X183" i="44" s="1"/>
  <c r="I185" i="44"/>
  <c r="X185" i="44" s="1"/>
  <c r="I164" i="44"/>
  <c r="X164" i="44" s="1"/>
  <c r="I170" i="44"/>
  <c r="X170" i="44" s="1"/>
  <c r="I179" i="44"/>
  <c r="X179" i="44" s="1"/>
  <c r="I155" i="44"/>
  <c r="X155" i="44" s="1"/>
  <c r="I138" i="44"/>
  <c r="X138" i="44" s="1"/>
  <c r="I135" i="44"/>
  <c r="X135" i="44" s="1"/>
  <c r="I172" i="44"/>
  <c r="X172" i="44" s="1"/>
  <c r="I167" i="44"/>
  <c r="X167" i="44" s="1"/>
  <c r="I157" i="44"/>
  <c r="X157" i="44" s="1"/>
  <c r="I136" i="44"/>
  <c r="X136" i="44" s="1"/>
  <c r="I168" i="44"/>
  <c r="X168" i="44" s="1"/>
  <c r="I148" i="44"/>
  <c r="X148" i="44" s="1"/>
  <c r="I182" i="44"/>
  <c r="X182" i="44" s="1"/>
  <c r="I165" i="44"/>
  <c r="X165" i="44" s="1"/>
  <c r="I144" i="44"/>
  <c r="X144" i="44" s="1"/>
  <c r="I181" i="44"/>
  <c r="X181" i="44" s="1"/>
  <c r="I140" i="44"/>
  <c r="X140" i="44" s="1"/>
  <c r="I147" i="44"/>
  <c r="X147" i="44" s="1"/>
  <c r="I173" i="44"/>
  <c r="X173" i="44" s="1"/>
  <c r="I146" i="44"/>
  <c r="X146" i="44" s="1"/>
  <c r="I162" i="44"/>
  <c r="X162" i="44" s="1"/>
  <c r="I166" i="44"/>
  <c r="X166" i="44" s="1"/>
  <c r="I176" i="44"/>
  <c r="X176" i="44" s="1"/>
  <c r="I161" i="44"/>
  <c r="X161" i="44" s="1"/>
  <c r="I184" i="44"/>
  <c r="X184" i="44" s="1"/>
  <c r="I158" i="44"/>
  <c r="X158" i="44" s="1"/>
  <c r="I154" i="44"/>
  <c r="X154" i="44" s="1"/>
  <c r="I152" i="44"/>
  <c r="X152" i="44" s="1"/>
  <c r="J10" i="54"/>
  <c r="J11" i="56"/>
  <c r="J65" i="52" s="1"/>
  <c r="C12" i="56"/>
  <c r="C66" i="52" s="1"/>
  <c r="K787" i="44"/>
  <c r="Z787" i="44" s="1"/>
  <c r="K796" i="44"/>
  <c r="Z796" i="44" s="1"/>
  <c r="K758" i="44"/>
  <c r="Z758" i="44" s="1"/>
  <c r="K775" i="44"/>
  <c r="Z775" i="44" s="1"/>
  <c r="K793" i="44"/>
  <c r="Z793" i="44" s="1"/>
  <c r="K802" i="44"/>
  <c r="Z802" i="44" s="1"/>
  <c r="K795" i="44"/>
  <c r="Z795" i="44" s="1"/>
  <c r="K803" i="44"/>
  <c r="Z803" i="44" s="1"/>
  <c r="K756" i="44"/>
  <c r="Z756" i="44" s="1"/>
  <c r="K765" i="44"/>
  <c r="Z765" i="44" s="1"/>
  <c r="K782" i="44"/>
  <c r="Z782" i="44" s="1"/>
  <c r="K799" i="44"/>
  <c r="Z799" i="44" s="1"/>
  <c r="K762" i="44"/>
  <c r="Z762" i="44" s="1"/>
  <c r="K768" i="44"/>
  <c r="Z768" i="44" s="1"/>
  <c r="K755" i="44"/>
  <c r="Z755" i="44" s="1"/>
  <c r="K764" i="44"/>
  <c r="Z764" i="44" s="1"/>
  <c r="K773" i="44"/>
  <c r="Z773" i="44" s="1"/>
  <c r="K790" i="44"/>
  <c r="Z790" i="44" s="1"/>
  <c r="K761" i="44"/>
  <c r="Z761" i="44" s="1"/>
  <c r="K770" i="44"/>
  <c r="Z770" i="44" s="1"/>
  <c r="K776" i="44"/>
  <c r="Z776" i="44" s="1"/>
  <c r="K763" i="44"/>
  <c r="Z763" i="44" s="1"/>
  <c r="K772" i="44"/>
  <c r="Z772" i="44" s="1"/>
  <c r="K781" i="44"/>
  <c r="Z781" i="44" s="1"/>
  <c r="K798" i="44"/>
  <c r="Z798" i="44" s="1"/>
  <c r="K769" i="44"/>
  <c r="Z769" i="44" s="1"/>
  <c r="K778" i="44"/>
  <c r="Z778" i="44" s="1"/>
  <c r="K760" i="44"/>
  <c r="Z760" i="44" s="1"/>
  <c r="K771" i="44"/>
  <c r="Z771" i="44" s="1"/>
  <c r="K780" i="44"/>
  <c r="Z780" i="44" s="1"/>
  <c r="K789" i="44"/>
  <c r="Z789" i="44" s="1"/>
  <c r="K759" i="44"/>
  <c r="Z759" i="44" s="1"/>
  <c r="K777" i="44"/>
  <c r="Z777" i="44" s="1"/>
  <c r="K786" i="44"/>
  <c r="Z786" i="44" s="1"/>
  <c r="K800" i="44"/>
  <c r="Z800" i="44" s="1"/>
  <c r="K757" i="44"/>
  <c r="Z757" i="44" s="1"/>
  <c r="K801" i="44"/>
  <c r="Z801" i="44" s="1"/>
  <c r="K797" i="44"/>
  <c r="Z797" i="44" s="1"/>
  <c r="K754" i="44"/>
  <c r="Z754" i="44" s="1"/>
  <c r="K766" i="44"/>
  <c r="Z766" i="44" s="1"/>
  <c r="K794" i="44"/>
  <c r="Z794" i="44" s="1"/>
  <c r="K774" i="44"/>
  <c r="Z774" i="44" s="1"/>
  <c r="K784" i="44"/>
  <c r="Z784" i="44" s="1"/>
  <c r="K767" i="44"/>
  <c r="Z767" i="44" s="1"/>
  <c r="K792" i="44"/>
  <c r="Z792" i="44" s="1"/>
  <c r="K779" i="44"/>
  <c r="Z779" i="44" s="1"/>
  <c r="K783" i="44"/>
  <c r="Z783" i="44" s="1"/>
  <c r="K788" i="44"/>
  <c r="Z788" i="44" s="1"/>
  <c r="K791" i="44"/>
  <c r="Z791" i="44" s="1"/>
  <c r="K753" i="44"/>
  <c r="Z753" i="44" s="1"/>
  <c r="K785" i="44"/>
  <c r="Z785" i="44" s="1"/>
  <c r="H9" i="56"/>
  <c r="H63" i="52" s="1"/>
  <c r="D8" i="56"/>
  <c r="D62" i="52" s="1"/>
  <c r="H560" i="44"/>
  <c r="W560" i="44" s="1"/>
  <c r="H567" i="44"/>
  <c r="W567" i="44" s="1"/>
  <c r="H582" i="44"/>
  <c r="W582" i="44" s="1"/>
  <c r="H580" i="44"/>
  <c r="W580" i="44" s="1"/>
  <c r="H598" i="44"/>
  <c r="W598" i="44" s="1"/>
  <c r="H588" i="44"/>
  <c r="W588" i="44" s="1"/>
  <c r="H577" i="44"/>
  <c r="W577" i="44" s="1"/>
  <c r="H561" i="44"/>
  <c r="W561" i="44" s="1"/>
  <c r="H573" i="44"/>
  <c r="W573" i="44" s="1"/>
  <c r="H599" i="44"/>
  <c r="W599" i="44" s="1"/>
  <c r="H586" i="44"/>
  <c r="W586" i="44" s="1"/>
  <c r="H552" i="44"/>
  <c r="W552" i="44" s="1"/>
  <c r="H572" i="44"/>
  <c r="W572" i="44" s="1"/>
  <c r="H570" i="44"/>
  <c r="W570" i="44" s="1"/>
  <c r="H568" i="44"/>
  <c r="W568" i="44" s="1"/>
  <c r="H575" i="44"/>
  <c r="W575" i="44" s="1"/>
  <c r="H594" i="44"/>
  <c r="W594" i="44" s="1"/>
  <c r="H596" i="44"/>
  <c r="W596" i="44" s="1"/>
  <c r="H563" i="44"/>
  <c r="W563" i="44" s="1"/>
  <c r="H555" i="44"/>
  <c r="W555" i="44" s="1"/>
  <c r="H597" i="44"/>
  <c r="W597" i="44" s="1"/>
  <c r="H576" i="44"/>
  <c r="W576" i="44" s="1"/>
  <c r="H583" i="44"/>
  <c r="W583" i="44" s="1"/>
  <c r="H553" i="44"/>
  <c r="W553" i="44" s="1"/>
  <c r="H585" i="44"/>
  <c r="W585" i="44" s="1"/>
  <c r="H579" i="44"/>
  <c r="W579" i="44" s="1"/>
  <c r="H584" i="44"/>
  <c r="W584" i="44" s="1"/>
  <c r="H591" i="44"/>
  <c r="W591" i="44" s="1"/>
  <c r="H571" i="44"/>
  <c r="W571" i="44" s="1"/>
  <c r="H565" i="44"/>
  <c r="W565" i="44" s="1"/>
  <c r="H564" i="44"/>
  <c r="W564" i="44" s="1"/>
  <c r="H589" i="44"/>
  <c r="W589" i="44" s="1"/>
  <c r="H592" i="44"/>
  <c r="W592" i="44" s="1"/>
  <c r="H581" i="44"/>
  <c r="W581" i="44" s="1"/>
  <c r="H556" i="44"/>
  <c r="W556" i="44" s="1"/>
  <c r="H559" i="44"/>
  <c r="W559" i="44" s="1"/>
  <c r="H578" i="44"/>
  <c r="W578" i="44" s="1"/>
  <c r="H557" i="44"/>
  <c r="W557" i="44" s="1"/>
  <c r="H549" i="44"/>
  <c r="W549" i="44" s="1"/>
  <c r="H550" i="44"/>
  <c r="W550" i="44" s="1"/>
  <c r="H593" i="44"/>
  <c r="W593" i="44" s="1"/>
  <c r="H595" i="44"/>
  <c r="W595" i="44" s="1"/>
  <c r="H569" i="44"/>
  <c r="W569" i="44" s="1"/>
  <c r="H574" i="44"/>
  <c r="W574" i="44" s="1"/>
  <c r="H551" i="44"/>
  <c r="W551" i="44" s="1"/>
  <c r="H562" i="44"/>
  <c r="W562" i="44" s="1"/>
  <c r="H558" i="44"/>
  <c r="W558" i="44" s="1"/>
  <c r="H587" i="44"/>
  <c r="W587" i="44" s="1"/>
  <c r="H590" i="44"/>
  <c r="W590" i="44" s="1"/>
  <c r="H566" i="44"/>
  <c r="W566" i="44" s="1"/>
  <c r="H554" i="44"/>
  <c r="W554" i="44" s="1"/>
  <c r="I219" i="44"/>
  <c r="X219" i="44" s="1"/>
  <c r="G9" i="51"/>
  <c r="G10" i="52" s="1"/>
  <c r="I192" i="44"/>
  <c r="X192" i="44" s="1"/>
  <c r="I209" i="44"/>
  <c r="X209" i="44" s="1"/>
  <c r="I195" i="44"/>
  <c r="X195" i="44" s="1"/>
  <c r="I191" i="44"/>
  <c r="X191" i="44" s="1"/>
  <c r="I201" i="44"/>
  <c r="X201" i="44" s="1"/>
  <c r="I230" i="44"/>
  <c r="X230" i="44" s="1"/>
  <c r="I224" i="44"/>
  <c r="X224" i="44" s="1"/>
  <c r="I225" i="44"/>
  <c r="X225" i="44" s="1"/>
  <c r="I202" i="44"/>
  <c r="X202" i="44" s="1"/>
  <c r="I186" i="44"/>
  <c r="X186" i="44" s="1"/>
  <c r="I211" i="44"/>
  <c r="X211" i="44" s="1"/>
  <c r="I194" i="44"/>
  <c r="X194" i="44" s="1"/>
  <c r="I212" i="44"/>
  <c r="X212" i="44" s="1"/>
  <c r="I231" i="44"/>
  <c r="X231" i="44" s="1"/>
  <c r="I216" i="44"/>
  <c r="X216" i="44" s="1"/>
  <c r="I215" i="44"/>
  <c r="X215" i="44" s="1"/>
  <c r="I207" i="44"/>
  <c r="X207" i="44" s="1"/>
  <c r="I204" i="44"/>
  <c r="X204" i="44" s="1"/>
  <c r="I203" i="44"/>
  <c r="X203" i="44" s="1"/>
  <c r="I214" i="44"/>
  <c r="X214" i="44" s="1"/>
  <c r="I223" i="44"/>
  <c r="X223" i="44" s="1"/>
  <c r="I198" i="44"/>
  <c r="X198" i="44" s="1"/>
  <c r="I190" i="44"/>
  <c r="X190" i="44" s="1"/>
  <c r="I213" i="44"/>
  <c r="X213" i="44" s="1"/>
  <c r="I196" i="44"/>
  <c r="X196" i="44" s="1"/>
  <c r="I188" i="44"/>
  <c r="X188" i="44" s="1"/>
  <c r="I210" i="44"/>
  <c r="X210" i="44" s="1"/>
  <c r="I187" i="44"/>
  <c r="X187" i="44" s="1"/>
  <c r="I199" i="44"/>
  <c r="X199" i="44" s="1"/>
  <c r="I222" i="44"/>
  <c r="X222" i="44" s="1"/>
  <c r="I200" i="44"/>
  <c r="X200" i="44" s="1"/>
  <c r="I228" i="44"/>
  <c r="X228" i="44" s="1"/>
  <c r="I220" i="44"/>
  <c r="X220" i="44" s="1"/>
  <c r="I233" i="44"/>
  <c r="X233" i="44" s="1"/>
  <c r="I229" i="44"/>
  <c r="X229" i="44" s="1"/>
  <c r="I208" i="44"/>
  <c r="X208" i="44" s="1"/>
  <c r="I193" i="44"/>
  <c r="X193" i="44" s="1"/>
  <c r="I236" i="44"/>
  <c r="X236" i="44" s="1"/>
  <c r="I217" i="44"/>
  <c r="X217" i="44" s="1"/>
  <c r="I226" i="44"/>
  <c r="X226" i="44" s="1"/>
  <c r="I189" i="44"/>
  <c r="X189" i="44" s="1"/>
  <c r="I227" i="44"/>
  <c r="X227" i="44" s="1"/>
  <c r="I232" i="44"/>
  <c r="X232" i="44" s="1"/>
  <c r="I234" i="44"/>
  <c r="X234" i="44" s="1"/>
  <c r="I206" i="44"/>
  <c r="X206" i="44" s="1"/>
  <c r="I235" i="44"/>
  <c r="X235" i="44" s="1"/>
  <c r="I205" i="44"/>
  <c r="X205" i="44" s="1"/>
  <c r="I197" i="44"/>
  <c r="X197" i="44" s="1"/>
  <c r="I221" i="44"/>
  <c r="X221" i="44" s="1"/>
  <c r="I218" i="44"/>
  <c r="X218" i="44" s="1"/>
  <c r="J9" i="56"/>
  <c r="J63" i="52" s="1"/>
  <c r="G6" i="54"/>
  <c r="I302" i="44"/>
  <c r="X302" i="44" s="1"/>
  <c r="I320" i="44"/>
  <c r="X320" i="44" s="1"/>
  <c r="I300" i="44"/>
  <c r="X300" i="44" s="1"/>
  <c r="I324" i="44"/>
  <c r="X324" i="44" s="1"/>
  <c r="I333" i="44"/>
  <c r="X333" i="44" s="1"/>
  <c r="I322" i="44"/>
  <c r="X322" i="44" s="1"/>
  <c r="I311" i="44"/>
  <c r="X311" i="44" s="1"/>
  <c r="I326" i="44"/>
  <c r="X326" i="44" s="1"/>
  <c r="I297" i="44"/>
  <c r="X297" i="44" s="1"/>
  <c r="I299" i="44"/>
  <c r="X299" i="44" s="1"/>
  <c r="I292" i="44"/>
  <c r="X292" i="44" s="1"/>
  <c r="I336" i="44"/>
  <c r="X336" i="44" s="1"/>
  <c r="I323" i="44"/>
  <c r="X323" i="44" s="1"/>
  <c r="I318" i="44"/>
  <c r="X318" i="44" s="1"/>
  <c r="I317" i="44"/>
  <c r="X317" i="44" s="1"/>
  <c r="I306" i="44"/>
  <c r="X306" i="44" s="1"/>
  <c r="I316" i="44"/>
  <c r="X316" i="44" s="1"/>
  <c r="I319" i="44"/>
  <c r="X319" i="44" s="1"/>
  <c r="I298" i="44"/>
  <c r="X298" i="44" s="1"/>
  <c r="I314" i="44"/>
  <c r="X314" i="44" s="1"/>
  <c r="I312" i="44"/>
  <c r="X312" i="44" s="1"/>
  <c r="I337" i="44"/>
  <c r="X337" i="44" s="1"/>
  <c r="I310" i="44"/>
  <c r="X310" i="44" s="1"/>
  <c r="I339" i="44"/>
  <c r="X339" i="44" s="1"/>
  <c r="I293" i="44"/>
  <c r="X293" i="44" s="1"/>
  <c r="I313" i="44"/>
  <c r="X313" i="44" s="1"/>
  <c r="I329" i="44"/>
  <c r="X329" i="44" s="1"/>
  <c r="I334" i="44"/>
  <c r="X334" i="44" s="1"/>
  <c r="I328" i="44"/>
  <c r="X328" i="44" s="1"/>
  <c r="I315" i="44"/>
  <c r="X315" i="44" s="1"/>
  <c r="I291" i="44"/>
  <c r="X291" i="44" s="1"/>
  <c r="I296" i="44"/>
  <c r="X296" i="44" s="1"/>
  <c r="I295" i="44"/>
  <c r="X295" i="44" s="1"/>
  <c r="I308" i="44"/>
  <c r="X308" i="44" s="1"/>
  <c r="I325" i="44"/>
  <c r="X325" i="44" s="1"/>
  <c r="I301" i="44"/>
  <c r="X301" i="44" s="1"/>
  <c r="I303" i="44"/>
  <c r="X303" i="44" s="1"/>
  <c r="I330" i="44"/>
  <c r="X330" i="44" s="1"/>
  <c r="I341" i="44"/>
  <c r="X341" i="44" s="1"/>
  <c r="I321" i="44"/>
  <c r="X321" i="44" s="1"/>
  <c r="I305" i="44"/>
  <c r="X305" i="44" s="1"/>
  <c r="I327" i="44"/>
  <c r="X327" i="44" s="1"/>
  <c r="I340" i="44"/>
  <c r="X340" i="44" s="1"/>
  <c r="I309" i="44"/>
  <c r="X309" i="44" s="1"/>
  <c r="I304" i="44"/>
  <c r="X304" i="44" s="1"/>
  <c r="I335" i="44"/>
  <c r="X335" i="44" s="1"/>
  <c r="I331" i="44"/>
  <c r="X331" i="44" s="1"/>
  <c r="I338" i="44"/>
  <c r="X338" i="44" s="1"/>
  <c r="I294" i="44"/>
  <c r="X294" i="44" s="1"/>
  <c r="I332" i="44"/>
  <c r="X332" i="44" s="1"/>
  <c r="I307" i="44"/>
  <c r="X307" i="44" s="1"/>
  <c r="G43" i="37"/>
  <c r="D174" i="28"/>
  <c r="F7" i="54"/>
  <c r="G350" i="44"/>
  <c r="V350" i="44" s="1"/>
  <c r="G365" i="44"/>
  <c r="V365" i="44" s="1"/>
  <c r="G387" i="44"/>
  <c r="V387" i="44" s="1"/>
  <c r="G375" i="44"/>
  <c r="V375" i="44" s="1"/>
  <c r="G379" i="44"/>
  <c r="V379" i="44" s="1"/>
  <c r="G356" i="44"/>
  <c r="V356" i="44" s="1"/>
  <c r="G360" i="44"/>
  <c r="V360" i="44" s="1"/>
  <c r="G366" i="44"/>
  <c r="V366" i="44" s="1"/>
  <c r="G381" i="44"/>
  <c r="V381" i="44" s="1"/>
  <c r="G354" i="44"/>
  <c r="V354" i="44" s="1"/>
  <c r="G348" i="44"/>
  <c r="V348" i="44" s="1"/>
  <c r="G352" i="44"/>
  <c r="V352" i="44" s="1"/>
  <c r="G384" i="44"/>
  <c r="V384" i="44" s="1"/>
  <c r="G388" i="44"/>
  <c r="V388" i="44" s="1"/>
  <c r="G374" i="44"/>
  <c r="V374" i="44" s="1"/>
  <c r="G389" i="44"/>
  <c r="V389" i="44" s="1"/>
  <c r="G364" i="44"/>
  <c r="V364" i="44" s="1"/>
  <c r="G362" i="44"/>
  <c r="V362" i="44" s="1"/>
  <c r="G368" i="44"/>
  <c r="V368" i="44" s="1"/>
  <c r="G343" i="44"/>
  <c r="V343" i="44" s="1"/>
  <c r="G345" i="44"/>
  <c r="V345" i="44" s="1"/>
  <c r="G361" i="44"/>
  <c r="V361" i="44" s="1"/>
  <c r="G353" i="44"/>
  <c r="V353" i="44" s="1"/>
  <c r="G372" i="44"/>
  <c r="V372" i="44" s="1"/>
  <c r="G358" i="44"/>
  <c r="V358" i="44" s="1"/>
  <c r="G367" i="44"/>
  <c r="V367" i="44" s="1"/>
  <c r="G378" i="44"/>
  <c r="V378" i="44" s="1"/>
  <c r="G383" i="44"/>
  <c r="V383" i="44" s="1"/>
  <c r="G382" i="44"/>
  <c r="V382" i="44" s="1"/>
  <c r="G377" i="44"/>
  <c r="V377" i="44" s="1"/>
  <c r="G392" i="44"/>
  <c r="V392" i="44" s="1"/>
  <c r="G370" i="44"/>
  <c r="V370" i="44" s="1"/>
  <c r="G386" i="44"/>
  <c r="V386" i="44" s="1"/>
  <c r="G359" i="44"/>
  <c r="V359" i="44" s="1"/>
  <c r="G349" i="44"/>
  <c r="V349" i="44" s="1"/>
  <c r="G391" i="44"/>
  <c r="V391" i="44" s="1"/>
  <c r="G385" i="44"/>
  <c r="V385" i="44" s="1"/>
  <c r="G357" i="44"/>
  <c r="V357" i="44" s="1"/>
  <c r="G351" i="44"/>
  <c r="V351" i="44" s="1"/>
  <c r="G346" i="44"/>
  <c r="V346" i="44" s="1"/>
  <c r="G373" i="44"/>
  <c r="V373" i="44" s="1"/>
  <c r="G363" i="44"/>
  <c r="V363" i="44" s="1"/>
  <c r="G355" i="44"/>
  <c r="V355" i="44" s="1"/>
  <c r="G342" i="44"/>
  <c r="V342" i="44" s="1"/>
  <c r="G344" i="44"/>
  <c r="V344" i="44" s="1"/>
  <c r="G380" i="44"/>
  <c r="V380" i="44" s="1"/>
  <c r="G347" i="44"/>
  <c r="V347" i="44" s="1"/>
  <c r="G369" i="44"/>
  <c r="V369" i="44" s="1"/>
  <c r="G371" i="44"/>
  <c r="V371" i="44" s="1"/>
  <c r="G390" i="44"/>
  <c r="V390" i="44" s="1"/>
  <c r="G376" i="44"/>
  <c r="V376" i="44" s="1"/>
  <c r="D11" i="56"/>
  <c r="D65" i="52" s="1"/>
  <c r="H731" i="44"/>
  <c r="W731" i="44" s="1"/>
  <c r="H750" i="44"/>
  <c r="W750" i="44" s="1"/>
  <c r="H712" i="44"/>
  <c r="W712" i="44" s="1"/>
  <c r="H709" i="44"/>
  <c r="W709" i="44" s="1"/>
  <c r="H748" i="44"/>
  <c r="W748" i="44" s="1"/>
  <c r="H710" i="44"/>
  <c r="W710" i="44" s="1"/>
  <c r="H721" i="44"/>
  <c r="W721" i="44" s="1"/>
  <c r="H751" i="44"/>
  <c r="W751" i="44" s="1"/>
  <c r="H714" i="44"/>
  <c r="W714" i="44" s="1"/>
  <c r="H752" i="44"/>
  <c r="W752" i="44" s="1"/>
  <c r="H722" i="44"/>
  <c r="W722" i="44" s="1"/>
  <c r="H718" i="44"/>
  <c r="W718" i="44" s="1"/>
  <c r="H729" i="44"/>
  <c r="W729" i="44" s="1"/>
  <c r="H711" i="44"/>
  <c r="W711" i="44" s="1"/>
  <c r="H730" i="44"/>
  <c r="W730" i="44" s="1"/>
  <c r="H703" i="44"/>
  <c r="W703" i="44" s="1"/>
  <c r="H707" i="44"/>
  <c r="W707" i="44" s="1"/>
  <c r="H726" i="44"/>
  <c r="W726" i="44" s="1"/>
  <c r="H737" i="44"/>
  <c r="W737" i="44" s="1"/>
  <c r="H724" i="44"/>
  <c r="W724" i="44" s="1"/>
  <c r="H746" i="44"/>
  <c r="W746" i="44" s="1"/>
  <c r="H719" i="44"/>
  <c r="W719" i="44" s="1"/>
  <c r="H708" i="44"/>
  <c r="W708" i="44" s="1"/>
  <c r="H715" i="44"/>
  <c r="W715" i="44" s="1"/>
  <c r="H734" i="44"/>
  <c r="W734" i="44" s="1"/>
  <c r="H745" i="44"/>
  <c r="W745" i="44" s="1"/>
  <c r="H736" i="44"/>
  <c r="W736" i="44" s="1"/>
  <c r="H716" i="44"/>
  <c r="W716" i="44" s="1"/>
  <c r="H735" i="44"/>
  <c r="W735" i="44" s="1"/>
  <c r="H727" i="44"/>
  <c r="W727" i="44" s="1"/>
  <c r="H705" i="44"/>
  <c r="W705" i="44" s="1"/>
  <c r="H732" i="44"/>
  <c r="W732" i="44" s="1"/>
  <c r="H743" i="44"/>
  <c r="W743" i="44" s="1"/>
  <c r="H713" i="44"/>
  <c r="W713" i="44" s="1"/>
  <c r="H717" i="44"/>
  <c r="W717" i="44" s="1"/>
  <c r="H702" i="44"/>
  <c r="W702" i="44" s="1"/>
  <c r="H733" i="44"/>
  <c r="W733" i="44" s="1"/>
  <c r="H725" i="44"/>
  <c r="W725" i="44" s="1"/>
  <c r="H704" i="44"/>
  <c r="W704" i="44" s="1"/>
  <c r="H723" i="44"/>
  <c r="W723" i="44" s="1"/>
  <c r="H738" i="44"/>
  <c r="W738" i="44" s="1"/>
  <c r="H720" i="44"/>
  <c r="W720" i="44" s="1"/>
  <c r="H739" i="44"/>
  <c r="W739" i="44" s="1"/>
  <c r="H749" i="44"/>
  <c r="W749" i="44" s="1"/>
  <c r="H740" i="44"/>
  <c r="W740" i="44" s="1"/>
  <c r="H747" i="44"/>
  <c r="W747" i="44" s="1"/>
  <c r="H728" i="44"/>
  <c r="W728" i="44" s="1"/>
  <c r="H706" i="44"/>
  <c r="W706" i="44" s="1"/>
  <c r="H742" i="44"/>
  <c r="W742" i="44" s="1"/>
  <c r="H744" i="44"/>
  <c r="W744" i="44" s="1"/>
  <c r="H741" i="44"/>
  <c r="W741" i="44" s="1"/>
  <c r="D9" i="51"/>
  <c r="D10" i="52" s="1"/>
  <c r="H196" i="44"/>
  <c r="W196" i="44" s="1"/>
  <c r="H205" i="44"/>
  <c r="W205" i="44" s="1"/>
  <c r="H229" i="44"/>
  <c r="W229" i="44" s="1"/>
  <c r="H231" i="44"/>
  <c r="W231" i="44" s="1"/>
  <c r="H216" i="44"/>
  <c r="W216" i="44" s="1"/>
  <c r="H219" i="44"/>
  <c r="W219" i="44" s="1"/>
  <c r="H212" i="44"/>
  <c r="W212" i="44" s="1"/>
  <c r="H188" i="44"/>
  <c r="W188" i="44" s="1"/>
  <c r="H209" i="44"/>
  <c r="W209" i="44" s="1"/>
  <c r="H210" i="44"/>
  <c r="W210" i="44" s="1"/>
  <c r="H222" i="44"/>
  <c r="W222" i="44" s="1"/>
  <c r="H198" i="44"/>
  <c r="W198" i="44" s="1"/>
  <c r="H202" i="44"/>
  <c r="W202" i="44" s="1"/>
  <c r="H203" i="44"/>
  <c r="W203" i="44" s="1"/>
  <c r="H208" i="44"/>
  <c r="W208" i="44" s="1"/>
  <c r="H211" i="44"/>
  <c r="W211" i="44" s="1"/>
  <c r="H236" i="44"/>
  <c r="W236" i="44" s="1"/>
  <c r="H189" i="44"/>
  <c r="W189" i="44" s="1"/>
  <c r="H220" i="44"/>
  <c r="W220" i="44" s="1"/>
  <c r="H206" i="44"/>
  <c r="W206" i="44" s="1"/>
  <c r="H232" i="44"/>
  <c r="W232" i="44" s="1"/>
  <c r="H233" i="44"/>
  <c r="W233" i="44" s="1"/>
  <c r="H201" i="44"/>
  <c r="W201" i="44" s="1"/>
  <c r="H187" i="44"/>
  <c r="W187" i="44" s="1"/>
  <c r="H207" i="44"/>
  <c r="W207" i="44" s="1"/>
  <c r="H235" i="44"/>
  <c r="W235" i="44" s="1"/>
  <c r="H214" i="44"/>
  <c r="W214" i="44" s="1"/>
  <c r="H190" i="44"/>
  <c r="W190" i="44" s="1"/>
  <c r="H192" i="44"/>
  <c r="W192" i="44" s="1"/>
  <c r="H224" i="44"/>
  <c r="W224" i="44" s="1"/>
  <c r="H218" i="44"/>
  <c r="W218" i="44" s="1"/>
  <c r="H199" i="44"/>
  <c r="W199" i="44" s="1"/>
  <c r="H215" i="44"/>
  <c r="W215" i="44" s="1"/>
  <c r="H194" i="44"/>
  <c r="W194" i="44" s="1"/>
  <c r="H234" i="44"/>
  <c r="W234" i="44" s="1"/>
  <c r="H197" i="44"/>
  <c r="W197" i="44" s="1"/>
  <c r="H213" i="44"/>
  <c r="W213" i="44" s="1"/>
  <c r="H200" i="44"/>
  <c r="W200" i="44" s="1"/>
  <c r="H191" i="44"/>
  <c r="W191" i="44" s="1"/>
  <c r="H217" i="44"/>
  <c r="W217" i="44" s="1"/>
  <c r="H223" i="44"/>
  <c r="W223" i="44" s="1"/>
  <c r="H195" i="44"/>
  <c r="W195" i="44" s="1"/>
  <c r="H227" i="44"/>
  <c r="W227" i="44" s="1"/>
  <c r="H186" i="44"/>
  <c r="W186" i="44" s="1"/>
  <c r="H230" i="44"/>
  <c r="W230" i="44" s="1"/>
  <c r="H193" i="44"/>
  <c r="W193" i="44" s="1"/>
  <c r="H226" i="44"/>
  <c r="W226" i="44" s="1"/>
  <c r="H221" i="44"/>
  <c r="W221" i="44" s="1"/>
  <c r="H225" i="44"/>
  <c r="W225" i="44" s="1"/>
  <c r="H204" i="44"/>
  <c r="W204" i="44" s="1"/>
  <c r="H228" i="44"/>
  <c r="W228" i="44" s="1"/>
  <c r="U15" i="44"/>
  <c r="K30" i="52" s="1"/>
  <c r="I6" i="54"/>
  <c r="C333" i="44"/>
  <c r="C340" i="44"/>
  <c r="C323" i="44"/>
  <c r="C296" i="44"/>
  <c r="C338" i="44"/>
  <c r="C327" i="44"/>
  <c r="C293" i="44"/>
  <c r="C300" i="44"/>
  <c r="C314" i="44"/>
  <c r="C318" i="44"/>
  <c r="C297" i="44"/>
  <c r="C339" i="44"/>
  <c r="C295" i="44"/>
  <c r="C317" i="44"/>
  <c r="C294" i="44"/>
  <c r="C330" i="44"/>
  <c r="C298" i="44"/>
  <c r="C310" i="44"/>
  <c r="C325" i="44"/>
  <c r="C304" i="44"/>
  <c r="C299" i="44"/>
  <c r="C320" i="44"/>
  <c r="C328" i="44"/>
  <c r="C341" i="44"/>
  <c r="C326" i="44"/>
  <c r="C315" i="44"/>
  <c r="C305" i="44"/>
  <c r="C311" i="44"/>
  <c r="C292" i="44"/>
  <c r="C336" i="44"/>
  <c r="C329" i="44"/>
  <c r="C321" i="44"/>
  <c r="C331" i="44"/>
  <c r="C308" i="44"/>
  <c r="C303" i="44"/>
  <c r="C312" i="44"/>
  <c r="C306" i="44"/>
  <c r="C316" i="44"/>
  <c r="C313" i="44"/>
  <c r="C334" i="44"/>
  <c r="C322" i="44"/>
  <c r="C301" i="44"/>
  <c r="C324" i="44"/>
  <c r="C335" i="44"/>
  <c r="C319" i="44"/>
  <c r="C291" i="44"/>
  <c r="C307" i="44"/>
  <c r="C309" i="44"/>
  <c r="C332" i="44"/>
  <c r="C302" i="44"/>
  <c r="C337" i="44"/>
  <c r="G9" i="54"/>
  <c r="I445" i="44"/>
  <c r="X445" i="44" s="1"/>
  <c r="I460" i="44"/>
  <c r="X460" i="44" s="1"/>
  <c r="I487" i="44"/>
  <c r="X487" i="44" s="1"/>
  <c r="I490" i="44"/>
  <c r="X490" i="44" s="1"/>
  <c r="I447" i="44"/>
  <c r="X447" i="44" s="1"/>
  <c r="I456" i="44"/>
  <c r="X456" i="44" s="1"/>
  <c r="I470" i="44"/>
  <c r="X470" i="44" s="1"/>
  <c r="I469" i="44"/>
  <c r="X469" i="44" s="1"/>
  <c r="I484" i="44"/>
  <c r="X484" i="44" s="1"/>
  <c r="I474" i="44"/>
  <c r="X474" i="44" s="1"/>
  <c r="I479" i="44"/>
  <c r="X479" i="44" s="1"/>
  <c r="I489" i="44"/>
  <c r="X489" i="44" s="1"/>
  <c r="I488" i="44"/>
  <c r="X488" i="44" s="1"/>
  <c r="I461" i="44"/>
  <c r="X461" i="44" s="1"/>
  <c r="I455" i="44"/>
  <c r="X455" i="44" s="1"/>
  <c r="I478" i="44"/>
  <c r="X478" i="44" s="1"/>
  <c r="I473" i="44"/>
  <c r="X473" i="44" s="1"/>
  <c r="I494" i="44"/>
  <c r="X494" i="44" s="1"/>
  <c r="I493" i="44"/>
  <c r="X493" i="44" s="1"/>
  <c r="I454" i="44"/>
  <c r="X454" i="44" s="1"/>
  <c r="I491" i="44"/>
  <c r="X491" i="44" s="1"/>
  <c r="I451" i="44"/>
  <c r="X451" i="44" s="1"/>
  <c r="I446" i="44"/>
  <c r="X446" i="44" s="1"/>
  <c r="I485" i="44"/>
  <c r="X485" i="44" s="1"/>
  <c r="I486" i="44"/>
  <c r="X486" i="44" s="1"/>
  <c r="I459" i="44"/>
  <c r="X459" i="44" s="1"/>
  <c r="I444" i="44"/>
  <c r="X444" i="44" s="1"/>
  <c r="I464" i="44"/>
  <c r="X464" i="44" s="1"/>
  <c r="I452" i="44"/>
  <c r="X452" i="44" s="1"/>
  <c r="I448" i="44"/>
  <c r="X448" i="44" s="1"/>
  <c r="I450" i="44"/>
  <c r="X450" i="44" s="1"/>
  <c r="I472" i="44"/>
  <c r="X472" i="44" s="1"/>
  <c r="I468" i="44"/>
  <c r="X468" i="44" s="1"/>
  <c r="I462" i="44"/>
  <c r="X462" i="44" s="1"/>
  <c r="I480" i="44"/>
  <c r="X480" i="44" s="1"/>
  <c r="I476" i="44"/>
  <c r="X476" i="44" s="1"/>
  <c r="I449" i="44"/>
  <c r="X449" i="44" s="1"/>
  <c r="I481" i="44"/>
  <c r="X481" i="44" s="1"/>
  <c r="I492" i="44"/>
  <c r="X492" i="44" s="1"/>
  <c r="I463" i="44"/>
  <c r="X463" i="44" s="1"/>
  <c r="I482" i="44"/>
  <c r="X482" i="44" s="1"/>
  <c r="I465" i="44"/>
  <c r="X465" i="44" s="1"/>
  <c r="I457" i="44"/>
  <c r="X457" i="44" s="1"/>
  <c r="I458" i="44"/>
  <c r="X458" i="44" s="1"/>
  <c r="I453" i="44"/>
  <c r="X453" i="44" s="1"/>
  <c r="I475" i="44"/>
  <c r="X475" i="44" s="1"/>
  <c r="I471" i="44"/>
  <c r="X471" i="44" s="1"/>
  <c r="I466" i="44"/>
  <c r="X466" i="44" s="1"/>
  <c r="I477" i="44"/>
  <c r="X477" i="44" s="1"/>
  <c r="I483" i="44"/>
  <c r="X483" i="44" s="1"/>
  <c r="I467" i="44"/>
  <c r="X467" i="44" s="1"/>
  <c r="G12" i="56"/>
  <c r="G66" i="52" s="1"/>
  <c r="I779" i="44"/>
  <c r="X779" i="44" s="1"/>
  <c r="I765" i="44"/>
  <c r="X765" i="44" s="1"/>
  <c r="I782" i="44"/>
  <c r="X782" i="44" s="1"/>
  <c r="I799" i="44"/>
  <c r="X799" i="44" s="1"/>
  <c r="I768" i="44"/>
  <c r="X768" i="44" s="1"/>
  <c r="I753" i="44"/>
  <c r="X753" i="44" s="1"/>
  <c r="I764" i="44"/>
  <c r="X764" i="44" s="1"/>
  <c r="I789" i="44"/>
  <c r="X789" i="44" s="1"/>
  <c r="I759" i="44"/>
  <c r="X759" i="44" s="1"/>
  <c r="I770" i="44"/>
  <c r="X770" i="44" s="1"/>
  <c r="I777" i="44"/>
  <c r="X777" i="44" s="1"/>
  <c r="I763" i="44"/>
  <c r="X763" i="44" s="1"/>
  <c r="I773" i="44"/>
  <c r="X773" i="44" s="1"/>
  <c r="I767" i="44"/>
  <c r="X767" i="44" s="1"/>
  <c r="I794" i="44"/>
  <c r="X794" i="44" s="1"/>
  <c r="I803" i="44"/>
  <c r="X803" i="44" s="1"/>
  <c r="I797" i="44"/>
  <c r="X797" i="44" s="1"/>
  <c r="I785" i="44"/>
  <c r="X785" i="44" s="1"/>
  <c r="I766" i="44"/>
  <c r="X766" i="44" s="1"/>
  <c r="I796" i="44"/>
  <c r="X796" i="44" s="1"/>
  <c r="I798" i="44"/>
  <c r="X798" i="44" s="1"/>
  <c r="I771" i="44"/>
  <c r="X771" i="44" s="1"/>
  <c r="I781" i="44"/>
  <c r="X781" i="44" s="1"/>
  <c r="I775" i="44"/>
  <c r="X775" i="44" s="1"/>
  <c r="I802" i="44"/>
  <c r="X802" i="44" s="1"/>
  <c r="I776" i="44"/>
  <c r="X776" i="44" s="1"/>
  <c r="I787" i="44"/>
  <c r="X787" i="44" s="1"/>
  <c r="I783" i="44"/>
  <c r="X783" i="44" s="1"/>
  <c r="I795" i="44"/>
  <c r="X795" i="44" s="1"/>
  <c r="I754" i="44"/>
  <c r="X754" i="44" s="1"/>
  <c r="I756" i="44"/>
  <c r="X756" i="44" s="1"/>
  <c r="I758" i="44"/>
  <c r="X758" i="44" s="1"/>
  <c r="I791" i="44"/>
  <c r="X791" i="44" s="1"/>
  <c r="I769" i="44"/>
  <c r="X769" i="44" s="1"/>
  <c r="I793" i="44"/>
  <c r="X793" i="44" s="1"/>
  <c r="I772" i="44"/>
  <c r="X772" i="44" s="1"/>
  <c r="I801" i="44"/>
  <c r="X801" i="44" s="1"/>
  <c r="I757" i="44"/>
  <c r="X757" i="44" s="1"/>
  <c r="I786" i="44"/>
  <c r="X786" i="44" s="1"/>
  <c r="I780" i="44"/>
  <c r="X780" i="44" s="1"/>
  <c r="I774" i="44"/>
  <c r="X774" i="44" s="1"/>
  <c r="I762" i="44"/>
  <c r="X762" i="44" s="1"/>
  <c r="I784" i="44"/>
  <c r="X784" i="44" s="1"/>
  <c r="I800" i="44"/>
  <c r="X800" i="44" s="1"/>
  <c r="I788" i="44"/>
  <c r="X788" i="44" s="1"/>
  <c r="I778" i="44"/>
  <c r="X778" i="44" s="1"/>
  <c r="I760" i="44"/>
  <c r="X760" i="44" s="1"/>
  <c r="I761" i="44"/>
  <c r="X761" i="44" s="1"/>
  <c r="I755" i="44"/>
  <c r="X755" i="44" s="1"/>
  <c r="I792" i="44"/>
  <c r="X792" i="44" s="1"/>
  <c r="I790" i="44"/>
  <c r="X790" i="44" s="1"/>
  <c r="H37" i="44"/>
  <c r="W37" i="44" s="1"/>
  <c r="H55" i="44"/>
  <c r="W55" i="44" s="1"/>
  <c r="D6" i="51"/>
  <c r="D7" i="52" s="1"/>
  <c r="H74" i="44"/>
  <c r="W74" i="44" s="1"/>
  <c r="H65" i="44"/>
  <c r="W65" i="44" s="1"/>
  <c r="H60" i="44"/>
  <c r="W60" i="44" s="1"/>
  <c r="H76" i="44"/>
  <c r="W76" i="44" s="1"/>
  <c r="H64" i="44"/>
  <c r="W64" i="44" s="1"/>
  <c r="H48" i="44"/>
  <c r="W48" i="44" s="1"/>
  <c r="H81" i="44"/>
  <c r="W81" i="44" s="1"/>
  <c r="H47" i="44"/>
  <c r="W47" i="44" s="1"/>
  <c r="H39" i="44"/>
  <c r="W39" i="44" s="1"/>
  <c r="H75" i="44"/>
  <c r="W75" i="44" s="1"/>
  <c r="H78" i="44"/>
  <c r="W78" i="44" s="1"/>
  <c r="H58" i="44"/>
  <c r="W58" i="44" s="1"/>
  <c r="H36" i="44"/>
  <c r="W36" i="44" s="1"/>
  <c r="H68" i="44"/>
  <c r="W68" i="44" s="1"/>
  <c r="H45" i="44"/>
  <c r="W45" i="44" s="1"/>
  <c r="H54" i="44"/>
  <c r="W54" i="44" s="1"/>
  <c r="H67" i="44"/>
  <c r="W67" i="44" s="1"/>
  <c r="H59" i="44"/>
  <c r="W59" i="44" s="1"/>
  <c r="H51" i="44"/>
  <c r="W51" i="44" s="1"/>
  <c r="H80" i="44"/>
  <c r="W80" i="44" s="1"/>
  <c r="H38" i="44"/>
  <c r="W38" i="44" s="1"/>
  <c r="H77" i="44"/>
  <c r="W77" i="44" s="1"/>
  <c r="H71" i="44"/>
  <c r="W71" i="44" s="1"/>
  <c r="H62" i="44"/>
  <c r="W62" i="44" s="1"/>
  <c r="H66" i="44"/>
  <c r="W66" i="44" s="1"/>
  <c r="H57" i="44"/>
  <c r="W57" i="44" s="1"/>
  <c r="H83" i="44"/>
  <c r="W83" i="44" s="1"/>
  <c r="H40" i="44"/>
  <c r="W40" i="44" s="1"/>
  <c r="H73" i="44"/>
  <c r="W73" i="44" s="1"/>
  <c r="H50" i="44"/>
  <c r="W50" i="44" s="1"/>
  <c r="H63" i="44"/>
  <c r="W63" i="44" s="1"/>
  <c r="H42" i="44"/>
  <c r="W42" i="44" s="1"/>
  <c r="H56" i="44"/>
  <c r="W56" i="44" s="1"/>
  <c r="H33" i="44"/>
  <c r="W33" i="44" s="1"/>
  <c r="H69" i="44"/>
  <c r="W69" i="44" s="1"/>
  <c r="H46" i="44"/>
  <c r="W46" i="44" s="1"/>
  <c r="H34" i="44"/>
  <c r="W34" i="44" s="1"/>
  <c r="H49" i="44"/>
  <c r="W49" i="44" s="1"/>
  <c r="H52" i="44"/>
  <c r="W52" i="44" s="1"/>
  <c r="H35" i="44"/>
  <c r="W35" i="44" s="1"/>
  <c r="H44" i="44"/>
  <c r="W44" i="44" s="1"/>
  <c r="H79" i="44"/>
  <c r="W79" i="44" s="1"/>
  <c r="H61" i="44"/>
  <c r="W61" i="44" s="1"/>
  <c r="H72" i="44"/>
  <c r="W72" i="44" s="1"/>
  <c r="H41" i="44"/>
  <c r="W41" i="44" s="1"/>
  <c r="H82" i="44"/>
  <c r="W82" i="44" s="1"/>
  <c r="H70" i="44"/>
  <c r="W70" i="44" s="1"/>
  <c r="H53" i="44"/>
  <c r="W53" i="44" s="1"/>
  <c r="H43" i="44"/>
  <c r="W43" i="44" s="1"/>
  <c r="G6" i="51"/>
  <c r="G7" i="52" s="1"/>
  <c r="I43" i="44"/>
  <c r="X43" i="44" s="1"/>
  <c r="I35" i="44"/>
  <c r="X35" i="44" s="1"/>
  <c r="I52" i="44"/>
  <c r="X52" i="44" s="1"/>
  <c r="I70" i="44"/>
  <c r="X70" i="44" s="1"/>
  <c r="I49" i="44"/>
  <c r="X49" i="44" s="1"/>
  <c r="I53" i="44"/>
  <c r="X53" i="44" s="1"/>
  <c r="I72" i="44"/>
  <c r="X72" i="44" s="1"/>
  <c r="I50" i="44"/>
  <c r="X50" i="44" s="1"/>
  <c r="I75" i="44"/>
  <c r="X75" i="44" s="1"/>
  <c r="I39" i="44"/>
  <c r="X39" i="44" s="1"/>
  <c r="I60" i="44"/>
  <c r="X60" i="44" s="1"/>
  <c r="I69" i="44"/>
  <c r="X69" i="44" s="1"/>
  <c r="I57" i="44"/>
  <c r="X57" i="44" s="1"/>
  <c r="I34" i="44"/>
  <c r="X34" i="44" s="1"/>
  <c r="I45" i="44"/>
  <c r="X45" i="44" s="1"/>
  <c r="I56" i="44"/>
  <c r="X56" i="44" s="1"/>
  <c r="I41" i="44"/>
  <c r="X41" i="44" s="1"/>
  <c r="I59" i="44"/>
  <c r="X59" i="44" s="1"/>
  <c r="I62" i="44"/>
  <c r="X62" i="44" s="1"/>
  <c r="I78" i="44"/>
  <c r="X78" i="44" s="1"/>
  <c r="I47" i="44"/>
  <c r="X47" i="44" s="1"/>
  <c r="I81" i="44"/>
  <c r="X81" i="44" s="1"/>
  <c r="I38" i="44"/>
  <c r="X38" i="44" s="1"/>
  <c r="I55" i="44"/>
  <c r="X55" i="44" s="1"/>
  <c r="I80" i="44"/>
  <c r="X80" i="44" s="1"/>
  <c r="I63" i="44"/>
  <c r="X63" i="44" s="1"/>
  <c r="I44" i="44"/>
  <c r="X44" i="44" s="1"/>
  <c r="I73" i="44"/>
  <c r="X73" i="44" s="1"/>
  <c r="I64" i="44"/>
  <c r="X64" i="44" s="1"/>
  <c r="I83" i="44"/>
  <c r="X83" i="44" s="1"/>
  <c r="I40" i="44"/>
  <c r="X40" i="44" s="1"/>
  <c r="I66" i="44"/>
  <c r="X66" i="44" s="1"/>
  <c r="I68" i="44"/>
  <c r="X68" i="44" s="1"/>
  <c r="I42" i="44"/>
  <c r="X42" i="44" s="1"/>
  <c r="I54" i="44"/>
  <c r="X54" i="44" s="1"/>
  <c r="I46" i="44"/>
  <c r="X46" i="44" s="1"/>
  <c r="I74" i="44"/>
  <c r="X74" i="44" s="1"/>
  <c r="I76" i="44"/>
  <c r="X76" i="44" s="1"/>
  <c r="I61" i="44"/>
  <c r="X61" i="44" s="1"/>
  <c r="I65" i="44"/>
  <c r="X65" i="44" s="1"/>
  <c r="I79" i="44"/>
  <c r="X79" i="44" s="1"/>
  <c r="I71" i="44"/>
  <c r="X71" i="44" s="1"/>
  <c r="I51" i="44"/>
  <c r="X51" i="44" s="1"/>
  <c r="I36" i="44"/>
  <c r="X36" i="44" s="1"/>
  <c r="I67" i="44"/>
  <c r="X67" i="44" s="1"/>
  <c r="I58" i="44"/>
  <c r="X58" i="44" s="1"/>
  <c r="I77" i="44"/>
  <c r="X77" i="44" s="1"/>
  <c r="I33" i="44"/>
  <c r="X33" i="44" s="1"/>
  <c r="I48" i="44"/>
  <c r="X48" i="44" s="1"/>
  <c r="I37" i="44"/>
  <c r="X37" i="44" s="1"/>
  <c r="I82" i="44"/>
  <c r="X82" i="44" s="1"/>
  <c r="C8" i="54"/>
  <c r="K399" i="44"/>
  <c r="Z399" i="44" s="1"/>
  <c r="K414" i="44"/>
  <c r="Z414" i="44" s="1"/>
  <c r="K441" i="44"/>
  <c r="Z441" i="44" s="1"/>
  <c r="K426" i="44"/>
  <c r="Z426" i="44" s="1"/>
  <c r="K432" i="44"/>
  <c r="Z432" i="44" s="1"/>
  <c r="K405" i="44"/>
  <c r="Z405" i="44" s="1"/>
  <c r="K411" i="44"/>
  <c r="Z411" i="44" s="1"/>
  <c r="K423" i="44"/>
  <c r="Z423" i="44" s="1"/>
  <c r="K438" i="44"/>
  <c r="Z438" i="44" s="1"/>
  <c r="K418" i="44"/>
  <c r="Z418" i="44" s="1"/>
  <c r="K413" i="44"/>
  <c r="Z413" i="44" s="1"/>
  <c r="K417" i="44"/>
  <c r="Z417" i="44" s="1"/>
  <c r="K394" i="44"/>
  <c r="Z394" i="44" s="1"/>
  <c r="K407" i="44"/>
  <c r="Z407" i="44" s="1"/>
  <c r="K397" i="44"/>
  <c r="Z397" i="44" s="1"/>
  <c r="K400" i="44"/>
  <c r="Z400" i="44" s="1"/>
  <c r="K393" i="44"/>
  <c r="Z393" i="44" s="1"/>
  <c r="K410" i="44"/>
  <c r="Z410" i="44" s="1"/>
  <c r="K431" i="44"/>
  <c r="Z431" i="44" s="1"/>
  <c r="K419" i="44"/>
  <c r="Z419" i="44" s="1"/>
  <c r="K442" i="44"/>
  <c r="Z442" i="44" s="1"/>
  <c r="K433" i="44"/>
  <c r="Z433" i="44" s="1"/>
  <c r="K436" i="44"/>
  <c r="Z436" i="44" s="1"/>
  <c r="K439" i="44"/>
  <c r="Z439" i="44" s="1"/>
  <c r="K429" i="44"/>
  <c r="Z429" i="44" s="1"/>
  <c r="K401" i="44"/>
  <c r="Z401" i="44" s="1"/>
  <c r="K404" i="44"/>
  <c r="Z404" i="44" s="1"/>
  <c r="K395" i="44"/>
  <c r="Z395" i="44" s="1"/>
  <c r="K409" i="44"/>
  <c r="Z409" i="44" s="1"/>
  <c r="K402" i="44"/>
  <c r="Z402" i="44" s="1"/>
  <c r="K425" i="44"/>
  <c r="Z425" i="44" s="1"/>
  <c r="K415" i="44"/>
  <c r="Z415" i="44" s="1"/>
  <c r="K428" i="44"/>
  <c r="Z428" i="44" s="1"/>
  <c r="K420" i="44"/>
  <c r="Z420" i="44" s="1"/>
  <c r="K398" i="44"/>
  <c r="Z398" i="44" s="1"/>
  <c r="K440" i="44"/>
  <c r="Z440" i="44" s="1"/>
  <c r="K434" i="44"/>
  <c r="Z434" i="44" s="1"/>
  <c r="K406" i="44"/>
  <c r="Z406" i="44" s="1"/>
  <c r="K412" i="44"/>
  <c r="Z412" i="44" s="1"/>
  <c r="K421" i="44"/>
  <c r="Z421" i="44" s="1"/>
  <c r="K422" i="44"/>
  <c r="Z422" i="44" s="1"/>
  <c r="K427" i="44"/>
  <c r="Z427" i="44" s="1"/>
  <c r="K435" i="44"/>
  <c r="Z435" i="44" s="1"/>
  <c r="K437" i="44"/>
  <c r="Z437" i="44" s="1"/>
  <c r="K430" i="44"/>
  <c r="Z430" i="44" s="1"/>
  <c r="K396" i="44"/>
  <c r="Z396" i="44" s="1"/>
  <c r="K408" i="44"/>
  <c r="Z408" i="44" s="1"/>
  <c r="K403" i="44"/>
  <c r="Z403" i="44" s="1"/>
  <c r="K443" i="44"/>
  <c r="Z443" i="44" s="1"/>
  <c r="K416" i="44"/>
  <c r="Z416" i="44" s="1"/>
  <c r="K424" i="44"/>
  <c r="Z424" i="44" s="1"/>
  <c r="C9" i="56"/>
  <c r="C63" i="52" s="1"/>
  <c r="K602" i="44"/>
  <c r="Z602" i="44" s="1"/>
  <c r="K611" i="44"/>
  <c r="Z611" i="44" s="1"/>
  <c r="K620" i="44"/>
  <c r="Z620" i="44" s="1"/>
  <c r="K637" i="44"/>
  <c r="Z637" i="44" s="1"/>
  <c r="K614" i="44"/>
  <c r="Z614" i="44" s="1"/>
  <c r="K639" i="44"/>
  <c r="Z639" i="44" s="1"/>
  <c r="K601" i="44"/>
  <c r="Z601" i="44" s="1"/>
  <c r="K610" i="44"/>
  <c r="Z610" i="44" s="1"/>
  <c r="K619" i="44"/>
  <c r="Z619" i="44" s="1"/>
  <c r="K628" i="44"/>
  <c r="Z628" i="44" s="1"/>
  <c r="K645" i="44"/>
  <c r="Z645" i="44" s="1"/>
  <c r="K646" i="44"/>
  <c r="Z646" i="44" s="1"/>
  <c r="K607" i="44"/>
  <c r="Z607" i="44" s="1"/>
  <c r="K609" i="44"/>
  <c r="Z609" i="44" s="1"/>
  <c r="K618" i="44"/>
  <c r="Z618" i="44" s="1"/>
  <c r="K627" i="44"/>
  <c r="Z627" i="44" s="1"/>
  <c r="K636" i="44"/>
  <c r="Z636" i="44" s="1"/>
  <c r="K608" i="44"/>
  <c r="Z608" i="44" s="1"/>
  <c r="K615" i="44"/>
  <c r="Z615" i="44" s="1"/>
  <c r="K622" i="44"/>
  <c r="Z622" i="44" s="1"/>
  <c r="K617" i="44"/>
  <c r="Z617" i="44" s="1"/>
  <c r="K626" i="44"/>
  <c r="Z626" i="44" s="1"/>
  <c r="K635" i="44"/>
  <c r="Z635" i="44" s="1"/>
  <c r="K644" i="44"/>
  <c r="Z644" i="44" s="1"/>
  <c r="K616" i="44"/>
  <c r="Z616" i="44" s="1"/>
  <c r="K647" i="44"/>
  <c r="Z647" i="44" s="1"/>
  <c r="K631" i="44"/>
  <c r="Z631" i="44" s="1"/>
  <c r="K625" i="44"/>
  <c r="Z625" i="44" s="1"/>
  <c r="K634" i="44"/>
  <c r="Z634" i="44" s="1"/>
  <c r="K643" i="44"/>
  <c r="Z643" i="44" s="1"/>
  <c r="K605" i="44"/>
  <c r="Z605" i="44" s="1"/>
  <c r="K624" i="44"/>
  <c r="Z624" i="44" s="1"/>
  <c r="K623" i="44"/>
  <c r="Z623" i="44" s="1"/>
  <c r="K633" i="44"/>
  <c r="Z633" i="44" s="1"/>
  <c r="K642" i="44"/>
  <c r="Z642" i="44" s="1"/>
  <c r="K600" i="44"/>
  <c r="Z600" i="44" s="1"/>
  <c r="K613" i="44"/>
  <c r="Z613" i="44" s="1"/>
  <c r="K632" i="44"/>
  <c r="Z632" i="44" s="1"/>
  <c r="K630" i="44"/>
  <c r="Z630" i="44" s="1"/>
  <c r="K641" i="44"/>
  <c r="Z641" i="44" s="1"/>
  <c r="K650" i="44"/>
  <c r="Z650" i="44" s="1"/>
  <c r="K604" i="44"/>
  <c r="Z604" i="44" s="1"/>
  <c r="K621" i="44"/>
  <c r="Z621" i="44" s="1"/>
  <c r="K640" i="44"/>
  <c r="Z640" i="44" s="1"/>
  <c r="K606" i="44"/>
  <c r="Z606" i="44" s="1"/>
  <c r="K638" i="44"/>
  <c r="Z638" i="44" s="1"/>
  <c r="K649" i="44"/>
  <c r="Z649" i="44" s="1"/>
  <c r="K603" i="44"/>
  <c r="Z603" i="44" s="1"/>
  <c r="K612" i="44"/>
  <c r="Z612" i="44" s="1"/>
  <c r="K629" i="44"/>
  <c r="Z629" i="44" s="1"/>
  <c r="K648" i="44"/>
  <c r="Z648" i="44" s="1"/>
  <c r="H273" i="44"/>
  <c r="W273" i="44" s="1"/>
  <c r="H251" i="44"/>
  <c r="W251" i="44" s="1"/>
  <c r="H245" i="44"/>
  <c r="W245" i="44" s="1"/>
  <c r="H239" i="44"/>
  <c r="W239" i="44" s="1"/>
  <c r="H262" i="44"/>
  <c r="W262" i="44" s="1"/>
  <c r="H264" i="44"/>
  <c r="W264" i="44" s="1"/>
  <c r="D10" i="51"/>
  <c r="D11" i="52" s="1"/>
  <c r="H243" i="44"/>
  <c r="W243" i="44" s="1"/>
  <c r="H248" i="44"/>
  <c r="W248" i="44" s="1"/>
  <c r="H242" i="44"/>
  <c r="W242" i="44" s="1"/>
  <c r="H282" i="44"/>
  <c r="W282" i="44" s="1"/>
  <c r="H277" i="44"/>
  <c r="W277" i="44" s="1"/>
  <c r="H244" i="44"/>
  <c r="W244" i="44" s="1"/>
  <c r="H280" i="44"/>
  <c r="W280" i="44" s="1"/>
  <c r="H255" i="44"/>
  <c r="W255" i="44" s="1"/>
  <c r="H241" i="44"/>
  <c r="W241" i="44" s="1"/>
  <c r="H253" i="44"/>
  <c r="W253" i="44" s="1"/>
  <c r="H256" i="44"/>
  <c r="W256" i="44" s="1"/>
  <c r="H252" i="44"/>
  <c r="W252" i="44" s="1"/>
  <c r="H278" i="44"/>
  <c r="W278" i="44" s="1"/>
  <c r="H258" i="44"/>
  <c r="W258" i="44" s="1"/>
  <c r="H247" i="44"/>
  <c r="W247" i="44" s="1"/>
  <c r="H276" i="44"/>
  <c r="W276" i="44" s="1"/>
  <c r="H246" i="44"/>
  <c r="W246" i="44" s="1"/>
  <c r="H237" i="44"/>
  <c r="W237" i="44" s="1"/>
  <c r="H279" i="44"/>
  <c r="W279" i="44" s="1"/>
  <c r="H284" i="44"/>
  <c r="W284" i="44" s="1"/>
  <c r="H283" i="44"/>
  <c r="W283" i="44" s="1"/>
  <c r="H266" i="44"/>
  <c r="W266" i="44" s="1"/>
  <c r="H270" i="44"/>
  <c r="W270" i="44" s="1"/>
  <c r="H268" i="44"/>
  <c r="W268" i="44" s="1"/>
  <c r="H265" i="44"/>
  <c r="W265" i="44" s="1"/>
  <c r="H249" i="44"/>
  <c r="W249" i="44" s="1"/>
  <c r="H261" i="44"/>
  <c r="W261" i="44" s="1"/>
  <c r="H281" i="44"/>
  <c r="W281" i="44" s="1"/>
  <c r="H257" i="44"/>
  <c r="W257" i="44" s="1"/>
  <c r="H238" i="44"/>
  <c r="W238" i="44" s="1"/>
  <c r="H240" i="44"/>
  <c r="W240" i="44" s="1"/>
  <c r="H272" i="44"/>
  <c r="W272" i="44" s="1"/>
  <c r="H287" i="44"/>
  <c r="W287" i="44" s="1"/>
  <c r="H259" i="44"/>
  <c r="W259" i="44" s="1"/>
  <c r="H286" i="44"/>
  <c r="W286" i="44" s="1"/>
  <c r="H260" i="44"/>
  <c r="W260" i="44" s="1"/>
  <c r="H263" i="44"/>
  <c r="W263" i="44" s="1"/>
  <c r="H274" i="44"/>
  <c r="W274" i="44" s="1"/>
  <c r="H269" i="44"/>
  <c r="W269" i="44" s="1"/>
  <c r="H271" i="44"/>
  <c r="W271" i="44" s="1"/>
  <c r="H275" i="44"/>
  <c r="W275" i="44" s="1"/>
  <c r="H254" i="44"/>
  <c r="W254" i="44" s="1"/>
  <c r="H267" i="44"/>
  <c r="W267" i="44" s="1"/>
  <c r="H285" i="44"/>
  <c r="W285" i="44" s="1"/>
  <c r="H250" i="44"/>
  <c r="W250" i="44" s="1"/>
  <c r="K97" i="44"/>
  <c r="Z97" i="44" s="1"/>
  <c r="C7" i="51"/>
  <c r="C8" i="52" s="1"/>
  <c r="K112" i="44"/>
  <c r="Z112" i="44" s="1"/>
  <c r="K128" i="44"/>
  <c r="Z128" i="44" s="1"/>
  <c r="K90" i="44"/>
  <c r="Z90" i="44" s="1"/>
  <c r="K96" i="44"/>
  <c r="Z96" i="44" s="1"/>
  <c r="K95" i="44"/>
  <c r="Z95" i="44" s="1"/>
  <c r="K100" i="44"/>
  <c r="Z100" i="44" s="1"/>
  <c r="K92" i="44"/>
  <c r="Z92" i="44" s="1"/>
  <c r="K88" i="44"/>
  <c r="Z88" i="44" s="1"/>
  <c r="K104" i="44"/>
  <c r="Z104" i="44" s="1"/>
  <c r="K126" i="44"/>
  <c r="Z126" i="44" s="1"/>
  <c r="K123" i="44"/>
  <c r="Z123" i="44" s="1"/>
  <c r="K132" i="44"/>
  <c r="Z132" i="44" s="1"/>
  <c r="K116" i="44"/>
  <c r="Z116" i="44" s="1"/>
  <c r="K105" i="44"/>
  <c r="Z105" i="44" s="1"/>
  <c r="K94" i="44"/>
  <c r="Z94" i="44" s="1"/>
  <c r="K133" i="44"/>
  <c r="Z133" i="44" s="1"/>
  <c r="K101" i="44"/>
  <c r="Z101" i="44" s="1"/>
  <c r="K113" i="44"/>
  <c r="Z113" i="44" s="1"/>
  <c r="K99" i="44"/>
  <c r="Z99" i="44" s="1"/>
  <c r="K93" i="44"/>
  <c r="Z93" i="44" s="1"/>
  <c r="K122" i="44"/>
  <c r="Z122" i="44" s="1"/>
  <c r="K106" i="44"/>
  <c r="Z106" i="44" s="1"/>
  <c r="K120" i="44"/>
  <c r="Z120" i="44" s="1"/>
  <c r="K91" i="44"/>
  <c r="Z91" i="44" s="1"/>
  <c r="K84" i="44"/>
  <c r="Z84" i="44" s="1"/>
  <c r="K110" i="44"/>
  <c r="Z110" i="44" s="1"/>
  <c r="K124" i="44"/>
  <c r="Z124" i="44" s="1"/>
  <c r="K89" i="44"/>
  <c r="Z89" i="44" s="1"/>
  <c r="K85" i="44"/>
  <c r="Z85" i="44" s="1"/>
  <c r="K114" i="44"/>
  <c r="Z114" i="44" s="1"/>
  <c r="K118" i="44"/>
  <c r="Z118" i="44" s="1"/>
  <c r="K107" i="44"/>
  <c r="Z107" i="44" s="1"/>
  <c r="K121" i="44"/>
  <c r="Z121" i="44" s="1"/>
  <c r="K130" i="44"/>
  <c r="Z130" i="44" s="1"/>
  <c r="K117" i="44"/>
  <c r="Z117" i="44" s="1"/>
  <c r="K127" i="44"/>
  <c r="Z127" i="44" s="1"/>
  <c r="K108" i="44"/>
  <c r="Z108" i="44" s="1"/>
  <c r="K111" i="44"/>
  <c r="Z111" i="44" s="1"/>
  <c r="K109" i="44"/>
  <c r="Z109" i="44" s="1"/>
  <c r="K86" i="44"/>
  <c r="Z86" i="44" s="1"/>
  <c r="K103" i="44"/>
  <c r="Z103" i="44" s="1"/>
  <c r="K115" i="44"/>
  <c r="Z115" i="44" s="1"/>
  <c r="K87" i="44"/>
  <c r="Z87" i="44" s="1"/>
  <c r="K98" i="44"/>
  <c r="Z98" i="44" s="1"/>
  <c r="K134" i="44"/>
  <c r="Z134" i="44" s="1"/>
  <c r="K102" i="44"/>
  <c r="Z102" i="44" s="1"/>
  <c r="K125" i="44"/>
  <c r="Z125" i="44" s="1"/>
  <c r="K131" i="44"/>
  <c r="Z131" i="44" s="1"/>
  <c r="K129" i="44"/>
  <c r="Z129" i="44" s="1"/>
  <c r="K119" i="44"/>
  <c r="Z119" i="44" s="1"/>
  <c r="J10" i="56"/>
  <c r="J64" i="52" s="1"/>
  <c r="F8" i="56"/>
  <c r="F62" i="52" s="1"/>
  <c r="G550" i="44"/>
  <c r="V550" i="44" s="1"/>
  <c r="G565" i="44"/>
  <c r="V565" i="44" s="1"/>
  <c r="G588" i="44"/>
  <c r="V588" i="44" s="1"/>
  <c r="G570" i="44"/>
  <c r="V570" i="44" s="1"/>
  <c r="G586" i="44"/>
  <c r="V586" i="44" s="1"/>
  <c r="G575" i="44"/>
  <c r="V575" i="44" s="1"/>
  <c r="G580" i="44"/>
  <c r="V580" i="44" s="1"/>
  <c r="G574" i="44"/>
  <c r="V574" i="44" s="1"/>
  <c r="G589" i="44"/>
  <c r="V589" i="44" s="1"/>
  <c r="G567" i="44"/>
  <c r="V567" i="44" s="1"/>
  <c r="G553" i="44"/>
  <c r="V553" i="44" s="1"/>
  <c r="G591" i="44"/>
  <c r="V591" i="44" s="1"/>
  <c r="G576" i="44"/>
  <c r="V576" i="44" s="1"/>
  <c r="G582" i="44"/>
  <c r="V582" i="44" s="1"/>
  <c r="G568" i="44"/>
  <c r="V568" i="44" s="1"/>
  <c r="G584" i="44"/>
  <c r="V584" i="44" s="1"/>
  <c r="G552" i="44"/>
  <c r="V552" i="44" s="1"/>
  <c r="G579" i="44"/>
  <c r="V579" i="44" s="1"/>
  <c r="G598" i="44"/>
  <c r="V598" i="44" s="1"/>
  <c r="G549" i="44"/>
  <c r="V549" i="44" s="1"/>
  <c r="G569" i="44"/>
  <c r="V569" i="44" s="1"/>
  <c r="G592" i="44"/>
  <c r="V592" i="44" s="1"/>
  <c r="G563" i="44"/>
  <c r="V563" i="44" s="1"/>
  <c r="G557" i="44"/>
  <c r="V557" i="44" s="1"/>
  <c r="G555" i="44"/>
  <c r="V555" i="44" s="1"/>
  <c r="G583" i="44"/>
  <c r="V583" i="44" s="1"/>
  <c r="G559" i="44"/>
  <c r="V559" i="44" s="1"/>
  <c r="G585" i="44"/>
  <c r="V585" i="44" s="1"/>
  <c r="G597" i="44"/>
  <c r="V597" i="44" s="1"/>
  <c r="G595" i="44"/>
  <c r="V595" i="44" s="1"/>
  <c r="G561" i="44"/>
  <c r="V561" i="44" s="1"/>
  <c r="G578" i="44"/>
  <c r="V578" i="44" s="1"/>
  <c r="G551" i="44"/>
  <c r="V551" i="44" s="1"/>
  <c r="G558" i="44"/>
  <c r="V558" i="44" s="1"/>
  <c r="G577" i="44"/>
  <c r="V577" i="44" s="1"/>
  <c r="G571" i="44"/>
  <c r="V571" i="44" s="1"/>
  <c r="G566" i="44"/>
  <c r="V566" i="44" s="1"/>
  <c r="G587" i="44"/>
  <c r="V587" i="44" s="1"/>
  <c r="G572" i="44"/>
  <c r="V572" i="44" s="1"/>
  <c r="G590" i="44"/>
  <c r="V590" i="44" s="1"/>
  <c r="G599" i="44"/>
  <c r="V599" i="44" s="1"/>
  <c r="G593" i="44"/>
  <c r="V593" i="44" s="1"/>
  <c r="G573" i="44"/>
  <c r="V573" i="44" s="1"/>
  <c r="G554" i="44"/>
  <c r="V554" i="44" s="1"/>
  <c r="G560" i="44"/>
  <c r="V560" i="44" s="1"/>
  <c r="G556" i="44"/>
  <c r="V556" i="44" s="1"/>
  <c r="G596" i="44"/>
  <c r="V596" i="44" s="1"/>
  <c r="G564" i="44"/>
  <c r="V564" i="44" s="1"/>
  <c r="G594" i="44"/>
  <c r="V594" i="44" s="1"/>
  <c r="G562" i="44"/>
  <c r="V562" i="44" s="1"/>
  <c r="G581" i="44"/>
  <c r="V581" i="44" s="1"/>
  <c r="E8" i="51"/>
  <c r="E9" i="52" s="1"/>
  <c r="F151" i="44"/>
  <c r="U151" i="44" s="1"/>
  <c r="F143" i="44"/>
  <c r="U143" i="44" s="1"/>
  <c r="F145" i="44"/>
  <c r="U145" i="44" s="1"/>
  <c r="F141" i="44"/>
  <c r="U141" i="44" s="1"/>
  <c r="F182" i="44"/>
  <c r="U182" i="44" s="1"/>
  <c r="F163" i="44"/>
  <c r="U163" i="44" s="1"/>
  <c r="F171" i="44"/>
  <c r="U171" i="44" s="1"/>
  <c r="F146" i="44"/>
  <c r="U146" i="44" s="1"/>
  <c r="F156" i="44"/>
  <c r="U156" i="44" s="1"/>
  <c r="F179" i="44"/>
  <c r="U179" i="44" s="1"/>
  <c r="F165" i="44"/>
  <c r="U165" i="44" s="1"/>
  <c r="F161" i="44"/>
  <c r="U161" i="44" s="1"/>
  <c r="F159" i="44"/>
  <c r="U159" i="44" s="1"/>
  <c r="F180" i="44"/>
  <c r="U180" i="44" s="1"/>
  <c r="F168" i="44"/>
  <c r="U168" i="44" s="1"/>
  <c r="F150" i="44"/>
  <c r="U150" i="44" s="1"/>
  <c r="F158" i="44"/>
  <c r="U158" i="44" s="1"/>
  <c r="F137" i="44"/>
  <c r="U137" i="44" s="1"/>
  <c r="F162" i="44"/>
  <c r="U162" i="44" s="1"/>
  <c r="F135" i="44"/>
  <c r="U135" i="44" s="1"/>
  <c r="F160" i="44"/>
  <c r="U160" i="44" s="1"/>
  <c r="F175" i="44"/>
  <c r="U175" i="44" s="1"/>
  <c r="F148" i="44"/>
  <c r="U148" i="44" s="1"/>
  <c r="F147" i="44"/>
  <c r="U147" i="44" s="1"/>
  <c r="F153" i="44"/>
  <c r="U153" i="44" s="1"/>
  <c r="F178" i="44"/>
  <c r="U178" i="44" s="1"/>
  <c r="F140" i="44"/>
  <c r="U140" i="44" s="1"/>
  <c r="F138" i="44"/>
  <c r="U138" i="44" s="1"/>
  <c r="F173" i="44"/>
  <c r="U173" i="44" s="1"/>
  <c r="F155" i="44"/>
  <c r="U155" i="44" s="1"/>
  <c r="F183" i="44"/>
  <c r="U183" i="44" s="1"/>
  <c r="F184" i="44"/>
  <c r="U184" i="44" s="1"/>
  <c r="F139" i="44"/>
  <c r="U139" i="44" s="1"/>
  <c r="F174" i="44"/>
  <c r="U174" i="44" s="1"/>
  <c r="F181" i="44"/>
  <c r="U181" i="44" s="1"/>
  <c r="F149" i="44"/>
  <c r="U149" i="44" s="1"/>
  <c r="F169" i="44"/>
  <c r="U169" i="44" s="1"/>
  <c r="F177" i="44"/>
  <c r="U177" i="44" s="1"/>
  <c r="F157" i="44"/>
  <c r="U157" i="44" s="1"/>
  <c r="F185" i="44"/>
  <c r="U185" i="44" s="1"/>
  <c r="F166" i="44"/>
  <c r="U166" i="44" s="1"/>
  <c r="F136" i="44"/>
  <c r="U136" i="44" s="1"/>
  <c r="F144" i="44"/>
  <c r="U144" i="44" s="1"/>
  <c r="F172" i="44"/>
  <c r="U172" i="44" s="1"/>
  <c r="F167" i="44"/>
  <c r="U167" i="44" s="1"/>
  <c r="F176" i="44"/>
  <c r="U176" i="44" s="1"/>
  <c r="F152" i="44"/>
  <c r="U152" i="44" s="1"/>
  <c r="F170" i="44"/>
  <c r="U170" i="44" s="1"/>
  <c r="F142" i="44"/>
  <c r="U142" i="44" s="1"/>
  <c r="F164" i="44"/>
  <c r="U164" i="44" s="1"/>
  <c r="F154" i="44"/>
  <c r="U154" i="44" s="1"/>
  <c r="D10" i="54"/>
  <c r="H516" i="44"/>
  <c r="W516" i="44" s="1"/>
  <c r="H531" i="44"/>
  <c r="W531" i="44" s="1"/>
  <c r="H514" i="44"/>
  <c r="W514" i="44" s="1"/>
  <c r="H512" i="44"/>
  <c r="W512" i="44" s="1"/>
  <c r="H528" i="44"/>
  <c r="W528" i="44" s="1"/>
  <c r="H496" i="44"/>
  <c r="W496" i="44" s="1"/>
  <c r="H542" i="44"/>
  <c r="W542" i="44" s="1"/>
  <c r="H532" i="44"/>
  <c r="W532" i="44" s="1"/>
  <c r="H503" i="44"/>
  <c r="W503" i="44" s="1"/>
  <c r="H536" i="44"/>
  <c r="W536" i="44" s="1"/>
  <c r="H534" i="44"/>
  <c r="W534" i="44" s="1"/>
  <c r="H540" i="44"/>
  <c r="W540" i="44" s="1"/>
  <c r="H513" i="44"/>
  <c r="W513" i="44" s="1"/>
  <c r="H498" i="44"/>
  <c r="W498" i="44" s="1"/>
  <c r="H544" i="44"/>
  <c r="W544" i="44" s="1"/>
  <c r="H529" i="44"/>
  <c r="W529" i="44" s="1"/>
  <c r="H497" i="44"/>
  <c r="W497" i="44" s="1"/>
  <c r="H539" i="44"/>
  <c r="W539" i="44" s="1"/>
  <c r="H530" i="44"/>
  <c r="W530" i="44" s="1"/>
  <c r="H509" i="44"/>
  <c r="W509" i="44" s="1"/>
  <c r="H541" i="44"/>
  <c r="W541" i="44" s="1"/>
  <c r="H500" i="44"/>
  <c r="W500" i="44" s="1"/>
  <c r="H525" i="44"/>
  <c r="W525" i="44" s="1"/>
  <c r="H502" i="44"/>
  <c r="W502" i="44" s="1"/>
  <c r="H511" i="44"/>
  <c r="W511" i="44" s="1"/>
  <c r="H501" i="44"/>
  <c r="W501" i="44" s="1"/>
  <c r="H508" i="44"/>
  <c r="W508" i="44" s="1"/>
  <c r="H535" i="44"/>
  <c r="W535" i="44" s="1"/>
  <c r="H522" i="44"/>
  <c r="W522" i="44" s="1"/>
  <c r="H533" i="44"/>
  <c r="W533" i="44" s="1"/>
  <c r="H521" i="44"/>
  <c r="W521" i="44" s="1"/>
  <c r="H524" i="44"/>
  <c r="W524" i="44" s="1"/>
  <c r="H545" i="44"/>
  <c r="W545" i="44" s="1"/>
  <c r="H505" i="44"/>
  <c r="W505" i="44" s="1"/>
  <c r="H517" i="44"/>
  <c r="W517" i="44" s="1"/>
  <c r="H499" i="44"/>
  <c r="W499" i="44" s="1"/>
  <c r="H504" i="44"/>
  <c r="W504" i="44" s="1"/>
  <c r="H527" i="44"/>
  <c r="W527" i="44" s="1"/>
  <c r="H537" i="44"/>
  <c r="W537" i="44" s="1"/>
  <c r="H507" i="44"/>
  <c r="W507" i="44" s="1"/>
  <c r="H526" i="44"/>
  <c r="W526" i="44" s="1"/>
  <c r="H543" i="44"/>
  <c r="W543" i="44" s="1"/>
  <c r="H518" i="44"/>
  <c r="W518" i="44" s="1"/>
  <c r="H515" i="44"/>
  <c r="W515" i="44" s="1"/>
  <c r="H510" i="44"/>
  <c r="W510" i="44" s="1"/>
  <c r="H506" i="44"/>
  <c r="W506" i="44" s="1"/>
  <c r="H538" i="44"/>
  <c r="W538" i="44" s="1"/>
  <c r="H523" i="44"/>
  <c r="W523" i="44" s="1"/>
  <c r="H520" i="44"/>
  <c r="W520" i="44" s="1"/>
  <c r="H495" i="44"/>
  <c r="W495" i="44" s="1"/>
  <c r="H519" i="44"/>
  <c r="W519" i="44" s="1"/>
  <c r="F214" i="44"/>
  <c r="U214" i="44" s="1"/>
  <c r="F225" i="44"/>
  <c r="U225" i="44" s="1"/>
  <c r="F230" i="44"/>
  <c r="U230" i="44" s="1"/>
  <c r="F209" i="44"/>
  <c r="U209" i="44" s="1"/>
  <c r="F229" i="44"/>
  <c r="U229" i="44" s="1"/>
  <c r="F189" i="44"/>
  <c r="U189" i="44" s="1"/>
  <c r="F228" i="44"/>
  <c r="U228" i="44" s="1"/>
  <c r="F226" i="44"/>
  <c r="U226" i="44" s="1"/>
  <c r="F190" i="44"/>
  <c r="U190" i="44" s="1"/>
  <c r="F216" i="44"/>
  <c r="U216" i="44" s="1"/>
  <c r="F192" i="44"/>
  <c r="U192" i="44" s="1"/>
  <c r="F208" i="44"/>
  <c r="U208" i="44" s="1"/>
  <c r="F198" i="44"/>
  <c r="U198" i="44" s="1"/>
  <c r="E9" i="51"/>
  <c r="E10" i="52" s="1"/>
  <c r="F204" i="44"/>
  <c r="U204" i="44" s="1"/>
  <c r="F205" i="44"/>
  <c r="U205" i="44" s="1"/>
  <c r="F235" i="44"/>
  <c r="U235" i="44" s="1"/>
  <c r="F232" i="44"/>
  <c r="U232" i="44" s="1"/>
  <c r="F200" i="44"/>
  <c r="U200" i="44" s="1"/>
  <c r="F211" i="44"/>
  <c r="U211" i="44" s="1"/>
  <c r="F197" i="44"/>
  <c r="U197" i="44" s="1"/>
  <c r="F217" i="44"/>
  <c r="U217" i="44" s="1"/>
  <c r="F212" i="44"/>
  <c r="U212" i="44" s="1"/>
  <c r="F194" i="44"/>
  <c r="U194" i="44" s="1"/>
  <c r="F223" i="44"/>
  <c r="U223" i="44" s="1"/>
  <c r="F191" i="44"/>
  <c r="U191" i="44" s="1"/>
  <c r="F222" i="44"/>
  <c r="U222" i="44" s="1"/>
  <c r="F206" i="44"/>
  <c r="U206" i="44" s="1"/>
  <c r="F186" i="44"/>
  <c r="U186" i="44" s="1"/>
  <c r="F203" i="44"/>
  <c r="U203" i="44" s="1"/>
  <c r="F210" i="44"/>
  <c r="U210" i="44" s="1"/>
  <c r="F193" i="44"/>
  <c r="U193" i="44" s="1"/>
  <c r="F199" i="44"/>
  <c r="U199" i="44" s="1"/>
  <c r="F224" i="44"/>
  <c r="U224" i="44" s="1"/>
  <c r="F213" i="44"/>
  <c r="U213" i="44" s="1"/>
  <c r="F196" i="44"/>
  <c r="U196" i="44" s="1"/>
  <c r="F221" i="44"/>
  <c r="U221" i="44" s="1"/>
  <c r="F202" i="44"/>
  <c r="U202" i="44" s="1"/>
  <c r="F220" i="44"/>
  <c r="U220" i="44" s="1"/>
  <c r="F195" i="44"/>
  <c r="U195" i="44" s="1"/>
  <c r="F188" i="44"/>
  <c r="U188" i="44" s="1"/>
  <c r="F219" i="44"/>
  <c r="U219" i="44" s="1"/>
  <c r="F187" i="44"/>
  <c r="U187" i="44" s="1"/>
  <c r="F236" i="44"/>
  <c r="U236" i="44" s="1"/>
  <c r="F234" i="44"/>
  <c r="U234" i="44" s="1"/>
  <c r="F201" i="44"/>
  <c r="U201" i="44" s="1"/>
  <c r="F233" i="44"/>
  <c r="U233" i="44" s="1"/>
  <c r="F218" i="44"/>
  <c r="U218" i="44" s="1"/>
  <c r="F227" i="44"/>
  <c r="U227" i="44" s="1"/>
  <c r="F207" i="44"/>
  <c r="U207" i="44" s="1"/>
  <c r="F215" i="44"/>
  <c r="U215" i="44" s="1"/>
  <c r="F231" i="44"/>
  <c r="U231" i="44" s="1"/>
  <c r="B9" i="56"/>
  <c r="B63" i="52" s="1"/>
  <c r="J637" i="44"/>
  <c r="Y637" i="44" s="1"/>
  <c r="J607" i="44"/>
  <c r="Y607" i="44" s="1"/>
  <c r="J624" i="44"/>
  <c r="Y624" i="44" s="1"/>
  <c r="J633" i="44"/>
  <c r="Y633" i="44" s="1"/>
  <c r="J644" i="44"/>
  <c r="Y644" i="44" s="1"/>
  <c r="J650" i="44"/>
  <c r="Y650" i="44" s="1"/>
  <c r="J614" i="44"/>
  <c r="Y614" i="44" s="1"/>
  <c r="J631" i="44"/>
  <c r="Y631" i="44" s="1"/>
  <c r="J648" i="44"/>
  <c r="Y648" i="44" s="1"/>
  <c r="J604" i="44"/>
  <c r="Y604" i="44" s="1"/>
  <c r="J603" i="44"/>
  <c r="Y603" i="44" s="1"/>
  <c r="J642" i="44"/>
  <c r="Y642" i="44" s="1"/>
  <c r="J605" i="44"/>
  <c r="Y605" i="44" s="1"/>
  <c r="J622" i="44"/>
  <c r="Y622" i="44" s="1"/>
  <c r="J639" i="44"/>
  <c r="Y639" i="44" s="1"/>
  <c r="J601" i="44"/>
  <c r="Y601" i="44" s="1"/>
  <c r="J612" i="44"/>
  <c r="Y612" i="44" s="1"/>
  <c r="J635" i="44"/>
  <c r="Y635" i="44" s="1"/>
  <c r="J610" i="44"/>
  <c r="Y610" i="44" s="1"/>
  <c r="J613" i="44"/>
  <c r="Y613" i="44" s="1"/>
  <c r="J630" i="44"/>
  <c r="Y630" i="44" s="1"/>
  <c r="J647" i="44"/>
  <c r="Y647" i="44" s="1"/>
  <c r="J609" i="44"/>
  <c r="Y609" i="44" s="1"/>
  <c r="J620" i="44"/>
  <c r="Y620" i="44" s="1"/>
  <c r="J611" i="44"/>
  <c r="Y611" i="44" s="1"/>
  <c r="J619" i="44"/>
  <c r="Y619" i="44" s="1"/>
  <c r="J621" i="44"/>
  <c r="Y621" i="44" s="1"/>
  <c r="J638" i="44"/>
  <c r="Y638" i="44" s="1"/>
  <c r="J608" i="44"/>
  <c r="Y608" i="44" s="1"/>
  <c r="J617" i="44"/>
  <c r="Y617" i="44" s="1"/>
  <c r="J628" i="44"/>
  <c r="Y628" i="44" s="1"/>
  <c r="J643" i="44"/>
  <c r="Y643" i="44" s="1"/>
  <c r="J627" i="44"/>
  <c r="Y627" i="44" s="1"/>
  <c r="J606" i="44"/>
  <c r="Y606" i="44" s="1"/>
  <c r="J641" i="44"/>
  <c r="Y641" i="44" s="1"/>
  <c r="J646" i="44"/>
  <c r="Y646" i="44" s="1"/>
  <c r="J649" i="44"/>
  <c r="Y649" i="44" s="1"/>
  <c r="J615" i="44"/>
  <c r="Y615" i="44" s="1"/>
  <c r="J636" i="44"/>
  <c r="Y636" i="44" s="1"/>
  <c r="J623" i="44"/>
  <c r="Y623" i="44" s="1"/>
  <c r="J602" i="44"/>
  <c r="Y602" i="44" s="1"/>
  <c r="J629" i="44"/>
  <c r="Y629" i="44" s="1"/>
  <c r="J640" i="44"/>
  <c r="Y640" i="44" s="1"/>
  <c r="J626" i="44"/>
  <c r="Y626" i="44" s="1"/>
  <c r="J645" i="44"/>
  <c r="Y645" i="44" s="1"/>
  <c r="J616" i="44"/>
  <c r="Y616" i="44" s="1"/>
  <c r="J632" i="44"/>
  <c r="Y632" i="44" s="1"/>
  <c r="J625" i="44"/>
  <c r="Y625" i="44" s="1"/>
  <c r="J634" i="44"/>
  <c r="Y634" i="44" s="1"/>
  <c r="J600" i="44"/>
  <c r="Y600" i="44" s="1"/>
  <c r="J618" i="44"/>
  <c r="Y618" i="44" s="1"/>
  <c r="G10" i="56"/>
  <c r="G64" i="52" s="1"/>
  <c r="L56" i="33" s="1"/>
  <c r="I666" i="44"/>
  <c r="X666" i="44" s="1"/>
  <c r="I683" i="44"/>
  <c r="X683" i="44" s="1"/>
  <c r="I694" i="44"/>
  <c r="X694" i="44" s="1"/>
  <c r="I652" i="44"/>
  <c r="X652" i="44" s="1"/>
  <c r="I685" i="44"/>
  <c r="X685" i="44" s="1"/>
  <c r="I673" i="44"/>
  <c r="X673" i="44" s="1"/>
  <c r="I690" i="44"/>
  <c r="X690" i="44" s="1"/>
  <c r="I654" i="44"/>
  <c r="X654" i="44" s="1"/>
  <c r="I671" i="44"/>
  <c r="X671" i="44" s="1"/>
  <c r="I700" i="44"/>
  <c r="X700" i="44" s="1"/>
  <c r="I660" i="44"/>
  <c r="X660" i="44" s="1"/>
  <c r="I674" i="44"/>
  <c r="X674" i="44" s="1"/>
  <c r="I662" i="44"/>
  <c r="X662" i="44" s="1"/>
  <c r="I677" i="44"/>
  <c r="X677" i="44" s="1"/>
  <c r="I656" i="44"/>
  <c r="X656" i="44" s="1"/>
  <c r="I672" i="44"/>
  <c r="X672" i="44" s="1"/>
  <c r="I682" i="44"/>
  <c r="X682" i="44" s="1"/>
  <c r="I670" i="44"/>
  <c r="X670" i="44" s="1"/>
  <c r="I693" i="44"/>
  <c r="X693" i="44" s="1"/>
  <c r="I688" i="44"/>
  <c r="X688" i="44" s="1"/>
  <c r="I680" i="44"/>
  <c r="X680" i="44" s="1"/>
  <c r="I657" i="44"/>
  <c r="X657" i="44" s="1"/>
  <c r="I698" i="44"/>
  <c r="X698" i="44" s="1"/>
  <c r="I678" i="44"/>
  <c r="X678" i="44" s="1"/>
  <c r="I668" i="44"/>
  <c r="X668" i="44" s="1"/>
  <c r="I692" i="44"/>
  <c r="X692" i="44" s="1"/>
  <c r="I665" i="44"/>
  <c r="X665" i="44" s="1"/>
  <c r="I659" i="44"/>
  <c r="X659" i="44" s="1"/>
  <c r="I686" i="44"/>
  <c r="X686" i="44" s="1"/>
  <c r="I684" i="44"/>
  <c r="X684" i="44" s="1"/>
  <c r="I663" i="44"/>
  <c r="X663" i="44" s="1"/>
  <c r="I681" i="44"/>
  <c r="X681" i="44" s="1"/>
  <c r="I667" i="44"/>
  <c r="X667" i="44" s="1"/>
  <c r="I651" i="44"/>
  <c r="X651" i="44" s="1"/>
  <c r="I653" i="44"/>
  <c r="X653" i="44" s="1"/>
  <c r="I695" i="44"/>
  <c r="X695" i="44" s="1"/>
  <c r="I689" i="44"/>
  <c r="X689" i="44" s="1"/>
  <c r="I675" i="44"/>
  <c r="X675" i="44" s="1"/>
  <c r="I655" i="44"/>
  <c r="X655" i="44" s="1"/>
  <c r="I679" i="44"/>
  <c r="X679" i="44" s="1"/>
  <c r="I664" i="44"/>
  <c r="X664" i="44" s="1"/>
  <c r="I697" i="44"/>
  <c r="X697" i="44" s="1"/>
  <c r="I691" i="44"/>
  <c r="X691" i="44" s="1"/>
  <c r="I687" i="44"/>
  <c r="X687" i="44" s="1"/>
  <c r="I676" i="44"/>
  <c r="X676" i="44" s="1"/>
  <c r="I696" i="44"/>
  <c r="X696" i="44" s="1"/>
  <c r="I661" i="44"/>
  <c r="X661" i="44" s="1"/>
  <c r="I701" i="44"/>
  <c r="X701" i="44" s="1"/>
  <c r="I669" i="44"/>
  <c r="X669" i="44" s="1"/>
  <c r="I658" i="44"/>
  <c r="X658" i="44" s="1"/>
  <c r="I699" i="44"/>
  <c r="X699" i="44" s="1"/>
  <c r="C138" i="44"/>
  <c r="C164" i="44"/>
  <c r="U7" i="44"/>
  <c r="I8" i="51"/>
  <c r="I9" i="52" s="1"/>
  <c r="C183" i="44"/>
  <c r="C141" i="44"/>
  <c r="C148" i="44"/>
  <c r="C137" i="44"/>
  <c r="C151" i="44"/>
  <c r="C143" i="44"/>
  <c r="C152" i="44"/>
  <c r="C158" i="44"/>
  <c r="C136" i="44"/>
  <c r="C181" i="44"/>
  <c r="C144" i="44"/>
  <c r="L144" i="44" s="1"/>
  <c r="T144" i="44" s="1"/>
  <c r="C182" i="44"/>
  <c r="C184" i="44"/>
  <c r="C176" i="44"/>
  <c r="C162" i="44"/>
  <c r="C135" i="44"/>
  <c r="C150" i="44"/>
  <c r="C142" i="44"/>
  <c r="C146" i="44"/>
  <c r="C139" i="44"/>
  <c r="C157" i="44"/>
  <c r="C174" i="44"/>
  <c r="C145" i="44"/>
  <c r="C168" i="44"/>
  <c r="C171" i="44"/>
  <c r="C140" i="44"/>
  <c r="C166" i="44"/>
  <c r="C149" i="44"/>
  <c r="C163" i="44"/>
  <c r="C147" i="44"/>
  <c r="C175" i="44"/>
  <c r="C170" i="44"/>
  <c r="C185" i="44"/>
  <c r="C178" i="44"/>
  <c r="C161" i="44"/>
  <c r="C154" i="44"/>
  <c r="C153" i="44"/>
  <c r="C159" i="44"/>
  <c r="C177" i="44"/>
  <c r="C173" i="44"/>
  <c r="C165" i="44"/>
  <c r="C160" i="44"/>
  <c r="C167" i="44"/>
  <c r="C156" i="44"/>
  <c r="C179" i="44"/>
  <c r="C155" i="44"/>
  <c r="C169" i="44"/>
  <c r="C180" i="44"/>
  <c r="C172" i="44"/>
  <c r="G11" i="56"/>
  <c r="G65" i="52" s="1"/>
  <c r="I703" i="44"/>
  <c r="X703" i="44" s="1"/>
  <c r="I712" i="44"/>
  <c r="X712" i="44" s="1"/>
  <c r="I721" i="44"/>
  <c r="X721" i="44" s="1"/>
  <c r="I732" i="44"/>
  <c r="X732" i="44" s="1"/>
  <c r="I747" i="44"/>
  <c r="X747" i="44" s="1"/>
  <c r="I749" i="44"/>
  <c r="X749" i="44" s="1"/>
  <c r="I742" i="44"/>
  <c r="X742" i="44" s="1"/>
  <c r="I727" i="44"/>
  <c r="X727" i="44" s="1"/>
  <c r="I736" i="44"/>
  <c r="X736" i="44" s="1"/>
  <c r="I745" i="44"/>
  <c r="X745" i="44" s="1"/>
  <c r="I709" i="44"/>
  <c r="X709" i="44" s="1"/>
  <c r="I738" i="44"/>
  <c r="X738" i="44" s="1"/>
  <c r="I733" i="44"/>
  <c r="X733" i="44" s="1"/>
  <c r="I735" i="44"/>
  <c r="X735" i="44" s="1"/>
  <c r="I744" i="44"/>
  <c r="X744" i="44" s="1"/>
  <c r="I702" i="44"/>
  <c r="X702" i="44" s="1"/>
  <c r="I725" i="44"/>
  <c r="X725" i="44" s="1"/>
  <c r="I730" i="44"/>
  <c r="X730" i="44" s="1"/>
  <c r="I734" i="44"/>
  <c r="X734" i="44" s="1"/>
  <c r="I743" i="44"/>
  <c r="X743" i="44" s="1"/>
  <c r="I752" i="44"/>
  <c r="X752" i="44" s="1"/>
  <c r="I708" i="44"/>
  <c r="X708" i="44" s="1"/>
  <c r="I741" i="44"/>
  <c r="X741" i="44" s="1"/>
  <c r="I726" i="44"/>
  <c r="X726" i="44" s="1"/>
  <c r="I707" i="44"/>
  <c r="X707" i="44" s="1"/>
  <c r="I751" i="44"/>
  <c r="X751" i="44" s="1"/>
  <c r="I705" i="44"/>
  <c r="X705" i="44" s="1"/>
  <c r="I716" i="44"/>
  <c r="X716" i="44" s="1"/>
  <c r="I715" i="44"/>
  <c r="X715" i="44" s="1"/>
  <c r="I750" i="44"/>
  <c r="X750" i="44" s="1"/>
  <c r="I739" i="44"/>
  <c r="X739" i="44" s="1"/>
  <c r="I729" i="44"/>
  <c r="X729" i="44" s="1"/>
  <c r="I717" i="44"/>
  <c r="X717" i="44" s="1"/>
  <c r="I737" i="44"/>
  <c r="X737" i="44" s="1"/>
  <c r="I718" i="44"/>
  <c r="X718" i="44" s="1"/>
  <c r="I711" i="44"/>
  <c r="X711" i="44" s="1"/>
  <c r="I724" i="44"/>
  <c r="X724" i="44" s="1"/>
  <c r="I723" i="44"/>
  <c r="X723" i="44" s="1"/>
  <c r="I719" i="44"/>
  <c r="X719" i="44" s="1"/>
  <c r="I740" i="44"/>
  <c r="X740" i="44" s="1"/>
  <c r="I710" i="44"/>
  <c r="X710" i="44" s="1"/>
  <c r="I728" i="44"/>
  <c r="X728" i="44" s="1"/>
  <c r="I706" i="44"/>
  <c r="X706" i="44" s="1"/>
  <c r="I748" i="44"/>
  <c r="X748" i="44" s="1"/>
  <c r="I731" i="44"/>
  <c r="X731" i="44" s="1"/>
  <c r="I722" i="44"/>
  <c r="X722" i="44" s="1"/>
  <c r="I714" i="44"/>
  <c r="X714" i="44" s="1"/>
  <c r="I746" i="44"/>
  <c r="X746" i="44" s="1"/>
  <c r="I704" i="44"/>
  <c r="X704" i="44" s="1"/>
  <c r="I720" i="44"/>
  <c r="X720" i="44" s="1"/>
  <c r="I713" i="44"/>
  <c r="X713" i="44" s="1"/>
  <c r="B9" i="54"/>
  <c r="J457" i="44"/>
  <c r="Y457" i="44" s="1"/>
  <c r="J472" i="44"/>
  <c r="Y472" i="44" s="1"/>
  <c r="J454" i="44"/>
  <c r="Y454" i="44" s="1"/>
  <c r="J453" i="44"/>
  <c r="Y453" i="44" s="1"/>
  <c r="J471" i="44"/>
  <c r="Y471" i="44" s="1"/>
  <c r="J475" i="44"/>
  <c r="Y475" i="44" s="1"/>
  <c r="J479" i="44"/>
  <c r="Y479" i="44" s="1"/>
  <c r="J481" i="44"/>
  <c r="Y481" i="44" s="1"/>
  <c r="J445" i="44"/>
  <c r="Y445" i="44" s="1"/>
  <c r="J486" i="44"/>
  <c r="Y486" i="44" s="1"/>
  <c r="J444" i="44"/>
  <c r="Y444" i="44" s="1"/>
  <c r="J460" i="44"/>
  <c r="Y460" i="44" s="1"/>
  <c r="J462" i="44"/>
  <c r="Y462" i="44" s="1"/>
  <c r="J489" i="44"/>
  <c r="Y489" i="44" s="1"/>
  <c r="J455" i="44"/>
  <c r="Y455" i="44" s="1"/>
  <c r="J452" i="44"/>
  <c r="Y452" i="44" s="1"/>
  <c r="J458" i="44"/>
  <c r="Y458" i="44" s="1"/>
  <c r="J474" i="44"/>
  <c r="Y474" i="44" s="1"/>
  <c r="J478" i="44"/>
  <c r="Y478" i="44" s="1"/>
  <c r="J448" i="44"/>
  <c r="Y448" i="44" s="1"/>
  <c r="J467" i="44"/>
  <c r="Y467" i="44" s="1"/>
  <c r="J468" i="44"/>
  <c r="Y468" i="44" s="1"/>
  <c r="J470" i="44"/>
  <c r="Y470" i="44" s="1"/>
  <c r="J490" i="44"/>
  <c r="Y490" i="44" s="1"/>
  <c r="J492" i="44"/>
  <c r="Y492" i="44" s="1"/>
  <c r="J456" i="44"/>
  <c r="Y456" i="44" s="1"/>
  <c r="J477" i="44"/>
  <c r="Y477" i="44" s="1"/>
  <c r="J482" i="44"/>
  <c r="Y482" i="44" s="1"/>
  <c r="J484" i="44"/>
  <c r="Y484" i="44" s="1"/>
  <c r="J447" i="44"/>
  <c r="Y447" i="44" s="1"/>
  <c r="J451" i="44"/>
  <c r="Y451" i="44" s="1"/>
  <c r="J464" i="44"/>
  <c r="Y464" i="44" s="1"/>
  <c r="J483" i="44"/>
  <c r="Y483" i="44" s="1"/>
  <c r="J493" i="44"/>
  <c r="Y493" i="44" s="1"/>
  <c r="J480" i="44"/>
  <c r="Y480" i="44" s="1"/>
  <c r="J459" i="44"/>
  <c r="Y459" i="44" s="1"/>
  <c r="J488" i="44"/>
  <c r="Y488" i="44" s="1"/>
  <c r="J485" i="44"/>
  <c r="Y485" i="44" s="1"/>
  <c r="J487" i="44"/>
  <c r="Y487" i="44" s="1"/>
  <c r="J446" i="44"/>
  <c r="Y446" i="44" s="1"/>
  <c r="J466" i="44"/>
  <c r="Y466" i="44" s="1"/>
  <c r="J461" i="44"/>
  <c r="Y461" i="44" s="1"/>
  <c r="J449" i="44"/>
  <c r="Y449" i="44" s="1"/>
  <c r="J476" i="44"/>
  <c r="Y476" i="44" s="1"/>
  <c r="J491" i="44"/>
  <c r="Y491" i="44" s="1"/>
  <c r="J465" i="44"/>
  <c r="Y465" i="44" s="1"/>
  <c r="J494" i="44"/>
  <c r="Y494" i="44" s="1"/>
  <c r="J450" i="44"/>
  <c r="Y450" i="44" s="1"/>
  <c r="J473" i="44"/>
  <c r="Y473" i="44" s="1"/>
  <c r="J463" i="44"/>
  <c r="Y463" i="44" s="1"/>
  <c r="J469" i="44"/>
  <c r="Y469" i="44" s="1"/>
  <c r="E11" i="56"/>
  <c r="E65" i="52" s="1"/>
  <c r="F705" i="44"/>
  <c r="U705" i="44" s="1"/>
  <c r="F742" i="44"/>
  <c r="U742" i="44" s="1"/>
  <c r="F727" i="44"/>
  <c r="U727" i="44" s="1"/>
  <c r="F717" i="44"/>
  <c r="U717" i="44" s="1"/>
  <c r="F719" i="44"/>
  <c r="U719" i="44" s="1"/>
  <c r="F725" i="44"/>
  <c r="U725" i="44" s="1"/>
  <c r="F721" i="44"/>
  <c r="U721" i="44" s="1"/>
  <c r="F710" i="44"/>
  <c r="U710" i="44" s="1"/>
  <c r="F752" i="44"/>
  <c r="U752" i="44" s="1"/>
  <c r="F744" i="44"/>
  <c r="U744" i="44" s="1"/>
  <c r="F746" i="44"/>
  <c r="U746" i="44" s="1"/>
  <c r="F748" i="44"/>
  <c r="U748" i="44" s="1"/>
  <c r="F729" i="44"/>
  <c r="U729" i="44" s="1"/>
  <c r="F720" i="44"/>
  <c r="U720" i="44" s="1"/>
  <c r="F716" i="44"/>
  <c r="U716" i="44" s="1"/>
  <c r="F704" i="44"/>
  <c r="U704" i="44" s="1"/>
  <c r="F708" i="44"/>
  <c r="U708" i="44" s="1"/>
  <c r="F712" i="44"/>
  <c r="U712" i="44" s="1"/>
  <c r="F731" i="44"/>
  <c r="U731" i="44" s="1"/>
  <c r="F741" i="44"/>
  <c r="U741" i="44" s="1"/>
  <c r="F730" i="44"/>
  <c r="U730" i="44" s="1"/>
  <c r="F747" i="44"/>
  <c r="U747" i="44" s="1"/>
  <c r="F713" i="44"/>
  <c r="U713" i="44" s="1"/>
  <c r="F749" i="44"/>
  <c r="U749" i="44" s="1"/>
  <c r="F718" i="44"/>
  <c r="U718" i="44" s="1"/>
  <c r="F709" i="44"/>
  <c r="U709" i="44" s="1"/>
  <c r="F737" i="44"/>
  <c r="U737" i="44" s="1"/>
  <c r="F714" i="44"/>
  <c r="U714" i="44" s="1"/>
  <c r="F734" i="44"/>
  <c r="U734" i="44" s="1"/>
  <c r="F738" i="44"/>
  <c r="U738" i="44" s="1"/>
  <c r="F711" i="44"/>
  <c r="U711" i="44" s="1"/>
  <c r="F740" i="44"/>
  <c r="U740" i="44" s="1"/>
  <c r="F745" i="44"/>
  <c r="U745" i="44" s="1"/>
  <c r="F726" i="44"/>
  <c r="U726" i="44" s="1"/>
  <c r="F722" i="44"/>
  <c r="U722" i="44" s="1"/>
  <c r="F728" i="44"/>
  <c r="U728" i="44" s="1"/>
  <c r="F706" i="44"/>
  <c r="U706" i="44" s="1"/>
  <c r="F739" i="44"/>
  <c r="U739" i="44" s="1"/>
  <c r="F707" i="44"/>
  <c r="U707" i="44" s="1"/>
  <c r="F733" i="44"/>
  <c r="U733" i="44" s="1"/>
  <c r="F743" i="44"/>
  <c r="U743" i="44" s="1"/>
  <c r="F735" i="44"/>
  <c r="U735" i="44" s="1"/>
  <c r="F751" i="44"/>
  <c r="U751" i="44" s="1"/>
  <c r="F715" i="44"/>
  <c r="U715" i="44" s="1"/>
  <c r="F750" i="44"/>
  <c r="U750" i="44" s="1"/>
  <c r="F702" i="44"/>
  <c r="U702" i="44" s="1"/>
  <c r="F724" i="44"/>
  <c r="U724" i="44" s="1"/>
  <c r="F723" i="44"/>
  <c r="U723" i="44" s="1"/>
  <c r="F732" i="44"/>
  <c r="U732" i="44" s="1"/>
  <c r="F703" i="44"/>
  <c r="U703" i="44" s="1"/>
  <c r="F736" i="44"/>
  <c r="U736" i="44" s="1"/>
  <c r="H9" i="51"/>
  <c r="H10" i="52" s="1"/>
  <c r="F12" i="56"/>
  <c r="F66" i="52" s="1"/>
  <c r="G781" i="44"/>
  <c r="V781" i="44" s="1"/>
  <c r="G800" i="44"/>
  <c r="V800" i="44" s="1"/>
  <c r="G764" i="44"/>
  <c r="V764" i="44" s="1"/>
  <c r="G761" i="44"/>
  <c r="V761" i="44" s="1"/>
  <c r="G799" i="44"/>
  <c r="V799" i="44" s="1"/>
  <c r="G772" i="44"/>
  <c r="V772" i="44" s="1"/>
  <c r="G797" i="44"/>
  <c r="V797" i="44" s="1"/>
  <c r="G760" i="44"/>
  <c r="V760" i="44" s="1"/>
  <c r="G771" i="44"/>
  <c r="V771" i="44" s="1"/>
  <c r="G802" i="44"/>
  <c r="V802" i="44" s="1"/>
  <c r="G766" i="44"/>
  <c r="V766" i="44" s="1"/>
  <c r="G753" i="44"/>
  <c r="V753" i="44" s="1"/>
  <c r="G774" i="44"/>
  <c r="V774" i="44" s="1"/>
  <c r="G757" i="44"/>
  <c r="V757" i="44" s="1"/>
  <c r="G755" i="44"/>
  <c r="V755" i="44" s="1"/>
  <c r="G762" i="44"/>
  <c r="V762" i="44" s="1"/>
  <c r="G767" i="44"/>
  <c r="V767" i="44" s="1"/>
  <c r="G791" i="44"/>
  <c r="V791" i="44" s="1"/>
  <c r="G773" i="44"/>
  <c r="V773" i="44" s="1"/>
  <c r="G779" i="44"/>
  <c r="V779" i="44" s="1"/>
  <c r="G788" i="44"/>
  <c r="V788" i="44" s="1"/>
  <c r="G769" i="44"/>
  <c r="V769" i="44" s="1"/>
  <c r="G793" i="44"/>
  <c r="V793" i="44" s="1"/>
  <c r="G789" i="44"/>
  <c r="V789" i="44" s="1"/>
  <c r="G787" i="44"/>
  <c r="V787" i="44" s="1"/>
  <c r="G801" i="44"/>
  <c r="V801" i="44" s="1"/>
  <c r="G785" i="44"/>
  <c r="V785" i="44" s="1"/>
  <c r="G759" i="44"/>
  <c r="V759" i="44" s="1"/>
  <c r="G792" i="44"/>
  <c r="V792" i="44" s="1"/>
  <c r="G796" i="44"/>
  <c r="V796" i="44" s="1"/>
  <c r="G758" i="44"/>
  <c r="V758" i="44" s="1"/>
  <c r="G795" i="44"/>
  <c r="V795" i="44" s="1"/>
  <c r="G798" i="44"/>
  <c r="V798" i="44" s="1"/>
  <c r="G794" i="44"/>
  <c r="V794" i="44" s="1"/>
  <c r="G803" i="44"/>
  <c r="V803" i="44" s="1"/>
  <c r="G783" i="44"/>
  <c r="V783" i="44" s="1"/>
  <c r="G765" i="44"/>
  <c r="V765" i="44" s="1"/>
  <c r="G777" i="44"/>
  <c r="V777" i="44" s="1"/>
  <c r="G754" i="44"/>
  <c r="V754" i="44" s="1"/>
  <c r="G768" i="44"/>
  <c r="V768" i="44" s="1"/>
  <c r="G790" i="44"/>
  <c r="V790" i="44" s="1"/>
  <c r="G770" i="44"/>
  <c r="V770" i="44" s="1"/>
  <c r="G776" i="44"/>
  <c r="V776" i="44" s="1"/>
  <c r="G775" i="44"/>
  <c r="V775" i="44" s="1"/>
  <c r="G786" i="44"/>
  <c r="V786" i="44" s="1"/>
  <c r="G784" i="44"/>
  <c r="V784" i="44" s="1"/>
  <c r="G763" i="44"/>
  <c r="V763" i="44" s="1"/>
  <c r="G780" i="44"/>
  <c r="V780" i="44" s="1"/>
  <c r="G778" i="44"/>
  <c r="V778" i="44" s="1"/>
  <c r="G782" i="44"/>
  <c r="V782" i="44" s="1"/>
  <c r="G756" i="44"/>
  <c r="V756" i="44" s="1"/>
  <c r="G38" i="44"/>
  <c r="V38" i="44" s="1"/>
  <c r="G33" i="44"/>
  <c r="V33" i="44" s="1"/>
  <c r="G56" i="44"/>
  <c r="V56" i="44" s="1"/>
  <c r="F6" i="51"/>
  <c r="F7" i="52" s="1"/>
  <c r="G66" i="44"/>
  <c r="V66" i="44" s="1"/>
  <c r="G55" i="44"/>
  <c r="V55" i="44" s="1"/>
  <c r="G81" i="44"/>
  <c r="V81" i="44" s="1"/>
  <c r="G76" i="44"/>
  <c r="V76" i="44" s="1"/>
  <c r="G68" i="44"/>
  <c r="V68" i="44" s="1"/>
  <c r="G50" i="44"/>
  <c r="V50" i="44" s="1"/>
  <c r="G83" i="44"/>
  <c r="V83" i="44" s="1"/>
  <c r="G57" i="44"/>
  <c r="V57" i="44" s="1"/>
  <c r="G35" i="44"/>
  <c r="V35" i="44" s="1"/>
  <c r="G41" i="44"/>
  <c r="V41" i="44" s="1"/>
  <c r="G67" i="44"/>
  <c r="V67" i="44" s="1"/>
  <c r="G60" i="44"/>
  <c r="V60" i="44" s="1"/>
  <c r="G78" i="44"/>
  <c r="V78" i="44" s="1"/>
  <c r="G53" i="44"/>
  <c r="V53" i="44" s="1"/>
  <c r="G45" i="44"/>
  <c r="V45" i="44" s="1"/>
  <c r="G82" i="44"/>
  <c r="V82" i="44" s="1"/>
  <c r="G48" i="44"/>
  <c r="V48" i="44" s="1"/>
  <c r="G47" i="44"/>
  <c r="V47" i="44" s="1"/>
  <c r="G36" i="44"/>
  <c r="V36" i="44" s="1"/>
  <c r="G49" i="44"/>
  <c r="V49" i="44" s="1"/>
  <c r="G74" i="44"/>
  <c r="V74" i="44" s="1"/>
  <c r="G40" i="44"/>
  <c r="V40" i="44" s="1"/>
  <c r="G51" i="44"/>
  <c r="V51" i="44" s="1"/>
  <c r="G72" i="44"/>
  <c r="V72" i="44" s="1"/>
  <c r="G46" i="44"/>
  <c r="V46" i="44" s="1"/>
  <c r="G69" i="44"/>
  <c r="V69" i="44" s="1"/>
  <c r="G73" i="44"/>
  <c r="V73" i="44" s="1"/>
  <c r="G63" i="44"/>
  <c r="V63" i="44" s="1"/>
  <c r="G54" i="44"/>
  <c r="V54" i="44" s="1"/>
  <c r="G79" i="44"/>
  <c r="V79" i="44" s="1"/>
  <c r="G70" i="44"/>
  <c r="V70" i="44" s="1"/>
  <c r="G37" i="44"/>
  <c r="V37" i="44" s="1"/>
  <c r="G42" i="44"/>
  <c r="V42" i="44" s="1"/>
  <c r="G44" i="44"/>
  <c r="V44" i="44" s="1"/>
  <c r="G61" i="44"/>
  <c r="V61" i="44" s="1"/>
  <c r="G71" i="44"/>
  <c r="V71" i="44" s="1"/>
  <c r="G52" i="44"/>
  <c r="V52" i="44" s="1"/>
  <c r="G80" i="44"/>
  <c r="V80" i="44" s="1"/>
  <c r="G59" i="44"/>
  <c r="V59" i="44" s="1"/>
  <c r="G62" i="44"/>
  <c r="V62" i="44" s="1"/>
  <c r="G75" i="44"/>
  <c r="V75" i="44" s="1"/>
  <c r="G58" i="44"/>
  <c r="V58" i="44" s="1"/>
  <c r="G39" i="44"/>
  <c r="V39" i="44" s="1"/>
  <c r="G43" i="44"/>
  <c r="V43" i="44" s="1"/>
  <c r="G77" i="44"/>
  <c r="V77" i="44" s="1"/>
  <c r="G64" i="44"/>
  <c r="V64" i="44" s="1"/>
  <c r="G65" i="44"/>
  <c r="V65" i="44" s="1"/>
  <c r="G34" i="44"/>
  <c r="V34" i="44" s="1"/>
  <c r="G9" i="56"/>
  <c r="G63" i="52" s="1"/>
  <c r="I627" i="44"/>
  <c r="X627" i="44" s="1"/>
  <c r="I636" i="44"/>
  <c r="X636" i="44" s="1"/>
  <c r="I608" i="44"/>
  <c r="X608" i="44" s="1"/>
  <c r="I633" i="44"/>
  <c r="X633" i="44" s="1"/>
  <c r="I602" i="44"/>
  <c r="X602" i="44" s="1"/>
  <c r="I631" i="44"/>
  <c r="X631" i="44" s="1"/>
  <c r="I600" i="44"/>
  <c r="X600" i="44" s="1"/>
  <c r="I613" i="44"/>
  <c r="X613" i="44" s="1"/>
  <c r="I632" i="44"/>
  <c r="X632" i="44" s="1"/>
  <c r="I623" i="44"/>
  <c r="X623" i="44" s="1"/>
  <c r="I650" i="44"/>
  <c r="X650" i="44" s="1"/>
  <c r="I638" i="44"/>
  <c r="X638" i="44" s="1"/>
  <c r="I612" i="44"/>
  <c r="X612" i="44" s="1"/>
  <c r="I603" i="44"/>
  <c r="X603" i="44" s="1"/>
  <c r="I628" i="44"/>
  <c r="X628" i="44" s="1"/>
  <c r="I624" i="44"/>
  <c r="X624" i="44" s="1"/>
  <c r="I614" i="44"/>
  <c r="X614" i="44" s="1"/>
  <c r="I622" i="44"/>
  <c r="X622" i="44" s="1"/>
  <c r="I635" i="44"/>
  <c r="X635" i="44" s="1"/>
  <c r="I621" i="44"/>
  <c r="X621" i="44" s="1"/>
  <c r="I601" i="44"/>
  <c r="X601" i="44" s="1"/>
  <c r="I626" i="44"/>
  <c r="X626" i="44" s="1"/>
  <c r="I609" i="44"/>
  <c r="X609" i="44" s="1"/>
  <c r="I605" i="44"/>
  <c r="X605" i="44" s="1"/>
  <c r="I649" i="44"/>
  <c r="X649" i="44" s="1"/>
  <c r="I618" i="44"/>
  <c r="X618" i="44" s="1"/>
  <c r="I611" i="44"/>
  <c r="X611" i="44" s="1"/>
  <c r="I629" i="44"/>
  <c r="X629" i="44" s="1"/>
  <c r="I607" i="44"/>
  <c r="X607" i="44" s="1"/>
  <c r="I634" i="44"/>
  <c r="X634" i="44" s="1"/>
  <c r="I637" i="44"/>
  <c r="X637" i="44" s="1"/>
  <c r="I639" i="44"/>
  <c r="X639" i="44" s="1"/>
  <c r="I606" i="44"/>
  <c r="X606" i="44" s="1"/>
  <c r="I619" i="44"/>
  <c r="X619" i="44" s="1"/>
  <c r="I645" i="44"/>
  <c r="X645" i="44" s="1"/>
  <c r="I630" i="44"/>
  <c r="X630" i="44" s="1"/>
  <c r="I641" i="44"/>
  <c r="X641" i="44" s="1"/>
  <c r="I643" i="44"/>
  <c r="X643" i="44" s="1"/>
  <c r="I616" i="44"/>
  <c r="X616" i="44" s="1"/>
  <c r="I646" i="44"/>
  <c r="X646" i="44" s="1"/>
  <c r="I610" i="44"/>
  <c r="X610" i="44" s="1"/>
  <c r="I647" i="44"/>
  <c r="X647" i="44" s="1"/>
  <c r="I604" i="44"/>
  <c r="X604" i="44" s="1"/>
  <c r="I640" i="44"/>
  <c r="X640" i="44" s="1"/>
  <c r="I625" i="44"/>
  <c r="X625" i="44" s="1"/>
  <c r="I642" i="44"/>
  <c r="X642" i="44" s="1"/>
  <c r="I620" i="44"/>
  <c r="X620" i="44" s="1"/>
  <c r="I615" i="44"/>
  <c r="X615" i="44" s="1"/>
  <c r="I644" i="44"/>
  <c r="X644" i="44" s="1"/>
  <c r="I617" i="44"/>
  <c r="X617" i="44" s="1"/>
  <c r="I648" i="44"/>
  <c r="X648" i="44" s="1"/>
  <c r="H7" i="51"/>
  <c r="H8" i="52" s="1"/>
  <c r="H8" i="56"/>
  <c r="H62" i="52" s="1"/>
  <c r="Q91" i="37"/>
  <c r="J7" i="54"/>
  <c r="F11" i="56"/>
  <c r="F65" i="52" s="1"/>
  <c r="G743" i="44"/>
  <c r="V743" i="44" s="1"/>
  <c r="G709" i="44"/>
  <c r="V709" i="44" s="1"/>
  <c r="G739" i="44"/>
  <c r="V739" i="44" s="1"/>
  <c r="G745" i="44"/>
  <c r="V745" i="44" s="1"/>
  <c r="G734" i="44"/>
  <c r="V734" i="44" s="1"/>
  <c r="G707" i="44"/>
  <c r="V707" i="44" s="1"/>
  <c r="G706" i="44"/>
  <c r="V706" i="44" s="1"/>
  <c r="G725" i="44"/>
  <c r="V725" i="44" s="1"/>
  <c r="G712" i="44"/>
  <c r="V712" i="44" s="1"/>
  <c r="G731" i="44"/>
  <c r="V731" i="44" s="1"/>
  <c r="G704" i="44"/>
  <c r="V704" i="44" s="1"/>
  <c r="G742" i="44"/>
  <c r="V742" i="44" s="1"/>
  <c r="G703" i="44"/>
  <c r="V703" i="44" s="1"/>
  <c r="G714" i="44"/>
  <c r="V714" i="44" s="1"/>
  <c r="G733" i="44"/>
  <c r="V733" i="44" s="1"/>
  <c r="G724" i="44"/>
  <c r="V724" i="44" s="1"/>
  <c r="G747" i="44"/>
  <c r="V747" i="44" s="1"/>
  <c r="G720" i="44"/>
  <c r="V720" i="44" s="1"/>
  <c r="G708" i="44"/>
  <c r="V708" i="44" s="1"/>
  <c r="G738" i="44"/>
  <c r="V738" i="44" s="1"/>
  <c r="G737" i="44"/>
  <c r="V737" i="44" s="1"/>
  <c r="G718" i="44"/>
  <c r="V718" i="44" s="1"/>
  <c r="G744" i="44"/>
  <c r="V744" i="44" s="1"/>
  <c r="G719" i="44"/>
  <c r="V719" i="44" s="1"/>
  <c r="G717" i="44"/>
  <c r="V717" i="44" s="1"/>
  <c r="G710" i="44"/>
  <c r="V710" i="44" s="1"/>
  <c r="G736" i="44"/>
  <c r="V736" i="44" s="1"/>
  <c r="G727" i="44"/>
  <c r="V727" i="44" s="1"/>
  <c r="G741" i="44"/>
  <c r="V741" i="44" s="1"/>
  <c r="G729" i="44"/>
  <c r="V729" i="44" s="1"/>
  <c r="G705" i="44"/>
  <c r="V705" i="44" s="1"/>
  <c r="G730" i="44"/>
  <c r="V730" i="44" s="1"/>
  <c r="G716" i="44"/>
  <c r="V716" i="44" s="1"/>
  <c r="G749" i="44"/>
  <c r="V749" i="44" s="1"/>
  <c r="G748" i="44"/>
  <c r="V748" i="44" s="1"/>
  <c r="G713" i="44"/>
  <c r="V713" i="44" s="1"/>
  <c r="G702" i="44"/>
  <c r="V702" i="44" s="1"/>
  <c r="G711" i="44"/>
  <c r="V711" i="44" s="1"/>
  <c r="G726" i="44"/>
  <c r="V726" i="44" s="1"/>
  <c r="G721" i="44"/>
  <c r="V721" i="44" s="1"/>
  <c r="G735" i="44"/>
  <c r="V735" i="44" s="1"/>
  <c r="G752" i="44"/>
  <c r="V752" i="44" s="1"/>
  <c r="G740" i="44"/>
  <c r="V740" i="44" s="1"/>
  <c r="G751" i="44"/>
  <c r="V751" i="44" s="1"/>
  <c r="G750" i="44"/>
  <c r="V750" i="44" s="1"/>
  <c r="G723" i="44"/>
  <c r="V723" i="44" s="1"/>
  <c r="G722" i="44"/>
  <c r="V722" i="44" s="1"/>
  <c r="G732" i="44"/>
  <c r="V732" i="44" s="1"/>
  <c r="G746" i="44"/>
  <c r="V746" i="44" s="1"/>
  <c r="G715" i="44"/>
  <c r="V715" i="44" s="1"/>
  <c r="G728" i="44"/>
  <c r="V728" i="44" s="1"/>
  <c r="G216" i="44"/>
  <c r="V216" i="44" s="1"/>
  <c r="G213" i="44"/>
  <c r="V213" i="44" s="1"/>
  <c r="G194" i="44"/>
  <c r="V194" i="44" s="1"/>
  <c r="G218" i="44"/>
  <c r="V218" i="44" s="1"/>
  <c r="G222" i="44"/>
  <c r="V222" i="44" s="1"/>
  <c r="G202" i="44"/>
  <c r="V202" i="44" s="1"/>
  <c r="G232" i="44"/>
  <c r="V232" i="44" s="1"/>
  <c r="G228" i="44"/>
  <c r="V228" i="44" s="1"/>
  <c r="G186" i="44"/>
  <c r="V186" i="44" s="1"/>
  <c r="G204" i="44"/>
  <c r="V204" i="44" s="1"/>
  <c r="G208" i="44"/>
  <c r="V208" i="44" s="1"/>
  <c r="G231" i="44"/>
  <c r="V231" i="44" s="1"/>
  <c r="G224" i="44"/>
  <c r="V224" i="44" s="1"/>
  <c r="G188" i="44"/>
  <c r="V188" i="44" s="1"/>
  <c r="F9" i="51"/>
  <c r="F10" i="52" s="1"/>
  <c r="G225" i="44"/>
  <c r="V225" i="44" s="1"/>
  <c r="G198" i="44"/>
  <c r="V198" i="44" s="1"/>
  <c r="G209" i="44"/>
  <c r="V209" i="44" s="1"/>
  <c r="G199" i="44"/>
  <c r="V199" i="44" s="1"/>
  <c r="G234" i="44"/>
  <c r="V234" i="44" s="1"/>
  <c r="G203" i="44"/>
  <c r="V203" i="44" s="1"/>
  <c r="G219" i="44"/>
  <c r="V219" i="44" s="1"/>
  <c r="G217" i="44"/>
  <c r="V217" i="44" s="1"/>
  <c r="G223" i="44"/>
  <c r="V223" i="44" s="1"/>
  <c r="G230" i="44"/>
  <c r="V230" i="44" s="1"/>
  <c r="G233" i="44"/>
  <c r="V233" i="44" s="1"/>
  <c r="G200" i="44"/>
  <c r="V200" i="44" s="1"/>
  <c r="G215" i="44"/>
  <c r="V215" i="44" s="1"/>
  <c r="G189" i="44"/>
  <c r="V189" i="44" s="1"/>
  <c r="G210" i="44"/>
  <c r="V210" i="44" s="1"/>
  <c r="G235" i="44"/>
  <c r="V235" i="44" s="1"/>
  <c r="G197" i="44"/>
  <c r="V197" i="44" s="1"/>
  <c r="G192" i="44"/>
  <c r="V192" i="44" s="1"/>
  <c r="G214" i="44"/>
  <c r="V214" i="44" s="1"/>
  <c r="G229" i="44"/>
  <c r="V229" i="44" s="1"/>
  <c r="G226" i="44"/>
  <c r="V226" i="44" s="1"/>
  <c r="G236" i="44"/>
  <c r="V236" i="44" s="1"/>
  <c r="G191" i="44"/>
  <c r="V191" i="44" s="1"/>
  <c r="G195" i="44"/>
  <c r="V195" i="44" s="1"/>
  <c r="G207" i="44"/>
  <c r="V207" i="44" s="1"/>
  <c r="G201" i="44"/>
  <c r="V201" i="44" s="1"/>
  <c r="G205" i="44"/>
  <c r="V205" i="44" s="1"/>
  <c r="G206" i="44"/>
  <c r="V206" i="44" s="1"/>
  <c r="G221" i="44"/>
  <c r="V221" i="44" s="1"/>
  <c r="G220" i="44"/>
  <c r="V220" i="44" s="1"/>
  <c r="G211" i="44"/>
  <c r="V211" i="44" s="1"/>
  <c r="G196" i="44"/>
  <c r="V196" i="44" s="1"/>
  <c r="G193" i="44"/>
  <c r="V193" i="44" s="1"/>
  <c r="G212" i="44"/>
  <c r="V212" i="44" s="1"/>
  <c r="G190" i="44"/>
  <c r="V190" i="44" s="1"/>
  <c r="G227" i="44"/>
  <c r="V227" i="44" s="1"/>
  <c r="G187" i="44"/>
  <c r="V187" i="44" s="1"/>
  <c r="H6" i="54"/>
  <c r="J9" i="54"/>
  <c r="I12" i="56"/>
  <c r="I66" i="52" s="1"/>
  <c r="U29" i="44"/>
  <c r="C786" i="44"/>
  <c r="C801" i="44"/>
  <c r="C795" i="44"/>
  <c r="C803" i="44"/>
  <c r="C797" i="44"/>
  <c r="C799" i="44"/>
  <c r="C761" i="44"/>
  <c r="C784" i="44"/>
  <c r="C782" i="44"/>
  <c r="C790" i="44"/>
  <c r="C765" i="44"/>
  <c r="C779" i="44"/>
  <c r="C762" i="44"/>
  <c r="C793" i="44"/>
  <c r="C768" i="44"/>
  <c r="C755" i="44"/>
  <c r="C771" i="44"/>
  <c r="C770" i="44"/>
  <c r="C764" i="44"/>
  <c r="C798" i="44"/>
  <c r="C767" i="44"/>
  <c r="C772" i="44"/>
  <c r="C778" i="44"/>
  <c r="C774" i="44"/>
  <c r="C759" i="44"/>
  <c r="C781" i="44"/>
  <c r="C800" i="44"/>
  <c r="C769" i="44"/>
  <c r="C773" i="44"/>
  <c r="C760" i="44"/>
  <c r="C791" i="44"/>
  <c r="C787" i="44"/>
  <c r="C783" i="44"/>
  <c r="C766" i="44"/>
  <c r="C763" i="44"/>
  <c r="C754" i="44"/>
  <c r="C756" i="44"/>
  <c r="C792" i="44"/>
  <c r="C794" i="44"/>
  <c r="C775" i="44"/>
  <c r="C780" i="44"/>
  <c r="C788" i="44"/>
  <c r="C802" i="44"/>
  <c r="C789" i="44"/>
  <c r="C757" i="44"/>
  <c r="C777" i="44"/>
  <c r="C776" i="44"/>
  <c r="C785" i="44"/>
  <c r="C753" i="44"/>
  <c r="C796" i="44"/>
  <c r="C758" i="44"/>
  <c r="J6" i="51"/>
  <c r="J7" i="52" s="1"/>
  <c r="O39" i="33" s="1"/>
  <c r="E8" i="54"/>
  <c r="F416" i="44"/>
  <c r="U416" i="44" s="1"/>
  <c r="F431" i="44"/>
  <c r="U431" i="44" s="1"/>
  <c r="F422" i="44"/>
  <c r="U422" i="44" s="1"/>
  <c r="F418" i="44"/>
  <c r="U418" i="44" s="1"/>
  <c r="F436" i="44"/>
  <c r="U436" i="44" s="1"/>
  <c r="F438" i="44"/>
  <c r="U438" i="44" s="1"/>
  <c r="F442" i="44"/>
  <c r="U442" i="44" s="1"/>
  <c r="F440" i="44"/>
  <c r="U440" i="44" s="1"/>
  <c r="F413" i="44"/>
  <c r="U413" i="44" s="1"/>
  <c r="F401" i="44"/>
  <c r="U401" i="44" s="1"/>
  <c r="F419" i="44"/>
  <c r="U419" i="44" s="1"/>
  <c r="F421" i="44"/>
  <c r="U421" i="44" s="1"/>
  <c r="F427" i="44"/>
  <c r="U427" i="44" s="1"/>
  <c r="F399" i="44"/>
  <c r="U399" i="44" s="1"/>
  <c r="F407" i="44"/>
  <c r="U407" i="44" s="1"/>
  <c r="F412" i="44"/>
  <c r="U412" i="44" s="1"/>
  <c r="F405" i="44"/>
  <c r="U405" i="44" s="1"/>
  <c r="F396" i="44"/>
  <c r="U396" i="44" s="1"/>
  <c r="F428" i="44"/>
  <c r="U428" i="44" s="1"/>
  <c r="F415" i="44"/>
  <c r="U415" i="44" s="1"/>
  <c r="F434" i="44"/>
  <c r="U434" i="44" s="1"/>
  <c r="F433" i="44"/>
  <c r="U433" i="44" s="1"/>
  <c r="F410" i="44"/>
  <c r="U410" i="44" s="1"/>
  <c r="F423" i="44"/>
  <c r="U423" i="44" s="1"/>
  <c r="F393" i="44"/>
  <c r="U393" i="44" s="1"/>
  <c r="F394" i="44"/>
  <c r="U394" i="44" s="1"/>
  <c r="F426" i="44"/>
  <c r="U426" i="44" s="1"/>
  <c r="F424" i="44"/>
  <c r="U424" i="44" s="1"/>
  <c r="F425" i="44"/>
  <c r="U425" i="44" s="1"/>
  <c r="F443" i="44"/>
  <c r="U443" i="44" s="1"/>
  <c r="F395" i="44"/>
  <c r="U395" i="44" s="1"/>
  <c r="F441" i="44"/>
  <c r="U441" i="44" s="1"/>
  <c r="F435" i="44"/>
  <c r="U435" i="44" s="1"/>
  <c r="F409" i="44"/>
  <c r="U409" i="44" s="1"/>
  <c r="F402" i="44"/>
  <c r="U402" i="44" s="1"/>
  <c r="F437" i="44"/>
  <c r="U437" i="44" s="1"/>
  <c r="F417" i="44"/>
  <c r="U417" i="44" s="1"/>
  <c r="F397" i="44"/>
  <c r="U397" i="44" s="1"/>
  <c r="F400" i="44"/>
  <c r="U400" i="44" s="1"/>
  <c r="F429" i="44"/>
  <c r="U429" i="44" s="1"/>
  <c r="F411" i="44"/>
  <c r="U411" i="44" s="1"/>
  <c r="F408" i="44"/>
  <c r="U408" i="44" s="1"/>
  <c r="F404" i="44"/>
  <c r="U404" i="44" s="1"/>
  <c r="F398" i="44"/>
  <c r="U398" i="44" s="1"/>
  <c r="F432" i="44"/>
  <c r="U432" i="44" s="1"/>
  <c r="F430" i="44"/>
  <c r="U430" i="44" s="1"/>
  <c r="F414" i="44"/>
  <c r="U414" i="44" s="1"/>
  <c r="F439" i="44"/>
  <c r="U439" i="44" s="1"/>
  <c r="F406" i="44"/>
  <c r="U406" i="44" s="1"/>
  <c r="F403" i="44"/>
  <c r="U403" i="44" s="1"/>
  <c r="F420" i="44"/>
  <c r="U420" i="44" s="1"/>
  <c r="D8" i="54"/>
  <c r="H416" i="44"/>
  <c r="W416" i="44" s="1"/>
  <c r="H431" i="44"/>
  <c r="W431" i="44" s="1"/>
  <c r="H404" i="44"/>
  <c r="W404" i="44" s="1"/>
  <c r="H398" i="44"/>
  <c r="W398" i="44" s="1"/>
  <c r="H402" i="44"/>
  <c r="W402" i="44" s="1"/>
  <c r="H420" i="44"/>
  <c r="W420" i="44" s="1"/>
  <c r="H438" i="44"/>
  <c r="W438" i="44" s="1"/>
  <c r="H440" i="44"/>
  <c r="W440" i="44" s="1"/>
  <c r="H405" i="44"/>
  <c r="W405" i="44" s="1"/>
  <c r="H436" i="44"/>
  <c r="W436" i="44" s="1"/>
  <c r="H442" i="44"/>
  <c r="W442" i="44" s="1"/>
  <c r="H393" i="44"/>
  <c r="W393" i="44" s="1"/>
  <c r="H421" i="44"/>
  <c r="W421" i="44" s="1"/>
  <c r="H424" i="44"/>
  <c r="W424" i="44" s="1"/>
  <c r="H417" i="44"/>
  <c r="W417" i="44" s="1"/>
  <c r="H425" i="44"/>
  <c r="W425" i="44" s="1"/>
  <c r="H418" i="44"/>
  <c r="W418" i="44" s="1"/>
  <c r="H435" i="44"/>
  <c r="W435" i="44" s="1"/>
  <c r="H407" i="44"/>
  <c r="W407" i="44" s="1"/>
  <c r="H394" i="44"/>
  <c r="W394" i="44" s="1"/>
  <c r="H428" i="44"/>
  <c r="W428" i="44" s="1"/>
  <c r="H419" i="44"/>
  <c r="W419" i="44" s="1"/>
  <c r="H422" i="44"/>
  <c r="W422" i="44" s="1"/>
  <c r="H415" i="44"/>
  <c r="W415" i="44" s="1"/>
  <c r="H414" i="44"/>
  <c r="W414" i="44" s="1"/>
  <c r="H401" i="44"/>
  <c r="W401" i="44" s="1"/>
  <c r="H433" i="44"/>
  <c r="W433" i="44" s="1"/>
  <c r="H423" i="44"/>
  <c r="W423" i="44" s="1"/>
  <c r="H426" i="44"/>
  <c r="W426" i="44" s="1"/>
  <c r="H413" i="44"/>
  <c r="W413" i="44" s="1"/>
  <c r="H406" i="44"/>
  <c r="W406" i="44" s="1"/>
  <c r="H400" i="44"/>
  <c r="W400" i="44" s="1"/>
  <c r="H439" i="44"/>
  <c r="W439" i="44" s="1"/>
  <c r="H397" i="44"/>
  <c r="W397" i="44" s="1"/>
  <c r="H429" i="44"/>
  <c r="W429" i="44" s="1"/>
  <c r="H434" i="44"/>
  <c r="W434" i="44" s="1"/>
  <c r="H395" i="44"/>
  <c r="W395" i="44" s="1"/>
  <c r="H403" i="44"/>
  <c r="W403" i="44" s="1"/>
  <c r="H427" i="44"/>
  <c r="W427" i="44" s="1"/>
  <c r="H409" i="44"/>
  <c r="W409" i="44" s="1"/>
  <c r="H437" i="44"/>
  <c r="W437" i="44" s="1"/>
  <c r="H396" i="44"/>
  <c r="W396" i="44" s="1"/>
  <c r="H411" i="44"/>
  <c r="W411" i="44" s="1"/>
  <c r="H410" i="44"/>
  <c r="W410" i="44" s="1"/>
  <c r="H432" i="44"/>
  <c r="W432" i="44" s="1"/>
  <c r="H443" i="44"/>
  <c r="W443" i="44" s="1"/>
  <c r="H408" i="44"/>
  <c r="W408" i="44" s="1"/>
  <c r="H399" i="44"/>
  <c r="W399" i="44" s="1"/>
  <c r="H441" i="44"/>
  <c r="W441" i="44" s="1"/>
  <c r="H412" i="44"/>
  <c r="W412" i="44" s="1"/>
  <c r="H430" i="44"/>
  <c r="W430" i="44" s="1"/>
  <c r="D9" i="56"/>
  <c r="D63" i="52" s="1"/>
  <c r="H639" i="44"/>
  <c r="W639" i="44" s="1"/>
  <c r="H650" i="44"/>
  <c r="W650" i="44" s="1"/>
  <c r="H624" i="44"/>
  <c r="W624" i="44" s="1"/>
  <c r="H627" i="44"/>
  <c r="W627" i="44" s="1"/>
  <c r="H616" i="44"/>
  <c r="W616" i="44" s="1"/>
  <c r="H638" i="44"/>
  <c r="W638" i="44" s="1"/>
  <c r="H647" i="44"/>
  <c r="W647" i="44" s="1"/>
  <c r="H605" i="44"/>
  <c r="W605" i="44" s="1"/>
  <c r="H636" i="44"/>
  <c r="W636" i="44" s="1"/>
  <c r="H602" i="44"/>
  <c r="W602" i="44" s="1"/>
  <c r="H613" i="44"/>
  <c r="W613" i="44" s="1"/>
  <c r="H649" i="44"/>
  <c r="W649" i="44" s="1"/>
  <c r="H610" i="44"/>
  <c r="W610" i="44" s="1"/>
  <c r="H621" i="44"/>
  <c r="W621" i="44" s="1"/>
  <c r="H609" i="44"/>
  <c r="W609" i="44" s="1"/>
  <c r="H628" i="44"/>
  <c r="W628" i="44" s="1"/>
  <c r="H601" i="44"/>
  <c r="W601" i="44" s="1"/>
  <c r="H640" i="44"/>
  <c r="W640" i="44" s="1"/>
  <c r="H607" i="44"/>
  <c r="W607" i="44" s="1"/>
  <c r="H618" i="44"/>
  <c r="W618" i="44" s="1"/>
  <c r="H629" i="44"/>
  <c r="W629" i="44" s="1"/>
  <c r="H622" i="44"/>
  <c r="W622" i="44" s="1"/>
  <c r="H644" i="44"/>
  <c r="W644" i="44" s="1"/>
  <c r="H617" i="44"/>
  <c r="W617" i="44" s="1"/>
  <c r="H606" i="44"/>
  <c r="W606" i="44" s="1"/>
  <c r="H615" i="44"/>
  <c r="W615" i="44" s="1"/>
  <c r="H626" i="44"/>
  <c r="W626" i="44" s="1"/>
  <c r="H637" i="44"/>
  <c r="W637" i="44" s="1"/>
  <c r="H635" i="44"/>
  <c r="W635" i="44" s="1"/>
  <c r="H614" i="44"/>
  <c r="W614" i="44" s="1"/>
  <c r="H633" i="44"/>
  <c r="W633" i="44" s="1"/>
  <c r="H625" i="44"/>
  <c r="W625" i="44" s="1"/>
  <c r="H623" i="44"/>
  <c r="W623" i="44" s="1"/>
  <c r="H634" i="44"/>
  <c r="W634" i="44" s="1"/>
  <c r="H645" i="44"/>
  <c r="W645" i="44" s="1"/>
  <c r="H648" i="44"/>
  <c r="W648" i="44" s="1"/>
  <c r="H630" i="44"/>
  <c r="W630" i="44" s="1"/>
  <c r="H603" i="44"/>
  <c r="W603" i="44" s="1"/>
  <c r="H641" i="44"/>
  <c r="W641" i="44" s="1"/>
  <c r="H632" i="44"/>
  <c r="W632" i="44" s="1"/>
  <c r="H631" i="44"/>
  <c r="W631" i="44" s="1"/>
  <c r="H600" i="44"/>
  <c r="W600" i="44" s="1"/>
  <c r="H642" i="44"/>
  <c r="W642" i="44" s="1"/>
  <c r="H619" i="44"/>
  <c r="W619" i="44" s="1"/>
  <c r="H611" i="44"/>
  <c r="W611" i="44" s="1"/>
  <c r="H604" i="44"/>
  <c r="W604" i="44" s="1"/>
  <c r="H608" i="44"/>
  <c r="W608" i="44" s="1"/>
  <c r="H620" i="44"/>
  <c r="W620" i="44" s="1"/>
  <c r="H643" i="44"/>
  <c r="W643" i="44" s="1"/>
  <c r="H612" i="44"/>
  <c r="W612" i="44" s="1"/>
  <c r="H646" i="44"/>
  <c r="W646" i="44" s="1"/>
  <c r="J286" i="44"/>
  <c r="B10" i="51"/>
  <c r="B11" i="52" s="1"/>
  <c r="J276" i="44"/>
  <c r="J246" i="44"/>
  <c r="J263" i="44"/>
  <c r="J274" i="44"/>
  <c r="J272" i="44"/>
  <c r="J264" i="44"/>
  <c r="J252" i="44"/>
  <c r="J244" i="44"/>
  <c r="J250" i="44"/>
  <c r="J242" i="44"/>
  <c r="J247" i="44"/>
  <c r="J265" i="44"/>
  <c r="J238" i="44"/>
  <c r="J257" i="44"/>
  <c r="J249" i="44"/>
  <c r="J287" i="44"/>
  <c r="J279" i="44"/>
  <c r="J284" i="44"/>
  <c r="J248" i="44"/>
  <c r="J240" i="44"/>
  <c r="J270" i="44"/>
  <c r="J262" i="44"/>
  <c r="J259" i="44"/>
  <c r="J285" i="44"/>
  <c r="J283" i="44"/>
  <c r="J237" i="44"/>
  <c r="Y237" i="44" s="1"/>
  <c r="J268" i="44"/>
  <c r="J261" i="44"/>
  <c r="J241" i="44"/>
  <c r="J282" i="44"/>
  <c r="J269" i="44"/>
  <c r="J258" i="44"/>
  <c r="J260" i="44"/>
  <c r="J273" i="44"/>
  <c r="J266" i="44"/>
  <c r="J278" i="44"/>
  <c r="J267" i="44"/>
  <c r="J251" i="44"/>
  <c r="J255" i="44"/>
  <c r="J239" i="44"/>
  <c r="J280" i="44"/>
  <c r="J281" i="44"/>
  <c r="J271" i="44"/>
  <c r="J277" i="44"/>
  <c r="J245" i="44"/>
  <c r="J254" i="44"/>
  <c r="J243" i="44"/>
  <c r="J253" i="44"/>
  <c r="J256" i="44"/>
  <c r="J275" i="44"/>
  <c r="F91" i="44"/>
  <c r="U91" i="44" s="1"/>
  <c r="E7" i="51"/>
  <c r="E8" i="52" s="1"/>
  <c r="F109" i="44"/>
  <c r="U109" i="44" s="1"/>
  <c r="F128" i="44"/>
  <c r="U128" i="44" s="1"/>
  <c r="F105" i="44"/>
  <c r="U105" i="44" s="1"/>
  <c r="F100" i="44"/>
  <c r="U100" i="44" s="1"/>
  <c r="F110" i="44"/>
  <c r="U110" i="44" s="1"/>
  <c r="F98" i="44"/>
  <c r="U98" i="44" s="1"/>
  <c r="F111" i="44"/>
  <c r="U111" i="44" s="1"/>
  <c r="F97" i="44"/>
  <c r="U97" i="44" s="1"/>
  <c r="F112" i="44"/>
  <c r="U112" i="44" s="1"/>
  <c r="F116" i="44"/>
  <c r="U116" i="44" s="1"/>
  <c r="F96" i="44"/>
  <c r="U96" i="44" s="1"/>
  <c r="F121" i="44"/>
  <c r="U121" i="44" s="1"/>
  <c r="F133" i="44"/>
  <c r="U133" i="44" s="1"/>
  <c r="F132" i="44"/>
  <c r="U132" i="44" s="1"/>
  <c r="F126" i="44"/>
  <c r="U126" i="44" s="1"/>
  <c r="F124" i="44"/>
  <c r="U124" i="44" s="1"/>
  <c r="F131" i="44"/>
  <c r="U131" i="44" s="1"/>
  <c r="F106" i="44"/>
  <c r="U106" i="44" s="1"/>
  <c r="F134" i="44"/>
  <c r="U134" i="44" s="1"/>
  <c r="F123" i="44"/>
  <c r="U123" i="44" s="1"/>
  <c r="F85" i="44"/>
  <c r="U85" i="44" s="1"/>
  <c r="F87" i="44"/>
  <c r="U87" i="44" s="1"/>
  <c r="F115" i="44"/>
  <c r="U115" i="44" s="1"/>
  <c r="F86" i="44"/>
  <c r="U86" i="44" s="1"/>
  <c r="F93" i="44"/>
  <c r="U93" i="44" s="1"/>
  <c r="F88" i="44"/>
  <c r="U88" i="44" s="1"/>
  <c r="F99" i="44"/>
  <c r="U99" i="44" s="1"/>
  <c r="F90" i="44"/>
  <c r="U90" i="44" s="1"/>
  <c r="F101" i="44"/>
  <c r="U101" i="44" s="1"/>
  <c r="F125" i="44"/>
  <c r="U125" i="44" s="1"/>
  <c r="F120" i="44"/>
  <c r="U120" i="44" s="1"/>
  <c r="F119" i="44"/>
  <c r="U119" i="44" s="1"/>
  <c r="F130" i="44"/>
  <c r="U130" i="44" s="1"/>
  <c r="F103" i="44"/>
  <c r="U103" i="44" s="1"/>
  <c r="F108" i="44"/>
  <c r="U108" i="44" s="1"/>
  <c r="F84" i="44"/>
  <c r="U84" i="44" s="1"/>
  <c r="F129" i="44"/>
  <c r="U129" i="44" s="1"/>
  <c r="F102" i="44"/>
  <c r="U102" i="44" s="1"/>
  <c r="F107" i="44"/>
  <c r="U107" i="44" s="1"/>
  <c r="F118" i="44"/>
  <c r="U118" i="44" s="1"/>
  <c r="F113" i="44"/>
  <c r="U113" i="44" s="1"/>
  <c r="F117" i="44"/>
  <c r="U117" i="44" s="1"/>
  <c r="F127" i="44"/>
  <c r="U127" i="44" s="1"/>
  <c r="F122" i="44"/>
  <c r="U122" i="44" s="1"/>
  <c r="F89" i="44"/>
  <c r="U89" i="44" s="1"/>
  <c r="F104" i="44"/>
  <c r="U104" i="44" s="1"/>
  <c r="F114" i="44"/>
  <c r="U114" i="44" s="1"/>
  <c r="F94" i="44"/>
  <c r="U94" i="44" s="1"/>
  <c r="F95" i="44"/>
  <c r="U95" i="44" s="1"/>
  <c r="F92" i="44"/>
  <c r="U92" i="44" s="1"/>
  <c r="H10" i="56"/>
  <c r="H64" i="52" s="1"/>
  <c r="G37" i="37"/>
  <c r="D172" i="28"/>
  <c r="M92" i="37"/>
  <c r="M90" i="37"/>
  <c r="G25" i="37"/>
  <c r="I94" i="37"/>
  <c r="D166" i="28"/>
  <c r="C8" i="56"/>
  <c r="C62" i="52" s="1"/>
  <c r="K580" i="44"/>
  <c r="Z580" i="44" s="1"/>
  <c r="K574" i="44"/>
  <c r="Z574" i="44" s="1"/>
  <c r="K558" i="44"/>
  <c r="Z558" i="44" s="1"/>
  <c r="K568" i="44"/>
  <c r="Z568" i="44" s="1"/>
  <c r="K555" i="44"/>
  <c r="Z555" i="44" s="1"/>
  <c r="K595" i="44"/>
  <c r="Z595" i="44" s="1"/>
  <c r="K573" i="44"/>
  <c r="Z573" i="44" s="1"/>
  <c r="K575" i="44"/>
  <c r="Z575" i="44" s="1"/>
  <c r="K549" i="44"/>
  <c r="Z549" i="44" s="1"/>
  <c r="K596" i="44"/>
  <c r="Z596" i="44" s="1"/>
  <c r="K569" i="44"/>
  <c r="Z569" i="44" s="1"/>
  <c r="K560" i="44"/>
  <c r="Z560" i="44" s="1"/>
  <c r="K598" i="44"/>
  <c r="Z598" i="44" s="1"/>
  <c r="K553" i="44"/>
  <c r="Z553" i="44" s="1"/>
  <c r="K559" i="44"/>
  <c r="Z559" i="44" s="1"/>
  <c r="K599" i="44"/>
  <c r="Z599" i="44" s="1"/>
  <c r="K577" i="44"/>
  <c r="Z577" i="44" s="1"/>
  <c r="K565" i="44"/>
  <c r="Z565" i="44" s="1"/>
  <c r="K593" i="44"/>
  <c r="Z593" i="44" s="1"/>
  <c r="K597" i="44"/>
  <c r="Z597" i="44" s="1"/>
  <c r="K551" i="44"/>
  <c r="Z551" i="44" s="1"/>
  <c r="K594" i="44"/>
  <c r="Z594" i="44" s="1"/>
  <c r="K581" i="44"/>
  <c r="Z581" i="44" s="1"/>
  <c r="K552" i="44"/>
  <c r="Z552" i="44" s="1"/>
  <c r="K570" i="44"/>
  <c r="Z570" i="44" s="1"/>
  <c r="K589" i="44"/>
  <c r="Z589" i="44" s="1"/>
  <c r="K561" i="44"/>
  <c r="Z561" i="44" s="1"/>
  <c r="K556" i="44"/>
  <c r="Z556" i="44" s="1"/>
  <c r="K562" i="44"/>
  <c r="Z562" i="44" s="1"/>
  <c r="K586" i="44"/>
  <c r="Z586" i="44" s="1"/>
  <c r="K554" i="44"/>
  <c r="Z554" i="44" s="1"/>
  <c r="K579" i="44"/>
  <c r="Z579" i="44" s="1"/>
  <c r="K564" i="44"/>
  <c r="Z564" i="44" s="1"/>
  <c r="K584" i="44"/>
  <c r="Z584" i="44" s="1"/>
  <c r="K567" i="44"/>
  <c r="Z567" i="44" s="1"/>
  <c r="K576" i="44"/>
  <c r="Z576" i="44" s="1"/>
  <c r="K566" i="44"/>
  <c r="Z566" i="44" s="1"/>
  <c r="K583" i="44"/>
  <c r="Z583" i="44" s="1"/>
  <c r="K557" i="44"/>
  <c r="Z557" i="44" s="1"/>
  <c r="K550" i="44"/>
  <c r="Z550" i="44" s="1"/>
  <c r="K572" i="44"/>
  <c r="Z572" i="44" s="1"/>
  <c r="K588" i="44"/>
  <c r="Z588" i="44" s="1"/>
  <c r="K563" i="44"/>
  <c r="Z563" i="44" s="1"/>
  <c r="K590" i="44"/>
  <c r="Z590" i="44" s="1"/>
  <c r="K571" i="44"/>
  <c r="Z571" i="44" s="1"/>
  <c r="K582" i="44"/>
  <c r="Z582" i="44" s="1"/>
  <c r="K591" i="44"/>
  <c r="Z591" i="44" s="1"/>
  <c r="K578" i="44"/>
  <c r="Z578" i="44" s="1"/>
  <c r="K585" i="44"/>
  <c r="Z585" i="44" s="1"/>
  <c r="K587" i="44"/>
  <c r="Z587" i="44" s="1"/>
  <c r="K592" i="44"/>
  <c r="Z592" i="44" s="1"/>
  <c r="G146" i="44"/>
  <c r="V146" i="44" s="1"/>
  <c r="F8" i="51"/>
  <c r="F9" i="52" s="1"/>
  <c r="G182" i="44"/>
  <c r="V182" i="44" s="1"/>
  <c r="G154" i="44"/>
  <c r="V154" i="44" s="1"/>
  <c r="G149" i="44"/>
  <c r="V149" i="44" s="1"/>
  <c r="G138" i="44"/>
  <c r="V138" i="44" s="1"/>
  <c r="G179" i="44"/>
  <c r="V179" i="44" s="1"/>
  <c r="G150" i="44"/>
  <c r="V150" i="44" s="1"/>
  <c r="G151" i="44"/>
  <c r="V151" i="44" s="1"/>
  <c r="G145" i="44"/>
  <c r="V145" i="44" s="1"/>
  <c r="G165" i="44"/>
  <c r="V165" i="44" s="1"/>
  <c r="G155" i="44"/>
  <c r="V155" i="44" s="1"/>
  <c r="G157" i="44"/>
  <c r="V157" i="44" s="1"/>
  <c r="G139" i="44"/>
  <c r="V139" i="44" s="1"/>
  <c r="G153" i="44"/>
  <c r="V153" i="44" s="1"/>
  <c r="G143" i="44"/>
  <c r="V143" i="44" s="1"/>
  <c r="G144" i="44"/>
  <c r="V144" i="44" s="1"/>
  <c r="G136" i="44"/>
  <c r="V136" i="44" s="1"/>
  <c r="G169" i="44"/>
  <c r="V169" i="44" s="1"/>
  <c r="G163" i="44"/>
  <c r="V163" i="44" s="1"/>
  <c r="G166" i="44"/>
  <c r="V166" i="44" s="1"/>
  <c r="G181" i="44"/>
  <c r="V181" i="44" s="1"/>
  <c r="G152" i="44"/>
  <c r="V152" i="44" s="1"/>
  <c r="G175" i="44"/>
  <c r="V175" i="44" s="1"/>
  <c r="G184" i="44"/>
  <c r="V184" i="44" s="1"/>
  <c r="G135" i="44"/>
  <c r="V135" i="44" s="1"/>
  <c r="G170" i="44"/>
  <c r="V170" i="44" s="1"/>
  <c r="G142" i="44"/>
  <c r="V142" i="44" s="1"/>
  <c r="G172" i="44"/>
  <c r="V172" i="44" s="1"/>
  <c r="G177" i="44"/>
  <c r="V177" i="44" s="1"/>
  <c r="G148" i="44"/>
  <c r="V148" i="44" s="1"/>
  <c r="G176" i="44"/>
  <c r="V176" i="44" s="1"/>
  <c r="G183" i="44"/>
  <c r="V183" i="44" s="1"/>
  <c r="G140" i="44"/>
  <c r="V140" i="44" s="1"/>
  <c r="G158" i="44"/>
  <c r="V158" i="44" s="1"/>
  <c r="G174" i="44"/>
  <c r="V174" i="44" s="1"/>
  <c r="G161" i="44"/>
  <c r="V161" i="44" s="1"/>
  <c r="G167" i="44"/>
  <c r="V167" i="44" s="1"/>
  <c r="G173" i="44"/>
  <c r="V173" i="44" s="1"/>
  <c r="G141" i="44"/>
  <c r="V141" i="44" s="1"/>
  <c r="G171" i="44"/>
  <c r="V171" i="44" s="1"/>
  <c r="G178" i="44"/>
  <c r="V178" i="44" s="1"/>
  <c r="G159" i="44"/>
  <c r="V159" i="44" s="1"/>
  <c r="G164" i="44"/>
  <c r="V164" i="44" s="1"/>
  <c r="G156" i="44"/>
  <c r="V156" i="44" s="1"/>
  <c r="G137" i="44"/>
  <c r="V137" i="44" s="1"/>
  <c r="G147" i="44"/>
  <c r="V147" i="44" s="1"/>
  <c r="G162" i="44"/>
  <c r="V162" i="44" s="1"/>
  <c r="G180" i="44"/>
  <c r="V180" i="44" s="1"/>
  <c r="G160" i="44"/>
  <c r="V160" i="44" s="1"/>
  <c r="G185" i="44"/>
  <c r="V185" i="44" s="1"/>
  <c r="G168" i="44"/>
  <c r="V168" i="44" s="1"/>
  <c r="C10" i="54"/>
  <c r="K498" i="44"/>
  <c r="Z498" i="44" s="1"/>
  <c r="K517" i="44"/>
  <c r="Z517" i="44" s="1"/>
  <c r="K518" i="44"/>
  <c r="Z518" i="44" s="1"/>
  <c r="K520" i="44"/>
  <c r="Z520" i="44" s="1"/>
  <c r="K540" i="44"/>
  <c r="Z540" i="44" s="1"/>
  <c r="K542" i="44"/>
  <c r="Z542" i="44" s="1"/>
  <c r="K499" i="44"/>
  <c r="Z499" i="44" s="1"/>
  <c r="K514" i="44"/>
  <c r="Z514" i="44" s="1"/>
  <c r="K537" i="44"/>
  <c r="Z537" i="44" s="1"/>
  <c r="K544" i="44"/>
  <c r="Z544" i="44" s="1"/>
  <c r="K509" i="44"/>
  <c r="Z509" i="44" s="1"/>
  <c r="K511" i="44"/>
  <c r="Z511" i="44" s="1"/>
  <c r="K513" i="44"/>
  <c r="Z513" i="44" s="1"/>
  <c r="K507" i="44"/>
  <c r="Z507" i="44" s="1"/>
  <c r="K522" i="44"/>
  <c r="Z522" i="44" s="1"/>
  <c r="K504" i="44"/>
  <c r="Z504" i="44" s="1"/>
  <c r="K503" i="44"/>
  <c r="Z503" i="44" s="1"/>
  <c r="K521" i="44"/>
  <c r="Z521" i="44" s="1"/>
  <c r="K525" i="44"/>
  <c r="Z525" i="44" s="1"/>
  <c r="K529" i="44"/>
  <c r="Z529" i="44" s="1"/>
  <c r="K495" i="44"/>
  <c r="Z495" i="44" s="1"/>
  <c r="K519" i="44"/>
  <c r="Z519" i="44" s="1"/>
  <c r="K524" i="44"/>
  <c r="Z524" i="44" s="1"/>
  <c r="K523" i="44"/>
  <c r="Z523" i="44" s="1"/>
  <c r="K527" i="44"/>
  <c r="Z527" i="44" s="1"/>
  <c r="K545" i="44"/>
  <c r="Z545" i="44" s="1"/>
  <c r="K541" i="44"/>
  <c r="Z541" i="44" s="1"/>
  <c r="K531" i="44"/>
  <c r="Z531" i="44" s="1"/>
  <c r="K516" i="44"/>
  <c r="Z516" i="44" s="1"/>
  <c r="K508" i="44"/>
  <c r="Z508" i="44" s="1"/>
  <c r="K500" i="44"/>
  <c r="Z500" i="44" s="1"/>
  <c r="K515" i="44"/>
  <c r="Z515" i="44" s="1"/>
  <c r="K502" i="44"/>
  <c r="Z502" i="44" s="1"/>
  <c r="K512" i="44"/>
  <c r="Z512" i="44" s="1"/>
  <c r="K506" i="44"/>
  <c r="Z506" i="44" s="1"/>
  <c r="K533" i="44"/>
  <c r="Z533" i="44" s="1"/>
  <c r="K501" i="44"/>
  <c r="Z501" i="44" s="1"/>
  <c r="K530" i="44"/>
  <c r="Z530" i="44" s="1"/>
  <c r="K534" i="44"/>
  <c r="Z534" i="44" s="1"/>
  <c r="K543" i="44"/>
  <c r="Z543" i="44" s="1"/>
  <c r="K538" i="44"/>
  <c r="Z538" i="44" s="1"/>
  <c r="K535" i="44"/>
  <c r="Z535" i="44" s="1"/>
  <c r="K505" i="44"/>
  <c r="Z505" i="44" s="1"/>
  <c r="K496" i="44"/>
  <c r="Z496" i="44" s="1"/>
  <c r="K526" i="44"/>
  <c r="Z526" i="44" s="1"/>
  <c r="K510" i="44"/>
  <c r="Z510" i="44" s="1"/>
  <c r="K528" i="44"/>
  <c r="Z528" i="44" s="1"/>
  <c r="K532" i="44"/>
  <c r="Z532" i="44" s="1"/>
  <c r="K539" i="44"/>
  <c r="Z539" i="44" s="1"/>
  <c r="K536" i="44"/>
  <c r="Z536" i="44" s="1"/>
  <c r="K497" i="44"/>
  <c r="Z497" i="44" s="1"/>
  <c r="H9" i="54"/>
  <c r="B6" i="54"/>
  <c r="J312" i="44"/>
  <c r="Y312" i="44" s="1"/>
  <c r="J327" i="44"/>
  <c r="Y327" i="44" s="1"/>
  <c r="J308" i="44"/>
  <c r="Y308" i="44" s="1"/>
  <c r="J314" i="44"/>
  <c r="Y314" i="44" s="1"/>
  <c r="J338" i="44"/>
  <c r="Y338" i="44" s="1"/>
  <c r="J292" i="44"/>
  <c r="Y292" i="44" s="1"/>
  <c r="J334" i="44"/>
  <c r="Y334" i="44" s="1"/>
  <c r="J328" i="44"/>
  <c r="Y328" i="44" s="1"/>
  <c r="J299" i="44"/>
  <c r="Y299" i="44" s="1"/>
  <c r="J330" i="44"/>
  <c r="Y330" i="44" s="1"/>
  <c r="J291" i="44"/>
  <c r="Y291" i="44" s="1"/>
  <c r="J323" i="44"/>
  <c r="Y323" i="44" s="1"/>
  <c r="J332" i="44"/>
  <c r="Y332" i="44" s="1"/>
  <c r="J336" i="44"/>
  <c r="Y336" i="44" s="1"/>
  <c r="J309" i="44"/>
  <c r="Y309" i="44" s="1"/>
  <c r="J340" i="44"/>
  <c r="Y340" i="44" s="1"/>
  <c r="J297" i="44"/>
  <c r="Y297" i="44" s="1"/>
  <c r="J339" i="44"/>
  <c r="Y339" i="44" s="1"/>
  <c r="J293" i="44"/>
  <c r="Y293" i="44" s="1"/>
  <c r="J335" i="44"/>
  <c r="Y335" i="44" s="1"/>
  <c r="J329" i="44"/>
  <c r="Y329" i="44" s="1"/>
  <c r="J306" i="44"/>
  <c r="Y306" i="44" s="1"/>
  <c r="J316" i="44"/>
  <c r="Y316" i="44" s="1"/>
  <c r="J304" i="44"/>
  <c r="Y304" i="44" s="1"/>
  <c r="J331" i="44"/>
  <c r="Y331" i="44" s="1"/>
  <c r="J326" i="44"/>
  <c r="Y326" i="44" s="1"/>
  <c r="J307" i="44"/>
  <c r="Y307" i="44" s="1"/>
  <c r="J320" i="44"/>
  <c r="Y320" i="44" s="1"/>
  <c r="J341" i="44"/>
  <c r="Y341" i="44" s="1"/>
  <c r="J317" i="44"/>
  <c r="Y317" i="44" s="1"/>
  <c r="J325" i="44"/>
  <c r="Y325" i="44" s="1"/>
  <c r="J296" i="44"/>
  <c r="Y296" i="44" s="1"/>
  <c r="J301" i="44"/>
  <c r="Y301" i="44" s="1"/>
  <c r="J310" i="44"/>
  <c r="Y310" i="44" s="1"/>
  <c r="J303" i="44"/>
  <c r="Y303" i="44" s="1"/>
  <c r="J300" i="44"/>
  <c r="Y300" i="44" s="1"/>
  <c r="J333" i="44"/>
  <c r="Y333" i="44" s="1"/>
  <c r="J311" i="44"/>
  <c r="Y311" i="44" s="1"/>
  <c r="J337" i="44"/>
  <c r="Y337" i="44" s="1"/>
  <c r="J294" i="44"/>
  <c r="Y294" i="44" s="1"/>
  <c r="J319" i="44"/>
  <c r="Y319" i="44" s="1"/>
  <c r="J302" i="44"/>
  <c r="Y302" i="44" s="1"/>
  <c r="J321" i="44"/>
  <c r="Y321" i="44" s="1"/>
  <c r="J322" i="44"/>
  <c r="Y322" i="44" s="1"/>
  <c r="J298" i="44"/>
  <c r="Y298" i="44" s="1"/>
  <c r="J305" i="44"/>
  <c r="Y305" i="44" s="1"/>
  <c r="J295" i="44"/>
  <c r="Y295" i="44" s="1"/>
  <c r="J318" i="44"/>
  <c r="Y318" i="44" s="1"/>
  <c r="J315" i="44"/>
  <c r="Y315" i="44" s="1"/>
  <c r="J324" i="44"/>
  <c r="Y324" i="44" s="1"/>
  <c r="J313" i="44"/>
  <c r="Y313" i="44" s="1"/>
  <c r="J8" i="54"/>
  <c r="J10" i="51"/>
  <c r="J11" i="52" s="1"/>
  <c r="G10" i="51"/>
  <c r="G11" i="52" s="1"/>
  <c r="I248" i="44"/>
  <c r="X248" i="44" s="1"/>
  <c r="I246" i="44"/>
  <c r="X246" i="44" s="1"/>
  <c r="I255" i="44"/>
  <c r="X255" i="44" s="1"/>
  <c r="I264" i="44"/>
  <c r="X264" i="44" s="1"/>
  <c r="I273" i="44"/>
  <c r="X273" i="44" s="1"/>
  <c r="I243" i="44"/>
  <c r="X243" i="44" s="1"/>
  <c r="I268" i="44"/>
  <c r="X268" i="44" s="1"/>
  <c r="I253" i="44"/>
  <c r="X253" i="44" s="1"/>
  <c r="I254" i="44"/>
  <c r="X254" i="44" s="1"/>
  <c r="I263" i="44"/>
  <c r="X263" i="44" s="1"/>
  <c r="I281" i="44"/>
  <c r="X281" i="44" s="1"/>
  <c r="I251" i="44"/>
  <c r="X251" i="44" s="1"/>
  <c r="I269" i="44"/>
  <c r="X269" i="44" s="1"/>
  <c r="I285" i="44"/>
  <c r="X285" i="44" s="1"/>
  <c r="I249" i="44"/>
  <c r="X249" i="44" s="1"/>
  <c r="I257" i="44"/>
  <c r="X257" i="44" s="1"/>
  <c r="I252" i="44"/>
  <c r="X252" i="44" s="1"/>
  <c r="I256" i="44"/>
  <c r="X256" i="44" s="1"/>
  <c r="I284" i="44"/>
  <c r="X284" i="44" s="1"/>
  <c r="I272" i="44"/>
  <c r="X272" i="44" s="1"/>
  <c r="I240" i="44"/>
  <c r="X240" i="44" s="1"/>
  <c r="I277" i="44"/>
  <c r="X277" i="44" s="1"/>
  <c r="I239" i="44"/>
  <c r="X239" i="44" s="1"/>
  <c r="I274" i="44"/>
  <c r="X274" i="44" s="1"/>
  <c r="I247" i="44"/>
  <c r="X247" i="44" s="1"/>
  <c r="I282" i="44"/>
  <c r="X282" i="44" s="1"/>
  <c r="I262" i="44"/>
  <c r="X262" i="44" s="1"/>
  <c r="I271" i="44"/>
  <c r="X271" i="44" s="1"/>
  <c r="I280" i="44"/>
  <c r="X280" i="44" s="1"/>
  <c r="I242" i="44"/>
  <c r="X242" i="44" s="1"/>
  <c r="I259" i="44"/>
  <c r="X259" i="44" s="1"/>
  <c r="I244" i="44"/>
  <c r="X244" i="44" s="1"/>
  <c r="I287" i="44"/>
  <c r="X287" i="44" s="1"/>
  <c r="I258" i="44"/>
  <c r="X258" i="44" s="1"/>
  <c r="I245" i="44"/>
  <c r="X245" i="44" s="1"/>
  <c r="I266" i="44"/>
  <c r="X266" i="44" s="1"/>
  <c r="I270" i="44"/>
  <c r="X270" i="44" s="1"/>
  <c r="I279" i="44"/>
  <c r="X279" i="44" s="1"/>
  <c r="I237" i="44"/>
  <c r="X237" i="44" s="1"/>
  <c r="I250" i="44"/>
  <c r="X250" i="44" s="1"/>
  <c r="I267" i="44"/>
  <c r="X267" i="44" s="1"/>
  <c r="I276" i="44"/>
  <c r="X276" i="44" s="1"/>
  <c r="I278" i="44"/>
  <c r="X278" i="44" s="1"/>
  <c r="I241" i="44"/>
  <c r="X241" i="44" s="1"/>
  <c r="I275" i="44"/>
  <c r="X275" i="44" s="1"/>
  <c r="I286" i="44"/>
  <c r="X286" i="44" s="1"/>
  <c r="I283" i="44"/>
  <c r="X283" i="44" s="1"/>
  <c r="I260" i="44"/>
  <c r="X260" i="44" s="1"/>
  <c r="I238" i="44"/>
  <c r="X238" i="44" s="1"/>
  <c r="I265" i="44"/>
  <c r="X265" i="44" s="1"/>
  <c r="I261" i="44"/>
  <c r="X261" i="44" s="1"/>
  <c r="C113" i="44"/>
  <c r="C103" i="44"/>
  <c r="C125" i="44"/>
  <c r="C104" i="44"/>
  <c r="C97" i="44"/>
  <c r="C122" i="44"/>
  <c r="C93" i="44"/>
  <c r="U6" i="44"/>
  <c r="C108" i="44"/>
  <c r="C95" i="44"/>
  <c r="C131" i="44"/>
  <c r="I7" i="51"/>
  <c r="I8" i="52" s="1"/>
  <c r="C85" i="44"/>
  <c r="C110" i="44"/>
  <c r="C120" i="44"/>
  <c r="C123" i="44"/>
  <c r="C106" i="44"/>
  <c r="C90" i="44"/>
  <c r="C132" i="44"/>
  <c r="C129" i="44"/>
  <c r="C100" i="44"/>
  <c r="C134" i="44"/>
  <c r="C127" i="44"/>
  <c r="C101" i="44"/>
  <c r="C105" i="44"/>
  <c r="C115" i="44"/>
  <c r="C94" i="44"/>
  <c r="C111" i="44"/>
  <c r="C91" i="44"/>
  <c r="C133" i="44"/>
  <c r="C88" i="44"/>
  <c r="C117" i="44"/>
  <c r="C99" i="44"/>
  <c r="C84" i="44"/>
  <c r="C119" i="44"/>
  <c r="C96" i="44"/>
  <c r="C98" i="44"/>
  <c r="C121" i="44"/>
  <c r="C89" i="44"/>
  <c r="C130" i="44"/>
  <c r="C114" i="44"/>
  <c r="C128" i="44"/>
  <c r="C112" i="44"/>
  <c r="C124" i="44"/>
  <c r="C118" i="44"/>
  <c r="C126" i="44"/>
  <c r="L126" i="44" s="1"/>
  <c r="T126" i="44" s="1"/>
  <c r="C109" i="44"/>
  <c r="C86" i="44"/>
  <c r="C107" i="44"/>
  <c r="C87" i="44"/>
  <c r="C102" i="44"/>
  <c r="C116" i="44"/>
  <c r="C92" i="44"/>
  <c r="F10" i="56"/>
  <c r="F64" i="52" s="1"/>
  <c r="G652" i="44"/>
  <c r="V652" i="44" s="1"/>
  <c r="G663" i="44"/>
  <c r="V663" i="44" s="1"/>
  <c r="G701" i="44"/>
  <c r="V701" i="44" s="1"/>
  <c r="G664" i="44"/>
  <c r="V664" i="44" s="1"/>
  <c r="G651" i="44"/>
  <c r="V651" i="44" s="1"/>
  <c r="G672" i="44"/>
  <c r="V672" i="44" s="1"/>
  <c r="G660" i="44"/>
  <c r="V660" i="44" s="1"/>
  <c r="G671" i="44"/>
  <c r="V671" i="44" s="1"/>
  <c r="G661" i="44"/>
  <c r="V661" i="44" s="1"/>
  <c r="G680" i="44"/>
  <c r="V680" i="44" s="1"/>
  <c r="G653" i="44"/>
  <c r="V653" i="44" s="1"/>
  <c r="G691" i="44"/>
  <c r="V691" i="44" s="1"/>
  <c r="G657" i="44"/>
  <c r="V657" i="44" s="1"/>
  <c r="G668" i="44"/>
  <c r="V668" i="44" s="1"/>
  <c r="G679" i="44"/>
  <c r="V679" i="44" s="1"/>
  <c r="G674" i="44"/>
  <c r="V674" i="44" s="1"/>
  <c r="G696" i="44"/>
  <c r="V696" i="44" s="1"/>
  <c r="G669" i="44"/>
  <c r="V669" i="44" s="1"/>
  <c r="G658" i="44"/>
  <c r="V658" i="44" s="1"/>
  <c r="G665" i="44"/>
  <c r="V665" i="44" s="1"/>
  <c r="G676" i="44"/>
  <c r="V676" i="44" s="1"/>
  <c r="G687" i="44"/>
  <c r="V687" i="44" s="1"/>
  <c r="G686" i="44"/>
  <c r="V686" i="44" s="1"/>
  <c r="G666" i="44"/>
  <c r="V666" i="44" s="1"/>
  <c r="G685" i="44"/>
  <c r="V685" i="44" s="1"/>
  <c r="G677" i="44"/>
  <c r="V677" i="44" s="1"/>
  <c r="G673" i="44"/>
  <c r="V673" i="44" s="1"/>
  <c r="G684" i="44"/>
  <c r="V684" i="44" s="1"/>
  <c r="G695" i="44"/>
  <c r="V695" i="44" s="1"/>
  <c r="G699" i="44"/>
  <c r="V699" i="44" s="1"/>
  <c r="G682" i="44"/>
  <c r="V682" i="44" s="1"/>
  <c r="G654" i="44"/>
  <c r="V654" i="44" s="1"/>
  <c r="G693" i="44"/>
  <c r="V693" i="44" s="1"/>
  <c r="G681" i="44"/>
  <c r="V681" i="44" s="1"/>
  <c r="G692" i="44"/>
  <c r="V692" i="44" s="1"/>
  <c r="G662" i="44"/>
  <c r="V662" i="44" s="1"/>
  <c r="G659" i="44"/>
  <c r="V659" i="44" s="1"/>
  <c r="G698" i="44"/>
  <c r="V698" i="44" s="1"/>
  <c r="G670" i="44"/>
  <c r="V670" i="44" s="1"/>
  <c r="G689" i="44"/>
  <c r="V689" i="44" s="1"/>
  <c r="G700" i="44"/>
  <c r="V700" i="44" s="1"/>
  <c r="G675" i="44"/>
  <c r="V675" i="44" s="1"/>
  <c r="G678" i="44"/>
  <c r="V678" i="44" s="1"/>
  <c r="G667" i="44"/>
  <c r="V667" i="44" s="1"/>
  <c r="G690" i="44"/>
  <c r="V690" i="44" s="1"/>
  <c r="G656" i="44"/>
  <c r="V656" i="44" s="1"/>
  <c r="G697" i="44"/>
  <c r="V697" i="44" s="1"/>
  <c r="G655" i="44"/>
  <c r="V655" i="44" s="1"/>
  <c r="G688" i="44"/>
  <c r="V688" i="44" s="1"/>
  <c r="G694" i="44"/>
  <c r="V694" i="44" s="1"/>
  <c r="G683" i="44"/>
  <c r="V683" i="44" s="1"/>
  <c r="B8" i="56"/>
  <c r="B62" i="52" s="1"/>
  <c r="J598" i="44"/>
  <c r="Y598" i="44" s="1"/>
  <c r="J568" i="44"/>
  <c r="Y568" i="44" s="1"/>
  <c r="J599" i="44"/>
  <c r="Y599" i="44" s="1"/>
  <c r="J552" i="44"/>
  <c r="Y552" i="44" s="1"/>
  <c r="J554" i="44"/>
  <c r="Y554" i="44" s="1"/>
  <c r="J572" i="44"/>
  <c r="Y572" i="44" s="1"/>
  <c r="J588" i="44"/>
  <c r="Y588" i="44" s="1"/>
  <c r="J584" i="44"/>
  <c r="Y584" i="44" s="1"/>
  <c r="J566" i="44"/>
  <c r="Y566" i="44" s="1"/>
  <c r="J555" i="44"/>
  <c r="Y555" i="44" s="1"/>
  <c r="J559" i="44"/>
  <c r="Y559" i="44" s="1"/>
  <c r="J590" i="44"/>
  <c r="Y590" i="44" s="1"/>
  <c r="J587" i="44"/>
  <c r="Y587" i="44" s="1"/>
  <c r="J595" i="44"/>
  <c r="Y595" i="44" s="1"/>
  <c r="J557" i="44"/>
  <c r="Y557" i="44" s="1"/>
  <c r="J578" i="44"/>
  <c r="Y578" i="44" s="1"/>
  <c r="J562" i="44"/>
  <c r="Y562" i="44" s="1"/>
  <c r="J564" i="44"/>
  <c r="Y564" i="44" s="1"/>
  <c r="J570" i="44"/>
  <c r="Y570" i="44" s="1"/>
  <c r="J586" i="44"/>
  <c r="Y586" i="44" s="1"/>
  <c r="J550" i="44"/>
  <c r="Y550" i="44" s="1"/>
  <c r="J565" i="44"/>
  <c r="Y565" i="44" s="1"/>
  <c r="J576" i="44"/>
  <c r="Y576" i="44" s="1"/>
  <c r="J580" i="44"/>
  <c r="Y580" i="44" s="1"/>
  <c r="J561" i="44"/>
  <c r="Y561" i="44" s="1"/>
  <c r="J553" i="44"/>
  <c r="Y553" i="44" s="1"/>
  <c r="J558" i="44"/>
  <c r="Y558" i="44" s="1"/>
  <c r="J573" i="44"/>
  <c r="Y573" i="44" s="1"/>
  <c r="J549" i="44"/>
  <c r="Y549" i="44" s="1"/>
  <c r="J592" i="44"/>
  <c r="Y592" i="44" s="1"/>
  <c r="J594" i="44"/>
  <c r="Y594" i="44" s="1"/>
  <c r="J596" i="44"/>
  <c r="Y596" i="44" s="1"/>
  <c r="J575" i="44"/>
  <c r="Y575" i="44" s="1"/>
  <c r="J581" i="44"/>
  <c r="Y581" i="44" s="1"/>
  <c r="J551" i="44"/>
  <c r="Y551" i="44" s="1"/>
  <c r="J591" i="44"/>
  <c r="Y591" i="44" s="1"/>
  <c r="J556" i="44"/>
  <c r="Y556" i="44" s="1"/>
  <c r="J593" i="44"/>
  <c r="Y593" i="44" s="1"/>
  <c r="J560" i="44"/>
  <c r="Y560" i="44" s="1"/>
  <c r="J574" i="44"/>
  <c r="Y574" i="44" s="1"/>
  <c r="J589" i="44"/>
  <c r="Y589" i="44" s="1"/>
  <c r="J567" i="44"/>
  <c r="Y567" i="44" s="1"/>
  <c r="J563" i="44"/>
  <c r="Y563" i="44" s="1"/>
  <c r="J569" i="44"/>
  <c r="Y569" i="44" s="1"/>
  <c r="J571" i="44"/>
  <c r="Y571" i="44" s="1"/>
  <c r="J597" i="44"/>
  <c r="Y597" i="44" s="1"/>
  <c r="J577" i="44"/>
  <c r="Y577" i="44" s="1"/>
  <c r="J579" i="44"/>
  <c r="Y579" i="44" s="1"/>
  <c r="J585" i="44"/>
  <c r="Y585" i="44" s="1"/>
  <c r="J582" i="44"/>
  <c r="Y582" i="44" s="1"/>
  <c r="J583" i="44"/>
  <c r="Y583" i="44" s="1"/>
  <c r="H145" i="44"/>
  <c r="W145" i="44" s="1"/>
  <c r="H172" i="44"/>
  <c r="W172" i="44" s="1"/>
  <c r="D8" i="51"/>
  <c r="D9" i="52" s="1"/>
  <c r="H163" i="44"/>
  <c r="W163" i="44" s="1"/>
  <c r="H173" i="44"/>
  <c r="W173" i="44" s="1"/>
  <c r="H148" i="44"/>
  <c r="W148" i="44" s="1"/>
  <c r="H166" i="44"/>
  <c r="W166" i="44" s="1"/>
  <c r="H140" i="44"/>
  <c r="W140" i="44" s="1"/>
  <c r="H149" i="44"/>
  <c r="W149" i="44" s="1"/>
  <c r="H162" i="44"/>
  <c r="W162" i="44" s="1"/>
  <c r="H158" i="44"/>
  <c r="W158" i="44" s="1"/>
  <c r="H155" i="44"/>
  <c r="W155" i="44" s="1"/>
  <c r="H154" i="44"/>
  <c r="W154" i="44" s="1"/>
  <c r="H139" i="44"/>
  <c r="W139" i="44" s="1"/>
  <c r="H168" i="44"/>
  <c r="W168" i="44" s="1"/>
  <c r="H183" i="44"/>
  <c r="W183" i="44" s="1"/>
  <c r="H185" i="44"/>
  <c r="W185" i="44" s="1"/>
  <c r="H147" i="44"/>
  <c r="W147" i="44" s="1"/>
  <c r="H137" i="44"/>
  <c r="W137" i="44" s="1"/>
  <c r="H181" i="44"/>
  <c r="W181" i="44" s="1"/>
  <c r="H165" i="44"/>
  <c r="W165" i="44" s="1"/>
  <c r="H177" i="44"/>
  <c r="W177" i="44" s="1"/>
  <c r="H178" i="44"/>
  <c r="W178" i="44" s="1"/>
  <c r="H153" i="44"/>
  <c r="W153" i="44" s="1"/>
  <c r="H169" i="44"/>
  <c r="W169" i="44" s="1"/>
  <c r="H143" i="44"/>
  <c r="W143" i="44" s="1"/>
  <c r="H175" i="44"/>
  <c r="W175" i="44" s="1"/>
  <c r="H184" i="44"/>
  <c r="W184" i="44" s="1"/>
  <c r="H152" i="44"/>
  <c r="W152" i="44" s="1"/>
  <c r="H160" i="44"/>
  <c r="W160" i="44" s="1"/>
  <c r="H180" i="44"/>
  <c r="W180" i="44" s="1"/>
  <c r="H171" i="44"/>
  <c r="W171" i="44" s="1"/>
  <c r="H146" i="44"/>
  <c r="W146" i="44" s="1"/>
  <c r="H151" i="44"/>
  <c r="W151" i="44" s="1"/>
  <c r="H138" i="44"/>
  <c r="W138" i="44" s="1"/>
  <c r="H156" i="44"/>
  <c r="W156" i="44" s="1"/>
  <c r="H182" i="44"/>
  <c r="W182" i="44" s="1"/>
  <c r="H170" i="44"/>
  <c r="W170" i="44" s="1"/>
  <c r="H157" i="44"/>
  <c r="W157" i="44" s="1"/>
  <c r="H167" i="44"/>
  <c r="W167" i="44" s="1"/>
  <c r="H136" i="44"/>
  <c r="W136" i="44" s="1"/>
  <c r="H164" i="44"/>
  <c r="W164" i="44" s="1"/>
  <c r="H161" i="44"/>
  <c r="W161" i="44" s="1"/>
  <c r="H144" i="44"/>
  <c r="W144" i="44" s="1"/>
  <c r="H150" i="44"/>
  <c r="W150" i="44" s="1"/>
  <c r="H174" i="44"/>
  <c r="W174" i="44" s="1"/>
  <c r="H135" i="44"/>
  <c r="W135" i="44" s="1"/>
  <c r="H176" i="44"/>
  <c r="W176" i="44" s="1"/>
  <c r="H141" i="44"/>
  <c r="W141" i="44" s="1"/>
  <c r="H142" i="44"/>
  <c r="W142" i="44" s="1"/>
  <c r="H159" i="44"/>
  <c r="W159" i="44" s="1"/>
  <c r="H179" i="44"/>
  <c r="W179" i="44" s="1"/>
  <c r="B8" i="51"/>
  <c r="B9" i="52" s="1"/>
  <c r="J166" i="44"/>
  <c r="Y166" i="44" s="1"/>
  <c r="J181" i="44"/>
  <c r="Y181" i="44" s="1"/>
  <c r="J155" i="44"/>
  <c r="Y155" i="44" s="1"/>
  <c r="J174" i="44"/>
  <c r="Y174" i="44" s="1"/>
  <c r="J152" i="44"/>
  <c r="Y152" i="44" s="1"/>
  <c r="J185" i="44"/>
  <c r="Y185" i="44" s="1"/>
  <c r="J167" i="44"/>
  <c r="Y167" i="44" s="1"/>
  <c r="J163" i="44"/>
  <c r="Y163" i="44" s="1"/>
  <c r="J182" i="44"/>
  <c r="Y182" i="44" s="1"/>
  <c r="J171" i="44"/>
  <c r="Y171" i="44" s="1"/>
  <c r="J140" i="44"/>
  <c r="Y140" i="44" s="1"/>
  <c r="J173" i="44"/>
  <c r="Y173" i="44" s="1"/>
  <c r="J154" i="44"/>
  <c r="Y154" i="44" s="1"/>
  <c r="J136" i="44"/>
  <c r="Y136" i="44" s="1"/>
  <c r="J169" i="44"/>
  <c r="Y169" i="44" s="1"/>
  <c r="J179" i="44"/>
  <c r="Y179" i="44" s="1"/>
  <c r="J184" i="44"/>
  <c r="Y184" i="44" s="1"/>
  <c r="J165" i="44"/>
  <c r="Y165" i="44" s="1"/>
  <c r="J146" i="44"/>
  <c r="Y146" i="44" s="1"/>
  <c r="J170" i="44"/>
  <c r="Y170" i="44" s="1"/>
  <c r="J141" i="44"/>
  <c r="Y141" i="44" s="1"/>
  <c r="J149" i="44"/>
  <c r="Y149" i="44" s="1"/>
  <c r="J148" i="44"/>
  <c r="Y148" i="44" s="1"/>
  <c r="J162" i="44"/>
  <c r="Y162" i="44" s="1"/>
  <c r="J160" i="44"/>
  <c r="Y160" i="44" s="1"/>
  <c r="J151" i="44"/>
  <c r="Y151" i="44" s="1"/>
  <c r="J144" i="44"/>
  <c r="Y144" i="44" s="1"/>
  <c r="J142" i="44"/>
  <c r="Y142" i="44" s="1"/>
  <c r="J161" i="44"/>
  <c r="Y161" i="44" s="1"/>
  <c r="J143" i="44"/>
  <c r="Y143" i="44" s="1"/>
  <c r="J176" i="44"/>
  <c r="Y176" i="44" s="1"/>
  <c r="J157" i="44"/>
  <c r="Y157" i="44" s="1"/>
  <c r="J137" i="44"/>
  <c r="Y137" i="44" s="1"/>
  <c r="J139" i="44"/>
  <c r="Y139" i="44" s="1"/>
  <c r="J183" i="44"/>
  <c r="Y183" i="44" s="1"/>
  <c r="J145" i="44"/>
  <c r="Y145" i="44" s="1"/>
  <c r="J138" i="44"/>
  <c r="Y138" i="44" s="1"/>
  <c r="J147" i="44"/>
  <c r="Y147" i="44" s="1"/>
  <c r="J156" i="44"/>
  <c r="Y156" i="44" s="1"/>
  <c r="J150" i="44"/>
  <c r="Y150" i="44" s="1"/>
  <c r="J172" i="44"/>
  <c r="Y172" i="44" s="1"/>
  <c r="J153" i="44"/>
  <c r="Y153" i="44" s="1"/>
  <c r="J135" i="44"/>
  <c r="Y135" i="44" s="1"/>
  <c r="J168" i="44"/>
  <c r="Y168" i="44" s="1"/>
  <c r="J180" i="44"/>
  <c r="Y180" i="44" s="1"/>
  <c r="J158" i="44"/>
  <c r="Y158" i="44" s="1"/>
  <c r="J164" i="44"/>
  <c r="Y164" i="44" s="1"/>
  <c r="J178" i="44"/>
  <c r="Y178" i="44" s="1"/>
  <c r="J175" i="44"/>
  <c r="Y175" i="44" s="1"/>
  <c r="J159" i="44"/>
  <c r="Y159" i="44" s="1"/>
  <c r="J177" i="44"/>
  <c r="Y177" i="44" s="1"/>
  <c r="I10" i="54"/>
  <c r="U19" i="44"/>
  <c r="K34" i="52" s="1"/>
  <c r="C503" i="44"/>
  <c r="C517" i="44"/>
  <c r="C521" i="44"/>
  <c r="L521" i="44" s="1"/>
  <c r="T521" i="44" s="1"/>
  <c r="C525" i="44"/>
  <c r="C545" i="44"/>
  <c r="C509" i="44"/>
  <c r="C512" i="44"/>
  <c r="C527" i="44"/>
  <c r="C506" i="44"/>
  <c r="C510" i="44"/>
  <c r="C502" i="44"/>
  <c r="C530" i="44"/>
  <c r="C542" i="44"/>
  <c r="C536" i="44"/>
  <c r="C529" i="44"/>
  <c r="C524" i="44"/>
  <c r="C495" i="44"/>
  <c r="C537" i="44"/>
  <c r="C519" i="44"/>
  <c r="C526" i="44"/>
  <c r="C513" i="44"/>
  <c r="C523" i="44"/>
  <c r="C496" i="44"/>
  <c r="C535" i="44"/>
  <c r="C538" i="44"/>
  <c r="C541" i="44"/>
  <c r="C500" i="44"/>
  <c r="C504" i="44"/>
  <c r="C543" i="44"/>
  <c r="C505" i="44"/>
  <c r="C501" i="44"/>
  <c r="C531" i="44"/>
  <c r="C520" i="44"/>
  <c r="C497" i="44"/>
  <c r="C533" i="44"/>
  <c r="C518" i="44"/>
  <c r="C508" i="44"/>
  <c r="C539" i="44"/>
  <c r="C534" i="44"/>
  <c r="C516" i="44"/>
  <c r="C514" i="44"/>
  <c r="C498" i="44"/>
  <c r="C540" i="44"/>
  <c r="C511" i="44"/>
  <c r="C515" i="44"/>
  <c r="C544" i="44"/>
  <c r="C507" i="44"/>
  <c r="C499" i="44"/>
  <c r="C532" i="44"/>
  <c r="C522" i="44"/>
  <c r="C528" i="44"/>
  <c r="G7" i="54"/>
  <c r="I347" i="44"/>
  <c r="X347" i="44" s="1"/>
  <c r="I365" i="44"/>
  <c r="X365" i="44" s="1"/>
  <c r="I343" i="44"/>
  <c r="X343" i="44" s="1"/>
  <c r="I386" i="44"/>
  <c r="X386" i="44" s="1"/>
  <c r="I384" i="44"/>
  <c r="X384" i="44" s="1"/>
  <c r="I349" i="44"/>
  <c r="X349" i="44" s="1"/>
  <c r="I345" i="44"/>
  <c r="X345" i="44" s="1"/>
  <c r="I374" i="44"/>
  <c r="X374" i="44" s="1"/>
  <c r="I389" i="44"/>
  <c r="X389" i="44" s="1"/>
  <c r="I380" i="44"/>
  <c r="X380" i="44" s="1"/>
  <c r="I378" i="44"/>
  <c r="X378" i="44" s="1"/>
  <c r="I367" i="44"/>
  <c r="X367" i="44" s="1"/>
  <c r="I375" i="44"/>
  <c r="X375" i="44" s="1"/>
  <c r="I360" i="44"/>
  <c r="X360" i="44" s="1"/>
  <c r="I381" i="44"/>
  <c r="X381" i="44" s="1"/>
  <c r="I351" i="44"/>
  <c r="X351" i="44" s="1"/>
  <c r="I362" i="44"/>
  <c r="X362" i="44" s="1"/>
  <c r="I350" i="44"/>
  <c r="X350" i="44" s="1"/>
  <c r="I382" i="44"/>
  <c r="X382" i="44" s="1"/>
  <c r="I379" i="44"/>
  <c r="X379" i="44" s="1"/>
  <c r="I355" i="44"/>
  <c r="X355" i="44" s="1"/>
  <c r="I387" i="44"/>
  <c r="X387" i="44" s="1"/>
  <c r="I346" i="44"/>
  <c r="X346" i="44" s="1"/>
  <c r="I392" i="44"/>
  <c r="X392" i="44" s="1"/>
  <c r="I385" i="44"/>
  <c r="X385" i="44" s="1"/>
  <c r="I371" i="44"/>
  <c r="X371" i="44" s="1"/>
  <c r="I372" i="44"/>
  <c r="X372" i="44" s="1"/>
  <c r="I356" i="44"/>
  <c r="X356" i="44" s="1"/>
  <c r="I364" i="44"/>
  <c r="X364" i="44" s="1"/>
  <c r="I348" i="44"/>
  <c r="X348" i="44" s="1"/>
  <c r="I353" i="44"/>
  <c r="X353" i="44" s="1"/>
  <c r="I373" i="44"/>
  <c r="X373" i="44" s="1"/>
  <c r="I376" i="44"/>
  <c r="X376" i="44" s="1"/>
  <c r="I344" i="44"/>
  <c r="X344" i="44" s="1"/>
  <c r="I358" i="44"/>
  <c r="X358" i="44" s="1"/>
  <c r="I368" i="44"/>
  <c r="X368" i="44" s="1"/>
  <c r="I342" i="44"/>
  <c r="X342" i="44" s="1"/>
  <c r="I352" i="44"/>
  <c r="X352" i="44" s="1"/>
  <c r="I369" i="44"/>
  <c r="X369" i="44" s="1"/>
  <c r="I388" i="44"/>
  <c r="X388" i="44" s="1"/>
  <c r="I363" i="44"/>
  <c r="X363" i="44" s="1"/>
  <c r="I357" i="44"/>
  <c r="X357" i="44" s="1"/>
  <c r="I391" i="44"/>
  <c r="X391" i="44" s="1"/>
  <c r="I361" i="44"/>
  <c r="X361" i="44" s="1"/>
  <c r="I354" i="44"/>
  <c r="X354" i="44" s="1"/>
  <c r="I366" i="44"/>
  <c r="X366" i="44" s="1"/>
  <c r="I383" i="44"/>
  <c r="X383" i="44" s="1"/>
  <c r="I377" i="44"/>
  <c r="X377" i="44" s="1"/>
  <c r="I390" i="44"/>
  <c r="X390" i="44" s="1"/>
  <c r="I370" i="44"/>
  <c r="X370" i="44" s="1"/>
  <c r="I359" i="44"/>
  <c r="X359" i="44" s="1"/>
  <c r="C11" i="56"/>
  <c r="C65" i="52" s="1"/>
  <c r="K725" i="44"/>
  <c r="Z725" i="44" s="1"/>
  <c r="K742" i="44"/>
  <c r="Z742" i="44" s="1"/>
  <c r="K751" i="44"/>
  <c r="Z751" i="44" s="1"/>
  <c r="K705" i="44"/>
  <c r="Z705" i="44" s="1"/>
  <c r="K715" i="44"/>
  <c r="Z715" i="44" s="1"/>
  <c r="K732" i="44"/>
  <c r="Z732" i="44" s="1"/>
  <c r="K738" i="44"/>
  <c r="Z738" i="44" s="1"/>
  <c r="K749" i="44"/>
  <c r="Z749" i="44" s="1"/>
  <c r="K711" i="44"/>
  <c r="Z711" i="44" s="1"/>
  <c r="K720" i="44"/>
  <c r="Z720" i="44" s="1"/>
  <c r="K729" i="44"/>
  <c r="Z729" i="44" s="1"/>
  <c r="K739" i="44"/>
  <c r="Z739" i="44" s="1"/>
  <c r="K746" i="44"/>
  <c r="Z746" i="44" s="1"/>
  <c r="K718" i="44"/>
  <c r="Z718" i="44" s="1"/>
  <c r="K743" i="44"/>
  <c r="Z743" i="44" s="1"/>
  <c r="K721" i="44"/>
  <c r="Z721" i="44" s="1"/>
  <c r="K708" i="44"/>
  <c r="Z708" i="44" s="1"/>
  <c r="K722" i="44"/>
  <c r="Z722" i="44" s="1"/>
  <c r="K709" i="44"/>
  <c r="Z709" i="44" s="1"/>
  <c r="K750" i="44"/>
  <c r="Z750" i="44" s="1"/>
  <c r="K728" i="44"/>
  <c r="Z728" i="44" s="1"/>
  <c r="K702" i="44"/>
  <c r="Z702" i="44" s="1"/>
  <c r="K740" i="44"/>
  <c r="Z740" i="44" s="1"/>
  <c r="K733" i="44"/>
  <c r="Z733" i="44" s="1"/>
  <c r="K735" i="44"/>
  <c r="Z735" i="44" s="1"/>
  <c r="K745" i="44"/>
  <c r="Z745" i="44" s="1"/>
  <c r="K706" i="44"/>
  <c r="Z706" i="44" s="1"/>
  <c r="K717" i="44"/>
  <c r="Z717" i="44" s="1"/>
  <c r="K741" i="44"/>
  <c r="Z741" i="44" s="1"/>
  <c r="K704" i="44"/>
  <c r="Z704" i="44" s="1"/>
  <c r="K707" i="44"/>
  <c r="Z707" i="44" s="1"/>
  <c r="K714" i="44"/>
  <c r="Z714" i="44" s="1"/>
  <c r="K710" i="44"/>
  <c r="Z710" i="44" s="1"/>
  <c r="K712" i="44"/>
  <c r="Z712" i="44" s="1"/>
  <c r="K723" i="44"/>
  <c r="Z723" i="44" s="1"/>
  <c r="K730" i="44"/>
  <c r="Z730" i="44" s="1"/>
  <c r="K744" i="44"/>
  <c r="Z744" i="44" s="1"/>
  <c r="K726" i="44"/>
  <c r="Z726" i="44" s="1"/>
  <c r="K736" i="44"/>
  <c r="Z736" i="44" s="1"/>
  <c r="K731" i="44"/>
  <c r="Z731" i="44" s="1"/>
  <c r="K734" i="44"/>
  <c r="Z734" i="44" s="1"/>
  <c r="K747" i="44"/>
  <c r="Z747" i="44" s="1"/>
  <c r="K748" i="44"/>
  <c r="Z748" i="44" s="1"/>
  <c r="K703" i="44"/>
  <c r="Z703" i="44" s="1"/>
  <c r="K752" i="44"/>
  <c r="Z752" i="44" s="1"/>
  <c r="K716" i="44"/>
  <c r="Z716" i="44" s="1"/>
  <c r="K719" i="44"/>
  <c r="Z719" i="44" s="1"/>
  <c r="K713" i="44"/>
  <c r="Z713" i="44" s="1"/>
  <c r="K724" i="44"/>
  <c r="Z724" i="44" s="1"/>
  <c r="K727" i="44"/>
  <c r="Z727" i="44" s="1"/>
  <c r="K737" i="44"/>
  <c r="Z737" i="44" s="1"/>
  <c r="K224" i="44"/>
  <c r="Z224" i="44" s="1"/>
  <c r="K190" i="44"/>
  <c r="Z190" i="44" s="1"/>
  <c r="K213" i="44"/>
  <c r="Z213" i="44" s="1"/>
  <c r="K203" i="44"/>
  <c r="Z203" i="44" s="1"/>
  <c r="K215" i="44"/>
  <c r="Z215" i="44" s="1"/>
  <c r="C9" i="51"/>
  <c r="C10" i="52" s="1"/>
  <c r="K212" i="44"/>
  <c r="Z212" i="44" s="1"/>
  <c r="K187" i="44"/>
  <c r="Z187" i="44" s="1"/>
  <c r="K197" i="44"/>
  <c r="Z197" i="44" s="1"/>
  <c r="K191" i="44"/>
  <c r="Z191" i="44" s="1"/>
  <c r="K225" i="44"/>
  <c r="Z225" i="44" s="1"/>
  <c r="K204" i="44"/>
  <c r="Z204" i="44" s="1"/>
  <c r="K208" i="44"/>
  <c r="Z208" i="44" s="1"/>
  <c r="K196" i="44"/>
  <c r="Z196" i="44" s="1"/>
  <c r="K216" i="44"/>
  <c r="Z216" i="44" s="1"/>
  <c r="K230" i="44"/>
  <c r="Z230" i="44" s="1"/>
  <c r="K206" i="44"/>
  <c r="Z206" i="44" s="1"/>
  <c r="K194" i="44"/>
  <c r="Z194" i="44" s="1"/>
  <c r="K207" i="44"/>
  <c r="Z207" i="44" s="1"/>
  <c r="K222" i="44"/>
  <c r="Z222" i="44" s="1"/>
  <c r="K198" i="44"/>
  <c r="Z198" i="44" s="1"/>
  <c r="K186" i="44"/>
  <c r="Z186" i="44" s="1"/>
  <c r="K219" i="44"/>
  <c r="Z219" i="44" s="1"/>
  <c r="K202" i="44"/>
  <c r="Z202" i="44" s="1"/>
  <c r="K226" i="44"/>
  <c r="Z226" i="44" s="1"/>
  <c r="K228" i="44"/>
  <c r="Z228" i="44" s="1"/>
  <c r="K211" i="44"/>
  <c r="Z211" i="44" s="1"/>
  <c r="K209" i="44"/>
  <c r="Z209" i="44" s="1"/>
  <c r="K192" i="44"/>
  <c r="Z192" i="44" s="1"/>
  <c r="K236" i="44"/>
  <c r="Z236" i="44" s="1"/>
  <c r="K220" i="44"/>
  <c r="Z220" i="44" s="1"/>
  <c r="K201" i="44"/>
  <c r="Z201" i="44" s="1"/>
  <c r="K214" i="44"/>
  <c r="Z214" i="44" s="1"/>
  <c r="K205" i="44"/>
  <c r="Z205" i="44" s="1"/>
  <c r="K189" i="44"/>
  <c r="Z189" i="44" s="1"/>
  <c r="K231" i="44"/>
  <c r="Z231" i="44" s="1"/>
  <c r="K229" i="44"/>
  <c r="Z229" i="44" s="1"/>
  <c r="K195" i="44"/>
  <c r="Z195" i="44" s="1"/>
  <c r="K234" i="44"/>
  <c r="Z234" i="44" s="1"/>
  <c r="K217" i="44"/>
  <c r="Z217" i="44" s="1"/>
  <c r="K210" i="44"/>
  <c r="Z210" i="44" s="1"/>
  <c r="K233" i="44"/>
  <c r="Z233" i="44" s="1"/>
  <c r="K200" i="44"/>
  <c r="Z200" i="44" s="1"/>
  <c r="K188" i="44"/>
  <c r="Z188" i="44" s="1"/>
  <c r="K193" i="44"/>
  <c r="Z193" i="44" s="1"/>
  <c r="K199" i="44"/>
  <c r="Z199" i="44" s="1"/>
  <c r="K223" i="44"/>
  <c r="Z223" i="44" s="1"/>
  <c r="K235" i="44"/>
  <c r="Z235" i="44" s="1"/>
  <c r="K227" i="44"/>
  <c r="Z227" i="44" s="1"/>
  <c r="K221" i="44"/>
  <c r="Z221" i="44" s="1"/>
  <c r="K218" i="44"/>
  <c r="Z218" i="44" s="1"/>
  <c r="K232" i="44"/>
  <c r="Z232" i="44" s="1"/>
  <c r="C6" i="54"/>
  <c r="K298" i="44"/>
  <c r="Z298" i="44" s="1"/>
  <c r="K318" i="44"/>
  <c r="Z318" i="44" s="1"/>
  <c r="K294" i="44"/>
  <c r="Z294" i="44" s="1"/>
  <c r="K292" i="44"/>
  <c r="Z292" i="44" s="1"/>
  <c r="K334" i="44"/>
  <c r="Z334" i="44" s="1"/>
  <c r="K325" i="44"/>
  <c r="Z325" i="44" s="1"/>
  <c r="K307" i="44"/>
  <c r="Z307" i="44" s="1"/>
  <c r="K322" i="44"/>
  <c r="Z322" i="44" s="1"/>
  <c r="K295" i="44"/>
  <c r="Z295" i="44" s="1"/>
  <c r="K336" i="44"/>
  <c r="Z336" i="44" s="1"/>
  <c r="K297" i="44"/>
  <c r="Z297" i="44" s="1"/>
  <c r="K341" i="44"/>
  <c r="Z341" i="44" s="1"/>
  <c r="K311" i="44"/>
  <c r="Z311" i="44" s="1"/>
  <c r="K306" i="44"/>
  <c r="Z306" i="44" s="1"/>
  <c r="K305" i="44"/>
  <c r="Z305" i="44" s="1"/>
  <c r="K321" i="44"/>
  <c r="Z321" i="44" s="1"/>
  <c r="K301" i="44"/>
  <c r="Z301" i="44" s="1"/>
  <c r="K329" i="44"/>
  <c r="Z329" i="44" s="1"/>
  <c r="K330" i="44"/>
  <c r="Z330" i="44" s="1"/>
  <c r="K327" i="44"/>
  <c r="Z327" i="44" s="1"/>
  <c r="K312" i="44"/>
  <c r="Z312" i="44" s="1"/>
  <c r="K302" i="44"/>
  <c r="Z302" i="44" s="1"/>
  <c r="K299" i="44"/>
  <c r="Z299" i="44" s="1"/>
  <c r="K338" i="44"/>
  <c r="Z338" i="44" s="1"/>
  <c r="K337" i="44"/>
  <c r="Z337" i="44" s="1"/>
  <c r="K332" i="44"/>
  <c r="Z332" i="44" s="1"/>
  <c r="K320" i="44"/>
  <c r="Z320" i="44" s="1"/>
  <c r="K308" i="44"/>
  <c r="Z308" i="44" s="1"/>
  <c r="K335" i="44"/>
  <c r="Z335" i="44" s="1"/>
  <c r="K304" i="44"/>
  <c r="Z304" i="44" s="1"/>
  <c r="K315" i="44"/>
  <c r="Z315" i="44" s="1"/>
  <c r="K340" i="44"/>
  <c r="Z340" i="44" s="1"/>
  <c r="K333" i="44"/>
  <c r="Z333" i="44" s="1"/>
  <c r="K323" i="44"/>
  <c r="Z323" i="44" s="1"/>
  <c r="K317" i="44"/>
  <c r="Z317" i="44" s="1"/>
  <c r="K300" i="44"/>
  <c r="Z300" i="44" s="1"/>
  <c r="K331" i="44"/>
  <c r="Z331" i="44" s="1"/>
  <c r="K310" i="44"/>
  <c r="Z310" i="44" s="1"/>
  <c r="K316" i="44"/>
  <c r="Z316" i="44" s="1"/>
  <c r="K339" i="44"/>
  <c r="Z339" i="44" s="1"/>
  <c r="K324" i="44"/>
  <c r="Z324" i="44" s="1"/>
  <c r="K319" i="44"/>
  <c r="Z319" i="44" s="1"/>
  <c r="K314" i="44"/>
  <c r="Z314" i="44" s="1"/>
  <c r="K293" i="44"/>
  <c r="Z293" i="44" s="1"/>
  <c r="K291" i="44"/>
  <c r="Z291" i="44" s="1"/>
  <c r="K326" i="44"/>
  <c r="Z326" i="44" s="1"/>
  <c r="K296" i="44"/>
  <c r="Z296" i="44" s="1"/>
  <c r="K313" i="44"/>
  <c r="Z313" i="44" s="1"/>
  <c r="K328" i="44"/>
  <c r="Z328" i="44" s="1"/>
  <c r="K309" i="44"/>
  <c r="Z309" i="44" s="1"/>
  <c r="K303" i="44"/>
  <c r="Z303" i="44" s="1"/>
  <c r="F9" i="54"/>
  <c r="G449" i="44"/>
  <c r="V449" i="44" s="1"/>
  <c r="G475" i="44"/>
  <c r="V475" i="44" s="1"/>
  <c r="G451" i="44"/>
  <c r="V451" i="44" s="1"/>
  <c r="G469" i="44"/>
  <c r="V469" i="44" s="1"/>
  <c r="G487" i="44"/>
  <c r="V487" i="44" s="1"/>
  <c r="G491" i="44"/>
  <c r="V491" i="44" s="1"/>
  <c r="G458" i="44"/>
  <c r="V458" i="44" s="1"/>
  <c r="G473" i="44"/>
  <c r="V473" i="44" s="1"/>
  <c r="G452" i="44"/>
  <c r="V452" i="44" s="1"/>
  <c r="G493" i="44"/>
  <c r="V493" i="44" s="1"/>
  <c r="G470" i="44"/>
  <c r="V470" i="44" s="1"/>
  <c r="G476" i="44"/>
  <c r="V476" i="44" s="1"/>
  <c r="G478" i="44"/>
  <c r="V478" i="44" s="1"/>
  <c r="G457" i="44"/>
  <c r="V457" i="44" s="1"/>
  <c r="G462" i="44"/>
  <c r="V462" i="44" s="1"/>
  <c r="G480" i="44"/>
  <c r="V480" i="44" s="1"/>
  <c r="G446" i="44"/>
  <c r="V446" i="44" s="1"/>
  <c r="G492" i="44"/>
  <c r="V492" i="44" s="1"/>
  <c r="G481" i="44"/>
  <c r="V481" i="44" s="1"/>
  <c r="G484" i="44"/>
  <c r="V484" i="44" s="1"/>
  <c r="G483" i="44"/>
  <c r="V483" i="44" s="1"/>
  <c r="G488" i="44"/>
  <c r="V488" i="44" s="1"/>
  <c r="G450" i="44"/>
  <c r="V450" i="44" s="1"/>
  <c r="G489" i="44"/>
  <c r="V489" i="44" s="1"/>
  <c r="G494" i="44"/>
  <c r="V494" i="44" s="1"/>
  <c r="G456" i="44"/>
  <c r="V456" i="44" s="1"/>
  <c r="G447" i="44"/>
  <c r="V447" i="44" s="1"/>
  <c r="G465" i="44"/>
  <c r="V465" i="44" s="1"/>
  <c r="G454" i="44"/>
  <c r="V454" i="44" s="1"/>
  <c r="G461" i="44"/>
  <c r="V461" i="44" s="1"/>
  <c r="G463" i="44"/>
  <c r="V463" i="44" s="1"/>
  <c r="G455" i="44"/>
  <c r="V455" i="44" s="1"/>
  <c r="G448" i="44"/>
  <c r="V448" i="44" s="1"/>
  <c r="G485" i="44"/>
  <c r="V485" i="44" s="1"/>
  <c r="G486" i="44"/>
  <c r="V486" i="44" s="1"/>
  <c r="G464" i="44"/>
  <c r="V464" i="44" s="1"/>
  <c r="G482" i="44"/>
  <c r="V482" i="44" s="1"/>
  <c r="G445" i="44"/>
  <c r="V445" i="44" s="1"/>
  <c r="G453" i="44"/>
  <c r="V453" i="44" s="1"/>
  <c r="G471" i="44"/>
  <c r="V471" i="44" s="1"/>
  <c r="G444" i="44"/>
  <c r="V444" i="44" s="1"/>
  <c r="G460" i="44"/>
  <c r="V460" i="44" s="1"/>
  <c r="G472" i="44"/>
  <c r="V472" i="44" s="1"/>
  <c r="G477" i="44"/>
  <c r="V477" i="44" s="1"/>
  <c r="G467" i="44"/>
  <c r="V467" i="44" s="1"/>
  <c r="G466" i="44"/>
  <c r="V466" i="44" s="1"/>
  <c r="G479" i="44"/>
  <c r="V479" i="44" s="1"/>
  <c r="G459" i="44"/>
  <c r="V459" i="44" s="1"/>
  <c r="G490" i="44"/>
  <c r="V490" i="44" s="1"/>
  <c r="G474" i="44"/>
  <c r="V474" i="44" s="1"/>
  <c r="G468" i="44"/>
  <c r="V468" i="44" s="1"/>
  <c r="J12" i="56"/>
  <c r="J66" i="52" s="1"/>
  <c r="K49" i="44"/>
  <c r="Z49" i="44" s="1"/>
  <c r="C6" i="51"/>
  <c r="C7" i="52" s="1"/>
  <c r="K50" i="44"/>
  <c r="Z50" i="44" s="1"/>
  <c r="K51" i="44"/>
  <c r="Z51" i="44" s="1"/>
  <c r="K34" i="44"/>
  <c r="Z34" i="44" s="1"/>
  <c r="K46" i="44"/>
  <c r="Z46" i="44" s="1"/>
  <c r="K65" i="44"/>
  <c r="Z65" i="44" s="1"/>
  <c r="K61" i="44"/>
  <c r="Z61" i="44" s="1"/>
  <c r="K58" i="44"/>
  <c r="Z58" i="44" s="1"/>
  <c r="K55" i="44"/>
  <c r="Z55" i="44" s="1"/>
  <c r="K54" i="44"/>
  <c r="Z54" i="44" s="1"/>
  <c r="K73" i="44"/>
  <c r="Z73" i="44" s="1"/>
  <c r="K37" i="44"/>
  <c r="Z37" i="44" s="1"/>
  <c r="K75" i="44"/>
  <c r="Z75" i="44" s="1"/>
  <c r="K60" i="44"/>
  <c r="Z60" i="44" s="1"/>
  <c r="K62" i="44"/>
  <c r="Z62" i="44" s="1"/>
  <c r="K53" i="44"/>
  <c r="Z53" i="44" s="1"/>
  <c r="K41" i="44"/>
  <c r="Z41" i="44" s="1"/>
  <c r="K78" i="44"/>
  <c r="Z78" i="44" s="1"/>
  <c r="K72" i="44"/>
  <c r="Z72" i="44" s="1"/>
  <c r="K81" i="44"/>
  <c r="Z81" i="44" s="1"/>
  <c r="K36" i="44"/>
  <c r="Z36" i="44" s="1"/>
  <c r="K45" i="44"/>
  <c r="Z45" i="44" s="1"/>
  <c r="K64" i="44"/>
  <c r="Z64" i="44" s="1"/>
  <c r="K82" i="44"/>
  <c r="Z82" i="44" s="1"/>
  <c r="K68" i="44"/>
  <c r="Z68" i="44" s="1"/>
  <c r="K59" i="44"/>
  <c r="Z59" i="44" s="1"/>
  <c r="K56" i="44"/>
  <c r="Z56" i="44" s="1"/>
  <c r="K83" i="44"/>
  <c r="Z83" i="44" s="1"/>
  <c r="K71" i="44"/>
  <c r="Z71" i="44" s="1"/>
  <c r="K69" i="44"/>
  <c r="Z69" i="44" s="1"/>
  <c r="K79" i="44"/>
  <c r="Z79" i="44" s="1"/>
  <c r="K74" i="44"/>
  <c r="Z74" i="44" s="1"/>
  <c r="K33" i="44"/>
  <c r="Z33" i="44" s="1"/>
  <c r="K39" i="44"/>
  <c r="Z39" i="44" s="1"/>
  <c r="K66" i="44"/>
  <c r="Z66" i="44" s="1"/>
  <c r="K44" i="44"/>
  <c r="Z44" i="44" s="1"/>
  <c r="K57" i="44"/>
  <c r="Z57" i="44" s="1"/>
  <c r="K47" i="44"/>
  <c r="Z47" i="44" s="1"/>
  <c r="K35" i="44"/>
  <c r="Z35" i="44" s="1"/>
  <c r="K38" i="44"/>
  <c r="Z38" i="44" s="1"/>
  <c r="K40" i="44"/>
  <c r="Z40" i="44" s="1"/>
  <c r="K52" i="44"/>
  <c r="Z52" i="44" s="1"/>
  <c r="K48" i="44"/>
  <c r="Z48" i="44" s="1"/>
  <c r="K70" i="44"/>
  <c r="Z70" i="44" s="1"/>
  <c r="K43" i="44"/>
  <c r="Z43" i="44" s="1"/>
  <c r="K63" i="44"/>
  <c r="Z63" i="44" s="1"/>
  <c r="K42" i="44"/>
  <c r="Z42" i="44" s="1"/>
  <c r="K77" i="44"/>
  <c r="Z77" i="44" s="1"/>
  <c r="K76" i="44"/>
  <c r="Z76" i="44" s="1"/>
  <c r="K80" i="44"/>
  <c r="Z80" i="44" s="1"/>
  <c r="K67" i="44"/>
  <c r="Z67" i="44" s="1"/>
  <c r="I8" i="54"/>
  <c r="U17" i="44"/>
  <c r="K32" i="52" s="1"/>
  <c r="C420" i="44"/>
  <c r="C427" i="44"/>
  <c r="C398" i="44"/>
  <c r="C400" i="44"/>
  <c r="C422" i="44"/>
  <c r="C425" i="44"/>
  <c r="C428" i="44"/>
  <c r="C435" i="44"/>
  <c r="C408" i="44"/>
  <c r="C414" i="44"/>
  <c r="C438" i="44"/>
  <c r="C410" i="44"/>
  <c r="C436" i="44"/>
  <c r="C443" i="44"/>
  <c r="C418" i="44"/>
  <c r="C426" i="44"/>
  <c r="C405" i="44"/>
  <c r="C432" i="44"/>
  <c r="C393" i="44"/>
  <c r="C399" i="44"/>
  <c r="C430" i="44"/>
  <c r="C442" i="44"/>
  <c r="C423" i="44"/>
  <c r="C413" i="44"/>
  <c r="C395" i="44"/>
  <c r="C409" i="44"/>
  <c r="C440" i="44"/>
  <c r="C397" i="44"/>
  <c r="C439" i="44"/>
  <c r="C433" i="44"/>
  <c r="C396" i="44"/>
  <c r="C403" i="44"/>
  <c r="C421" i="44"/>
  <c r="C401" i="44"/>
  <c r="C417" i="44"/>
  <c r="C406" i="44"/>
  <c r="C394" i="44"/>
  <c r="C404" i="44"/>
  <c r="C411" i="44"/>
  <c r="C431" i="44"/>
  <c r="C415" i="44"/>
  <c r="C437" i="44"/>
  <c r="C424" i="44"/>
  <c r="C416" i="44"/>
  <c r="C412" i="44"/>
  <c r="C419" i="44"/>
  <c r="C441" i="44"/>
  <c r="C429" i="44"/>
  <c r="C402" i="44"/>
  <c r="C407" i="44"/>
  <c r="C434" i="44"/>
  <c r="U26" i="44"/>
  <c r="I9" i="56"/>
  <c r="I63" i="52" s="1"/>
  <c r="C640" i="44"/>
  <c r="C606" i="44"/>
  <c r="C637" i="44"/>
  <c r="C633" i="44"/>
  <c r="C612" i="44"/>
  <c r="C641" i="44"/>
  <c r="C615" i="44"/>
  <c r="C638" i="44"/>
  <c r="C620" i="44"/>
  <c r="C626" i="44"/>
  <c r="C635" i="44"/>
  <c r="C642" i="44"/>
  <c r="C608" i="44"/>
  <c r="C639" i="44"/>
  <c r="C649" i="44"/>
  <c r="C644" i="44"/>
  <c r="C601" i="44"/>
  <c r="C632" i="44"/>
  <c r="C628" i="44"/>
  <c r="C646" i="44"/>
  <c r="C600" i="44"/>
  <c r="C622" i="44"/>
  <c r="C648" i="44"/>
  <c r="C650" i="44"/>
  <c r="C603" i="44"/>
  <c r="C630" i="44"/>
  <c r="C609" i="44"/>
  <c r="C607" i="44"/>
  <c r="C605" i="44"/>
  <c r="C619" i="44"/>
  <c r="C613" i="44"/>
  <c r="C625" i="44"/>
  <c r="C623" i="44"/>
  <c r="C617" i="44"/>
  <c r="C645" i="44"/>
  <c r="C614" i="44"/>
  <c r="C643" i="44"/>
  <c r="C624" i="44"/>
  <c r="C611" i="44"/>
  <c r="C631" i="44"/>
  <c r="C629" i="44"/>
  <c r="C647" i="44"/>
  <c r="C636" i="44"/>
  <c r="C618" i="44"/>
  <c r="C621" i="44"/>
  <c r="C634" i="44"/>
  <c r="C616" i="44"/>
  <c r="C627" i="44"/>
  <c r="C604" i="44"/>
  <c r="L604" i="44" s="1"/>
  <c r="T604" i="44" s="1"/>
  <c r="C610" i="44"/>
  <c r="C602" i="44"/>
  <c r="H10" i="51"/>
  <c r="H11" i="52" s="1"/>
  <c r="I92" i="44"/>
  <c r="X92" i="44" s="1"/>
  <c r="G7" i="51"/>
  <c r="G8" i="52" s="1"/>
  <c r="I112" i="44"/>
  <c r="X112" i="44" s="1"/>
  <c r="I120" i="44"/>
  <c r="X120" i="44" s="1"/>
  <c r="I89" i="44"/>
  <c r="X89" i="44" s="1"/>
  <c r="I106" i="44"/>
  <c r="X106" i="44" s="1"/>
  <c r="I111" i="44"/>
  <c r="X111" i="44" s="1"/>
  <c r="I105" i="44"/>
  <c r="X105" i="44" s="1"/>
  <c r="I103" i="44"/>
  <c r="X103" i="44" s="1"/>
  <c r="I126" i="44"/>
  <c r="X126" i="44" s="1"/>
  <c r="I114" i="44"/>
  <c r="X114" i="44" s="1"/>
  <c r="I94" i="44"/>
  <c r="X94" i="44" s="1"/>
  <c r="I84" i="44"/>
  <c r="X84" i="44" s="1"/>
  <c r="I93" i="44"/>
  <c r="X93" i="44" s="1"/>
  <c r="I96" i="44"/>
  <c r="X96" i="44" s="1"/>
  <c r="I124" i="44"/>
  <c r="X124" i="44" s="1"/>
  <c r="I125" i="44"/>
  <c r="X125" i="44" s="1"/>
  <c r="I121" i="44"/>
  <c r="X121" i="44" s="1"/>
  <c r="I85" i="44"/>
  <c r="X85" i="44" s="1"/>
  <c r="I108" i="44"/>
  <c r="X108" i="44" s="1"/>
  <c r="I129" i="44"/>
  <c r="X129" i="44" s="1"/>
  <c r="I98" i="44"/>
  <c r="X98" i="44" s="1"/>
  <c r="I107" i="44"/>
  <c r="X107" i="44" s="1"/>
  <c r="I113" i="44"/>
  <c r="X113" i="44" s="1"/>
  <c r="I133" i="44"/>
  <c r="X133" i="44" s="1"/>
  <c r="I127" i="44"/>
  <c r="X127" i="44" s="1"/>
  <c r="I97" i="44"/>
  <c r="X97" i="44" s="1"/>
  <c r="I109" i="44"/>
  <c r="X109" i="44" s="1"/>
  <c r="I102" i="44"/>
  <c r="X102" i="44" s="1"/>
  <c r="I104" i="44"/>
  <c r="X104" i="44" s="1"/>
  <c r="I88" i="44"/>
  <c r="X88" i="44" s="1"/>
  <c r="I128" i="44"/>
  <c r="X128" i="44" s="1"/>
  <c r="I90" i="44"/>
  <c r="X90" i="44" s="1"/>
  <c r="I91" i="44"/>
  <c r="X91" i="44" s="1"/>
  <c r="I115" i="44"/>
  <c r="X115" i="44" s="1"/>
  <c r="I134" i="44"/>
  <c r="X134" i="44" s="1"/>
  <c r="I119" i="44"/>
  <c r="X119" i="44" s="1"/>
  <c r="I132" i="44"/>
  <c r="X132" i="44" s="1"/>
  <c r="I122" i="44"/>
  <c r="X122" i="44" s="1"/>
  <c r="I87" i="44"/>
  <c r="X87" i="44" s="1"/>
  <c r="I116" i="44"/>
  <c r="X116" i="44" s="1"/>
  <c r="I110" i="44"/>
  <c r="X110" i="44" s="1"/>
  <c r="I95" i="44"/>
  <c r="X95" i="44" s="1"/>
  <c r="I123" i="44"/>
  <c r="X123" i="44" s="1"/>
  <c r="I100" i="44"/>
  <c r="X100" i="44" s="1"/>
  <c r="I130" i="44"/>
  <c r="X130" i="44" s="1"/>
  <c r="I99" i="44"/>
  <c r="X99" i="44" s="1"/>
  <c r="I101" i="44"/>
  <c r="X101" i="44" s="1"/>
  <c r="I117" i="44"/>
  <c r="X117" i="44" s="1"/>
  <c r="I131" i="44"/>
  <c r="X131" i="44" s="1"/>
  <c r="I86" i="44"/>
  <c r="X86" i="44" s="1"/>
  <c r="I118" i="44"/>
  <c r="X118" i="44" s="1"/>
  <c r="D10" i="56"/>
  <c r="D64" i="52" s="1"/>
  <c r="I56" i="33" s="1"/>
  <c r="H653" i="44"/>
  <c r="W653" i="44" s="1"/>
  <c r="H664" i="44"/>
  <c r="W664" i="44" s="1"/>
  <c r="H683" i="44"/>
  <c r="W683" i="44" s="1"/>
  <c r="H673" i="44"/>
  <c r="W673" i="44" s="1"/>
  <c r="H695" i="44"/>
  <c r="W695" i="44" s="1"/>
  <c r="H668" i="44"/>
  <c r="W668" i="44" s="1"/>
  <c r="H657" i="44"/>
  <c r="W657" i="44" s="1"/>
  <c r="H669" i="44"/>
  <c r="W669" i="44" s="1"/>
  <c r="H680" i="44"/>
  <c r="W680" i="44" s="1"/>
  <c r="H699" i="44"/>
  <c r="W699" i="44" s="1"/>
  <c r="H698" i="44"/>
  <c r="W698" i="44" s="1"/>
  <c r="H681" i="44"/>
  <c r="W681" i="44" s="1"/>
  <c r="H654" i="44"/>
  <c r="W654" i="44" s="1"/>
  <c r="H692" i="44"/>
  <c r="W692" i="44" s="1"/>
  <c r="H677" i="44"/>
  <c r="W677" i="44" s="1"/>
  <c r="H688" i="44"/>
  <c r="W688" i="44" s="1"/>
  <c r="H662" i="44"/>
  <c r="W662" i="44" s="1"/>
  <c r="H658" i="44"/>
  <c r="W658" i="44" s="1"/>
  <c r="H697" i="44"/>
  <c r="W697" i="44" s="1"/>
  <c r="H670" i="44"/>
  <c r="W670" i="44" s="1"/>
  <c r="H696" i="44"/>
  <c r="W696" i="44" s="1"/>
  <c r="H660" i="44"/>
  <c r="W660" i="44" s="1"/>
  <c r="H682" i="44"/>
  <c r="W682" i="44" s="1"/>
  <c r="H676" i="44"/>
  <c r="W676" i="44" s="1"/>
  <c r="H659" i="44"/>
  <c r="W659" i="44" s="1"/>
  <c r="H686" i="44"/>
  <c r="W686" i="44" s="1"/>
  <c r="H651" i="44"/>
  <c r="W651" i="44" s="1"/>
  <c r="H661" i="44"/>
  <c r="W661" i="44" s="1"/>
  <c r="H667" i="44"/>
  <c r="W667" i="44" s="1"/>
  <c r="H678" i="44"/>
  <c r="W678" i="44" s="1"/>
  <c r="H652" i="44"/>
  <c r="W652" i="44" s="1"/>
  <c r="H685" i="44"/>
  <c r="W685" i="44" s="1"/>
  <c r="H675" i="44"/>
  <c r="W675" i="44" s="1"/>
  <c r="H694" i="44"/>
  <c r="W694" i="44" s="1"/>
  <c r="H684" i="44"/>
  <c r="W684" i="44" s="1"/>
  <c r="H693" i="44"/>
  <c r="W693" i="44" s="1"/>
  <c r="H691" i="44"/>
  <c r="W691" i="44" s="1"/>
  <c r="H663" i="44"/>
  <c r="W663" i="44" s="1"/>
  <c r="H689" i="44"/>
  <c r="W689" i="44" s="1"/>
  <c r="H701" i="44"/>
  <c r="W701" i="44" s="1"/>
  <c r="H674" i="44"/>
  <c r="W674" i="44" s="1"/>
  <c r="H679" i="44"/>
  <c r="W679" i="44" s="1"/>
  <c r="H655" i="44"/>
  <c r="W655" i="44" s="1"/>
  <c r="H656" i="44"/>
  <c r="W656" i="44" s="1"/>
  <c r="H687" i="44"/>
  <c r="W687" i="44" s="1"/>
  <c r="H665" i="44"/>
  <c r="W665" i="44" s="1"/>
  <c r="H671" i="44"/>
  <c r="W671" i="44" s="1"/>
  <c r="H666" i="44"/>
  <c r="W666" i="44" s="1"/>
  <c r="H672" i="44"/>
  <c r="W672" i="44" s="1"/>
  <c r="H700" i="44"/>
  <c r="W700" i="44" s="1"/>
  <c r="H690" i="44"/>
  <c r="W690" i="44" s="1"/>
  <c r="U25" i="44"/>
  <c r="I8" i="56"/>
  <c r="I62" i="52" s="1"/>
  <c r="C599" i="44"/>
  <c r="C561" i="44"/>
  <c r="C553" i="44"/>
  <c r="C569" i="44"/>
  <c r="C556" i="44"/>
  <c r="C549" i="44"/>
  <c r="C559" i="44"/>
  <c r="C566" i="44"/>
  <c r="C593" i="44"/>
  <c r="C595" i="44"/>
  <c r="C572" i="44"/>
  <c r="C557" i="44"/>
  <c r="C568" i="44"/>
  <c r="C591" i="44"/>
  <c r="C581" i="44"/>
  <c r="C564" i="44"/>
  <c r="C589" i="44"/>
  <c r="C585" i="44"/>
  <c r="C550" i="44"/>
  <c r="C560" i="44"/>
  <c r="C578" i="44"/>
  <c r="C576" i="44"/>
  <c r="C586" i="44"/>
  <c r="C558" i="44"/>
  <c r="C570" i="44"/>
  <c r="C594" i="44"/>
  <c r="C596" i="44"/>
  <c r="C567" i="44"/>
  <c r="C590" i="44"/>
  <c r="C565" i="44"/>
  <c r="C588" i="44"/>
  <c r="C562" i="44"/>
  <c r="C575" i="44"/>
  <c r="C579" i="44"/>
  <c r="C584" i="44"/>
  <c r="C583" i="44"/>
  <c r="C552" i="44"/>
  <c r="C563" i="44"/>
  <c r="C574" i="44"/>
  <c r="C587" i="44"/>
  <c r="C582" i="44"/>
  <c r="C554" i="44"/>
  <c r="C598" i="44"/>
  <c r="C555" i="44"/>
  <c r="C571" i="44"/>
  <c r="C573" i="44"/>
  <c r="C580" i="44"/>
  <c r="C577" i="44"/>
  <c r="C551" i="44"/>
  <c r="C592" i="44"/>
  <c r="C597" i="44"/>
  <c r="K147" i="44"/>
  <c r="Z147" i="44" s="1"/>
  <c r="C8" i="51"/>
  <c r="C9" i="52" s="1"/>
  <c r="K143" i="44"/>
  <c r="Z143" i="44" s="1"/>
  <c r="K162" i="44"/>
  <c r="Z162" i="44" s="1"/>
  <c r="K158" i="44"/>
  <c r="Z158" i="44" s="1"/>
  <c r="K176" i="44"/>
  <c r="Z176" i="44" s="1"/>
  <c r="K180" i="44"/>
  <c r="Z180" i="44" s="1"/>
  <c r="K161" i="44"/>
  <c r="Z161" i="44" s="1"/>
  <c r="K159" i="44"/>
  <c r="Z159" i="44" s="1"/>
  <c r="K163" i="44"/>
  <c r="Z163" i="44" s="1"/>
  <c r="K171" i="44"/>
  <c r="Z171" i="44" s="1"/>
  <c r="K160" i="44"/>
  <c r="Z160" i="44" s="1"/>
  <c r="K164" i="44"/>
  <c r="Z164" i="44" s="1"/>
  <c r="K184" i="44"/>
  <c r="Z184" i="44" s="1"/>
  <c r="K137" i="44"/>
  <c r="Z137" i="44" s="1"/>
  <c r="K177" i="44"/>
  <c r="Z177" i="44" s="1"/>
  <c r="K150" i="44"/>
  <c r="Z150" i="44" s="1"/>
  <c r="K145" i="44"/>
  <c r="Z145" i="44" s="1"/>
  <c r="K136" i="44"/>
  <c r="Z136" i="44" s="1"/>
  <c r="K135" i="44"/>
  <c r="Z135" i="44" s="1"/>
  <c r="K166" i="44"/>
  <c r="Z166" i="44" s="1"/>
  <c r="K169" i="44"/>
  <c r="Z169" i="44" s="1"/>
  <c r="K146" i="44"/>
  <c r="Z146" i="44" s="1"/>
  <c r="K181" i="44"/>
  <c r="Z181" i="44" s="1"/>
  <c r="K138" i="44"/>
  <c r="Z138" i="44" s="1"/>
  <c r="K175" i="44"/>
  <c r="Z175" i="44" s="1"/>
  <c r="K165" i="44"/>
  <c r="Z165" i="44" s="1"/>
  <c r="K148" i="44"/>
  <c r="Z148" i="44" s="1"/>
  <c r="K182" i="44"/>
  <c r="Z182" i="44" s="1"/>
  <c r="K141" i="44"/>
  <c r="Z141" i="44" s="1"/>
  <c r="K156" i="44"/>
  <c r="Z156" i="44" s="1"/>
  <c r="K170" i="44"/>
  <c r="Z170" i="44" s="1"/>
  <c r="K173" i="44"/>
  <c r="Z173" i="44" s="1"/>
  <c r="K154" i="44"/>
  <c r="Z154" i="44" s="1"/>
  <c r="K153" i="44"/>
  <c r="Z153" i="44" s="1"/>
  <c r="K140" i="44"/>
  <c r="Z140" i="44" s="1"/>
  <c r="K167" i="44"/>
  <c r="Z167" i="44" s="1"/>
  <c r="K172" i="44"/>
  <c r="Z172" i="44" s="1"/>
  <c r="K142" i="44"/>
  <c r="Z142" i="44" s="1"/>
  <c r="K178" i="44"/>
  <c r="Z178" i="44" s="1"/>
  <c r="K183" i="44"/>
  <c r="Z183" i="44" s="1"/>
  <c r="K139" i="44"/>
  <c r="Z139" i="44" s="1"/>
  <c r="K152" i="44"/>
  <c r="Z152" i="44" s="1"/>
  <c r="K149" i="44"/>
  <c r="Z149" i="44" s="1"/>
  <c r="K144" i="44"/>
  <c r="Z144" i="44" s="1"/>
  <c r="K168" i="44"/>
  <c r="Z168" i="44" s="1"/>
  <c r="K179" i="44"/>
  <c r="Z179" i="44" s="1"/>
  <c r="K185" i="44"/>
  <c r="Z185" i="44" s="1"/>
  <c r="K151" i="44"/>
  <c r="Z151" i="44" s="1"/>
  <c r="K155" i="44"/>
  <c r="Z155" i="44" s="1"/>
  <c r="K157" i="44"/>
  <c r="Z157" i="44" s="1"/>
  <c r="K174" i="44"/>
  <c r="Z174" i="44" s="1"/>
  <c r="B10" i="54"/>
  <c r="J502" i="44"/>
  <c r="Y502" i="44" s="1"/>
  <c r="J525" i="44"/>
  <c r="Y525" i="44" s="1"/>
  <c r="J512" i="44"/>
  <c r="Y512" i="44" s="1"/>
  <c r="J516" i="44"/>
  <c r="Y516" i="44" s="1"/>
  <c r="J520" i="44"/>
  <c r="Y520" i="44" s="1"/>
  <c r="J538" i="44"/>
  <c r="Y538" i="44" s="1"/>
  <c r="J511" i="44"/>
  <c r="Y511" i="44" s="1"/>
  <c r="J526" i="44"/>
  <c r="Y526" i="44" s="1"/>
  <c r="J514" i="44"/>
  <c r="Y514" i="44" s="1"/>
  <c r="J499" i="44"/>
  <c r="Y499" i="44" s="1"/>
  <c r="J501" i="44"/>
  <c r="Y501" i="44" s="1"/>
  <c r="J521" i="44"/>
  <c r="Y521" i="44" s="1"/>
  <c r="J523" i="44"/>
  <c r="Y523" i="44" s="1"/>
  <c r="J543" i="44"/>
  <c r="Y543" i="44" s="1"/>
  <c r="J504" i="44"/>
  <c r="Y504" i="44" s="1"/>
  <c r="J529" i="44"/>
  <c r="Y529" i="44" s="1"/>
  <c r="J506" i="44"/>
  <c r="Y506" i="44" s="1"/>
  <c r="J534" i="44"/>
  <c r="Y534" i="44" s="1"/>
  <c r="J495" i="44"/>
  <c r="Y495" i="44" s="1"/>
  <c r="J530" i="44"/>
  <c r="Y530" i="44" s="1"/>
  <c r="J533" i="44"/>
  <c r="Y533" i="44" s="1"/>
  <c r="J505" i="44"/>
  <c r="Y505" i="44" s="1"/>
  <c r="J513" i="44"/>
  <c r="Y513" i="44" s="1"/>
  <c r="J507" i="44"/>
  <c r="Y507" i="44" s="1"/>
  <c r="J500" i="44"/>
  <c r="Y500" i="44" s="1"/>
  <c r="J497" i="44"/>
  <c r="Y497" i="44" s="1"/>
  <c r="J532" i="44"/>
  <c r="Y532" i="44" s="1"/>
  <c r="J503" i="44"/>
  <c r="Y503" i="44" s="1"/>
  <c r="J515" i="44"/>
  <c r="Y515" i="44" s="1"/>
  <c r="J541" i="44"/>
  <c r="Y541" i="44" s="1"/>
  <c r="J496" i="44"/>
  <c r="Y496" i="44" s="1"/>
  <c r="J519" i="44"/>
  <c r="Y519" i="44" s="1"/>
  <c r="J537" i="44"/>
  <c r="Y537" i="44" s="1"/>
  <c r="J508" i="44"/>
  <c r="Y508" i="44" s="1"/>
  <c r="J536" i="44"/>
  <c r="Y536" i="44" s="1"/>
  <c r="J527" i="44"/>
  <c r="Y527" i="44" s="1"/>
  <c r="J524" i="44"/>
  <c r="Y524" i="44" s="1"/>
  <c r="J544" i="44"/>
  <c r="Y544" i="44" s="1"/>
  <c r="J522" i="44"/>
  <c r="Y522" i="44" s="1"/>
  <c r="J535" i="44"/>
  <c r="Y535" i="44" s="1"/>
  <c r="J517" i="44"/>
  <c r="Y517" i="44" s="1"/>
  <c r="J540" i="44"/>
  <c r="Y540" i="44" s="1"/>
  <c r="J510" i="44"/>
  <c r="Y510" i="44" s="1"/>
  <c r="J498" i="44"/>
  <c r="Y498" i="44" s="1"/>
  <c r="J531" i="44"/>
  <c r="Y531" i="44" s="1"/>
  <c r="J509" i="44"/>
  <c r="Y509" i="44" s="1"/>
  <c r="J518" i="44"/>
  <c r="Y518" i="44" s="1"/>
  <c r="J528" i="44"/>
  <c r="Y528" i="44" s="1"/>
  <c r="J545" i="44"/>
  <c r="Y545" i="44" s="1"/>
  <c r="J539" i="44"/>
  <c r="Y539" i="44" s="1"/>
  <c r="J542" i="44"/>
  <c r="Y542" i="44" s="1"/>
  <c r="G10" i="54"/>
  <c r="I531" i="44"/>
  <c r="X531" i="44" s="1"/>
  <c r="I495" i="44"/>
  <c r="X495" i="44" s="1"/>
  <c r="I524" i="44"/>
  <c r="X524" i="44" s="1"/>
  <c r="I537" i="44"/>
  <c r="X537" i="44" s="1"/>
  <c r="I496" i="44"/>
  <c r="X496" i="44" s="1"/>
  <c r="I510" i="44"/>
  <c r="X510" i="44" s="1"/>
  <c r="I506" i="44"/>
  <c r="X506" i="44" s="1"/>
  <c r="I525" i="44"/>
  <c r="X525" i="44" s="1"/>
  <c r="I508" i="44"/>
  <c r="X508" i="44" s="1"/>
  <c r="I529" i="44"/>
  <c r="X529" i="44" s="1"/>
  <c r="I527" i="44"/>
  <c r="X527" i="44" s="1"/>
  <c r="I541" i="44"/>
  <c r="X541" i="44" s="1"/>
  <c r="I514" i="44"/>
  <c r="X514" i="44" s="1"/>
  <c r="I502" i="44"/>
  <c r="X502" i="44" s="1"/>
  <c r="I501" i="44"/>
  <c r="X501" i="44" s="1"/>
  <c r="I500" i="44"/>
  <c r="X500" i="44" s="1"/>
  <c r="I518" i="44"/>
  <c r="X518" i="44" s="1"/>
  <c r="I507" i="44"/>
  <c r="X507" i="44" s="1"/>
  <c r="I538" i="44"/>
  <c r="X538" i="44" s="1"/>
  <c r="I544" i="44"/>
  <c r="X544" i="44" s="1"/>
  <c r="I505" i="44"/>
  <c r="X505" i="44" s="1"/>
  <c r="I532" i="44"/>
  <c r="X532" i="44" s="1"/>
  <c r="I515" i="44"/>
  <c r="X515" i="44" s="1"/>
  <c r="I503" i="44"/>
  <c r="X503" i="44" s="1"/>
  <c r="I520" i="44"/>
  <c r="X520" i="44" s="1"/>
  <c r="I519" i="44"/>
  <c r="X519" i="44" s="1"/>
  <c r="I540" i="44"/>
  <c r="X540" i="44" s="1"/>
  <c r="I523" i="44"/>
  <c r="X523" i="44" s="1"/>
  <c r="I513" i="44"/>
  <c r="X513" i="44" s="1"/>
  <c r="I536" i="44"/>
  <c r="X536" i="44" s="1"/>
  <c r="I533" i="44"/>
  <c r="X533" i="44" s="1"/>
  <c r="I511" i="44"/>
  <c r="X511" i="44" s="1"/>
  <c r="I539" i="44"/>
  <c r="X539" i="44" s="1"/>
  <c r="I535" i="44"/>
  <c r="X535" i="44" s="1"/>
  <c r="I509" i="44"/>
  <c r="X509" i="44" s="1"/>
  <c r="I526" i="44"/>
  <c r="X526" i="44" s="1"/>
  <c r="I516" i="44"/>
  <c r="X516" i="44" s="1"/>
  <c r="I534" i="44"/>
  <c r="X534" i="44" s="1"/>
  <c r="I521" i="44"/>
  <c r="X521" i="44" s="1"/>
  <c r="I499" i="44"/>
  <c r="X499" i="44" s="1"/>
  <c r="I517" i="44"/>
  <c r="X517" i="44" s="1"/>
  <c r="I498" i="44"/>
  <c r="X498" i="44" s="1"/>
  <c r="I543" i="44"/>
  <c r="X543" i="44" s="1"/>
  <c r="I545" i="44"/>
  <c r="X545" i="44" s="1"/>
  <c r="I504" i="44"/>
  <c r="X504" i="44" s="1"/>
  <c r="I497" i="44"/>
  <c r="X497" i="44" s="1"/>
  <c r="I528" i="44"/>
  <c r="X528" i="44" s="1"/>
  <c r="I542" i="44"/>
  <c r="X542" i="44" s="1"/>
  <c r="I522" i="44"/>
  <c r="X522" i="44" s="1"/>
  <c r="I512" i="44"/>
  <c r="X512" i="44" s="1"/>
  <c r="I530" i="44"/>
  <c r="X530" i="44" s="1"/>
  <c r="G114" i="28"/>
  <c r="H114" i="28" s="1"/>
  <c r="J114" i="28"/>
  <c r="K114" i="28" s="1"/>
  <c r="L114" i="28"/>
  <c r="T92" i="37"/>
  <c r="T90" i="37"/>
  <c r="T94" i="37"/>
  <c r="E185" i="28"/>
  <c r="W89" i="37"/>
  <c r="W86" i="37"/>
  <c r="W95" i="37" s="1"/>
  <c r="W84" i="37"/>
  <c r="W93" i="37" s="1"/>
  <c r="K39" i="33" l="1"/>
  <c r="I39" i="33"/>
  <c r="G39" i="33"/>
  <c r="K56" i="33"/>
  <c r="K57" i="33" s="1"/>
  <c r="H56" i="33"/>
  <c r="H57" i="33" s="1"/>
  <c r="M56" i="33"/>
  <c r="M57" i="33" s="1"/>
  <c r="M39" i="33"/>
  <c r="N39" i="33"/>
  <c r="H39" i="33"/>
  <c r="O56" i="33"/>
  <c r="O57" i="33" s="1"/>
  <c r="L401" i="44"/>
  <c r="T401" i="44" s="1"/>
  <c r="L39" i="33"/>
  <c r="J39" i="33"/>
  <c r="L165" i="44"/>
  <c r="T165" i="44" s="1"/>
  <c r="L33" i="44"/>
  <c r="T33" i="44" s="1"/>
  <c r="L523" i="44"/>
  <c r="T523" i="44" s="1"/>
  <c r="L140" i="44"/>
  <c r="T140" i="44" s="1"/>
  <c r="L648" i="44"/>
  <c r="T648" i="44" s="1"/>
  <c r="L615" i="44"/>
  <c r="T615" i="44" s="1"/>
  <c r="L141" i="44"/>
  <c r="T141" i="44" s="1"/>
  <c r="L603" i="44"/>
  <c r="T603" i="44" s="1"/>
  <c r="L404" i="44"/>
  <c r="T404" i="44" s="1"/>
  <c r="M86" i="37"/>
  <c r="M95" i="37" s="1"/>
  <c r="M84" i="37"/>
  <c r="M80" i="37"/>
  <c r="M89" i="37" s="1"/>
  <c r="M82" i="37"/>
  <c r="L137" i="44"/>
  <c r="T137" i="44" s="1"/>
  <c r="L573" i="44"/>
  <c r="T573" i="44" s="1"/>
  <c r="L625" i="44"/>
  <c r="T625" i="44" s="1"/>
  <c r="L644" i="44"/>
  <c r="T644" i="44" s="1"/>
  <c r="L536" i="44"/>
  <c r="T536" i="44" s="1"/>
  <c r="L98" i="44"/>
  <c r="T98" i="44" s="1"/>
  <c r="L634" i="44"/>
  <c r="T634" i="44" s="1"/>
  <c r="L624" i="44"/>
  <c r="T624" i="44" s="1"/>
  <c r="L511" i="44"/>
  <c r="T511" i="44" s="1"/>
  <c r="L127" i="44"/>
  <c r="T127" i="44" s="1"/>
  <c r="L583" i="44"/>
  <c r="T583" i="44" s="1"/>
  <c r="L621" i="44"/>
  <c r="T621" i="44" s="1"/>
  <c r="L612" i="44"/>
  <c r="T612" i="44" s="1"/>
  <c r="L563" i="44"/>
  <c r="T563" i="44" s="1"/>
  <c r="L568" i="44"/>
  <c r="T568" i="44" s="1"/>
  <c r="L125" i="44"/>
  <c r="T125" i="44" s="1"/>
  <c r="L183" i="44"/>
  <c r="T183" i="44" s="1"/>
  <c r="L560" i="44"/>
  <c r="T560" i="44" s="1"/>
  <c r="L550" i="44"/>
  <c r="T550" i="44" s="1"/>
  <c r="L553" i="44"/>
  <c r="T553" i="44" s="1"/>
  <c r="L642" i="44"/>
  <c r="T642" i="44" s="1"/>
  <c r="L99" i="44"/>
  <c r="T99" i="44" s="1"/>
  <c r="L108" i="44"/>
  <c r="T108" i="44" s="1"/>
  <c r="L581" i="44"/>
  <c r="T581" i="44" s="1"/>
  <c r="L552" i="44"/>
  <c r="T552" i="44" s="1"/>
  <c r="L578" i="44"/>
  <c r="T578" i="44" s="1"/>
  <c r="L641" i="44"/>
  <c r="T641" i="44" s="1"/>
  <c r="L136" i="44"/>
  <c r="T136" i="44" s="1"/>
  <c r="L555" i="44"/>
  <c r="T555" i="44" s="1"/>
  <c r="L600" i="44"/>
  <c r="T600" i="44" s="1"/>
  <c r="L135" i="44"/>
  <c r="T135" i="44" s="1"/>
  <c r="L592" i="44"/>
  <c r="T592" i="44" s="1"/>
  <c r="L602" i="44"/>
  <c r="T602" i="44" s="1"/>
  <c r="L636" i="44"/>
  <c r="T636" i="44" s="1"/>
  <c r="L101" i="44"/>
  <c r="T101" i="44" s="1"/>
  <c r="L164" i="44"/>
  <c r="T164" i="44" s="1"/>
  <c r="L567" i="44"/>
  <c r="T567" i="44" s="1"/>
  <c r="L608" i="44"/>
  <c r="T608" i="44" s="1"/>
  <c r="L617" i="44"/>
  <c r="T617" i="44" s="1"/>
  <c r="L120" i="44"/>
  <c r="T120" i="44" s="1"/>
  <c r="L153" i="44"/>
  <c r="T153" i="44" s="1"/>
  <c r="L416" i="44"/>
  <c r="T416" i="44" s="1"/>
  <c r="L399" i="44"/>
  <c r="T399" i="44" s="1"/>
  <c r="L533" i="44"/>
  <c r="T533" i="44" s="1"/>
  <c r="L538" i="44"/>
  <c r="T538" i="44" s="1"/>
  <c r="L495" i="44"/>
  <c r="T495" i="44" s="1"/>
  <c r="L436" i="44"/>
  <c r="T436" i="44" s="1"/>
  <c r="L397" i="44"/>
  <c r="T397" i="44" s="1"/>
  <c r="L530" i="44"/>
  <c r="T530" i="44" s="1"/>
  <c r="L427" i="44"/>
  <c r="T427" i="44" s="1"/>
  <c r="L540" i="44"/>
  <c r="T540" i="44" s="1"/>
  <c r="L522" i="44"/>
  <c r="T522" i="44" s="1"/>
  <c r="L497" i="44"/>
  <c r="T497" i="44" s="1"/>
  <c r="L541" i="44"/>
  <c r="T541" i="44" s="1"/>
  <c r="L517" i="44"/>
  <c r="T517" i="44" s="1"/>
  <c r="L411" i="44"/>
  <c r="T411" i="44" s="1"/>
  <c r="L396" i="44"/>
  <c r="T396" i="44" s="1"/>
  <c r="L589" i="44"/>
  <c r="T589" i="44" s="1"/>
  <c r="L574" i="44"/>
  <c r="T574" i="44" s="1"/>
  <c r="L84" i="44"/>
  <c r="T84" i="44" s="1"/>
  <c r="L95" i="44"/>
  <c r="T95" i="44" s="1"/>
  <c r="L582" i="44"/>
  <c r="T582" i="44" s="1"/>
  <c r="L93" i="44"/>
  <c r="T93" i="44" s="1"/>
  <c r="L506" i="44"/>
  <c r="T506" i="44" s="1"/>
  <c r="L503" i="44"/>
  <c r="T503" i="44" s="1"/>
  <c r="L417" i="44"/>
  <c r="T417" i="44" s="1"/>
  <c r="L393" i="44"/>
  <c r="T393" i="44" s="1"/>
  <c r="L405" i="44"/>
  <c r="T405" i="44" s="1"/>
  <c r="L129" i="44"/>
  <c r="T129" i="44" s="1"/>
  <c r="L104" i="44"/>
  <c r="T104" i="44" s="1"/>
  <c r="L89" i="44"/>
  <c r="T89" i="44" s="1"/>
  <c r="L142" i="44"/>
  <c r="T142" i="44" s="1"/>
  <c r="L185" i="44"/>
  <c r="T185" i="44" s="1"/>
  <c r="L171" i="44"/>
  <c r="T171" i="44" s="1"/>
  <c r="L150" i="44"/>
  <c r="T150" i="44" s="1"/>
  <c r="L180" i="44"/>
  <c r="T180" i="44" s="1"/>
  <c r="L147" i="44"/>
  <c r="T147" i="44" s="1"/>
  <c r="L184" i="44"/>
  <c r="T184" i="44" s="1"/>
  <c r="I80" i="37"/>
  <c r="I89" i="37" s="1"/>
  <c r="I86" i="37"/>
  <c r="I95" i="37" s="1"/>
  <c r="I84" i="37"/>
  <c r="I82" i="37"/>
  <c r="O80" i="37"/>
  <c r="O89" i="37" s="1"/>
  <c r="O84" i="37"/>
  <c r="O93" i="37" s="1"/>
  <c r="O82" i="37"/>
  <c r="O91" i="37" s="1"/>
  <c r="O86" i="37"/>
  <c r="O95" i="37" s="1"/>
  <c r="L403" i="44"/>
  <c r="T403" i="44" s="1"/>
  <c r="L130" i="44"/>
  <c r="T130" i="44" s="1"/>
  <c r="L424" i="44"/>
  <c r="T424" i="44" s="1"/>
  <c r="L440" i="44"/>
  <c r="T440" i="44" s="1"/>
  <c r="L131" i="44"/>
  <c r="T131" i="44" s="1"/>
  <c r="L128" i="44"/>
  <c r="T128" i="44" s="1"/>
  <c r="L570" i="44"/>
  <c r="T570" i="44" s="1"/>
  <c r="L610" i="44"/>
  <c r="T610" i="44" s="1"/>
  <c r="L647" i="44"/>
  <c r="T647" i="44" s="1"/>
  <c r="L626" i="44"/>
  <c r="T626" i="44" s="1"/>
  <c r="L423" i="44"/>
  <c r="T423" i="44" s="1"/>
  <c r="L499" i="44"/>
  <c r="T499" i="44" s="1"/>
  <c r="L162" i="44"/>
  <c r="T162" i="44" s="1"/>
  <c r="L558" i="44"/>
  <c r="T558" i="44" s="1"/>
  <c r="L566" i="44"/>
  <c r="T566" i="44" s="1"/>
  <c r="L629" i="44"/>
  <c r="T629" i="44" s="1"/>
  <c r="L507" i="44"/>
  <c r="T507" i="44" s="1"/>
  <c r="L176" i="44"/>
  <c r="T176" i="44" s="1"/>
  <c r="L151" i="44"/>
  <c r="T151" i="44" s="1"/>
  <c r="L627" i="44"/>
  <c r="T627" i="44" s="1"/>
  <c r="L616" i="44"/>
  <c r="T616" i="44" s="1"/>
  <c r="L410" i="44"/>
  <c r="T410" i="44" s="1"/>
  <c r="L96" i="44"/>
  <c r="T96" i="44" s="1"/>
  <c r="L182" i="44"/>
  <c r="T182" i="44" s="1"/>
  <c r="L518" i="44"/>
  <c r="T518" i="44" s="1"/>
  <c r="L526" i="44"/>
  <c r="T526" i="44" s="1"/>
  <c r="L556" i="44"/>
  <c r="T556" i="44" s="1"/>
  <c r="L605" i="44"/>
  <c r="T605" i="44" s="1"/>
  <c r="L437" i="44"/>
  <c r="T437" i="44" s="1"/>
  <c r="L414" i="44"/>
  <c r="T414" i="44" s="1"/>
  <c r="L528" i="44"/>
  <c r="T528" i="44" s="1"/>
  <c r="L500" i="44"/>
  <c r="T500" i="44" s="1"/>
  <c r="L87" i="44"/>
  <c r="T87" i="44" s="1"/>
  <c r="L115" i="44"/>
  <c r="T115" i="44" s="1"/>
  <c r="L90" i="44"/>
  <c r="T90" i="44" s="1"/>
  <c r="L178" i="44"/>
  <c r="T178" i="44" s="1"/>
  <c r="L181" i="44"/>
  <c r="T181" i="44" s="1"/>
  <c r="L439" i="44"/>
  <c r="T439" i="44" s="1"/>
  <c r="L565" i="44"/>
  <c r="T565" i="44" s="1"/>
  <c r="L596" i="44"/>
  <c r="T596" i="44" s="1"/>
  <c r="L572" i="44"/>
  <c r="T572" i="44" s="1"/>
  <c r="L618" i="44"/>
  <c r="T618" i="44" s="1"/>
  <c r="L421" i="44"/>
  <c r="T421" i="44" s="1"/>
  <c r="L395" i="44"/>
  <c r="T395" i="44" s="1"/>
  <c r="L420" i="44"/>
  <c r="T420" i="44" s="1"/>
  <c r="L537" i="44"/>
  <c r="T537" i="44" s="1"/>
  <c r="L107" i="44"/>
  <c r="T107" i="44" s="1"/>
  <c r="L105" i="44"/>
  <c r="T105" i="44" s="1"/>
  <c r="L106" i="44"/>
  <c r="T106" i="44" s="1"/>
  <c r="L597" i="44"/>
  <c r="T597" i="44" s="1"/>
  <c r="L607" i="44"/>
  <c r="T607" i="44" s="1"/>
  <c r="L514" i="44"/>
  <c r="T514" i="44" s="1"/>
  <c r="L117" i="44"/>
  <c r="T117" i="44" s="1"/>
  <c r="L123" i="44"/>
  <c r="T123" i="44" s="1"/>
  <c r="L173" i="44"/>
  <c r="T173" i="44" s="1"/>
  <c r="L168" i="44"/>
  <c r="T168" i="44" s="1"/>
  <c r="L402" i="44"/>
  <c r="T402" i="44" s="1"/>
  <c r="L554" i="44"/>
  <c r="T554" i="44" s="1"/>
  <c r="L426" i="44"/>
  <c r="T426" i="44" s="1"/>
  <c r="L551" i="44"/>
  <c r="T551" i="44" s="1"/>
  <c r="L575" i="44"/>
  <c r="T575" i="44" s="1"/>
  <c r="L593" i="44"/>
  <c r="T593" i="44" s="1"/>
  <c r="L632" i="44"/>
  <c r="T632" i="44" s="1"/>
  <c r="L606" i="44"/>
  <c r="T606" i="44" s="1"/>
  <c r="L441" i="44"/>
  <c r="T441" i="44" s="1"/>
  <c r="L418" i="44"/>
  <c r="T418" i="44" s="1"/>
  <c r="L516" i="44"/>
  <c r="T516" i="44" s="1"/>
  <c r="L535" i="44"/>
  <c r="T535" i="44" s="1"/>
  <c r="L524" i="44"/>
  <c r="T524" i="44" s="1"/>
  <c r="L109" i="44"/>
  <c r="T109" i="44" s="1"/>
  <c r="L88" i="44"/>
  <c r="T88" i="44" s="1"/>
  <c r="L177" i="44"/>
  <c r="T177" i="44" s="1"/>
  <c r="L175" i="44"/>
  <c r="T175" i="44" s="1"/>
  <c r="L145" i="44"/>
  <c r="T145" i="44" s="1"/>
  <c r="L152" i="44"/>
  <c r="T152" i="44" s="1"/>
  <c r="L598" i="44"/>
  <c r="T598" i="44" s="1"/>
  <c r="L415" i="44"/>
  <c r="T415" i="44" s="1"/>
  <c r="L595" i="44"/>
  <c r="T595" i="44" s="1"/>
  <c r="L413" i="44"/>
  <c r="T413" i="44" s="1"/>
  <c r="L601" i="44"/>
  <c r="T601" i="44" s="1"/>
  <c r="L640" i="44"/>
  <c r="T640" i="44" s="1"/>
  <c r="L443" i="44"/>
  <c r="T443" i="44" s="1"/>
  <c r="L534" i="44"/>
  <c r="T534" i="44" s="1"/>
  <c r="L501" i="44"/>
  <c r="T501" i="44" s="1"/>
  <c r="L529" i="44"/>
  <c r="T529" i="44" s="1"/>
  <c r="L512" i="44"/>
  <c r="T512" i="44" s="1"/>
  <c r="L134" i="44"/>
  <c r="T134" i="44" s="1"/>
  <c r="L122" i="44"/>
  <c r="T122" i="44" s="1"/>
  <c r="L155" i="44"/>
  <c r="T155" i="44" s="1"/>
  <c r="L579" i="44"/>
  <c r="T579" i="44" s="1"/>
  <c r="L635" i="44"/>
  <c r="T635" i="44" s="1"/>
  <c r="L586" i="44"/>
  <c r="T586" i="44" s="1"/>
  <c r="L638" i="44"/>
  <c r="T638" i="44" s="1"/>
  <c r="L394" i="44"/>
  <c r="T394" i="44" s="1"/>
  <c r="L544" i="44"/>
  <c r="T544" i="44" s="1"/>
  <c r="L539" i="44"/>
  <c r="T539" i="44" s="1"/>
  <c r="L92" i="44"/>
  <c r="T92" i="44" s="1"/>
  <c r="L118" i="44"/>
  <c r="T118" i="44" s="1"/>
  <c r="L85" i="44"/>
  <c r="T85" i="44" s="1"/>
  <c r="L163" i="44"/>
  <c r="T163" i="44" s="1"/>
  <c r="L157" i="44"/>
  <c r="T157" i="44" s="1"/>
  <c r="L585" i="44"/>
  <c r="T585" i="44" s="1"/>
  <c r="L637" i="44"/>
  <c r="T637" i="44" s="1"/>
  <c r="L587" i="44"/>
  <c r="T587" i="44" s="1"/>
  <c r="L422" i="44"/>
  <c r="T422" i="44" s="1"/>
  <c r="L576" i="44"/>
  <c r="T576" i="44" s="1"/>
  <c r="L591" i="44"/>
  <c r="T591" i="44" s="1"/>
  <c r="L549" i="44"/>
  <c r="T549" i="44" s="1"/>
  <c r="L611" i="44"/>
  <c r="T611" i="44" s="1"/>
  <c r="L613" i="44"/>
  <c r="T613" i="44" s="1"/>
  <c r="L649" i="44"/>
  <c r="T649" i="44" s="1"/>
  <c r="L406" i="44"/>
  <c r="T406" i="44" s="1"/>
  <c r="L400" i="44"/>
  <c r="T400" i="44" s="1"/>
  <c r="L515" i="44"/>
  <c r="T515" i="44" s="1"/>
  <c r="L508" i="44"/>
  <c r="T508" i="44" s="1"/>
  <c r="L543" i="44"/>
  <c r="T543" i="44" s="1"/>
  <c r="L513" i="44"/>
  <c r="T513" i="44" s="1"/>
  <c r="L542" i="44"/>
  <c r="T542" i="44" s="1"/>
  <c r="L545" i="44"/>
  <c r="T545" i="44" s="1"/>
  <c r="L116" i="44"/>
  <c r="T116" i="44" s="1"/>
  <c r="L124" i="44"/>
  <c r="T124" i="44" s="1"/>
  <c r="L111" i="44"/>
  <c r="T111" i="44" s="1"/>
  <c r="L156" i="44"/>
  <c r="T156" i="44" s="1"/>
  <c r="L154" i="44"/>
  <c r="T154" i="44" s="1"/>
  <c r="L139" i="44"/>
  <c r="T139" i="44" s="1"/>
  <c r="L633" i="44"/>
  <c r="T633" i="44" s="1"/>
  <c r="L429" i="44"/>
  <c r="T429" i="44" s="1"/>
  <c r="L562" i="44"/>
  <c r="T562" i="44" s="1"/>
  <c r="L623" i="44"/>
  <c r="T623" i="44" s="1"/>
  <c r="L588" i="44"/>
  <c r="T588" i="44" s="1"/>
  <c r="L559" i="44"/>
  <c r="T559" i="44" s="1"/>
  <c r="L631" i="44"/>
  <c r="T631" i="44" s="1"/>
  <c r="L650" i="44"/>
  <c r="T650" i="44" s="1"/>
  <c r="L571" i="44"/>
  <c r="T571" i="44" s="1"/>
  <c r="L590" i="44"/>
  <c r="T590" i="44" s="1"/>
  <c r="L619" i="44"/>
  <c r="T619" i="44" s="1"/>
  <c r="L622" i="44"/>
  <c r="T622" i="44" s="1"/>
  <c r="L639" i="44"/>
  <c r="T639" i="44" s="1"/>
  <c r="L434" i="44"/>
  <c r="T434" i="44" s="1"/>
  <c r="L398" i="44"/>
  <c r="T398" i="44" s="1"/>
  <c r="L504" i="44"/>
  <c r="T504" i="44" s="1"/>
  <c r="L525" i="44"/>
  <c r="T525" i="44" s="1"/>
  <c r="L102" i="44"/>
  <c r="T102" i="44" s="1"/>
  <c r="L112" i="44"/>
  <c r="T112" i="44" s="1"/>
  <c r="L119" i="44"/>
  <c r="T119" i="44" s="1"/>
  <c r="L94" i="44"/>
  <c r="T94" i="44" s="1"/>
  <c r="L132" i="44"/>
  <c r="T132" i="44" s="1"/>
  <c r="L167" i="44"/>
  <c r="T167" i="44" s="1"/>
  <c r="L161" i="44"/>
  <c r="T161" i="44" s="1"/>
  <c r="L166" i="44"/>
  <c r="T166" i="44" s="1"/>
  <c r="L146" i="44"/>
  <c r="T146" i="44" s="1"/>
  <c r="L148" i="44"/>
  <c r="T148" i="44" s="1"/>
  <c r="L777" i="44"/>
  <c r="T777" i="44" s="1"/>
  <c r="L772" i="44"/>
  <c r="T772" i="44" s="1"/>
  <c r="L793" i="44"/>
  <c r="T793" i="44" s="1"/>
  <c r="L799" i="44"/>
  <c r="T799" i="44" s="1"/>
  <c r="L291" i="44"/>
  <c r="T291" i="44" s="1"/>
  <c r="L316" i="44"/>
  <c r="T316" i="44" s="1"/>
  <c r="L336" i="44"/>
  <c r="T336" i="44" s="1"/>
  <c r="L320" i="44"/>
  <c r="T320" i="44" s="1"/>
  <c r="L317" i="44"/>
  <c r="T317" i="44" s="1"/>
  <c r="L327" i="44"/>
  <c r="T327" i="44" s="1"/>
  <c r="L668" i="44"/>
  <c r="T668" i="44" s="1"/>
  <c r="L660" i="44"/>
  <c r="T660" i="44" s="1"/>
  <c r="L685" i="44"/>
  <c r="T685" i="44" s="1"/>
  <c r="L654" i="44"/>
  <c r="T654" i="44" s="1"/>
  <c r="L491" i="44"/>
  <c r="T491" i="44" s="1"/>
  <c r="L475" i="44"/>
  <c r="T475" i="44" s="1"/>
  <c r="L449" i="44"/>
  <c r="T449" i="44" s="1"/>
  <c r="L485" i="44"/>
  <c r="T485" i="44" s="1"/>
  <c r="L745" i="44"/>
  <c r="T745" i="44" s="1"/>
  <c r="L718" i="44"/>
  <c r="T718" i="44" s="1"/>
  <c r="L706" i="44"/>
  <c r="T706" i="44" s="1"/>
  <c r="L714" i="44"/>
  <c r="T714" i="44" s="1"/>
  <c r="L731" i="44"/>
  <c r="T731" i="44" s="1"/>
  <c r="L739" i="44"/>
  <c r="T739" i="44" s="1"/>
  <c r="L708" i="44"/>
  <c r="T708" i="44" s="1"/>
  <c r="L242" i="44"/>
  <c r="T242" i="44" s="1"/>
  <c r="L275" i="44"/>
  <c r="T275" i="44" s="1"/>
  <c r="L274" i="44"/>
  <c r="T274" i="44" s="1"/>
  <c r="L240" i="44"/>
  <c r="T240" i="44" s="1"/>
  <c r="L43" i="44"/>
  <c r="T43" i="44" s="1"/>
  <c r="L52" i="44"/>
  <c r="T52" i="44" s="1"/>
  <c r="L75" i="44"/>
  <c r="T75" i="44" s="1"/>
  <c r="L47" i="44"/>
  <c r="T47" i="44" s="1"/>
  <c r="L51" i="44"/>
  <c r="T51" i="44" s="1"/>
  <c r="L226" i="44"/>
  <c r="T226" i="44" s="1"/>
  <c r="L196" i="44"/>
  <c r="T196" i="44" s="1"/>
  <c r="L209" i="44"/>
  <c r="T209" i="44" s="1"/>
  <c r="L228" i="44"/>
  <c r="T228" i="44" s="1"/>
  <c r="L214" i="44"/>
  <c r="T214" i="44" s="1"/>
  <c r="L210" i="44"/>
  <c r="T210" i="44" s="1"/>
  <c r="L352" i="44"/>
  <c r="T352" i="44" s="1"/>
  <c r="L347" i="44"/>
  <c r="T347" i="44" s="1"/>
  <c r="L364" i="44"/>
  <c r="T364" i="44" s="1"/>
  <c r="L360" i="44"/>
  <c r="T360" i="44" s="1"/>
  <c r="L373" i="44"/>
  <c r="T373" i="44" s="1"/>
  <c r="L663" i="44"/>
  <c r="T663" i="44" s="1"/>
  <c r="L580" i="44"/>
  <c r="T580" i="44" s="1"/>
  <c r="L412" i="44"/>
  <c r="T412" i="44" s="1"/>
  <c r="L430" i="44"/>
  <c r="T430" i="44" s="1"/>
  <c r="L505" i="44"/>
  <c r="T505" i="44" s="1"/>
  <c r="L509" i="44"/>
  <c r="T509" i="44" s="1"/>
  <c r="L91" i="44"/>
  <c r="T91" i="44" s="1"/>
  <c r="L100" i="44"/>
  <c r="T100" i="44" s="1"/>
  <c r="M91" i="37"/>
  <c r="E172" i="28"/>
  <c r="M93" i="37"/>
  <c r="L785" i="44"/>
  <c r="T785" i="44" s="1"/>
  <c r="L775" i="44"/>
  <c r="T775" i="44" s="1"/>
  <c r="L787" i="44"/>
  <c r="T787" i="44" s="1"/>
  <c r="L774" i="44"/>
  <c r="T774" i="44" s="1"/>
  <c r="L755" i="44"/>
  <c r="T755" i="44" s="1"/>
  <c r="L784" i="44"/>
  <c r="T784" i="44" s="1"/>
  <c r="L179" i="44"/>
  <c r="T179" i="44" s="1"/>
  <c r="L138" i="44"/>
  <c r="T138" i="44" s="1"/>
  <c r="L309" i="44"/>
  <c r="T309" i="44" s="1"/>
  <c r="L334" i="44"/>
  <c r="T334" i="44" s="1"/>
  <c r="L321" i="44"/>
  <c r="T321" i="44" s="1"/>
  <c r="L341" i="44"/>
  <c r="T341" i="44" s="1"/>
  <c r="L330" i="44"/>
  <c r="T330" i="44" s="1"/>
  <c r="L300" i="44"/>
  <c r="T300" i="44" s="1"/>
  <c r="L670" i="44"/>
  <c r="T670" i="44" s="1"/>
  <c r="L690" i="44"/>
  <c r="T690" i="44" s="1"/>
  <c r="L689" i="44"/>
  <c r="T689" i="44" s="1"/>
  <c r="L688" i="44"/>
  <c r="T688" i="44" s="1"/>
  <c r="L691" i="44"/>
  <c r="T691" i="44" s="1"/>
  <c r="L676" i="44"/>
  <c r="T676" i="44" s="1"/>
  <c r="L694" i="44"/>
  <c r="T694" i="44" s="1"/>
  <c r="L481" i="44"/>
  <c r="T481" i="44" s="1"/>
  <c r="L474" i="44"/>
  <c r="T474" i="44" s="1"/>
  <c r="L492" i="44"/>
  <c r="T492" i="44" s="1"/>
  <c r="L445" i="44"/>
  <c r="T445" i="44" s="1"/>
  <c r="L490" i="44"/>
  <c r="T490" i="44" s="1"/>
  <c r="L471" i="44"/>
  <c r="T471" i="44" s="1"/>
  <c r="L727" i="44"/>
  <c r="T727" i="44" s="1"/>
  <c r="L741" i="44"/>
  <c r="T741" i="44" s="1"/>
  <c r="L736" i="44"/>
  <c r="T736" i="44" s="1"/>
  <c r="L712" i="44"/>
  <c r="T712" i="44" s="1"/>
  <c r="L721" i="44"/>
  <c r="T721" i="44" s="1"/>
  <c r="L732" i="44"/>
  <c r="T732" i="44" s="1"/>
  <c r="L746" i="44"/>
  <c r="T746" i="44" s="1"/>
  <c r="L262" i="44"/>
  <c r="T262" i="44" s="1"/>
  <c r="L241" i="44"/>
  <c r="T241" i="44" s="1"/>
  <c r="L250" i="44"/>
  <c r="T250" i="44" s="1"/>
  <c r="L263" i="44"/>
  <c r="T263" i="44" s="1"/>
  <c r="L261" i="44"/>
  <c r="T261" i="44" s="1"/>
  <c r="L269" i="44"/>
  <c r="T269" i="44" s="1"/>
  <c r="L74" i="44"/>
  <c r="T74" i="44" s="1"/>
  <c r="L35" i="44"/>
  <c r="T35" i="44" s="1"/>
  <c r="L38" i="44"/>
  <c r="T38" i="44" s="1"/>
  <c r="L66" i="44"/>
  <c r="T66" i="44" s="1"/>
  <c r="L56" i="44"/>
  <c r="T56" i="44" s="1"/>
  <c r="L60" i="44"/>
  <c r="T60" i="44" s="1"/>
  <c r="L193" i="44"/>
  <c r="T193" i="44" s="1"/>
  <c r="L191" i="44"/>
  <c r="T191" i="44" s="1"/>
  <c r="L198" i="44"/>
  <c r="T198" i="44" s="1"/>
  <c r="L224" i="44"/>
  <c r="T224" i="44" s="1"/>
  <c r="L206" i="44"/>
  <c r="T206" i="44" s="1"/>
  <c r="L231" i="44"/>
  <c r="T231" i="44" s="1"/>
  <c r="L384" i="44"/>
  <c r="T384" i="44" s="1"/>
  <c r="L369" i="44"/>
  <c r="T369" i="44" s="1"/>
  <c r="L392" i="44"/>
  <c r="T392" i="44" s="1"/>
  <c r="L370" i="44"/>
  <c r="T370" i="44" s="1"/>
  <c r="L359" i="44"/>
  <c r="T359" i="44" s="1"/>
  <c r="L385" i="44"/>
  <c r="T385" i="44" s="1"/>
  <c r="L383" i="44"/>
  <c r="T383" i="44" s="1"/>
  <c r="L776" i="44"/>
  <c r="T776" i="44" s="1"/>
  <c r="L794" i="44"/>
  <c r="T794" i="44" s="1"/>
  <c r="L791" i="44"/>
  <c r="T791" i="44" s="1"/>
  <c r="L778" i="44"/>
  <c r="T778" i="44" s="1"/>
  <c r="L768" i="44"/>
  <c r="T768" i="44" s="1"/>
  <c r="L761" i="44"/>
  <c r="T761" i="44" s="1"/>
  <c r="L149" i="44"/>
  <c r="T149" i="44" s="1"/>
  <c r="L307" i="44"/>
  <c r="T307" i="44" s="1"/>
  <c r="L313" i="44"/>
  <c r="T313" i="44" s="1"/>
  <c r="L329" i="44"/>
  <c r="T329" i="44" s="1"/>
  <c r="L328" i="44"/>
  <c r="T328" i="44" s="1"/>
  <c r="L294" i="44"/>
  <c r="T294" i="44" s="1"/>
  <c r="L293" i="44"/>
  <c r="T293" i="44" s="1"/>
  <c r="L683" i="44"/>
  <c r="T683" i="44" s="1"/>
  <c r="L677" i="44"/>
  <c r="T677" i="44" s="1"/>
  <c r="L696" i="44"/>
  <c r="T696" i="44" s="1"/>
  <c r="L651" i="44"/>
  <c r="T651" i="44" s="1"/>
  <c r="L687" i="44"/>
  <c r="T687" i="44" s="1"/>
  <c r="L661" i="44"/>
  <c r="T661" i="44" s="1"/>
  <c r="L467" i="44"/>
  <c r="T467" i="44" s="1"/>
  <c r="L454" i="44"/>
  <c r="T454" i="44" s="1"/>
  <c r="L448" i="44"/>
  <c r="T448" i="44" s="1"/>
  <c r="L469" i="44"/>
  <c r="T469" i="44" s="1"/>
  <c r="L476" i="44"/>
  <c r="T476" i="44" s="1"/>
  <c r="L484" i="44"/>
  <c r="T484" i="44" s="1"/>
  <c r="L744" i="44"/>
  <c r="T744" i="44" s="1"/>
  <c r="L749" i="44"/>
  <c r="T749" i="44" s="1"/>
  <c r="L740" i="44"/>
  <c r="T740" i="44" s="1"/>
  <c r="L752" i="44"/>
  <c r="T752" i="44" s="1"/>
  <c r="L710" i="44"/>
  <c r="T710" i="44" s="1"/>
  <c r="L713" i="44"/>
  <c r="T713" i="44" s="1"/>
  <c r="L723" i="44"/>
  <c r="T723" i="44" s="1"/>
  <c r="L243" i="44"/>
  <c r="T243" i="44" s="1"/>
  <c r="L279" i="44"/>
  <c r="T279" i="44" s="1"/>
  <c r="L280" i="44"/>
  <c r="T280" i="44" s="1"/>
  <c r="L246" i="44"/>
  <c r="T246" i="44" s="1"/>
  <c r="L249" i="44"/>
  <c r="T249" i="44" s="1"/>
  <c r="L265" i="44"/>
  <c r="T265" i="44" s="1"/>
  <c r="L273" i="44"/>
  <c r="T273" i="44" s="1"/>
  <c r="L62" i="44"/>
  <c r="T62" i="44" s="1"/>
  <c r="L81" i="44"/>
  <c r="T81" i="44" s="1"/>
  <c r="L53" i="44"/>
  <c r="T53" i="44" s="1"/>
  <c r="L68" i="44"/>
  <c r="T68" i="44" s="1"/>
  <c r="L72" i="44"/>
  <c r="T72" i="44" s="1"/>
  <c r="L222" i="44"/>
  <c r="T222" i="44" s="1"/>
  <c r="L225" i="44"/>
  <c r="T225" i="44" s="1"/>
  <c r="L195" i="44"/>
  <c r="T195" i="44" s="1"/>
  <c r="L221" i="44"/>
  <c r="T221" i="44" s="1"/>
  <c r="L220" i="44"/>
  <c r="T220" i="44" s="1"/>
  <c r="L201" i="44"/>
  <c r="T201" i="44" s="1"/>
  <c r="L371" i="44"/>
  <c r="T371" i="44" s="1"/>
  <c r="L351" i="44"/>
  <c r="T351" i="44" s="1"/>
  <c r="L365" i="44"/>
  <c r="T365" i="44" s="1"/>
  <c r="L390" i="44"/>
  <c r="T390" i="44" s="1"/>
  <c r="L354" i="44"/>
  <c r="T354" i="44" s="1"/>
  <c r="L348" i="44"/>
  <c r="T348" i="44" s="1"/>
  <c r="L357" i="44"/>
  <c r="T357" i="44" s="1"/>
  <c r="L760" i="44"/>
  <c r="T760" i="44" s="1"/>
  <c r="L487" i="44"/>
  <c r="T487" i="44" s="1"/>
  <c r="L557" i="44"/>
  <c r="T557" i="44" s="1"/>
  <c r="L569" i="44"/>
  <c r="T569" i="44" s="1"/>
  <c r="L643" i="44"/>
  <c r="T643" i="44" s="1"/>
  <c r="L407" i="44"/>
  <c r="T407" i="44" s="1"/>
  <c r="L409" i="44"/>
  <c r="T409" i="44" s="1"/>
  <c r="L432" i="44"/>
  <c r="T432" i="44" s="1"/>
  <c r="L519" i="44"/>
  <c r="T519" i="44" s="1"/>
  <c r="L502" i="44"/>
  <c r="T502" i="44" s="1"/>
  <c r="L103" i="44"/>
  <c r="T103" i="44" s="1"/>
  <c r="L757" i="44"/>
  <c r="T757" i="44" s="1"/>
  <c r="L756" i="44"/>
  <c r="T756" i="44" s="1"/>
  <c r="L773" i="44"/>
  <c r="T773" i="44" s="1"/>
  <c r="L767" i="44"/>
  <c r="T767" i="44" s="1"/>
  <c r="L762" i="44"/>
  <c r="T762" i="44" s="1"/>
  <c r="L797" i="44"/>
  <c r="T797" i="44" s="1"/>
  <c r="L160" i="44"/>
  <c r="T160" i="44" s="1"/>
  <c r="L319" i="44"/>
  <c r="T319" i="44" s="1"/>
  <c r="L306" i="44"/>
  <c r="T306" i="44" s="1"/>
  <c r="L292" i="44"/>
  <c r="T292" i="44" s="1"/>
  <c r="L299" i="44"/>
  <c r="T299" i="44" s="1"/>
  <c r="L295" i="44"/>
  <c r="T295" i="44" s="1"/>
  <c r="L338" i="44"/>
  <c r="T338" i="44" s="1"/>
  <c r="E174" i="28"/>
  <c r="L680" i="44"/>
  <c r="T680" i="44" s="1"/>
  <c r="L678" i="44"/>
  <c r="T678" i="44" s="1"/>
  <c r="L698" i="44"/>
  <c r="T698" i="44" s="1"/>
  <c r="L673" i="44"/>
  <c r="T673" i="44" s="1"/>
  <c r="L662" i="44"/>
  <c r="T662" i="44" s="1"/>
  <c r="L659" i="44"/>
  <c r="T659" i="44" s="1"/>
  <c r="L453" i="44"/>
  <c r="T453" i="44" s="1"/>
  <c r="L480" i="44"/>
  <c r="T480" i="44" s="1"/>
  <c r="L466" i="44"/>
  <c r="T466" i="44" s="1"/>
  <c r="L479" i="44"/>
  <c r="T479" i="44" s="1"/>
  <c r="L494" i="44"/>
  <c r="T494" i="44" s="1"/>
  <c r="L486" i="44"/>
  <c r="T486" i="44" s="1"/>
  <c r="L446" i="44"/>
  <c r="T446" i="44" s="1"/>
  <c r="L715" i="44"/>
  <c r="T715" i="44" s="1"/>
  <c r="L703" i="44"/>
  <c r="T703" i="44" s="1"/>
  <c r="L742" i="44"/>
  <c r="T742" i="44" s="1"/>
  <c r="L705" i="44"/>
  <c r="T705" i="44" s="1"/>
  <c r="L702" i="44"/>
  <c r="T702" i="44" s="1"/>
  <c r="L724" i="44"/>
  <c r="T724" i="44" s="1"/>
  <c r="L272" i="44"/>
  <c r="T272" i="44" s="1"/>
  <c r="L281" i="44"/>
  <c r="T281" i="44" s="1"/>
  <c r="L282" i="44"/>
  <c r="T282" i="44" s="1"/>
  <c r="L286" i="44"/>
  <c r="T286" i="44" s="1"/>
  <c r="L257" i="44"/>
  <c r="T257" i="44" s="1"/>
  <c r="L278" i="44"/>
  <c r="T278" i="44" s="1"/>
  <c r="L70" i="44"/>
  <c r="T70" i="44" s="1"/>
  <c r="L37" i="44"/>
  <c r="T37" i="44" s="1"/>
  <c r="L82" i="44"/>
  <c r="T82" i="44" s="1"/>
  <c r="L40" i="44"/>
  <c r="T40" i="44" s="1"/>
  <c r="L58" i="44"/>
  <c r="T58" i="44" s="1"/>
  <c r="L55" i="44"/>
  <c r="T55" i="44" s="1"/>
  <c r="L230" i="44"/>
  <c r="T230" i="44" s="1"/>
  <c r="L232" i="44"/>
  <c r="T232" i="44" s="1"/>
  <c r="L203" i="44"/>
  <c r="T203" i="44" s="1"/>
  <c r="L215" i="44"/>
  <c r="T215" i="44" s="1"/>
  <c r="L229" i="44"/>
  <c r="T229" i="44" s="1"/>
  <c r="L207" i="44"/>
  <c r="T207" i="44" s="1"/>
  <c r="L211" i="44"/>
  <c r="T211" i="44" s="1"/>
  <c r="L378" i="44"/>
  <c r="T378" i="44" s="1"/>
  <c r="L344" i="44"/>
  <c r="T344" i="44" s="1"/>
  <c r="L356" i="44"/>
  <c r="T356" i="44" s="1"/>
  <c r="L353" i="44"/>
  <c r="T353" i="44" s="1"/>
  <c r="L381" i="44"/>
  <c r="T381" i="44" s="1"/>
  <c r="L358" i="44"/>
  <c r="T358" i="44" s="1"/>
  <c r="L789" i="44"/>
  <c r="T789" i="44" s="1"/>
  <c r="L754" i="44"/>
  <c r="T754" i="44" s="1"/>
  <c r="L769" i="44"/>
  <c r="T769" i="44" s="1"/>
  <c r="L798" i="44"/>
  <c r="T798" i="44" s="1"/>
  <c r="L779" i="44"/>
  <c r="T779" i="44" s="1"/>
  <c r="L803" i="44"/>
  <c r="T803" i="44" s="1"/>
  <c r="L97" i="44"/>
  <c r="T97" i="44" s="1"/>
  <c r="L172" i="44"/>
  <c r="T172" i="44" s="1"/>
  <c r="L335" i="44"/>
  <c r="T335" i="44" s="1"/>
  <c r="L312" i="44"/>
  <c r="T312" i="44" s="1"/>
  <c r="L311" i="44"/>
  <c r="T311" i="44" s="1"/>
  <c r="L304" i="44"/>
  <c r="T304" i="44" s="1"/>
  <c r="L339" i="44"/>
  <c r="T339" i="44" s="1"/>
  <c r="L296" i="44"/>
  <c r="T296" i="44" s="1"/>
  <c r="L700" i="44"/>
  <c r="T700" i="44" s="1"/>
  <c r="L699" i="44"/>
  <c r="T699" i="44" s="1"/>
  <c r="L653" i="44"/>
  <c r="T653" i="44" s="1"/>
  <c r="L692" i="44"/>
  <c r="T692" i="44" s="1"/>
  <c r="L684" i="44"/>
  <c r="T684" i="44" s="1"/>
  <c r="L695" i="44"/>
  <c r="T695" i="44" s="1"/>
  <c r="L451" i="44"/>
  <c r="T451" i="44" s="1"/>
  <c r="L472" i="44"/>
  <c r="T472" i="44" s="1"/>
  <c r="L493" i="44"/>
  <c r="T493" i="44" s="1"/>
  <c r="L457" i="44"/>
  <c r="T457" i="44" s="1"/>
  <c r="L452" i="44"/>
  <c r="T452" i="44" s="1"/>
  <c r="L478" i="44"/>
  <c r="T478" i="44" s="1"/>
  <c r="L473" i="44"/>
  <c r="T473" i="44" s="1"/>
  <c r="L750" i="44"/>
  <c r="T750" i="44" s="1"/>
  <c r="L748" i="44"/>
  <c r="T748" i="44" s="1"/>
  <c r="L717" i="44"/>
  <c r="T717" i="44" s="1"/>
  <c r="L737" i="44"/>
  <c r="T737" i="44" s="1"/>
  <c r="L751" i="44"/>
  <c r="T751" i="44" s="1"/>
  <c r="L734" i="44"/>
  <c r="T734" i="44" s="1"/>
  <c r="L260" i="44"/>
  <c r="T260" i="44" s="1"/>
  <c r="L245" i="44"/>
  <c r="T245" i="44" s="1"/>
  <c r="L268" i="44"/>
  <c r="T268" i="44" s="1"/>
  <c r="L285" i="44"/>
  <c r="T285" i="44" s="1"/>
  <c r="L276" i="44"/>
  <c r="T276" i="44" s="1"/>
  <c r="L287" i="44"/>
  <c r="T287" i="44" s="1"/>
  <c r="L42" i="44"/>
  <c r="T42" i="44" s="1"/>
  <c r="L49" i="44"/>
  <c r="T49" i="44" s="1"/>
  <c r="L83" i="44"/>
  <c r="T83" i="44" s="1"/>
  <c r="L80" i="44"/>
  <c r="T80" i="44" s="1"/>
  <c r="L46" i="44"/>
  <c r="T46" i="44" s="1"/>
  <c r="L79" i="44"/>
  <c r="T79" i="44" s="1"/>
  <c r="L200" i="44"/>
  <c r="T200" i="44" s="1"/>
  <c r="L189" i="44"/>
  <c r="T189" i="44" s="1"/>
  <c r="L234" i="44"/>
  <c r="T234" i="44" s="1"/>
  <c r="L213" i="44"/>
  <c r="T213" i="44" s="1"/>
  <c r="L223" i="44"/>
  <c r="T223" i="44" s="1"/>
  <c r="L187" i="44"/>
  <c r="T187" i="44" s="1"/>
  <c r="L219" i="44"/>
  <c r="T219" i="44" s="1"/>
  <c r="L368" i="44"/>
  <c r="T368" i="44" s="1"/>
  <c r="L343" i="44"/>
  <c r="T343" i="44" s="1"/>
  <c r="L380" i="44"/>
  <c r="T380" i="44" s="1"/>
  <c r="L342" i="44"/>
  <c r="T342" i="44" s="1"/>
  <c r="L366" i="44"/>
  <c r="T366" i="44" s="1"/>
  <c r="L387" i="44"/>
  <c r="T387" i="44" s="1"/>
  <c r="L438" i="44"/>
  <c r="T438" i="44" s="1"/>
  <c r="I91" i="37"/>
  <c r="E166" i="28"/>
  <c r="I93" i="37"/>
  <c r="L255" i="44"/>
  <c r="T255" i="44" s="1"/>
  <c r="L59" i="44"/>
  <c r="T59" i="44" s="1"/>
  <c r="L614" i="44"/>
  <c r="T614" i="44" s="1"/>
  <c r="L408" i="44"/>
  <c r="T408" i="44" s="1"/>
  <c r="L498" i="44"/>
  <c r="T498" i="44" s="1"/>
  <c r="L594" i="44"/>
  <c r="T594" i="44" s="1"/>
  <c r="L561" i="44"/>
  <c r="T561" i="44" s="1"/>
  <c r="L645" i="44"/>
  <c r="T645" i="44" s="1"/>
  <c r="L609" i="44"/>
  <c r="T609" i="44" s="1"/>
  <c r="L628" i="44"/>
  <c r="T628" i="44" s="1"/>
  <c r="L431" i="44"/>
  <c r="T431" i="44" s="1"/>
  <c r="L435" i="44"/>
  <c r="T435" i="44" s="1"/>
  <c r="L532" i="44"/>
  <c r="T532" i="44" s="1"/>
  <c r="L520" i="44"/>
  <c r="T520" i="44" s="1"/>
  <c r="L86" i="44"/>
  <c r="T86" i="44" s="1"/>
  <c r="L758" i="44"/>
  <c r="T758" i="44" s="1"/>
  <c r="L802" i="44"/>
  <c r="T802" i="44" s="1"/>
  <c r="L763" i="44"/>
  <c r="T763" i="44" s="1"/>
  <c r="L800" i="44"/>
  <c r="T800" i="44" s="1"/>
  <c r="L764" i="44"/>
  <c r="T764" i="44" s="1"/>
  <c r="L765" i="44"/>
  <c r="T765" i="44" s="1"/>
  <c r="L795" i="44"/>
  <c r="T795" i="44" s="1"/>
  <c r="L170" i="44"/>
  <c r="T170" i="44" s="1"/>
  <c r="L158" i="44"/>
  <c r="T158" i="44" s="1"/>
  <c r="L337" i="44"/>
  <c r="T337" i="44" s="1"/>
  <c r="L324" i="44"/>
  <c r="T324" i="44" s="1"/>
  <c r="L303" i="44"/>
  <c r="T303" i="44" s="1"/>
  <c r="L305" i="44"/>
  <c r="T305" i="44" s="1"/>
  <c r="L325" i="44"/>
  <c r="T325" i="44" s="1"/>
  <c r="L297" i="44"/>
  <c r="T297" i="44" s="1"/>
  <c r="L323" i="44"/>
  <c r="T323" i="44" s="1"/>
  <c r="L656" i="44"/>
  <c r="T656" i="44" s="1"/>
  <c r="L672" i="44"/>
  <c r="T672" i="44" s="1"/>
  <c r="L667" i="44"/>
  <c r="T667" i="44" s="1"/>
  <c r="L666" i="44"/>
  <c r="T666" i="44" s="1"/>
  <c r="L681" i="44"/>
  <c r="T681" i="44" s="1"/>
  <c r="L658" i="44"/>
  <c r="T658" i="44" s="1"/>
  <c r="L464" i="44"/>
  <c r="T464" i="44" s="1"/>
  <c r="L465" i="44"/>
  <c r="T465" i="44" s="1"/>
  <c r="L468" i="44"/>
  <c r="T468" i="44" s="1"/>
  <c r="L455" i="44"/>
  <c r="T455" i="44" s="1"/>
  <c r="L463" i="44"/>
  <c r="T463" i="44" s="1"/>
  <c r="L447" i="44"/>
  <c r="T447" i="44" s="1"/>
  <c r="L458" i="44"/>
  <c r="T458" i="44" s="1"/>
  <c r="L730" i="44"/>
  <c r="T730" i="44" s="1"/>
  <c r="L711" i="44"/>
  <c r="T711" i="44" s="1"/>
  <c r="L726" i="44"/>
  <c r="T726" i="44" s="1"/>
  <c r="L722" i="44"/>
  <c r="T722" i="44" s="1"/>
  <c r="L729" i="44"/>
  <c r="T729" i="44" s="1"/>
  <c r="L720" i="44"/>
  <c r="T720" i="44" s="1"/>
  <c r="L247" i="44"/>
  <c r="T247" i="44" s="1"/>
  <c r="L259" i="44"/>
  <c r="T259" i="44" s="1"/>
  <c r="L237" i="44"/>
  <c r="T237" i="44" s="1"/>
  <c r="L267" i="44"/>
  <c r="T267" i="44" s="1"/>
  <c r="L248" i="44"/>
  <c r="T248" i="44" s="1"/>
  <c r="L254" i="44"/>
  <c r="T254" i="44" s="1"/>
  <c r="L252" i="44"/>
  <c r="T252" i="44" s="1"/>
  <c r="L61" i="44"/>
  <c r="T61" i="44" s="1"/>
  <c r="L73" i="44"/>
  <c r="T73" i="44" s="1"/>
  <c r="L39" i="44"/>
  <c r="T39" i="44" s="1"/>
  <c r="L71" i="44"/>
  <c r="T71" i="44" s="1"/>
  <c r="L50" i="44"/>
  <c r="T50" i="44" s="1"/>
  <c r="L34" i="44"/>
  <c r="T34" i="44" s="1"/>
  <c r="L218" i="44"/>
  <c r="T218" i="44" s="1"/>
  <c r="L208" i="44"/>
  <c r="T208" i="44" s="1"/>
  <c r="L205" i="44"/>
  <c r="T205" i="44" s="1"/>
  <c r="L227" i="44"/>
  <c r="T227" i="44" s="1"/>
  <c r="L216" i="44"/>
  <c r="T216" i="44" s="1"/>
  <c r="L204" i="44"/>
  <c r="T204" i="44" s="1"/>
  <c r="L361" i="44"/>
  <c r="T361" i="44" s="1"/>
  <c r="L389" i="44"/>
  <c r="T389" i="44" s="1"/>
  <c r="L349" i="44"/>
  <c r="T349" i="44" s="1"/>
  <c r="L382" i="44"/>
  <c r="T382" i="44" s="1"/>
  <c r="L372" i="44"/>
  <c r="T372" i="44" s="1"/>
  <c r="L345" i="44"/>
  <c r="T345" i="44" s="1"/>
  <c r="L792" i="44"/>
  <c r="T792" i="44" s="1"/>
  <c r="L671" i="44"/>
  <c r="T671" i="44" s="1"/>
  <c r="L65" i="44"/>
  <c r="T65" i="44" s="1"/>
  <c r="L374" i="44"/>
  <c r="T374" i="44" s="1"/>
  <c r="L584" i="44"/>
  <c r="T584" i="44" s="1"/>
  <c r="L646" i="44"/>
  <c r="T646" i="44" s="1"/>
  <c r="L599" i="44"/>
  <c r="T599" i="44" s="1"/>
  <c r="L630" i="44"/>
  <c r="T630" i="44" s="1"/>
  <c r="L428" i="44"/>
  <c r="T428" i="44" s="1"/>
  <c r="L531" i="44"/>
  <c r="T531" i="44" s="1"/>
  <c r="L527" i="44"/>
  <c r="T527" i="44" s="1"/>
  <c r="L796" i="44"/>
  <c r="T796" i="44" s="1"/>
  <c r="L788" i="44"/>
  <c r="T788" i="44" s="1"/>
  <c r="L766" i="44"/>
  <c r="T766" i="44" s="1"/>
  <c r="L781" i="44"/>
  <c r="T781" i="44" s="1"/>
  <c r="L770" i="44"/>
  <c r="T770" i="44" s="1"/>
  <c r="L790" i="44"/>
  <c r="T790" i="44" s="1"/>
  <c r="L801" i="44"/>
  <c r="T801" i="44" s="1"/>
  <c r="L113" i="44"/>
  <c r="T113" i="44" s="1"/>
  <c r="L169" i="44"/>
  <c r="T169" i="44" s="1"/>
  <c r="L302" i="44"/>
  <c r="T302" i="44" s="1"/>
  <c r="L301" i="44"/>
  <c r="T301" i="44" s="1"/>
  <c r="L308" i="44"/>
  <c r="T308" i="44" s="1"/>
  <c r="L315" i="44"/>
  <c r="T315" i="44" s="1"/>
  <c r="L310" i="44"/>
  <c r="T310" i="44" s="1"/>
  <c r="L318" i="44"/>
  <c r="T318" i="44" s="1"/>
  <c r="L340" i="44"/>
  <c r="T340" i="44" s="1"/>
  <c r="L665" i="44"/>
  <c r="T665" i="44" s="1"/>
  <c r="L652" i="44"/>
  <c r="T652" i="44" s="1"/>
  <c r="L655" i="44"/>
  <c r="T655" i="44" s="1"/>
  <c r="L674" i="44"/>
  <c r="T674" i="44" s="1"/>
  <c r="L686" i="44"/>
  <c r="T686" i="44" s="1"/>
  <c r="L679" i="44"/>
  <c r="T679" i="44" s="1"/>
  <c r="L675" i="44"/>
  <c r="T675" i="44" s="1"/>
  <c r="L456" i="44"/>
  <c r="T456" i="44" s="1"/>
  <c r="L444" i="44"/>
  <c r="T444" i="44" s="1"/>
  <c r="L450" i="44"/>
  <c r="T450" i="44" s="1"/>
  <c r="L470" i="44"/>
  <c r="T470" i="44" s="1"/>
  <c r="L488" i="44"/>
  <c r="T488" i="44" s="1"/>
  <c r="L482" i="44"/>
  <c r="T482" i="44" s="1"/>
  <c r="L735" i="44"/>
  <c r="T735" i="44" s="1"/>
  <c r="L719" i="44"/>
  <c r="T719" i="44" s="1"/>
  <c r="L716" i="44"/>
  <c r="T716" i="44" s="1"/>
  <c r="L704" i="44"/>
  <c r="T704" i="44" s="1"/>
  <c r="L725" i="44"/>
  <c r="T725" i="44" s="1"/>
  <c r="L709" i="44"/>
  <c r="T709" i="44" s="1"/>
  <c r="L284" i="44"/>
  <c r="T284" i="44" s="1"/>
  <c r="L277" i="44"/>
  <c r="T277" i="44" s="1"/>
  <c r="L251" i="44"/>
  <c r="T251" i="44" s="1"/>
  <c r="L271" i="44"/>
  <c r="T271" i="44" s="1"/>
  <c r="L258" i="44"/>
  <c r="T258" i="44" s="1"/>
  <c r="L283" i="44"/>
  <c r="T283" i="44" s="1"/>
  <c r="L244" i="44"/>
  <c r="T244" i="44" s="1"/>
  <c r="L77" i="44"/>
  <c r="T77" i="44" s="1"/>
  <c r="L76" i="44"/>
  <c r="T76" i="44" s="1"/>
  <c r="L36" i="44"/>
  <c r="T36" i="44" s="1"/>
  <c r="L63" i="44"/>
  <c r="T63" i="44" s="1"/>
  <c r="L67" i="44"/>
  <c r="T67" i="44" s="1"/>
  <c r="L69" i="44"/>
  <c r="T69" i="44" s="1"/>
  <c r="L54" i="44"/>
  <c r="T54" i="44" s="1"/>
  <c r="L186" i="44"/>
  <c r="T186" i="44" s="1"/>
  <c r="L233" i="44"/>
  <c r="T233" i="44" s="1"/>
  <c r="L212" i="44"/>
  <c r="T212" i="44" s="1"/>
  <c r="L235" i="44"/>
  <c r="T235" i="44" s="1"/>
  <c r="L236" i="44"/>
  <c r="T236" i="44" s="1"/>
  <c r="L190" i="44"/>
  <c r="T190" i="44" s="1"/>
  <c r="L350" i="44"/>
  <c r="T350" i="44" s="1"/>
  <c r="L367" i="44"/>
  <c r="T367" i="44" s="1"/>
  <c r="L386" i="44"/>
  <c r="T386" i="44" s="1"/>
  <c r="L388" i="44"/>
  <c r="T388" i="44" s="1"/>
  <c r="L379" i="44"/>
  <c r="T379" i="44" s="1"/>
  <c r="L391" i="44"/>
  <c r="T391" i="44" s="1"/>
  <c r="L461" i="44"/>
  <c r="T461" i="44" s="1"/>
  <c r="L266" i="44"/>
  <c r="T266" i="44" s="1"/>
  <c r="L510" i="44"/>
  <c r="T510" i="44" s="1"/>
  <c r="L114" i="44"/>
  <c r="T114" i="44" s="1"/>
  <c r="L577" i="44"/>
  <c r="T577" i="44" s="1"/>
  <c r="L564" i="44"/>
  <c r="T564" i="44" s="1"/>
  <c r="L620" i="44"/>
  <c r="T620" i="44" s="1"/>
  <c r="L419" i="44"/>
  <c r="T419" i="44" s="1"/>
  <c r="L433" i="44"/>
  <c r="T433" i="44" s="1"/>
  <c r="L442" i="44"/>
  <c r="T442" i="44" s="1"/>
  <c r="L425" i="44"/>
  <c r="T425" i="44" s="1"/>
  <c r="L496" i="44"/>
  <c r="T496" i="44" s="1"/>
  <c r="L121" i="44"/>
  <c r="T121" i="44" s="1"/>
  <c r="L133" i="44"/>
  <c r="T133" i="44" s="1"/>
  <c r="L110" i="44"/>
  <c r="T110" i="44" s="1"/>
  <c r="L753" i="44"/>
  <c r="T753" i="44" s="1"/>
  <c r="L780" i="44"/>
  <c r="T780" i="44" s="1"/>
  <c r="L783" i="44"/>
  <c r="T783" i="44" s="1"/>
  <c r="L759" i="44"/>
  <c r="T759" i="44" s="1"/>
  <c r="L771" i="44"/>
  <c r="T771" i="44" s="1"/>
  <c r="L782" i="44"/>
  <c r="T782" i="44" s="1"/>
  <c r="L786" i="44"/>
  <c r="T786" i="44" s="1"/>
  <c r="L159" i="44"/>
  <c r="T159" i="44" s="1"/>
  <c r="L174" i="44"/>
  <c r="T174" i="44" s="1"/>
  <c r="L143" i="44"/>
  <c r="T143" i="44" s="1"/>
  <c r="L332" i="44"/>
  <c r="T332" i="44" s="1"/>
  <c r="L322" i="44"/>
  <c r="T322" i="44" s="1"/>
  <c r="L331" i="44"/>
  <c r="T331" i="44" s="1"/>
  <c r="L326" i="44"/>
  <c r="T326" i="44" s="1"/>
  <c r="L298" i="44"/>
  <c r="T298" i="44" s="1"/>
  <c r="L314" i="44"/>
  <c r="T314" i="44" s="1"/>
  <c r="L333" i="44"/>
  <c r="T333" i="44" s="1"/>
  <c r="L697" i="44"/>
  <c r="T697" i="44" s="1"/>
  <c r="L693" i="44"/>
  <c r="T693" i="44" s="1"/>
  <c r="L669" i="44"/>
  <c r="T669" i="44" s="1"/>
  <c r="L657" i="44"/>
  <c r="T657" i="44" s="1"/>
  <c r="L682" i="44"/>
  <c r="T682" i="44" s="1"/>
  <c r="L664" i="44"/>
  <c r="T664" i="44" s="1"/>
  <c r="L701" i="44"/>
  <c r="T701" i="44" s="1"/>
  <c r="L489" i="44"/>
  <c r="T489" i="44" s="1"/>
  <c r="L460" i="44"/>
  <c r="T460" i="44" s="1"/>
  <c r="L477" i="44"/>
  <c r="T477" i="44" s="1"/>
  <c r="L483" i="44"/>
  <c r="T483" i="44" s="1"/>
  <c r="L459" i="44"/>
  <c r="T459" i="44" s="1"/>
  <c r="L462" i="44"/>
  <c r="T462" i="44" s="1"/>
  <c r="L707" i="44"/>
  <c r="T707" i="44" s="1"/>
  <c r="L743" i="44"/>
  <c r="T743" i="44" s="1"/>
  <c r="L733" i="44"/>
  <c r="T733" i="44" s="1"/>
  <c r="L728" i="44"/>
  <c r="T728" i="44" s="1"/>
  <c r="L747" i="44"/>
  <c r="T747" i="44" s="1"/>
  <c r="L738" i="44"/>
  <c r="T738" i="44" s="1"/>
  <c r="L239" i="44"/>
  <c r="T239" i="44" s="1"/>
  <c r="L238" i="44"/>
  <c r="T238" i="44" s="1"/>
  <c r="L264" i="44"/>
  <c r="T264" i="44" s="1"/>
  <c r="L253" i="44"/>
  <c r="T253" i="44" s="1"/>
  <c r="L256" i="44"/>
  <c r="T256" i="44" s="1"/>
  <c r="L270" i="44"/>
  <c r="T270" i="44" s="1"/>
  <c r="L57" i="44"/>
  <c r="T57" i="44" s="1"/>
  <c r="L44" i="44"/>
  <c r="T44" i="44" s="1"/>
  <c r="L64" i="44"/>
  <c r="T64" i="44" s="1"/>
  <c r="L41" i="44"/>
  <c r="T41" i="44" s="1"/>
  <c r="L78" i="44"/>
  <c r="T78" i="44" s="1"/>
  <c r="L48" i="44"/>
  <c r="T48" i="44" s="1"/>
  <c r="L45" i="44"/>
  <c r="T45" i="44" s="1"/>
  <c r="L217" i="44"/>
  <c r="T217" i="44" s="1"/>
  <c r="L194" i="44"/>
  <c r="T194" i="44" s="1"/>
  <c r="L188" i="44"/>
  <c r="T188" i="44" s="1"/>
  <c r="L197" i="44"/>
  <c r="T197" i="44" s="1"/>
  <c r="L199" i="44"/>
  <c r="T199" i="44" s="1"/>
  <c r="L202" i="44"/>
  <c r="T202" i="44" s="1"/>
  <c r="L192" i="44"/>
  <c r="T192" i="44" s="1"/>
  <c r="L363" i="44"/>
  <c r="T363" i="44" s="1"/>
  <c r="L362" i="44"/>
  <c r="T362" i="44" s="1"/>
  <c r="L377" i="44"/>
  <c r="T377" i="44" s="1"/>
  <c r="L375" i="44"/>
  <c r="T375" i="44" s="1"/>
  <c r="L346" i="44"/>
  <c r="T346" i="44" s="1"/>
  <c r="L376" i="44"/>
  <c r="T376" i="44" s="1"/>
  <c r="L355" i="44"/>
  <c r="T355" i="44" s="1"/>
  <c r="T96" i="37"/>
  <c r="T89" i="37"/>
  <c r="T91" i="37"/>
  <c r="T84" i="37"/>
  <c r="T93" i="37" s="1"/>
  <c r="T86" i="37"/>
  <c r="T95" i="37" s="1"/>
  <c r="AA33" i="44" l="1"/>
  <c r="AA549" i="44"/>
  <c r="AA495" i="44"/>
  <c r="AA393" i="44"/>
  <c r="AA291" i="44"/>
  <c r="AA600" i="44"/>
  <c r="AA84" i="44"/>
  <c r="AA135" i="44"/>
  <c r="AA444" i="44"/>
  <c r="AA702" i="44"/>
  <c r="AA186" i="44"/>
  <c r="AA651" i="44"/>
  <c r="AA342" i="44"/>
  <c r="AA753" i="44"/>
  <c r="F112" i="28"/>
  <c r="K10" i="56" l="1"/>
  <c r="L64" i="52"/>
  <c r="Q56" i="33" s="1"/>
  <c r="K12" i="56"/>
  <c r="L66" i="52"/>
  <c r="K9" i="56"/>
  <c r="L63" i="52"/>
  <c r="K7" i="54"/>
  <c r="L31" i="52"/>
  <c r="Q49" i="33" s="1"/>
  <c r="K6" i="54"/>
  <c r="L30" i="52"/>
  <c r="K8" i="54"/>
  <c r="L32" i="52"/>
  <c r="K10" i="54"/>
  <c r="L34" i="52"/>
  <c r="K11" i="56"/>
  <c r="L65" i="52"/>
  <c r="K8" i="56"/>
  <c r="L62" i="52"/>
  <c r="K9" i="54"/>
  <c r="L33" i="52"/>
  <c r="K8" i="51"/>
  <c r="L9" i="52"/>
  <c r="K7" i="51"/>
  <c r="L8" i="52"/>
  <c r="K9" i="51"/>
  <c r="L10" i="52"/>
  <c r="K6" i="51"/>
  <c r="L7" i="52"/>
  <c r="F111" i="28"/>
  <c r="Q39" i="33" l="1"/>
  <c r="B35" i="6"/>
  <c r="B8" i="6"/>
  <c r="D58" i="28" l="1"/>
  <c r="B212" i="28" s="1"/>
  <c r="B214" i="28" l="1"/>
  <c r="F8" i="6" l="1"/>
  <c r="B11" i="25" l="1"/>
  <c r="C35" i="6" l="1"/>
  <c r="C8" i="6"/>
  <c r="G8" i="6" s="1"/>
  <c r="I8" i="6" s="1"/>
  <c r="D8" i="37" l="1"/>
  <c r="D8" i="63"/>
  <c r="E35" i="6"/>
  <c r="E8" i="6"/>
  <c r="M58" i="28" l="1"/>
  <c r="N58" i="28" s="1"/>
  <c r="F35" i="6"/>
  <c r="B160" i="28"/>
  <c r="H10" i="33" s="1"/>
  <c r="G35" i="6"/>
  <c r="H35" i="6" s="1"/>
  <c r="H8" i="6"/>
  <c r="C60" i="61" l="1"/>
  <c r="B171" i="28"/>
  <c r="L10" i="33" s="1"/>
  <c r="D60" i="61" s="1"/>
  <c r="D35" i="37"/>
  <c r="F34" i="37" s="1"/>
  <c r="G34" i="37" s="1"/>
  <c r="D35" i="63"/>
  <c r="F7" i="63"/>
  <c r="C83" i="63" s="1"/>
  <c r="E7" i="63"/>
  <c r="F160" i="28" s="1"/>
  <c r="F202" i="28"/>
  <c r="B217" i="28" s="1"/>
  <c r="C56" i="61"/>
  <c r="C53" i="61"/>
  <c r="C57" i="61"/>
  <c r="C55" i="61"/>
  <c r="C54" i="61"/>
  <c r="C58" i="61"/>
  <c r="C59" i="61"/>
  <c r="G13" i="48"/>
  <c r="H13" i="48"/>
  <c r="I13" i="48"/>
  <c r="K13" i="48"/>
  <c r="J13" i="48"/>
  <c r="J8" i="6"/>
  <c r="K8" i="6" s="1"/>
  <c r="N202" i="28"/>
  <c r="C217" i="28" s="1"/>
  <c r="D5" i="3"/>
  <c r="N5" i="6"/>
  <c r="C212" i="28"/>
  <c r="G60" i="61" l="1"/>
  <c r="H60" i="61" s="1"/>
  <c r="L34" i="33" s="1"/>
  <c r="C24" i="62"/>
  <c r="E25" i="62" s="1"/>
  <c r="E34" i="37"/>
  <c r="C171" i="28" s="1"/>
  <c r="M10" i="33" s="1"/>
  <c r="W10" i="33" s="1"/>
  <c r="C254" i="28" s="1"/>
  <c r="D56" i="61"/>
  <c r="G56" i="61" s="1"/>
  <c r="H56" i="61" s="1"/>
  <c r="C130" i="28"/>
  <c r="D130" i="28" s="1"/>
  <c r="E130" i="28" s="1"/>
  <c r="J18" i="50"/>
  <c r="E116" i="50" s="1"/>
  <c r="N116" i="50" s="1"/>
  <c r="G18" i="50"/>
  <c r="F117" i="50" s="1"/>
  <c r="O117" i="50" s="1"/>
  <c r="E12" i="50"/>
  <c r="D6" i="3"/>
  <c r="B21" i="48" s="1"/>
  <c r="D21" i="48" s="1"/>
  <c r="C11" i="49"/>
  <c r="D11" i="49" s="1"/>
  <c r="E11" i="49" s="1"/>
  <c r="G18" i="48"/>
  <c r="E101" i="48" s="1"/>
  <c r="O101" i="48" s="1"/>
  <c r="K18" i="48"/>
  <c r="C89" i="48" s="1"/>
  <c r="M89" i="48" s="1"/>
  <c r="D54" i="61"/>
  <c r="G54" i="61" s="1"/>
  <c r="H54" i="61" s="1"/>
  <c r="H18" i="50"/>
  <c r="D81" i="50" s="1"/>
  <c r="M81" i="50" s="1"/>
  <c r="C131" i="28"/>
  <c r="D131" i="28" s="1"/>
  <c r="E131" i="28" s="1"/>
  <c r="D59" i="61"/>
  <c r="D57" i="61"/>
  <c r="G57" i="61" s="1"/>
  <c r="H57" i="61" s="1"/>
  <c r="N6" i="6"/>
  <c r="D53" i="61"/>
  <c r="G53" i="61" s="1"/>
  <c r="H53" i="61" s="1"/>
  <c r="I18" i="50"/>
  <c r="C91" i="50" s="1"/>
  <c r="G91" i="50" s="1"/>
  <c r="L91" i="50" s="1"/>
  <c r="B196" i="28"/>
  <c r="E196" i="28" s="1"/>
  <c r="F196" i="28" s="1"/>
  <c r="G196" i="28" s="1"/>
  <c r="B215" i="28" s="1"/>
  <c r="D55" i="61"/>
  <c r="G55" i="61" s="1"/>
  <c r="H55" i="61" s="1"/>
  <c r="H18" i="48"/>
  <c r="F102" i="48" s="1"/>
  <c r="P102" i="48" s="1"/>
  <c r="I18" i="48"/>
  <c r="G90" i="48" s="1"/>
  <c r="Q90" i="48" s="1"/>
  <c r="E34" i="63"/>
  <c r="F171" i="28" s="1"/>
  <c r="N10" i="33" s="1"/>
  <c r="X10" i="33" s="1"/>
  <c r="F34" i="63"/>
  <c r="D58" i="61"/>
  <c r="G58" i="61" s="1"/>
  <c r="H58" i="61" s="1"/>
  <c r="G6" i="49"/>
  <c r="H6" i="49" s="1"/>
  <c r="C83" i="49" s="1"/>
  <c r="D83" i="49" s="1"/>
  <c r="F83" i="49" s="1"/>
  <c r="J18" i="48"/>
  <c r="D93" i="48" s="1"/>
  <c r="N93" i="48" s="1"/>
  <c r="B14" i="56"/>
  <c r="B68" i="52" s="1"/>
  <c r="G55" i="33" s="1"/>
  <c r="G57" i="33" s="1"/>
  <c r="E14" i="56"/>
  <c r="E68" i="52" s="1"/>
  <c r="J55" i="33" s="1"/>
  <c r="J57" i="33" s="1"/>
  <c r="I14" i="56"/>
  <c r="I68" i="52" s="1"/>
  <c r="N55" i="33" s="1"/>
  <c r="G14" i="56"/>
  <c r="G68" i="52" s="1"/>
  <c r="L55" i="33" s="1"/>
  <c r="L57" i="33" s="1"/>
  <c r="D14" i="56"/>
  <c r="D68" i="52" s="1"/>
  <c r="I55" i="33" s="1"/>
  <c r="I57" i="33" s="1"/>
  <c r="F7" i="37"/>
  <c r="G7" i="37" s="1"/>
  <c r="C80" i="37" s="1"/>
  <c r="E7" i="37"/>
  <c r="C160" i="28" s="1"/>
  <c r="C87" i="63"/>
  <c r="G7" i="63"/>
  <c r="C81" i="63"/>
  <c r="G160" i="28"/>
  <c r="C85" i="63"/>
  <c r="D30" i="48"/>
  <c r="N30" i="48" s="1"/>
  <c r="D33" i="48"/>
  <c r="N33" i="48" s="1"/>
  <c r="D38" i="48"/>
  <c r="N38" i="48" s="1"/>
  <c r="D41" i="48"/>
  <c r="N41" i="48" s="1"/>
  <c r="D25" i="48"/>
  <c r="N25" i="48" s="1"/>
  <c r="D28" i="48"/>
  <c r="N28" i="48" s="1"/>
  <c r="D44" i="48"/>
  <c r="N44" i="48" s="1"/>
  <c r="D46" i="48"/>
  <c r="N46" i="48" s="1"/>
  <c r="D49" i="48"/>
  <c r="N49" i="48" s="1"/>
  <c r="D52" i="48"/>
  <c r="N52" i="48" s="1"/>
  <c r="D54" i="48"/>
  <c r="N54" i="48" s="1"/>
  <c r="D57" i="48"/>
  <c r="N57" i="48" s="1"/>
  <c r="D60" i="48"/>
  <c r="N60" i="48" s="1"/>
  <c r="D62" i="48"/>
  <c r="N62" i="48" s="1"/>
  <c r="D65" i="48"/>
  <c r="N65" i="48" s="1"/>
  <c r="D68" i="48"/>
  <c r="N68" i="48" s="1"/>
  <c r="D70" i="48"/>
  <c r="N70" i="48" s="1"/>
  <c r="D73" i="48"/>
  <c r="N73" i="48" s="1"/>
  <c r="D31" i="48"/>
  <c r="N31" i="48" s="1"/>
  <c r="D39" i="48"/>
  <c r="N39" i="48" s="1"/>
  <c r="D34" i="48"/>
  <c r="N34" i="48" s="1"/>
  <c r="D37" i="48"/>
  <c r="N37" i="48" s="1"/>
  <c r="D47" i="48"/>
  <c r="N47" i="48" s="1"/>
  <c r="D55" i="48"/>
  <c r="N55" i="48" s="1"/>
  <c r="D63" i="48"/>
  <c r="N63" i="48" s="1"/>
  <c r="D71" i="48"/>
  <c r="N71" i="48" s="1"/>
  <c r="D32" i="48"/>
  <c r="N32" i="48" s="1"/>
  <c r="D40" i="48"/>
  <c r="N40" i="48" s="1"/>
  <c r="D26" i="48"/>
  <c r="N26" i="48" s="1"/>
  <c r="D29" i="48"/>
  <c r="N29" i="48" s="1"/>
  <c r="D35" i="48"/>
  <c r="N35" i="48" s="1"/>
  <c r="D58" i="48"/>
  <c r="N58" i="48" s="1"/>
  <c r="D61" i="48"/>
  <c r="N61" i="48" s="1"/>
  <c r="D64" i="48"/>
  <c r="N64" i="48" s="1"/>
  <c r="D50" i="48"/>
  <c r="N50" i="48" s="1"/>
  <c r="D53" i="48"/>
  <c r="N53" i="48" s="1"/>
  <c r="D56" i="48"/>
  <c r="N56" i="48" s="1"/>
  <c r="D69" i="48"/>
  <c r="N69" i="48" s="1"/>
  <c r="D27" i="48"/>
  <c r="N27" i="48" s="1"/>
  <c r="D36" i="48"/>
  <c r="N36" i="48" s="1"/>
  <c r="D59" i="48"/>
  <c r="N59" i="48" s="1"/>
  <c r="D42" i="48"/>
  <c r="N42" i="48" s="1"/>
  <c r="D45" i="48"/>
  <c r="N45" i="48" s="1"/>
  <c r="D48" i="48"/>
  <c r="N48" i="48" s="1"/>
  <c r="D74" i="48"/>
  <c r="N74" i="48" s="1"/>
  <c r="D51" i="48"/>
  <c r="N51" i="48" s="1"/>
  <c r="D66" i="48"/>
  <c r="N66" i="48" s="1"/>
  <c r="D72" i="48"/>
  <c r="N72" i="48" s="1"/>
  <c r="D43" i="48"/>
  <c r="N43" i="48" s="1"/>
  <c r="D75" i="48"/>
  <c r="N75" i="48" s="1"/>
  <c r="D67" i="48"/>
  <c r="N67" i="48" s="1"/>
  <c r="C25" i="48"/>
  <c r="M25" i="48" s="1"/>
  <c r="C28" i="48"/>
  <c r="M28" i="48" s="1"/>
  <c r="C44" i="48"/>
  <c r="M44" i="48" s="1"/>
  <c r="C46" i="48"/>
  <c r="M46" i="48" s="1"/>
  <c r="C49" i="48"/>
  <c r="M49" i="48" s="1"/>
  <c r="C52" i="48"/>
  <c r="M52" i="48" s="1"/>
  <c r="C54" i="48"/>
  <c r="M54" i="48" s="1"/>
  <c r="C57" i="48"/>
  <c r="M57" i="48" s="1"/>
  <c r="C60" i="48"/>
  <c r="M60" i="48" s="1"/>
  <c r="C62" i="48"/>
  <c r="M62" i="48" s="1"/>
  <c r="C65" i="48"/>
  <c r="M65" i="48" s="1"/>
  <c r="C68" i="48"/>
  <c r="M68" i="48" s="1"/>
  <c r="C70" i="48"/>
  <c r="M70" i="48" s="1"/>
  <c r="C73" i="48"/>
  <c r="M73" i="48" s="1"/>
  <c r="C31" i="48"/>
  <c r="M31" i="48" s="1"/>
  <c r="C39" i="48"/>
  <c r="M39" i="48" s="1"/>
  <c r="C34" i="48"/>
  <c r="M34" i="48" s="1"/>
  <c r="C37" i="48"/>
  <c r="M37" i="48" s="1"/>
  <c r="C47" i="48"/>
  <c r="M47" i="48" s="1"/>
  <c r="C55" i="48"/>
  <c r="M55" i="48" s="1"/>
  <c r="C63" i="48"/>
  <c r="M63" i="48" s="1"/>
  <c r="C71" i="48"/>
  <c r="M71" i="48" s="1"/>
  <c r="C32" i="48"/>
  <c r="M32" i="48" s="1"/>
  <c r="C40" i="48"/>
  <c r="M40" i="48" s="1"/>
  <c r="C26" i="48"/>
  <c r="M26" i="48" s="1"/>
  <c r="C29" i="48"/>
  <c r="M29" i="48" s="1"/>
  <c r="C35" i="48"/>
  <c r="M35" i="48" s="1"/>
  <c r="C42" i="48"/>
  <c r="M42" i="48" s="1"/>
  <c r="C45" i="48"/>
  <c r="M45" i="48" s="1"/>
  <c r="C48" i="48"/>
  <c r="M48" i="48" s="1"/>
  <c r="C50" i="48"/>
  <c r="M50" i="48" s="1"/>
  <c r="C53" i="48"/>
  <c r="M53" i="48" s="1"/>
  <c r="C56" i="48"/>
  <c r="M56" i="48" s="1"/>
  <c r="C58" i="48"/>
  <c r="M58" i="48" s="1"/>
  <c r="C61" i="48"/>
  <c r="M61" i="48" s="1"/>
  <c r="C64" i="48"/>
  <c r="M64" i="48" s="1"/>
  <c r="C66" i="48"/>
  <c r="M66" i="48" s="1"/>
  <c r="C69" i="48"/>
  <c r="M69" i="48" s="1"/>
  <c r="C72" i="48"/>
  <c r="M72" i="48" s="1"/>
  <c r="C74" i="48"/>
  <c r="M74" i="48" s="1"/>
  <c r="C27" i="48"/>
  <c r="M27" i="48" s="1"/>
  <c r="C36" i="48"/>
  <c r="M36" i="48" s="1"/>
  <c r="C43" i="48"/>
  <c r="M43" i="48" s="1"/>
  <c r="C51" i="48"/>
  <c r="M51" i="48" s="1"/>
  <c r="C59" i="48"/>
  <c r="M59" i="48" s="1"/>
  <c r="C67" i="48"/>
  <c r="M67" i="48" s="1"/>
  <c r="C75" i="48"/>
  <c r="M75" i="48" s="1"/>
  <c r="C30" i="48"/>
  <c r="M30" i="48" s="1"/>
  <c r="C33" i="48"/>
  <c r="M33" i="48" s="1"/>
  <c r="C38" i="48"/>
  <c r="M38" i="48" s="1"/>
  <c r="C41" i="48"/>
  <c r="M41" i="48" s="1"/>
  <c r="G26" i="48"/>
  <c r="Q26" i="48" s="1"/>
  <c r="G29" i="48"/>
  <c r="Q29" i="48" s="1"/>
  <c r="G35" i="48"/>
  <c r="Q35" i="48" s="1"/>
  <c r="G42" i="48"/>
  <c r="Q42" i="48" s="1"/>
  <c r="G45" i="48"/>
  <c r="Q45" i="48" s="1"/>
  <c r="G48" i="48"/>
  <c r="Q48" i="48" s="1"/>
  <c r="G50" i="48"/>
  <c r="Q50" i="48" s="1"/>
  <c r="G53" i="48"/>
  <c r="Q53" i="48" s="1"/>
  <c r="G56" i="48"/>
  <c r="Q56" i="48" s="1"/>
  <c r="G58" i="48"/>
  <c r="Q58" i="48" s="1"/>
  <c r="G61" i="48"/>
  <c r="Q61" i="48" s="1"/>
  <c r="G64" i="48"/>
  <c r="Q64" i="48" s="1"/>
  <c r="G66" i="48"/>
  <c r="Q66" i="48" s="1"/>
  <c r="G69" i="48"/>
  <c r="Q69" i="48" s="1"/>
  <c r="G72" i="48"/>
  <c r="Q72" i="48" s="1"/>
  <c r="G74" i="48"/>
  <c r="Q74" i="48" s="1"/>
  <c r="G27" i="48"/>
  <c r="Q27" i="48" s="1"/>
  <c r="G36" i="48"/>
  <c r="Q36" i="48" s="1"/>
  <c r="G43" i="48"/>
  <c r="Q43" i="48" s="1"/>
  <c r="G51" i="48"/>
  <c r="Q51" i="48" s="1"/>
  <c r="G59" i="48"/>
  <c r="Q59" i="48" s="1"/>
  <c r="G67" i="48"/>
  <c r="Q67" i="48" s="1"/>
  <c r="G75" i="48"/>
  <c r="Q75" i="48" s="1"/>
  <c r="G30" i="48"/>
  <c r="Q30" i="48" s="1"/>
  <c r="G33" i="48"/>
  <c r="Q33" i="48" s="1"/>
  <c r="G38" i="48"/>
  <c r="Q38" i="48" s="1"/>
  <c r="G41" i="48"/>
  <c r="Q41" i="48" s="1"/>
  <c r="G25" i="48"/>
  <c r="Q25" i="48" s="1"/>
  <c r="G28" i="48"/>
  <c r="Q28" i="48" s="1"/>
  <c r="G44" i="48"/>
  <c r="Q44" i="48" s="1"/>
  <c r="G46" i="48"/>
  <c r="Q46" i="48" s="1"/>
  <c r="G49" i="48"/>
  <c r="Q49" i="48" s="1"/>
  <c r="G52" i="48"/>
  <c r="Q52" i="48" s="1"/>
  <c r="G54" i="48"/>
  <c r="Q54" i="48" s="1"/>
  <c r="G57" i="48"/>
  <c r="Q57" i="48" s="1"/>
  <c r="G60" i="48"/>
  <c r="Q60" i="48" s="1"/>
  <c r="G62" i="48"/>
  <c r="Q62" i="48" s="1"/>
  <c r="G65" i="48"/>
  <c r="Q65" i="48" s="1"/>
  <c r="G68" i="48"/>
  <c r="Q68" i="48" s="1"/>
  <c r="G70" i="48"/>
  <c r="Q70" i="48" s="1"/>
  <c r="G73" i="48"/>
  <c r="Q73" i="48" s="1"/>
  <c r="G34" i="48"/>
  <c r="Q34" i="48" s="1"/>
  <c r="G37" i="48"/>
  <c r="Q37" i="48" s="1"/>
  <c r="G47" i="48"/>
  <c r="Q47" i="48" s="1"/>
  <c r="G55" i="48"/>
  <c r="Q55" i="48" s="1"/>
  <c r="G63" i="48"/>
  <c r="Q63" i="48" s="1"/>
  <c r="G71" i="48"/>
  <c r="Q71" i="48" s="1"/>
  <c r="G31" i="48"/>
  <c r="Q31" i="48" s="1"/>
  <c r="G40" i="48"/>
  <c r="Q40" i="48" s="1"/>
  <c r="G39" i="48"/>
  <c r="Q39" i="48" s="1"/>
  <c r="G32" i="48"/>
  <c r="Q32" i="48" s="1"/>
  <c r="F27" i="48"/>
  <c r="P27" i="48" s="1"/>
  <c r="F36" i="48"/>
  <c r="P36" i="48" s="1"/>
  <c r="F43" i="48"/>
  <c r="P43" i="48" s="1"/>
  <c r="F51" i="48"/>
  <c r="P51" i="48" s="1"/>
  <c r="F59" i="48"/>
  <c r="P59" i="48" s="1"/>
  <c r="F67" i="48"/>
  <c r="P67" i="48" s="1"/>
  <c r="F75" i="48"/>
  <c r="P75" i="48" s="1"/>
  <c r="F30" i="48"/>
  <c r="P30" i="48" s="1"/>
  <c r="F33" i="48"/>
  <c r="P33" i="48" s="1"/>
  <c r="F38" i="48"/>
  <c r="P38" i="48" s="1"/>
  <c r="F41" i="48"/>
  <c r="P41" i="48" s="1"/>
  <c r="F25" i="48"/>
  <c r="P25" i="48" s="1"/>
  <c r="F28" i="48"/>
  <c r="P28" i="48" s="1"/>
  <c r="F44" i="48"/>
  <c r="P44" i="48" s="1"/>
  <c r="F46" i="48"/>
  <c r="P46" i="48" s="1"/>
  <c r="F49" i="48"/>
  <c r="P49" i="48" s="1"/>
  <c r="F52" i="48"/>
  <c r="P52" i="48" s="1"/>
  <c r="F54" i="48"/>
  <c r="P54" i="48" s="1"/>
  <c r="F57" i="48"/>
  <c r="P57" i="48" s="1"/>
  <c r="F60" i="48"/>
  <c r="P60" i="48" s="1"/>
  <c r="F62" i="48"/>
  <c r="P62" i="48" s="1"/>
  <c r="F65" i="48"/>
  <c r="P65" i="48" s="1"/>
  <c r="F68" i="48"/>
  <c r="P68" i="48" s="1"/>
  <c r="F70" i="48"/>
  <c r="P70" i="48" s="1"/>
  <c r="F73" i="48"/>
  <c r="P73" i="48" s="1"/>
  <c r="F31" i="48"/>
  <c r="P31" i="48" s="1"/>
  <c r="F39" i="48"/>
  <c r="P39" i="48" s="1"/>
  <c r="F32" i="48"/>
  <c r="P32" i="48" s="1"/>
  <c r="F40" i="48"/>
  <c r="P40" i="48" s="1"/>
  <c r="F55" i="48"/>
  <c r="P55" i="48" s="1"/>
  <c r="F47" i="48"/>
  <c r="P47" i="48" s="1"/>
  <c r="F48" i="48"/>
  <c r="P48" i="48" s="1"/>
  <c r="F34" i="48"/>
  <c r="P34" i="48" s="1"/>
  <c r="F50" i="48"/>
  <c r="P50" i="48" s="1"/>
  <c r="F53" i="48"/>
  <c r="P53" i="48" s="1"/>
  <c r="F56" i="48"/>
  <c r="P56" i="48" s="1"/>
  <c r="F71" i="48"/>
  <c r="P71" i="48" s="1"/>
  <c r="F42" i="48"/>
  <c r="P42" i="48" s="1"/>
  <c r="F45" i="48"/>
  <c r="P45" i="48" s="1"/>
  <c r="F74" i="48"/>
  <c r="P74" i="48" s="1"/>
  <c r="F37" i="48"/>
  <c r="P37" i="48" s="1"/>
  <c r="F63" i="48"/>
  <c r="P63" i="48" s="1"/>
  <c r="F66" i="48"/>
  <c r="P66" i="48" s="1"/>
  <c r="F35" i="48"/>
  <c r="P35" i="48" s="1"/>
  <c r="F58" i="48"/>
  <c r="P58" i="48" s="1"/>
  <c r="F61" i="48"/>
  <c r="P61" i="48" s="1"/>
  <c r="F72" i="48"/>
  <c r="P72" i="48" s="1"/>
  <c r="F64" i="48"/>
  <c r="P64" i="48" s="1"/>
  <c r="F26" i="48"/>
  <c r="P26" i="48" s="1"/>
  <c r="F69" i="48"/>
  <c r="P69" i="48" s="1"/>
  <c r="F29" i="48"/>
  <c r="P29" i="48" s="1"/>
  <c r="E27" i="48"/>
  <c r="O27" i="48" s="1"/>
  <c r="E36" i="48"/>
  <c r="O36" i="48" s="1"/>
  <c r="E43" i="48"/>
  <c r="O43" i="48" s="1"/>
  <c r="E51" i="48"/>
  <c r="O51" i="48" s="1"/>
  <c r="E59" i="48"/>
  <c r="O59" i="48" s="1"/>
  <c r="E67" i="48"/>
  <c r="O67" i="48" s="1"/>
  <c r="E75" i="48"/>
  <c r="O75" i="48" s="1"/>
  <c r="E30" i="48"/>
  <c r="O30" i="48" s="1"/>
  <c r="E33" i="48"/>
  <c r="O33" i="48" s="1"/>
  <c r="E38" i="48"/>
  <c r="O38" i="48" s="1"/>
  <c r="E41" i="48"/>
  <c r="O41" i="48" s="1"/>
  <c r="E25" i="48"/>
  <c r="O25" i="48" s="1"/>
  <c r="E28" i="48"/>
  <c r="O28" i="48" s="1"/>
  <c r="E44" i="48"/>
  <c r="O44" i="48" s="1"/>
  <c r="E46" i="48"/>
  <c r="O46" i="48" s="1"/>
  <c r="E49" i="48"/>
  <c r="O49" i="48" s="1"/>
  <c r="E52" i="48"/>
  <c r="O52" i="48" s="1"/>
  <c r="E54" i="48"/>
  <c r="O54" i="48" s="1"/>
  <c r="E57" i="48"/>
  <c r="O57" i="48" s="1"/>
  <c r="E60" i="48"/>
  <c r="O60" i="48" s="1"/>
  <c r="E62" i="48"/>
  <c r="O62" i="48" s="1"/>
  <c r="E65" i="48"/>
  <c r="O65" i="48" s="1"/>
  <c r="E68" i="48"/>
  <c r="O68" i="48" s="1"/>
  <c r="E70" i="48"/>
  <c r="O70" i="48" s="1"/>
  <c r="E73" i="48"/>
  <c r="O73" i="48" s="1"/>
  <c r="E31" i="48"/>
  <c r="O31" i="48" s="1"/>
  <c r="E39" i="48"/>
  <c r="O39" i="48" s="1"/>
  <c r="E34" i="48"/>
  <c r="O34" i="48" s="1"/>
  <c r="E37" i="48"/>
  <c r="O37" i="48" s="1"/>
  <c r="E47" i="48"/>
  <c r="O47" i="48" s="1"/>
  <c r="E55" i="48"/>
  <c r="O55" i="48" s="1"/>
  <c r="E63" i="48"/>
  <c r="O63" i="48" s="1"/>
  <c r="E71" i="48"/>
  <c r="O71" i="48" s="1"/>
  <c r="E26" i="48"/>
  <c r="O26" i="48" s="1"/>
  <c r="E29" i="48"/>
  <c r="O29" i="48" s="1"/>
  <c r="E35" i="48"/>
  <c r="O35" i="48" s="1"/>
  <c r="E42" i="48"/>
  <c r="O42" i="48" s="1"/>
  <c r="E45" i="48"/>
  <c r="O45" i="48" s="1"/>
  <c r="E48" i="48"/>
  <c r="O48" i="48" s="1"/>
  <c r="E50" i="48"/>
  <c r="O50" i="48" s="1"/>
  <c r="E53" i="48"/>
  <c r="O53" i="48" s="1"/>
  <c r="E56" i="48"/>
  <c r="O56" i="48" s="1"/>
  <c r="E58" i="48"/>
  <c r="O58" i="48" s="1"/>
  <c r="E61" i="48"/>
  <c r="O61" i="48" s="1"/>
  <c r="E64" i="48"/>
  <c r="O64" i="48" s="1"/>
  <c r="E66" i="48"/>
  <c r="O66" i="48" s="1"/>
  <c r="E69" i="48"/>
  <c r="O69" i="48" s="1"/>
  <c r="E72" i="48"/>
  <c r="O72" i="48" s="1"/>
  <c r="E74" i="48"/>
  <c r="O74" i="48" s="1"/>
  <c r="E32" i="48"/>
  <c r="O32" i="48" s="1"/>
  <c r="E40" i="48"/>
  <c r="O40" i="48" s="1"/>
  <c r="G12" i="51"/>
  <c r="G12" i="52" s="1"/>
  <c r="B12" i="51"/>
  <c r="B12" i="52" s="1"/>
  <c r="D12" i="51"/>
  <c r="D12" i="52" s="1"/>
  <c r="E12" i="51"/>
  <c r="E12" i="52" s="1"/>
  <c r="I12" i="51"/>
  <c r="I12" i="52" s="1"/>
  <c r="C219" i="28"/>
  <c r="B218" i="28"/>
  <c r="C218" i="28"/>
  <c r="L83" i="37"/>
  <c r="L81" i="37"/>
  <c r="C214" i="28"/>
  <c r="C216" i="28"/>
  <c r="C220" i="28" s="1"/>
  <c r="D171" i="28"/>
  <c r="M12" i="33" s="1"/>
  <c r="L87" i="37"/>
  <c r="L96" i="37" s="1"/>
  <c r="L85" i="37"/>
  <c r="L94" i="37" s="1"/>
  <c r="B111" i="28"/>
  <c r="C111" i="28" s="1"/>
  <c r="D111" i="28" s="1"/>
  <c r="E111" i="28" s="1"/>
  <c r="L32" i="33" l="1"/>
  <c r="E27" i="62"/>
  <c r="D23" i="62"/>
  <c r="D80" i="50"/>
  <c r="M80" i="50" s="1"/>
  <c r="D42" i="54"/>
  <c r="D39" i="52" s="1"/>
  <c r="E77" i="50"/>
  <c r="N77" i="50" s="1"/>
  <c r="G59" i="61"/>
  <c r="H59" i="61" s="1"/>
  <c r="D124" i="50"/>
  <c r="M124" i="50" s="1"/>
  <c r="E125" i="50"/>
  <c r="N125" i="50" s="1"/>
  <c r="E86" i="50"/>
  <c r="N86" i="50" s="1"/>
  <c r="D101" i="50"/>
  <c r="M101" i="50" s="1"/>
  <c r="F25" i="62"/>
  <c r="C90" i="48"/>
  <c r="M90" i="48" s="1"/>
  <c r="C119" i="48"/>
  <c r="M119" i="48" s="1"/>
  <c r="C42" i="54"/>
  <c r="C39" i="52" s="1"/>
  <c r="C40" i="52" s="1"/>
  <c r="H47" i="33" s="1"/>
  <c r="C120" i="48"/>
  <c r="M120" i="48" s="1"/>
  <c r="D94" i="50"/>
  <c r="M94" i="50" s="1"/>
  <c r="C93" i="48"/>
  <c r="M93" i="48" s="1"/>
  <c r="D102" i="50"/>
  <c r="M102" i="50" s="1"/>
  <c r="C81" i="48"/>
  <c r="M81" i="48" s="1"/>
  <c r="E93" i="50"/>
  <c r="N93" i="50" s="1"/>
  <c r="D112" i="50"/>
  <c r="M112" i="50" s="1"/>
  <c r="D123" i="50"/>
  <c r="M123" i="50" s="1"/>
  <c r="F108" i="50"/>
  <c r="O108" i="50" s="1"/>
  <c r="C97" i="48"/>
  <c r="M97" i="48" s="1"/>
  <c r="E111" i="50"/>
  <c r="N111" i="50" s="1"/>
  <c r="D91" i="50"/>
  <c r="M91" i="50" s="1"/>
  <c r="D89" i="50"/>
  <c r="M89" i="50" s="1"/>
  <c r="E84" i="50"/>
  <c r="N84" i="50" s="1"/>
  <c r="E109" i="50"/>
  <c r="N109" i="50" s="1"/>
  <c r="E91" i="50"/>
  <c r="N91" i="50" s="1"/>
  <c r="D93" i="50"/>
  <c r="M93" i="50" s="1"/>
  <c r="D96" i="50"/>
  <c r="M96" i="50" s="1"/>
  <c r="E98" i="50"/>
  <c r="N98" i="50" s="1"/>
  <c r="E113" i="50"/>
  <c r="N113" i="50" s="1"/>
  <c r="D125" i="50"/>
  <c r="M125" i="50" s="1"/>
  <c r="D122" i="50"/>
  <c r="M122" i="50" s="1"/>
  <c r="F121" i="50"/>
  <c r="O121" i="50" s="1"/>
  <c r="E119" i="50"/>
  <c r="N119" i="50" s="1"/>
  <c r="E100" i="50"/>
  <c r="N100" i="50" s="1"/>
  <c r="D99" i="50"/>
  <c r="M99" i="50" s="1"/>
  <c r="D110" i="50"/>
  <c r="M110" i="50" s="1"/>
  <c r="F85" i="50"/>
  <c r="O85" i="50" s="1"/>
  <c r="C123" i="48"/>
  <c r="M123" i="48" s="1"/>
  <c r="E90" i="50"/>
  <c r="N90" i="50" s="1"/>
  <c r="E122" i="50"/>
  <c r="N122" i="50" s="1"/>
  <c r="F113" i="50"/>
  <c r="O113" i="50" s="1"/>
  <c r="F80" i="48"/>
  <c r="P80" i="48" s="1"/>
  <c r="D109" i="50"/>
  <c r="M109" i="50" s="1"/>
  <c r="D97" i="50"/>
  <c r="M97" i="50" s="1"/>
  <c r="F86" i="50"/>
  <c r="O86" i="50" s="1"/>
  <c r="E94" i="50"/>
  <c r="N94" i="50" s="1"/>
  <c r="E103" i="50"/>
  <c r="N103" i="50" s="1"/>
  <c r="E88" i="50"/>
  <c r="N88" i="50" s="1"/>
  <c r="D104" i="50"/>
  <c r="M104" i="50" s="1"/>
  <c r="D87" i="50"/>
  <c r="M87" i="50" s="1"/>
  <c r="F98" i="50"/>
  <c r="O98" i="50" s="1"/>
  <c r="E106" i="50"/>
  <c r="N106" i="50" s="1"/>
  <c r="E124" i="50"/>
  <c r="N124" i="50" s="1"/>
  <c r="F12" i="50"/>
  <c r="C22" i="50" s="1"/>
  <c r="B15" i="45"/>
  <c r="N9" i="6"/>
  <c r="P6" i="6" s="1"/>
  <c r="F98" i="48"/>
  <c r="P98" i="48" s="1"/>
  <c r="D112" i="48"/>
  <c r="N112" i="48" s="1"/>
  <c r="D113" i="48"/>
  <c r="N113" i="48" s="1"/>
  <c r="D102" i="48"/>
  <c r="N102" i="48" s="1"/>
  <c r="D86" i="48"/>
  <c r="N86" i="48" s="1"/>
  <c r="D89" i="48"/>
  <c r="N89" i="48" s="1"/>
  <c r="D105" i="48"/>
  <c r="N105" i="48" s="1"/>
  <c r="D104" i="48"/>
  <c r="N104" i="48" s="1"/>
  <c r="D110" i="48"/>
  <c r="N110" i="48" s="1"/>
  <c r="D83" i="48"/>
  <c r="N83" i="48" s="1"/>
  <c r="D81" i="48"/>
  <c r="N81" i="48" s="1"/>
  <c r="D94" i="48"/>
  <c r="N94" i="48" s="1"/>
  <c r="D126" i="48"/>
  <c r="N126" i="48" s="1"/>
  <c r="D84" i="48"/>
  <c r="N84" i="48" s="1"/>
  <c r="D87" i="48"/>
  <c r="N87" i="48" s="1"/>
  <c r="D92" i="48"/>
  <c r="N92" i="48" s="1"/>
  <c r="D96" i="48"/>
  <c r="N96" i="48" s="1"/>
  <c r="D116" i="50"/>
  <c r="M116" i="50" s="1"/>
  <c r="D82" i="50"/>
  <c r="M82" i="50" s="1"/>
  <c r="D111" i="50"/>
  <c r="M111" i="50" s="1"/>
  <c r="D84" i="50"/>
  <c r="M84" i="50" s="1"/>
  <c r="D114" i="50"/>
  <c r="M114" i="50" s="1"/>
  <c r="D88" i="50"/>
  <c r="M88" i="50" s="1"/>
  <c r="D120" i="50"/>
  <c r="M120" i="50" s="1"/>
  <c r="E110" i="50"/>
  <c r="N110" i="50" s="1"/>
  <c r="E115" i="50"/>
  <c r="N115" i="50" s="1"/>
  <c r="E120" i="50"/>
  <c r="N120" i="50" s="1"/>
  <c r="E118" i="50"/>
  <c r="N118" i="50" s="1"/>
  <c r="E102" i="50"/>
  <c r="N102" i="50" s="1"/>
  <c r="E85" i="50"/>
  <c r="N85" i="50" s="1"/>
  <c r="D122" i="48"/>
  <c r="N122" i="48" s="1"/>
  <c r="D111" i="48"/>
  <c r="N111" i="48" s="1"/>
  <c r="D120" i="48"/>
  <c r="N120" i="48" s="1"/>
  <c r="D124" i="48"/>
  <c r="N124" i="48" s="1"/>
  <c r="D109" i="48"/>
  <c r="N109" i="48" s="1"/>
  <c r="D79" i="48"/>
  <c r="N79" i="48" s="1"/>
  <c r="F105" i="48"/>
  <c r="P105" i="48" s="1"/>
  <c r="H12" i="50"/>
  <c r="J4" i="54" s="1"/>
  <c r="J29" i="52" s="1"/>
  <c r="O46" i="33" s="1"/>
  <c r="D90" i="50"/>
  <c r="M90" i="50" s="1"/>
  <c r="D119" i="50"/>
  <c r="M119" i="50" s="1"/>
  <c r="D92" i="50"/>
  <c r="M92" i="50" s="1"/>
  <c r="D105" i="50"/>
  <c r="M105" i="50" s="1"/>
  <c r="D118" i="50"/>
  <c r="M118" i="50" s="1"/>
  <c r="D79" i="50"/>
  <c r="M79" i="50" s="1"/>
  <c r="E126" i="50"/>
  <c r="N126" i="50" s="1"/>
  <c r="E123" i="50"/>
  <c r="N123" i="50" s="1"/>
  <c r="E81" i="50"/>
  <c r="N81" i="50" s="1"/>
  <c r="E108" i="50"/>
  <c r="N108" i="50" s="1"/>
  <c r="E101" i="50"/>
  <c r="N101" i="50" s="1"/>
  <c r="E83" i="50"/>
  <c r="N83" i="50" s="1"/>
  <c r="E105" i="50"/>
  <c r="N105" i="50" s="1"/>
  <c r="D119" i="48"/>
  <c r="N119" i="48" s="1"/>
  <c r="D103" i="48"/>
  <c r="N103" i="48" s="1"/>
  <c r="D97" i="48"/>
  <c r="N97" i="48" s="1"/>
  <c r="D117" i="48"/>
  <c r="N117" i="48" s="1"/>
  <c r="E13" i="51"/>
  <c r="E13" i="52" s="1"/>
  <c r="J40" i="33" s="1"/>
  <c r="F107" i="48"/>
  <c r="P107" i="48" s="1"/>
  <c r="D76" i="50"/>
  <c r="M76" i="50" s="1"/>
  <c r="D100" i="50"/>
  <c r="M100" i="50" s="1"/>
  <c r="D113" i="50"/>
  <c r="M113" i="50" s="1"/>
  <c r="D86" i="50"/>
  <c r="M86" i="50" s="1"/>
  <c r="D77" i="50"/>
  <c r="M77" i="50" s="1"/>
  <c r="D107" i="50"/>
  <c r="M107" i="50" s="1"/>
  <c r="E114" i="50"/>
  <c r="N114" i="50" s="1"/>
  <c r="E89" i="50"/>
  <c r="N89" i="50" s="1"/>
  <c r="E92" i="50"/>
  <c r="N92" i="50" s="1"/>
  <c r="E99" i="50"/>
  <c r="N99" i="50" s="1"/>
  <c r="E121" i="50"/>
  <c r="N121" i="50" s="1"/>
  <c r="E96" i="50"/>
  <c r="N96" i="50" s="1"/>
  <c r="E79" i="50"/>
  <c r="N79" i="50" s="1"/>
  <c r="D85" i="48"/>
  <c r="N85" i="48" s="1"/>
  <c r="D116" i="48"/>
  <c r="N116" i="48" s="1"/>
  <c r="D95" i="48"/>
  <c r="N95" i="48" s="1"/>
  <c r="D82" i="48"/>
  <c r="N82" i="48" s="1"/>
  <c r="D80" i="48"/>
  <c r="N80" i="48" s="1"/>
  <c r="F123" i="48"/>
  <c r="P123" i="48" s="1"/>
  <c r="F120" i="48"/>
  <c r="P120" i="48" s="1"/>
  <c r="D117" i="50"/>
  <c r="M117" i="50" s="1"/>
  <c r="D83" i="50"/>
  <c r="M83" i="50" s="1"/>
  <c r="D78" i="50"/>
  <c r="M78" i="50" s="1"/>
  <c r="D95" i="50"/>
  <c r="M95" i="50" s="1"/>
  <c r="D115" i="50"/>
  <c r="M115" i="50" s="1"/>
  <c r="D98" i="50"/>
  <c r="M98" i="50" s="1"/>
  <c r="E97" i="50"/>
  <c r="N97" i="50" s="1"/>
  <c r="E76" i="50"/>
  <c r="N76" i="50" s="1"/>
  <c r="E117" i="50"/>
  <c r="N117" i="50" s="1"/>
  <c r="E82" i="50"/>
  <c r="N82" i="50" s="1"/>
  <c r="E104" i="50"/>
  <c r="N104" i="50" s="1"/>
  <c r="E87" i="50"/>
  <c r="N87" i="50" s="1"/>
  <c r="D115" i="48"/>
  <c r="N115" i="48" s="1"/>
  <c r="D99" i="48"/>
  <c r="N99" i="48" s="1"/>
  <c r="D125" i="48"/>
  <c r="N125" i="48" s="1"/>
  <c r="D100" i="48"/>
  <c r="N100" i="48" s="1"/>
  <c r="D118" i="48"/>
  <c r="N118" i="48" s="1"/>
  <c r="F117" i="48"/>
  <c r="P117" i="48" s="1"/>
  <c r="D126" i="50"/>
  <c r="M126" i="50" s="1"/>
  <c r="D108" i="50"/>
  <c r="M108" i="50" s="1"/>
  <c r="D121" i="50"/>
  <c r="M121" i="50" s="1"/>
  <c r="D103" i="50"/>
  <c r="M103" i="50" s="1"/>
  <c r="D85" i="50"/>
  <c r="M85" i="50" s="1"/>
  <c r="D106" i="50"/>
  <c r="M106" i="50" s="1"/>
  <c r="E80" i="50"/>
  <c r="N80" i="50" s="1"/>
  <c r="E78" i="50"/>
  <c r="N78" i="50" s="1"/>
  <c r="E107" i="50"/>
  <c r="N107" i="50" s="1"/>
  <c r="E112" i="50"/>
  <c r="N112" i="50" s="1"/>
  <c r="E95" i="50"/>
  <c r="N95" i="50" s="1"/>
  <c r="D114" i="48"/>
  <c r="N114" i="48" s="1"/>
  <c r="D98" i="48"/>
  <c r="N98" i="48" s="1"/>
  <c r="D108" i="48"/>
  <c r="N108" i="48" s="1"/>
  <c r="D88" i="48"/>
  <c r="N88" i="48" s="1"/>
  <c r="D101" i="48"/>
  <c r="N101" i="48" s="1"/>
  <c r="F103" i="48"/>
  <c r="P103" i="48" s="1"/>
  <c r="C121" i="50"/>
  <c r="G121" i="50" s="1"/>
  <c r="L121" i="50" s="1"/>
  <c r="C98" i="50"/>
  <c r="G98" i="50" s="1"/>
  <c r="L98" i="50" s="1"/>
  <c r="C103" i="49"/>
  <c r="D103" i="49" s="1"/>
  <c r="F103" i="49" s="1"/>
  <c r="C109" i="49"/>
  <c r="D109" i="49" s="1"/>
  <c r="F109" i="49" s="1"/>
  <c r="D16" i="3"/>
  <c r="N45" i="28" s="1"/>
  <c r="G91" i="48"/>
  <c r="Q91" i="48" s="1"/>
  <c r="D152" i="28"/>
  <c r="F82" i="50"/>
  <c r="O82" i="50" s="1"/>
  <c r="F105" i="50"/>
  <c r="O105" i="50" s="1"/>
  <c r="C128" i="48"/>
  <c r="M128" i="48" s="1"/>
  <c r="C106" i="48"/>
  <c r="M106" i="48" s="1"/>
  <c r="G80" i="48"/>
  <c r="Q80" i="48" s="1"/>
  <c r="G128" i="48"/>
  <c r="Q128" i="48" s="1"/>
  <c r="B32" i="45"/>
  <c r="B36" i="45" s="1"/>
  <c r="D18" i="3"/>
  <c r="F116" i="50"/>
  <c r="O116" i="50" s="1"/>
  <c r="F79" i="50"/>
  <c r="O79" i="50" s="1"/>
  <c r="C102" i="48"/>
  <c r="M102" i="48" s="1"/>
  <c r="C80" i="48"/>
  <c r="M80" i="48" s="1"/>
  <c r="G121" i="48"/>
  <c r="Q121" i="48" s="1"/>
  <c r="D17" i="3"/>
  <c r="A41" i="45"/>
  <c r="C41" i="45" s="1"/>
  <c r="C265" i="45" s="1"/>
  <c r="F119" i="50"/>
  <c r="O119" i="50" s="1"/>
  <c r="F89" i="50"/>
  <c r="O89" i="50" s="1"/>
  <c r="C109" i="48"/>
  <c r="M109" i="48" s="1"/>
  <c r="C126" i="48"/>
  <c r="M126" i="48" s="1"/>
  <c r="G95" i="48"/>
  <c r="Q95" i="48" s="1"/>
  <c r="G125" i="48"/>
  <c r="Q125" i="48" s="1"/>
  <c r="F102" i="50"/>
  <c r="O102" i="50" s="1"/>
  <c r="C101" i="48"/>
  <c r="M101" i="48" s="1"/>
  <c r="F122" i="50"/>
  <c r="O122" i="50" s="1"/>
  <c r="F100" i="50"/>
  <c r="O100" i="50" s="1"/>
  <c r="F83" i="50"/>
  <c r="O83" i="50" s="1"/>
  <c r="F112" i="50"/>
  <c r="O112" i="50" s="1"/>
  <c r="F96" i="50"/>
  <c r="O96" i="50" s="1"/>
  <c r="F125" i="50"/>
  <c r="O125" i="50" s="1"/>
  <c r="F118" i="50"/>
  <c r="O118" i="50" s="1"/>
  <c r="F91" i="50"/>
  <c r="O91" i="50" s="1"/>
  <c r="F120" i="50"/>
  <c r="O120" i="50" s="1"/>
  <c r="F103" i="50"/>
  <c r="O103" i="50" s="1"/>
  <c r="F87" i="50"/>
  <c r="O87" i="50" s="1"/>
  <c r="F106" i="50"/>
  <c r="O106" i="50" s="1"/>
  <c r="F92" i="50"/>
  <c r="O92" i="50" s="1"/>
  <c r="B42" i="54"/>
  <c r="B39" i="52" s="1"/>
  <c r="F111" i="50"/>
  <c r="O111" i="50" s="1"/>
  <c r="F94" i="50"/>
  <c r="O94" i="50" s="1"/>
  <c r="F78" i="50"/>
  <c r="O78" i="50" s="1"/>
  <c r="F107" i="50"/>
  <c r="O107" i="50" s="1"/>
  <c r="F81" i="50"/>
  <c r="O81" i="50" s="1"/>
  <c r="F95" i="50"/>
  <c r="O95" i="50" s="1"/>
  <c r="F110" i="50"/>
  <c r="O110" i="50" s="1"/>
  <c r="F93" i="50"/>
  <c r="O93" i="50" s="1"/>
  <c r="F77" i="50"/>
  <c r="O77" i="50" s="1"/>
  <c r="F115" i="50"/>
  <c r="O115" i="50" s="1"/>
  <c r="F80" i="50"/>
  <c r="O80" i="50" s="1"/>
  <c r="G118" i="48"/>
  <c r="Q118" i="48" s="1"/>
  <c r="F81" i="48"/>
  <c r="P81" i="48" s="1"/>
  <c r="F87" i="48"/>
  <c r="P87" i="48" s="1"/>
  <c r="F104" i="50"/>
  <c r="O104" i="50" s="1"/>
  <c r="F99" i="50"/>
  <c r="O99" i="50" s="1"/>
  <c r="F101" i="50"/>
  <c r="O101" i="50" s="1"/>
  <c r="F114" i="50"/>
  <c r="O114" i="50" s="1"/>
  <c r="F90" i="50"/>
  <c r="O90" i="50" s="1"/>
  <c r="F97" i="50"/>
  <c r="O97" i="50" s="1"/>
  <c r="F126" i="50"/>
  <c r="O126" i="50" s="1"/>
  <c r="C107" i="49"/>
  <c r="D107" i="49" s="1"/>
  <c r="F107" i="49" s="1"/>
  <c r="F76" i="50"/>
  <c r="O76" i="50" s="1"/>
  <c r="F109" i="50"/>
  <c r="O109" i="50" s="1"/>
  <c r="F84" i="50"/>
  <c r="O84" i="50" s="1"/>
  <c r="F124" i="50"/>
  <c r="O124" i="50" s="1"/>
  <c r="F123" i="50"/>
  <c r="O123" i="50" s="1"/>
  <c r="F88" i="50"/>
  <c r="O88" i="50" s="1"/>
  <c r="G102" i="48"/>
  <c r="Q102" i="48" s="1"/>
  <c r="F128" i="48"/>
  <c r="P128" i="48" s="1"/>
  <c r="C123" i="50"/>
  <c r="G123" i="50" s="1"/>
  <c r="L123" i="50" s="1"/>
  <c r="E91" i="48"/>
  <c r="O91" i="48" s="1"/>
  <c r="F90" i="48"/>
  <c r="P90" i="48" s="1"/>
  <c r="F106" i="48"/>
  <c r="P106" i="48" s="1"/>
  <c r="F110" i="48"/>
  <c r="P110" i="48" s="1"/>
  <c r="F79" i="48"/>
  <c r="P79" i="48" s="1"/>
  <c r="E86" i="48"/>
  <c r="O86" i="48" s="1"/>
  <c r="E79" i="48"/>
  <c r="O79" i="48" s="1"/>
  <c r="G123" i="48"/>
  <c r="Q123" i="48" s="1"/>
  <c r="F93" i="48"/>
  <c r="P93" i="48" s="1"/>
  <c r="F82" i="48"/>
  <c r="P82" i="48" s="1"/>
  <c r="F86" i="48"/>
  <c r="P86" i="48" s="1"/>
  <c r="F122" i="48"/>
  <c r="P122" i="48" s="1"/>
  <c r="E81" i="48"/>
  <c r="O81" i="48" s="1"/>
  <c r="E82" i="48"/>
  <c r="O82" i="48" s="1"/>
  <c r="E24" i="62"/>
  <c r="F24" i="62" s="1"/>
  <c r="E128" i="48"/>
  <c r="O128" i="48" s="1"/>
  <c r="G108" i="48"/>
  <c r="Q108" i="48" s="1"/>
  <c r="G115" i="48"/>
  <c r="Q115" i="48" s="1"/>
  <c r="F118" i="48"/>
  <c r="P118" i="48" s="1"/>
  <c r="F85" i="48"/>
  <c r="P85" i="48" s="1"/>
  <c r="F99" i="48"/>
  <c r="P99" i="48" s="1"/>
  <c r="F119" i="48"/>
  <c r="P119" i="48" s="1"/>
  <c r="E106" i="48"/>
  <c r="O106" i="48" s="1"/>
  <c r="E107" i="48"/>
  <c r="O107" i="48" s="1"/>
  <c r="F121" i="48"/>
  <c r="P121" i="48" s="1"/>
  <c r="F101" i="48"/>
  <c r="P101" i="48" s="1"/>
  <c r="F125" i="48"/>
  <c r="P125" i="48" s="1"/>
  <c r="F88" i="48"/>
  <c r="P88" i="48" s="1"/>
  <c r="E83" i="48"/>
  <c r="O83" i="48" s="1"/>
  <c r="E126" i="48"/>
  <c r="O126" i="48" s="1"/>
  <c r="G12" i="50"/>
  <c r="D37" i="50" s="1"/>
  <c r="C113" i="49"/>
  <c r="D113" i="49" s="1"/>
  <c r="F113" i="49" s="1"/>
  <c r="G82" i="48"/>
  <c r="Q82" i="48" s="1"/>
  <c r="G104" i="48"/>
  <c r="Q104" i="48" s="1"/>
  <c r="F126" i="48"/>
  <c r="P126" i="48" s="1"/>
  <c r="F95" i="48"/>
  <c r="P95" i="48" s="1"/>
  <c r="F111" i="48"/>
  <c r="P111" i="48" s="1"/>
  <c r="F113" i="48"/>
  <c r="P113" i="48" s="1"/>
  <c r="E125" i="48"/>
  <c r="O125" i="48" s="1"/>
  <c r="E87" i="48"/>
  <c r="O87" i="48" s="1"/>
  <c r="C96" i="49"/>
  <c r="D96" i="49" s="1"/>
  <c r="F96" i="49" s="1"/>
  <c r="C90" i="50"/>
  <c r="G90" i="50" s="1"/>
  <c r="L90" i="50" s="1"/>
  <c r="C71" i="49"/>
  <c r="D71" i="49" s="1"/>
  <c r="F71" i="49" s="1"/>
  <c r="C75" i="49"/>
  <c r="D75" i="49" s="1"/>
  <c r="F75" i="49" s="1"/>
  <c r="C110" i="48"/>
  <c r="M110" i="48" s="1"/>
  <c r="C114" i="48"/>
  <c r="M114" i="48" s="1"/>
  <c r="C76" i="50"/>
  <c r="G76" i="50" s="1"/>
  <c r="L76" i="50" s="1"/>
  <c r="C113" i="50"/>
  <c r="G113" i="50" s="1"/>
  <c r="L113" i="50" s="1"/>
  <c r="C124" i="50"/>
  <c r="G124" i="50" s="1"/>
  <c r="L124" i="50" s="1"/>
  <c r="E95" i="48"/>
  <c r="O95" i="48" s="1"/>
  <c r="E123" i="48"/>
  <c r="O123" i="48" s="1"/>
  <c r="E111" i="48"/>
  <c r="O111" i="48" s="1"/>
  <c r="E109" i="48"/>
  <c r="O109" i="48" s="1"/>
  <c r="E124" i="48"/>
  <c r="O124" i="48" s="1"/>
  <c r="E84" i="48"/>
  <c r="O84" i="48" s="1"/>
  <c r="E104" i="48"/>
  <c r="O104" i="48" s="1"/>
  <c r="C85" i="49"/>
  <c r="D85" i="49" s="1"/>
  <c r="F85" i="49" s="1"/>
  <c r="C122" i="48"/>
  <c r="M122" i="48" s="1"/>
  <c r="C82" i="49"/>
  <c r="D82" i="49" s="1"/>
  <c r="F82" i="49" s="1"/>
  <c r="C76" i="49"/>
  <c r="D76" i="49" s="1"/>
  <c r="F76" i="49" s="1"/>
  <c r="C125" i="48"/>
  <c r="M125" i="48" s="1"/>
  <c r="C100" i="48"/>
  <c r="M100" i="48" s="1"/>
  <c r="C121" i="48"/>
  <c r="M121" i="48" s="1"/>
  <c r="C113" i="48"/>
  <c r="M113" i="48" s="1"/>
  <c r="C96" i="48"/>
  <c r="M96" i="48" s="1"/>
  <c r="C124" i="48"/>
  <c r="M124" i="48" s="1"/>
  <c r="C118" i="50"/>
  <c r="G118" i="50" s="1"/>
  <c r="L118" i="50" s="1"/>
  <c r="C102" i="50"/>
  <c r="G102" i="50" s="1"/>
  <c r="L102" i="50" s="1"/>
  <c r="C120" i="50"/>
  <c r="G120" i="50" s="1"/>
  <c r="L120" i="50" s="1"/>
  <c r="E92" i="48"/>
  <c r="O92" i="48" s="1"/>
  <c r="E94" i="48"/>
  <c r="O94" i="48" s="1"/>
  <c r="E102" i="48"/>
  <c r="O102" i="48" s="1"/>
  <c r="E89" i="48"/>
  <c r="O89" i="48" s="1"/>
  <c r="E93" i="48"/>
  <c r="O93" i="48" s="1"/>
  <c r="E114" i="48"/>
  <c r="O114" i="48" s="1"/>
  <c r="E90" i="48"/>
  <c r="O90" i="48" s="1"/>
  <c r="E26" i="62"/>
  <c r="C79" i="49"/>
  <c r="D79" i="49" s="1"/>
  <c r="F79" i="49" s="1"/>
  <c r="C91" i="49"/>
  <c r="D91" i="49" s="1"/>
  <c r="F91" i="49" s="1"/>
  <c r="C84" i="48"/>
  <c r="M84" i="48" s="1"/>
  <c r="C117" i="48"/>
  <c r="M117" i="48" s="1"/>
  <c r="C13" i="51"/>
  <c r="C13" i="52" s="1"/>
  <c r="H40" i="33" s="1"/>
  <c r="C95" i="50"/>
  <c r="G95" i="50" s="1"/>
  <c r="L95" i="50" s="1"/>
  <c r="C107" i="50"/>
  <c r="G107" i="50" s="1"/>
  <c r="L107" i="50" s="1"/>
  <c r="E108" i="48"/>
  <c r="O108" i="48" s="1"/>
  <c r="E100" i="48"/>
  <c r="O100" i="48" s="1"/>
  <c r="E99" i="48"/>
  <c r="O99" i="48" s="1"/>
  <c r="E129" i="48"/>
  <c r="O129" i="48" s="1"/>
  <c r="C69" i="49"/>
  <c r="D69" i="49" s="1"/>
  <c r="F69" i="49" s="1"/>
  <c r="C111" i="49"/>
  <c r="D111" i="49" s="1"/>
  <c r="F111" i="49" s="1"/>
  <c r="C84" i="49"/>
  <c r="D84" i="49" s="1"/>
  <c r="F84" i="49" s="1"/>
  <c r="C118" i="49"/>
  <c r="D118" i="49" s="1"/>
  <c r="F118" i="49" s="1"/>
  <c r="C108" i="48"/>
  <c r="M108" i="48" s="1"/>
  <c r="C83" i="48"/>
  <c r="M83" i="48" s="1"/>
  <c r="C112" i="48"/>
  <c r="M112" i="48" s="1"/>
  <c r="C104" i="48"/>
  <c r="M104" i="48" s="1"/>
  <c r="C87" i="48"/>
  <c r="M87" i="48" s="1"/>
  <c r="C107" i="48"/>
  <c r="M107" i="48" s="1"/>
  <c r="D128" i="48"/>
  <c r="N128" i="48" s="1"/>
  <c r="D107" i="48"/>
  <c r="N107" i="48" s="1"/>
  <c r="D127" i="48"/>
  <c r="N127" i="48" s="1"/>
  <c r="D91" i="48"/>
  <c r="N91" i="48" s="1"/>
  <c r="D123" i="48"/>
  <c r="N123" i="48" s="1"/>
  <c r="D129" i="48"/>
  <c r="N129" i="48" s="1"/>
  <c r="D121" i="48"/>
  <c r="N121" i="48" s="1"/>
  <c r="G92" i="48"/>
  <c r="Q92" i="48" s="1"/>
  <c r="G112" i="48"/>
  <c r="Q112" i="48" s="1"/>
  <c r="C86" i="50"/>
  <c r="G86" i="50" s="1"/>
  <c r="L86" i="50" s="1"/>
  <c r="C93" i="50"/>
  <c r="G93" i="50" s="1"/>
  <c r="L93" i="50" s="1"/>
  <c r="C104" i="50"/>
  <c r="G104" i="50" s="1"/>
  <c r="L104" i="50" s="1"/>
  <c r="E117" i="48"/>
  <c r="O117" i="48" s="1"/>
  <c r="E119" i="48"/>
  <c r="O119" i="48" s="1"/>
  <c r="E127" i="48"/>
  <c r="O127" i="48" s="1"/>
  <c r="E110" i="48"/>
  <c r="O110" i="48" s="1"/>
  <c r="E118" i="48"/>
  <c r="O118" i="48" s="1"/>
  <c r="E85" i="48"/>
  <c r="O85" i="48" s="1"/>
  <c r="E115" i="48"/>
  <c r="O115" i="48" s="1"/>
  <c r="C93" i="49"/>
  <c r="D93" i="49" s="1"/>
  <c r="F93" i="49" s="1"/>
  <c r="C119" i="50"/>
  <c r="G119" i="50" s="1"/>
  <c r="L119" i="50" s="1"/>
  <c r="C117" i="49"/>
  <c r="D117" i="49" s="1"/>
  <c r="F117" i="49" s="1"/>
  <c r="C92" i="48"/>
  <c r="M92" i="48" s="1"/>
  <c r="C92" i="49"/>
  <c r="D92" i="49" s="1"/>
  <c r="F92" i="49" s="1"/>
  <c r="C79" i="48"/>
  <c r="M79" i="48" s="1"/>
  <c r="C87" i="49"/>
  <c r="D87" i="49" s="1"/>
  <c r="F87" i="49" s="1"/>
  <c r="C116" i="49"/>
  <c r="D116" i="49" s="1"/>
  <c r="F116" i="49" s="1"/>
  <c r="C105" i="49"/>
  <c r="D105" i="49" s="1"/>
  <c r="F105" i="49" s="1"/>
  <c r="C80" i="49"/>
  <c r="D80" i="49" s="1"/>
  <c r="F80" i="49" s="1"/>
  <c r="C99" i="49"/>
  <c r="D99" i="49" s="1"/>
  <c r="F99" i="49" s="1"/>
  <c r="C86" i="49"/>
  <c r="D86" i="49" s="1"/>
  <c r="F86" i="49" s="1"/>
  <c r="C116" i="48"/>
  <c r="M116" i="48" s="1"/>
  <c r="C91" i="48"/>
  <c r="M91" i="48" s="1"/>
  <c r="C129" i="48"/>
  <c r="M129" i="48" s="1"/>
  <c r="C103" i="48"/>
  <c r="M103" i="48" s="1"/>
  <c r="C95" i="48"/>
  <c r="M95" i="48" s="1"/>
  <c r="C85" i="48"/>
  <c r="M85" i="48" s="1"/>
  <c r="C98" i="48"/>
  <c r="M98" i="48" s="1"/>
  <c r="D90" i="48"/>
  <c r="N90" i="48" s="1"/>
  <c r="D106" i="48"/>
  <c r="N106" i="48" s="1"/>
  <c r="G79" i="48"/>
  <c r="Q79" i="48" s="1"/>
  <c r="G103" i="48"/>
  <c r="Q103" i="48" s="1"/>
  <c r="C109" i="50"/>
  <c r="G109" i="50" s="1"/>
  <c r="L109" i="50" s="1"/>
  <c r="C94" i="50"/>
  <c r="G94" i="50" s="1"/>
  <c r="L94" i="50" s="1"/>
  <c r="C99" i="50"/>
  <c r="G99" i="50" s="1"/>
  <c r="L99" i="50" s="1"/>
  <c r="E103" i="48"/>
  <c r="O103" i="48" s="1"/>
  <c r="E97" i="48"/>
  <c r="O97" i="48" s="1"/>
  <c r="E80" i="48"/>
  <c r="O80" i="48" s="1"/>
  <c r="E88" i="48"/>
  <c r="O88" i="48" s="1"/>
  <c r="E96" i="48"/>
  <c r="O96" i="48" s="1"/>
  <c r="E113" i="48"/>
  <c r="O113" i="48" s="1"/>
  <c r="C72" i="49"/>
  <c r="D72" i="49" s="1"/>
  <c r="F72" i="49" s="1"/>
  <c r="I42" i="54"/>
  <c r="I39" i="52" s="1"/>
  <c r="C112" i="49"/>
  <c r="D112" i="49" s="1"/>
  <c r="F112" i="49" s="1"/>
  <c r="C110" i="49"/>
  <c r="D110" i="49" s="1"/>
  <c r="F110" i="49" s="1"/>
  <c r="C127" i="48"/>
  <c r="M127" i="48" s="1"/>
  <c r="C88" i="48"/>
  <c r="M88" i="48" s="1"/>
  <c r="C81" i="49"/>
  <c r="D81" i="49" s="1"/>
  <c r="F81" i="49" s="1"/>
  <c r="C106" i="49"/>
  <c r="D106" i="49" s="1"/>
  <c r="F106" i="49" s="1"/>
  <c r="C73" i="49"/>
  <c r="D73" i="49" s="1"/>
  <c r="F73" i="49" s="1"/>
  <c r="C118" i="48"/>
  <c r="M118" i="48" s="1"/>
  <c r="C105" i="48"/>
  <c r="M105" i="48" s="1"/>
  <c r="C111" i="50"/>
  <c r="G111" i="50" s="1"/>
  <c r="L111" i="50" s="1"/>
  <c r="E98" i="48"/>
  <c r="O98" i="48" s="1"/>
  <c r="E116" i="48"/>
  <c r="O116" i="48" s="1"/>
  <c r="E112" i="48"/>
  <c r="O112" i="48" s="1"/>
  <c r="C97" i="49"/>
  <c r="D97" i="49" s="1"/>
  <c r="F97" i="49" s="1"/>
  <c r="C98" i="49"/>
  <c r="D98" i="49" s="1"/>
  <c r="F98" i="49" s="1"/>
  <c r="C94" i="49"/>
  <c r="D94" i="49" s="1"/>
  <c r="F94" i="49" s="1"/>
  <c r="C70" i="49"/>
  <c r="D70" i="49" s="1"/>
  <c r="F70" i="49" s="1"/>
  <c r="C99" i="48"/>
  <c r="M99" i="48" s="1"/>
  <c r="C82" i="48"/>
  <c r="M82" i="48" s="1"/>
  <c r="C111" i="48"/>
  <c r="M111" i="48" s="1"/>
  <c r="C94" i="48"/>
  <c r="M94" i="48" s="1"/>
  <c r="C86" i="48"/>
  <c r="M86" i="48" s="1"/>
  <c r="C115" i="48"/>
  <c r="M115" i="48" s="1"/>
  <c r="G87" i="48"/>
  <c r="Q87" i="48" s="1"/>
  <c r="G101" i="48"/>
  <c r="Q101" i="48" s="1"/>
  <c r="G113" i="48"/>
  <c r="Q113" i="48" s="1"/>
  <c r="C114" i="50"/>
  <c r="G114" i="50" s="1"/>
  <c r="L114" i="50" s="1"/>
  <c r="C85" i="50"/>
  <c r="G85" i="50" s="1"/>
  <c r="L85" i="50" s="1"/>
  <c r="C88" i="50"/>
  <c r="G88" i="50" s="1"/>
  <c r="L88" i="50" s="1"/>
  <c r="E120" i="48"/>
  <c r="O120" i="48" s="1"/>
  <c r="E122" i="48"/>
  <c r="O122" i="48" s="1"/>
  <c r="E105" i="48"/>
  <c r="O105" i="48" s="1"/>
  <c r="D13" i="51"/>
  <c r="D13" i="52" s="1"/>
  <c r="I40" i="33" s="1"/>
  <c r="E121" i="48"/>
  <c r="O121" i="48" s="1"/>
  <c r="G127" i="48"/>
  <c r="Q127" i="48" s="1"/>
  <c r="G99" i="48"/>
  <c r="Q99" i="48" s="1"/>
  <c r="G97" i="48"/>
  <c r="Q97" i="48" s="1"/>
  <c r="G114" i="48"/>
  <c r="Q114" i="48" s="1"/>
  <c r="G86" i="48"/>
  <c r="Q86" i="48" s="1"/>
  <c r="G88" i="48"/>
  <c r="Q88" i="48" s="1"/>
  <c r="G93" i="48"/>
  <c r="Q93" i="48" s="1"/>
  <c r="G129" i="48"/>
  <c r="Q129" i="48" s="1"/>
  <c r="G124" i="48"/>
  <c r="Q124" i="48" s="1"/>
  <c r="F127" i="48"/>
  <c r="P127" i="48" s="1"/>
  <c r="F124" i="48"/>
  <c r="P124" i="48" s="1"/>
  <c r="F84" i="48"/>
  <c r="P84" i="48" s="1"/>
  <c r="F89" i="48"/>
  <c r="P89" i="48" s="1"/>
  <c r="F97" i="48"/>
  <c r="P97" i="48" s="1"/>
  <c r="F83" i="48"/>
  <c r="P83" i="48" s="1"/>
  <c r="F91" i="48"/>
  <c r="P91" i="48" s="1"/>
  <c r="G109" i="48"/>
  <c r="Q109" i="48" s="1"/>
  <c r="G84" i="48"/>
  <c r="Q84" i="48" s="1"/>
  <c r="G120" i="48"/>
  <c r="Q120" i="48" s="1"/>
  <c r="G98" i="48"/>
  <c r="Q98" i="48" s="1"/>
  <c r="F104" i="48"/>
  <c r="P104" i="48" s="1"/>
  <c r="F112" i="48"/>
  <c r="P112" i="48" s="1"/>
  <c r="F109" i="48"/>
  <c r="P109" i="48" s="1"/>
  <c r="F114" i="48"/>
  <c r="P114" i="48" s="1"/>
  <c r="G13" i="51"/>
  <c r="G13" i="52" s="1"/>
  <c r="L40" i="33" s="1"/>
  <c r="F108" i="48"/>
  <c r="P108" i="48" s="1"/>
  <c r="F116" i="48"/>
  <c r="P116" i="48" s="1"/>
  <c r="G105" i="48"/>
  <c r="Q105" i="48" s="1"/>
  <c r="G83" i="48"/>
  <c r="Q83" i="48" s="1"/>
  <c r="G122" i="48"/>
  <c r="Q122" i="48" s="1"/>
  <c r="G111" i="48"/>
  <c r="Q111" i="48" s="1"/>
  <c r="B13" i="51"/>
  <c r="B13" i="52" s="1"/>
  <c r="G40" i="33" s="1"/>
  <c r="F129" i="48"/>
  <c r="P129" i="48" s="1"/>
  <c r="F115" i="48"/>
  <c r="P115" i="48" s="1"/>
  <c r="F96" i="48"/>
  <c r="P96" i="48" s="1"/>
  <c r="F92" i="48"/>
  <c r="P92" i="48" s="1"/>
  <c r="F100" i="48"/>
  <c r="P100" i="48" s="1"/>
  <c r="F94" i="48"/>
  <c r="P94" i="48" s="1"/>
  <c r="C80" i="50"/>
  <c r="G80" i="50" s="1"/>
  <c r="L80" i="50" s="1"/>
  <c r="C100" i="50"/>
  <c r="G100" i="50" s="1"/>
  <c r="L100" i="50" s="1"/>
  <c r="C110" i="50"/>
  <c r="G110" i="50" s="1"/>
  <c r="L110" i="50" s="1"/>
  <c r="C84" i="50"/>
  <c r="G84" i="50" s="1"/>
  <c r="L84" i="50" s="1"/>
  <c r="C106" i="50"/>
  <c r="G106" i="50" s="1"/>
  <c r="L106" i="50" s="1"/>
  <c r="C81" i="50"/>
  <c r="G81" i="50" s="1"/>
  <c r="L81" i="50" s="1"/>
  <c r="C126" i="50"/>
  <c r="G126" i="50" s="1"/>
  <c r="L126" i="50" s="1"/>
  <c r="C89" i="49"/>
  <c r="D89" i="49" s="1"/>
  <c r="F89" i="49" s="1"/>
  <c r="C74" i="49"/>
  <c r="D74" i="49" s="1"/>
  <c r="F74" i="49" s="1"/>
  <c r="C119" i="49"/>
  <c r="D119" i="49" s="1"/>
  <c r="F119" i="49" s="1"/>
  <c r="C78" i="49"/>
  <c r="D78" i="49" s="1"/>
  <c r="F78" i="49" s="1"/>
  <c r="C77" i="49"/>
  <c r="D77" i="49" s="1"/>
  <c r="F77" i="49" s="1"/>
  <c r="C100" i="49"/>
  <c r="D100" i="49" s="1"/>
  <c r="F100" i="49" s="1"/>
  <c r="G96" i="48"/>
  <c r="Q96" i="48" s="1"/>
  <c r="G126" i="48"/>
  <c r="Q126" i="48" s="1"/>
  <c r="G81" i="48"/>
  <c r="Q81" i="48" s="1"/>
  <c r="G119" i="48"/>
  <c r="Q119" i="48" s="1"/>
  <c r="G94" i="48"/>
  <c r="Q94" i="48" s="1"/>
  <c r="G107" i="48"/>
  <c r="Q107" i="48" s="1"/>
  <c r="G116" i="48"/>
  <c r="Q116" i="48" s="1"/>
  <c r="C77" i="50"/>
  <c r="G77" i="50" s="1"/>
  <c r="L77" i="50" s="1"/>
  <c r="C115" i="50"/>
  <c r="G115" i="50" s="1"/>
  <c r="L115" i="50" s="1"/>
  <c r="C101" i="50"/>
  <c r="G101" i="50" s="1"/>
  <c r="L101" i="50" s="1"/>
  <c r="C112" i="50"/>
  <c r="G112" i="50" s="1"/>
  <c r="L112" i="50" s="1"/>
  <c r="C89" i="50"/>
  <c r="G89" i="50" s="1"/>
  <c r="L89" i="50" s="1"/>
  <c r="C79" i="50"/>
  <c r="G79" i="50" s="1"/>
  <c r="L79" i="50" s="1"/>
  <c r="C117" i="50"/>
  <c r="G117" i="50" s="1"/>
  <c r="L117" i="50" s="1"/>
  <c r="G34" i="63"/>
  <c r="G171" i="28"/>
  <c r="N12" i="33" s="1"/>
  <c r="X12" i="33" s="1"/>
  <c r="L87" i="63"/>
  <c r="L96" i="63" s="1"/>
  <c r="L83" i="63"/>
  <c r="L85" i="63"/>
  <c r="L94" i="63" s="1"/>
  <c r="L81" i="63"/>
  <c r="L90" i="63" s="1"/>
  <c r="C95" i="49"/>
  <c r="D95" i="49" s="1"/>
  <c r="F95" i="49" s="1"/>
  <c r="C104" i="49"/>
  <c r="D104" i="49" s="1"/>
  <c r="F104" i="49" s="1"/>
  <c r="C88" i="49"/>
  <c r="D88" i="49" s="1"/>
  <c r="F88" i="49" s="1"/>
  <c r="C102" i="49"/>
  <c r="D102" i="49" s="1"/>
  <c r="F102" i="49" s="1"/>
  <c r="C115" i="49"/>
  <c r="D115" i="49" s="1"/>
  <c r="F115" i="49" s="1"/>
  <c r="C96" i="50"/>
  <c r="G96" i="50" s="1"/>
  <c r="L96" i="50" s="1"/>
  <c r="C83" i="50"/>
  <c r="G83" i="50" s="1"/>
  <c r="L83" i="50" s="1"/>
  <c r="C92" i="50"/>
  <c r="G92" i="50" s="1"/>
  <c r="L92" i="50" s="1"/>
  <c r="C105" i="50"/>
  <c r="G105" i="50" s="1"/>
  <c r="L105" i="50" s="1"/>
  <c r="C87" i="50"/>
  <c r="G87" i="50" s="1"/>
  <c r="L87" i="50" s="1"/>
  <c r="C125" i="50"/>
  <c r="G125" i="50" s="1"/>
  <c r="L125" i="50" s="1"/>
  <c r="C108" i="50"/>
  <c r="G108" i="50" s="1"/>
  <c r="L108" i="50" s="1"/>
  <c r="B6" i="56"/>
  <c r="K61" i="52" s="1"/>
  <c r="P54" i="33" s="1"/>
  <c r="P57" i="33" s="1"/>
  <c r="C90" i="49"/>
  <c r="D90" i="49" s="1"/>
  <c r="F90" i="49" s="1"/>
  <c r="C114" i="49"/>
  <c r="D114" i="49" s="1"/>
  <c r="F114" i="49" s="1"/>
  <c r="C101" i="49"/>
  <c r="D101" i="49" s="1"/>
  <c r="F101" i="49" s="1"/>
  <c r="C108" i="49"/>
  <c r="D108" i="49" s="1"/>
  <c r="F108" i="49" s="1"/>
  <c r="G117" i="48"/>
  <c r="Q117" i="48" s="1"/>
  <c r="G100" i="48"/>
  <c r="Q100" i="48" s="1"/>
  <c r="G110" i="48"/>
  <c r="Q110" i="48" s="1"/>
  <c r="G85" i="48"/>
  <c r="Q85" i="48" s="1"/>
  <c r="G106" i="48"/>
  <c r="Q106" i="48" s="1"/>
  <c r="G89" i="48"/>
  <c r="Q89" i="48" s="1"/>
  <c r="C97" i="50"/>
  <c r="G97" i="50" s="1"/>
  <c r="L97" i="50" s="1"/>
  <c r="C122" i="50"/>
  <c r="G122" i="50" s="1"/>
  <c r="L122" i="50" s="1"/>
  <c r="C82" i="50"/>
  <c r="G82" i="50" s="1"/>
  <c r="L82" i="50" s="1"/>
  <c r="C103" i="50"/>
  <c r="G103" i="50" s="1"/>
  <c r="L103" i="50" s="1"/>
  <c r="C78" i="50"/>
  <c r="G78" i="50" s="1"/>
  <c r="L78" i="50" s="1"/>
  <c r="C116" i="50"/>
  <c r="G116" i="50" s="1"/>
  <c r="L116" i="50" s="1"/>
  <c r="C81" i="37"/>
  <c r="C50" i="49"/>
  <c r="D50" i="49" s="1"/>
  <c r="C29" i="49"/>
  <c r="D29" i="49" s="1"/>
  <c r="C27" i="49"/>
  <c r="D27" i="49" s="1"/>
  <c r="C92" i="63"/>
  <c r="C94" i="63"/>
  <c r="C96" i="63"/>
  <c r="C90" i="63"/>
  <c r="H160" i="28"/>
  <c r="C86" i="63"/>
  <c r="C80" i="63"/>
  <c r="C84" i="63"/>
  <c r="C82" i="63"/>
  <c r="C59" i="49"/>
  <c r="D59" i="49" s="1"/>
  <c r="C28" i="49"/>
  <c r="D28" i="49" s="1"/>
  <c r="C58" i="49"/>
  <c r="D58" i="49" s="1"/>
  <c r="C34" i="49"/>
  <c r="D34" i="49" s="1"/>
  <c r="C23" i="49"/>
  <c r="D23" i="49" s="1"/>
  <c r="C49" i="49"/>
  <c r="D49" i="49" s="1"/>
  <c r="C54" i="49"/>
  <c r="D54" i="49" s="1"/>
  <c r="C37" i="49"/>
  <c r="D37" i="49" s="1"/>
  <c r="C61" i="49"/>
  <c r="D61" i="49" s="1"/>
  <c r="C36" i="49"/>
  <c r="D36" i="49" s="1"/>
  <c r="C22" i="49"/>
  <c r="D22" i="49" s="1"/>
  <c r="C45" i="49"/>
  <c r="D45" i="49" s="1"/>
  <c r="C46" i="49"/>
  <c r="D46" i="49" s="1"/>
  <c r="C39" i="49"/>
  <c r="D39" i="49" s="1"/>
  <c r="C25" i="49"/>
  <c r="D25" i="49" s="1"/>
  <c r="C30" i="49"/>
  <c r="D30" i="49" s="1"/>
  <c r="C32" i="49"/>
  <c r="D32" i="49" s="1"/>
  <c r="C44" i="49"/>
  <c r="D44" i="49" s="1"/>
  <c r="C52" i="49"/>
  <c r="D52" i="49" s="1"/>
  <c r="C24" i="49"/>
  <c r="D24" i="49" s="1"/>
  <c r="C56" i="49"/>
  <c r="D56" i="49" s="1"/>
  <c r="C62" i="49"/>
  <c r="D62" i="49" s="1"/>
  <c r="C55" i="49"/>
  <c r="D55" i="49" s="1"/>
  <c r="C35" i="49"/>
  <c r="D35" i="49" s="1"/>
  <c r="I4" i="56"/>
  <c r="I60" i="52" s="1"/>
  <c r="N53" i="33" s="1"/>
  <c r="N57" i="33" s="1"/>
  <c r="C47" i="49"/>
  <c r="D47" i="49" s="1"/>
  <c r="C53" i="49"/>
  <c r="D53" i="49" s="1"/>
  <c r="C31" i="49"/>
  <c r="D31" i="49" s="1"/>
  <c r="C18" i="49"/>
  <c r="D18" i="49" s="1"/>
  <c r="C33" i="49"/>
  <c r="D33" i="49" s="1"/>
  <c r="C40" i="49"/>
  <c r="D40" i="49" s="1"/>
  <c r="C64" i="49"/>
  <c r="D64" i="49" s="1"/>
  <c r="C42" i="49"/>
  <c r="D42" i="49" s="1"/>
  <c r="C17" i="49"/>
  <c r="D17" i="49" s="1"/>
  <c r="C60" i="49"/>
  <c r="D60" i="49" s="1"/>
  <c r="C19" i="49"/>
  <c r="D19" i="49" s="1"/>
  <c r="C41" i="49"/>
  <c r="D41" i="49" s="1"/>
  <c r="C16" i="49"/>
  <c r="D16" i="49" s="1"/>
  <c r="C20" i="49"/>
  <c r="D20" i="49" s="1"/>
  <c r="C43" i="49"/>
  <c r="D43" i="49" s="1"/>
  <c r="C65" i="49"/>
  <c r="D65" i="49" s="1"/>
  <c r="C57" i="49"/>
  <c r="D57" i="49" s="1"/>
  <c r="C38" i="49"/>
  <c r="D38" i="49" s="1"/>
  <c r="C63" i="49"/>
  <c r="D63" i="49" s="1"/>
  <c r="C26" i="49"/>
  <c r="D26" i="49" s="1"/>
  <c r="C48" i="49"/>
  <c r="D48" i="49" s="1"/>
  <c r="C21" i="49"/>
  <c r="D21" i="49" s="1"/>
  <c r="C51" i="49"/>
  <c r="D51" i="49" s="1"/>
  <c r="C15" i="49"/>
  <c r="D15" i="49" s="1"/>
  <c r="F15" i="49" s="1"/>
  <c r="R25" i="48"/>
  <c r="C82" i="37"/>
  <c r="C85" i="37"/>
  <c r="D160" i="28"/>
  <c r="W12" i="33" s="1"/>
  <c r="C87" i="37"/>
  <c r="Y87" i="37" s="1"/>
  <c r="C83" i="37"/>
  <c r="C133" i="48"/>
  <c r="B15" i="51"/>
  <c r="K14" i="52" s="1"/>
  <c r="C181" i="48"/>
  <c r="C170" i="48"/>
  <c r="C159" i="48"/>
  <c r="C148" i="48"/>
  <c r="C182" i="48"/>
  <c r="C171" i="48"/>
  <c r="C152" i="48"/>
  <c r="C173" i="48"/>
  <c r="C162" i="48"/>
  <c r="C151" i="48"/>
  <c r="C140" i="48"/>
  <c r="C174" i="48"/>
  <c r="C163" i="48"/>
  <c r="C144" i="48"/>
  <c r="C165" i="48"/>
  <c r="C154" i="48"/>
  <c r="C143" i="48"/>
  <c r="C177" i="48"/>
  <c r="C166" i="48"/>
  <c r="C155" i="48"/>
  <c r="C136" i="48"/>
  <c r="C157" i="48"/>
  <c r="C146" i="48"/>
  <c r="C135" i="48"/>
  <c r="C169" i="48"/>
  <c r="C158" i="48"/>
  <c r="C147" i="48"/>
  <c r="C149" i="48"/>
  <c r="C138" i="48"/>
  <c r="C180" i="48"/>
  <c r="C161" i="48"/>
  <c r="C150" i="48"/>
  <c r="C139" i="48"/>
  <c r="C141" i="48"/>
  <c r="C183" i="48"/>
  <c r="C172" i="48"/>
  <c r="C153" i="48"/>
  <c r="C142" i="48"/>
  <c r="C176" i="48"/>
  <c r="C175" i="48"/>
  <c r="C164" i="48"/>
  <c r="C145" i="48"/>
  <c r="C134" i="48"/>
  <c r="C168" i="48"/>
  <c r="C178" i="48"/>
  <c r="C167" i="48"/>
  <c r="C156" i="48"/>
  <c r="C137" i="48"/>
  <c r="C179" i="48"/>
  <c r="C160" i="48"/>
  <c r="A136" i="28"/>
  <c r="B136" i="28" s="1"/>
  <c r="C136" i="28" s="1"/>
  <c r="D136" i="28" s="1"/>
  <c r="F136" i="28" s="1"/>
  <c r="G136" i="28" s="1"/>
  <c r="K31" i="33"/>
  <c r="B216" i="28"/>
  <c r="J31" i="33" s="1"/>
  <c r="L92" i="37"/>
  <c r="B112" i="28"/>
  <c r="C112" i="28" s="1"/>
  <c r="D112" i="28" s="1"/>
  <c r="E112" i="28" s="1"/>
  <c r="A137" i="28"/>
  <c r="B137" i="28" s="1"/>
  <c r="C137" i="28" s="1"/>
  <c r="D137" i="28" s="1"/>
  <c r="F137" i="28" s="1"/>
  <c r="G137" i="28" s="1"/>
  <c r="B219" i="28"/>
  <c r="L111" i="28"/>
  <c r="L90" i="37"/>
  <c r="L82" i="37"/>
  <c r="L80" i="37"/>
  <c r="Y80" i="37" s="1"/>
  <c r="E76" i="63"/>
  <c r="E171" i="28"/>
  <c r="M14" i="33" s="1"/>
  <c r="L86" i="37"/>
  <c r="L95" i="37" s="1"/>
  <c r="L84" i="37"/>
  <c r="L93" i="37" s="1"/>
  <c r="E160" i="28"/>
  <c r="C84" i="37"/>
  <c r="C86" i="37"/>
  <c r="C23" i="50" l="1"/>
  <c r="C50" i="50"/>
  <c r="L12" i="52"/>
  <c r="L68" i="52"/>
  <c r="Q55" i="33" s="1"/>
  <c r="F26" i="62"/>
  <c r="F27" i="62"/>
  <c r="L36" i="33" s="1"/>
  <c r="C53" i="50"/>
  <c r="C70" i="50"/>
  <c r="E24" i="50"/>
  <c r="C31" i="50"/>
  <c r="E69" i="50"/>
  <c r="E35" i="50"/>
  <c r="E31" i="50"/>
  <c r="F153" i="28"/>
  <c r="D154" i="28"/>
  <c r="F152" i="28"/>
  <c r="E40" i="50"/>
  <c r="E52" i="50"/>
  <c r="C54" i="50"/>
  <c r="C33" i="50"/>
  <c r="E49" i="50"/>
  <c r="E64" i="50"/>
  <c r="C38" i="50"/>
  <c r="C35" i="50"/>
  <c r="E32" i="50"/>
  <c r="E56" i="50"/>
  <c r="C68" i="50"/>
  <c r="C36" i="50"/>
  <c r="E34" i="50"/>
  <c r="E48" i="50"/>
  <c r="C61" i="50"/>
  <c r="C25" i="50"/>
  <c r="E42" i="50"/>
  <c r="E61" i="50"/>
  <c r="E36" i="50"/>
  <c r="C52" i="50"/>
  <c r="C62" i="50"/>
  <c r="C275" i="45"/>
  <c r="E30" i="50"/>
  <c r="E72" i="50"/>
  <c r="C42" i="50"/>
  <c r="C34" i="50"/>
  <c r="C40" i="50"/>
  <c r="C243" i="45"/>
  <c r="D62" i="50"/>
  <c r="D22" i="50"/>
  <c r="E33" i="50"/>
  <c r="E71" i="50"/>
  <c r="E60" i="50"/>
  <c r="E44" i="50"/>
  <c r="C51" i="50"/>
  <c r="C59" i="50"/>
  <c r="C44" i="50"/>
  <c r="C48" i="50"/>
  <c r="C249" i="45"/>
  <c r="E58" i="50"/>
  <c r="E51" i="50"/>
  <c r="E22" i="50"/>
  <c r="E54" i="50"/>
  <c r="C32" i="50"/>
  <c r="C63" i="50"/>
  <c r="C26" i="50"/>
  <c r="C46" i="50"/>
  <c r="C45" i="45"/>
  <c r="D45" i="45" s="1"/>
  <c r="C283" i="45" s="1"/>
  <c r="D283" i="45" s="1"/>
  <c r="E59" i="50"/>
  <c r="E28" i="50"/>
  <c r="E43" i="50"/>
  <c r="E39" i="50"/>
  <c r="E23" i="50"/>
  <c r="C24" i="50"/>
  <c r="C43" i="50"/>
  <c r="C27" i="50"/>
  <c r="C29" i="50"/>
  <c r="C260" i="45"/>
  <c r="E38" i="50"/>
  <c r="E26" i="50"/>
  <c r="E65" i="50"/>
  <c r="C251" i="45"/>
  <c r="K10" i="45"/>
  <c r="C66" i="45" s="1"/>
  <c r="M66" i="45" s="1"/>
  <c r="C247" i="45"/>
  <c r="E63" i="50"/>
  <c r="E67" i="50"/>
  <c r="E25" i="50"/>
  <c r="E47" i="50"/>
  <c r="E62" i="50"/>
  <c r="E37" i="50"/>
  <c r="C71" i="50"/>
  <c r="C67" i="50"/>
  <c r="C57" i="50"/>
  <c r="C41" i="50"/>
  <c r="C56" i="50"/>
  <c r="C39" i="50"/>
  <c r="C30" i="50"/>
  <c r="I4" i="54"/>
  <c r="I29" i="52" s="1"/>
  <c r="N46" i="33" s="1"/>
  <c r="I10" i="45"/>
  <c r="D54" i="45" s="1"/>
  <c r="C270" i="45"/>
  <c r="C263" i="45"/>
  <c r="C232" i="45"/>
  <c r="E46" i="50"/>
  <c r="E50" i="50"/>
  <c r="E68" i="50"/>
  <c r="E70" i="50"/>
  <c r="E45" i="50"/>
  <c r="E66" i="50"/>
  <c r="C69" i="50"/>
  <c r="C58" i="50"/>
  <c r="C49" i="50"/>
  <c r="C64" i="50"/>
  <c r="C47" i="50"/>
  <c r="C37" i="50"/>
  <c r="F37" i="50" s="1"/>
  <c r="H37" i="50" s="1"/>
  <c r="C66" i="50"/>
  <c r="D32" i="45"/>
  <c r="C116" i="45" s="1"/>
  <c r="H10" i="45"/>
  <c r="C54" i="45" s="1"/>
  <c r="C254" i="45"/>
  <c r="C266" i="45"/>
  <c r="E29" i="50"/>
  <c r="E41" i="50"/>
  <c r="E55" i="50"/>
  <c r="E53" i="50"/>
  <c r="E27" i="50"/>
  <c r="E57" i="50"/>
  <c r="C60" i="50"/>
  <c r="C65" i="50"/>
  <c r="C72" i="50"/>
  <c r="C55" i="50"/>
  <c r="C45" i="50"/>
  <c r="C28" i="50"/>
  <c r="C237" i="45"/>
  <c r="C258" i="45"/>
  <c r="C268" i="45"/>
  <c r="C257" i="45"/>
  <c r="G45" i="28"/>
  <c r="H45" i="28" s="1"/>
  <c r="I45" i="28" s="1"/>
  <c r="J45" i="28" s="1"/>
  <c r="B49" i="28" s="1"/>
  <c r="J30" i="33" s="1"/>
  <c r="J7" i="33"/>
  <c r="C184" i="48"/>
  <c r="F76" i="63"/>
  <c r="X87" i="63" s="1"/>
  <c r="A4" i="55"/>
  <c r="B4" i="55" s="1"/>
  <c r="C4" i="55" s="1"/>
  <c r="P7" i="6"/>
  <c r="P8" i="6"/>
  <c r="P5" i="6"/>
  <c r="J15" i="45"/>
  <c r="D57" i="45" s="1"/>
  <c r="I15" i="45"/>
  <c r="C57" i="45" s="1"/>
  <c r="K15" i="45"/>
  <c r="E57" i="45" s="1"/>
  <c r="H15" i="45"/>
  <c r="B57" i="45" s="1"/>
  <c r="L15" i="45"/>
  <c r="F57" i="45" s="1"/>
  <c r="D36" i="50"/>
  <c r="D45" i="50"/>
  <c r="D34" i="50"/>
  <c r="D43" i="50"/>
  <c r="D60" i="50"/>
  <c r="D40" i="50"/>
  <c r="D23" i="50"/>
  <c r="D58" i="50"/>
  <c r="D50" i="50"/>
  <c r="D24" i="50"/>
  <c r="D46" i="50"/>
  <c r="D47" i="50"/>
  <c r="D33" i="50"/>
  <c r="D52" i="50"/>
  <c r="D38" i="50"/>
  <c r="D25" i="50"/>
  <c r="D30" i="50"/>
  <c r="D71" i="50"/>
  <c r="C238" i="45"/>
  <c r="C252" i="45"/>
  <c r="C235" i="45"/>
  <c r="C250" i="45"/>
  <c r="F154" i="28"/>
  <c r="I4" i="51"/>
  <c r="I19" i="52" s="1"/>
  <c r="C272" i="45"/>
  <c r="C269" i="45"/>
  <c r="C244" i="45"/>
  <c r="C227" i="45"/>
  <c r="C262" i="45"/>
  <c r="C242" i="45"/>
  <c r="C233" i="45"/>
  <c r="D33" i="45"/>
  <c r="F52" i="45" s="1"/>
  <c r="C239" i="45"/>
  <c r="C241" i="45"/>
  <c r="C271" i="45"/>
  <c r="C253" i="45"/>
  <c r="C236" i="45"/>
  <c r="C264" i="45"/>
  <c r="C246" i="45"/>
  <c r="C234" i="45"/>
  <c r="C225" i="45"/>
  <c r="F50" i="45"/>
  <c r="C255" i="45"/>
  <c r="C245" i="45"/>
  <c r="C228" i="45"/>
  <c r="C256" i="45"/>
  <c r="C230" i="45"/>
  <c r="C226" i="45"/>
  <c r="C267" i="45"/>
  <c r="C248" i="45"/>
  <c r="C261" i="45"/>
  <c r="C273" i="45"/>
  <c r="J10" i="45"/>
  <c r="E54" i="45" s="1"/>
  <c r="G10" i="45"/>
  <c r="B54" i="45" s="1"/>
  <c r="C231" i="45"/>
  <c r="C229" i="45"/>
  <c r="C259" i="45"/>
  <c r="C240" i="45"/>
  <c r="C274" i="45"/>
  <c r="D57" i="50"/>
  <c r="D29" i="50"/>
  <c r="D41" i="50"/>
  <c r="D53" i="50"/>
  <c r="H4" i="54"/>
  <c r="H29" i="52" s="1"/>
  <c r="M46" i="33" s="1"/>
  <c r="D28" i="50"/>
  <c r="D44" i="50"/>
  <c r="D35" i="50"/>
  <c r="D72" i="50"/>
  <c r="D51" i="50"/>
  <c r="D48" i="50"/>
  <c r="D65" i="50"/>
  <c r="D54" i="50"/>
  <c r="D31" i="50"/>
  <c r="D26" i="50"/>
  <c r="D64" i="50"/>
  <c r="I12" i="50"/>
  <c r="D59" i="50"/>
  <c r="D70" i="50"/>
  <c r="D68" i="50"/>
  <c r="D67" i="50"/>
  <c r="D42" i="50"/>
  <c r="D32" i="50"/>
  <c r="D61" i="50"/>
  <c r="D66" i="50"/>
  <c r="D55" i="50"/>
  <c r="D49" i="50"/>
  <c r="D56" i="50"/>
  <c r="D39" i="50"/>
  <c r="D69" i="50"/>
  <c r="D27" i="50"/>
  <c r="D63" i="50"/>
  <c r="P76" i="50"/>
  <c r="K42" i="54" s="1"/>
  <c r="Y85" i="63"/>
  <c r="Y94" i="63"/>
  <c r="Y81" i="63"/>
  <c r="R79" i="48"/>
  <c r="Y90" i="63"/>
  <c r="G69" i="49"/>
  <c r="L92" i="63"/>
  <c r="Y92" i="63" s="1"/>
  <c r="Y83" i="63"/>
  <c r="L86" i="63"/>
  <c r="L95" i="63" s="1"/>
  <c r="H171" i="28"/>
  <c r="N14" i="33" s="1"/>
  <c r="X14" i="33" s="1"/>
  <c r="L84" i="63"/>
  <c r="L93" i="63" s="1"/>
  <c r="L82" i="63"/>
  <c r="L91" i="63" s="1"/>
  <c r="L80" i="63"/>
  <c r="L89" i="63" s="1"/>
  <c r="Y96" i="63"/>
  <c r="Y87" i="63"/>
  <c r="C90" i="37"/>
  <c r="Y90" i="37" s="1"/>
  <c r="Y81" i="37"/>
  <c r="C94" i="37"/>
  <c r="Y94" i="37" s="1"/>
  <c r="Y85" i="37"/>
  <c r="C95" i="37"/>
  <c r="Y95" i="37" s="1"/>
  <c r="Y86" i="37"/>
  <c r="C93" i="37"/>
  <c r="Y93" i="37" s="1"/>
  <c r="Y84" i="37"/>
  <c r="C92" i="37"/>
  <c r="Y92" i="37" s="1"/>
  <c r="Y83" i="37"/>
  <c r="C91" i="37"/>
  <c r="Y82" i="37"/>
  <c r="K14" i="56"/>
  <c r="F52" i="49"/>
  <c r="F48" i="49"/>
  <c r="F39" i="49"/>
  <c r="F34" i="49"/>
  <c r="F24" i="49"/>
  <c r="F18" i="49"/>
  <c r="F51" i="49"/>
  <c r="F16" i="49"/>
  <c r="F60" i="49"/>
  <c r="F58" i="49"/>
  <c r="F65" i="49"/>
  <c r="F32" i="49"/>
  <c r="F43" i="49"/>
  <c r="F62" i="49"/>
  <c r="F61" i="49"/>
  <c r="F56" i="49"/>
  <c r="F23" i="49"/>
  <c r="C91" i="63"/>
  <c r="C93" i="63"/>
  <c r="C89" i="63"/>
  <c r="C95" i="63"/>
  <c r="F63" i="49"/>
  <c r="F254" i="28"/>
  <c r="G254" i="28" s="1"/>
  <c r="B22" i="43"/>
  <c r="C96" i="37"/>
  <c r="Y96" i="37" s="1"/>
  <c r="D254" i="28"/>
  <c r="I254" i="28"/>
  <c r="K12" i="51"/>
  <c r="F50" i="49"/>
  <c r="F22" i="49"/>
  <c r="F42" i="49"/>
  <c r="F30" i="49"/>
  <c r="F17" i="49"/>
  <c r="F57" i="49"/>
  <c r="F45" i="49"/>
  <c r="F41" i="49"/>
  <c r="F47" i="49"/>
  <c r="F28" i="49"/>
  <c r="F46" i="49"/>
  <c r="F36" i="49"/>
  <c r="F20" i="49"/>
  <c r="F55" i="49"/>
  <c r="F26" i="49"/>
  <c r="F37" i="49"/>
  <c r="F19" i="49"/>
  <c r="F59" i="49"/>
  <c r="F49" i="49"/>
  <c r="F35" i="49"/>
  <c r="F64" i="49"/>
  <c r="F29" i="49"/>
  <c r="F27" i="49"/>
  <c r="F54" i="49"/>
  <c r="F53" i="49"/>
  <c r="F33" i="49"/>
  <c r="F25" i="49"/>
  <c r="F21" i="49"/>
  <c r="F38" i="49"/>
  <c r="J37" i="45"/>
  <c r="D55" i="45" s="1"/>
  <c r="I37" i="45"/>
  <c r="C55" i="45" s="1"/>
  <c r="H37" i="45"/>
  <c r="B55" i="45" s="1"/>
  <c r="L37" i="45"/>
  <c r="K37" i="45"/>
  <c r="E55" i="45" s="1"/>
  <c r="F40" i="49"/>
  <c r="F31" i="49"/>
  <c r="F44" i="49"/>
  <c r="L112" i="28"/>
  <c r="L115" i="28" s="1"/>
  <c r="B220" i="28"/>
  <c r="B5" i="60"/>
  <c r="B22" i="58"/>
  <c r="B11" i="58"/>
  <c r="A9" i="55"/>
  <c r="B9" i="55" s="1"/>
  <c r="C9" i="55" s="1"/>
  <c r="B11" i="43"/>
  <c r="L31" i="33"/>
  <c r="G140" i="28"/>
  <c r="L91" i="37"/>
  <c r="L89" i="37"/>
  <c r="J112" i="28"/>
  <c r="K112" i="28" s="1"/>
  <c r="G112" i="28"/>
  <c r="H112" i="28" s="1"/>
  <c r="E76" i="37"/>
  <c r="B263" i="28" s="1"/>
  <c r="F76" i="37"/>
  <c r="X81" i="37" s="1"/>
  <c r="C23" i="42" s="1"/>
  <c r="W14" i="33"/>
  <c r="C89" i="37"/>
  <c r="G111" i="28"/>
  <c r="H111" i="28" s="1"/>
  <c r="J111" i="28"/>
  <c r="K111" i="28" s="1"/>
  <c r="F102" i="45" l="1"/>
  <c r="P102" i="45" s="1"/>
  <c r="K6" i="56"/>
  <c r="L61" i="52"/>
  <c r="Q54" i="33" s="1"/>
  <c r="F73" i="45"/>
  <c r="P73" i="45" s="1"/>
  <c r="F82" i="45"/>
  <c r="P82" i="45" s="1"/>
  <c r="F62" i="45"/>
  <c r="P62" i="45" s="1"/>
  <c r="F23" i="50"/>
  <c r="H23" i="50" s="1"/>
  <c r="F96" i="45"/>
  <c r="P96" i="45" s="1"/>
  <c r="F87" i="45"/>
  <c r="P87" i="45" s="1"/>
  <c r="E90" i="45"/>
  <c r="O90" i="45" s="1"/>
  <c r="F106" i="45"/>
  <c r="P106" i="45" s="1"/>
  <c r="E77" i="45"/>
  <c r="O77" i="45" s="1"/>
  <c r="F94" i="45"/>
  <c r="P94" i="45" s="1"/>
  <c r="F80" i="45"/>
  <c r="P80" i="45" s="1"/>
  <c r="F100" i="45"/>
  <c r="P100" i="45" s="1"/>
  <c r="F88" i="45"/>
  <c r="P88" i="45" s="1"/>
  <c r="F66" i="45"/>
  <c r="P66" i="45" s="1"/>
  <c r="F97" i="45"/>
  <c r="P97" i="45" s="1"/>
  <c r="F105" i="45"/>
  <c r="P105" i="45" s="1"/>
  <c r="F111" i="45"/>
  <c r="P111" i="45" s="1"/>
  <c r="F99" i="45"/>
  <c r="P99" i="45" s="1"/>
  <c r="C130" i="45"/>
  <c r="C323" i="45"/>
  <c r="D323" i="45" s="1"/>
  <c r="C303" i="45"/>
  <c r="D303" i="45" s="1"/>
  <c r="F24" i="50"/>
  <c r="H24" i="50" s="1"/>
  <c r="C309" i="45"/>
  <c r="D309" i="45" s="1"/>
  <c r="C155" i="45"/>
  <c r="C299" i="45"/>
  <c r="D299" i="45" s="1"/>
  <c r="C164" i="45"/>
  <c r="F64" i="50"/>
  <c r="H64" i="50" s="1"/>
  <c r="F36" i="50"/>
  <c r="H36" i="50" s="1"/>
  <c r="F31" i="50"/>
  <c r="H31" i="50" s="1"/>
  <c r="F51" i="50"/>
  <c r="H51" i="50" s="1"/>
  <c r="F22" i="50"/>
  <c r="H22" i="50" s="1"/>
  <c r="G152" i="28"/>
  <c r="D52" i="28" s="1"/>
  <c r="F34" i="50"/>
  <c r="H34" i="50" s="1"/>
  <c r="F49" i="50"/>
  <c r="H49" i="50" s="1"/>
  <c r="F52" i="50"/>
  <c r="H52" i="50" s="1"/>
  <c r="F40" i="50"/>
  <c r="H40" i="50" s="1"/>
  <c r="K14" i="51"/>
  <c r="L14" i="52"/>
  <c r="K13" i="51"/>
  <c r="L13" i="52"/>
  <c r="Q40" i="33" s="1"/>
  <c r="F54" i="50"/>
  <c r="H54" i="50" s="1"/>
  <c r="F25" i="50"/>
  <c r="H25" i="50" s="1"/>
  <c r="F56" i="50"/>
  <c r="H56" i="50" s="1"/>
  <c r="F30" i="50"/>
  <c r="H30" i="50" s="1"/>
  <c r="C286" i="45"/>
  <c r="D286" i="45" s="1"/>
  <c r="C280" i="45"/>
  <c r="D280" i="45" s="1"/>
  <c r="F280" i="45" s="1"/>
  <c r="E343" i="45"/>
  <c r="O343" i="45" s="1"/>
  <c r="G68" i="45"/>
  <c r="Q68" i="45" s="1"/>
  <c r="E376" i="45"/>
  <c r="O376" i="45" s="1"/>
  <c r="G70" i="45"/>
  <c r="Q70" i="45" s="1"/>
  <c r="E364" i="45"/>
  <c r="O364" i="45" s="1"/>
  <c r="C80" i="45"/>
  <c r="M80" i="45" s="1"/>
  <c r="E362" i="45"/>
  <c r="O362" i="45" s="1"/>
  <c r="C65" i="45"/>
  <c r="M65" i="45" s="1"/>
  <c r="C83" i="45"/>
  <c r="M83" i="45" s="1"/>
  <c r="C107" i="45"/>
  <c r="M107" i="45" s="1"/>
  <c r="G106" i="45"/>
  <c r="Q106" i="45" s="1"/>
  <c r="F54" i="45"/>
  <c r="C62" i="45"/>
  <c r="M62" i="45" s="1"/>
  <c r="G76" i="45"/>
  <c r="Q76" i="45" s="1"/>
  <c r="C137" i="45"/>
  <c r="C128" i="45"/>
  <c r="C322" i="45"/>
  <c r="D322" i="45" s="1"/>
  <c r="C162" i="45"/>
  <c r="E334" i="45"/>
  <c r="O334" i="45" s="1"/>
  <c r="G107" i="45"/>
  <c r="Q107" i="45" s="1"/>
  <c r="C320" i="45"/>
  <c r="D320" i="45" s="1"/>
  <c r="C308" i="45"/>
  <c r="D308" i="45" s="1"/>
  <c r="C296" i="45"/>
  <c r="D296" i="45" s="1"/>
  <c r="C160" i="45"/>
  <c r="C135" i="45"/>
  <c r="C118" i="45"/>
  <c r="I12" i="54"/>
  <c r="I36" i="52" s="1"/>
  <c r="E380" i="45"/>
  <c r="O380" i="45" s="1"/>
  <c r="E339" i="45"/>
  <c r="O339" i="45" s="1"/>
  <c r="F71" i="45"/>
  <c r="P71" i="45" s="1"/>
  <c r="F83" i="45"/>
  <c r="P83" i="45" s="1"/>
  <c r="F79" i="45"/>
  <c r="P79" i="45" s="1"/>
  <c r="E66" i="45"/>
  <c r="O66" i="45" s="1"/>
  <c r="G98" i="45"/>
  <c r="Q98" i="45" s="1"/>
  <c r="G105" i="45"/>
  <c r="Q105" i="45" s="1"/>
  <c r="C101" i="45"/>
  <c r="M101" i="45" s="1"/>
  <c r="C73" i="45"/>
  <c r="M73" i="45" s="1"/>
  <c r="C325" i="45"/>
  <c r="D325" i="45" s="1"/>
  <c r="C328" i="45"/>
  <c r="D328" i="45" s="1"/>
  <c r="C311" i="45"/>
  <c r="D311" i="45" s="1"/>
  <c r="C306" i="45"/>
  <c r="D306" i="45" s="1"/>
  <c r="C287" i="45"/>
  <c r="D287" i="45" s="1"/>
  <c r="F33" i="50"/>
  <c r="H33" i="50" s="1"/>
  <c r="C136" i="45"/>
  <c r="C145" i="45"/>
  <c r="E335" i="45"/>
  <c r="O335" i="45" s="1"/>
  <c r="C72" i="45"/>
  <c r="M72" i="45" s="1"/>
  <c r="C126" i="45"/>
  <c r="C110" i="45"/>
  <c r="M110" i="45" s="1"/>
  <c r="F61" i="50"/>
  <c r="H61" i="50" s="1"/>
  <c r="C326" i="45"/>
  <c r="D326" i="45" s="1"/>
  <c r="C68" i="45"/>
  <c r="M68" i="45" s="1"/>
  <c r="C117" i="45"/>
  <c r="E363" i="45"/>
  <c r="O363" i="45" s="1"/>
  <c r="E103" i="45"/>
  <c r="O103" i="45" s="1"/>
  <c r="C90" i="45"/>
  <c r="M90" i="45" s="1"/>
  <c r="C291" i="45"/>
  <c r="D291" i="45" s="1"/>
  <c r="C310" i="45"/>
  <c r="D310" i="45" s="1"/>
  <c r="E45" i="45"/>
  <c r="K56" i="51" s="1"/>
  <c r="C141" i="45"/>
  <c r="C124" i="45"/>
  <c r="C150" i="45"/>
  <c r="E338" i="45"/>
  <c r="O338" i="45" s="1"/>
  <c r="E344" i="45"/>
  <c r="O344" i="45" s="1"/>
  <c r="E367" i="45"/>
  <c r="O367" i="45" s="1"/>
  <c r="F98" i="45"/>
  <c r="P98" i="45" s="1"/>
  <c r="F74" i="45"/>
  <c r="P74" i="45" s="1"/>
  <c r="F109" i="45"/>
  <c r="P109" i="45" s="1"/>
  <c r="G63" i="45"/>
  <c r="Q63" i="45" s="1"/>
  <c r="G89" i="45"/>
  <c r="Q89" i="45" s="1"/>
  <c r="G77" i="45"/>
  <c r="Q77" i="45" s="1"/>
  <c r="C75" i="45"/>
  <c r="M75" i="45" s="1"/>
  <c r="I22" i="51"/>
  <c r="I20" i="52" s="1"/>
  <c r="B24" i="51"/>
  <c r="K21" i="52" s="1"/>
  <c r="C288" i="45"/>
  <c r="D288" i="45" s="1"/>
  <c r="C329" i="45"/>
  <c r="D329" i="45" s="1"/>
  <c r="F329" i="45" s="1"/>
  <c r="C315" i="45"/>
  <c r="D315" i="45" s="1"/>
  <c r="C304" i="45"/>
  <c r="D304" i="45" s="1"/>
  <c r="F304" i="45" s="1"/>
  <c r="I56" i="51"/>
  <c r="I24" i="52" s="1"/>
  <c r="C154" i="45"/>
  <c r="C282" i="45"/>
  <c r="D282" i="45" s="1"/>
  <c r="C302" i="45"/>
  <c r="D302" i="45" s="1"/>
  <c r="E86" i="45"/>
  <c r="O86" i="45" s="1"/>
  <c r="G73" i="45"/>
  <c r="Q73" i="45" s="1"/>
  <c r="C281" i="45"/>
  <c r="D281" i="45" s="1"/>
  <c r="C143" i="45"/>
  <c r="E357" i="45"/>
  <c r="O357" i="45" s="1"/>
  <c r="E377" i="45"/>
  <c r="O377" i="45" s="1"/>
  <c r="G109" i="45"/>
  <c r="Q109" i="45" s="1"/>
  <c r="G69" i="45"/>
  <c r="Q69" i="45" s="1"/>
  <c r="C330" i="45"/>
  <c r="D330" i="45" s="1"/>
  <c r="C305" i="45"/>
  <c r="D305" i="45" s="1"/>
  <c r="F35" i="50"/>
  <c r="H35" i="50" s="1"/>
  <c r="C123" i="45"/>
  <c r="C149" i="45"/>
  <c r="C132" i="45"/>
  <c r="C158" i="45"/>
  <c r="E361" i="45"/>
  <c r="O361" i="45" s="1"/>
  <c r="E355" i="45"/>
  <c r="O355" i="45" s="1"/>
  <c r="F85" i="45"/>
  <c r="P85" i="45" s="1"/>
  <c r="F101" i="45"/>
  <c r="P101" i="45" s="1"/>
  <c r="F69" i="45"/>
  <c r="P69" i="45" s="1"/>
  <c r="F68" i="45"/>
  <c r="P68" i="45" s="1"/>
  <c r="G67" i="45"/>
  <c r="Q67" i="45" s="1"/>
  <c r="G111" i="45"/>
  <c r="Q111" i="45" s="1"/>
  <c r="G101" i="45"/>
  <c r="Q101" i="45" s="1"/>
  <c r="C102" i="45"/>
  <c r="M102" i="45" s="1"/>
  <c r="C292" i="45"/>
  <c r="D292" i="45" s="1"/>
  <c r="C317" i="45"/>
  <c r="D317" i="45" s="1"/>
  <c r="C319" i="45"/>
  <c r="D319" i="45" s="1"/>
  <c r="C314" i="45"/>
  <c r="D314" i="45" s="1"/>
  <c r="C294" i="45"/>
  <c r="D294" i="45" s="1"/>
  <c r="F53" i="45"/>
  <c r="F42" i="50"/>
  <c r="H42" i="50" s="1"/>
  <c r="C297" i="45"/>
  <c r="D297" i="45" s="1"/>
  <c r="C147" i="45"/>
  <c r="C122" i="45"/>
  <c r="C156" i="45"/>
  <c r="E384" i="45"/>
  <c r="O384" i="45" s="1"/>
  <c r="E370" i="45"/>
  <c r="O370" i="45" s="1"/>
  <c r="G112" i="45"/>
  <c r="Q112" i="45" s="1"/>
  <c r="G93" i="45"/>
  <c r="Q93" i="45" s="1"/>
  <c r="C111" i="45"/>
  <c r="M111" i="45" s="1"/>
  <c r="C94" i="45"/>
  <c r="M94" i="45" s="1"/>
  <c r="C84" i="45"/>
  <c r="M84" i="45" s="1"/>
  <c r="C289" i="45"/>
  <c r="D289" i="45" s="1"/>
  <c r="C301" i="45"/>
  <c r="D301" i="45" s="1"/>
  <c r="C324" i="45"/>
  <c r="D324" i="45" s="1"/>
  <c r="C313" i="45"/>
  <c r="D313" i="45" s="1"/>
  <c r="C300" i="45"/>
  <c r="D300" i="45" s="1"/>
  <c r="F38" i="50"/>
  <c r="H38" i="50" s="1"/>
  <c r="F71" i="50"/>
  <c r="H71" i="50" s="1"/>
  <c r="F43" i="50"/>
  <c r="H43" i="50" s="1"/>
  <c r="B12" i="54"/>
  <c r="B36" i="52" s="1"/>
  <c r="F47" i="50"/>
  <c r="H47" i="50" s="1"/>
  <c r="F62" i="50"/>
  <c r="H62" i="50" s="1"/>
  <c r="E346" i="45"/>
  <c r="O346" i="45" s="1"/>
  <c r="E351" i="45"/>
  <c r="O351" i="45" s="1"/>
  <c r="E341" i="45"/>
  <c r="O341" i="45" s="1"/>
  <c r="E378" i="45"/>
  <c r="O378" i="45" s="1"/>
  <c r="E336" i="45"/>
  <c r="O336" i="45" s="1"/>
  <c r="E375" i="45"/>
  <c r="O375" i="45" s="1"/>
  <c r="E358" i="45"/>
  <c r="O358" i="45" s="1"/>
  <c r="E85" i="45"/>
  <c r="O85" i="45" s="1"/>
  <c r="G88" i="45"/>
  <c r="Q88" i="45" s="1"/>
  <c r="G92" i="45"/>
  <c r="Q92" i="45" s="1"/>
  <c r="G103" i="45"/>
  <c r="Q103" i="45" s="1"/>
  <c r="G95" i="45"/>
  <c r="Q95" i="45" s="1"/>
  <c r="G87" i="45"/>
  <c r="Q87" i="45" s="1"/>
  <c r="G79" i="45"/>
  <c r="Q79" i="45" s="1"/>
  <c r="G85" i="45"/>
  <c r="Q85" i="45" s="1"/>
  <c r="C100" i="45"/>
  <c r="M100" i="45" s="1"/>
  <c r="C82" i="45"/>
  <c r="M82" i="45" s="1"/>
  <c r="C112" i="45"/>
  <c r="M112" i="45" s="1"/>
  <c r="C85" i="45"/>
  <c r="M85" i="45" s="1"/>
  <c r="C104" i="45"/>
  <c r="M104" i="45" s="1"/>
  <c r="C97" i="45"/>
  <c r="M97" i="45" s="1"/>
  <c r="F63" i="50"/>
  <c r="H63" i="50" s="1"/>
  <c r="E369" i="45"/>
  <c r="O369" i="45" s="1"/>
  <c r="E371" i="45"/>
  <c r="O371" i="45" s="1"/>
  <c r="E383" i="45"/>
  <c r="O383" i="45" s="1"/>
  <c r="E366" i="45"/>
  <c r="O366" i="45" s="1"/>
  <c r="E365" i="45"/>
  <c r="O365" i="45" s="1"/>
  <c r="E89" i="45"/>
  <c r="O89" i="45" s="1"/>
  <c r="G84" i="45"/>
  <c r="Q84" i="45" s="1"/>
  <c r="G64" i="45"/>
  <c r="Q64" i="45" s="1"/>
  <c r="G80" i="45"/>
  <c r="Q80" i="45" s="1"/>
  <c r="G72" i="45"/>
  <c r="Q72" i="45" s="1"/>
  <c r="G110" i="45"/>
  <c r="Q110" i="45" s="1"/>
  <c r="G102" i="45"/>
  <c r="Q102" i="45" s="1"/>
  <c r="G71" i="45"/>
  <c r="Q71" i="45" s="1"/>
  <c r="C92" i="45"/>
  <c r="M92" i="45" s="1"/>
  <c r="C63" i="45"/>
  <c r="M63" i="45" s="1"/>
  <c r="C64" i="45"/>
  <c r="M64" i="45" s="1"/>
  <c r="C74" i="45"/>
  <c r="M74" i="45" s="1"/>
  <c r="C98" i="45"/>
  <c r="M98" i="45" s="1"/>
  <c r="C86" i="45"/>
  <c r="M86" i="45" s="1"/>
  <c r="X81" i="63"/>
  <c r="X90" i="63" s="1"/>
  <c r="F28" i="50"/>
  <c r="H28" i="50" s="1"/>
  <c r="E342" i="45"/>
  <c r="O342" i="45" s="1"/>
  <c r="E359" i="45"/>
  <c r="O359" i="45" s="1"/>
  <c r="E349" i="45"/>
  <c r="O349" i="45" s="1"/>
  <c r="E368" i="45"/>
  <c r="O368" i="45" s="1"/>
  <c r="E337" i="45"/>
  <c r="O337" i="45" s="1"/>
  <c r="E374" i="45"/>
  <c r="O374" i="45" s="1"/>
  <c r="E373" i="45"/>
  <c r="O373" i="45" s="1"/>
  <c r="E348" i="45"/>
  <c r="O348" i="45" s="1"/>
  <c r="E98" i="45"/>
  <c r="O98" i="45" s="1"/>
  <c r="G108" i="45"/>
  <c r="Q108" i="45" s="1"/>
  <c r="G104" i="45"/>
  <c r="Q104" i="45" s="1"/>
  <c r="G62" i="45"/>
  <c r="Q62" i="45" s="1"/>
  <c r="G99" i="45"/>
  <c r="Q99" i="45" s="1"/>
  <c r="G91" i="45"/>
  <c r="Q91" i="45" s="1"/>
  <c r="G83" i="45"/>
  <c r="Q83" i="45" s="1"/>
  <c r="G94" i="45"/>
  <c r="Q94" i="45" s="1"/>
  <c r="C103" i="45"/>
  <c r="M103" i="45" s="1"/>
  <c r="C77" i="45"/>
  <c r="M77" i="45" s="1"/>
  <c r="C106" i="45"/>
  <c r="M106" i="45" s="1"/>
  <c r="C69" i="45"/>
  <c r="M69" i="45" s="1"/>
  <c r="C76" i="45"/>
  <c r="M76" i="45" s="1"/>
  <c r="X85" i="63"/>
  <c r="B25" i="7" s="1"/>
  <c r="E352" i="45"/>
  <c r="O352" i="45" s="1"/>
  <c r="E350" i="45"/>
  <c r="O350" i="45" s="1"/>
  <c r="E379" i="45"/>
  <c r="O379" i="45" s="1"/>
  <c r="E345" i="45"/>
  <c r="O345" i="45" s="1"/>
  <c r="E382" i="45"/>
  <c r="O382" i="45" s="1"/>
  <c r="E381" i="45"/>
  <c r="O381" i="45" s="1"/>
  <c r="E356" i="45"/>
  <c r="O356" i="45" s="1"/>
  <c r="D12" i="54"/>
  <c r="D36" i="52" s="1"/>
  <c r="E97" i="45"/>
  <c r="O97" i="45" s="1"/>
  <c r="G65" i="45"/>
  <c r="Q65" i="45" s="1"/>
  <c r="G78" i="45"/>
  <c r="Q78" i="45" s="1"/>
  <c r="G90" i="45"/>
  <c r="Q90" i="45" s="1"/>
  <c r="G82" i="45"/>
  <c r="Q82" i="45" s="1"/>
  <c r="G74" i="45"/>
  <c r="Q74" i="45" s="1"/>
  <c r="G66" i="45"/>
  <c r="Q66" i="45" s="1"/>
  <c r="G75" i="45"/>
  <c r="Q75" i="45" s="1"/>
  <c r="C96" i="45"/>
  <c r="M96" i="45" s="1"/>
  <c r="C81" i="45"/>
  <c r="M81" i="45" s="1"/>
  <c r="C87" i="45"/>
  <c r="M87" i="45" s="1"/>
  <c r="C89" i="45"/>
  <c r="M89" i="45" s="1"/>
  <c r="C108" i="45"/>
  <c r="M108" i="45" s="1"/>
  <c r="F68" i="50"/>
  <c r="H68" i="50" s="1"/>
  <c r="F65" i="50"/>
  <c r="H65" i="50" s="1"/>
  <c r="F53" i="50"/>
  <c r="H53" i="50" s="1"/>
  <c r="E340" i="45"/>
  <c r="O340" i="45" s="1"/>
  <c r="E353" i="45"/>
  <c r="O353" i="45" s="1"/>
  <c r="E360" i="45"/>
  <c r="O360" i="45" s="1"/>
  <c r="E372" i="45"/>
  <c r="O372" i="45" s="1"/>
  <c r="E347" i="45"/>
  <c r="O347" i="45" s="1"/>
  <c r="E354" i="45"/>
  <c r="O354" i="45" s="1"/>
  <c r="E99" i="45"/>
  <c r="O99" i="45" s="1"/>
  <c r="G86" i="45"/>
  <c r="Q86" i="45" s="1"/>
  <c r="G96" i="45"/>
  <c r="Q96" i="45" s="1"/>
  <c r="G100" i="45"/>
  <c r="Q100" i="45" s="1"/>
  <c r="G81" i="45"/>
  <c r="Q81" i="45" s="1"/>
  <c r="G97" i="45"/>
  <c r="Q97" i="45" s="1"/>
  <c r="B22" i="51"/>
  <c r="B20" i="52" s="1"/>
  <c r="C88" i="45"/>
  <c r="M88" i="45" s="1"/>
  <c r="C109" i="45"/>
  <c r="M109" i="45" s="1"/>
  <c r="C105" i="45"/>
  <c r="M105" i="45" s="1"/>
  <c r="C70" i="45"/>
  <c r="M70" i="45" s="1"/>
  <c r="C71" i="45"/>
  <c r="M71" i="45" s="1"/>
  <c r="C95" i="45"/>
  <c r="M95" i="45" s="1"/>
  <c r="F59" i="50"/>
  <c r="H59" i="50" s="1"/>
  <c r="F45" i="50"/>
  <c r="H45" i="50" s="1"/>
  <c r="F50" i="50"/>
  <c r="H50" i="50" s="1"/>
  <c r="E100" i="45"/>
  <c r="O100" i="45" s="1"/>
  <c r="E70" i="45"/>
  <c r="O70" i="45" s="1"/>
  <c r="C79" i="45"/>
  <c r="M79" i="45" s="1"/>
  <c r="C99" i="45"/>
  <c r="M99" i="45" s="1"/>
  <c r="C91" i="45"/>
  <c r="M91" i="45" s="1"/>
  <c r="C293" i="45"/>
  <c r="D293" i="45" s="1"/>
  <c r="C327" i="45"/>
  <c r="D327" i="45" s="1"/>
  <c r="C318" i="45"/>
  <c r="D318" i="45" s="1"/>
  <c r="C316" i="45"/>
  <c r="D316" i="45" s="1"/>
  <c r="F316" i="45" s="1"/>
  <c r="C307" i="45"/>
  <c r="D307" i="45" s="1"/>
  <c r="C298" i="45"/>
  <c r="D298" i="45" s="1"/>
  <c r="X83" i="63"/>
  <c r="X92" i="63" s="1"/>
  <c r="F32" i="50"/>
  <c r="H32" i="50" s="1"/>
  <c r="F26" i="50"/>
  <c r="H26" i="50" s="1"/>
  <c r="F44" i="50"/>
  <c r="H44" i="50" s="1"/>
  <c r="F46" i="50"/>
  <c r="H46" i="50" s="1"/>
  <c r="E112" i="45"/>
  <c r="O112" i="45" s="1"/>
  <c r="E91" i="45"/>
  <c r="O91" i="45" s="1"/>
  <c r="C93" i="45"/>
  <c r="M93" i="45" s="1"/>
  <c r="C78" i="45"/>
  <c r="M78" i="45" s="1"/>
  <c r="C67" i="45"/>
  <c r="M67" i="45" s="1"/>
  <c r="C284" i="45"/>
  <c r="D284" i="45" s="1"/>
  <c r="C285" i="45"/>
  <c r="D285" i="45" s="1"/>
  <c r="F285" i="45" s="1"/>
  <c r="C290" i="45"/>
  <c r="D290" i="45" s="1"/>
  <c r="C321" i="45"/>
  <c r="D321" i="45" s="1"/>
  <c r="C312" i="45"/>
  <c r="D312" i="45" s="1"/>
  <c r="C295" i="45"/>
  <c r="D295" i="45" s="1"/>
  <c r="F58" i="50"/>
  <c r="H58" i="50" s="1"/>
  <c r="F48" i="50"/>
  <c r="H48" i="50" s="1"/>
  <c r="D69" i="45"/>
  <c r="N69" i="45" s="1"/>
  <c r="F72" i="50"/>
  <c r="H72" i="50" s="1"/>
  <c r="C139" i="45"/>
  <c r="C152" i="45"/>
  <c r="C165" i="45"/>
  <c r="C127" i="45"/>
  <c r="C148" i="45"/>
  <c r="C161" i="45"/>
  <c r="F84" i="45"/>
  <c r="P84" i="45" s="1"/>
  <c r="F77" i="45"/>
  <c r="P77" i="45" s="1"/>
  <c r="F104" i="45"/>
  <c r="P104" i="45" s="1"/>
  <c r="F91" i="45"/>
  <c r="P91" i="45" s="1"/>
  <c r="F89" i="45"/>
  <c r="P89" i="45" s="1"/>
  <c r="F64" i="45"/>
  <c r="P64" i="45" s="1"/>
  <c r="F55" i="50"/>
  <c r="H55" i="50" s="1"/>
  <c r="F29" i="50"/>
  <c r="H29" i="50" s="1"/>
  <c r="O45" i="28"/>
  <c r="P45" i="28" s="1"/>
  <c r="C163" i="45"/>
  <c r="C125" i="45"/>
  <c r="C138" i="45"/>
  <c r="C151" i="45"/>
  <c r="C121" i="45"/>
  <c r="C134" i="45"/>
  <c r="F112" i="45"/>
  <c r="P112" i="45" s="1"/>
  <c r="F63" i="45"/>
  <c r="P63" i="45" s="1"/>
  <c r="F86" i="45"/>
  <c r="P86" i="45" s="1"/>
  <c r="F70" i="45"/>
  <c r="P70" i="45" s="1"/>
  <c r="F67" i="45"/>
  <c r="P67" i="45" s="1"/>
  <c r="G22" i="51"/>
  <c r="G20" i="52" s="1"/>
  <c r="F107" i="45"/>
  <c r="P107" i="45" s="1"/>
  <c r="C120" i="45"/>
  <c r="C133" i="45"/>
  <c r="C146" i="45"/>
  <c r="C159" i="45"/>
  <c r="C129" i="45"/>
  <c r="C142" i="45"/>
  <c r="F103" i="45"/>
  <c r="P103" i="45" s="1"/>
  <c r="F78" i="45"/>
  <c r="P78" i="45" s="1"/>
  <c r="F90" i="45"/>
  <c r="P90" i="45" s="1"/>
  <c r="F75" i="45"/>
  <c r="P75" i="45" s="1"/>
  <c r="F72" i="45"/>
  <c r="P72" i="45" s="1"/>
  <c r="F65" i="45"/>
  <c r="P65" i="45" s="1"/>
  <c r="F95" i="45"/>
  <c r="P95" i="45" s="1"/>
  <c r="F69" i="50"/>
  <c r="H69" i="50" s="1"/>
  <c r="F39" i="50"/>
  <c r="H39" i="50" s="1"/>
  <c r="F67" i="50"/>
  <c r="H67" i="50" s="1"/>
  <c r="C131" i="45"/>
  <c r="C144" i="45"/>
  <c r="C157" i="45"/>
  <c r="C119" i="45"/>
  <c r="C140" i="45"/>
  <c r="C153" i="45"/>
  <c r="C166" i="45"/>
  <c r="F92" i="45"/>
  <c r="P92" i="45" s="1"/>
  <c r="F81" i="45"/>
  <c r="P81" i="45" s="1"/>
  <c r="F108" i="45"/>
  <c r="P108" i="45" s="1"/>
  <c r="F93" i="45"/>
  <c r="P93" i="45" s="1"/>
  <c r="F76" i="45"/>
  <c r="P76" i="45" s="1"/>
  <c r="F110" i="45"/>
  <c r="P110" i="45" s="1"/>
  <c r="D106" i="45"/>
  <c r="N106" i="45" s="1"/>
  <c r="F70" i="50"/>
  <c r="H70" i="50" s="1"/>
  <c r="F51" i="45"/>
  <c r="F66" i="50"/>
  <c r="H66" i="50" s="1"/>
  <c r="F57" i="50"/>
  <c r="H57" i="50" s="1"/>
  <c r="F60" i="50"/>
  <c r="H60" i="50" s="1"/>
  <c r="F27" i="50"/>
  <c r="H27" i="50" s="1"/>
  <c r="F41" i="50"/>
  <c r="H41" i="50" s="1"/>
  <c r="G12" i="54"/>
  <c r="G36" i="52" s="1"/>
  <c r="Q5" i="6"/>
  <c r="E123" i="42"/>
  <c r="E114" i="42"/>
  <c r="L16" i="33" s="1"/>
  <c r="E122" i="42"/>
  <c r="E113" i="42"/>
  <c r="E121" i="42"/>
  <c r="E112" i="42"/>
  <c r="E129" i="42"/>
  <c r="E120" i="42"/>
  <c r="E111" i="42"/>
  <c r="E124" i="42"/>
  <c r="E128" i="42"/>
  <c r="E119" i="42"/>
  <c r="E115" i="42"/>
  <c r="E127" i="42"/>
  <c r="E118" i="42"/>
  <c r="E125" i="42"/>
  <c r="E126" i="42"/>
  <c r="E117" i="42"/>
  <c r="E110" i="42"/>
  <c r="E116" i="42"/>
  <c r="F134" i="42"/>
  <c r="F133" i="42"/>
  <c r="F132" i="42"/>
  <c r="F135" i="42"/>
  <c r="F136" i="42"/>
  <c r="M16" i="33" s="1"/>
  <c r="F55" i="45"/>
  <c r="C171" i="45"/>
  <c r="M171" i="45" s="1"/>
  <c r="D64" i="45"/>
  <c r="N64" i="45" s="1"/>
  <c r="D62" i="45"/>
  <c r="N62" i="45" s="1"/>
  <c r="C263" i="28"/>
  <c r="D263" i="28" s="1"/>
  <c r="E12" i="54"/>
  <c r="E36" i="52" s="1"/>
  <c r="D100" i="45"/>
  <c r="N100" i="45" s="1"/>
  <c r="D74" i="45"/>
  <c r="N74" i="45" s="1"/>
  <c r="D107" i="45"/>
  <c r="N107" i="45" s="1"/>
  <c r="D104" i="45"/>
  <c r="N104" i="45" s="1"/>
  <c r="D101" i="45"/>
  <c r="N101" i="45" s="1"/>
  <c r="D108" i="45"/>
  <c r="N108" i="45" s="1"/>
  <c r="D65" i="45"/>
  <c r="N65" i="45" s="1"/>
  <c r="D103" i="45"/>
  <c r="N103" i="45" s="1"/>
  <c r="D96" i="45"/>
  <c r="N96" i="45" s="1"/>
  <c r="D76" i="45"/>
  <c r="N76" i="45" s="1"/>
  <c r="E96" i="45"/>
  <c r="O96" i="45" s="1"/>
  <c r="E82" i="45"/>
  <c r="O82" i="45" s="1"/>
  <c r="E108" i="45"/>
  <c r="O108" i="45" s="1"/>
  <c r="E81" i="45"/>
  <c r="O81" i="45" s="1"/>
  <c r="E107" i="45"/>
  <c r="O107" i="45" s="1"/>
  <c r="E102" i="45"/>
  <c r="O102" i="45" s="1"/>
  <c r="D22" i="51"/>
  <c r="D20" i="52" s="1"/>
  <c r="E62" i="45"/>
  <c r="O62" i="45" s="1"/>
  <c r="E92" i="45"/>
  <c r="O92" i="45" s="1"/>
  <c r="E63" i="45"/>
  <c r="O63" i="45" s="1"/>
  <c r="E64" i="45"/>
  <c r="O64" i="45" s="1"/>
  <c r="E109" i="45"/>
  <c r="O109" i="45" s="1"/>
  <c r="E95" i="45"/>
  <c r="O95" i="45" s="1"/>
  <c r="E87" i="45"/>
  <c r="O87" i="45" s="1"/>
  <c r="E71" i="45"/>
  <c r="O71" i="45" s="1"/>
  <c r="E72" i="45"/>
  <c r="O72" i="45" s="1"/>
  <c r="E88" i="45"/>
  <c r="O88" i="45" s="1"/>
  <c r="E105" i="45"/>
  <c r="O105" i="45" s="1"/>
  <c r="E83" i="45"/>
  <c r="O83" i="45" s="1"/>
  <c r="E75" i="45"/>
  <c r="O75" i="45" s="1"/>
  <c r="E79" i="45"/>
  <c r="O79" i="45" s="1"/>
  <c r="E78" i="45"/>
  <c r="O78" i="45" s="1"/>
  <c r="E69" i="45"/>
  <c r="O69" i="45" s="1"/>
  <c r="E73" i="45"/>
  <c r="O73" i="45" s="1"/>
  <c r="E67" i="45"/>
  <c r="O67" i="45" s="1"/>
  <c r="E104" i="45"/>
  <c r="O104" i="45" s="1"/>
  <c r="E68" i="45"/>
  <c r="O68" i="45" s="1"/>
  <c r="E93" i="45"/>
  <c r="O93" i="45" s="1"/>
  <c r="E101" i="45"/>
  <c r="O101" i="45" s="1"/>
  <c r="E76" i="45"/>
  <c r="O76" i="45" s="1"/>
  <c r="E110" i="45"/>
  <c r="O110" i="45" s="1"/>
  <c r="E94" i="45"/>
  <c r="O94" i="45" s="1"/>
  <c r="E80" i="45"/>
  <c r="O80" i="45" s="1"/>
  <c r="E106" i="45"/>
  <c r="O106" i="45" s="1"/>
  <c r="E74" i="45"/>
  <c r="O74" i="45" s="1"/>
  <c r="E84" i="45"/>
  <c r="O84" i="45" s="1"/>
  <c r="E111" i="45"/>
  <c r="O111" i="45" s="1"/>
  <c r="E65" i="45"/>
  <c r="O65" i="45" s="1"/>
  <c r="D142" i="45"/>
  <c r="D160" i="45"/>
  <c r="D135" i="45"/>
  <c r="D116" i="45"/>
  <c r="D150" i="45"/>
  <c r="D117" i="45"/>
  <c r="D143" i="45"/>
  <c r="D132" i="45"/>
  <c r="D166" i="45"/>
  <c r="D133" i="45"/>
  <c r="D159" i="45"/>
  <c r="D148" i="45"/>
  <c r="D123" i="45"/>
  <c r="D149" i="45"/>
  <c r="D121" i="45"/>
  <c r="D147" i="45"/>
  <c r="D122" i="45"/>
  <c r="D129" i="45"/>
  <c r="D155" i="45"/>
  <c r="D130" i="45"/>
  <c r="D145" i="45"/>
  <c r="D120" i="45"/>
  <c r="D146" i="45"/>
  <c r="D161" i="45"/>
  <c r="D136" i="45"/>
  <c r="D162" i="45"/>
  <c r="D124" i="45"/>
  <c r="D137" i="45"/>
  <c r="D158" i="45"/>
  <c r="D163" i="45"/>
  <c r="D125" i="45"/>
  <c r="D138" i="45"/>
  <c r="D151" i="45"/>
  <c r="D95" i="45"/>
  <c r="N95" i="45" s="1"/>
  <c r="D92" i="45"/>
  <c r="N92" i="45" s="1"/>
  <c r="D66" i="45"/>
  <c r="N66" i="45" s="1"/>
  <c r="D105" i="45"/>
  <c r="N105" i="45" s="1"/>
  <c r="D140" i="45"/>
  <c r="D153" i="45"/>
  <c r="D118" i="45"/>
  <c r="D128" i="45"/>
  <c r="D141" i="45"/>
  <c r="D154" i="45"/>
  <c r="D86" i="45"/>
  <c r="N86" i="45" s="1"/>
  <c r="D71" i="45"/>
  <c r="N71" i="45" s="1"/>
  <c r="D112" i="45"/>
  <c r="N112" i="45" s="1"/>
  <c r="D110" i="45"/>
  <c r="N110" i="45" s="1"/>
  <c r="D156" i="45"/>
  <c r="D126" i="45"/>
  <c r="D131" i="45"/>
  <c r="D144" i="45"/>
  <c r="D157" i="45"/>
  <c r="D119" i="45"/>
  <c r="D82" i="45"/>
  <c r="N82" i="45" s="1"/>
  <c r="D98" i="45"/>
  <c r="N98" i="45" s="1"/>
  <c r="D87" i="45"/>
  <c r="N87" i="45" s="1"/>
  <c r="B25" i="51"/>
  <c r="K22" i="52" s="1"/>
  <c r="K115" i="28"/>
  <c r="K90" i="42" s="1"/>
  <c r="D164" i="45"/>
  <c r="D134" i="45"/>
  <c r="D139" i="45"/>
  <c r="D152" i="45"/>
  <c r="D165" i="45"/>
  <c r="D127" i="45"/>
  <c r="D83" i="45"/>
  <c r="N83" i="45" s="1"/>
  <c r="D99" i="45"/>
  <c r="N99" i="45" s="1"/>
  <c r="D67" i="45"/>
  <c r="N67" i="45" s="1"/>
  <c r="D94" i="45"/>
  <c r="N94" i="45" s="1"/>
  <c r="D75" i="45"/>
  <c r="N75" i="45" s="1"/>
  <c r="D93" i="45"/>
  <c r="N93" i="45" s="1"/>
  <c r="C276" i="45"/>
  <c r="D72" i="45"/>
  <c r="N72" i="45" s="1"/>
  <c r="D89" i="45"/>
  <c r="N89" i="45" s="1"/>
  <c r="D70" i="45"/>
  <c r="N70" i="45" s="1"/>
  <c r="D91" i="45"/>
  <c r="N91" i="45" s="1"/>
  <c r="D78" i="45"/>
  <c r="N78" i="45" s="1"/>
  <c r="D63" i="45"/>
  <c r="N63" i="45" s="1"/>
  <c r="D68" i="45"/>
  <c r="N68" i="45" s="1"/>
  <c r="D85" i="45"/>
  <c r="N85" i="45" s="1"/>
  <c r="D102" i="45"/>
  <c r="N102" i="45" s="1"/>
  <c r="E22" i="51"/>
  <c r="E20" i="52" s="1"/>
  <c r="D109" i="45"/>
  <c r="N109" i="45" s="1"/>
  <c r="D77" i="45"/>
  <c r="N77" i="45" s="1"/>
  <c r="D79" i="45"/>
  <c r="N79" i="45" s="1"/>
  <c r="D84" i="45"/>
  <c r="N84" i="45" s="1"/>
  <c r="Y95" i="63"/>
  <c r="D81" i="45"/>
  <c r="N81" i="45" s="1"/>
  <c r="D88" i="45"/>
  <c r="N88" i="45" s="1"/>
  <c r="D73" i="45"/>
  <c r="N73" i="45" s="1"/>
  <c r="D90" i="45"/>
  <c r="N90" i="45" s="1"/>
  <c r="D111" i="45"/>
  <c r="N111" i="45" s="1"/>
  <c r="D80" i="45"/>
  <c r="N80" i="45" s="1"/>
  <c r="D97" i="45"/>
  <c r="N97" i="45" s="1"/>
  <c r="F250" i="28"/>
  <c r="G250" i="28" s="1"/>
  <c r="I250" i="28"/>
  <c r="Y84" i="63"/>
  <c r="Y80" i="63"/>
  <c r="Y91" i="63"/>
  <c r="Y82" i="63"/>
  <c r="Y89" i="63"/>
  <c r="Y86" i="63"/>
  <c r="Y93" i="63"/>
  <c r="Y91" i="37"/>
  <c r="Y89" i="37"/>
  <c r="R12" i="58"/>
  <c r="R11" i="58"/>
  <c r="C27" i="42"/>
  <c r="C88" i="42"/>
  <c r="X96" i="63"/>
  <c r="B27" i="7"/>
  <c r="G76" i="63"/>
  <c r="R22" i="58"/>
  <c r="R23" i="58"/>
  <c r="C73" i="28"/>
  <c r="D73" i="28" s="1"/>
  <c r="M73" i="28" s="1"/>
  <c r="N73" i="28" s="1"/>
  <c r="C69" i="28"/>
  <c r="D69" i="28" s="1"/>
  <c r="C62" i="28"/>
  <c r="C65" i="28"/>
  <c r="C64" i="28"/>
  <c r="C63" i="28"/>
  <c r="B10" i="60"/>
  <c r="Q11" i="60" s="1"/>
  <c r="S6" i="60"/>
  <c r="S132" i="42" s="1"/>
  <c r="U6" i="60"/>
  <c r="AA132" i="42" s="1"/>
  <c r="T6" i="60"/>
  <c r="R6" i="60"/>
  <c r="X132" i="42" s="1"/>
  <c r="Q6" i="60"/>
  <c r="T132" i="42" s="1"/>
  <c r="P6" i="60"/>
  <c r="U132" i="42" s="1"/>
  <c r="V6" i="60"/>
  <c r="Z132" i="42" s="1"/>
  <c r="W6" i="60"/>
  <c r="Y132" i="42" s="1"/>
  <c r="J23" i="43"/>
  <c r="I23" i="43"/>
  <c r="E23" i="43"/>
  <c r="H23" i="43"/>
  <c r="E22" i="43"/>
  <c r="L23" i="43"/>
  <c r="H22" i="43"/>
  <c r="F23" i="43"/>
  <c r="K22" i="43"/>
  <c r="F22" i="43"/>
  <c r="G23" i="43"/>
  <c r="G22" i="43"/>
  <c r="D22" i="43"/>
  <c r="J22" i="43"/>
  <c r="I22" i="43"/>
  <c r="D23" i="43"/>
  <c r="C23" i="43"/>
  <c r="C22" i="43"/>
  <c r="L22" i="43"/>
  <c r="K23" i="43"/>
  <c r="J254" i="28"/>
  <c r="C259" i="28" s="1"/>
  <c r="C250" i="28"/>
  <c r="D250" i="28" s="1"/>
  <c r="G335" i="45"/>
  <c r="Q335" i="45" s="1"/>
  <c r="G343" i="45"/>
  <c r="Q343" i="45" s="1"/>
  <c r="G351" i="45"/>
  <c r="Q351" i="45" s="1"/>
  <c r="G359" i="45"/>
  <c r="Q359" i="45" s="1"/>
  <c r="G367" i="45"/>
  <c r="Q367" i="45" s="1"/>
  <c r="G375" i="45"/>
  <c r="Q375" i="45" s="1"/>
  <c r="G383" i="45"/>
  <c r="Q383" i="45" s="1"/>
  <c r="G336" i="45"/>
  <c r="Q336" i="45" s="1"/>
  <c r="G344" i="45"/>
  <c r="Q344" i="45" s="1"/>
  <c r="G352" i="45"/>
  <c r="Q352" i="45" s="1"/>
  <c r="G360" i="45"/>
  <c r="Q360" i="45" s="1"/>
  <c r="G368" i="45"/>
  <c r="Q368" i="45" s="1"/>
  <c r="G376" i="45"/>
  <c r="Q376" i="45" s="1"/>
  <c r="G384" i="45"/>
  <c r="Q384" i="45" s="1"/>
  <c r="G372" i="45"/>
  <c r="Q372" i="45" s="1"/>
  <c r="G337" i="45"/>
  <c r="Q337" i="45" s="1"/>
  <c r="G345" i="45"/>
  <c r="Q345" i="45" s="1"/>
  <c r="G353" i="45"/>
  <c r="Q353" i="45" s="1"/>
  <c r="G361" i="45"/>
  <c r="Q361" i="45" s="1"/>
  <c r="G369" i="45"/>
  <c r="Q369" i="45" s="1"/>
  <c r="G377" i="45"/>
  <c r="Q377" i="45" s="1"/>
  <c r="G356" i="45"/>
  <c r="Q356" i="45" s="1"/>
  <c r="G338" i="45"/>
  <c r="Q338" i="45" s="1"/>
  <c r="G346" i="45"/>
  <c r="Q346" i="45" s="1"/>
  <c r="G354" i="45"/>
  <c r="Q354" i="45" s="1"/>
  <c r="G362" i="45"/>
  <c r="Q362" i="45" s="1"/>
  <c r="G370" i="45"/>
  <c r="Q370" i="45" s="1"/>
  <c r="G378" i="45"/>
  <c r="Q378" i="45" s="1"/>
  <c r="G340" i="45"/>
  <c r="Q340" i="45" s="1"/>
  <c r="G339" i="45"/>
  <c r="Q339" i="45" s="1"/>
  <c r="G347" i="45"/>
  <c r="Q347" i="45" s="1"/>
  <c r="G355" i="45"/>
  <c r="Q355" i="45" s="1"/>
  <c r="G363" i="45"/>
  <c r="Q363" i="45" s="1"/>
  <c r="G371" i="45"/>
  <c r="Q371" i="45" s="1"/>
  <c r="G379" i="45"/>
  <c r="Q379" i="45" s="1"/>
  <c r="G334" i="45"/>
  <c r="Q334" i="45" s="1"/>
  <c r="G348" i="45"/>
  <c r="Q348" i="45" s="1"/>
  <c r="G341" i="45"/>
  <c r="Q341" i="45" s="1"/>
  <c r="G349" i="45"/>
  <c r="Q349" i="45" s="1"/>
  <c r="G357" i="45"/>
  <c r="Q357" i="45" s="1"/>
  <c r="G365" i="45"/>
  <c r="Q365" i="45" s="1"/>
  <c r="G373" i="45"/>
  <c r="Q373" i="45" s="1"/>
  <c r="G381" i="45"/>
  <c r="Q381" i="45" s="1"/>
  <c r="G380" i="45"/>
  <c r="Q380" i="45" s="1"/>
  <c r="G342" i="45"/>
  <c r="Q342" i="45" s="1"/>
  <c r="G350" i="45"/>
  <c r="Q350" i="45" s="1"/>
  <c r="G358" i="45"/>
  <c r="Q358" i="45" s="1"/>
  <c r="G366" i="45"/>
  <c r="Q366" i="45" s="1"/>
  <c r="G374" i="45"/>
  <c r="Q374" i="45" s="1"/>
  <c r="G382" i="45"/>
  <c r="Q382" i="45" s="1"/>
  <c r="G364" i="45"/>
  <c r="Q364" i="45" s="1"/>
  <c r="F341" i="45"/>
  <c r="P341" i="45" s="1"/>
  <c r="F349" i="45"/>
  <c r="P349" i="45" s="1"/>
  <c r="F357" i="45"/>
  <c r="P357" i="45" s="1"/>
  <c r="F365" i="45"/>
  <c r="P365" i="45" s="1"/>
  <c r="F373" i="45"/>
  <c r="P373" i="45" s="1"/>
  <c r="F381" i="45"/>
  <c r="P381" i="45" s="1"/>
  <c r="F362" i="45"/>
  <c r="P362" i="45" s="1"/>
  <c r="F342" i="45"/>
  <c r="P342" i="45" s="1"/>
  <c r="F350" i="45"/>
  <c r="P350" i="45" s="1"/>
  <c r="F358" i="45"/>
  <c r="P358" i="45" s="1"/>
  <c r="F366" i="45"/>
  <c r="P366" i="45" s="1"/>
  <c r="F374" i="45"/>
  <c r="P374" i="45" s="1"/>
  <c r="F382" i="45"/>
  <c r="P382" i="45" s="1"/>
  <c r="F335" i="45"/>
  <c r="P335" i="45" s="1"/>
  <c r="F343" i="45"/>
  <c r="P343" i="45" s="1"/>
  <c r="F351" i="45"/>
  <c r="P351" i="45" s="1"/>
  <c r="F359" i="45"/>
  <c r="P359" i="45" s="1"/>
  <c r="F367" i="45"/>
  <c r="P367" i="45" s="1"/>
  <c r="F375" i="45"/>
  <c r="P375" i="45" s="1"/>
  <c r="F383" i="45"/>
  <c r="P383" i="45" s="1"/>
  <c r="F346" i="45"/>
  <c r="P346" i="45" s="1"/>
  <c r="F370" i="45"/>
  <c r="P370" i="45" s="1"/>
  <c r="F334" i="45"/>
  <c r="P334" i="45" s="1"/>
  <c r="F336" i="45"/>
  <c r="P336" i="45" s="1"/>
  <c r="F344" i="45"/>
  <c r="P344" i="45" s="1"/>
  <c r="F352" i="45"/>
  <c r="P352" i="45" s="1"/>
  <c r="F360" i="45"/>
  <c r="P360" i="45" s="1"/>
  <c r="F368" i="45"/>
  <c r="P368" i="45" s="1"/>
  <c r="F376" i="45"/>
  <c r="P376" i="45" s="1"/>
  <c r="F384" i="45"/>
  <c r="P384" i="45" s="1"/>
  <c r="F337" i="45"/>
  <c r="P337" i="45" s="1"/>
  <c r="F345" i="45"/>
  <c r="P345" i="45" s="1"/>
  <c r="F353" i="45"/>
  <c r="P353" i="45" s="1"/>
  <c r="F361" i="45"/>
  <c r="P361" i="45" s="1"/>
  <c r="F369" i="45"/>
  <c r="P369" i="45" s="1"/>
  <c r="F377" i="45"/>
  <c r="P377" i="45" s="1"/>
  <c r="F339" i="45"/>
  <c r="P339" i="45" s="1"/>
  <c r="F347" i="45"/>
  <c r="P347" i="45" s="1"/>
  <c r="F355" i="45"/>
  <c r="P355" i="45" s="1"/>
  <c r="F363" i="45"/>
  <c r="P363" i="45" s="1"/>
  <c r="F371" i="45"/>
  <c r="P371" i="45" s="1"/>
  <c r="F379" i="45"/>
  <c r="P379" i="45" s="1"/>
  <c r="F338" i="45"/>
  <c r="P338" i="45" s="1"/>
  <c r="F354" i="45"/>
  <c r="P354" i="45" s="1"/>
  <c r="F378" i="45"/>
  <c r="P378" i="45" s="1"/>
  <c r="F340" i="45"/>
  <c r="P340" i="45" s="1"/>
  <c r="F348" i="45"/>
  <c r="P348" i="45" s="1"/>
  <c r="F356" i="45"/>
  <c r="P356" i="45" s="1"/>
  <c r="F364" i="45"/>
  <c r="P364" i="45" s="1"/>
  <c r="F372" i="45"/>
  <c r="P372" i="45" s="1"/>
  <c r="F380" i="45"/>
  <c r="P380" i="45" s="1"/>
  <c r="C335" i="45"/>
  <c r="M335" i="45" s="1"/>
  <c r="C343" i="45"/>
  <c r="M343" i="45" s="1"/>
  <c r="C351" i="45"/>
  <c r="M351" i="45" s="1"/>
  <c r="C359" i="45"/>
  <c r="M359" i="45" s="1"/>
  <c r="C367" i="45"/>
  <c r="M367" i="45" s="1"/>
  <c r="C375" i="45"/>
  <c r="M375" i="45" s="1"/>
  <c r="C383" i="45"/>
  <c r="M383" i="45" s="1"/>
  <c r="C336" i="45"/>
  <c r="M336" i="45" s="1"/>
  <c r="C344" i="45"/>
  <c r="M344" i="45" s="1"/>
  <c r="C352" i="45"/>
  <c r="M352" i="45" s="1"/>
  <c r="C360" i="45"/>
  <c r="M360" i="45" s="1"/>
  <c r="C368" i="45"/>
  <c r="M368" i="45" s="1"/>
  <c r="C376" i="45"/>
  <c r="M376" i="45" s="1"/>
  <c r="C384" i="45"/>
  <c r="M384" i="45" s="1"/>
  <c r="C337" i="45"/>
  <c r="M337" i="45" s="1"/>
  <c r="C345" i="45"/>
  <c r="M345" i="45" s="1"/>
  <c r="C353" i="45"/>
  <c r="M353" i="45" s="1"/>
  <c r="C361" i="45"/>
  <c r="M361" i="45" s="1"/>
  <c r="C369" i="45"/>
  <c r="M369" i="45" s="1"/>
  <c r="C377" i="45"/>
  <c r="M377" i="45" s="1"/>
  <c r="C334" i="45"/>
  <c r="M334" i="45" s="1"/>
  <c r="C340" i="45"/>
  <c r="M340" i="45" s="1"/>
  <c r="C356" i="45"/>
  <c r="M356" i="45" s="1"/>
  <c r="C372" i="45"/>
  <c r="M372" i="45" s="1"/>
  <c r="C338" i="45"/>
  <c r="M338" i="45" s="1"/>
  <c r="C346" i="45"/>
  <c r="M346" i="45" s="1"/>
  <c r="C354" i="45"/>
  <c r="M354" i="45" s="1"/>
  <c r="C362" i="45"/>
  <c r="M362" i="45" s="1"/>
  <c r="C370" i="45"/>
  <c r="M370" i="45" s="1"/>
  <c r="C378" i="45"/>
  <c r="M378" i="45" s="1"/>
  <c r="C339" i="45"/>
  <c r="M339" i="45" s="1"/>
  <c r="C347" i="45"/>
  <c r="M347" i="45" s="1"/>
  <c r="C355" i="45"/>
  <c r="M355" i="45" s="1"/>
  <c r="C363" i="45"/>
  <c r="M363" i="45" s="1"/>
  <c r="C371" i="45"/>
  <c r="M371" i="45" s="1"/>
  <c r="C379" i="45"/>
  <c r="M379" i="45" s="1"/>
  <c r="C341" i="45"/>
  <c r="M341" i="45" s="1"/>
  <c r="C349" i="45"/>
  <c r="M349" i="45" s="1"/>
  <c r="C357" i="45"/>
  <c r="M357" i="45" s="1"/>
  <c r="C365" i="45"/>
  <c r="M365" i="45" s="1"/>
  <c r="C373" i="45"/>
  <c r="M373" i="45" s="1"/>
  <c r="C381" i="45"/>
  <c r="M381" i="45" s="1"/>
  <c r="C348" i="45"/>
  <c r="M348" i="45" s="1"/>
  <c r="C364" i="45"/>
  <c r="M364" i="45" s="1"/>
  <c r="C380" i="45"/>
  <c r="M380" i="45" s="1"/>
  <c r="C342" i="45"/>
  <c r="M342" i="45" s="1"/>
  <c r="C350" i="45"/>
  <c r="M350" i="45" s="1"/>
  <c r="C358" i="45"/>
  <c r="M358" i="45" s="1"/>
  <c r="C366" i="45"/>
  <c r="M366" i="45" s="1"/>
  <c r="C374" i="45"/>
  <c r="M374" i="45" s="1"/>
  <c r="C382" i="45"/>
  <c r="M382" i="45" s="1"/>
  <c r="D337" i="45"/>
  <c r="N337" i="45" s="1"/>
  <c r="D345" i="45"/>
  <c r="N345" i="45" s="1"/>
  <c r="D353" i="45"/>
  <c r="N353" i="45" s="1"/>
  <c r="D361" i="45"/>
  <c r="N361" i="45" s="1"/>
  <c r="D369" i="45"/>
  <c r="N369" i="45" s="1"/>
  <c r="D377" i="45"/>
  <c r="N377" i="45" s="1"/>
  <c r="D338" i="45"/>
  <c r="N338" i="45" s="1"/>
  <c r="D346" i="45"/>
  <c r="N346" i="45" s="1"/>
  <c r="D354" i="45"/>
  <c r="N354" i="45" s="1"/>
  <c r="D362" i="45"/>
  <c r="N362" i="45" s="1"/>
  <c r="D370" i="45"/>
  <c r="N370" i="45" s="1"/>
  <c r="D378" i="45"/>
  <c r="N378" i="45" s="1"/>
  <c r="D339" i="45"/>
  <c r="N339" i="45" s="1"/>
  <c r="D347" i="45"/>
  <c r="N347" i="45" s="1"/>
  <c r="D355" i="45"/>
  <c r="N355" i="45" s="1"/>
  <c r="D363" i="45"/>
  <c r="N363" i="45" s="1"/>
  <c r="D371" i="45"/>
  <c r="N371" i="45" s="1"/>
  <c r="D379" i="45"/>
  <c r="N379" i="45" s="1"/>
  <c r="D342" i="45"/>
  <c r="N342" i="45" s="1"/>
  <c r="D358" i="45"/>
  <c r="N358" i="45" s="1"/>
  <c r="D374" i="45"/>
  <c r="N374" i="45" s="1"/>
  <c r="D340" i="45"/>
  <c r="N340" i="45" s="1"/>
  <c r="D348" i="45"/>
  <c r="N348" i="45" s="1"/>
  <c r="D356" i="45"/>
  <c r="N356" i="45" s="1"/>
  <c r="D364" i="45"/>
  <c r="N364" i="45" s="1"/>
  <c r="D372" i="45"/>
  <c r="N372" i="45" s="1"/>
  <c r="D380" i="45"/>
  <c r="N380" i="45" s="1"/>
  <c r="D334" i="45"/>
  <c r="N334" i="45" s="1"/>
  <c r="D341" i="45"/>
  <c r="N341" i="45" s="1"/>
  <c r="D349" i="45"/>
  <c r="N349" i="45" s="1"/>
  <c r="D357" i="45"/>
  <c r="N357" i="45" s="1"/>
  <c r="D365" i="45"/>
  <c r="N365" i="45" s="1"/>
  <c r="D373" i="45"/>
  <c r="N373" i="45" s="1"/>
  <c r="D381" i="45"/>
  <c r="N381" i="45" s="1"/>
  <c r="D335" i="45"/>
  <c r="N335" i="45" s="1"/>
  <c r="D343" i="45"/>
  <c r="N343" i="45" s="1"/>
  <c r="D351" i="45"/>
  <c r="N351" i="45" s="1"/>
  <c r="D359" i="45"/>
  <c r="N359" i="45" s="1"/>
  <c r="D367" i="45"/>
  <c r="N367" i="45" s="1"/>
  <c r="D375" i="45"/>
  <c r="N375" i="45" s="1"/>
  <c r="D383" i="45"/>
  <c r="N383" i="45" s="1"/>
  <c r="D350" i="45"/>
  <c r="N350" i="45" s="1"/>
  <c r="D366" i="45"/>
  <c r="N366" i="45" s="1"/>
  <c r="D382" i="45"/>
  <c r="N382" i="45" s="1"/>
  <c r="D336" i="45"/>
  <c r="N336" i="45" s="1"/>
  <c r="D344" i="45"/>
  <c r="N344" i="45" s="1"/>
  <c r="D352" i="45"/>
  <c r="N352" i="45" s="1"/>
  <c r="D360" i="45"/>
  <c r="N360" i="45" s="1"/>
  <c r="D368" i="45"/>
  <c r="N368" i="45" s="1"/>
  <c r="D376" i="45"/>
  <c r="N376" i="45" s="1"/>
  <c r="D384" i="45"/>
  <c r="N384" i="45" s="1"/>
  <c r="G15" i="49"/>
  <c r="C207" i="45"/>
  <c r="M207" i="45" s="1"/>
  <c r="C219" i="45"/>
  <c r="M219" i="45" s="1"/>
  <c r="C177" i="45"/>
  <c r="M177" i="45" s="1"/>
  <c r="C192" i="45"/>
  <c r="M192" i="45" s="1"/>
  <c r="C194" i="45"/>
  <c r="M194" i="45" s="1"/>
  <c r="C173" i="45"/>
  <c r="M173" i="45" s="1"/>
  <c r="C215" i="45"/>
  <c r="M215" i="45" s="1"/>
  <c r="C172" i="45"/>
  <c r="M172" i="45" s="1"/>
  <c r="C190" i="45"/>
  <c r="M190" i="45" s="1"/>
  <c r="C205" i="45"/>
  <c r="M205" i="45" s="1"/>
  <c r="C208" i="45"/>
  <c r="M208" i="45" s="1"/>
  <c r="C185" i="45"/>
  <c r="M185" i="45" s="1"/>
  <c r="I27" i="51"/>
  <c r="I23" i="52" s="1"/>
  <c r="C180" i="45"/>
  <c r="M180" i="45" s="1"/>
  <c r="C202" i="45"/>
  <c r="M202" i="45" s="1"/>
  <c r="C217" i="45"/>
  <c r="M217" i="45" s="1"/>
  <c r="C221" i="45"/>
  <c r="M221" i="45" s="1"/>
  <c r="C198" i="45"/>
  <c r="M198" i="45" s="1"/>
  <c r="C179" i="45"/>
  <c r="M179" i="45" s="1"/>
  <c r="C188" i="45"/>
  <c r="M188" i="45" s="1"/>
  <c r="C216" i="45"/>
  <c r="M216" i="45" s="1"/>
  <c r="C193" i="45"/>
  <c r="M193" i="45" s="1"/>
  <c r="C184" i="45"/>
  <c r="M184" i="45" s="1"/>
  <c r="C210" i="45"/>
  <c r="M210" i="45" s="1"/>
  <c r="C175" i="45"/>
  <c r="M175" i="45" s="1"/>
  <c r="C187" i="45"/>
  <c r="M187" i="45" s="1"/>
  <c r="C196" i="45"/>
  <c r="M196" i="45" s="1"/>
  <c r="C218" i="45"/>
  <c r="M218" i="45" s="1"/>
  <c r="C201" i="45"/>
  <c r="M201" i="45" s="1"/>
  <c r="C197" i="45"/>
  <c r="M197" i="45" s="1"/>
  <c r="C174" i="45"/>
  <c r="M174" i="45" s="1"/>
  <c r="C211" i="45"/>
  <c r="M211" i="45" s="1"/>
  <c r="C182" i="45"/>
  <c r="M182" i="45" s="1"/>
  <c r="C213" i="45"/>
  <c r="M213" i="45" s="1"/>
  <c r="C183" i="45"/>
  <c r="M183" i="45" s="1"/>
  <c r="C195" i="45"/>
  <c r="M195" i="45" s="1"/>
  <c r="C204" i="45"/>
  <c r="M204" i="45" s="1"/>
  <c r="C176" i="45"/>
  <c r="M176" i="45" s="1"/>
  <c r="C181" i="45"/>
  <c r="M181" i="45" s="1"/>
  <c r="C209" i="45"/>
  <c r="M209" i="45" s="1"/>
  <c r="C186" i="45"/>
  <c r="M186" i="45" s="1"/>
  <c r="C220" i="45"/>
  <c r="M220" i="45" s="1"/>
  <c r="C191" i="45"/>
  <c r="M191" i="45" s="1"/>
  <c r="C203" i="45"/>
  <c r="M203" i="45" s="1"/>
  <c r="C212" i="45"/>
  <c r="M212" i="45" s="1"/>
  <c r="C189" i="45"/>
  <c r="M189" i="45" s="1"/>
  <c r="C206" i="45"/>
  <c r="M206" i="45" s="1"/>
  <c r="C200" i="45"/>
  <c r="M200" i="45" s="1"/>
  <c r="C199" i="45"/>
  <c r="M199" i="45" s="1"/>
  <c r="C178" i="45"/>
  <c r="M178" i="45" s="1"/>
  <c r="C214" i="45"/>
  <c r="M214" i="45" s="1"/>
  <c r="E179" i="45"/>
  <c r="O179" i="45" s="1"/>
  <c r="E193" i="45"/>
  <c r="O193" i="45" s="1"/>
  <c r="E219" i="45"/>
  <c r="O219" i="45" s="1"/>
  <c r="E196" i="45"/>
  <c r="O196" i="45" s="1"/>
  <c r="E221" i="45"/>
  <c r="O221" i="45" s="1"/>
  <c r="E188" i="45"/>
  <c r="O188" i="45" s="1"/>
  <c r="E173" i="45"/>
  <c r="O173" i="45" s="1"/>
  <c r="E200" i="45"/>
  <c r="O200" i="45" s="1"/>
  <c r="E213" i="45"/>
  <c r="O213" i="45" s="1"/>
  <c r="E176" i="45"/>
  <c r="O176" i="45" s="1"/>
  <c r="E201" i="45"/>
  <c r="O201" i="45" s="1"/>
  <c r="E180" i="45"/>
  <c r="O180" i="45" s="1"/>
  <c r="E205" i="45"/>
  <c r="O205" i="45" s="1"/>
  <c r="E184" i="45"/>
  <c r="O184" i="45" s="1"/>
  <c r="E209" i="45"/>
  <c r="O209" i="45" s="1"/>
  <c r="E187" i="45"/>
  <c r="O187" i="45" s="1"/>
  <c r="E212" i="45"/>
  <c r="O212" i="45" s="1"/>
  <c r="E211" i="45"/>
  <c r="O211" i="45" s="1"/>
  <c r="E195" i="45"/>
  <c r="O195" i="45" s="1"/>
  <c r="E194" i="45"/>
  <c r="O194" i="45" s="1"/>
  <c r="E206" i="45"/>
  <c r="O206" i="45" s="1"/>
  <c r="E207" i="45"/>
  <c r="O207" i="45" s="1"/>
  <c r="E197" i="45"/>
  <c r="O197" i="45" s="1"/>
  <c r="E181" i="45"/>
  <c r="O181" i="45" s="1"/>
  <c r="E217" i="45"/>
  <c r="O217" i="45" s="1"/>
  <c r="E202" i="45"/>
  <c r="O202" i="45" s="1"/>
  <c r="E214" i="45"/>
  <c r="O214" i="45" s="1"/>
  <c r="E215" i="45"/>
  <c r="O215" i="45" s="1"/>
  <c r="E185" i="45"/>
  <c r="O185" i="45" s="1"/>
  <c r="E204" i="45"/>
  <c r="O204" i="45" s="1"/>
  <c r="E210" i="45"/>
  <c r="O210" i="45" s="1"/>
  <c r="E171" i="45"/>
  <c r="O171" i="45" s="1"/>
  <c r="E216" i="45"/>
  <c r="O216" i="45" s="1"/>
  <c r="E199" i="45"/>
  <c r="O199" i="45" s="1"/>
  <c r="E172" i="45"/>
  <c r="O172" i="45" s="1"/>
  <c r="E192" i="45"/>
  <c r="O192" i="45" s="1"/>
  <c r="E218" i="45"/>
  <c r="O218" i="45" s="1"/>
  <c r="D27" i="51"/>
  <c r="D23" i="52" s="1"/>
  <c r="E203" i="45"/>
  <c r="O203" i="45" s="1"/>
  <c r="E208" i="45"/>
  <c r="O208" i="45" s="1"/>
  <c r="E186" i="45"/>
  <c r="O186" i="45" s="1"/>
  <c r="E174" i="45"/>
  <c r="O174" i="45" s="1"/>
  <c r="E175" i="45"/>
  <c r="O175" i="45" s="1"/>
  <c r="E189" i="45"/>
  <c r="O189" i="45" s="1"/>
  <c r="E198" i="45"/>
  <c r="O198" i="45" s="1"/>
  <c r="E182" i="45"/>
  <c r="O182" i="45" s="1"/>
  <c r="E183" i="45"/>
  <c r="O183" i="45" s="1"/>
  <c r="E177" i="45"/>
  <c r="O177" i="45" s="1"/>
  <c r="E220" i="45"/>
  <c r="O220" i="45" s="1"/>
  <c r="E178" i="45"/>
  <c r="O178" i="45" s="1"/>
  <c r="E190" i="45"/>
  <c r="O190" i="45" s="1"/>
  <c r="E191" i="45"/>
  <c r="O191" i="45" s="1"/>
  <c r="F179" i="45"/>
  <c r="P179" i="45" s="1"/>
  <c r="F196" i="45"/>
  <c r="P196" i="45" s="1"/>
  <c r="F214" i="45"/>
  <c r="P214" i="45" s="1"/>
  <c r="G27" i="51"/>
  <c r="G23" i="52" s="1"/>
  <c r="F186" i="45"/>
  <c r="P186" i="45" s="1"/>
  <c r="F190" i="45"/>
  <c r="P190" i="45" s="1"/>
  <c r="F178" i="45"/>
  <c r="P178" i="45" s="1"/>
  <c r="F212" i="45"/>
  <c r="P212" i="45" s="1"/>
  <c r="F183" i="45"/>
  <c r="P183" i="45" s="1"/>
  <c r="F173" i="45"/>
  <c r="P173" i="45" s="1"/>
  <c r="F177" i="45"/>
  <c r="P177" i="45" s="1"/>
  <c r="F194" i="45"/>
  <c r="P194" i="45" s="1"/>
  <c r="F176" i="45"/>
  <c r="P176" i="45" s="1"/>
  <c r="F188" i="45"/>
  <c r="P188" i="45" s="1"/>
  <c r="F203" i="45"/>
  <c r="P203" i="45" s="1"/>
  <c r="F199" i="45"/>
  <c r="P199" i="45" s="1"/>
  <c r="F220" i="45"/>
  <c r="P220" i="45" s="1"/>
  <c r="F219" i="45"/>
  <c r="P219" i="45" s="1"/>
  <c r="F181" i="45"/>
  <c r="P181" i="45" s="1"/>
  <c r="F185" i="45"/>
  <c r="P185" i="45" s="1"/>
  <c r="F202" i="45"/>
  <c r="P202" i="45" s="1"/>
  <c r="F187" i="45"/>
  <c r="P187" i="45" s="1"/>
  <c r="F175" i="45"/>
  <c r="P175" i="45" s="1"/>
  <c r="F207" i="45"/>
  <c r="P207" i="45" s="1"/>
  <c r="F206" i="45"/>
  <c r="P206" i="45" s="1"/>
  <c r="F189" i="45"/>
  <c r="P189" i="45" s="1"/>
  <c r="F193" i="45"/>
  <c r="P193" i="45" s="1"/>
  <c r="F210" i="45"/>
  <c r="P210" i="45" s="1"/>
  <c r="F174" i="45"/>
  <c r="P174" i="45" s="1"/>
  <c r="F211" i="45"/>
  <c r="P211" i="45" s="1"/>
  <c r="F195" i="45"/>
  <c r="P195" i="45" s="1"/>
  <c r="F192" i="45"/>
  <c r="P192" i="45" s="1"/>
  <c r="F216" i="45"/>
  <c r="P216" i="45" s="1"/>
  <c r="F197" i="45"/>
  <c r="P197" i="45" s="1"/>
  <c r="F201" i="45"/>
  <c r="P201" i="45" s="1"/>
  <c r="F218" i="45"/>
  <c r="P218" i="45" s="1"/>
  <c r="F172" i="45"/>
  <c r="P172" i="45" s="1"/>
  <c r="F198" i="45"/>
  <c r="P198" i="45" s="1"/>
  <c r="F182" i="45"/>
  <c r="P182" i="45" s="1"/>
  <c r="F180" i="45"/>
  <c r="P180" i="45" s="1"/>
  <c r="F204" i="45"/>
  <c r="P204" i="45" s="1"/>
  <c r="F205" i="45"/>
  <c r="P205" i="45" s="1"/>
  <c r="F209" i="45"/>
  <c r="P209" i="45" s="1"/>
  <c r="F200" i="45"/>
  <c r="P200" i="45" s="1"/>
  <c r="F208" i="45"/>
  <c r="P208" i="45" s="1"/>
  <c r="F184" i="45"/>
  <c r="P184" i="45" s="1"/>
  <c r="F171" i="45"/>
  <c r="P171" i="45" s="1"/>
  <c r="F191" i="45"/>
  <c r="P191" i="45" s="1"/>
  <c r="F213" i="45"/>
  <c r="P213" i="45" s="1"/>
  <c r="F217" i="45"/>
  <c r="P217" i="45" s="1"/>
  <c r="F215" i="45"/>
  <c r="P215" i="45" s="1"/>
  <c r="F221" i="45"/>
  <c r="P221" i="45" s="1"/>
  <c r="G202" i="45"/>
  <c r="Q202" i="45" s="1"/>
  <c r="G171" i="45"/>
  <c r="Q171" i="45" s="1"/>
  <c r="G181" i="45"/>
  <c r="Q181" i="45" s="1"/>
  <c r="G180" i="45"/>
  <c r="Q180" i="45" s="1"/>
  <c r="G183" i="45"/>
  <c r="Q183" i="45" s="1"/>
  <c r="G201" i="45"/>
  <c r="Q201" i="45" s="1"/>
  <c r="G216" i="45"/>
  <c r="Q216" i="45" s="1"/>
  <c r="G218" i="45"/>
  <c r="Q218" i="45" s="1"/>
  <c r="G189" i="45"/>
  <c r="Q189" i="45" s="1"/>
  <c r="G186" i="45"/>
  <c r="Q186" i="45" s="1"/>
  <c r="G178" i="45"/>
  <c r="Q178" i="45" s="1"/>
  <c r="G179" i="45"/>
  <c r="Q179" i="45" s="1"/>
  <c r="G188" i="45"/>
  <c r="Q188" i="45" s="1"/>
  <c r="G191" i="45"/>
  <c r="Q191" i="45" s="1"/>
  <c r="G209" i="45"/>
  <c r="Q209" i="45" s="1"/>
  <c r="G197" i="45"/>
  <c r="Q197" i="45" s="1"/>
  <c r="G193" i="45"/>
  <c r="Q193" i="45" s="1"/>
  <c r="G187" i="45"/>
  <c r="Q187" i="45" s="1"/>
  <c r="G196" i="45"/>
  <c r="Q196" i="45" s="1"/>
  <c r="G199" i="45"/>
  <c r="Q199" i="45" s="1"/>
  <c r="G217" i="45"/>
  <c r="Q217" i="45" s="1"/>
  <c r="G174" i="45"/>
  <c r="Q174" i="45" s="1"/>
  <c r="G214" i="45"/>
  <c r="Q214" i="45" s="1"/>
  <c r="G205" i="45"/>
  <c r="Q205" i="45" s="1"/>
  <c r="G175" i="45"/>
  <c r="Q175" i="45" s="1"/>
  <c r="G190" i="45"/>
  <c r="Q190" i="45" s="1"/>
  <c r="G195" i="45"/>
  <c r="Q195" i="45" s="1"/>
  <c r="G204" i="45"/>
  <c r="Q204" i="45" s="1"/>
  <c r="G207" i="45"/>
  <c r="Q207" i="45" s="1"/>
  <c r="G176" i="45"/>
  <c r="Q176" i="45" s="1"/>
  <c r="G194" i="45"/>
  <c r="Q194" i="45" s="1"/>
  <c r="G182" i="45"/>
  <c r="Q182" i="45" s="1"/>
  <c r="G208" i="45"/>
  <c r="Q208" i="45" s="1"/>
  <c r="G203" i="45"/>
  <c r="Q203" i="45" s="1"/>
  <c r="G212" i="45"/>
  <c r="Q212" i="45" s="1"/>
  <c r="G215" i="45"/>
  <c r="Q215" i="45" s="1"/>
  <c r="G184" i="45"/>
  <c r="Q184" i="45" s="1"/>
  <c r="G173" i="45"/>
  <c r="Q173" i="45" s="1"/>
  <c r="G206" i="45"/>
  <c r="Q206" i="45" s="1"/>
  <c r="G211" i="45"/>
  <c r="Q211" i="45" s="1"/>
  <c r="G220" i="45"/>
  <c r="Q220" i="45" s="1"/>
  <c r="G177" i="45"/>
  <c r="Q177" i="45" s="1"/>
  <c r="G192" i="45"/>
  <c r="Q192" i="45" s="1"/>
  <c r="G221" i="45"/>
  <c r="Q221" i="45" s="1"/>
  <c r="G219" i="45"/>
  <c r="Q219" i="45" s="1"/>
  <c r="B27" i="51"/>
  <c r="B23" i="52" s="1"/>
  <c r="G185" i="45"/>
  <c r="Q185" i="45" s="1"/>
  <c r="G200" i="45"/>
  <c r="Q200" i="45" s="1"/>
  <c r="G198" i="45"/>
  <c r="Q198" i="45" s="1"/>
  <c r="G213" i="45"/>
  <c r="Q213" i="45" s="1"/>
  <c r="G210" i="45"/>
  <c r="Q210" i="45" s="1"/>
  <c r="G172" i="45"/>
  <c r="Q172" i="45" s="1"/>
  <c r="D174" i="45"/>
  <c r="N174" i="45" s="1"/>
  <c r="D183" i="45"/>
  <c r="N183" i="45" s="1"/>
  <c r="D202" i="45"/>
  <c r="N202" i="45" s="1"/>
  <c r="D220" i="45"/>
  <c r="N220" i="45" s="1"/>
  <c r="E27" i="51"/>
  <c r="E23" i="52" s="1"/>
  <c r="D197" i="45"/>
  <c r="N197" i="45" s="1"/>
  <c r="D205" i="45"/>
  <c r="N205" i="45" s="1"/>
  <c r="D176" i="45"/>
  <c r="N176" i="45" s="1"/>
  <c r="D182" i="45"/>
  <c r="N182" i="45" s="1"/>
  <c r="D191" i="45"/>
  <c r="N191" i="45" s="1"/>
  <c r="D210" i="45"/>
  <c r="N210" i="45" s="1"/>
  <c r="D179" i="45"/>
  <c r="N179" i="45" s="1"/>
  <c r="D192" i="45"/>
  <c r="N192" i="45" s="1"/>
  <c r="D209" i="45"/>
  <c r="N209" i="45" s="1"/>
  <c r="D185" i="45"/>
  <c r="N185" i="45" s="1"/>
  <c r="D212" i="45"/>
  <c r="N212" i="45" s="1"/>
  <c r="D190" i="45"/>
  <c r="N190" i="45" s="1"/>
  <c r="D199" i="45"/>
  <c r="N199" i="45" s="1"/>
  <c r="D218" i="45"/>
  <c r="N218" i="45" s="1"/>
  <c r="D187" i="45"/>
  <c r="N187" i="45" s="1"/>
  <c r="D213" i="45"/>
  <c r="N213" i="45" s="1"/>
  <c r="D177" i="45"/>
  <c r="N177" i="45" s="1"/>
  <c r="D208" i="45"/>
  <c r="N208" i="45" s="1"/>
  <c r="D194" i="45"/>
  <c r="N194" i="45" s="1"/>
  <c r="D198" i="45"/>
  <c r="N198" i="45" s="1"/>
  <c r="D207" i="45"/>
  <c r="N207" i="45" s="1"/>
  <c r="D172" i="45"/>
  <c r="N172" i="45" s="1"/>
  <c r="D195" i="45"/>
  <c r="N195" i="45" s="1"/>
  <c r="D217" i="45"/>
  <c r="N217" i="45" s="1"/>
  <c r="D200" i="45"/>
  <c r="N200" i="45" s="1"/>
  <c r="D189" i="45"/>
  <c r="N189" i="45" s="1"/>
  <c r="D180" i="45"/>
  <c r="N180" i="45" s="1"/>
  <c r="D206" i="45"/>
  <c r="N206" i="45" s="1"/>
  <c r="D215" i="45"/>
  <c r="N215" i="45" s="1"/>
  <c r="D188" i="45"/>
  <c r="N188" i="45" s="1"/>
  <c r="D203" i="45"/>
  <c r="N203" i="45" s="1"/>
  <c r="D173" i="45"/>
  <c r="N173" i="45" s="1"/>
  <c r="D221" i="45"/>
  <c r="N221" i="45" s="1"/>
  <c r="D184" i="45"/>
  <c r="N184" i="45" s="1"/>
  <c r="D214" i="45"/>
  <c r="N214" i="45" s="1"/>
  <c r="D178" i="45"/>
  <c r="N178" i="45" s="1"/>
  <c r="D196" i="45"/>
  <c r="N196" i="45" s="1"/>
  <c r="D211" i="45"/>
  <c r="N211" i="45" s="1"/>
  <c r="D193" i="45"/>
  <c r="N193" i="45" s="1"/>
  <c r="D181" i="45"/>
  <c r="N181" i="45" s="1"/>
  <c r="D171" i="45"/>
  <c r="N171" i="45" s="1"/>
  <c r="D186" i="45"/>
  <c r="N186" i="45" s="1"/>
  <c r="D204" i="45"/>
  <c r="N204" i="45" s="1"/>
  <c r="D219" i="45"/>
  <c r="N219" i="45" s="1"/>
  <c r="D216" i="45"/>
  <c r="N216" i="45" s="1"/>
  <c r="D201" i="45"/>
  <c r="N201" i="45" s="1"/>
  <c r="D175" i="45"/>
  <c r="N175" i="45" s="1"/>
  <c r="B18" i="43"/>
  <c r="B7" i="58"/>
  <c r="B18" i="58"/>
  <c r="L10" i="55"/>
  <c r="K10" i="55"/>
  <c r="I10" i="55"/>
  <c r="J10" i="55"/>
  <c r="M10" i="55"/>
  <c r="K5" i="55"/>
  <c r="B29" i="51" s="1"/>
  <c r="B26" i="52" s="1"/>
  <c r="G44" i="33" s="1"/>
  <c r="I5" i="55"/>
  <c r="D29" i="51" s="1"/>
  <c r="D26" i="52" s="1"/>
  <c r="I44" i="33" s="1"/>
  <c r="M5" i="55"/>
  <c r="I29" i="51" s="1"/>
  <c r="I26" i="52" s="1"/>
  <c r="N44" i="33" s="1"/>
  <c r="J5" i="55"/>
  <c r="G29" i="51" s="1"/>
  <c r="G26" i="52" s="1"/>
  <c r="L44" i="33" s="1"/>
  <c r="L5" i="55"/>
  <c r="E29" i="51" s="1"/>
  <c r="E26" i="52" s="1"/>
  <c r="J44" i="33" s="1"/>
  <c r="B143" i="28"/>
  <c r="G76" i="37"/>
  <c r="X80" i="37" s="1"/>
  <c r="C5" i="42" s="1"/>
  <c r="B7" i="43"/>
  <c r="H115" i="28"/>
  <c r="X83" i="37"/>
  <c r="C24" i="42" s="1"/>
  <c r="X85" i="37"/>
  <c r="C25" i="42" s="1"/>
  <c r="X87" i="37"/>
  <c r="C26" i="42" s="1"/>
  <c r="K4" i="56" l="1"/>
  <c r="L60" i="52"/>
  <c r="Q53" i="33" s="1"/>
  <c r="J65" i="33" s="1"/>
  <c r="X94" i="63"/>
  <c r="M7" i="43"/>
  <c r="H7" i="43" s="1"/>
  <c r="Q12" i="43"/>
  <c r="L12" i="43" s="1"/>
  <c r="V12" i="43" s="1"/>
  <c r="F282" i="43" s="1"/>
  <c r="P282" i="43" s="1"/>
  <c r="M11" i="43"/>
  <c r="H11" i="43" s="1"/>
  <c r="P11" i="43"/>
  <c r="K11" i="43" s="1"/>
  <c r="U11" i="43" s="1"/>
  <c r="G270" i="43" s="1"/>
  <c r="Q270" i="43" s="1"/>
  <c r="N12" i="43"/>
  <c r="I12" i="43" s="1"/>
  <c r="S10" i="43"/>
  <c r="T125" i="42" s="1"/>
  <c r="N11" i="43"/>
  <c r="I11" i="43" s="1"/>
  <c r="Q10" i="43"/>
  <c r="L10" i="43" s="1"/>
  <c r="V10" i="43" s="1"/>
  <c r="O12" i="43"/>
  <c r="J12" i="43" s="1"/>
  <c r="Q11" i="43"/>
  <c r="L11" i="43" s="1"/>
  <c r="O11" i="43"/>
  <c r="J11" i="43" s="1"/>
  <c r="M12" i="43"/>
  <c r="H12" i="43" s="1"/>
  <c r="R12" i="43" s="1"/>
  <c r="E327" i="43" s="1"/>
  <c r="O327" i="43" s="1"/>
  <c r="P12" i="43"/>
  <c r="K12" i="43" s="1"/>
  <c r="I25" i="52"/>
  <c r="N43" i="33" s="1"/>
  <c r="K25" i="52"/>
  <c r="P43" i="33" s="1"/>
  <c r="E25" i="52"/>
  <c r="J43" i="33" s="1"/>
  <c r="D25" i="52"/>
  <c r="I43" i="33" s="1"/>
  <c r="G25" i="52"/>
  <c r="L43" i="33" s="1"/>
  <c r="B25" i="52"/>
  <c r="G43" i="33" s="1"/>
  <c r="W132" i="42"/>
  <c r="V132" i="42"/>
  <c r="L19" i="52"/>
  <c r="K4" i="51"/>
  <c r="B23" i="7"/>
  <c r="W23" i="7" s="1"/>
  <c r="C34" i="54" s="1"/>
  <c r="C51" i="52" s="1"/>
  <c r="B21" i="7"/>
  <c r="AC21" i="7" s="1"/>
  <c r="I32" i="54" s="1"/>
  <c r="I49" i="52" s="1"/>
  <c r="I22" i="50"/>
  <c r="C167" i="45"/>
  <c r="E20" i="60"/>
  <c r="E28" i="60"/>
  <c r="E36" i="60"/>
  <c r="E44" i="60"/>
  <c r="E52" i="60"/>
  <c r="E60" i="60"/>
  <c r="E22" i="60"/>
  <c r="E30" i="60"/>
  <c r="E38" i="60"/>
  <c r="E46" i="60"/>
  <c r="E54" i="60"/>
  <c r="E62" i="60"/>
  <c r="E23" i="60"/>
  <c r="E31" i="60"/>
  <c r="E39" i="60"/>
  <c r="E47" i="60"/>
  <c r="E55" i="60"/>
  <c r="E63" i="60"/>
  <c r="E16" i="60"/>
  <c r="E24" i="60"/>
  <c r="E32" i="60"/>
  <c r="E40" i="60"/>
  <c r="E48" i="60"/>
  <c r="E56" i="60"/>
  <c r="E64" i="60"/>
  <c r="E17" i="60"/>
  <c r="E25" i="60"/>
  <c r="E33" i="60"/>
  <c r="E41" i="60"/>
  <c r="E49" i="60"/>
  <c r="E57" i="60"/>
  <c r="E65" i="60"/>
  <c r="E18" i="60"/>
  <c r="E26" i="60"/>
  <c r="E34" i="60"/>
  <c r="E42" i="60"/>
  <c r="E50" i="60"/>
  <c r="E58" i="60"/>
  <c r="E15" i="60"/>
  <c r="E27" i="60"/>
  <c r="E59" i="60"/>
  <c r="E29" i="60"/>
  <c r="E61" i="60"/>
  <c r="E35" i="60"/>
  <c r="E21" i="60"/>
  <c r="E37" i="60"/>
  <c r="E45" i="60"/>
  <c r="E51" i="60"/>
  <c r="E53" i="60"/>
  <c r="E19" i="60"/>
  <c r="E43" i="60"/>
  <c r="D17" i="60"/>
  <c r="D25" i="60"/>
  <c r="D33" i="60"/>
  <c r="D41" i="60"/>
  <c r="D49" i="60"/>
  <c r="D57" i="60"/>
  <c r="D65" i="60"/>
  <c r="D19" i="60"/>
  <c r="D27" i="60"/>
  <c r="D35" i="60"/>
  <c r="D43" i="60"/>
  <c r="D51" i="60"/>
  <c r="D59" i="60"/>
  <c r="D20" i="60"/>
  <c r="D28" i="60"/>
  <c r="D36" i="60"/>
  <c r="D44" i="60"/>
  <c r="D52" i="60"/>
  <c r="D60" i="60"/>
  <c r="D21" i="60"/>
  <c r="D29" i="60"/>
  <c r="D37" i="60"/>
  <c r="D45" i="60"/>
  <c r="D53" i="60"/>
  <c r="D61" i="60"/>
  <c r="D22" i="60"/>
  <c r="D30" i="60"/>
  <c r="D38" i="60"/>
  <c r="D46" i="60"/>
  <c r="D54" i="60"/>
  <c r="D62" i="60"/>
  <c r="D23" i="60"/>
  <c r="D31" i="60"/>
  <c r="D39" i="60"/>
  <c r="D47" i="60"/>
  <c r="D55" i="60"/>
  <c r="D63" i="60"/>
  <c r="D40" i="60"/>
  <c r="D42" i="60"/>
  <c r="D16" i="60"/>
  <c r="D48" i="60"/>
  <c r="D18" i="60"/>
  <c r="D64" i="60"/>
  <c r="D26" i="60"/>
  <c r="D32" i="60"/>
  <c r="D50" i="60"/>
  <c r="D24" i="60"/>
  <c r="D34" i="60"/>
  <c r="D58" i="60"/>
  <c r="D15" i="60"/>
  <c r="D56" i="60"/>
  <c r="E61" i="42"/>
  <c r="G134" i="42" s="1"/>
  <c r="E59" i="42"/>
  <c r="G132" i="42" s="1"/>
  <c r="E60" i="42"/>
  <c r="G133" i="42" s="1"/>
  <c r="E62" i="42"/>
  <c r="G135" i="42" s="1"/>
  <c r="D167" i="45"/>
  <c r="K104" i="42"/>
  <c r="K76" i="42"/>
  <c r="K79" i="42"/>
  <c r="K102" i="42"/>
  <c r="K73" i="42"/>
  <c r="K103" i="42"/>
  <c r="K98" i="42"/>
  <c r="K88" i="42"/>
  <c r="K72" i="42"/>
  <c r="K82" i="42"/>
  <c r="K96" i="42"/>
  <c r="K99" i="42"/>
  <c r="K106" i="42"/>
  <c r="K81" i="42"/>
  <c r="K84" i="42"/>
  <c r="K101" i="42"/>
  <c r="K107" i="42"/>
  <c r="K68" i="42"/>
  <c r="K66" i="42"/>
  <c r="K94" i="42"/>
  <c r="K67" i="42"/>
  <c r="K78" i="42"/>
  <c r="K89" i="42"/>
  <c r="K105" i="42"/>
  <c r="K77" i="42"/>
  <c r="K93" i="42"/>
  <c r="K71" i="42"/>
  <c r="K74" i="42"/>
  <c r="K85" i="42"/>
  <c r="K100" i="42"/>
  <c r="K80" i="42"/>
  <c r="K91" i="42"/>
  <c r="K83" i="42"/>
  <c r="K95" i="42"/>
  <c r="K69" i="42"/>
  <c r="R62" i="45"/>
  <c r="L20" i="52" s="1"/>
  <c r="I129" i="42"/>
  <c r="I121" i="42"/>
  <c r="I111" i="42"/>
  <c r="I128" i="42"/>
  <c r="I119" i="42"/>
  <c r="I115" i="42"/>
  <c r="I124" i="42"/>
  <c r="I127" i="42"/>
  <c r="I118" i="42"/>
  <c r="I120" i="42"/>
  <c r="I126" i="42"/>
  <c r="I117" i="42"/>
  <c r="I110" i="42"/>
  <c r="I114" i="42"/>
  <c r="I125" i="42"/>
  <c r="I116" i="42"/>
  <c r="I123" i="42"/>
  <c r="I113" i="42"/>
  <c r="I122" i="42"/>
  <c r="I112" i="42"/>
  <c r="M85" i="42"/>
  <c r="M81" i="42"/>
  <c r="M77" i="42"/>
  <c r="M73" i="42"/>
  <c r="M106" i="42"/>
  <c r="M96" i="42"/>
  <c r="M98" i="42"/>
  <c r="M68" i="42"/>
  <c r="M105" i="42"/>
  <c r="M95" i="42"/>
  <c r="M103" i="42"/>
  <c r="M66" i="42"/>
  <c r="M84" i="42"/>
  <c r="M80" i="42"/>
  <c r="M76" i="42"/>
  <c r="M72" i="42"/>
  <c r="M104" i="42"/>
  <c r="M94" i="42"/>
  <c r="M88" i="42"/>
  <c r="M67" i="42"/>
  <c r="M102" i="42"/>
  <c r="M90" i="42"/>
  <c r="M83" i="42"/>
  <c r="M79" i="42"/>
  <c r="M75" i="42"/>
  <c r="M71" i="42"/>
  <c r="M101" i="42"/>
  <c r="M91" i="42"/>
  <c r="M100" i="42"/>
  <c r="M82" i="42"/>
  <c r="M78" i="42"/>
  <c r="M74" i="42"/>
  <c r="M99" i="42"/>
  <c r="M89" i="42"/>
  <c r="M97" i="42"/>
  <c r="M69" i="42"/>
  <c r="M107" i="42"/>
  <c r="M93" i="42"/>
  <c r="H74" i="42"/>
  <c r="H73" i="42"/>
  <c r="H66" i="42"/>
  <c r="H129" i="42"/>
  <c r="H122" i="42"/>
  <c r="H113" i="42"/>
  <c r="H114" i="42"/>
  <c r="H81" i="42"/>
  <c r="H111" i="42"/>
  <c r="H125" i="42"/>
  <c r="H79" i="42"/>
  <c r="H112" i="42"/>
  <c r="H83" i="42"/>
  <c r="H72" i="42"/>
  <c r="H85" i="42"/>
  <c r="H127" i="42"/>
  <c r="H110" i="42"/>
  <c r="H75" i="42"/>
  <c r="H76" i="42"/>
  <c r="H78" i="42"/>
  <c r="H126" i="42"/>
  <c r="H67" i="42"/>
  <c r="H70" i="42"/>
  <c r="H120" i="42"/>
  <c r="H124" i="42"/>
  <c r="H119" i="42"/>
  <c r="H118" i="42"/>
  <c r="H69" i="42"/>
  <c r="H68" i="42"/>
  <c r="H128" i="42"/>
  <c r="H77" i="42"/>
  <c r="H121" i="42"/>
  <c r="H80" i="42"/>
  <c r="H71" i="42"/>
  <c r="H116" i="42"/>
  <c r="H117" i="42"/>
  <c r="H84" i="42"/>
  <c r="H123" i="42"/>
  <c r="H115" i="42"/>
  <c r="H82" i="42"/>
  <c r="J106" i="42"/>
  <c r="J94" i="42"/>
  <c r="J91" i="42"/>
  <c r="J105" i="42"/>
  <c r="G23" i="33" s="1"/>
  <c r="J104" i="42"/>
  <c r="J90" i="42"/>
  <c r="J101" i="42"/>
  <c r="J89" i="42"/>
  <c r="J100" i="42"/>
  <c r="J93" i="42"/>
  <c r="J99" i="42"/>
  <c r="J98" i="42"/>
  <c r="J103" i="42"/>
  <c r="J95" i="42"/>
  <c r="J88" i="42"/>
  <c r="J96" i="42"/>
  <c r="D51" i="28"/>
  <c r="D50" i="28"/>
  <c r="X80" i="63"/>
  <c r="X89" i="63" s="1"/>
  <c r="E50" i="42"/>
  <c r="G117" i="42" s="1"/>
  <c r="E42" i="42"/>
  <c r="G115" i="42" s="1"/>
  <c r="E56" i="42"/>
  <c r="G128" i="42" s="1"/>
  <c r="E46" i="42"/>
  <c r="G116" i="42" s="1"/>
  <c r="E55" i="42"/>
  <c r="G123" i="42" s="1"/>
  <c r="E47" i="42"/>
  <c r="G121" i="42" s="1"/>
  <c r="E49" i="42"/>
  <c r="G112" i="42" s="1"/>
  <c r="E41" i="42"/>
  <c r="G110" i="42" s="1"/>
  <c r="E54" i="42"/>
  <c r="G118" i="42" s="1"/>
  <c r="E48" i="42"/>
  <c r="G126" i="42" s="1"/>
  <c r="E53" i="42"/>
  <c r="G113" i="42" s="1"/>
  <c r="E45" i="42"/>
  <c r="G111" i="42" s="1"/>
  <c r="E52" i="42"/>
  <c r="G127" i="42" s="1"/>
  <c r="E44" i="42"/>
  <c r="G125" i="42" s="1"/>
  <c r="E51" i="42"/>
  <c r="G122" i="42" s="1"/>
  <c r="E43" i="42"/>
  <c r="G120" i="42" s="1"/>
  <c r="H8" i="58"/>
  <c r="M8" i="58"/>
  <c r="H7" i="58"/>
  <c r="M7" i="58"/>
  <c r="H10" i="58"/>
  <c r="M10" i="58"/>
  <c r="H9" i="58"/>
  <c r="M9" i="58"/>
  <c r="C29" i="42"/>
  <c r="C98" i="42"/>
  <c r="C9" i="42"/>
  <c r="C66" i="42"/>
  <c r="X82" i="63"/>
  <c r="X86" i="63"/>
  <c r="X84" i="63"/>
  <c r="C93" i="42"/>
  <c r="C28" i="42"/>
  <c r="AB25" i="7"/>
  <c r="AA25" i="7"/>
  <c r="G36" i="54" s="1"/>
  <c r="G53" i="52" s="1"/>
  <c r="L51" i="33" s="1"/>
  <c r="W25" i="7"/>
  <c r="C36" i="54" s="1"/>
  <c r="C53" i="52" s="1"/>
  <c r="H51" i="33" s="1"/>
  <c r="AD25" i="7"/>
  <c r="Z25" i="7"/>
  <c r="F36" i="54" s="1"/>
  <c r="F53" i="52" s="1"/>
  <c r="K51" i="33" s="1"/>
  <c r="V25" i="7"/>
  <c r="B36" i="54" s="1"/>
  <c r="B53" i="52" s="1"/>
  <c r="G51" i="33" s="1"/>
  <c r="AC25" i="7"/>
  <c r="I36" i="54" s="1"/>
  <c r="I53" i="52" s="1"/>
  <c r="N51" i="33" s="1"/>
  <c r="X25" i="7"/>
  <c r="D36" i="54" s="1"/>
  <c r="D53" i="52" s="1"/>
  <c r="I51" i="33" s="1"/>
  <c r="Y25" i="7"/>
  <c r="E36" i="54" s="1"/>
  <c r="E53" i="52" s="1"/>
  <c r="J51" i="33" s="1"/>
  <c r="AA27" i="7"/>
  <c r="G38" i="54" s="1"/>
  <c r="G55" i="52" s="1"/>
  <c r="AD27" i="7"/>
  <c r="Z27" i="7"/>
  <c r="F38" i="54" s="1"/>
  <c r="F55" i="52" s="1"/>
  <c r="V27" i="7"/>
  <c r="B38" i="54" s="1"/>
  <c r="B55" i="52" s="1"/>
  <c r="Y27" i="7"/>
  <c r="E38" i="54" s="1"/>
  <c r="E55" i="52" s="1"/>
  <c r="AC27" i="7"/>
  <c r="I38" i="54" s="1"/>
  <c r="I55" i="52" s="1"/>
  <c r="X27" i="7"/>
  <c r="D38" i="54" s="1"/>
  <c r="D55" i="52" s="1"/>
  <c r="W27" i="7"/>
  <c r="C38" i="54" s="1"/>
  <c r="C55" i="52" s="1"/>
  <c r="AB27" i="7"/>
  <c r="C30" i="42"/>
  <c r="C103" i="42"/>
  <c r="C31" i="42"/>
  <c r="C89" i="42"/>
  <c r="F328" i="45"/>
  <c r="F283" i="45"/>
  <c r="F312" i="45"/>
  <c r="C593" i="58"/>
  <c r="E593" i="58" s="1"/>
  <c r="C597" i="58"/>
  <c r="E597" i="58" s="1"/>
  <c r="C601" i="58"/>
  <c r="E601" i="58" s="1"/>
  <c r="C605" i="58"/>
  <c r="E605" i="58" s="1"/>
  <c r="C609" i="58"/>
  <c r="E609" i="58" s="1"/>
  <c r="C613" i="58"/>
  <c r="E613" i="58" s="1"/>
  <c r="C617" i="58"/>
  <c r="E617" i="58" s="1"/>
  <c r="C621" i="58"/>
  <c r="E621" i="58" s="1"/>
  <c r="C625" i="58"/>
  <c r="E625" i="58" s="1"/>
  <c r="C629" i="58"/>
  <c r="E629" i="58" s="1"/>
  <c r="C633" i="58"/>
  <c r="E633" i="58" s="1"/>
  <c r="C637" i="58"/>
  <c r="E637" i="58" s="1"/>
  <c r="C592" i="58"/>
  <c r="E592" i="58" s="1"/>
  <c r="C596" i="58"/>
  <c r="E596" i="58" s="1"/>
  <c r="C600" i="58"/>
  <c r="E600" i="58" s="1"/>
  <c r="C604" i="58"/>
  <c r="E604" i="58" s="1"/>
  <c r="C608" i="58"/>
  <c r="E608" i="58" s="1"/>
  <c r="C612" i="58"/>
  <c r="E612" i="58" s="1"/>
  <c r="C616" i="58"/>
  <c r="E616" i="58" s="1"/>
  <c r="C620" i="58"/>
  <c r="E620" i="58" s="1"/>
  <c r="C624" i="58"/>
  <c r="E624" i="58" s="1"/>
  <c r="C628" i="58"/>
  <c r="E628" i="58" s="1"/>
  <c r="C632" i="58"/>
  <c r="E632" i="58" s="1"/>
  <c r="C636" i="58"/>
  <c r="E636" i="58" s="1"/>
  <c r="C640" i="58"/>
  <c r="E640" i="58" s="1"/>
  <c r="C602" i="58"/>
  <c r="E602" i="58" s="1"/>
  <c r="C607" i="58"/>
  <c r="E607" i="58" s="1"/>
  <c r="C618" i="58"/>
  <c r="E618" i="58" s="1"/>
  <c r="C623" i="58"/>
  <c r="E623" i="58" s="1"/>
  <c r="C634" i="58"/>
  <c r="E634" i="58" s="1"/>
  <c r="C639" i="58"/>
  <c r="E639" i="58" s="1"/>
  <c r="C594" i="58"/>
  <c r="E594" i="58" s="1"/>
  <c r="C599" i="58"/>
  <c r="E599" i="58" s="1"/>
  <c r="C610" i="58"/>
  <c r="E610" i="58" s="1"/>
  <c r="C615" i="58"/>
  <c r="E615" i="58" s="1"/>
  <c r="C626" i="58"/>
  <c r="E626" i="58" s="1"/>
  <c r="C631" i="58"/>
  <c r="E631" i="58" s="1"/>
  <c r="C595" i="58"/>
  <c r="E595" i="58" s="1"/>
  <c r="C606" i="58"/>
  <c r="E606" i="58" s="1"/>
  <c r="C611" i="58"/>
  <c r="E611" i="58" s="1"/>
  <c r="C603" i="58"/>
  <c r="E603" i="58" s="1"/>
  <c r="C619" i="58"/>
  <c r="E619" i="58" s="1"/>
  <c r="C627" i="58"/>
  <c r="E627" i="58" s="1"/>
  <c r="C614" i="58"/>
  <c r="E614" i="58" s="1"/>
  <c r="C635" i="58"/>
  <c r="E635" i="58" s="1"/>
  <c r="C598" i="58"/>
  <c r="E598" i="58" s="1"/>
  <c r="C622" i="58"/>
  <c r="E622" i="58" s="1"/>
  <c r="C591" i="58"/>
  <c r="E591" i="58" s="1"/>
  <c r="C630" i="58"/>
  <c r="E630" i="58" s="1"/>
  <c r="C638" i="58"/>
  <c r="E638" i="58" s="1"/>
  <c r="C540" i="58"/>
  <c r="E540" i="58" s="1"/>
  <c r="C545" i="58"/>
  <c r="E545" i="58" s="1"/>
  <c r="C551" i="58"/>
  <c r="E551" i="58" s="1"/>
  <c r="C558" i="58"/>
  <c r="E558" i="58" s="1"/>
  <c r="C564" i="58"/>
  <c r="E564" i="58" s="1"/>
  <c r="C581" i="58"/>
  <c r="E581" i="58" s="1"/>
  <c r="C546" i="58"/>
  <c r="E546" i="58" s="1"/>
  <c r="C552" i="58"/>
  <c r="E552" i="58" s="1"/>
  <c r="C571" i="58"/>
  <c r="E571" i="58" s="1"/>
  <c r="C576" i="58"/>
  <c r="E576" i="58" s="1"/>
  <c r="C542" i="58"/>
  <c r="E542" i="58" s="1"/>
  <c r="C548" i="58"/>
  <c r="E548" i="58" s="1"/>
  <c r="C561" i="58"/>
  <c r="E561" i="58" s="1"/>
  <c r="C567" i="58"/>
  <c r="E567" i="58" s="1"/>
  <c r="C573" i="58"/>
  <c r="E573" i="58" s="1"/>
  <c r="C589" i="58"/>
  <c r="E589" i="58" s="1"/>
  <c r="C543" i="58"/>
  <c r="E543" i="58" s="1"/>
  <c r="C550" i="58"/>
  <c r="E550" i="58" s="1"/>
  <c r="C556" i="58"/>
  <c r="E556" i="58" s="1"/>
  <c r="C569" i="58"/>
  <c r="E569" i="58" s="1"/>
  <c r="C585" i="58"/>
  <c r="E585" i="58" s="1"/>
  <c r="C541" i="58"/>
  <c r="E541" i="58" s="1"/>
  <c r="C554" i="58"/>
  <c r="E554" i="58" s="1"/>
  <c r="C566" i="58"/>
  <c r="E566" i="58" s="1"/>
  <c r="C577" i="58"/>
  <c r="E577" i="58" s="1"/>
  <c r="C586" i="58"/>
  <c r="E586" i="58" s="1"/>
  <c r="C544" i="58"/>
  <c r="E544" i="58" s="1"/>
  <c r="C568" i="58"/>
  <c r="E568" i="58" s="1"/>
  <c r="C553" i="58"/>
  <c r="E553" i="58" s="1"/>
  <c r="C565" i="58"/>
  <c r="E565" i="58" s="1"/>
  <c r="C584" i="58"/>
  <c r="E584" i="58" s="1"/>
  <c r="C555" i="58"/>
  <c r="E555" i="58" s="1"/>
  <c r="C578" i="58"/>
  <c r="E578" i="58" s="1"/>
  <c r="C587" i="58"/>
  <c r="E587" i="58" s="1"/>
  <c r="C557" i="58"/>
  <c r="E557" i="58" s="1"/>
  <c r="C579" i="58"/>
  <c r="E579" i="58" s="1"/>
  <c r="C575" i="58"/>
  <c r="E575" i="58" s="1"/>
  <c r="C559" i="58"/>
  <c r="E559" i="58" s="1"/>
  <c r="C570" i="58"/>
  <c r="E570" i="58" s="1"/>
  <c r="C580" i="58"/>
  <c r="E580" i="58" s="1"/>
  <c r="C588" i="58"/>
  <c r="E588" i="58" s="1"/>
  <c r="C547" i="58"/>
  <c r="E547" i="58" s="1"/>
  <c r="C560" i="58"/>
  <c r="E560" i="58" s="1"/>
  <c r="C582" i="58"/>
  <c r="E582" i="58" s="1"/>
  <c r="C590" i="58"/>
  <c r="E590" i="58" s="1"/>
  <c r="C549" i="58"/>
  <c r="E549" i="58" s="1"/>
  <c r="C562" i="58"/>
  <c r="E562" i="58" s="1"/>
  <c r="C572" i="58"/>
  <c r="E572" i="58" s="1"/>
  <c r="C563" i="58"/>
  <c r="E563" i="58" s="1"/>
  <c r="C574" i="58"/>
  <c r="E574" i="58" s="1"/>
  <c r="C583" i="58"/>
  <c r="E583" i="58" s="1"/>
  <c r="F308" i="45"/>
  <c r="F305" i="45"/>
  <c r="F330" i="45"/>
  <c r="M11" i="60"/>
  <c r="D40" i="54" s="1"/>
  <c r="D57" i="52" s="1"/>
  <c r="I48" i="33" s="1"/>
  <c r="F311" i="45"/>
  <c r="F297" i="45"/>
  <c r="R22" i="43"/>
  <c r="D21" i="54" s="1"/>
  <c r="D45" i="52" s="1"/>
  <c r="N11" i="60"/>
  <c r="F79" i="60" s="1"/>
  <c r="P79" i="60" s="1"/>
  <c r="O11" i="60"/>
  <c r="G84" i="60" s="1"/>
  <c r="Q84" i="60" s="1"/>
  <c r="P11" i="60"/>
  <c r="D115" i="60" s="1"/>
  <c r="N115" i="60" s="1"/>
  <c r="S22" i="43"/>
  <c r="C541" i="43" s="1"/>
  <c r="M541" i="43" s="1"/>
  <c r="T22" i="43"/>
  <c r="E21" i="54" s="1"/>
  <c r="E45" i="52" s="1"/>
  <c r="V22" i="43"/>
  <c r="G21" i="54" s="1"/>
  <c r="G45" i="52" s="1"/>
  <c r="V23" i="43"/>
  <c r="G22" i="54" s="1"/>
  <c r="G46" i="52" s="1"/>
  <c r="T23" i="43"/>
  <c r="E22" i="54" s="1"/>
  <c r="E46" i="52" s="1"/>
  <c r="U22" i="43"/>
  <c r="G588" i="43" s="1"/>
  <c r="Q588" i="43" s="1"/>
  <c r="H18" i="43"/>
  <c r="C18" i="43"/>
  <c r="R23" i="43"/>
  <c r="D22" i="54" s="1"/>
  <c r="D46" i="52" s="1"/>
  <c r="S23" i="43"/>
  <c r="I22" i="54" s="1"/>
  <c r="I46" i="52" s="1"/>
  <c r="U23" i="43"/>
  <c r="B22" i="54" s="1"/>
  <c r="B46" i="52" s="1"/>
  <c r="F324" i="45"/>
  <c r="F286" i="45"/>
  <c r="F296" i="45"/>
  <c r="F282" i="45"/>
  <c r="F287" i="45"/>
  <c r="F281" i="45"/>
  <c r="F323" i="45"/>
  <c r="F319" i="45"/>
  <c r="F320" i="45"/>
  <c r="F327" i="45"/>
  <c r="F321" i="45"/>
  <c r="F325" i="45"/>
  <c r="F301" i="45"/>
  <c r="F289" i="45"/>
  <c r="F290" i="45"/>
  <c r="F298" i="45"/>
  <c r="X6" i="60"/>
  <c r="F299" i="45"/>
  <c r="F302" i="45"/>
  <c r="F288" i="45"/>
  <c r="F317" i="45"/>
  <c r="F307" i="45"/>
  <c r="M18" i="58"/>
  <c r="R18" i="58" s="1"/>
  <c r="M19" i="58"/>
  <c r="R19" i="58" s="1"/>
  <c r="M20" i="58"/>
  <c r="R20" i="58" s="1"/>
  <c r="M21" i="58"/>
  <c r="R21" i="58" s="1"/>
  <c r="F300" i="45"/>
  <c r="F315" i="45"/>
  <c r="F306" i="45"/>
  <c r="F326" i="45"/>
  <c r="F292" i="45"/>
  <c r="P7" i="43"/>
  <c r="K7" i="43" s="1"/>
  <c r="N7" i="43"/>
  <c r="I7" i="43" s="1"/>
  <c r="O10" i="43"/>
  <c r="J10" i="43" s="1"/>
  <c r="T10" i="43" s="1"/>
  <c r="M10" i="43"/>
  <c r="Q7" i="43"/>
  <c r="L7" i="43" s="1"/>
  <c r="Q9" i="43"/>
  <c r="L9" i="43" s="1"/>
  <c r="O9" i="43"/>
  <c r="J9" i="43" s="1"/>
  <c r="M9" i="43"/>
  <c r="H9" i="43" s="1"/>
  <c r="Q8" i="43"/>
  <c r="L8" i="43" s="1"/>
  <c r="O8" i="43"/>
  <c r="J8" i="43" s="1"/>
  <c r="M8" i="43"/>
  <c r="H8" i="43" s="1"/>
  <c r="O7" i="43"/>
  <c r="J7" i="43" s="1"/>
  <c r="N10" i="43"/>
  <c r="I10" i="43" s="1"/>
  <c r="N9" i="43"/>
  <c r="I9" i="43" s="1"/>
  <c r="P10" i="43"/>
  <c r="K10" i="43" s="1"/>
  <c r="U10" i="43" s="1"/>
  <c r="P8" i="43"/>
  <c r="K8" i="43" s="1"/>
  <c r="N8" i="43"/>
  <c r="I8" i="43" s="1"/>
  <c r="P9" i="43"/>
  <c r="K9" i="43" s="1"/>
  <c r="G19" i="43"/>
  <c r="C21" i="43"/>
  <c r="Q18" i="43"/>
  <c r="O18" i="43"/>
  <c r="M18" i="43"/>
  <c r="L19" i="43"/>
  <c r="J21" i="43"/>
  <c r="I18" i="43"/>
  <c r="G18" i="43"/>
  <c r="C20" i="43"/>
  <c r="P21" i="43"/>
  <c r="N21" i="43"/>
  <c r="L18" i="43"/>
  <c r="J20" i="43"/>
  <c r="H21" i="43"/>
  <c r="F21" i="43"/>
  <c r="D19" i="43"/>
  <c r="P18" i="43"/>
  <c r="E21" i="43"/>
  <c r="D21" i="43"/>
  <c r="C19" i="43"/>
  <c r="P20" i="43"/>
  <c r="N20" i="43"/>
  <c r="J19" i="43"/>
  <c r="H20" i="43"/>
  <c r="E20" i="43"/>
  <c r="D20" i="43"/>
  <c r="P19" i="43"/>
  <c r="N19" i="43"/>
  <c r="K21" i="43"/>
  <c r="J18" i="43"/>
  <c r="H19" i="43"/>
  <c r="E19" i="43"/>
  <c r="N18" i="43"/>
  <c r="K20" i="43"/>
  <c r="O20" i="43"/>
  <c r="G21" i="43"/>
  <c r="D18" i="43"/>
  <c r="O19" i="43"/>
  <c r="Q21" i="43"/>
  <c r="I19" i="43"/>
  <c r="F18" i="43"/>
  <c r="E18" i="43"/>
  <c r="Q19" i="43"/>
  <c r="M19" i="43"/>
  <c r="L20" i="43"/>
  <c r="K19" i="43"/>
  <c r="G20" i="43"/>
  <c r="M21" i="43"/>
  <c r="I21" i="43"/>
  <c r="F20" i="43"/>
  <c r="M20" i="43"/>
  <c r="I20" i="43"/>
  <c r="F19" i="43"/>
  <c r="L21" i="43"/>
  <c r="Q20" i="43"/>
  <c r="O21" i="43"/>
  <c r="K18" i="43"/>
  <c r="F303" i="45"/>
  <c r="F295" i="45"/>
  <c r="F314" i="45"/>
  <c r="F294" i="45"/>
  <c r="F284" i="45"/>
  <c r="F293" i="45"/>
  <c r="F313" i="45"/>
  <c r="F322" i="45"/>
  <c r="F310" i="45"/>
  <c r="F309" i="45"/>
  <c r="F318" i="45"/>
  <c r="F291" i="45"/>
  <c r="C7" i="58"/>
  <c r="C9" i="58"/>
  <c r="C8" i="58"/>
  <c r="E8" i="43"/>
  <c r="E7" i="43"/>
  <c r="C7" i="43"/>
  <c r="C8" i="43"/>
  <c r="E9" i="43"/>
  <c r="C9" i="43"/>
  <c r="F7" i="43"/>
  <c r="G7" i="43"/>
  <c r="G9" i="43"/>
  <c r="F8" i="43"/>
  <c r="G8" i="43"/>
  <c r="F9" i="43"/>
  <c r="B4" i="59"/>
  <c r="D4" i="59" s="1"/>
  <c r="C49" i="28"/>
  <c r="D49" i="28" s="1"/>
  <c r="J250" i="28"/>
  <c r="C258" i="28" s="1"/>
  <c r="R334" i="45"/>
  <c r="R171" i="45"/>
  <c r="M63" i="28"/>
  <c r="M62" i="28"/>
  <c r="D62" i="28"/>
  <c r="M65" i="28"/>
  <c r="D64" i="28"/>
  <c r="M64" i="28"/>
  <c r="D65" i="28"/>
  <c r="I15" i="54"/>
  <c r="I38" i="52" s="1"/>
  <c r="I40" i="52" s="1"/>
  <c r="N47" i="33" s="1"/>
  <c r="C113" i="55"/>
  <c r="M113" i="55" s="1"/>
  <c r="C83" i="55"/>
  <c r="M83" i="55" s="1"/>
  <c r="C100" i="55"/>
  <c r="M100" i="55" s="1"/>
  <c r="C109" i="55"/>
  <c r="M109" i="55" s="1"/>
  <c r="C118" i="55"/>
  <c r="M118" i="55" s="1"/>
  <c r="C72" i="55"/>
  <c r="M72" i="55" s="1"/>
  <c r="C74" i="55"/>
  <c r="M74" i="55" s="1"/>
  <c r="C91" i="55"/>
  <c r="M91" i="55" s="1"/>
  <c r="C108" i="55"/>
  <c r="M108" i="55" s="1"/>
  <c r="C117" i="55"/>
  <c r="M117" i="55" s="1"/>
  <c r="C71" i="55"/>
  <c r="M71" i="55" s="1"/>
  <c r="C80" i="55"/>
  <c r="M80" i="55" s="1"/>
  <c r="C82" i="55"/>
  <c r="M82" i="55" s="1"/>
  <c r="C99" i="55"/>
  <c r="M99" i="55" s="1"/>
  <c r="C116" i="55"/>
  <c r="M116" i="55" s="1"/>
  <c r="C70" i="55"/>
  <c r="M70" i="55" s="1"/>
  <c r="C79" i="55"/>
  <c r="M79" i="55" s="1"/>
  <c r="C88" i="55"/>
  <c r="M88" i="55" s="1"/>
  <c r="C73" i="55"/>
  <c r="M73" i="55" s="1"/>
  <c r="C90" i="55"/>
  <c r="M90" i="55" s="1"/>
  <c r="C107" i="55"/>
  <c r="M107" i="55" s="1"/>
  <c r="C69" i="55"/>
  <c r="M69" i="55" s="1"/>
  <c r="C78" i="55"/>
  <c r="M78" i="55" s="1"/>
  <c r="C87" i="55"/>
  <c r="M87" i="55" s="1"/>
  <c r="C96" i="55"/>
  <c r="M96" i="55" s="1"/>
  <c r="C81" i="55"/>
  <c r="M81" i="55" s="1"/>
  <c r="C98" i="55"/>
  <c r="M98" i="55" s="1"/>
  <c r="C115" i="55"/>
  <c r="M115" i="55" s="1"/>
  <c r="C77" i="55"/>
  <c r="M77" i="55" s="1"/>
  <c r="C86" i="55"/>
  <c r="M86" i="55" s="1"/>
  <c r="C95" i="55"/>
  <c r="M95" i="55" s="1"/>
  <c r="C104" i="55"/>
  <c r="M104" i="55" s="1"/>
  <c r="C89" i="55"/>
  <c r="M89" i="55" s="1"/>
  <c r="C106" i="55"/>
  <c r="M106" i="55" s="1"/>
  <c r="C76" i="55"/>
  <c r="M76" i="55" s="1"/>
  <c r="C85" i="55"/>
  <c r="M85" i="55" s="1"/>
  <c r="C94" i="55"/>
  <c r="M94" i="55" s="1"/>
  <c r="C103" i="55"/>
  <c r="M103" i="55" s="1"/>
  <c r="C112" i="55"/>
  <c r="M112" i="55" s="1"/>
  <c r="C97" i="55"/>
  <c r="M97" i="55" s="1"/>
  <c r="C114" i="55"/>
  <c r="M114" i="55" s="1"/>
  <c r="C84" i="55"/>
  <c r="M84" i="55" s="1"/>
  <c r="C93" i="55"/>
  <c r="M93" i="55" s="1"/>
  <c r="C102" i="55"/>
  <c r="M102" i="55" s="1"/>
  <c r="C111" i="55"/>
  <c r="M111" i="55" s="1"/>
  <c r="C105" i="55"/>
  <c r="M105" i="55" s="1"/>
  <c r="C75" i="55"/>
  <c r="M75" i="55" s="1"/>
  <c r="C92" i="55"/>
  <c r="M92" i="55" s="1"/>
  <c r="C101" i="55"/>
  <c r="M101" i="55" s="1"/>
  <c r="C110" i="55"/>
  <c r="M110" i="55" s="1"/>
  <c r="C68" i="55"/>
  <c r="M68" i="55" s="1"/>
  <c r="G265" i="43"/>
  <c r="Q265" i="43" s="1"/>
  <c r="G235" i="43"/>
  <c r="Q235" i="43" s="1"/>
  <c r="G63" i="60"/>
  <c r="S63" i="60" s="1"/>
  <c r="D54" i="51"/>
  <c r="G62" i="60"/>
  <c r="S62" i="60" s="1"/>
  <c r="G17" i="60"/>
  <c r="S17" i="60" s="1"/>
  <c r="G40" i="60"/>
  <c r="S40" i="60" s="1"/>
  <c r="G35" i="60"/>
  <c r="S35" i="60" s="1"/>
  <c r="G15" i="60"/>
  <c r="S15" i="60" s="1"/>
  <c r="G45" i="60"/>
  <c r="S45" i="60" s="1"/>
  <c r="G34" i="60"/>
  <c r="S34" i="60" s="1"/>
  <c r="G31" i="60"/>
  <c r="S31" i="60" s="1"/>
  <c r="G37" i="60"/>
  <c r="S37" i="60" s="1"/>
  <c r="G16" i="60"/>
  <c r="S16" i="60" s="1"/>
  <c r="G33" i="60"/>
  <c r="S33" i="60" s="1"/>
  <c r="G56" i="60"/>
  <c r="S56" i="60" s="1"/>
  <c r="G51" i="60"/>
  <c r="S51" i="60" s="1"/>
  <c r="G53" i="60"/>
  <c r="S53" i="60" s="1"/>
  <c r="G23" i="60"/>
  <c r="S23" i="60" s="1"/>
  <c r="G36" i="60"/>
  <c r="S36" i="60" s="1"/>
  <c r="G46" i="60"/>
  <c r="S46" i="60" s="1"/>
  <c r="G60" i="60"/>
  <c r="S60" i="60" s="1"/>
  <c r="G18" i="60"/>
  <c r="S18" i="60" s="1"/>
  <c r="G32" i="60"/>
  <c r="S32" i="60" s="1"/>
  <c r="G49" i="60"/>
  <c r="S49" i="60" s="1"/>
  <c r="G22" i="60"/>
  <c r="S22" i="60" s="1"/>
  <c r="G20" i="60"/>
  <c r="S20" i="60" s="1"/>
  <c r="G27" i="60"/>
  <c r="S27" i="60" s="1"/>
  <c r="G61" i="60"/>
  <c r="S61" i="60" s="1"/>
  <c r="G26" i="60"/>
  <c r="S26" i="60" s="1"/>
  <c r="G48" i="60"/>
  <c r="S48" i="60" s="1"/>
  <c r="G65" i="60"/>
  <c r="S65" i="60" s="1"/>
  <c r="G54" i="60"/>
  <c r="S54" i="60" s="1"/>
  <c r="G28" i="60"/>
  <c r="S28" i="60" s="1"/>
  <c r="G43" i="60"/>
  <c r="S43" i="60" s="1"/>
  <c r="G64" i="60"/>
  <c r="S64" i="60" s="1"/>
  <c r="G25" i="60"/>
  <c r="S25" i="60" s="1"/>
  <c r="G59" i="60"/>
  <c r="S59" i="60" s="1"/>
  <c r="G58" i="60"/>
  <c r="S58" i="60" s="1"/>
  <c r="G24" i="60"/>
  <c r="S24" i="60" s="1"/>
  <c r="G42" i="60"/>
  <c r="S42" i="60" s="1"/>
  <c r="G41" i="60"/>
  <c r="S41" i="60" s="1"/>
  <c r="G44" i="60"/>
  <c r="S44" i="60" s="1"/>
  <c r="G21" i="60"/>
  <c r="S21" i="60" s="1"/>
  <c r="G39" i="60"/>
  <c r="S39" i="60" s="1"/>
  <c r="G50" i="60"/>
  <c r="S50" i="60" s="1"/>
  <c r="G30" i="60"/>
  <c r="S30" i="60" s="1"/>
  <c r="G38" i="60"/>
  <c r="S38" i="60" s="1"/>
  <c r="G57" i="60"/>
  <c r="S57" i="60" s="1"/>
  <c r="G52" i="60"/>
  <c r="S52" i="60" s="1"/>
  <c r="G29" i="60"/>
  <c r="S29" i="60" s="1"/>
  <c r="G47" i="60"/>
  <c r="S47" i="60" s="1"/>
  <c r="G19" i="60"/>
  <c r="S19" i="60" s="1"/>
  <c r="G55" i="60"/>
  <c r="S55" i="60" s="1"/>
  <c r="E311" i="43"/>
  <c r="O311" i="43" s="1"/>
  <c r="E293" i="43"/>
  <c r="O293" i="43" s="1"/>
  <c r="G15" i="54"/>
  <c r="G38" i="52" s="1"/>
  <c r="G40" i="52" s="1"/>
  <c r="L47" i="33" s="1"/>
  <c r="F72" i="55"/>
  <c r="P72" i="55" s="1"/>
  <c r="F81" i="55"/>
  <c r="P81" i="55" s="1"/>
  <c r="F98" i="55"/>
  <c r="P98" i="55" s="1"/>
  <c r="F115" i="55"/>
  <c r="P115" i="55" s="1"/>
  <c r="F77" i="55"/>
  <c r="P77" i="55" s="1"/>
  <c r="F86" i="55"/>
  <c r="P86" i="55" s="1"/>
  <c r="F80" i="55"/>
  <c r="P80" i="55" s="1"/>
  <c r="F89" i="55"/>
  <c r="P89" i="55" s="1"/>
  <c r="F106" i="55"/>
  <c r="P106" i="55" s="1"/>
  <c r="F76" i="55"/>
  <c r="P76" i="55" s="1"/>
  <c r="F85" i="55"/>
  <c r="P85" i="55" s="1"/>
  <c r="F94" i="55"/>
  <c r="P94" i="55" s="1"/>
  <c r="F71" i="55"/>
  <c r="P71" i="55" s="1"/>
  <c r="F88" i="55"/>
  <c r="P88" i="55" s="1"/>
  <c r="F97" i="55"/>
  <c r="P97" i="55" s="1"/>
  <c r="F114" i="55"/>
  <c r="P114" i="55" s="1"/>
  <c r="F84" i="55"/>
  <c r="P84" i="55" s="1"/>
  <c r="F93" i="55"/>
  <c r="P93" i="55" s="1"/>
  <c r="F102" i="55"/>
  <c r="P102" i="55" s="1"/>
  <c r="F79" i="55"/>
  <c r="P79" i="55" s="1"/>
  <c r="F96" i="55"/>
  <c r="P96" i="55" s="1"/>
  <c r="F105" i="55"/>
  <c r="P105" i="55" s="1"/>
  <c r="F75" i="55"/>
  <c r="P75" i="55" s="1"/>
  <c r="F92" i="55"/>
  <c r="P92" i="55" s="1"/>
  <c r="F101" i="55"/>
  <c r="P101" i="55" s="1"/>
  <c r="F110" i="55"/>
  <c r="P110" i="55" s="1"/>
  <c r="F87" i="55"/>
  <c r="P87" i="55" s="1"/>
  <c r="F104" i="55"/>
  <c r="P104" i="55" s="1"/>
  <c r="F113" i="55"/>
  <c r="P113" i="55" s="1"/>
  <c r="F83" i="55"/>
  <c r="P83" i="55" s="1"/>
  <c r="F100" i="55"/>
  <c r="P100" i="55" s="1"/>
  <c r="F109" i="55"/>
  <c r="P109" i="55" s="1"/>
  <c r="F118" i="55"/>
  <c r="P118" i="55" s="1"/>
  <c r="F95" i="55"/>
  <c r="P95" i="55" s="1"/>
  <c r="F112" i="55"/>
  <c r="P112" i="55" s="1"/>
  <c r="F74" i="55"/>
  <c r="P74" i="55" s="1"/>
  <c r="F91" i="55"/>
  <c r="P91" i="55" s="1"/>
  <c r="F108" i="55"/>
  <c r="P108" i="55" s="1"/>
  <c r="F117" i="55"/>
  <c r="P117" i="55" s="1"/>
  <c r="F103" i="55"/>
  <c r="P103" i="55" s="1"/>
  <c r="F68" i="55"/>
  <c r="P68" i="55" s="1"/>
  <c r="F82" i="55"/>
  <c r="P82" i="55" s="1"/>
  <c r="F99" i="55"/>
  <c r="P99" i="55" s="1"/>
  <c r="F116" i="55"/>
  <c r="P116" i="55" s="1"/>
  <c r="F70" i="55"/>
  <c r="P70" i="55" s="1"/>
  <c r="F111" i="55"/>
  <c r="P111" i="55" s="1"/>
  <c r="F73" i="55"/>
  <c r="P73" i="55" s="1"/>
  <c r="F90" i="55"/>
  <c r="P90" i="55" s="1"/>
  <c r="F107" i="55"/>
  <c r="P107" i="55" s="1"/>
  <c r="F69" i="55"/>
  <c r="P69" i="55" s="1"/>
  <c r="F78" i="55"/>
  <c r="P78" i="55" s="1"/>
  <c r="H15" i="60"/>
  <c r="T15" i="60" s="1"/>
  <c r="G54" i="51"/>
  <c r="H44" i="60"/>
  <c r="T44" i="60" s="1"/>
  <c r="H58" i="60"/>
  <c r="T58" i="60" s="1"/>
  <c r="H45" i="60"/>
  <c r="T45" i="60" s="1"/>
  <c r="H63" i="60"/>
  <c r="T63" i="60" s="1"/>
  <c r="H24" i="60"/>
  <c r="T24" i="60" s="1"/>
  <c r="H53" i="60"/>
  <c r="T53" i="60" s="1"/>
  <c r="H52" i="60"/>
  <c r="T52" i="60" s="1"/>
  <c r="H22" i="60"/>
  <c r="T22" i="60" s="1"/>
  <c r="H55" i="60"/>
  <c r="T55" i="60" s="1"/>
  <c r="H47" i="60"/>
  <c r="T47" i="60" s="1"/>
  <c r="H59" i="60"/>
  <c r="T59" i="60" s="1"/>
  <c r="H38" i="60"/>
  <c r="T38" i="60" s="1"/>
  <c r="H37" i="60"/>
  <c r="T37" i="60" s="1"/>
  <c r="H49" i="60"/>
  <c r="T49" i="60" s="1"/>
  <c r="H60" i="60"/>
  <c r="T60" i="60" s="1"/>
  <c r="H32" i="60"/>
  <c r="T32" i="60" s="1"/>
  <c r="H65" i="60"/>
  <c r="T65" i="60" s="1"/>
  <c r="H29" i="60"/>
  <c r="T29" i="60" s="1"/>
  <c r="H41" i="60"/>
  <c r="T41" i="60" s="1"/>
  <c r="H17" i="60"/>
  <c r="T17" i="60" s="1"/>
  <c r="H35" i="60"/>
  <c r="T35" i="60" s="1"/>
  <c r="H18" i="60"/>
  <c r="T18" i="60" s="1"/>
  <c r="H43" i="60"/>
  <c r="T43" i="60" s="1"/>
  <c r="H19" i="60"/>
  <c r="T19" i="60" s="1"/>
  <c r="H61" i="60"/>
  <c r="T61" i="60" s="1"/>
  <c r="H25" i="60"/>
  <c r="T25" i="60" s="1"/>
  <c r="H57" i="60"/>
  <c r="T57" i="60" s="1"/>
  <c r="H33" i="60"/>
  <c r="T33" i="60" s="1"/>
  <c r="H31" i="60"/>
  <c r="T31" i="60" s="1"/>
  <c r="H16" i="60"/>
  <c r="T16" i="60" s="1"/>
  <c r="H26" i="60"/>
  <c r="T26" i="60" s="1"/>
  <c r="H54" i="60"/>
  <c r="T54" i="60" s="1"/>
  <c r="H30" i="60"/>
  <c r="T30" i="60" s="1"/>
  <c r="H46" i="60"/>
  <c r="T46" i="60" s="1"/>
  <c r="H56" i="60"/>
  <c r="T56" i="60" s="1"/>
  <c r="H20" i="60"/>
  <c r="T20" i="60" s="1"/>
  <c r="H34" i="60"/>
  <c r="T34" i="60" s="1"/>
  <c r="H64" i="60"/>
  <c r="T64" i="60" s="1"/>
  <c r="H40" i="60"/>
  <c r="T40" i="60" s="1"/>
  <c r="H27" i="60"/>
  <c r="T27" i="60" s="1"/>
  <c r="H21" i="60"/>
  <c r="T21" i="60" s="1"/>
  <c r="H28" i="60"/>
  <c r="T28" i="60" s="1"/>
  <c r="H42" i="60"/>
  <c r="T42" i="60" s="1"/>
  <c r="H23" i="60"/>
  <c r="T23" i="60" s="1"/>
  <c r="H51" i="60"/>
  <c r="T51" i="60" s="1"/>
  <c r="H48" i="60"/>
  <c r="T48" i="60" s="1"/>
  <c r="H39" i="60"/>
  <c r="T39" i="60" s="1"/>
  <c r="H36" i="60"/>
  <c r="T36" i="60" s="1"/>
  <c r="H50" i="60"/>
  <c r="T50" i="60" s="1"/>
  <c r="H62" i="60"/>
  <c r="T62" i="60" s="1"/>
  <c r="D9" i="43"/>
  <c r="D8" i="43"/>
  <c r="D7" i="43"/>
  <c r="S7" i="43" s="1"/>
  <c r="E69" i="55"/>
  <c r="O69" i="55" s="1"/>
  <c r="D15" i="54"/>
  <c r="D38" i="52" s="1"/>
  <c r="D40" i="52" s="1"/>
  <c r="I47" i="33" s="1"/>
  <c r="E106" i="55"/>
  <c r="O106" i="55" s="1"/>
  <c r="E107" i="55"/>
  <c r="O107" i="55" s="1"/>
  <c r="E76" i="55"/>
  <c r="O76" i="55" s="1"/>
  <c r="E72" i="55"/>
  <c r="O72" i="55" s="1"/>
  <c r="E88" i="55"/>
  <c r="O88" i="55" s="1"/>
  <c r="E81" i="55"/>
  <c r="O81" i="55" s="1"/>
  <c r="E89" i="55"/>
  <c r="O89" i="55" s="1"/>
  <c r="E98" i="55"/>
  <c r="O98" i="55" s="1"/>
  <c r="E116" i="55"/>
  <c r="O116" i="55" s="1"/>
  <c r="E99" i="55"/>
  <c r="O99" i="55" s="1"/>
  <c r="E115" i="55"/>
  <c r="O115" i="55" s="1"/>
  <c r="E95" i="55"/>
  <c r="O95" i="55" s="1"/>
  <c r="E84" i="55"/>
  <c r="O84" i="55" s="1"/>
  <c r="E109" i="55"/>
  <c r="O109" i="55" s="1"/>
  <c r="E90" i="55"/>
  <c r="O90" i="55" s="1"/>
  <c r="E73" i="55"/>
  <c r="O73" i="55" s="1"/>
  <c r="E105" i="55"/>
  <c r="O105" i="55" s="1"/>
  <c r="E86" i="55"/>
  <c r="O86" i="55" s="1"/>
  <c r="E114" i="55"/>
  <c r="O114" i="55" s="1"/>
  <c r="E78" i="55"/>
  <c r="O78" i="55" s="1"/>
  <c r="E68" i="55"/>
  <c r="O68" i="55" s="1"/>
  <c r="E102" i="55"/>
  <c r="O102" i="55" s="1"/>
  <c r="E111" i="55"/>
  <c r="O111" i="55" s="1"/>
  <c r="E100" i="55"/>
  <c r="O100" i="55" s="1"/>
  <c r="E97" i="55"/>
  <c r="O97" i="55" s="1"/>
  <c r="E92" i="55"/>
  <c r="O92" i="55" s="1"/>
  <c r="E75" i="55"/>
  <c r="O75" i="55" s="1"/>
  <c r="E85" i="55"/>
  <c r="O85" i="55" s="1"/>
  <c r="E83" i="55"/>
  <c r="O83" i="55" s="1"/>
  <c r="E80" i="55"/>
  <c r="O80" i="55" s="1"/>
  <c r="E82" i="55"/>
  <c r="O82" i="55" s="1"/>
  <c r="E112" i="55"/>
  <c r="O112" i="55" s="1"/>
  <c r="E108" i="55"/>
  <c r="O108" i="55" s="1"/>
  <c r="E113" i="55"/>
  <c r="O113" i="55" s="1"/>
  <c r="E71" i="55"/>
  <c r="O71" i="55" s="1"/>
  <c r="E103" i="55"/>
  <c r="O103" i="55" s="1"/>
  <c r="E94" i="55"/>
  <c r="O94" i="55" s="1"/>
  <c r="E91" i="55"/>
  <c r="O91" i="55" s="1"/>
  <c r="E96" i="55"/>
  <c r="O96" i="55" s="1"/>
  <c r="E93" i="55"/>
  <c r="O93" i="55" s="1"/>
  <c r="E79" i="55"/>
  <c r="O79" i="55" s="1"/>
  <c r="E101" i="55"/>
  <c r="O101" i="55" s="1"/>
  <c r="E74" i="55"/>
  <c r="O74" i="55" s="1"/>
  <c r="E87" i="55"/>
  <c r="O87" i="55" s="1"/>
  <c r="E77" i="55"/>
  <c r="O77" i="55" s="1"/>
  <c r="E118" i="55"/>
  <c r="O118" i="55" s="1"/>
  <c r="E110" i="55"/>
  <c r="O110" i="55" s="1"/>
  <c r="E104" i="55"/>
  <c r="O104" i="55" s="1"/>
  <c r="E70" i="55"/>
  <c r="O70" i="55" s="1"/>
  <c r="E117" i="55"/>
  <c r="O117" i="55" s="1"/>
  <c r="C15" i="60"/>
  <c r="I54" i="51"/>
  <c r="C38" i="60"/>
  <c r="C54" i="60"/>
  <c r="C51" i="60"/>
  <c r="C39" i="60"/>
  <c r="C60" i="60"/>
  <c r="C42" i="60"/>
  <c r="C32" i="60"/>
  <c r="C45" i="60"/>
  <c r="C36" i="60"/>
  <c r="C59" i="60"/>
  <c r="C50" i="60"/>
  <c r="C44" i="60"/>
  <c r="C57" i="60"/>
  <c r="C34" i="60"/>
  <c r="C21" i="60"/>
  <c r="C17" i="60"/>
  <c r="C61" i="60"/>
  <c r="C24" i="60"/>
  <c r="C62" i="60"/>
  <c r="C55" i="60"/>
  <c r="C48" i="60"/>
  <c r="C16" i="60"/>
  <c r="C25" i="60"/>
  <c r="C40" i="60"/>
  <c r="C29" i="60"/>
  <c r="C28" i="60"/>
  <c r="C49" i="60"/>
  <c r="C52" i="60"/>
  <c r="C56" i="60"/>
  <c r="C53" i="60"/>
  <c r="C31" i="60"/>
  <c r="C19" i="60"/>
  <c r="C65" i="60"/>
  <c r="C47" i="60"/>
  <c r="C23" i="60"/>
  <c r="C43" i="60"/>
  <c r="C58" i="60"/>
  <c r="C22" i="60"/>
  <c r="C63" i="60"/>
  <c r="C26" i="60"/>
  <c r="C46" i="60"/>
  <c r="C37" i="60"/>
  <c r="C20" i="60"/>
  <c r="C64" i="60"/>
  <c r="C30" i="60"/>
  <c r="C33" i="60"/>
  <c r="C18" i="60"/>
  <c r="C27" i="60"/>
  <c r="C41" i="60"/>
  <c r="C35" i="60"/>
  <c r="B15" i="54"/>
  <c r="B38" i="52" s="1"/>
  <c r="B40" i="52" s="1"/>
  <c r="G47" i="33" s="1"/>
  <c r="G97" i="55"/>
  <c r="Q97" i="55" s="1"/>
  <c r="G106" i="55"/>
  <c r="Q106" i="55" s="1"/>
  <c r="G76" i="55"/>
  <c r="Q76" i="55" s="1"/>
  <c r="G85" i="55"/>
  <c r="Q85" i="55" s="1"/>
  <c r="G94" i="55"/>
  <c r="Q94" i="55" s="1"/>
  <c r="G103" i="55"/>
  <c r="Q103" i="55" s="1"/>
  <c r="G105" i="55"/>
  <c r="Q105" i="55" s="1"/>
  <c r="G114" i="55"/>
  <c r="Q114" i="55" s="1"/>
  <c r="G84" i="55"/>
  <c r="Q84" i="55" s="1"/>
  <c r="G93" i="55"/>
  <c r="Q93" i="55" s="1"/>
  <c r="G102" i="55"/>
  <c r="Q102" i="55" s="1"/>
  <c r="G111" i="55"/>
  <c r="Q111" i="55" s="1"/>
  <c r="G113" i="55"/>
  <c r="Q113" i="55" s="1"/>
  <c r="G75" i="55"/>
  <c r="Q75" i="55" s="1"/>
  <c r="G92" i="55"/>
  <c r="Q92" i="55" s="1"/>
  <c r="G101" i="55"/>
  <c r="Q101" i="55" s="1"/>
  <c r="G110" i="55"/>
  <c r="Q110" i="55" s="1"/>
  <c r="G72" i="55"/>
  <c r="Q72" i="55" s="1"/>
  <c r="G68" i="55"/>
  <c r="Q68" i="55" s="1"/>
  <c r="G83" i="55"/>
  <c r="Q83" i="55" s="1"/>
  <c r="G100" i="55"/>
  <c r="Q100" i="55" s="1"/>
  <c r="G109" i="55"/>
  <c r="Q109" i="55" s="1"/>
  <c r="G118" i="55"/>
  <c r="Q118" i="55" s="1"/>
  <c r="G80" i="55"/>
  <c r="Q80" i="55" s="1"/>
  <c r="G74" i="55"/>
  <c r="Q74" i="55" s="1"/>
  <c r="G91" i="55"/>
  <c r="Q91" i="55" s="1"/>
  <c r="G108" i="55"/>
  <c r="Q108" i="55" s="1"/>
  <c r="G117" i="55"/>
  <c r="Q117" i="55" s="1"/>
  <c r="G71" i="55"/>
  <c r="Q71" i="55" s="1"/>
  <c r="G88" i="55"/>
  <c r="Q88" i="55" s="1"/>
  <c r="G73" i="55"/>
  <c r="Q73" i="55" s="1"/>
  <c r="G82" i="55"/>
  <c r="Q82" i="55" s="1"/>
  <c r="G99" i="55"/>
  <c r="Q99" i="55" s="1"/>
  <c r="G116" i="55"/>
  <c r="Q116" i="55" s="1"/>
  <c r="G70" i="55"/>
  <c r="Q70" i="55" s="1"/>
  <c r="G79" i="55"/>
  <c r="Q79" i="55" s="1"/>
  <c r="G96" i="55"/>
  <c r="Q96" i="55" s="1"/>
  <c r="G81" i="55"/>
  <c r="Q81" i="55" s="1"/>
  <c r="G90" i="55"/>
  <c r="Q90" i="55" s="1"/>
  <c r="G107" i="55"/>
  <c r="Q107" i="55" s="1"/>
  <c r="G69" i="55"/>
  <c r="Q69" i="55" s="1"/>
  <c r="G78" i="55"/>
  <c r="Q78" i="55" s="1"/>
  <c r="G87" i="55"/>
  <c r="Q87" i="55" s="1"/>
  <c r="G104" i="55"/>
  <c r="Q104" i="55" s="1"/>
  <c r="G89" i="55"/>
  <c r="Q89" i="55" s="1"/>
  <c r="G98" i="55"/>
  <c r="Q98" i="55" s="1"/>
  <c r="G115" i="55"/>
  <c r="Q115" i="55" s="1"/>
  <c r="G77" i="55"/>
  <c r="Q77" i="55" s="1"/>
  <c r="G86" i="55"/>
  <c r="Q86" i="55" s="1"/>
  <c r="G95" i="55"/>
  <c r="Q95" i="55" s="1"/>
  <c r="G112" i="55"/>
  <c r="Q112" i="55" s="1"/>
  <c r="E54" i="51"/>
  <c r="K40" i="60"/>
  <c r="W40" i="60" s="1"/>
  <c r="K65" i="60"/>
  <c r="W65" i="60" s="1"/>
  <c r="K62" i="60"/>
  <c r="W62" i="60" s="1"/>
  <c r="K26" i="60"/>
  <c r="W26" i="60" s="1"/>
  <c r="K59" i="60"/>
  <c r="W59" i="60" s="1"/>
  <c r="K41" i="60"/>
  <c r="W41" i="60" s="1"/>
  <c r="K15" i="60"/>
  <c r="W15" i="60" s="1"/>
  <c r="K50" i="60"/>
  <c r="W50" i="60" s="1"/>
  <c r="K20" i="60"/>
  <c r="W20" i="60" s="1"/>
  <c r="K37" i="60"/>
  <c r="W37" i="60" s="1"/>
  <c r="K24" i="60"/>
  <c r="W24" i="60" s="1"/>
  <c r="K23" i="60"/>
  <c r="W23" i="60" s="1"/>
  <c r="K32" i="60"/>
  <c r="W32" i="60" s="1"/>
  <c r="K64" i="60"/>
  <c r="W64" i="60" s="1"/>
  <c r="K28" i="60"/>
  <c r="W28" i="60" s="1"/>
  <c r="K48" i="60"/>
  <c r="W48" i="60" s="1"/>
  <c r="K34" i="60"/>
  <c r="W34" i="60" s="1"/>
  <c r="K54" i="60"/>
  <c r="W54" i="60" s="1"/>
  <c r="K53" i="60"/>
  <c r="W53" i="60" s="1"/>
  <c r="K47" i="60"/>
  <c r="W47" i="60" s="1"/>
  <c r="K22" i="60"/>
  <c r="W22" i="60" s="1"/>
  <c r="K36" i="60"/>
  <c r="W36" i="60" s="1"/>
  <c r="K58" i="60"/>
  <c r="W58" i="60" s="1"/>
  <c r="K45" i="60"/>
  <c r="W45" i="60" s="1"/>
  <c r="K61" i="60"/>
  <c r="W61" i="60" s="1"/>
  <c r="K42" i="60"/>
  <c r="W42" i="60" s="1"/>
  <c r="K27" i="60"/>
  <c r="W27" i="60" s="1"/>
  <c r="K29" i="60"/>
  <c r="W29" i="60" s="1"/>
  <c r="K21" i="60"/>
  <c r="W21" i="60" s="1"/>
  <c r="K55" i="60"/>
  <c r="W55" i="60" s="1"/>
  <c r="K35" i="60"/>
  <c r="W35" i="60" s="1"/>
  <c r="K51" i="60"/>
  <c r="W51" i="60" s="1"/>
  <c r="K31" i="60"/>
  <c r="W31" i="60" s="1"/>
  <c r="K30" i="60"/>
  <c r="W30" i="60" s="1"/>
  <c r="K44" i="60"/>
  <c r="W44" i="60" s="1"/>
  <c r="K17" i="60"/>
  <c r="W17" i="60" s="1"/>
  <c r="K56" i="60"/>
  <c r="W56" i="60" s="1"/>
  <c r="K52" i="60"/>
  <c r="W52" i="60" s="1"/>
  <c r="K25" i="60"/>
  <c r="W25" i="60" s="1"/>
  <c r="K49" i="60"/>
  <c r="W49" i="60" s="1"/>
  <c r="K19" i="60"/>
  <c r="W19" i="60" s="1"/>
  <c r="K33" i="60"/>
  <c r="W33" i="60" s="1"/>
  <c r="K38" i="60"/>
  <c r="W38" i="60" s="1"/>
  <c r="K63" i="60"/>
  <c r="W63" i="60" s="1"/>
  <c r="K18" i="60"/>
  <c r="W18" i="60" s="1"/>
  <c r="K46" i="60"/>
  <c r="W46" i="60" s="1"/>
  <c r="K60" i="60"/>
  <c r="W60" i="60" s="1"/>
  <c r="K39" i="60"/>
  <c r="W39" i="60" s="1"/>
  <c r="K43" i="60"/>
  <c r="W43" i="60" s="1"/>
  <c r="K16" i="60"/>
  <c r="W16" i="60" s="1"/>
  <c r="K57" i="60"/>
  <c r="W57" i="60" s="1"/>
  <c r="E15" i="54"/>
  <c r="E38" i="52" s="1"/>
  <c r="F40" i="52" s="1"/>
  <c r="K47" i="33" s="1"/>
  <c r="D75" i="55"/>
  <c r="N75" i="55" s="1"/>
  <c r="D92" i="55"/>
  <c r="N92" i="55" s="1"/>
  <c r="D101" i="55"/>
  <c r="N101" i="55" s="1"/>
  <c r="D110" i="55"/>
  <c r="N110" i="55" s="1"/>
  <c r="D72" i="55"/>
  <c r="N72" i="55" s="1"/>
  <c r="D89" i="55"/>
  <c r="N89" i="55" s="1"/>
  <c r="D106" i="55"/>
  <c r="N106" i="55" s="1"/>
  <c r="D83" i="55"/>
  <c r="N83" i="55" s="1"/>
  <c r="D100" i="55"/>
  <c r="N100" i="55" s="1"/>
  <c r="D109" i="55"/>
  <c r="N109" i="55" s="1"/>
  <c r="D118" i="55"/>
  <c r="N118" i="55" s="1"/>
  <c r="D80" i="55"/>
  <c r="N80" i="55" s="1"/>
  <c r="D97" i="55"/>
  <c r="N97" i="55" s="1"/>
  <c r="D114" i="55"/>
  <c r="N114" i="55" s="1"/>
  <c r="D91" i="55"/>
  <c r="N91" i="55" s="1"/>
  <c r="D108" i="55"/>
  <c r="N108" i="55" s="1"/>
  <c r="D117" i="55"/>
  <c r="N117" i="55" s="1"/>
  <c r="D71" i="55"/>
  <c r="N71" i="55" s="1"/>
  <c r="D88" i="55"/>
  <c r="N88" i="55" s="1"/>
  <c r="D105" i="55"/>
  <c r="N105" i="55" s="1"/>
  <c r="D68" i="55"/>
  <c r="N68" i="55" s="1"/>
  <c r="D99" i="55"/>
  <c r="N99" i="55" s="1"/>
  <c r="D116" i="55"/>
  <c r="N116" i="55" s="1"/>
  <c r="D70" i="55"/>
  <c r="N70" i="55" s="1"/>
  <c r="D79" i="55"/>
  <c r="N79" i="55" s="1"/>
  <c r="D96" i="55"/>
  <c r="N96" i="55" s="1"/>
  <c r="D113" i="55"/>
  <c r="N113" i="55" s="1"/>
  <c r="D107" i="55"/>
  <c r="N107" i="55" s="1"/>
  <c r="D69" i="55"/>
  <c r="N69" i="55" s="1"/>
  <c r="D78" i="55"/>
  <c r="N78" i="55" s="1"/>
  <c r="D87" i="55"/>
  <c r="N87" i="55" s="1"/>
  <c r="D104" i="55"/>
  <c r="N104" i="55" s="1"/>
  <c r="D74" i="55"/>
  <c r="N74" i="55" s="1"/>
  <c r="D115" i="55"/>
  <c r="N115" i="55" s="1"/>
  <c r="D77" i="55"/>
  <c r="N77" i="55" s="1"/>
  <c r="D86" i="55"/>
  <c r="N86" i="55" s="1"/>
  <c r="D95" i="55"/>
  <c r="N95" i="55" s="1"/>
  <c r="D112" i="55"/>
  <c r="N112" i="55" s="1"/>
  <c r="D82" i="55"/>
  <c r="N82" i="55" s="1"/>
  <c r="D76" i="55"/>
  <c r="N76" i="55" s="1"/>
  <c r="D85" i="55"/>
  <c r="N85" i="55" s="1"/>
  <c r="D94" i="55"/>
  <c r="N94" i="55" s="1"/>
  <c r="D103" i="55"/>
  <c r="N103" i="55" s="1"/>
  <c r="D73" i="55"/>
  <c r="N73" i="55" s="1"/>
  <c r="D90" i="55"/>
  <c r="N90" i="55" s="1"/>
  <c r="D84" i="55"/>
  <c r="N84" i="55" s="1"/>
  <c r="D93" i="55"/>
  <c r="N93" i="55" s="1"/>
  <c r="D102" i="55"/>
  <c r="N102" i="55" s="1"/>
  <c r="D111" i="55"/>
  <c r="N111" i="55" s="1"/>
  <c r="D81" i="55"/>
  <c r="N81" i="55" s="1"/>
  <c r="D98" i="55"/>
  <c r="N98" i="55" s="1"/>
  <c r="I15" i="60"/>
  <c r="U15" i="60" s="1"/>
  <c r="B54" i="51"/>
  <c r="I20" i="60"/>
  <c r="U20" i="60" s="1"/>
  <c r="I19" i="60"/>
  <c r="U19" i="60" s="1"/>
  <c r="I34" i="60"/>
  <c r="U34" i="60" s="1"/>
  <c r="I17" i="60"/>
  <c r="U17" i="60" s="1"/>
  <c r="I31" i="60"/>
  <c r="U31" i="60" s="1"/>
  <c r="I56" i="60"/>
  <c r="U56" i="60" s="1"/>
  <c r="I53" i="60"/>
  <c r="U53" i="60" s="1"/>
  <c r="I61" i="60"/>
  <c r="U61" i="60" s="1"/>
  <c r="I27" i="60"/>
  <c r="U27" i="60" s="1"/>
  <c r="I45" i="60"/>
  <c r="U45" i="60" s="1"/>
  <c r="I38" i="60"/>
  <c r="U38" i="60" s="1"/>
  <c r="I18" i="60"/>
  <c r="U18" i="60" s="1"/>
  <c r="I25" i="60"/>
  <c r="U25" i="60" s="1"/>
  <c r="I39" i="60"/>
  <c r="U39" i="60" s="1"/>
  <c r="I26" i="60"/>
  <c r="U26" i="60" s="1"/>
  <c r="I64" i="60"/>
  <c r="U64" i="60" s="1"/>
  <c r="I44" i="60"/>
  <c r="U44" i="60" s="1"/>
  <c r="I29" i="60"/>
  <c r="U29" i="60" s="1"/>
  <c r="I54" i="60"/>
  <c r="U54" i="60" s="1"/>
  <c r="I33" i="60"/>
  <c r="U33" i="60" s="1"/>
  <c r="I47" i="60"/>
  <c r="U47" i="60" s="1"/>
  <c r="I36" i="60"/>
  <c r="U36" i="60" s="1"/>
  <c r="I28" i="60"/>
  <c r="U28" i="60" s="1"/>
  <c r="I59" i="60"/>
  <c r="U59" i="60" s="1"/>
  <c r="I50" i="60"/>
  <c r="U50" i="60" s="1"/>
  <c r="I41" i="60"/>
  <c r="U41" i="60" s="1"/>
  <c r="I55" i="60"/>
  <c r="U55" i="60" s="1"/>
  <c r="I46" i="60"/>
  <c r="U46" i="60" s="1"/>
  <c r="I40" i="60"/>
  <c r="U40" i="60" s="1"/>
  <c r="I37" i="60"/>
  <c r="U37" i="60" s="1"/>
  <c r="I43" i="60"/>
  <c r="U43" i="60" s="1"/>
  <c r="I42" i="60"/>
  <c r="U42" i="60" s="1"/>
  <c r="I30" i="60"/>
  <c r="U30" i="60" s="1"/>
  <c r="I49" i="60"/>
  <c r="U49" i="60" s="1"/>
  <c r="I63" i="60"/>
  <c r="U63" i="60" s="1"/>
  <c r="I58" i="60"/>
  <c r="U58" i="60" s="1"/>
  <c r="I22" i="60"/>
  <c r="U22" i="60" s="1"/>
  <c r="I16" i="60"/>
  <c r="U16" i="60" s="1"/>
  <c r="I57" i="60"/>
  <c r="U57" i="60" s="1"/>
  <c r="I24" i="60"/>
  <c r="U24" i="60" s="1"/>
  <c r="I21" i="60"/>
  <c r="U21" i="60" s="1"/>
  <c r="I62" i="60"/>
  <c r="U62" i="60" s="1"/>
  <c r="I23" i="60"/>
  <c r="U23" i="60" s="1"/>
  <c r="I52" i="60"/>
  <c r="U52" i="60" s="1"/>
  <c r="I65" i="60"/>
  <c r="U65" i="60" s="1"/>
  <c r="I35" i="60"/>
  <c r="U35" i="60" s="1"/>
  <c r="I32" i="60"/>
  <c r="U32" i="60" s="1"/>
  <c r="I48" i="60"/>
  <c r="U48" i="60" s="1"/>
  <c r="I60" i="60"/>
  <c r="U60" i="60" s="1"/>
  <c r="I51" i="60"/>
  <c r="U51" i="60" s="1"/>
  <c r="C283" i="58"/>
  <c r="E283" i="58" s="1"/>
  <c r="C291" i="58"/>
  <c r="E291" i="58" s="1"/>
  <c r="C299" i="58"/>
  <c r="E299" i="58" s="1"/>
  <c r="C307" i="58"/>
  <c r="E307" i="58" s="1"/>
  <c r="C315" i="58"/>
  <c r="E315" i="58" s="1"/>
  <c r="C323" i="58"/>
  <c r="E323" i="58" s="1"/>
  <c r="C331" i="58"/>
  <c r="E331" i="58" s="1"/>
  <c r="C286" i="58"/>
  <c r="E286" i="58" s="1"/>
  <c r="C294" i="58"/>
  <c r="E294" i="58" s="1"/>
  <c r="C302" i="58"/>
  <c r="E302" i="58" s="1"/>
  <c r="C310" i="58"/>
  <c r="E310" i="58" s="1"/>
  <c r="C318" i="58"/>
  <c r="E318" i="58" s="1"/>
  <c r="C326" i="58"/>
  <c r="E326" i="58" s="1"/>
  <c r="C288" i="58"/>
  <c r="E288" i="58" s="1"/>
  <c r="C298" i="58"/>
  <c r="E298" i="58" s="1"/>
  <c r="C309" i="58"/>
  <c r="E309" i="58" s="1"/>
  <c r="C320" i="58"/>
  <c r="E320" i="58" s="1"/>
  <c r="C330" i="58"/>
  <c r="E330" i="58" s="1"/>
  <c r="C292" i="58"/>
  <c r="E292" i="58" s="1"/>
  <c r="C303" i="58"/>
  <c r="E303" i="58" s="1"/>
  <c r="C313" i="58"/>
  <c r="E313" i="58" s="1"/>
  <c r="C324" i="58"/>
  <c r="E324" i="58" s="1"/>
  <c r="C285" i="58"/>
  <c r="E285" i="58" s="1"/>
  <c r="C300" i="58"/>
  <c r="E300" i="58" s="1"/>
  <c r="C314" i="58"/>
  <c r="E314" i="58" s="1"/>
  <c r="C328" i="58"/>
  <c r="E328" i="58" s="1"/>
  <c r="C287" i="58"/>
  <c r="E287" i="58" s="1"/>
  <c r="C301" i="58"/>
  <c r="E301" i="58" s="1"/>
  <c r="C316" i="58"/>
  <c r="E316" i="58" s="1"/>
  <c r="C329" i="58"/>
  <c r="E329" i="58" s="1"/>
  <c r="C289" i="58"/>
  <c r="E289" i="58" s="1"/>
  <c r="C304" i="58"/>
  <c r="E304" i="58" s="1"/>
  <c r="C317" i="58"/>
  <c r="E317" i="58" s="1"/>
  <c r="C332" i="58"/>
  <c r="E332" i="58" s="1"/>
  <c r="C290" i="58"/>
  <c r="E290" i="58" s="1"/>
  <c r="C305" i="58"/>
  <c r="E305" i="58" s="1"/>
  <c r="C319" i="58"/>
  <c r="E319" i="58" s="1"/>
  <c r="C282" i="58"/>
  <c r="E282" i="58" s="1"/>
  <c r="C293" i="58"/>
  <c r="E293" i="58" s="1"/>
  <c r="C306" i="58"/>
  <c r="E306" i="58" s="1"/>
  <c r="C321" i="58"/>
  <c r="E321" i="58" s="1"/>
  <c r="C295" i="58"/>
  <c r="E295" i="58" s="1"/>
  <c r="C308" i="58"/>
  <c r="E308" i="58" s="1"/>
  <c r="C322" i="58"/>
  <c r="E322" i="58" s="1"/>
  <c r="C296" i="58"/>
  <c r="E296" i="58" s="1"/>
  <c r="C311" i="58"/>
  <c r="E311" i="58" s="1"/>
  <c r="C325" i="58"/>
  <c r="E325" i="58" s="1"/>
  <c r="B43" i="51"/>
  <c r="C284" i="58"/>
  <c r="E284" i="58" s="1"/>
  <c r="C297" i="58"/>
  <c r="E297" i="58" s="1"/>
  <c r="C312" i="58"/>
  <c r="E312" i="58" s="1"/>
  <c r="C327" i="58"/>
  <c r="E327" i="58" s="1"/>
  <c r="J54" i="51"/>
  <c r="C76" i="60"/>
  <c r="M76" i="60" s="1"/>
  <c r="I40" i="54"/>
  <c r="I57" i="52" s="1"/>
  <c r="N48" i="33" s="1"/>
  <c r="C72" i="60"/>
  <c r="M72" i="60" s="1"/>
  <c r="C100" i="60"/>
  <c r="M100" i="60" s="1"/>
  <c r="C87" i="60"/>
  <c r="M87" i="60" s="1"/>
  <c r="C83" i="60"/>
  <c r="M83" i="60" s="1"/>
  <c r="C71" i="60"/>
  <c r="M71" i="60" s="1"/>
  <c r="C101" i="60"/>
  <c r="M101" i="60" s="1"/>
  <c r="C115" i="60"/>
  <c r="M115" i="60" s="1"/>
  <c r="C75" i="60"/>
  <c r="M75" i="60" s="1"/>
  <c r="C77" i="60"/>
  <c r="M77" i="60" s="1"/>
  <c r="C109" i="60"/>
  <c r="M109" i="60" s="1"/>
  <c r="C91" i="60"/>
  <c r="M91" i="60" s="1"/>
  <c r="C93" i="60"/>
  <c r="M93" i="60" s="1"/>
  <c r="C107" i="60"/>
  <c r="M107" i="60" s="1"/>
  <c r="C106" i="60"/>
  <c r="M106" i="60" s="1"/>
  <c r="C85" i="60"/>
  <c r="M85" i="60" s="1"/>
  <c r="C79" i="60"/>
  <c r="M79" i="60" s="1"/>
  <c r="C113" i="60"/>
  <c r="M113" i="60" s="1"/>
  <c r="C94" i="60"/>
  <c r="M94" i="60" s="1"/>
  <c r="C108" i="60"/>
  <c r="M108" i="60" s="1"/>
  <c r="C69" i="60"/>
  <c r="M69" i="60" s="1"/>
  <c r="C86" i="60"/>
  <c r="M86" i="60" s="1"/>
  <c r="C78" i="60"/>
  <c r="M78" i="60" s="1"/>
  <c r="C119" i="60"/>
  <c r="M119" i="60" s="1"/>
  <c r="C81" i="60"/>
  <c r="M81" i="60" s="1"/>
  <c r="C111" i="60"/>
  <c r="M111" i="60" s="1"/>
  <c r="C116" i="60"/>
  <c r="M116" i="60" s="1"/>
  <c r="C103" i="60"/>
  <c r="M103" i="60" s="1"/>
  <c r="C95" i="60"/>
  <c r="M95" i="60" s="1"/>
  <c r="C112" i="60"/>
  <c r="M112" i="60" s="1"/>
  <c r="C117" i="60"/>
  <c r="M117" i="60" s="1"/>
  <c r="C89" i="60"/>
  <c r="M89" i="60" s="1"/>
  <c r="C80" i="60"/>
  <c r="M80" i="60" s="1"/>
  <c r="C96" i="60"/>
  <c r="M96" i="60" s="1"/>
  <c r="C97" i="60"/>
  <c r="M97" i="60" s="1"/>
  <c r="C105" i="60"/>
  <c r="M105" i="60" s="1"/>
  <c r="C88" i="60"/>
  <c r="M88" i="60" s="1"/>
  <c r="C73" i="60"/>
  <c r="M73" i="60" s="1"/>
  <c r="C74" i="60"/>
  <c r="M74" i="60" s="1"/>
  <c r="C102" i="60"/>
  <c r="M102" i="60" s="1"/>
  <c r="C82" i="60"/>
  <c r="M82" i="60" s="1"/>
  <c r="C92" i="60"/>
  <c r="M92" i="60" s="1"/>
  <c r="C104" i="60"/>
  <c r="M104" i="60" s="1"/>
  <c r="C70" i="60"/>
  <c r="M70" i="60" s="1"/>
  <c r="C110" i="60"/>
  <c r="M110" i="60" s="1"/>
  <c r="C90" i="60"/>
  <c r="M90" i="60" s="1"/>
  <c r="C118" i="60"/>
  <c r="M118" i="60" s="1"/>
  <c r="C98" i="60"/>
  <c r="M98" i="60" s="1"/>
  <c r="C99" i="60"/>
  <c r="M99" i="60" s="1"/>
  <c r="C84" i="60"/>
  <c r="M84" i="60" s="1"/>
  <c r="C114" i="60"/>
  <c r="M114" i="60" s="1"/>
  <c r="C237" i="58"/>
  <c r="E237" i="58" s="1"/>
  <c r="C245" i="58"/>
  <c r="E245" i="58" s="1"/>
  <c r="C253" i="58"/>
  <c r="E253" i="58" s="1"/>
  <c r="C261" i="58"/>
  <c r="E261" i="58" s="1"/>
  <c r="C269" i="58"/>
  <c r="E269" i="58" s="1"/>
  <c r="C277" i="58"/>
  <c r="E277" i="58" s="1"/>
  <c r="B42" i="51"/>
  <c r="C232" i="58"/>
  <c r="E232" i="58" s="1"/>
  <c r="C240" i="58"/>
  <c r="E240" i="58" s="1"/>
  <c r="C248" i="58"/>
  <c r="E248" i="58" s="1"/>
  <c r="C256" i="58"/>
  <c r="E256" i="58" s="1"/>
  <c r="C264" i="58"/>
  <c r="E264" i="58" s="1"/>
  <c r="C272" i="58"/>
  <c r="E272" i="58" s="1"/>
  <c r="C280" i="58"/>
  <c r="E280" i="58" s="1"/>
  <c r="C239" i="58"/>
  <c r="E239" i="58" s="1"/>
  <c r="C250" i="58"/>
  <c r="E250" i="58" s="1"/>
  <c r="C260" i="58"/>
  <c r="E260" i="58" s="1"/>
  <c r="C271" i="58"/>
  <c r="E271" i="58" s="1"/>
  <c r="C231" i="58"/>
  <c r="E231" i="58" s="1"/>
  <c r="C233" i="58"/>
  <c r="E233" i="58" s="1"/>
  <c r="C243" i="58"/>
  <c r="E243" i="58" s="1"/>
  <c r="C254" i="58"/>
  <c r="E254" i="58" s="1"/>
  <c r="C265" i="58"/>
  <c r="E265" i="58" s="1"/>
  <c r="C275" i="58"/>
  <c r="E275" i="58" s="1"/>
  <c r="C241" i="58"/>
  <c r="E241" i="58" s="1"/>
  <c r="C255" i="58"/>
  <c r="E255" i="58" s="1"/>
  <c r="C268" i="58"/>
  <c r="E268" i="58" s="1"/>
  <c r="C242" i="58"/>
  <c r="E242" i="58" s="1"/>
  <c r="C257" i="58"/>
  <c r="E257" i="58" s="1"/>
  <c r="C270" i="58"/>
  <c r="E270" i="58" s="1"/>
  <c r="C244" i="58"/>
  <c r="E244" i="58" s="1"/>
  <c r="C258" i="58"/>
  <c r="E258" i="58" s="1"/>
  <c r="C273" i="58"/>
  <c r="E273" i="58" s="1"/>
  <c r="C246" i="58"/>
  <c r="E246" i="58" s="1"/>
  <c r="C259" i="58"/>
  <c r="E259" i="58" s="1"/>
  <c r="C274" i="58"/>
  <c r="E274" i="58" s="1"/>
  <c r="C234" i="58"/>
  <c r="E234" i="58" s="1"/>
  <c r="C247" i="58"/>
  <c r="E247" i="58" s="1"/>
  <c r="C262" i="58"/>
  <c r="E262" i="58" s="1"/>
  <c r="C276" i="58"/>
  <c r="E276" i="58" s="1"/>
  <c r="C236" i="58"/>
  <c r="E236" i="58" s="1"/>
  <c r="C251" i="58"/>
  <c r="E251" i="58" s="1"/>
  <c r="C266" i="58"/>
  <c r="E266" i="58" s="1"/>
  <c r="C279" i="58"/>
  <c r="E279" i="58" s="1"/>
  <c r="C238" i="58"/>
  <c r="E238" i="58" s="1"/>
  <c r="C252" i="58"/>
  <c r="E252" i="58" s="1"/>
  <c r="C263" i="58"/>
  <c r="E263" i="58" s="1"/>
  <c r="C267" i="58"/>
  <c r="E267" i="58" s="1"/>
  <c r="C278" i="58"/>
  <c r="E278" i="58" s="1"/>
  <c r="C249" i="58"/>
  <c r="E249" i="58" s="1"/>
  <c r="C281" i="58"/>
  <c r="E281" i="58" s="1"/>
  <c r="C235" i="58"/>
  <c r="E235" i="58" s="1"/>
  <c r="J16" i="60"/>
  <c r="V16" i="60" s="1"/>
  <c r="C54" i="51"/>
  <c r="J51" i="60"/>
  <c r="V51" i="60" s="1"/>
  <c r="J55" i="60"/>
  <c r="V55" i="60" s="1"/>
  <c r="J20" i="60"/>
  <c r="V20" i="60" s="1"/>
  <c r="J44" i="60"/>
  <c r="V44" i="60" s="1"/>
  <c r="J29" i="60"/>
  <c r="V29" i="60" s="1"/>
  <c r="J41" i="60"/>
  <c r="V41" i="60" s="1"/>
  <c r="J65" i="60"/>
  <c r="V65" i="60" s="1"/>
  <c r="J40" i="60"/>
  <c r="V40" i="60" s="1"/>
  <c r="J15" i="60"/>
  <c r="V15" i="60" s="1"/>
  <c r="J27" i="60"/>
  <c r="V27" i="60" s="1"/>
  <c r="J30" i="60"/>
  <c r="V30" i="60" s="1"/>
  <c r="J52" i="60"/>
  <c r="V52" i="60" s="1"/>
  <c r="J50" i="60"/>
  <c r="V50" i="60" s="1"/>
  <c r="J24" i="60"/>
  <c r="V24" i="60" s="1"/>
  <c r="J31" i="60"/>
  <c r="V31" i="60" s="1"/>
  <c r="J37" i="60"/>
  <c r="V37" i="60" s="1"/>
  <c r="J47" i="60"/>
  <c r="V47" i="60" s="1"/>
  <c r="J62" i="60"/>
  <c r="V62" i="60" s="1"/>
  <c r="J43" i="60"/>
  <c r="V43" i="60" s="1"/>
  <c r="J46" i="60"/>
  <c r="V46" i="60" s="1"/>
  <c r="J19" i="60"/>
  <c r="V19" i="60" s="1"/>
  <c r="J25" i="60"/>
  <c r="V25" i="60" s="1"/>
  <c r="J39" i="60"/>
  <c r="V39" i="60" s="1"/>
  <c r="J23" i="60"/>
  <c r="V23" i="60" s="1"/>
  <c r="J17" i="60"/>
  <c r="V17" i="60" s="1"/>
  <c r="J64" i="60"/>
  <c r="V64" i="60" s="1"/>
  <c r="J58" i="60"/>
  <c r="V58" i="60" s="1"/>
  <c r="J33" i="60"/>
  <c r="V33" i="60" s="1"/>
  <c r="J32" i="60"/>
  <c r="V32" i="60" s="1"/>
  <c r="J34" i="60"/>
  <c r="V34" i="60" s="1"/>
  <c r="J38" i="60"/>
  <c r="V38" i="60" s="1"/>
  <c r="J18" i="60"/>
  <c r="V18" i="60" s="1"/>
  <c r="J28" i="60"/>
  <c r="V28" i="60" s="1"/>
  <c r="J60" i="60"/>
  <c r="V60" i="60" s="1"/>
  <c r="J21" i="60"/>
  <c r="V21" i="60" s="1"/>
  <c r="J36" i="60"/>
  <c r="V36" i="60" s="1"/>
  <c r="J48" i="60"/>
  <c r="V48" i="60" s="1"/>
  <c r="J35" i="60"/>
  <c r="V35" i="60" s="1"/>
  <c r="J42" i="60"/>
  <c r="V42" i="60" s="1"/>
  <c r="J54" i="60"/>
  <c r="V54" i="60" s="1"/>
  <c r="J56" i="60"/>
  <c r="V56" i="60" s="1"/>
  <c r="J57" i="60"/>
  <c r="V57" i="60" s="1"/>
  <c r="J49" i="60"/>
  <c r="V49" i="60" s="1"/>
  <c r="J59" i="60"/>
  <c r="V59" i="60" s="1"/>
  <c r="J63" i="60"/>
  <c r="V63" i="60" s="1"/>
  <c r="J53" i="60"/>
  <c r="V53" i="60" s="1"/>
  <c r="J22" i="60"/>
  <c r="V22" i="60" s="1"/>
  <c r="J26" i="60"/>
  <c r="V26" i="60" s="1"/>
  <c r="J45" i="60"/>
  <c r="V45" i="60" s="1"/>
  <c r="J61" i="60"/>
  <c r="V61" i="60" s="1"/>
  <c r="B29" i="54"/>
  <c r="K46" i="52" s="1"/>
  <c r="C641" i="58"/>
  <c r="E641" i="58" s="1"/>
  <c r="F317" i="43"/>
  <c r="P317" i="43" s="1"/>
  <c r="F325" i="43"/>
  <c r="P325" i="43" s="1"/>
  <c r="F320" i="43"/>
  <c r="P320" i="43" s="1"/>
  <c r="F307" i="43"/>
  <c r="P307" i="43" s="1"/>
  <c r="F318" i="43"/>
  <c r="P318" i="43" s="1"/>
  <c r="F330" i="43"/>
  <c r="P330" i="43" s="1"/>
  <c r="F322" i="43"/>
  <c r="P322" i="43" s="1"/>
  <c r="F332" i="43"/>
  <c r="P332" i="43" s="1"/>
  <c r="F316" i="43"/>
  <c r="P316" i="43" s="1"/>
  <c r="H54" i="51"/>
  <c r="B28" i="54"/>
  <c r="K45" i="52" s="1"/>
  <c r="D19" i="55"/>
  <c r="N19" i="55" s="1"/>
  <c r="D27" i="55"/>
  <c r="N27" i="55" s="1"/>
  <c r="D35" i="55"/>
  <c r="N35" i="55" s="1"/>
  <c r="D43" i="55"/>
  <c r="N43" i="55" s="1"/>
  <c r="D51" i="55"/>
  <c r="N51" i="55" s="1"/>
  <c r="D59" i="55"/>
  <c r="N59" i="55" s="1"/>
  <c r="D20" i="55"/>
  <c r="N20" i="55" s="1"/>
  <c r="D28" i="55"/>
  <c r="N28" i="55" s="1"/>
  <c r="D36" i="55"/>
  <c r="N36" i="55" s="1"/>
  <c r="D44" i="55"/>
  <c r="N44" i="55" s="1"/>
  <c r="D52" i="55"/>
  <c r="N52" i="55" s="1"/>
  <c r="D60" i="55"/>
  <c r="N60" i="55" s="1"/>
  <c r="D21" i="55"/>
  <c r="N21" i="55" s="1"/>
  <c r="D29" i="55"/>
  <c r="N29" i="55" s="1"/>
  <c r="D37" i="55"/>
  <c r="N37" i="55" s="1"/>
  <c r="D45" i="55"/>
  <c r="N45" i="55" s="1"/>
  <c r="D53" i="55"/>
  <c r="N53" i="55" s="1"/>
  <c r="D61" i="55"/>
  <c r="N61" i="55" s="1"/>
  <c r="D24" i="55"/>
  <c r="N24" i="55" s="1"/>
  <c r="D63" i="55"/>
  <c r="N63" i="55" s="1"/>
  <c r="D41" i="55"/>
  <c r="N41" i="55" s="1"/>
  <c r="D25" i="55"/>
  <c r="N25" i="55" s="1"/>
  <c r="D39" i="55"/>
  <c r="N39" i="55" s="1"/>
  <c r="D50" i="55"/>
  <c r="N50" i="55" s="1"/>
  <c r="D64" i="55"/>
  <c r="N64" i="55" s="1"/>
  <c r="D40" i="55"/>
  <c r="N40" i="55" s="1"/>
  <c r="D14" i="55"/>
  <c r="N14" i="55" s="1"/>
  <c r="D30" i="55"/>
  <c r="N30" i="55" s="1"/>
  <c r="D15" i="55"/>
  <c r="N15" i="55" s="1"/>
  <c r="D26" i="55"/>
  <c r="N26" i="55" s="1"/>
  <c r="D54" i="55"/>
  <c r="N54" i="55" s="1"/>
  <c r="D17" i="55"/>
  <c r="N17" i="55" s="1"/>
  <c r="D31" i="55"/>
  <c r="N31" i="55" s="1"/>
  <c r="D42" i="55"/>
  <c r="N42" i="55" s="1"/>
  <c r="D56" i="55"/>
  <c r="N56" i="55" s="1"/>
  <c r="D18" i="55"/>
  <c r="N18" i="55" s="1"/>
  <c r="D32" i="55"/>
  <c r="N32" i="55" s="1"/>
  <c r="D46" i="55"/>
  <c r="N46" i="55" s="1"/>
  <c r="D57" i="55"/>
  <c r="N57" i="55" s="1"/>
  <c r="D22" i="55"/>
  <c r="N22" i="55" s="1"/>
  <c r="D33" i="55"/>
  <c r="N33" i="55" s="1"/>
  <c r="D47" i="55"/>
  <c r="N47" i="55" s="1"/>
  <c r="D58" i="55"/>
  <c r="N58" i="55" s="1"/>
  <c r="D38" i="55"/>
  <c r="N38" i="55" s="1"/>
  <c r="D23" i="55"/>
  <c r="N23" i="55" s="1"/>
  <c r="D34" i="55"/>
  <c r="N34" i="55" s="1"/>
  <c r="D48" i="55"/>
  <c r="N48" i="55" s="1"/>
  <c r="D62" i="55"/>
  <c r="N62" i="55" s="1"/>
  <c r="D49" i="55"/>
  <c r="N49" i="55" s="1"/>
  <c r="D16" i="55"/>
  <c r="N16" i="55" s="1"/>
  <c r="D55" i="55"/>
  <c r="N55" i="55" s="1"/>
  <c r="F17" i="55"/>
  <c r="P17" i="55" s="1"/>
  <c r="F25" i="55"/>
  <c r="P25" i="55" s="1"/>
  <c r="F33" i="55"/>
  <c r="P33" i="55" s="1"/>
  <c r="F41" i="55"/>
  <c r="P41" i="55" s="1"/>
  <c r="F49" i="55"/>
  <c r="P49" i="55" s="1"/>
  <c r="F57" i="55"/>
  <c r="P57" i="55" s="1"/>
  <c r="F14" i="55"/>
  <c r="P14" i="55" s="1"/>
  <c r="F18" i="55"/>
  <c r="P18" i="55" s="1"/>
  <c r="F26" i="55"/>
  <c r="P26" i="55" s="1"/>
  <c r="F34" i="55"/>
  <c r="P34" i="55" s="1"/>
  <c r="F42" i="55"/>
  <c r="P42" i="55" s="1"/>
  <c r="F50" i="55"/>
  <c r="P50" i="55" s="1"/>
  <c r="F58" i="55"/>
  <c r="P58" i="55" s="1"/>
  <c r="F19" i="55"/>
  <c r="P19" i="55" s="1"/>
  <c r="F27" i="55"/>
  <c r="P27" i="55" s="1"/>
  <c r="F35" i="55"/>
  <c r="P35" i="55" s="1"/>
  <c r="F43" i="55"/>
  <c r="P43" i="55" s="1"/>
  <c r="F51" i="55"/>
  <c r="P51" i="55" s="1"/>
  <c r="F59" i="55"/>
  <c r="P59" i="55" s="1"/>
  <c r="F20" i="55"/>
  <c r="P20" i="55" s="1"/>
  <c r="F28" i="55"/>
  <c r="P28" i="55" s="1"/>
  <c r="F36" i="55"/>
  <c r="P36" i="55" s="1"/>
  <c r="F44" i="55"/>
  <c r="P44" i="55" s="1"/>
  <c r="F52" i="55"/>
  <c r="P52" i="55" s="1"/>
  <c r="F60" i="55"/>
  <c r="P60" i="55" s="1"/>
  <c r="F24" i="55"/>
  <c r="P24" i="55" s="1"/>
  <c r="F40" i="55"/>
  <c r="P40" i="55" s="1"/>
  <c r="F56" i="55"/>
  <c r="P56" i="55" s="1"/>
  <c r="F31" i="55"/>
  <c r="P31" i="55" s="1"/>
  <c r="F29" i="55"/>
  <c r="P29" i="55" s="1"/>
  <c r="F45" i="55"/>
  <c r="P45" i="55" s="1"/>
  <c r="F61" i="55"/>
  <c r="P61" i="55" s="1"/>
  <c r="F15" i="55"/>
  <c r="P15" i="55" s="1"/>
  <c r="F30" i="55"/>
  <c r="P30" i="55" s="1"/>
  <c r="F46" i="55"/>
  <c r="P46" i="55" s="1"/>
  <c r="F62" i="55"/>
  <c r="P62" i="55" s="1"/>
  <c r="F16" i="55"/>
  <c r="P16" i="55" s="1"/>
  <c r="F32" i="55"/>
  <c r="P32" i="55" s="1"/>
  <c r="F48" i="55"/>
  <c r="P48" i="55" s="1"/>
  <c r="F64" i="55"/>
  <c r="P64" i="55" s="1"/>
  <c r="F21" i="55"/>
  <c r="P21" i="55" s="1"/>
  <c r="F37" i="55"/>
  <c r="P37" i="55" s="1"/>
  <c r="F53" i="55"/>
  <c r="P53" i="55" s="1"/>
  <c r="F22" i="55"/>
  <c r="P22" i="55" s="1"/>
  <c r="F38" i="55"/>
  <c r="P38" i="55" s="1"/>
  <c r="F54" i="55"/>
  <c r="P54" i="55" s="1"/>
  <c r="F23" i="55"/>
  <c r="P23" i="55" s="1"/>
  <c r="F39" i="55"/>
  <c r="P39" i="55" s="1"/>
  <c r="F55" i="55"/>
  <c r="P55" i="55" s="1"/>
  <c r="F47" i="55"/>
  <c r="P47" i="55" s="1"/>
  <c r="F63" i="55"/>
  <c r="P63" i="55" s="1"/>
  <c r="C16" i="55"/>
  <c r="M16" i="55" s="1"/>
  <c r="C24" i="55"/>
  <c r="M24" i="55" s="1"/>
  <c r="C32" i="55"/>
  <c r="M32" i="55" s="1"/>
  <c r="C40" i="55"/>
  <c r="M40" i="55" s="1"/>
  <c r="C48" i="55"/>
  <c r="M48" i="55" s="1"/>
  <c r="C56" i="55"/>
  <c r="M56" i="55" s="1"/>
  <c r="C64" i="55"/>
  <c r="M64" i="55" s="1"/>
  <c r="C17" i="55"/>
  <c r="M17" i="55" s="1"/>
  <c r="C25" i="55"/>
  <c r="M25" i="55" s="1"/>
  <c r="C33" i="55"/>
  <c r="M33" i="55" s="1"/>
  <c r="C41" i="55"/>
  <c r="M41" i="55" s="1"/>
  <c r="C49" i="55"/>
  <c r="M49" i="55" s="1"/>
  <c r="C57" i="55"/>
  <c r="M57" i="55" s="1"/>
  <c r="C18" i="55"/>
  <c r="M18" i="55" s="1"/>
  <c r="C26" i="55"/>
  <c r="M26" i="55" s="1"/>
  <c r="C34" i="55"/>
  <c r="M34" i="55" s="1"/>
  <c r="C42" i="55"/>
  <c r="M42" i="55" s="1"/>
  <c r="C50" i="55"/>
  <c r="M50" i="55" s="1"/>
  <c r="C58" i="55"/>
  <c r="M58" i="55" s="1"/>
  <c r="C37" i="55"/>
  <c r="M37" i="55" s="1"/>
  <c r="C27" i="55"/>
  <c r="M27" i="55" s="1"/>
  <c r="C38" i="55"/>
  <c r="M38" i="55" s="1"/>
  <c r="C52" i="55"/>
  <c r="M52" i="55" s="1"/>
  <c r="C63" i="55"/>
  <c r="M63" i="55" s="1"/>
  <c r="C39" i="55"/>
  <c r="M39" i="55" s="1"/>
  <c r="C14" i="55"/>
  <c r="M14" i="55" s="1"/>
  <c r="C54" i="55"/>
  <c r="M54" i="55" s="1"/>
  <c r="C28" i="55"/>
  <c r="M28" i="55" s="1"/>
  <c r="C53" i="55"/>
  <c r="M53" i="55" s="1"/>
  <c r="C15" i="55"/>
  <c r="M15" i="55" s="1"/>
  <c r="C19" i="55"/>
  <c r="M19" i="55" s="1"/>
  <c r="C30" i="55"/>
  <c r="M30" i="55" s="1"/>
  <c r="C44" i="55"/>
  <c r="M44" i="55" s="1"/>
  <c r="C55" i="55"/>
  <c r="M55" i="55" s="1"/>
  <c r="C20" i="55"/>
  <c r="M20" i="55" s="1"/>
  <c r="C31" i="55"/>
  <c r="M31" i="55" s="1"/>
  <c r="C45" i="55"/>
  <c r="M45" i="55" s="1"/>
  <c r="C59" i="55"/>
  <c r="M59" i="55" s="1"/>
  <c r="C21" i="55"/>
  <c r="M21" i="55" s="1"/>
  <c r="C35" i="55"/>
  <c r="M35" i="55" s="1"/>
  <c r="C46" i="55"/>
  <c r="M46" i="55" s="1"/>
  <c r="C60" i="55"/>
  <c r="M60" i="55" s="1"/>
  <c r="C23" i="55"/>
  <c r="M23" i="55" s="1"/>
  <c r="C51" i="55"/>
  <c r="M51" i="55" s="1"/>
  <c r="C29" i="55"/>
  <c r="M29" i="55" s="1"/>
  <c r="C22" i="55"/>
  <c r="M22" i="55" s="1"/>
  <c r="C36" i="55"/>
  <c r="M36" i="55" s="1"/>
  <c r="C47" i="55"/>
  <c r="M47" i="55" s="1"/>
  <c r="C61" i="55"/>
  <c r="M61" i="55" s="1"/>
  <c r="C62" i="55"/>
  <c r="M62" i="55" s="1"/>
  <c r="C43" i="55"/>
  <c r="M43" i="55" s="1"/>
  <c r="E22" i="55"/>
  <c r="O22" i="55" s="1"/>
  <c r="E30" i="55"/>
  <c r="O30" i="55" s="1"/>
  <c r="E38" i="55"/>
  <c r="O38" i="55" s="1"/>
  <c r="E46" i="55"/>
  <c r="O46" i="55" s="1"/>
  <c r="E54" i="55"/>
  <c r="O54" i="55" s="1"/>
  <c r="E62" i="55"/>
  <c r="O62" i="55" s="1"/>
  <c r="E15" i="55"/>
  <c r="O15" i="55" s="1"/>
  <c r="E23" i="55"/>
  <c r="O23" i="55" s="1"/>
  <c r="E31" i="55"/>
  <c r="O31" i="55" s="1"/>
  <c r="E39" i="55"/>
  <c r="O39" i="55" s="1"/>
  <c r="E47" i="55"/>
  <c r="O47" i="55" s="1"/>
  <c r="E55" i="55"/>
  <c r="O55" i="55" s="1"/>
  <c r="E63" i="55"/>
  <c r="O63" i="55" s="1"/>
  <c r="E16" i="55"/>
  <c r="O16" i="55" s="1"/>
  <c r="E24" i="55"/>
  <c r="O24" i="55" s="1"/>
  <c r="E32" i="55"/>
  <c r="O32" i="55" s="1"/>
  <c r="E40" i="55"/>
  <c r="O40" i="55" s="1"/>
  <c r="E48" i="55"/>
  <c r="O48" i="55" s="1"/>
  <c r="E56" i="55"/>
  <c r="O56" i="55" s="1"/>
  <c r="E64" i="55"/>
  <c r="O64" i="55" s="1"/>
  <c r="E17" i="55"/>
  <c r="O17" i="55" s="1"/>
  <c r="E25" i="55"/>
  <c r="O25" i="55" s="1"/>
  <c r="E21" i="55"/>
  <c r="O21" i="55" s="1"/>
  <c r="E36" i="55"/>
  <c r="O36" i="55" s="1"/>
  <c r="E50" i="55"/>
  <c r="O50" i="55" s="1"/>
  <c r="E26" i="55"/>
  <c r="O26" i="55" s="1"/>
  <c r="E37" i="55"/>
  <c r="O37" i="55" s="1"/>
  <c r="E51" i="55"/>
  <c r="O51" i="55" s="1"/>
  <c r="E14" i="55"/>
  <c r="O14" i="55" s="1"/>
  <c r="E52" i="55"/>
  <c r="O52" i="55" s="1"/>
  <c r="E27" i="55"/>
  <c r="O27" i="55" s="1"/>
  <c r="E41" i="55"/>
  <c r="O41" i="55" s="1"/>
  <c r="E29" i="55"/>
  <c r="O29" i="55" s="1"/>
  <c r="E43" i="55"/>
  <c r="O43" i="55" s="1"/>
  <c r="E57" i="55"/>
  <c r="O57" i="55" s="1"/>
  <c r="E18" i="55"/>
  <c r="O18" i="55" s="1"/>
  <c r="E33" i="55"/>
  <c r="O33" i="55" s="1"/>
  <c r="E44" i="55"/>
  <c r="O44" i="55" s="1"/>
  <c r="E58" i="55"/>
  <c r="O58" i="55" s="1"/>
  <c r="E19" i="55"/>
  <c r="O19" i="55" s="1"/>
  <c r="E34" i="55"/>
  <c r="O34" i="55" s="1"/>
  <c r="E45" i="55"/>
  <c r="O45" i="55" s="1"/>
  <c r="E59" i="55"/>
  <c r="O59" i="55" s="1"/>
  <c r="E61" i="55"/>
  <c r="O61" i="55" s="1"/>
  <c r="E20" i="55"/>
  <c r="O20" i="55" s="1"/>
  <c r="E35" i="55"/>
  <c r="O35" i="55" s="1"/>
  <c r="E49" i="55"/>
  <c r="O49" i="55" s="1"/>
  <c r="E60" i="55"/>
  <c r="O60" i="55" s="1"/>
  <c r="E28" i="55"/>
  <c r="O28" i="55" s="1"/>
  <c r="E42" i="55"/>
  <c r="O42" i="55" s="1"/>
  <c r="E53" i="55"/>
  <c r="O53" i="55" s="1"/>
  <c r="G20" i="55"/>
  <c r="Q20" i="55" s="1"/>
  <c r="G28" i="55"/>
  <c r="Q28" i="55" s="1"/>
  <c r="G36" i="55"/>
  <c r="Q36" i="55" s="1"/>
  <c r="G44" i="55"/>
  <c r="Q44" i="55" s="1"/>
  <c r="G52" i="55"/>
  <c r="Q52" i="55" s="1"/>
  <c r="G60" i="55"/>
  <c r="Q60" i="55" s="1"/>
  <c r="G21" i="55"/>
  <c r="Q21" i="55" s="1"/>
  <c r="G29" i="55"/>
  <c r="Q29" i="55" s="1"/>
  <c r="G37" i="55"/>
  <c r="Q37" i="55" s="1"/>
  <c r="G45" i="55"/>
  <c r="Q45" i="55" s="1"/>
  <c r="G53" i="55"/>
  <c r="Q53" i="55" s="1"/>
  <c r="G61" i="55"/>
  <c r="Q61" i="55" s="1"/>
  <c r="G22" i="55"/>
  <c r="Q22" i="55" s="1"/>
  <c r="G30" i="55"/>
  <c r="Q30" i="55" s="1"/>
  <c r="G38" i="55"/>
  <c r="Q38" i="55" s="1"/>
  <c r="G46" i="55"/>
  <c r="Q46" i="55" s="1"/>
  <c r="G54" i="55"/>
  <c r="Q54" i="55" s="1"/>
  <c r="G62" i="55"/>
  <c r="Q62" i="55" s="1"/>
  <c r="G15" i="55"/>
  <c r="Q15" i="55" s="1"/>
  <c r="G23" i="55"/>
  <c r="Q23" i="55" s="1"/>
  <c r="G31" i="55"/>
  <c r="Q31" i="55" s="1"/>
  <c r="G39" i="55"/>
  <c r="Q39" i="55" s="1"/>
  <c r="G47" i="55"/>
  <c r="Q47" i="55" s="1"/>
  <c r="G55" i="55"/>
  <c r="Q55" i="55" s="1"/>
  <c r="G63" i="55"/>
  <c r="Q63" i="55" s="1"/>
  <c r="G59" i="55"/>
  <c r="Q59" i="55" s="1"/>
  <c r="G16" i="55"/>
  <c r="Q16" i="55" s="1"/>
  <c r="G32" i="55"/>
  <c r="Q32" i="55" s="1"/>
  <c r="G48" i="55"/>
  <c r="Q48" i="55" s="1"/>
  <c r="G64" i="55"/>
  <c r="Q64" i="55" s="1"/>
  <c r="G33" i="55"/>
  <c r="Q33" i="55" s="1"/>
  <c r="G17" i="55"/>
  <c r="Q17" i="55" s="1"/>
  <c r="G49" i="55"/>
  <c r="Q49" i="55" s="1"/>
  <c r="G14" i="55"/>
  <c r="Q14" i="55" s="1"/>
  <c r="G50" i="55"/>
  <c r="Q50" i="55" s="1"/>
  <c r="G19" i="55"/>
  <c r="Q19" i="55" s="1"/>
  <c r="G35" i="55"/>
  <c r="Q35" i="55" s="1"/>
  <c r="G51" i="55"/>
  <c r="Q51" i="55" s="1"/>
  <c r="G24" i="55"/>
  <c r="Q24" i="55" s="1"/>
  <c r="G40" i="55"/>
  <c r="Q40" i="55" s="1"/>
  <c r="G56" i="55"/>
  <c r="Q56" i="55" s="1"/>
  <c r="G25" i="55"/>
  <c r="Q25" i="55" s="1"/>
  <c r="G41" i="55"/>
  <c r="Q41" i="55" s="1"/>
  <c r="G57" i="55"/>
  <c r="Q57" i="55" s="1"/>
  <c r="G27" i="55"/>
  <c r="Q27" i="55" s="1"/>
  <c r="G18" i="55"/>
  <c r="Q18" i="55" s="1"/>
  <c r="G26" i="55"/>
  <c r="Q26" i="55" s="1"/>
  <c r="G42" i="55"/>
  <c r="Q42" i="55" s="1"/>
  <c r="G58" i="55"/>
  <c r="Q58" i="55" s="1"/>
  <c r="G43" i="55"/>
  <c r="Q43" i="55" s="1"/>
  <c r="G34" i="55"/>
  <c r="Q34" i="55" s="1"/>
  <c r="D120" i="28"/>
  <c r="E120" i="28" s="1"/>
  <c r="E23" i="42" s="1"/>
  <c r="E27" i="42" s="1"/>
  <c r="E31" i="42" s="1"/>
  <c r="E35" i="42" s="1"/>
  <c r="D124" i="28"/>
  <c r="E124" i="28" s="1"/>
  <c r="B147" i="28"/>
  <c r="X82" i="37"/>
  <c r="C6" i="42" s="1"/>
  <c r="E73" i="28"/>
  <c r="F73" i="28" s="1"/>
  <c r="H73" i="28" s="1"/>
  <c r="C86" i="28" s="1"/>
  <c r="C103" i="28" s="1"/>
  <c r="M69" i="28"/>
  <c r="N69" i="28" s="1"/>
  <c r="E69" i="28"/>
  <c r="F69" i="28" s="1"/>
  <c r="D85" i="28"/>
  <c r="D102" i="28" s="1"/>
  <c r="D86" i="28"/>
  <c r="D103" i="28" s="1"/>
  <c r="G102" i="28"/>
  <c r="G103" i="28"/>
  <c r="I102" i="28"/>
  <c r="I103" i="28"/>
  <c r="G101" i="28"/>
  <c r="G96" i="28"/>
  <c r="G97" i="28"/>
  <c r="G98" i="28"/>
  <c r="G99" i="28"/>
  <c r="I96" i="28"/>
  <c r="I97" i="28"/>
  <c r="I98" i="28"/>
  <c r="I99" i="28"/>
  <c r="G93" i="28"/>
  <c r="G94" i="28"/>
  <c r="I95" i="28"/>
  <c r="G95" i="28"/>
  <c r="I94" i="28"/>
  <c r="I93" i="28"/>
  <c r="I101" i="28"/>
  <c r="I100" i="28"/>
  <c r="I92" i="28"/>
  <c r="B223" i="28" s="1"/>
  <c r="G92" i="28"/>
  <c r="G100" i="28"/>
  <c r="D121" i="28"/>
  <c r="E121" i="28" s="1"/>
  <c r="E25" i="42" s="1"/>
  <c r="X92" i="37"/>
  <c r="D24" i="42" s="1"/>
  <c r="B9" i="7"/>
  <c r="X84" i="37"/>
  <c r="C7" i="42" s="1"/>
  <c r="B14" i="7"/>
  <c r="B8" i="7"/>
  <c r="B12" i="7"/>
  <c r="D123" i="28"/>
  <c r="E123" i="28" s="1"/>
  <c r="E5" i="42" s="1"/>
  <c r="X90" i="37"/>
  <c r="D23" i="42" s="1"/>
  <c r="X86" i="37"/>
  <c r="C8" i="42" s="1"/>
  <c r="X96" i="37"/>
  <c r="D26" i="42" s="1"/>
  <c r="D126" i="28"/>
  <c r="E126" i="28" s="1"/>
  <c r="E8" i="42" s="1"/>
  <c r="D122" i="28"/>
  <c r="E122" i="28" s="1"/>
  <c r="E26" i="42" s="1"/>
  <c r="X94" i="37"/>
  <c r="D25" i="42" s="1"/>
  <c r="D125" i="28"/>
  <c r="E125" i="28" s="1"/>
  <c r="E7" i="42" s="1"/>
  <c r="F291" i="43" l="1"/>
  <c r="P291" i="43" s="1"/>
  <c r="F319" i="43"/>
  <c r="P319" i="43" s="1"/>
  <c r="F312" i="43"/>
  <c r="P312" i="43" s="1"/>
  <c r="F324" i="43"/>
  <c r="P324" i="43" s="1"/>
  <c r="F311" i="43"/>
  <c r="P311" i="43" s="1"/>
  <c r="F297" i="43"/>
  <c r="P297" i="43" s="1"/>
  <c r="F309" i="43"/>
  <c r="P309" i="43" s="1"/>
  <c r="G36" i="51"/>
  <c r="F300" i="43"/>
  <c r="P300" i="43" s="1"/>
  <c r="F286" i="43"/>
  <c r="P286" i="43" s="1"/>
  <c r="F301" i="43"/>
  <c r="P301" i="43" s="1"/>
  <c r="F323" i="43"/>
  <c r="P323" i="43" s="1"/>
  <c r="F299" i="43"/>
  <c r="P299" i="43" s="1"/>
  <c r="F283" i="43"/>
  <c r="P283" i="43" s="1"/>
  <c r="F292" i="43"/>
  <c r="P292" i="43" s="1"/>
  <c r="F289" i="43"/>
  <c r="P289" i="43" s="1"/>
  <c r="F328" i="43"/>
  <c r="P328" i="43" s="1"/>
  <c r="E312" i="43"/>
  <c r="O312" i="43" s="1"/>
  <c r="E319" i="43"/>
  <c r="O319" i="43" s="1"/>
  <c r="G231" i="43"/>
  <c r="Q231" i="43" s="1"/>
  <c r="G273" i="43"/>
  <c r="Q273" i="43" s="1"/>
  <c r="E308" i="43"/>
  <c r="O308" i="43" s="1"/>
  <c r="G258" i="43"/>
  <c r="Q258" i="43" s="1"/>
  <c r="G262" i="43"/>
  <c r="Q262" i="43" s="1"/>
  <c r="E300" i="43"/>
  <c r="O300" i="43" s="1"/>
  <c r="G269" i="43"/>
  <c r="Q269" i="43" s="1"/>
  <c r="G254" i="43"/>
  <c r="Q254" i="43" s="1"/>
  <c r="E299" i="43"/>
  <c r="O299" i="43" s="1"/>
  <c r="G255" i="43"/>
  <c r="Q255" i="43" s="1"/>
  <c r="E320" i="43"/>
  <c r="O320" i="43" s="1"/>
  <c r="E291" i="43"/>
  <c r="O291" i="43" s="1"/>
  <c r="G244" i="43"/>
  <c r="Q244" i="43" s="1"/>
  <c r="E286" i="43"/>
  <c r="O286" i="43" s="1"/>
  <c r="E290" i="43"/>
  <c r="O290" i="43" s="1"/>
  <c r="G263" i="43"/>
  <c r="Q263" i="43" s="1"/>
  <c r="G240" i="43"/>
  <c r="Q240" i="43" s="1"/>
  <c r="E304" i="43"/>
  <c r="O304" i="43" s="1"/>
  <c r="E329" i="43"/>
  <c r="O329" i="43" s="1"/>
  <c r="G279" i="43"/>
  <c r="Q279" i="43" s="1"/>
  <c r="G250" i="43"/>
  <c r="Q250" i="43" s="1"/>
  <c r="U12" i="43"/>
  <c r="E296" i="43"/>
  <c r="O296" i="43" s="1"/>
  <c r="E282" i="43"/>
  <c r="O282" i="43" s="1"/>
  <c r="E303" i="43"/>
  <c r="O303" i="43" s="1"/>
  <c r="G275" i="43"/>
  <c r="Q275" i="43" s="1"/>
  <c r="G257" i="43"/>
  <c r="Q257" i="43" s="1"/>
  <c r="D36" i="51"/>
  <c r="E284" i="43"/>
  <c r="O284" i="43" s="1"/>
  <c r="E295" i="43"/>
  <c r="O295" i="43" s="1"/>
  <c r="G260" i="43"/>
  <c r="Q260" i="43" s="1"/>
  <c r="F306" i="43"/>
  <c r="P306" i="43" s="1"/>
  <c r="F326" i="43"/>
  <c r="P326" i="43" s="1"/>
  <c r="E331" i="43"/>
  <c r="O331" i="43" s="1"/>
  <c r="G267" i="43"/>
  <c r="Q267" i="43" s="1"/>
  <c r="T12" i="43"/>
  <c r="D323" i="43" s="1"/>
  <c r="N323" i="43" s="1"/>
  <c r="S12" i="43"/>
  <c r="C332" i="43" s="1"/>
  <c r="M332" i="43" s="1"/>
  <c r="E292" i="43"/>
  <c r="O292" i="43" s="1"/>
  <c r="G264" i="43"/>
  <c r="Q264" i="43" s="1"/>
  <c r="G234" i="43"/>
  <c r="Q234" i="43" s="1"/>
  <c r="G246" i="43"/>
  <c r="Q246" i="43" s="1"/>
  <c r="E310" i="43"/>
  <c r="O310" i="43" s="1"/>
  <c r="G280" i="43"/>
  <c r="Q280" i="43" s="1"/>
  <c r="G249" i="43"/>
  <c r="Q249" i="43" s="1"/>
  <c r="V11" i="43"/>
  <c r="F231" i="43" s="1"/>
  <c r="P231" i="43" s="1"/>
  <c r="F284" i="43"/>
  <c r="P284" i="43" s="1"/>
  <c r="F290" i="43"/>
  <c r="P290" i="43" s="1"/>
  <c r="F304" i="43"/>
  <c r="P304" i="43" s="1"/>
  <c r="E288" i="43"/>
  <c r="O288" i="43" s="1"/>
  <c r="G237" i="43"/>
  <c r="Q237" i="43" s="1"/>
  <c r="F314" i="43"/>
  <c r="P314" i="43" s="1"/>
  <c r="F298" i="43"/>
  <c r="P298" i="43" s="1"/>
  <c r="F285" i="43"/>
  <c r="P285" i="43" s="1"/>
  <c r="E283" i="43"/>
  <c r="O283" i="43" s="1"/>
  <c r="G239" i="43"/>
  <c r="Q239" i="43" s="1"/>
  <c r="R11" i="43"/>
  <c r="E262" i="43" s="1"/>
  <c r="O262" i="43" s="1"/>
  <c r="E285" i="43"/>
  <c r="O285" i="43" s="1"/>
  <c r="E313" i="43"/>
  <c r="O313" i="43" s="1"/>
  <c r="G248" i="43"/>
  <c r="Q248" i="43" s="1"/>
  <c r="F308" i="43"/>
  <c r="P308" i="43" s="1"/>
  <c r="F293" i="43"/>
  <c r="P293" i="43" s="1"/>
  <c r="E305" i="43"/>
  <c r="O305" i="43" s="1"/>
  <c r="B35" i="51"/>
  <c r="F331" i="43"/>
  <c r="P331" i="43" s="1"/>
  <c r="F296" i="43"/>
  <c r="P296" i="43" s="1"/>
  <c r="E302" i="43"/>
  <c r="O302" i="43" s="1"/>
  <c r="E323" i="43"/>
  <c r="O323" i="43" s="1"/>
  <c r="E297" i="43"/>
  <c r="O297" i="43" s="1"/>
  <c r="G268" i="43"/>
  <c r="Q268" i="43" s="1"/>
  <c r="G274" i="43"/>
  <c r="Q274" i="43" s="1"/>
  <c r="G245" i="43"/>
  <c r="Q245" i="43" s="1"/>
  <c r="G247" i="43"/>
  <c r="Q247" i="43" s="1"/>
  <c r="G233" i="43"/>
  <c r="Q233" i="43" s="1"/>
  <c r="F23" i="33"/>
  <c r="F313" i="43"/>
  <c r="P313" i="43" s="1"/>
  <c r="F327" i="43"/>
  <c r="P327" i="43" s="1"/>
  <c r="F321" i="43"/>
  <c r="P321" i="43" s="1"/>
  <c r="F287" i="43"/>
  <c r="P287" i="43" s="1"/>
  <c r="F305" i="43"/>
  <c r="P305" i="43" s="1"/>
  <c r="F288" i="43"/>
  <c r="P288" i="43" s="1"/>
  <c r="E309" i="43"/>
  <c r="O309" i="43" s="1"/>
  <c r="E317" i="43"/>
  <c r="O317" i="43" s="1"/>
  <c r="E324" i="43"/>
  <c r="O324" i="43" s="1"/>
  <c r="E315" i="43"/>
  <c r="O315" i="43" s="1"/>
  <c r="E306" i="43"/>
  <c r="O306" i="43" s="1"/>
  <c r="E289" i="43"/>
  <c r="O289" i="43" s="1"/>
  <c r="G253" i="43"/>
  <c r="Q253" i="43" s="1"/>
  <c r="G259" i="43"/>
  <c r="Q259" i="43" s="1"/>
  <c r="G276" i="43"/>
  <c r="Q276" i="43" s="1"/>
  <c r="G261" i="43"/>
  <c r="Q261" i="43" s="1"/>
  <c r="G236" i="43"/>
  <c r="Q236" i="43" s="1"/>
  <c r="G278" i="43"/>
  <c r="Q278" i="43" s="1"/>
  <c r="S11" i="43"/>
  <c r="C256" i="43" s="1"/>
  <c r="M256" i="43" s="1"/>
  <c r="E326" i="43"/>
  <c r="O326" i="43" s="1"/>
  <c r="E321" i="43"/>
  <c r="O321" i="43" s="1"/>
  <c r="G256" i="43"/>
  <c r="Q256" i="43" s="1"/>
  <c r="T11" i="43"/>
  <c r="D253" i="43" s="1"/>
  <c r="N253" i="43" s="1"/>
  <c r="E330" i="43"/>
  <c r="O330" i="43" s="1"/>
  <c r="G277" i="43"/>
  <c r="Q277" i="43" s="1"/>
  <c r="G252" i="43"/>
  <c r="Q252" i="43" s="1"/>
  <c r="G238" i="43"/>
  <c r="Q238" i="43" s="1"/>
  <c r="E328" i="43"/>
  <c r="O328" i="43" s="1"/>
  <c r="E325" i="43"/>
  <c r="O325" i="43" s="1"/>
  <c r="E322" i="43"/>
  <c r="O322" i="43" s="1"/>
  <c r="E287" i="43"/>
  <c r="O287" i="43" s="1"/>
  <c r="G232" i="43"/>
  <c r="Q232" i="43" s="1"/>
  <c r="G242" i="43"/>
  <c r="Q242" i="43" s="1"/>
  <c r="G241" i="43"/>
  <c r="Q241" i="43" s="1"/>
  <c r="F303" i="43"/>
  <c r="P303" i="43" s="1"/>
  <c r="F315" i="43"/>
  <c r="P315" i="43" s="1"/>
  <c r="E318" i="43"/>
  <c r="O318" i="43" s="1"/>
  <c r="E332" i="43"/>
  <c r="O332" i="43" s="1"/>
  <c r="E314" i="43"/>
  <c r="O314" i="43" s="1"/>
  <c r="G272" i="43"/>
  <c r="Q272" i="43" s="1"/>
  <c r="F295" i="43"/>
  <c r="P295" i="43" s="1"/>
  <c r="F302" i="43"/>
  <c r="P302" i="43" s="1"/>
  <c r="F310" i="43"/>
  <c r="P310" i="43" s="1"/>
  <c r="F329" i="43"/>
  <c r="P329" i="43" s="1"/>
  <c r="F294" i="43"/>
  <c r="P294" i="43" s="1"/>
  <c r="E301" i="43"/>
  <c r="O301" i="43" s="1"/>
  <c r="E294" i="43"/>
  <c r="O294" i="43" s="1"/>
  <c r="E316" i="43"/>
  <c r="O316" i="43" s="1"/>
  <c r="E307" i="43"/>
  <c r="O307" i="43" s="1"/>
  <c r="E298" i="43"/>
  <c r="O298" i="43" s="1"/>
  <c r="G243" i="43"/>
  <c r="Q243" i="43" s="1"/>
  <c r="G271" i="43"/>
  <c r="Q271" i="43" s="1"/>
  <c r="G266" i="43"/>
  <c r="Q266" i="43" s="1"/>
  <c r="G251" i="43"/>
  <c r="Q251" i="43" s="1"/>
  <c r="G281" i="43"/>
  <c r="Q281" i="43" s="1"/>
  <c r="H52" i="33"/>
  <c r="D299" i="43"/>
  <c r="N299" i="43" s="1"/>
  <c r="E265" i="43"/>
  <c r="O265" i="43" s="1"/>
  <c r="D273" i="43"/>
  <c r="N273" i="43" s="1"/>
  <c r="D243" i="43"/>
  <c r="N243" i="43" s="1"/>
  <c r="D279" i="43"/>
  <c r="N279" i="43" s="1"/>
  <c r="D262" i="43"/>
  <c r="N262" i="43" s="1"/>
  <c r="D245" i="43"/>
  <c r="N245" i="43" s="1"/>
  <c r="E280" i="43"/>
  <c r="O280" i="43" s="1"/>
  <c r="D248" i="43"/>
  <c r="N248" i="43" s="1"/>
  <c r="D241" i="43"/>
  <c r="N241" i="43" s="1"/>
  <c r="D271" i="43"/>
  <c r="N271" i="43" s="1"/>
  <c r="D254" i="43"/>
  <c r="N254" i="43" s="1"/>
  <c r="D237" i="43"/>
  <c r="N237" i="43" s="1"/>
  <c r="T9" i="43"/>
  <c r="H23" i="33"/>
  <c r="D35" i="51"/>
  <c r="E35" i="51"/>
  <c r="D260" i="43"/>
  <c r="N260" i="43" s="1"/>
  <c r="D255" i="43"/>
  <c r="N255" i="43" s="1"/>
  <c r="D238" i="43"/>
  <c r="N238" i="43" s="1"/>
  <c r="E277" i="43"/>
  <c r="O277" i="43" s="1"/>
  <c r="D272" i="43"/>
  <c r="N272" i="43" s="1"/>
  <c r="D240" i="43"/>
  <c r="N240" i="43" s="1"/>
  <c r="D251" i="43"/>
  <c r="N251" i="43" s="1"/>
  <c r="D258" i="43"/>
  <c r="N258" i="43" s="1"/>
  <c r="D247" i="43"/>
  <c r="N247" i="43" s="1"/>
  <c r="D249" i="43"/>
  <c r="N249" i="43" s="1"/>
  <c r="D250" i="43"/>
  <c r="N250" i="43" s="1"/>
  <c r="D239" i="43"/>
  <c r="N239" i="43" s="1"/>
  <c r="D269" i="43"/>
  <c r="N269" i="43" s="1"/>
  <c r="E278" i="43"/>
  <c r="O278" i="43" s="1"/>
  <c r="D280" i="43"/>
  <c r="N280" i="43" s="1"/>
  <c r="D265" i="43"/>
  <c r="N265" i="43" s="1"/>
  <c r="D256" i="43"/>
  <c r="N256" i="43" s="1"/>
  <c r="D275" i="43"/>
  <c r="N275" i="43" s="1"/>
  <c r="D242" i="43"/>
  <c r="N242" i="43" s="1"/>
  <c r="D268" i="43"/>
  <c r="N268" i="43" s="1"/>
  <c r="D259" i="43"/>
  <c r="N259" i="43" s="1"/>
  <c r="D234" i="43"/>
  <c r="N234" i="43" s="1"/>
  <c r="D270" i="43"/>
  <c r="N270" i="43" s="1"/>
  <c r="C331" i="43"/>
  <c r="M331" i="43" s="1"/>
  <c r="C330" i="43"/>
  <c r="M330" i="43" s="1"/>
  <c r="G287" i="43"/>
  <c r="Q287" i="43" s="1"/>
  <c r="G301" i="43"/>
  <c r="Q301" i="43" s="1"/>
  <c r="G309" i="43"/>
  <c r="Q309" i="43" s="1"/>
  <c r="G305" i="43"/>
  <c r="Q305" i="43" s="1"/>
  <c r="G310" i="43"/>
  <c r="Q310" i="43" s="1"/>
  <c r="G288" i="43"/>
  <c r="Q288" i="43" s="1"/>
  <c r="C319" i="43"/>
  <c r="M319" i="43" s="1"/>
  <c r="C317" i="43"/>
  <c r="M317" i="43" s="1"/>
  <c r="G284" i="43"/>
  <c r="Q284" i="43" s="1"/>
  <c r="G286" i="43"/>
  <c r="Q286" i="43" s="1"/>
  <c r="G294" i="43"/>
  <c r="Q294" i="43" s="1"/>
  <c r="G292" i="43"/>
  <c r="Q292" i="43" s="1"/>
  <c r="G300" i="43"/>
  <c r="Q300" i="43" s="1"/>
  <c r="G307" i="43"/>
  <c r="Q307" i="43" s="1"/>
  <c r="C298" i="43"/>
  <c r="M298" i="43" s="1"/>
  <c r="C318" i="43"/>
  <c r="M318" i="43" s="1"/>
  <c r="C300" i="43"/>
  <c r="M300" i="43" s="1"/>
  <c r="G326" i="43"/>
  <c r="Q326" i="43" s="1"/>
  <c r="G282" i="43"/>
  <c r="Q282" i="43" s="1"/>
  <c r="G328" i="43"/>
  <c r="Q328" i="43" s="1"/>
  <c r="G289" i="43"/>
  <c r="Q289" i="43" s="1"/>
  <c r="G299" i="43"/>
  <c r="Q299" i="43" s="1"/>
  <c r="C36" i="51"/>
  <c r="C295" i="43"/>
  <c r="M295" i="43" s="1"/>
  <c r="G323" i="43"/>
  <c r="Q323" i="43" s="1"/>
  <c r="G322" i="43"/>
  <c r="Q322" i="43" s="1"/>
  <c r="G320" i="43"/>
  <c r="Q320" i="43" s="1"/>
  <c r="G317" i="43"/>
  <c r="Q317" i="43" s="1"/>
  <c r="G332" i="43"/>
  <c r="Q332" i="43" s="1"/>
  <c r="C304" i="43"/>
  <c r="M304" i="43" s="1"/>
  <c r="C284" i="43"/>
  <c r="M284" i="43" s="1"/>
  <c r="G311" i="43"/>
  <c r="Q311" i="43" s="1"/>
  <c r="G308" i="43"/>
  <c r="Q308" i="43" s="1"/>
  <c r="G303" i="43"/>
  <c r="Q303" i="43" s="1"/>
  <c r="G324" i="43"/>
  <c r="Q324" i="43" s="1"/>
  <c r="G283" i="43"/>
  <c r="Q283" i="43" s="1"/>
  <c r="C294" i="43"/>
  <c r="M294" i="43" s="1"/>
  <c r="C285" i="43"/>
  <c r="M285" i="43" s="1"/>
  <c r="B36" i="51"/>
  <c r="G302" i="43"/>
  <c r="Q302" i="43" s="1"/>
  <c r="G297" i="43"/>
  <c r="Q297" i="43" s="1"/>
  <c r="G293" i="43"/>
  <c r="Q293" i="43" s="1"/>
  <c r="G316" i="43"/>
  <c r="Q316" i="43" s="1"/>
  <c r="G312" i="43"/>
  <c r="Q312" i="43" s="1"/>
  <c r="C328" i="43"/>
  <c r="M328" i="43" s="1"/>
  <c r="C323" i="43"/>
  <c r="M323" i="43" s="1"/>
  <c r="C305" i="43"/>
  <c r="M305" i="43" s="1"/>
  <c r="G325" i="43"/>
  <c r="Q325" i="43" s="1"/>
  <c r="G331" i="43"/>
  <c r="Q331" i="43" s="1"/>
  <c r="G329" i="43"/>
  <c r="Q329" i="43" s="1"/>
  <c r="G327" i="43"/>
  <c r="Q327" i="43" s="1"/>
  <c r="G306" i="43"/>
  <c r="Q306" i="43" s="1"/>
  <c r="R9" i="43"/>
  <c r="R7" i="58"/>
  <c r="U8" i="43"/>
  <c r="K12" i="54"/>
  <c r="L36" i="52"/>
  <c r="K4" i="54"/>
  <c r="L29" i="52"/>
  <c r="Q46" i="33" s="1"/>
  <c r="E40" i="52"/>
  <c r="J47" i="33" s="1"/>
  <c r="D317" i="43"/>
  <c r="N317" i="43" s="1"/>
  <c r="D283" i="43"/>
  <c r="N283" i="43" s="1"/>
  <c r="D301" i="43"/>
  <c r="N301" i="43" s="1"/>
  <c r="D303" i="43"/>
  <c r="N303" i="43" s="1"/>
  <c r="D325" i="43"/>
  <c r="N325" i="43" s="1"/>
  <c r="C267" i="43"/>
  <c r="M267" i="43" s="1"/>
  <c r="C248" i="43"/>
  <c r="M248" i="43" s="1"/>
  <c r="U7" i="43"/>
  <c r="C281" i="43"/>
  <c r="M281" i="43" s="1"/>
  <c r="C257" i="43"/>
  <c r="M257" i="43" s="1"/>
  <c r="R8" i="43"/>
  <c r="C274" i="43"/>
  <c r="M274" i="43" s="1"/>
  <c r="C233" i="43"/>
  <c r="M233" i="43" s="1"/>
  <c r="V21" i="7"/>
  <c r="B32" i="54" s="1"/>
  <c r="B49" i="52" s="1"/>
  <c r="U9" i="43"/>
  <c r="T8" i="43"/>
  <c r="V9" i="43"/>
  <c r="Z23" i="7"/>
  <c r="F34" i="54" s="1"/>
  <c r="F51" i="52" s="1"/>
  <c r="K52" i="33" s="1"/>
  <c r="Y23" i="7"/>
  <c r="E34" i="54" s="1"/>
  <c r="E51" i="52" s="1"/>
  <c r="AD23" i="7"/>
  <c r="F661" i="7" s="1"/>
  <c r="AA23" i="7"/>
  <c r="G34" i="54" s="1"/>
  <c r="G51" i="52" s="1"/>
  <c r="AB23" i="7"/>
  <c r="H34" i="54" s="1"/>
  <c r="H51" i="52" s="1"/>
  <c r="V23" i="7"/>
  <c r="B34" i="54" s="1"/>
  <c r="B51" i="52" s="1"/>
  <c r="V7" i="43"/>
  <c r="V8" i="43"/>
  <c r="T7" i="43"/>
  <c r="T110" i="42"/>
  <c r="R7" i="43"/>
  <c r="U110" i="42" s="1"/>
  <c r="S8" i="43"/>
  <c r="T115" i="42" s="1"/>
  <c r="S9" i="43"/>
  <c r="T120" i="42" s="1"/>
  <c r="AB132" i="42"/>
  <c r="AB136" i="42"/>
  <c r="AB135" i="42"/>
  <c r="AB134" i="42"/>
  <c r="AB133" i="42"/>
  <c r="W21" i="7"/>
  <c r="C32" i="54" s="1"/>
  <c r="C49" i="52" s="1"/>
  <c r="AD21" i="7"/>
  <c r="J32" i="54" s="1"/>
  <c r="J49" i="52" s="1"/>
  <c r="Z21" i="7"/>
  <c r="F32" i="54" s="1"/>
  <c r="F49" i="52" s="1"/>
  <c r="AA21" i="7"/>
  <c r="G32" i="54" s="1"/>
  <c r="G49" i="52" s="1"/>
  <c r="E23" i="33"/>
  <c r="X21" i="7"/>
  <c r="D32" i="54" s="1"/>
  <c r="D49" i="52" s="1"/>
  <c r="AB21" i="7"/>
  <c r="E740" i="7" s="1"/>
  <c r="Y21" i="7"/>
  <c r="E32" i="54" s="1"/>
  <c r="E49" i="52" s="1"/>
  <c r="J23" i="33"/>
  <c r="W135" i="42"/>
  <c r="W134" i="42"/>
  <c r="W133" i="42"/>
  <c r="K24" i="51"/>
  <c r="L21" i="52"/>
  <c r="K26" i="51"/>
  <c r="L23" i="52"/>
  <c r="K25" i="51"/>
  <c r="L22" i="52"/>
  <c r="K22" i="51"/>
  <c r="X23" i="7"/>
  <c r="D34" i="54" s="1"/>
  <c r="D51" i="52" s="1"/>
  <c r="AC23" i="7"/>
  <c r="D646" i="7" s="1"/>
  <c r="F591" i="43"/>
  <c r="P591" i="43" s="1"/>
  <c r="F621" i="43"/>
  <c r="P621" i="43" s="1"/>
  <c r="L30" i="33"/>
  <c r="K30" i="33"/>
  <c r="B5" i="59"/>
  <c r="D5" i="59" s="1"/>
  <c r="H12" i="59" s="1"/>
  <c r="X134" i="42"/>
  <c r="U134" i="42"/>
  <c r="S135" i="42"/>
  <c r="I15" i="52"/>
  <c r="N41" i="33" s="1"/>
  <c r="H11" i="59"/>
  <c r="K11" i="59"/>
  <c r="C18" i="59" s="1"/>
  <c r="M18" i="59" s="1"/>
  <c r="I11" i="59"/>
  <c r="J38" i="54"/>
  <c r="J55" i="52" s="1"/>
  <c r="F806" i="7"/>
  <c r="F814" i="7"/>
  <c r="F822" i="7"/>
  <c r="F830" i="7"/>
  <c r="F838" i="7"/>
  <c r="F846" i="7"/>
  <c r="F800" i="7"/>
  <c r="F808" i="7"/>
  <c r="F816" i="7"/>
  <c r="F824" i="7"/>
  <c r="F832" i="7"/>
  <c r="F840" i="7"/>
  <c r="F848" i="7"/>
  <c r="F801" i="7"/>
  <c r="F809" i="7"/>
  <c r="F817" i="7"/>
  <c r="F825" i="7"/>
  <c r="F833" i="7"/>
  <c r="F841" i="7"/>
  <c r="F849" i="7"/>
  <c r="F802" i="7"/>
  <c r="F810" i="7"/>
  <c r="F818" i="7"/>
  <c r="F826" i="7"/>
  <c r="F834" i="7"/>
  <c r="F842" i="7"/>
  <c r="F803" i="7"/>
  <c r="F811" i="7"/>
  <c r="F819" i="7"/>
  <c r="F827" i="7"/>
  <c r="F835" i="7"/>
  <c r="F843" i="7"/>
  <c r="F804" i="7"/>
  <c r="F812" i="7"/>
  <c r="F820" i="7"/>
  <c r="F828" i="7"/>
  <c r="F836" i="7"/>
  <c r="F844" i="7"/>
  <c r="F799" i="7"/>
  <c r="F805" i="7"/>
  <c r="F837" i="7"/>
  <c r="F807" i="7"/>
  <c r="F839" i="7"/>
  <c r="F813" i="7"/>
  <c r="F845" i="7"/>
  <c r="F815" i="7"/>
  <c r="F821" i="7"/>
  <c r="F829" i="7"/>
  <c r="F831" i="7"/>
  <c r="F847" i="7"/>
  <c r="F823" i="7"/>
  <c r="H38" i="54"/>
  <c r="H55" i="52" s="1"/>
  <c r="E804" i="7"/>
  <c r="E812" i="7"/>
  <c r="E820" i="7"/>
  <c r="E828" i="7"/>
  <c r="E836" i="7"/>
  <c r="E844" i="7"/>
  <c r="E806" i="7"/>
  <c r="E814" i="7"/>
  <c r="E822" i="7"/>
  <c r="E830" i="7"/>
  <c r="E838" i="7"/>
  <c r="E846" i="7"/>
  <c r="E807" i="7"/>
  <c r="E815" i="7"/>
  <c r="E823" i="7"/>
  <c r="E831" i="7"/>
  <c r="E839" i="7"/>
  <c r="E847" i="7"/>
  <c r="E800" i="7"/>
  <c r="E808" i="7"/>
  <c r="E816" i="7"/>
  <c r="E824" i="7"/>
  <c r="E832" i="7"/>
  <c r="E840" i="7"/>
  <c r="E848" i="7"/>
  <c r="E801" i="7"/>
  <c r="E809" i="7"/>
  <c r="E817" i="7"/>
  <c r="E825" i="7"/>
  <c r="E833" i="7"/>
  <c r="E841" i="7"/>
  <c r="E849" i="7"/>
  <c r="E802" i="7"/>
  <c r="E810" i="7"/>
  <c r="E818" i="7"/>
  <c r="E826" i="7"/>
  <c r="E834" i="7"/>
  <c r="E842" i="7"/>
  <c r="E819" i="7"/>
  <c r="E799" i="7"/>
  <c r="E821" i="7"/>
  <c r="E827" i="7"/>
  <c r="E803" i="7"/>
  <c r="E845" i="7"/>
  <c r="E811" i="7"/>
  <c r="E813" i="7"/>
  <c r="E835" i="7"/>
  <c r="E805" i="7"/>
  <c r="E829" i="7"/>
  <c r="E837" i="7"/>
  <c r="E843" i="7"/>
  <c r="J36" i="54"/>
  <c r="J53" i="52" s="1"/>
  <c r="O51" i="33" s="1"/>
  <c r="F749" i="7"/>
  <c r="F757" i="7"/>
  <c r="F765" i="7"/>
  <c r="F773" i="7"/>
  <c r="F781" i="7"/>
  <c r="F789" i="7"/>
  <c r="F797" i="7"/>
  <c r="F751" i="7"/>
  <c r="F759" i="7"/>
  <c r="F767" i="7"/>
  <c r="F775" i="7"/>
  <c r="F783" i="7"/>
  <c r="F791" i="7"/>
  <c r="F748" i="7"/>
  <c r="F752" i="7"/>
  <c r="F760" i="7"/>
  <c r="F768" i="7"/>
  <c r="F776" i="7"/>
  <c r="F784" i="7"/>
  <c r="F792" i="7"/>
  <c r="F753" i="7"/>
  <c r="F761" i="7"/>
  <c r="F769" i="7"/>
  <c r="F777" i="7"/>
  <c r="F785" i="7"/>
  <c r="F793" i="7"/>
  <c r="F754" i="7"/>
  <c r="F762" i="7"/>
  <c r="F770" i="7"/>
  <c r="F778" i="7"/>
  <c r="F786" i="7"/>
  <c r="F794" i="7"/>
  <c r="F755" i="7"/>
  <c r="F763" i="7"/>
  <c r="F771" i="7"/>
  <c r="F779" i="7"/>
  <c r="F787" i="7"/>
  <c r="F795" i="7"/>
  <c r="F780" i="7"/>
  <c r="F750" i="7"/>
  <c r="F782" i="7"/>
  <c r="F756" i="7"/>
  <c r="F788" i="7"/>
  <c r="F798" i="7"/>
  <c r="F764" i="7"/>
  <c r="F766" i="7"/>
  <c r="F774" i="7"/>
  <c r="F790" i="7"/>
  <c r="F758" i="7"/>
  <c r="F796" i="7"/>
  <c r="F772" i="7"/>
  <c r="H36" i="54"/>
  <c r="H53" i="52" s="1"/>
  <c r="M51" i="33" s="1"/>
  <c r="E754" i="7"/>
  <c r="E762" i="7"/>
  <c r="E770" i="7"/>
  <c r="E778" i="7"/>
  <c r="E786" i="7"/>
  <c r="E794" i="7"/>
  <c r="E756" i="7"/>
  <c r="E764" i="7"/>
  <c r="E772" i="7"/>
  <c r="E780" i="7"/>
  <c r="E788" i="7"/>
  <c r="E796" i="7"/>
  <c r="E749" i="7"/>
  <c r="E757" i="7"/>
  <c r="E765" i="7"/>
  <c r="E773" i="7"/>
  <c r="E781" i="7"/>
  <c r="E789" i="7"/>
  <c r="E797" i="7"/>
  <c r="E750" i="7"/>
  <c r="E758" i="7"/>
  <c r="E766" i="7"/>
  <c r="E774" i="7"/>
  <c r="E782" i="7"/>
  <c r="E790" i="7"/>
  <c r="E798" i="7"/>
  <c r="E751" i="7"/>
  <c r="E759" i="7"/>
  <c r="E767" i="7"/>
  <c r="E775" i="7"/>
  <c r="E783" i="7"/>
  <c r="E791" i="7"/>
  <c r="E748" i="7"/>
  <c r="E752" i="7"/>
  <c r="E760" i="7"/>
  <c r="E768" i="7"/>
  <c r="E776" i="7"/>
  <c r="E784" i="7"/>
  <c r="E792" i="7"/>
  <c r="E761" i="7"/>
  <c r="E793" i="7"/>
  <c r="E763" i="7"/>
  <c r="E795" i="7"/>
  <c r="E769" i="7"/>
  <c r="E755" i="7"/>
  <c r="E771" i="7"/>
  <c r="E779" i="7"/>
  <c r="E753" i="7"/>
  <c r="E777" i="7"/>
  <c r="E785" i="7"/>
  <c r="E787" i="7"/>
  <c r="V135" i="42"/>
  <c r="V134" i="42"/>
  <c r="V133" i="42"/>
  <c r="AA135" i="42"/>
  <c r="AA134" i="42"/>
  <c r="AA133" i="42"/>
  <c r="Y135" i="42"/>
  <c r="Y134" i="42"/>
  <c r="Y133" i="42"/>
  <c r="U135" i="42"/>
  <c r="T135" i="42"/>
  <c r="T134" i="42"/>
  <c r="T133" i="42"/>
  <c r="Z135" i="42"/>
  <c r="Z134" i="42"/>
  <c r="Z133" i="42"/>
  <c r="B6" i="59"/>
  <c r="D6" i="59" s="1"/>
  <c r="B7" i="59"/>
  <c r="D7" i="59" s="1"/>
  <c r="O69" i="42"/>
  <c r="O127" i="42"/>
  <c r="O119" i="42"/>
  <c r="O110" i="42"/>
  <c r="O100" i="42"/>
  <c r="O91" i="42"/>
  <c r="O85" i="42"/>
  <c r="O81" i="42"/>
  <c r="O77" i="42"/>
  <c r="O73" i="42"/>
  <c r="O126" i="42"/>
  <c r="O118" i="42"/>
  <c r="O107" i="42"/>
  <c r="O99" i="42"/>
  <c r="O90" i="42"/>
  <c r="O79" i="42"/>
  <c r="O103" i="42"/>
  <c r="O68" i="42"/>
  <c r="O135" i="42"/>
  <c r="O125" i="42"/>
  <c r="O117" i="42"/>
  <c r="O106" i="42"/>
  <c r="O98" i="42"/>
  <c r="O89" i="42"/>
  <c r="O84" i="42"/>
  <c r="O80" i="42"/>
  <c r="O76" i="42"/>
  <c r="O72" i="42"/>
  <c r="O134" i="42"/>
  <c r="O124" i="42"/>
  <c r="O116" i="42"/>
  <c r="O105" i="42"/>
  <c r="O97" i="42"/>
  <c r="O88" i="42"/>
  <c r="O75" i="42"/>
  <c r="O132" i="42"/>
  <c r="O113" i="42"/>
  <c r="O67" i="42"/>
  <c r="O133" i="42"/>
  <c r="O123" i="42"/>
  <c r="O115" i="42"/>
  <c r="O104" i="42"/>
  <c r="O96" i="42"/>
  <c r="O83" i="42"/>
  <c r="O122" i="42"/>
  <c r="O66" i="42"/>
  <c r="O129" i="42"/>
  <c r="O121" i="42"/>
  <c r="O112" i="42"/>
  <c r="O102" i="42"/>
  <c r="O94" i="42"/>
  <c r="O71" i="42"/>
  <c r="O82" i="42"/>
  <c r="O78" i="42"/>
  <c r="O74" i="42"/>
  <c r="O128" i="42"/>
  <c r="O120" i="42"/>
  <c r="O111" i="42"/>
  <c r="O101" i="42"/>
  <c r="O93" i="42"/>
  <c r="O95" i="42"/>
  <c r="F624" i="43"/>
  <c r="P624" i="43" s="1"/>
  <c r="F619" i="43"/>
  <c r="P619" i="43" s="1"/>
  <c r="F608" i="43"/>
  <c r="P608" i="43" s="1"/>
  <c r="F603" i="43"/>
  <c r="P603" i="43" s="1"/>
  <c r="F600" i="43"/>
  <c r="P600" i="43" s="1"/>
  <c r="F623" i="43"/>
  <c r="P623" i="43" s="1"/>
  <c r="F607" i="43"/>
  <c r="P607" i="43" s="1"/>
  <c r="F622" i="43"/>
  <c r="P622" i="43" s="1"/>
  <c r="B20" i="7"/>
  <c r="AD20" i="7" s="1"/>
  <c r="F613" i="43"/>
  <c r="P613" i="43" s="1"/>
  <c r="F633" i="43"/>
  <c r="P633" i="43" s="1"/>
  <c r="F605" i="43"/>
  <c r="P605" i="43" s="1"/>
  <c r="F626" i="43"/>
  <c r="P626" i="43" s="1"/>
  <c r="F601" i="43"/>
  <c r="P601" i="43" s="1"/>
  <c r="F597" i="43"/>
  <c r="P597" i="43" s="1"/>
  <c r="F593" i="43"/>
  <c r="P593" i="43" s="1"/>
  <c r="F635" i="43"/>
  <c r="P635" i="43" s="1"/>
  <c r="E541" i="43"/>
  <c r="O541" i="43" s="1"/>
  <c r="E578" i="43"/>
  <c r="O578" i="43" s="1"/>
  <c r="F594" i="43"/>
  <c r="P594" i="43" s="1"/>
  <c r="F638" i="43"/>
  <c r="P638" i="43" s="1"/>
  <c r="F636" i="43"/>
  <c r="P636" i="43" s="1"/>
  <c r="E561" i="43"/>
  <c r="O561" i="43" s="1"/>
  <c r="F641" i="43"/>
  <c r="P641" i="43" s="1"/>
  <c r="F630" i="43"/>
  <c r="P630" i="43" s="1"/>
  <c r="F620" i="43"/>
  <c r="P620" i="43" s="1"/>
  <c r="F616" i="43"/>
  <c r="P616" i="43" s="1"/>
  <c r="F617" i="43"/>
  <c r="P617" i="43" s="1"/>
  <c r="F614" i="43"/>
  <c r="P614" i="43" s="1"/>
  <c r="F627" i="43"/>
  <c r="P627" i="43" s="1"/>
  <c r="E544" i="43"/>
  <c r="O544" i="43" s="1"/>
  <c r="E590" i="43"/>
  <c r="O590" i="43" s="1"/>
  <c r="F610" i="43"/>
  <c r="P610" i="43" s="1"/>
  <c r="F639" i="43"/>
  <c r="P639" i="43" s="1"/>
  <c r="F606" i="43"/>
  <c r="P606" i="43" s="1"/>
  <c r="F604" i="43"/>
  <c r="P604" i="43" s="1"/>
  <c r="F640" i="43"/>
  <c r="P640" i="43" s="1"/>
  <c r="F602" i="43"/>
  <c r="P602" i="43" s="1"/>
  <c r="F631" i="43"/>
  <c r="P631" i="43" s="1"/>
  <c r="F637" i="43"/>
  <c r="P637" i="43" s="1"/>
  <c r="F596" i="43"/>
  <c r="P596" i="43" s="1"/>
  <c r="E571" i="43"/>
  <c r="O571" i="43" s="1"/>
  <c r="E587" i="43"/>
  <c r="O587" i="43" s="1"/>
  <c r="E557" i="43"/>
  <c r="O557" i="43" s="1"/>
  <c r="E548" i="43"/>
  <c r="O548" i="43" s="1"/>
  <c r="E577" i="43"/>
  <c r="O577" i="43" s="1"/>
  <c r="E560" i="43"/>
  <c r="O560" i="43" s="1"/>
  <c r="E551" i="43"/>
  <c r="O551" i="43" s="1"/>
  <c r="E542" i="43"/>
  <c r="O542" i="43" s="1"/>
  <c r="E579" i="43"/>
  <c r="O579" i="43" s="1"/>
  <c r="E549" i="43"/>
  <c r="O549" i="43" s="1"/>
  <c r="E586" i="43"/>
  <c r="O586" i="43" s="1"/>
  <c r="E569" i="43"/>
  <c r="O569" i="43" s="1"/>
  <c r="E552" i="43"/>
  <c r="O552" i="43" s="1"/>
  <c r="E543" i="43"/>
  <c r="O543" i="43" s="1"/>
  <c r="E563" i="43"/>
  <c r="O563" i="43" s="1"/>
  <c r="E588" i="43"/>
  <c r="O588" i="43" s="1"/>
  <c r="E570" i="43"/>
  <c r="O570" i="43" s="1"/>
  <c r="E553" i="43"/>
  <c r="O553" i="43" s="1"/>
  <c r="E540" i="43"/>
  <c r="O540" i="43" s="1"/>
  <c r="E582" i="43"/>
  <c r="O582" i="43" s="1"/>
  <c r="E589" i="43"/>
  <c r="O589" i="43" s="1"/>
  <c r="E580" i="43"/>
  <c r="O580" i="43" s="1"/>
  <c r="E562" i="43"/>
  <c r="O562" i="43" s="1"/>
  <c r="E545" i="43"/>
  <c r="O545" i="43" s="1"/>
  <c r="E583" i="43"/>
  <c r="O583" i="43" s="1"/>
  <c r="E574" i="43"/>
  <c r="O574" i="43" s="1"/>
  <c r="E581" i="43"/>
  <c r="O581" i="43" s="1"/>
  <c r="E572" i="43"/>
  <c r="O572" i="43" s="1"/>
  <c r="E554" i="43"/>
  <c r="O554" i="43" s="1"/>
  <c r="E584" i="43"/>
  <c r="O584" i="43" s="1"/>
  <c r="E575" i="43"/>
  <c r="O575" i="43" s="1"/>
  <c r="E566" i="43"/>
  <c r="O566" i="43" s="1"/>
  <c r="E555" i="43"/>
  <c r="O555" i="43" s="1"/>
  <c r="E573" i="43"/>
  <c r="O573" i="43" s="1"/>
  <c r="E564" i="43"/>
  <c r="O564" i="43" s="1"/>
  <c r="E546" i="43"/>
  <c r="O546" i="43" s="1"/>
  <c r="E576" i="43"/>
  <c r="O576" i="43" s="1"/>
  <c r="E567" i="43"/>
  <c r="O567" i="43" s="1"/>
  <c r="E558" i="43"/>
  <c r="O558" i="43" s="1"/>
  <c r="E547" i="43"/>
  <c r="O547" i="43" s="1"/>
  <c r="E565" i="43"/>
  <c r="O565" i="43" s="1"/>
  <c r="E556" i="43"/>
  <c r="O556" i="43" s="1"/>
  <c r="E585" i="43"/>
  <c r="O585" i="43" s="1"/>
  <c r="E568" i="43"/>
  <c r="O568" i="43" s="1"/>
  <c r="E559" i="43"/>
  <c r="O559" i="43" s="1"/>
  <c r="E550" i="43"/>
  <c r="O550" i="43" s="1"/>
  <c r="G601" i="43"/>
  <c r="Q601" i="43" s="1"/>
  <c r="F550" i="43"/>
  <c r="P550" i="43" s="1"/>
  <c r="F592" i="43"/>
  <c r="P592" i="43" s="1"/>
  <c r="F634" i="43"/>
  <c r="P634" i="43" s="1"/>
  <c r="F625" i="43"/>
  <c r="P625" i="43" s="1"/>
  <c r="F615" i="43"/>
  <c r="P615" i="43" s="1"/>
  <c r="F598" i="43"/>
  <c r="P598" i="43" s="1"/>
  <c r="F628" i="43"/>
  <c r="P628" i="43" s="1"/>
  <c r="F611" i="43"/>
  <c r="P611" i="43" s="1"/>
  <c r="F632" i="43"/>
  <c r="P632" i="43" s="1"/>
  <c r="F618" i="43"/>
  <c r="P618" i="43" s="1"/>
  <c r="F609" i="43"/>
  <c r="P609" i="43" s="1"/>
  <c r="F599" i="43"/>
  <c r="P599" i="43" s="1"/>
  <c r="F629" i="43"/>
  <c r="P629" i="43" s="1"/>
  <c r="F612" i="43"/>
  <c r="P612" i="43" s="1"/>
  <c r="F595" i="43"/>
  <c r="P595" i="43" s="1"/>
  <c r="G629" i="43"/>
  <c r="Q629" i="43" s="1"/>
  <c r="G612" i="43"/>
  <c r="Q612" i="43" s="1"/>
  <c r="F586" i="43"/>
  <c r="P586" i="43" s="1"/>
  <c r="G595" i="43"/>
  <c r="Q595" i="43" s="1"/>
  <c r="F556" i="43"/>
  <c r="P556" i="43" s="1"/>
  <c r="G592" i="43"/>
  <c r="Q592" i="43" s="1"/>
  <c r="F541" i="43"/>
  <c r="P541" i="43" s="1"/>
  <c r="F585" i="43"/>
  <c r="P585" i="43" s="1"/>
  <c r="F568" i="43"/>
  <c r="P568" i="43" s="1"/>
  <c r="G615" i="43"/>
  <c r="Q615" i="43" s="1"/>
  <c r="F559" i="43"/>
  <c r="P559" i="43" s="1"/>
  <c r="G607" i="43"/>
  <c r="Q607" i="43" s="1"/>
  <c r="G593" i="43"/>
  <c r="Q593" i="43" s="1"/>
  <c r="G638" i="43"/>
  <c r="Q638" i="43" s="1"/>
  <c r="G621" i="43"/>
  <c r="Q621" i="43" s="1"/>
  <c r="G604" i="43"/>
  <c r="Q604" i="43" s="1"/>
  <c r="G591" i="43"/>
  <c r="Q591" i="43" s="1"/>
  <c r="F578" i="43"/>
  <c r="P578" i="43" s="1"/>
  <c r="F548" i="43"/>
  <c r="P548" i="43" s="1"/>
  <c r="F577" i="43"/>
  <c r="P577" i="43" s="1"/>
  <c r="F560" i="43"/>
  <c r="P560" i="43" s="1"/>
  <c r="F551" i="43"/>
  <c r="P551" i="43" s="1"/>
  <c r="F542" i="43"/>
  <c r="P542" i="43" s="1"/>
  <c r="G599" i="43"/>
  <c r="Q599" i="43" s="1"/>
  <c r="G640" i="43"/>
  <c r="Q640" i="43" s="1"/>
  <c r="G630" i="43"/>
  <c r="Q630" i="43" s="1"/>
  <c r="G613" i="43"/>
  <c r="Q613" i="43" s="1"/>
  <c r="G596" i="43"/>
  <c r="Q596" i="43" s="1"/>
  <c r="G634" i="43"/>
  <c r="Q634" i="43" s="1"/>
  <c r="F570" i="43"/>
  <c r="P570" i="43" s="1"/>
  <c r="F587" i="43"/>
  <c r="P587" i="43" s="1"/>
  <c r="F569" i="43"/>
  <c r="P569" i="43" s="1"/>
  <c r="F552" i="43"/>
  <c r="P552" i="43" s="1"/>
  <c r="F543" i="43"/>
  <c r="P543" i="43" s="1"/>
  <c r="F589" i="43"/>
  <c r="P589" i="43" s="1"/>
  <c r="G641" i="43"/>
  <c r="Q641" i="43" s="1"/>
  <c r="G632" i="43"/>
  <c r="Q632" i="43" s="1"/>
  <c r="G622" i="43"/>
  <c r="Q622" i="43" s="1"/>
  <c r="G605" i="43"/>
  <c r="Q605" i="43" s="1"/>
  <c r="G635" i="43"/>
  <c r="Q635" i="43" s="1"/>
  <c r="G626" i="43"/>
  <c r="Q626" i="43" s="1"/>
  <c r="F562" i="43"/>
  <c r="P562" i="43" s="1"/>
  <c r="F579" i="43"/>
  <c r="P579" i="43" s="1"/>
  <c r="F561" i="43"/>
  <c r="P561" i="43" s="1"/>
  <c r="F544" i="43"/>
  <c r="P544" i="43" s="1"/>
  <c r="F590" i="43"/>
  <c r="P590" i="43" s="1"/>
  <c r="F581" i="43"/>
  <c r="P581" i="43" s="1"/>
  <c r="G633" i="43"/>
  <c r="Q633" i="43" s="1"/>
  <c r="G624" i="43"/>
  <c r="Q624" i="43" s="1"/>
  <c r="G614" i="43"/>
  <c r="Q614" i="43" s="1"/>
  <c r="G597" i="43"/>
  <c r="Q597" i="43" s="1"/>
  <c r="G627" i="43"/>
  <c r="Q627" i="43" s="1"/>
  <c r="G618" i="43"/>
  <c r="Q618" i="43" s="1"/>
  <c r="F588" i="43"/>
  <c r="P588" i="43" s="1"/>
  <c r="F571" i="43"/>
  <c r="P571" i="43" s="1"/>
  <c r="F553" i="43"/>
  <c r="P553" i="43" s="1"/>
  <c r="F540" i="43"/>
  <c r="P540" i="43" s="1"/>
  <c r="F582" i="43"/>
  <c r="P582" i="43" s="1"/>
  <c r="F573" i="43"/>
  <c r="P573" i="43" s="1"/>
  <c r="G639" i="43"/>
  <c r="Q639" i="43" s="1"/>
  <c r="G625" i="43"/>
  <c r="Q625" i="43" s="1"/>
  <c r="G616" i="43"/>
  <c r="Q616" i="43" s="1"/>
  <c r="G606" i="43"/>
  <c r="Q606" i="43" s="1"/>
  <c r="G636" i="43"/>
  <c r="Q636" i="43" s="1"/>
  <c r="G619" i="43"/>
  <c r="Q619" i="43" s="1"/>
  <c r="G610" i="43"/>
  <c r="Q610" i="43" s="1"/>
  <c r="F580" i="43"/>
  <c r="P580" i="43" s="1"/>
  <c r="F563" i="43"/>
  <c r="P563" i="43" s="1"/>
  <c r="F545" i="43"/>
  <c r="P545" i="43" s="1"/>
  <c r="F583" i="43"/>
  <c r="P583" i="43" s="1"/>
  <c r="F574" i="43"/>
  <c r="P574" i="43" s="1"/>
  <c r="F565" i="43"/>
  <c r="P565" i="43" s="1"/>
  <c r="G631" i="43"/>
  <c r="Q631" i="43" s="1"/>
  <c r="G617" i="43"/>
  <c r="Q617" i="43" s="1"/>
  <c r="G608" i="43"/>
  <c r="Q608" i="43" s="1"/>
  <c r="G598" i="43"/>
  <c r="Q598" i="43" s="1"/>
  <c r="G628" i="43"/>
  <c r="Q628" i="43" s="1"/>
  <c r="G611" i="43"/>
  <c r="Q611" i="43" s="1"/>
  <c r="G602" i="43"/>
  <c r="Q602" i="43" s="1"/>
  <c r="F554" i="43"/>
  <c r="P554" i="43" s="1"/>
  <c r="F572" i="43"/>
  <c r="P572" i="43" s="1"/>
  <c r="F555" i="43"/>
  <c r="P555" i="43" s="1"/>
  <c r="F584" i="43"/>
  <c r="P584" i="43" s="1"/>
  <c r="F575" i="43"/>
  <c r="P575" i="43" s="1"/>
  <c r="F566" i="43"/>
  <c r="P566" i="43" s="1"/>
  <c r="F557" i="43"/>
  <c r="P557" i="43" s="1"/>
  <c r="G623" i="43"/>
  <c r="Q623" i="43" s="1"/>
  <c r="G609" i="43"/>
  <c r="Q609" i="43" s="1"/>
  <c r="G600" i="43"/>
  <c r="Q600" i="43" s="1"/>
  <c r="G637" i="43"/>
  <c r="Q637" i="43" s="1"/>
  <c r="G620" i="43"/>
  <c r="Q620" i="43" s="1"/>
  <c r="G603" i="43"/>
  <c r="Q603" i="43" s="1"/>
  <c r="G594" i="43"/>
  <c r="Q594" i="43" s="1"/>
  <c r="F546" i="43"/>
  <c r="P546" i="43" s="1"/>
  <c r="F564" i="43"/>
  <c r="P564" i="43" s="1"/>
  <c r="F547" i="43"/>
  <c r="P547" i="43" s="1"/>
  <c r="F576" i="43"/>
  <c r="P576" i="43" s="1"/>
  <c r="F567" i="43"/>
  <c r="P567" i="43" s="1"/>
  <c r="F558" i="43"/>
  <c r="P558" i="43" s="1"/>
  <c r="F549" i="43"/>
  <c r="P549" i="43" s="1"/>
  <c r="G110" i="60"/>
  <c r="Q110" i="60" s="1"/>
  <c r="G103" i="60"/>
  <c r="Q103" i="60" s="1"/>
  <c r="E118" i="60"/>
  <c r="O118" i="60" s="1"/>
  <c r="E607" i="43"/>
  <c r="O607" i="43" s="1"/>
  <c r="E598" i="43"/>
  <c r="O598" i="43" s="1"/>
  <c r="E601" i="43"/>
  <c r="O601" i="43" s="1"/>
  <c r="E634" i="43"/>
  <c r="O634" i="43" s="1"/>
  <c r="E628" i="43"/>
  <c r="O628" i="43" s="1"/>
  <c r="E635" i="43"/>
  <c r="O635" i="43" s="1"/>
  <c r="E626" i="43"/>
  <c r="O626" i="43" s="1"/>
  <c r="E620" i="43"/>
  <c r="O620" i="43" s="1"/>
  <c r="E637" i="43"/>
  <c r="O637" i="43" s="1"/>
  <c r="E624" i="43"/>
  <c r="O624" i="43" s="1"/>
  <c r="E616" i="43"/>
  <c r="O616" i="43" s="1"/>
  <c r="E615" i="43"/>
  <c r="O615" i="43" s="1"/>
  <c r="E593" i="43"/>
  <c r="O593" i="43" s="1"/>
  <c r="E627" i="43"/>
  <c r="O627" i="43" s="1"/>
  <c r="E618" i="43"/>
  <c r="O618" i="43" s="1"/>
  <c r="E608" i="43"/>
  <c r="O608" i="43" s="1"/>
  <c r="E599" i="43"/>
  <c r="O599" i="43" s="1"/>
  <c r="E629" i="43"/>
  <c r="O629" i="43" s="1"/>
  <c r="E612" i="43"/>
  <c r="O612" i="43" s="1"/>
  <c r="E641" i="43"/>
  <c r="O641" i="43" s="1"/>
  <c r="E619" i="43"/>
  <c r="O619" i="43" s="1"/>
  <c r="E610" i="43"/>
  <c r="O610" i="43" s="1"/>
  <c r="E600" i="43"/>
  <c r="O600" i="43" s="1"/>
  <c r="E638" i="43"/>
  <c r="O638" i="43" s="1"/>
  <c r="E621" i="43"/>
  <c r="O621" i="43" s="1"/>
  <c r="E604" i="43"/>
  <c r="O604" i="43" s="1"/>
  <c r="E633" i="43"/>
  <c r="O633" i="43" s="1"/>
  <c r="E611" i="43"/>
  <c r="O611" i="43" s="1"/>
  <c r="E602" i="43"/>
  <c r="O602" i="43" s="1"/>
  <c r="E592" i="43"/>
  <c r="O592" i="43" s="1"/>
  <c r="E630" i="43"/>
  <c r="O630" i="43" s="1"/>
  <c r="E613" i="43"/>
  <c r="O613" i="43" s="1"/>
  <c r="E596" i="43"/>
  <c r="O596" i="43" s="1"/>
  <c r="E625" i="43"/>
  <c r="O625" i="43" s="1"/>
  <c r="E603" i="43"/>
  <c r="O603" i="43" s="1"/>
  <c r="E594" i="43"/>
  <c r="O594" i="43" s="1"/>
  <c r="E639" i="43"/>
  <c r="O639" i="43" s="1"/>
  <c r="E622" i="43"/>
  <c r="O622" i="43" s="1"/>
  <c r="E605" i="43"/>
  <c r="O605" i="43" s="1"/>
  <c r="E617" i="43"/>
  <c r="O617" i="43" s="1"/>
  <c r="E595" i="43"/>
  <c r="O595" i="43" s="1"/>
  <c r="E640" i="43"/>
  <c r="O640" i="43" s="1"/>
  <c r="E631" i="43"/>
  <c r="O631" i="43" s="1"/>
  <c r="E614" i="43"/>
  <c r="O614" i="43" s="1"/>
  <c r="E597" i="43"/>
  <c r="O597" i="43" s="1"/>
  <c r="E609" i="43"/>
  <c r="O609" i="43" s="1"/>
  <c r="E591" i="43"/>
  <c r="O591" i="43" s="1"/>
  <c r="E632" i="43"/>
  <c r="O632" i="43" s="1"/>
  <c r="E623" i="43"/>
  <c r="O623" i="43" s="1"/>
  <c r="E606" i="43"/>
  <c r="O606" i="43" s="1"/>
  <c r="E636" i="43"/>
  <c r="O636" i="43" s="1"/>
  <c r="D546" i="43"/>
  <c r="N546" i="43" s="1"/>
  <c r="C637" i="43"/>
  <c r="M637" i="43" s="1"/>
  <c r="D565" i="43"/>
  <c r="N565" i="43" s="1"/>
  <c r="H10" i="43"/>
  <c r="D578" i="43"/>
  <c r="N578" i="43" s="1"/>
  <c r="D549" i="43"/>
  <c r="N549" i="43" s="1"/>
  <c r="C621" i="43"/>
  <c r="M621" i="43" s="1"/>
  <c r="E79" i="60"/>
  <c r="O79" i="60" s="1"/>
  <c r="D545" i="43"/>
  <c r="N545" i="43" s="1"/>
  <c r="D556" i="43"/>
  <c r="N556" i="43" s="1"/>
  <c r="C617" i="43"/>
  <c r="M617" i="43" s="1"/>
  <c r="C620" i="43"/>
  <c r="M620" i="43" s="1"/>
  <c r="E77" i="60"/>
  <c r="O77" i="60" s="1"/>
  <c r="D576" i="43"/>
  <c r="N576" i="43" s="1"/>
  <c r="D587" i="43"/>
  <c r="N587" i="43" s="1"/>
  <c r="C601" i="43"/>
  <c r="M601" i="43" s="1"/>
  <c r="C604" i="43"/>
  <c r="M604" i="43" s="1"/>
  <c r="E98" i="60"/>
  <c r="O98" i="60" s="1"/>
  <c r="D583" i="43"/>
  <c r="N583" i="43" s="1"/>
  <c r="C616" i="43"/>
  <c r="M616" i="43" s="1"/>
  <c r="C603" i="43"/>
  <c r="M603" i="43" s="1"/>
  <c r="C600" i="43"/>
  <c r="M600" i="43" s="1"/>
  <c r="C591" i="43"/>
  <c r="M591" i="43" s="1"/>
  <c r="E108" i="60"/>
  <c r="O108" i="60" s="1"/>
  <c r="D567" i="43"/>
  <c r="N567" i="43" s="1"/>
  <c r="D574" i="43"/>
  <c r="N574" i="43" s="1"/>
  <c r="C607" i="43"/>
  <c r="M607" i="43" s="1"/>
  <c r="C594" i="43"/>
  <c r="M594" i="43" s="1"/>
  <c r="E74" i="60"/>
  <c r="O74" i="60" s="1"/>
  <c r="D558" i="43"/>
  <c r="N558" i="43" s="1"/>
  <c r="C638" i="43"/>
  <c r="M638" i="43" s="1"/>
  <c r="E106" i="60"/>
  <c r="O106" i="60" s="1"/>
  <c r="D585" i="43"/>
  <c r="N585" i="43" s="1"/>
  <c r="D568" i="43"/>
  <c r="N568" i="43" s="1"/>
  <c r="D559" i="43"/>
  <c r="N559" i="43" s="1"/>
  <c r="D550" i="43"/>
  <c r="N550" i="43" s="1"/>
  <c r="D541" i="43"/>
  <c r="N541" i="43" s="1"/>
  <c r="D579" i="43"/>
  <c r="N579" i="43" s="1"/>
  <c r="C593" i="43"/>
  <c r="M593" i="43" s="1"/>
  <c r="C592" i="43"/>
  <c r="M592" i="43" s="1"/>
  <c r="C630" i="43"/>
  <c r="M630" i="43" s="1"/>
  <c r="C613" i="43"/>
  <c r="M613" i="43" s="1"/>
  <c r="C596" i="43"/>
  <c r="M596" i="43" s="1"/>
  <c r="C634" i="43"/>
  <c r="M634" i="43" s="1"/>
  <c r="E101" i="60"/>
  <c r="O101" i="60" s="1"/>
  <c r="E93" i="60"/>
  <c r="O93" i="60" s="1"/>
  <c r="E92" i="60"/>
  <c r="O92" i="60" s="1"/>
  <c r="E95" i="60"/>
  <c r="O95" i="60" s="1"/>
  <c r="E90" i="60"/>
  <c r="O90" i="60" s="1"/>
  <c r="E115" i="60"/>
  <c r="O115" i="60" s="1"/>
  <c r="D577" i="43"/>
  <c r="N577" i="43" s="1"/>
  <c r="D560" i="43"/>
  <c r="N560" i="43" s="1"/>
  <c r="D551" i="43"/>
  <c r="N551" i="43" s="1"/>
  <c r="D542" i="43"/>
  <c r="N542" i="43" s="1"/>
  <c r="D588" i="43"/>
  <c r="N588" i="43" s="1"/>
  <c r="D571" i="43"/>
  <c r="N571" i="43" s="1"/>
  <c r="C641" i="43"/>
  <c r="M641" i="43" s="1"/>
  <c r="C639" i="43"/>
  <c r="M639" i="43" s="1"/>
  <c r="C622" i="43"/>
  <c r="M622" i="43" s="1"/>
  <c r="C605" i="43"/>
  <c r="M605" i="43" s="1"/>
  <c r="C635" i="43"/>
  <c r="M635" i="43" s="1"/>
  <c r="C626" i="43"/>
  <c r="M626" i="43" s="1"/>
  <c r="E114" i="60"/>
  <c r="O114" i="60" s="1"/>
  <c r="E72" i="60"/>
  <c r="O72" i="60" s="1"/>
  <c r="E69" i="60"/>
  <c r="O69" i="60" s="1"/>
  <c r="E73" i="60"/>
  <c r="O73" i="60" s="1"/>
  <c r="E70" i="60"/>
  <c r="O70" i="60" s="1"/>
  <c r="E117" i="60"/>
  <c r="O117" i="60" s="1"/>
  <c r="D570" i="43"/>
  <c r="N570" i="43" s="1"/>
  <c r="D569" i="43"/>
  <c r="N569" i="43" s="1"/>
  <c r="D552" i="43"/>
  <c r="N552" i="43" s="1"/>
  <c r="D543" i="43"/>
  <c r="N543" i="43" s="1"/>
  <c r="D589" i="43"/>
  <c r="N589" i="43" s="1"/>
  <c r="D580" i="43"/>
  <c r="N580" i="43" s="1"/>
  <c r="D563" i="43"/>
  <c r="N563" i="43" s="1"/>
  <c r="C640" i="43"/>
  <c r="M640" i="43" s="1"/>
  <c r="C631" i="43"/>
  <c r="M631" i="43" s="1"/>
  <c r="C614" i="43"/>
  <c r="M614" i="43" s="1"/>
  <c r="C597" i="43"/>
  <c r="M597" i="43" s="1"/>
  <c r="C627" i="43"/>
  <c r="M627" i="43" s="1"/>
  <c r="C618" i="43"/>
  <c r="M618" i="43" s="1"/>
  <c r="E109" i="60"/>
  <c r="O109" i="60" s="1"/>
  <c r="E75" i="60"/>
  <c r="O75" i="60" s="1"/>
  <c r="E87" i="60"/>
  <c r="O87" i="60" s="1"/>
  <c r="E71" i="60"/>
  <c r="O71" i="60" s="1"/>
  <c r="E78" i="60"/>
  <c r="O78" i="60" s="1"/>
  <c r="E105" i="60"/>
  <c r="O105" i="60" s="1"/>
  <c r="D562" i="43"/>
  <c r="N562" i="43" s="1"/>
  <c r="D561" i="43"/>
  <c r="N561" i="43" s="1"/>
  <c r="D544" i="43"/>
  <c r="N544" i="43" s="1"/>
  <c r="D590" i="43"/>
  <c r="N590" i="43" s="1"/>
  <c r="D581" i="43"/>
  <c r="N581" i="43" s="1"/>
  <c r="D572" i="43"/>
  <c r="N572" i="43" s="1"/>
  <c r="D555" i="43"/>
  <c r="N555" i="43" s="1"/>
  <c r="C633" i="43"/>
  <c r="M633" i="43" s="1"/>
  <c r="C632" i="43"/>
  <c r="M632" i="43" s="1"/>
  <c r="C623" i="43"/>
  <c r="M623" i="43" s="1"/>
  <c r="C606" i="43"/>
  <c r="M606" i="43" s="1"/>
  <c r="C636" i="43"/>
  <c r="M636" i="43" s="1"/>
  <c r="C619" i="43"/>
  <c r="M619" i="43" s="1"/>
  <c r="C610" i="43"/>
  <c r="M610" i="43" s="1"/>
  <c r="E89" i="60"/>
  <c r="O89" i="60" s="1"/>
  <c r="E84" i="60"/>
  <c r="O84" i="60" s="1"/>
  <c r="E111" i="60"/>
  <c r="O111" i="60" s="1"/>
  <c r="E91" i="60"/>
  <c r="O91" i="60" s="1"/>
  <c r="E82" i="60"/>
  <c r="O82" i="60" s="1"/>
  <c r="E113" i="60"/>
  <c r="O113" i="60" s="1"/>
  <c r="D554" i="43"/>
  <c r="N554" i="43" s="1"/>
  <c r="D553" i="43"/>
  <c r="N553" i="43" s="1"/>
  <c r="D540" i="43"/>
  <c r="N540" i="43" s="1"/>
  <c r="D582" i="43"/>
  <c r="N582" i="43" s="1"/>
  <c r="D573" i="43"/>
  <c r="N573" i="43" s="1"/>
  <c r="D564" i="43"/>
  <c r="N564" i="43" s="1"/>
  <c r="D547" i="43"/>
  <c r="N547" i="43" s="1"/>
  <c r="C625" i="43"/>
  <c r="M625" i="43" s="1"/>
  <c r="C624" i="43"/>
  <c r="M624" i="43" s="1"/>
  <c r="C615" i="43"/>
  <c r="M615" i="43" s="1"/>
  <c r="C598" i="43"/>
  <c r="M598" i="43" s="1"/>
  <c r="C628" i="43"/>
  <c r="M628" i="43" s="1"/>
  <c r="C611" i="43"/>
  <c r="M611" i="43" s="1"/>
  <c r="C602" i="43"/>
  <c r="M602" i="43" s="1"/>
  <c r="E102" i="60"/>
  <c r="O102" i="60" s="1"/>
  <c r="E81" i="60"/>
  <c r="O81" i="60" s="1"/>
  <c r="E104" i="60"/>
  <c r="O104" i="60" s="1"/>
  <c r="E107" i="60"/>
  <c r="O107" i="60" s="1"/>
  <c r="E85" i="60"/>
  <c r="O85" i="60" s="1"/>
  <c r="E112" i="60"/>
  <c r="O112" i="60" s="1"/>
  <c r="E100" i="60"/>
  <c r="O100" i="60" s="1"/>
  <c r="E88" i="60"/>
  <c r="O88" i="60" s="1"/>
  <c r="E97" i="60"/>
  <c r="O97" i="60" s="1"/>
  <c r="E76" i="60"/>
  <c r="O76" i="60" s="1"/>
  <c r="E103" i="60"/>
  <c r="O103" i="60" s="1"/>
  <c r="E94" i="60"/>
  <c r="O94" i="60" s="1"/>
  <c r="E110" i="60"/>
  <c r="O110" i="60" s="1"/>
  <c r="E86" i="60"/>
  <c r="O86" i="60" s="1"/>
  <c r="D586" i="43"/>
  <c r="N586" i="43" s="1"/>
  <c r="D584" i="43"/>
  <c r="N584" i="43" s="1"/>
  <c r="D575" i="43"/>
  <c r="N575" i="43" s="1"/>
  <c r="D566" i="43"/>
  <c r="N566" i="43" s="1"/>
  <c r="D557" i="43"/>
  <c r="N557" i="43" s="1"/>
  <c r="D548" i="43"/>
  <c r="N548" i="43" s="1"/>
  <c r="C609" i="43"/>
  <c r="M609" i="43" s="1"/>
  <c r="C608" i="43"/>
  <c r="M608" i="43" s="1"/>
  <c r="C599" i="43"/>
  <c r="M599" i="43" s="1"/>
  <c r="C629" i="43"/>
  <c r="M629" i="43" s="1"/>
  <c r="C612" i="43"/>
  <c r="M612" i="43" s="1"/>
  <c r="C595" i="43"/>
  <c r="M595" i="43" s="1"/>
  <c r="E83" i="60"/>
  <c r="O83" i="60" s="1"/>
  <c r="E116" i="60"/>
  <c r="O116" i="60" s="1"/>
  <c r="E96" i="60"/>
  <c r="O96" i="60" s="1"/>
  <c r="E99" i="60"/>
  <c r="O99" i="60" s="1"/>
  <c r="E80" i="60"/>
  <c r="O80" i="60" s="1"/>
  <c r="E119" i="60"/>
  <c r="O119" i="60" s="1"/>
  <c r="G103" i="42"/>
  <c r="E30" i="42"/>
  <c r="AB14" i="7"/>
  <c r="Y103" i="42" s="1"/>
  <c r="X14" i="7"/>
  <c r="AA14" i="7"/>
  <c r="W14" i="7"/>
  <c r="AD14" i="7"/>
  <c r="AA103" i="42" s="1"/>
  <c r="Z14" i="7"/>
  <c r="V14" i="7"/>
  <c r="Y14" i="7"/>
  <c r="AC14" i="7"/>
  <c r="D103" i="42"/>
  <c r="D30" i="42"/>
  <c r="AA9" i="7"/>
  <c r="Z9" i="7"/>
  <c r="AB9" i="7"/>
  <c r="Y71" i="42" s="1"/>
  <c r="Y9" i="7"/>
  <c r="AD9" i="7"/>
  <c r="AA71" i="42" s="1"/>
  <c r="AC9" i="7"/>
  <c r="X9" i="7"/>
  <c r="W9" i="7"/>
  <c r="V9" i="7"/>
  <c r="X95" i="63"/>
  <c r="B26" i="7"/>
  <c r="C81" i="42"/>
  <c r="C12" i="42"/>
  <c r="X91" i="63"/>
  <c r="B22" i="7"/>
  <c r="D27" i="42"/>
  <c r="D88" i="42"/>
  <c r="G98" i="42"/>
  <c r="E29" i="42"/>
  <c r="C10" i="42"/>
  <c r="C71" i="42"/>
  <c r="D93" i="42"/>
  <c r="D28" i="42"/>
  <c r="E9" i="42"/>
  <c r="G66" i="42"/>
  <c r="C13" i="42"/>
  <c r="C67" i="42"/>
  <c r="E11" i="42"/>
  <c r="G76" i="42"/>
  <c r="AC12" i="7"/>
  <c r="Y12" i="7"/>
  <c r="AB12" i="7"/>
  <c r="Y98" i="42" s="1"/>
  <c r="X12" i="7"/>
  <c r="AA12" i="7"/>
  <c r="W12" i="7"/>
  <c r="AD12" i="7"/>
  <c r="AA98" i="42" s="1"/>
  <c r="Z12" i="7"/>
  <c r="V12" i="7"/>
  <c r="E6" i="42"/>
  <c r="E24" i="42"/>
  <c r="C35" i="42"/>
  <c r="C91" i="42" s="1"/>
  <c r="C90" i="42"/>
  <c r="C104" i="42"/>
  <c r="C34" i="42"/>
  <c r="AA8" i="7"/>
  <c r="Z8" i="7"/>
  <c r="AD8" i="7"/>
  <c r="AA88" i="42" s="1"/>
  <c r="X8" i="7"/>
  <c r="Y8" i="7"/>
  <c r="AC8" i="7"/>
  <c r="W8" i="7"/>
  <c r="AB8" i="7"/>
  <c r="Y88" i="42" s="1"/>
  <c r="V8" i="7"/>
  <c r="C94" i="42"/>
  <c r="C32" i="42"/>
  <c r="C99" i="42"/>
  <c r="C33" i="42"/>
  <c r="D98" i="42"/>
  <c r="D29" i="42"/>
  <c r="G88" i="42"/>
  <c r="E12" i="42"/>
  <c r="G81" i="42"/>
  <c r="C11" i="42"/>
  <c r="C76" i="42"/>
  <c r="X93" i="63"/>
  <c r="B24" i="7"/>
  <c r="C490" i="58"/>
  <c r="E490" i="58" s="1"/>
  <c r="C494" i="58"/>
  <c r="E494" i="58" s="1"/>
  <c r="C498" i="58"/>
  <c r="E498" i="58" s="1"/>
  <c r="C502" i="58"/>
  <c r="E502" i="58" s="1"/>
  <c r="C506" i="58"/>
  <c r="E506" i="58" s="1"/>
  <c r="C510" i="58"/>
  <c r="E510" i="58" s="1"/>
  <c r="C514" i="58"/>
  <c r="E514" i="58" s="1"/>
  <c r="C518" i="58"/>
  <c r="E518" i="58" s="1"/>
  <c r="C522" i="58"/>
  <c r="E522" i="58" s="1"/>
  <c r="C526" i="58"/>
  <c r="E526" i="58" s="1"/>
  <c r="C530" i="58"/>
  <c r="E530" i="58" s="1"/>
  <c r="C534" i="58"/>
  <c r="E534" i="58" s="1"/>
  <c r="C538" i="58"/>
  <c r="E538" i="58" s="1"/>
  <c r="C492" i="58"/>
  <c r="E492" i="58" s="1"/>
  <c r="C496" i="58"/>
  <c r="E496" i="58" s="1"/>
  <c r="C500" i="58"/>
  <c r="E500" i="58" s="1"/>
  <c r="C504" i="58"/>
  <c r="E504" i="58" s="1"/>
  <c r="C508" i="58"/>
  <c r="E508" i="58" s="1"/>
  <c r="C512" i="58"/>
  <c r="E512" i="58" s="1"/>
  <c r="C516" i="58"/>
  <c r="E516" i="58" s="1"/>
  <c r="C520" i="58"/>
  <c r="E520" i="58" s="1"/>
  <c r="C524" i="58"/>
  <c r="E524" i="58" s="1"/>
  <c r="C528" i="58"/>
  <c r="E528" i="58" s="1"/>
  <c r="C532" i="58"/>
  <c r="E532" i="58" s="1"/>
  <c r="C536" i="58"/>
  <c r="E536" i="58" s="1"/>
  <c r="C493" i="58"/>
  <c r="E493" i="58" s="1"/>
  <c r="C497" i="58"/>
  <c r="E497" i="58" s="1"/>
  <c r="C501" i="58"/>
  <c r="E501" i="58" s="1"/>
  <c r="C505" i="58"/>
  <c r="E505" i="58" s="1"/>
  <c r="C509" i="58"/>
  <c r="E509" i="58" s="1"/>
  <c r="C513" i="58"/>
  <c r="E513" i="58" s="1"/>
  <c r="C517" i="58"/>
  <c r="E517" i="58" s="1"/>
  <c r="C521" i="58"/>
  <c r="E521" i="58" s="1"/>
  <c r="C525" i="58"/>
  <c r="E525" i="58" s="1"/>
  <c r="C529" i="58"/>
  <c r="E529" i="58" s="1"/>
  <c r="C533" i="58"/>
  <c r="E533" i="58" s="1"/>
  <c r="C537" i="58"/>
  <c r="E537" i="58" s="1"/>
  <c r="C507" i="58"/>
  <c r="E507" i="58" s="1"/>
  <c r="C539" i="58"/>
  <c r="E539" i="58" s="1"/>
  <c r="C489" i="58"/>
  <c r="E489" i="58" s="1"/>
  <c r="C495" i="58"/>
  <c r="E495" i="58" s="1"/>
  <c r="C527" i="58"/>
  <c r="E527" i="58" s="1"/>
  <c r="C491" i="58"/>
  <c r="E491" i="58" s="1"/>
  <c r="C523" i="58"/>
  <c r="E523" i="58" s="1"/>
  <c r="C499" i="58"/>
  <c r="E499" i="58" s="1"/>
  <c r="C531" i="58"/>
  <c r="E531" i="58" s="1"/>
  <c r="C503" i="58"/>
  <c r="E503" i="58" s="1"/>
  <c r="C519" i="58"/>
  <c r="E519" i="58" s="1"/>
  <c r="C535" i="58"/>
  <c r="E535" i="58" s="1"/>
  <c r="C511" i="58"/>
  <c r="E511" i="58" s="1"/>
  <c r="C515" i="58"/>
  <c r="E515" i="58" s="1"/>
  <c r="F591" i="58"/>
  <c r="K29" i="54" s="1"/>
  <c r="C438" i="58"/>
  <c r="E438" i="58" s="1"/>
  <c r="C450" i="58"/>
  <c r="E450" i="58" s="1"/>
  <c r="C456" i="58"/>
  <c r="E456" i="58" s="1"/>
  <c r="C463" i="58"/>
  <c r="E463" i="58" s="1"/>
  <c r="C469" i="58"/>
  <c r="E469" i="58" s="1"/>
  <c r="C482" i="58"/>
  <c r="E482" i="58" s="1"/>
  <c r="C488" i="58"/>
  <c r="E488" i="58" s="1"/>
  <c r="C444" i="58"/>
  <c r="E444" i="58" s="1"/>
  <c r="C451" i="58"/>
  <c r="E451" i="58" s="1"/>
  <c r="C457" i="58"/>
  <c r="E457" i="58" s="1"/>
  <c r="C470" i="58"/>
  <c r="E470" i="58" s="1"/>
  <c r="C476" i="58"/>
  <c r="E476" i="58" s="1"/>
  <c r="C483" i="58"/>
  <c r="E483" i="58" s="1"/>
  <c r="C440" i="58"/>
  <c r="E440" i="58" s="1"/>
  <c r="C447" i="58"/>
  <c r="E447" i="58" s="1"/>
  <c r="C453" i="58"/>
  <c r="E453" i="58" s="1"/>
  <c r="C466" i="58"/>
  <c r="E466" i="58" s="1"/>
  <c r="C472" i="58"/>
  <c r="E472" i="58" s="1"/>
  <c r="C479" i="58"/>
  <c r="E479" i="58" s="1"/>
  <c r="C485" i="58"/>
  <c r="E485" i="58" s="1"/>
  <c r="C442" i="58"/>
  <c r="E442" i="58" s="1"/>
  <c r="C448" i="58"/>
  <c r="E448" i="58" s="1"/>
  <c r="C455" i="58"/>
  <c r="E455" i="58" s="1"/>
  <c r="C461" i="58"/>
  <c r="E461" i="58" s="1"/>
  <c r="C474" i="58"/>
  <c r="E474" i="58" s="1"/>
  <c r="C480" i="58"/>
  <c r="E480" i="58" s="1"/>
  <c r="C487" i="58"/>
  <c r="E487" i="58" s="1"/>
  <c r="C452" i="58"/>
  <c r="E452" i="58" s="1"/>
  <c r="C465" i="58"/>
  <c r="E465" i="58" s="1"/>
  <c r="C478" i="58"/>
  <c r="E478" i="58" s="1"/>
  <c r="C443" i="58"/>
  <c r="E443" i="58" s="1"/>
  <c r="C468" i="58"/>
  <c r="E468" i="58" s="1"/>
  <c r="C439" i="58"/>
  <c r="E439" i="58" s="1"/>
  <c r="C464" i="58"/>
  <c r="E464" i="58" s="1"/>
  <c r="C477" i="58"/>
  <c r="E477" i="58" s="1"/>
  <c r="C441" i="58"/>
  <c r="E441" i="58" s="1"/>
  <c r="C454" i="58"/>
  <c r="E454" i="58" s="1"/>
  <c r="C467" i="58"/>
  <c r="E467" i="58" s="1"/>
  <c r="C481" i="58"/>
  <c r="E481" i="58" s="1"/>
  <c r="C445" i="58"/>
  <c r="E445" i="58" s="1"/>
  <c r="C458" i="58"/>
  <c r="E458" i="58" s="1"/>
  <c r="C471" i="58"/>
  <c r="E471" i="58" s="1"/>
  <c r="C446" i="58"/>
  <c r="E446" i="58" s="1"/>
  <c r="C459" i="58"/>
  <c r="E459" i="58" s="1"/>
  <c r="C484" i="58"/>
  <c r="E484" i="58" s="1"/>
  <c r="C460" i="58"/>
  <c r="E460" i="58" s="1"/>
  <c r="C473" i="58"/>
  <c r="E473" i="58" s="1"/>
  <c r="C486" i="58"/>
  <c r="E486" i="58" s="1"/>
  <c r="C449" i="58"/>
  <c r="E449" i="58" s="1"/>
  <c r="C462" i="58"/>
  <c r="E462" i="58" s="1"/>
  <c r="C475" i="58"/>
  <c r="E475" i="58" s="1"/>
  <c r="C391" i="58"/>
  <c r="E391" i="58" s="1"/>
  <c r="C395" i="58"/>
  <c r="E395" i="58" s="1"/>
  <c r="C399" i="58"/>
  <c r="E399" i="58" s="1"/>
  <c r="C403" i="58"/>
  <c r="E403" i="58" s="1"/>
  <c r="C407" i="58"/>
  <c r="E407" i="58" s="1"/>
  <c r="C411" i="58"/>
  <c r="E411" i="58" s="1"/>
  <c r="C415" i="58"/>
  <c r="E415" i="58" s="1"/>
  <c r="C419" i="58"/>
  <c r="E419" i="58" s="1"/>
  <c r="C423" i="58"/>
  <c r="E423" i="58" s="1"/>
  <c r="C427" i="58"/>
  <c r="E427" i="58" s="1"/>
  <c r="C431" i="58"/>
  <c r="E431" i="58" s="1"/>
  <c r="C435" i="58"/>
  <c r="E435" i="58" s="1"/>
  <c r="C389" i="58"/>
  <c r="E389" i="58" s="1"/>
  <c r="C393" i="58"/>
  <c r="E393" i="58" s="1"/>
  <c r="C397" i="58"/>
  <c r="E397" i="58" s="1"/>
  <c r="C401" i="58"/>
  <c r="E401" i="58" s="1"/>
  <c r="C405" i="58"/>
  <c r="E405" i="58" s="1"/>
  <c r="C409" i="58"/>
  <c r="E409" i="58" s="1"/>
  <c r="C413" i="58"/>
  <c r="E413" i="58" s="1"/>
  <c r="C417" i="58"/>
  <c r="E417" i="58" s="1"/>
  <c r="C421" i="58"/>
  <c r="E421" i="58" s="1"/>
  <c r="C425" i="58"/>
  <c r="E425" i="58" s="1"/>
  <c r="C429" i="58"/>
  <c r="E429" i="58" s="1"/>
  <c r="C433" i="58"/>
  <c r="E433" i="58" s="1"/>
  <c r="C437" i="58"/>
  <c r="E437" i="58" s="1"/>
  <c r="C390" i="58"/>
  <c r="E390" i="58" s="1"/>
  <c r="C394" i="58"/>
  <c r="E394" i="58" s="1"/>
  <c r="C398" i="58"/>
  <c r="E398" i="58" s="1"/>
  <c r="C402" i="58"/>
  <c r="E402" i="58" s="1"/>
  <c r="C406" i="58"/>
  <c r="E406" i="58" s="1"/>
  <c r="C410" i="58"/>
  <c r="E410" i="58" s="1"/>
  <c r="C414" i="58"/>
  <c r="E414" i="58" s="1"/>
  <c r="C418" i="58"/>
  <c r="E418" i="58" s="1"/>
  <c r="C422" i="58"/>
  <c r="E422" i="58" s="1"/>
  <c r="C426" i="58"/>
  <c r="E426" i="58" s="1"/>
  <c r="C430" i="58"/>
  <c r="E430" i="58" s="1"/>
  <c r="C434" i="58"/>
  <c r="E434" i="58" s="1"/>
  <c r="C387" i="58"/>
  <c r="E387" i="58" s="1"/>
  <c r="C412" i="58"/>
  <c r="E412" i="58" s="1"/>
  <c r="C400" i="58"/>
  <c r="E400" i="58" s="1"/>
  <c r="C432" i="58"/>
  <c r="E432" i="58" s="1"/>
  <c r="C396" i="58"/>
  <c r="E396" i="58" s="1"/>
  <c r="C428" i="58"/>
  <c r="E428" i="58" s="1"/>
  <c r="C404" i="58"/>
  <c r="E404" i="58" s="1"/>
  <c r="C436" i="58"/>
  <c r="E436" i="58" s="1"/>
  <c r="C388" i="58"/>
  <c r="E388" i="58" s="1"/>
  <c r="C416" i="58"/>
  <c r="E416" i="58" s="1"/>
  <c r="C392" i="58"/>
  <c r="E392" i="58" s="1"/>
  <c r="C420" i="58"/>
  <c r="E420" i="58" s="1"/>
  <c r="C408" i="58"/>
  <c r="E408" i="58" s="1"/>
  <c r="C424" i="58"/>
  <c r="E424" i="58" s="1"/>
  <c r="F540" i="58"/>
  <c r="K28" i="54" s="1"/>
  <c r="C336" i="58"/>
  <c r="E336" i="58" s="1"/>
  <c r="C340" i="58"/>
  <c r="E340" i="58" s="1"/>
  <c r="C344" i="58"/>
  <c r="E344" i="58" s="1"/>
  <c r="C348" i="58"/>
  <c r="E348" i="58" s="1"/>
  <c r="C352" i="58"/>
  <c r="E352" i="58" s="1"/>
  <c r="C356" i="58"/>
  <c r="E356" i="58" s="1"/>
  <c r="C360" i="58"/>
  <c r="E360" i="58" s="1"/>
  <c r="C364" i="58"/>
  <c r="E364" i="58" s="1"/>
  <c r="C339" i="58"/>
  <c r="E339" i="58" s="1"/>
  <c r="C343" i="58"/>
  <c r="E343" i="58" s="1"/>
  <c r="C347" i="58"/>
  <c r="E347" i="58" s="1"/>
  <c r="C351" i="58"/>
  <c r="E351" i="58" s="1"/>
  <c r="C355" i="58"/>
  <c r="E355" i="58" s="1"/>
  <c r="C359" i="58"/>
  <c r="E359" i="58" s="1"/>
  <c r="C363" i="58"/>
  <c r="E363" i="58" s="1"/>
  <c r="C367" i="58"/>
  <c r="E367" i="58" s="1"/>
  <c r="C346" i="58"/>
  <c r="E346" i="58" s="1"/>
  <c r="C357" i="58"/>
  <c r="E357" i="58" s="1"/>
  <c r="C368" i="58"/>
  <c r="E368" i="58" s="1"/>
  <c r="C374" i="58"/>
  <c r="E374" i="58" s="1"/>
  <c r="C337" i="58"/>
  <c r="E337" i="58" s="1"/>
  <c r="C358" i="58"/>
  <c r="E358" i="58" s="1"/>
  <c r="C375" i="58"/>
  <c r="E375" i="58" s="1"/>
  <c r="C381" i="58"/>
  <c r="E381" i="58" s="1"/>
  <c r="C338" i="58"/>
  <c r="E338" i="58" s="1"/>
  <c r="C341" i="58"/>
  <c r="E341" i="58" s="1"/>
  <c r="C362" i="58"/>
  <c r="E362" i="58" s="1"/>
  <c r="C371" i="58"/>
  <c r="E371" i="58" s="1"/>
  <c r="C377" i="58"/>
  <c r="E377" i="58" s="1"/>
  <c r="C384" i="58"/>
  <c r="E384" i="58" s="1"/>
  <c r="C342" i="58"/>
  <c r="E342" i="58" s="1"/>
  <c r="C353" i="58"/>
  <c r="E353" i="58" s="1"/>
  <c r="C372" i="58"/>
  <c r="E372" i="58" s="1"/>
  <c r="C378" i="58"/>
  <c r="E378" i="58" s="1"/>
  <c r="C354" i="58"/>
  <c r="E354" i="58" s="1"/>
  <c r="C365" i="58"/>
  <c r="E365" i="58" s="1"/>
  <c r="C379" i="58"/>
  <c r="E379" i="58" s="1"/>
  <c r="C385" i="58"/>
  <c r="E385" i="58" s="1"/>
  <c r="C345" i="58"/>
  <c r="E345" i="58" s="1"/>
  <c r="C370" i="58"/>
  <c r="E370" i="58" s="1"/>
  <c r="C350" i="58"/>
  <c r="E350" i="58" s="1"/>
  <c r="C349" i="58"/>
  <c r="E349" i="58" s="1"/>
  <c r="C373" i="58"/>
  <c r="E373" i="58" s="1"/>
  <c r="C376" i="58"/>
  <c r="E376" i="58" s="1"/>
  <c r="C380" i="58"/>
  <c r="E380" i="58" s="1"/>
  <c r="C361" i="58"/>
  <c r="E361" i="58" s="1"/>
  <c r="C382" i="58"/>
  <c r="E382" i="58" s="1"/>
  <c r="C386" i="58"/>
  <c r="E386" i="58" s="1"/>
  <c r="C366" i="58"/>
  <c r="E366" i="58" s="1"/>
  <c r="C383" i="58"/>
  <c r="E383" i="58" s="1"/>
  <c r="C369" i="58"/>
  <c r="E369" i="58" s="1"/>
  <c r="R9" i="58"/>
  <c r="R10" i="58"/>
  <c r="R8" i="58"/>
  <c r="F106" i="60"/>
  <c r="P106" i="60" s="1"/>
  <c r="G40" i="54"/>
  <c r="G57" i="52" s="1"/>
  <c r="L48" i="33" s="1"/>
  <c r="F101" i="60"/>
  <c r="P101" i="60" s="1"/>
  <c r="F78" i="60"/>
  <c r="P78" i="60" s="1"/>
  <c r="F115" i="60"/>
  <c r="P115" i="60" s="1"/>
  <c r="F103" i="60"/>
  <c r="P103" i="60" s="1"/>
  <c r="F74" i="60"/>
  <c r="P74" i="60" s="1"/>
  <c r="F108" i="60"/>
  <c r="P108" i="60" s="1"/>
  <c r="F71" i="60"/>
  <c r="P71" i="60" s="1"/>
  <c r="F92" i="60"/>
  <c r="P92" i="60" s="1"/>
  <c r="F113" i="60"/>
  <c r="P113" i="60" s="1"/>
  <c r="F97" i="60"/>
  <c r="P97" i="60" s="1"/>
  <c r="F77" i="60"/>
  <c r="P77" i="60" s="1"/>
  <c r="F85" i="60"/>
  <c r="P85" i="60" s="1"/>
  <c r="F87" i="60"/>
  <c r="P87" i="60" s="1"/>
  <c r="F76" i="60"/>
  <c r="P76" i="60" s="1"/>
  <c r="F102" i="60"/>
  <c r="P102" i="60" s="1"/>
  <c r="F109" i="60"/>
  <c r="P109" i="60" s="1"/>
  <c r="F93" i="60"/>
  <c r="P93" i="60" s="1"/>
  <c r="F91" i="60"/>
  <c r="P91" i="60" s="1"/>
  <c r="F72" i="60"/>
  <c r="P72" i="60" s="1"/>
  <c r="F112" i="60"/>
  <c r="P112" i="60" s="1"/>
  <c r="F110" i="60"/>
  <c r="P110" i="60" s="1"/>
  <c r="F117" i="60"/>
  <c r="P117" i="60" s="1"/>
  <c r="F116" i="60"/>
  <c r="P116" i="60" s="1"/>
  <c r="F86" i="60"/>
  <c r="P86" i="60" s="1"/>
  <c r="F118" i="60"/>
  <c r="P118" i="60" s="1"/>
  <c r="F119" i="60"/>
  <c r="P119" i="60" s="1"/>
  <c r="F104" i="60"/>
  <c r="P104" i="60" s="1"/>
  <c r="F111" i="60"/>
  <c r="P111" i="60" s="1"/>
  <c r="F95" i="60"/>
  <c r="P95" i="60" s="1"/>
  <c r="F88" i="60"/>
  <c r="P88" i="60" s="1"/>
  <c r="F69" i="60"/>
  <c r="P69" i="60" s="1"/>
  <c r="F90" i="60"/>
  <c r="P90" i="60" s="1"/>
  <c r="F82" i="60"/>
  <c r="P82" i="60" s="1"/>
  <c r="F99" i="60"/>
  <c r="P99" i="60" s="1"/>
  <c r="F105" i="60"/>
  <c r="P105" i="60" s="1"/>
  <c r="F89" i="60"/>
  <c r="P89" i="60" s="1"/>
  <c r="F73" i="60"/>
  <c r="P73" i="60" s="1"/>
  <c r="F75" i="60"/>
  <c r="P75" i="60" s="1"/>
  <c r="F100" i="60"/>
  <c r="P100" i="60" s="1"/>
  <c r="F70" i="60"/>
  <c r="P70" i="60" s="1"/>
  <c r="F94" i="60"/>
  <c r="P94" i="60" s="1"/>
  <c r="F80" i="60"/>
  <c r="P80" i="60" s="1"/>
  <c r="F81" i="60"/>
  <c r="P81" i="60" s="1"/>
  <c r="F98" i="60"/>
  <c r="P98" i="60" s="1"/>
  <c r="F83" i="60"/>
  <c r="P83" i="60" s="1"/>
  <c r="F84" i="60"/>
  <c r="P84" i="60" s="1"/>
  <c r="F107" i="60"/>
  <c r="P107" i="60" s="1"/>
  <c r="F96" i="60"/>
  <c r="P96" i="60" s="1"/>
  <c r="F114" i="60"/>
  <c r="P114" i="60" s="1"/>
  <c r="G72" i="60"/>
  <c r="Q72" i="60" s="1"/>
  <c r="G112" i="60"/>
  <c r="Q112" i="60" s="1"/>
  <c r="G107" i="60"/>
  <c r="Q107" i="60" s="1"/>
  <c r="G82" i="60"/>
  <c r="Q82" i="60" s="1"/>
  <c r="G97" i="60"/>
  <c r="Q97" i="60" s="1"/>
  <c r="G100" i="60"/>
  <c r="Q100" i="60" s="1"/>
  <c r="G75" i="60"/>
  <c r="Q75" i="60" s="1"/>
  <c r="G78" i="60"/>
  <c r="Q78" i="60" s="1"/>
  <c r="G89" i="60"/>
  <c r="Q89" i="60" s="1"/>
  <c r="G101" i="60"/>
  <c r="Q101" i="60" s="1"/>
  <c r="G73" i="60"/>
  <c r="Q73" i="60" s="1"/>
  <c r="B40" i="54"/>
  <c r="B57" i="52" s="1"/>
  <c r="G48" i="33" s="1"/>
  <c r="G115" i="60"/>
  <c r="Q115" i="60" s="1"/>
  <c r="G102" i="60"/>
  <c r="Q102" i="60" s="1"/>
  <c r="G74" i="60"/>
  <c r="Q74" i="60" s="1"/>
  <c r="G95" i="60"/>
  <c r="Q95" i="60" s="1"/>
  <c r="G80" i="60"/>
  <c r="Q80" i="60" s="1"/>
  <c r="G99" i="60"/>
  <c r="Q99" i="60" s="1"/>
  <c r="G70" i="60"/>
  <c r="Q70" i="60" s="1"/>
  <c r="G98" i="60"/>
  <c r="Q98" i="60" s="1"/>
  <c r="G90" i="60"/>
  <c r="Q90" i="60" s="1"/>
  <c r="G117" i="60"/>
  <c r="Q117" i="60" s="1"/>
  <c r="G106" i="60"/>
  <c r="Q106" i="60" s="1"/>
  <c r="G83" i="60"/>
  <c r="Q83" i="60" s="1"/>
  <c r="G111" i="60"/>
  <c r="Q111" i="60" s="1"/>
  <c r="G87" i="60"/>
  <c r="Q87" i="60" s="1"/>
  <c r="G92" i="60"/>
  <c r="Q92" i="60" s="1"/>
  <c r="G104" i="60"/>
  <c r="Q104" i="60" s="1"/>
  <c r="G86" i="60"/>
  <c r="Q86" i="60" s="1"/>
  <c r="G118" i="60"/>
  <c r="Q118" i="60" s="1"/>
  <c r="G105" i="60"/>
  <c r="Q105" i="60" s="1"/>
  <c r="G93" i="60"/>
  <c r="Q93" i="60" s="1"/>
  <c r="G114" i="60"/>
  <c r="Q114" i="60" s="1"/>
  <c r="G113" i="60"/>
  <c r="Q113" i="60" s="1"/>
  <c r="G116" i="60"/>
  <c r="Q116" i="60" s="1"/>
  <c r="G88" i="60"/>
  <c r="Q88" i="60" s="1"/>
  <c r="G119" i="60"/>
  <c r="Q119" i="60" s="1"/>
  <c r="G79" i="60"/>
  <c r="Q79" i="60" s="1"/>
  <c r="G94" i="60"/>
  <c r="Q94" i="60" s="1"/>
  <c r="G96" i="60"/>
  <c r="Q96" i="60" s="1"/>
  <c r="G69" i="60"/>
  <c r="Q69" i="60" s="1"/>
  <c r="G91" i="60"/>
  <c r="Q91" i="60" s="1"/>
  <c r="G76" i="60"/>
  <c r="Q76" i="60" s="1"/>
  <c r="G108" i="60"/>
  <c r="Q108" i="60" s="1"/>
  <c r="G71" i="60"/>
  <c r="Q71" i="60" s="1"/>
  <c r="G109" i="60"/>
  <c r="Q109" i="60" s="1"/>
  <c r="G77" i="60"/>
  <c r="Q77" i="60" s="1"/>
  <c r="G81" i="60"/>
  <c r="Q81" i="60" s="1"/>
  <c r="G85" i="60"/>
  <c r="Q85" i="60" s="1"/>
  <c r="D95" i="60"/>
  <c r="N95" i="60" s="1"/>
  <c r="D101" i="60"/>
  <c r="N101" i="60" s="1"/>
  <c r="D86" i="60"/>
  <c r="N86" i="60" s="1"/>
  <c r="D116" i="60"/>
  <c r="N116" i="60" s="1"/>
  <c r="D74" i="60"/>
  <c r="N74" i="60" s="1"/>
  <c r="D118" i="60"/>
  <c r="N118" i="60" s="1"/>
  <c r="D84" i="60"/>
  <c r="N84" i="60" s="1"/>
  <c r="D106" i="60"/>
  <c r="N106" i="60" s="1"/>
  <c r="D81" i="60"/>
  <c r="N81" i="60" s="1"/>
  <c r="D72" i="60"/>
  <c r="N72" i="60" s="1"/>
  <c r="D77" i="60"/>
  <c r="N77" i="60" s="1"/>
  <c r="D99" i="60"/>
  <c r="N99" i="60" s="1"/>
  <c r="D80" i="60"/>
  <c r="N80" i="60" s="1"/>
  <c r="D109" i="60"/>
  <c r="N109" i="60" s="1"/>
  <c r="D114" i="60"/>
  <c r="N114" i="60" s="1"/>
  <c r="D89" i="60"/>
  <c r="N89" i="60" s="1"/>
  <c r="E40" i="54"/>
  <c r="E57" i="52" s="1"/>
  <c r="J48" i="33" s="1"/>
  <c r="D91" i="60"/>
  <c r="N91" i="60" s="1"/>
  <c r="D107" i="60"/>
  <c r="N107" i="60" s="1"/>
  <c r="D82" i="60"/>
  <c r="N82" i="60" s="1"/>
  <c r="D71" i="60"/>
  <c r="N71" i="60" s="1"/>
  <c r="D92" i="60"/>
  <c r="N92" i="60" s="1"/>
  <c r="D97" i="60"/>
  <c r="N97" i="60" s="1"/>
  <c r="D112" i="60"/>
  <c r="N112" i="60" s="1"/>
  <c r="D98" i="60"/>
  <c r="N98" i="60" s="1"/>
  <c r="D90" i="60"/>
  <c r="N90" i="60" s="1"/>
  <c r="D88" i="60"/>
  <c r="N88" i="60" s="1"/>
  <c r="D117" i="60"/>
  <c r="N117" i="60" s="1"/>
  <c r="D75" i="60"/>
  <c r="N75" i="60" s="1"/>
  <c r="D69" i="60"/>
  <c r="N69" i="60" s="1"/>
  <c r="D103" i="60"/>
  <c r="N103" i="60" s="1"/>
  <c r="D73" i="60"/>
  <c r="N73" i="60" s="1"/>
  <c r="D79" i="60"/>
  <c r="N79" i="60" s="1"/>
  <c r="D100" i="60"/>
  <c r="N100" i="60" s="1"/>
  <c r="D105" i="60"/>
  <c r="N105" i="60" s="1"/>
  <c r="D111" i="60"/>
  <c r="N111" i="60" s="1"/>
  <c r="D94" i="60"/>
  <c r="N94" i="60" s="1"/>
  <c r="D78" i="60"/>
  <c r="N78" i="60" s="1"/>
  <c r="D96" i="60"/>
  <c r="N96" i="60" s="1"/>
  <c r="D70" i="60"/>
  <c r="N70" i="60" s="1"/>
  <c r="D83" i="60"/>
  <c r="N83" i="60" s="1"/>
  <c r="D119" i="60"/>
  <c r="N119" i="60" s="1"/>
  <c r="D102" i="60"/>
  <c r="N102" i="60" s="1"/>
  <c r="D85" i="60"/>
  <c r="N85" i="60" s="1"/>
  <c r="D76" i="60"/>
  <c r="N76" i="60" s="1"/>
  <c r="D104" i="60"/>
  <c r="N104" i="60" s="1"/>
  <c r="D87" i="60"/>
  <c r="N87" i="60" s="1"/>
  <c r="D108" i="60"/>
  <c r="N108" i="60" s="1"/>
  <c r="D113" i="60"/>
  <c r="N113" i="60" s="1"/>
  <c r="D110" i="60"/>
  <c r="N110" i="60" s="1"/>
  <c r="D93" i="60"/>
  <c r="N93" i="60" s="1"/>
  <c r="D601" i="43"/>
  <c r="N601" i="43" s="1"/>
  <c r="D600" i="43"/>
  <c r="N600" i="43" s="1"/>
  <c r="C547" i="43"/>
  <c r="M547" i="43" s="1"/>
  <c r="D623" i="43"/>
  <c r="N623" i="43" s="1"/>
  <c r="C577" i="43"/>
  <c r="M577" i="43" s="1"/>
  <c r="D606" i="43"/>
  <c r="N606" i="43" s="1"/>
  <c r="C560" i="43"/>
  <c r="M560" i="43" s="1"/>
  <c r="D636" i="43"/>
  <c r="N636" i="43" s="1"/>
  <c r="C551" i="43"/>
  <c r="M551" i="43" s="1"/>
  <c r="D619" i="43"/>
  <c r="N619" i="43" s="1"/>
  <c r="C542" i="43"/>
  <c r="M542" i="43" s="1"/>
  <c r="D610" i="43"/>
  <c r="N610" i="43" s="1"/>
  <c r="C588" i="43"/>
  <c r="M588" i="43" s="1"/>
  <c r="D592" i="43"/>
  <c r="N592" i="43" s="1"/>
  <c r="D615" i="43"/>
  <c r="N615" i="43" s="1"/>
  <c r="D598" i="43"/>
  <c r="N598" i="43" s="1"/>
  <c r="D628" i="43"/>
  <c r="N628" i="43" s="1"/>
  <c r="D611" i="43"/>
  <c r="N611" i="43" s="1"/>
  <c r="D602" i="43"/>
  <c r="N602" i="43" s="1"/>
  <c r="D593" i="43"/>
  <c r="N593" i="43" s="1"/>
  <c r="C586" i="43"/>
  <c r="M586" i="43" s="1"/>
  <c r="C569" i="43"/>
  <c r="M569" i="43" s="1"/>
  <c r="C552" i="43"/>
  <c r="M552" i="43" s="1"/>
  <c r="C543" i="43"/>
  <c r="M543" i="43" s="1"/>
  <c r="C589" i="43"/>
  <c r="M589" i="43" s="1"/>
  <c r="C580" i="43"/>
  <c r="M580" i="43" s="1"/>
  <c r="D640" i="43"/>
  <c r="N640" i="43" s="1"/>
  <c r="D607" i="43"/>
  <c r="N607" i="43" s="1"/>
  <c r="D637" i="43"/>
  <c r="N637" i="43" s="1"/>
  <c r="D620" i="43"/>
  <c r="N620" i="43" s="1"/>
  <c r="D603" i="43"/>
  <c r="N603" i="43" s="1"/>
  <c r="D594" i="43"/>
  <c r="N594" i="43" s="1"/>
  <c r="C578" i="43"/>
  <c r="M578" i="43" s="1"/>
  <c r="C561" i="43"/>
  <c r="M561" i="43" s="1"/>
  <c r="C544" i="43"/>
  <c r="M544" i="43" s="1"/>
  <c r="C590" i="43"/>
  <c r="M590" i="43" s="1"/>
  <c r="C581" i="43"/>
  <c r="M581" i="43" s="1"/>
  <c r="C572" i="43"/>
  <c r="M572" i="43" s="1"/>
  <c r="D632" i="43"/>
  <c r="N632" i="43" s="1"/>
  <c r="D599" i="43"/>
  <c r="N599" i="43" s="1"/>
  <c r="D629" i="43"/>
  <c r="N629" i="43" s="1"/>
  <c r="D612" i="43"/>
  <c r="N612" i="43" s="1"/>
  <c r="D595" i="43"/>
  <c r="N595" i="43" s="1"/>
  <c r="D641" i="43"/>
  <c r="N641" i="43" s="1"/>
  <c r="C587" i="43"/>
  <c r="M587" i="43" s="1"/>
  <c r="C570" i="43"/>
  <c r="M570" i="43" s="1"/>
  <c r="C553" i="43"/>
  <c r="M553" i="43" s="1"/>
  <c r="C540" i="43"/>
  <c r="M540" i="43" s="1"/>
  <c r="C582" i="43"/>
  <c r="M582" i="43" s="1"/>
  <c r="C573" i="43"/>
  <c r="M573" i="43" s="1"/>
  <c r="C564" i="43"/>
  <c r="M564" i="43" s="1"/>
  <c r="I21" i="54"/>
  <c r="I45" i="52" s="1"/>
  <c r="D624" i="43"/>
  <c r="N624" i="43" s="1"/>
  <c r="D638" i="43"/>
  <c r="N638" i="43" s="1"/>
  <c r="D621" i="43"/>
  <c r="N621" i="43" s="1"/>
  <c r="D604" i="43"/>
  <c r="N604" i="43" s="1"/>
  <c r="D591" i="43"/>
  <c r="N591" i="43" s="1"/>
  <c r="D633" i="43"/>
  <c r="N633" i="43" s="1"/>
  <c r="C579" i="43"/>
  <c r="M579" i="43" s="1"/>
  <c r="C562" i="43"/>
  <c r="M562" i="43" s="1"/>
  <c r="C545" i="43"/>
  <c r="M545" i="43" s="1"/>
  <c r="C583" i="43"/>
  <c r="M583" i="43" s="1"/>
  <c r="C574" i="43"/>
  <c r="M574" i="43" s="1"/>
  <c r="C565" i="43"/>
  <c r="M565" i="43" s="1"/>
  <c r="C556" i="43"/>
  <c r="M556" i="43" s="1"/>
  <c r="D616" i="43"/>
  <c r="N616" i="43" s="1"/>
  <c r="D630" i="43"/>
  <c r="N630" i="43" s="1"/>
  <c r="D613" i="43"/>
  <c r="N613" i="43" s="1"/>
  <c r="D596" i="43"/>
  <c r="N596" i="43" s="1"/>
  <c r="D634" i="43"/>
  <c r="N634" i="43" s="1"/>
  <c r="D625" i="43"/>
  <c r="N625" i="43" s="1"/>
  <c r="C571" i="43"/>
  <c r="M571" i="43" s="1"/>
  <c r="C554" i="43"/>
  <c r="M554" i="43" s="1"/>
  <c r="C584" i="43"/>
  <c r="M584" i="43" s="1"/>
  <c r="C575" i="43"/>
  <c r="M575" i="43" s="1"/>
  <c r="C566" i="43"/>
  <c r="M566" i="43" s="1"/>
  <c r="C557" i="43"/>
  <c r="M557" i="43" s="1"/>
  <c r="C548" i="43"/>
  <c r="M548" i="43" s="1"/>
  <c r="D639" i="43"/>
  <c r="N639" i="43" s="1"/>
  <c r="D622" i="43"/>
  <c r="N622" i="43" s="1"/>
  <c r="D605" i="43"/>
  <c r="N605" i="43" s="1"/>
  <c r="D635" i="43"/>
  <c r="N635" i="43" s="1"/>
  <c r="D626" i="43"/>
  <c r="N626" i="43" s="1"/>
  <c r="D617" i="43"/>
  <c r="N617" i="43" s="1"/>
  <c r="C563" i="43"/>
  <c r="M563" i="43" s="1"/>
  <c r="C546" i="43"/>
  <c r="M546" i="43" s="1"/>
  <c r="C576" i="43"/>
  <c r="M576" i="43" s="1"/>
  <c r="C567" i="43"/>
  <c r="M567" i="43" s="1"/>
  <c r="C558" i="43"/>
  <c r="M558" i="43" s="1"/>
  <c r="C549" i="43"/>
  <c r="M549" i="43" s="1"/>
  <c r="D608" i="43"/>
  <c r="N608" i="43" s="1"/>
  <c r="D631" i="43"/>
  <c r="N631" i="43" s="1"/>
  <c r="D614" i="43"/>
  <c r="N614" i="43" s="1"/>
  <c r="D597" i="43"/>
  <c r="N597" i="43" s="1"/>
  <c r="D627" i="43"/>
  <c r="N627" i="43" s="1"/>
  <c r="D618" i="43"/>
  <c r="N618" i="43" s="1"/>
  <c r="D609" i="43"/>
  <c r="N609" i="43" s="1"/>
  <c r="C555" i="43"/>
  <c r="M555" i="43" s="1"/>
  <c r="C585" i="43"/>
  <c r="M585" i="43" s="1"/>
  <c r="C568" i="43"/>
  <c r="M568" i="43" s="1"/>
  <c r="C559" i="43"/>
  <c r="M559" i="43" s="1"/>
  <c r="C550" i="43"/>
  <c r="M550" i="43" s="1"/>
  <c r="G590" i="43"/>
  <c r="Q590" i="43" s="1"/>
  <c r="G587" i="43"/>
  <c r="Q587" i="43" s="1"/>
  <c r="G589" i="43"/>
  <c r="Q589" i="43" s="1"/>
  <c r="G579" i="43"/>
  <c r="Q579" i="43" s="1"/>
  <c r="G581" i="43"/>
  <c r="Q581" i="43" s="1"/>
  <c r="G570" i="43"/>
  <c r="Q570" i="43" s="1"/>
  <c r="G580" i="43"/>
  <c r="Q580" i="43" s="1"/>
  <c r="G562" i="43"/>
  <c r="Q562" i="43" s="1"/>
  <c r="G572" i="43"/>
  <c r="Q572" i="43" s="1"/>
  <c r="G552" i="43"/>
  <c r="Q552" i="43" s="1"/>
  <c r="G544" i="43"/>
  <c r="Q544" i="43" s="1"/>
  <c r="G543" i="43"/>
  <c r="Q543" i="43" s="1"/>
  <c r="G553" i="43"/>
  <c r="Q553" i="43" s="1"/>
  <c r="G571" i="43"/>
  <c r="Q571" i="43" s="1"/>
  <c r="G554" i="43"/>
  <c r="Q554" i="43" s="1"/>
  <c r="G540" i="43"/>
  <c r="Q540" i="43" s="1"/>
  <c r="G582" i="43"/>
  <c r="Q582" i="43" s="1"/>
  <c r="G573" i="43"/>
  <c r="Q573" i="43" s="1"/>
  <c r="G564" i="43"/>
  <c r="Q564" i="43" s="1"/>
  <c r="G545" i="43"/>
  <c r="Q545" i="43" s="1"/>
  <c r="G563" i="43"/>
  <c r="Q563" i="43" s="1"/>
  <c r="G546" i="43"/>
  <c r="Q546" i="43" s="1"/>
  <c r="G583" i="43"/>
  <c r="Q583" i="43" s="1"/>
  <c r="G574" i="43"/>
  <c r="Q574" i="43" s="1"/>
  <c r="G565" i="43"/>
  <c r="Q565" i="43" s="1"/>
  <c r="G556" i="43"/>
  <c r="Q556" i="43" s="1"/>
  <c r="G585" i="43"/>
  <c r="Q585" i="43" s="1"/>
  <c r="G555" i="43"/>
  <c r="Q555" i="43" s="1"/>
  <c r="G584" i="43"/>
  <c r="Q584" i="43" s="1"/>
  <c r="G575" i="43"/>
  <c r="Q575" i="43" s="1"/>
  <c r="G566" i="43"/>
  <c r="Q566" i="43" s="1"/>
  <c r="G557" i="43"/>
  <c r="Q557" i="43" s="1"/>
  <c r="G548" i="43"/>
  <c r="Q548" i="43" s="1"/>
  <c r="U19" i="43"/>
  <c r="G430" i="43" s="1"/>
  <c r="Q430" i="43" s="1"/>
  <c r="G577" i="43"/>
  <c r="Q577" i="43" s="1"/>
  <c r="G547" i="43"/>
  <c r="Q547" i="43" s="1"/>
  <c r="G576" i="43"/>
  <c r="Q576" i="43" s="1"/>
  <c r="G567" i="43"/>
  <c r="Q567" i="43" s="1"/>
  <c r="G558" i="43"/>
  <c r="Q558" i="43" s="1"/>
  <c r="G549" i="43"/>
  <c r="Q549" i="43" s="1"/>
  <c r="G569" i="43"/>
  <c r="Q569" i="43" s="1"/>
  <c r="G586" i="43"/>
  <c r="Q586" i="43" s="1"/>
  <c r="G568" i="43"/>
  <c r="Q568" i="43" s="1"/>
  <c r="G559" i="43"/>
  <c r="Q559" i="43" s="1"/>
  <c r="G550" i="43"/>
  <c r="Q550" i="43" s="1"/>
  <c r="G541" i="43"/>
  <c r="Q541" i="43" s="1"/>
  <c r="B21" i="54"/>
  <c r="B45" i="52" s="1"/>
  <c r="G561" i="43"/>
  <c r="Q561" i="43" s="1"/>
  <c r="G578" i="43"/>
  <c r="Q578" i="43" s="1"/>
  <c r="G560" i="43"/>
  <c r="Q560" i="43" s="1"/>
  <c r="G551" i="43"/>
  <c r="Q551" i="43" s="1"/>
  <c r="G542" i="43"/>
  <c r="Q542" i="43" s="1"/>
  <c r="U20" i="43"/>
  <c r="G447" i="43" s="1"/>
  <c r="Q447" i="43" s="1"/>
  <c r="T18" i="43"/>
  <c r="D368" i="43" s="1"/>
  <c r="N368" i="43" s="1"/>
  <c r="R18" i="43"/>
  <c r="D17" i="54" s="1"/>
  <c r="D41" i="52" s="1"/>
  <c r="U21" i="43"/>
  <c r="G498" i="43" s="1"/>
  <c r="Q498" i="43" s="1"/>
  <c r="V20" i="43"/>
  <c r="F461" i="43" s="1"/>
  <c r="P461" i="43" s="1"/>
  <c r="S18" i="43"/>
  <c r="C345" i="43" s="1"/>
  <c r="M345" i="43" s="1"/>
  <c r="V21" i="43"/>
  <c r="F527" i="43" s="1"/>
  <c r="P527" i="43" s="1"/>
  <c r="R19" i="43"/>
  <c r="E435" i="43" s="1"/>
  <c r="O435" i="43" s="1"/>
  <c r="S21" i="43"/>
  <c r="C534" i="43" s="1"/>
  <c r="M534" i="43" s="1"/>
  <c r="S20" i="43"/>
  <c r="C439" i="43" s="1"/>
  <c r="M439" i="43" s="1"/>
  <c r="T21" i="43"/>
  <c r="D523" i="43" s="1"/>
  <c r="N523" i="43" s="1"/>
  <c r="U18" i="43"/>
  <c r="G386" i="43" s="1"/>
  <c r="Q386" i="43" s="1"/>
  <c r="T20" i="43"/>
  <c r="D474" i="43" s="1"/>
  <c r="N474" i="43" s="1"/>
  <c r="R20" i="43"/>
  <c r="D19" i="54" s="1"/>
  <c r="D43" i="52" s="1"/>
  <c r="R21" i="43"/>
  <c r="E507" i="43" s="1"/>
  <c r="O507" i="43" s="1"/>
  <c r="T19" i="43"/>
  <c r="D387" i="43" s="1"/>
  <c r="N387" i="43" s="1"/>
  <c r="S19" i="43"/>
  <c r="C424" i="43" s="1"/>
  <c r="M424" i="43" s="1"/>
  <c r="V18" i="43"/>
  <c r="F366" i="43" s="1"/>
  <c r="P366" i="43" s="1"/>
  <c r="V19" i="43"/>
  <c r="F404" i="43" s="1"/>
  <c r="P404" i="43" s="1"/>
  <c r="G16" i="52"/>
  <c r="B16" i="52"/>
  <c r="G280" i="45"/>
  <c r="L24" i="52" s="1"/>
  <c r="G15" i="52"/>
  <c r="L41" i="33" s="1"/>
  <c r="J11" i="59"/>
  <c r="E15" i="52" s="1"/>
  <c r="J41" i="33" s="1"/>
  <c r="G11" i="59"/>
  <c r="D15" i="52" s="1"/>
  <c r="I41" i="33" s="1"/>
  <c r="B15" i="52"/>
  <c r="G41" i="33" s="1"/>
  <c r="D21" i="61"/>
  <c r="E21" i="61" s="1"/>
  <c r="F21" i="61" s="1"/>
  <c r="D23" i="61"/>
  <c r="E23" i="61" s="1"/>
  <c r="F23" i="61" s="1"/>
  <c r="D10" i="61"/>
  <c r="E10" i="61" s="1"/>
  <c r="F10" i="61" s="1"/>
  <c r="D11" i="61"/>
  <c r="E11" i="61" s="1"/>
  <c r="F11" i="61" s="1"/>
  <c r="D16" i="61"/>
  <c r="E16" i="61" s="1"/>
  <c r="F16" i="61" s="1"/>
  <c r="D13" i="61"/>
  <c r="E13" i="61" s="1"/>
  <c r="F13" i="61" s="1"/>
  <c r="D17" i="61"/>
  <c r="E17" i="61" s="1"/>
  <c r="F17" i="61" s="1"/>
  <c r="D19" i="61"/>
  <c r="E19" i="61" s="1"/>
  <c r="F19" i="61" s="1"/>
  <c r="R14" i="55"/>
  <c r="F48" i="60"/>
  <c r="R48" i="60" s="1"/>
  <c r="F55" i="60"/>
  <c r="R55" i="60" s="1"/>
  <c r="E62" i="28"/>
  <c r="F62" i="28" s="1"/>
  <c r="G62" i="28" s="1"/>
  <c r="O62" i="28"/>
  <c r="E64" i="28"/>
  <c r="F64" i="28" s="1"/>
  <c r="G64" i="28" s="1"/>
  <c r="C81" i="28" s="1"/>
  <c r="C96" i="28" s="1"/>
  <c r="O64" i="28"/>
  <c r="P64" i="28" s="1"/>
  <c r="D81" i="28" s="1"/>
  <c r="D96" i="28" s="1"/>
  <c r="E65" i="28"/>
  <c r="F65" i="28" s="1"/>
  <c r="G65" i="28" s="1"/>
  <c r="I65" i="28" s="1"/>
  <c r="C84" i="28" s="1"/>
  <c r="C99" i="28" s="1"/>
  <c r="O65" i="28"/>
  <c r="P65" i="28" s="1"/>
  <c r="D83" i="28" s="1"/>
  <c r="D98" i="28" s="1"/>
  <c r="F18" i="60"/>
  <c r="R18" i="60" s="1"/>
  <c r="C87" i="43"/>
  <c r="C108" i="43"/>
  <c r="C90" i="43"/>
  <c r="C124" i="43"/>
  <c r="C96" i="43"/>
  <c r="C88" i="43"/>
  <c r="C146" i="43"/>
  <c r="C33" i="43"/>
  <c r="C41" i="43"/>
  <c r="C49" i="43"/>
  <c r="C57" i="43"/>
  <c r="C65" i="43"/>
  <c r="C73" i="43"/>
  <c r="C31" i="51"/>
  <c r="C29" i="43"/>
  <c r="C37" i="43"/>
  <c r="C45" i="43"/>
  <c r="C53" i="43"/>
  <c r="C61" i="43"/>
  <c r="C69" i="43"/>
  <c r="C77" i="43"/>
  <c r="C28" i="43"/>
  <c r="C39" i="43"/>
  <c r="C50" i="43"/>
  <c r="C60" i="43"/>
  <c r="C71" i="43"/>
  <c r="C34" i="43"/>
  <c r="C44" i="43"/>
  <c r="C55" i="43"/>
  <c r="C66" i="43"/>
  <c r="C76" i="43"/>
  <c r="C36" i="43"/>
  <c r="C51" i="43"/>
  <c r="C64" i="43"/>
  <c r="C38" i="43"/>
  <c r="C52" i="43"/>
  <c r="C67" i="43"/>
  <c r="C40" i="43"/>
  <c r="C54" i="43"/>
  <c r="C68" i="43"/>
  <c r="C42" i="43"/>
  <c r="C56" i="43"/>
  <c r="C70" i="43"/>
  <c r="C30" i="43"/>
  <c r="C43" i="43"/>
  <c r="C58" i="43"/>
  <c r="C72" i="43"/>
  <c r="C31" i="43"/>
  <c r="C46" i="43"/>
  <c r="C59" i="43"/>
  <c r="C74" i="43"/>
  <c r="C32" i="43"/>
  <c r="C47" i="43"/>
  <c r="C62" i="43"/>
  <c r="C75" i="43"/>
  <c r="C35" i="43"/>
  <c r="C48" i="43"/>
  <c r="C63" i="43"/>
  <c r="C27" i="43"/>
  <c r="B27" i="54"/>
  <c r="K44" i="52" s="1"/>
  <c r="F33" i="60"/>
  <c r="R33" i="60" s="1"/>
  <c r="F22" i="60"/>
  <c r="R22" i="60" s="1"/>
  <c r="F53" i="60"/>
  <c r="R53" i="60" s="1"/>
  <c r="F16" i="60"/>
  <c r="R16" i="60" s="1"/>
  <c r="F34" i="60"/>
  <c r="R34" i="60" s="1"/>
  <c r="F42" i="60"/>
  <c r="R42" i="60" s="1"/>
  <c r="F30" i="60"/>
  <c r="R30" i="60" s="1"/>
  <c r="F58" i="60"/>
  <c r="R58" i="60" s="1"/>
  <c r="F56" i="60"/>
  <c r="R56" i="60" s="1"/>
  <c r="F57" i="60"/>
  <c r="R57" i="60" s="1"/>
  <c r="F60" i="60"/>
  <c r="R60" i="60" s="1"/>
  <c r="F64" i="60"/>
  <c r="R64" i="60" s="1"/>
  <c r="F43" i="60"/>
  <c r="R43" i="60" s="1"/>
  <c r="F52" i="60"/>
  <c r="R52" i="60" s="1"/>
  <c r="F44" i="60"/>
  <c r="R44" i="60" s="1"/>
  <c r="F39" i="60"/>
  <c r="R39" i="60" s="1"/>
  <c r="C184" i="43"/>
  <c r="C192" i="43"/>
  <c r="C200" i="43"/>
  <c r="C208" i="43"/>
  <c r="C216" i="43"/>
  <c r="C224" i="43"/>
  <c r="C185" i="43"/>
  <c r="C193" i="43"/>
  <c r="C201" i="43"/>
  <c r="C209" i="43"/>
  <c r="C217" i="43"/>
  <c r="C225" i="43"/>
  <c r="C186" i="43"/>
  <c r="C194" i="43"/>
  <c r="C202" i="43"/>
  <c r="C210" i="43"/>
  <c r="C218" i="43"/>
  <c r="C226" i="43"/>
  <c r="C181" i="43"/>
  <c r="C189" i="43"/>
  <c r="C197" i="43"/>
  <c r="C205" i="43"/>
  <c r="C213" i="43"/>
  <c r="C221" i="43"/>
  <c r="C229" i="43"/>
  <c r="C190" i="43"/>
  <c r="C206" i="43"/>
  <c r="C222" i="43"/>
  <c r="C182" i="43"/>
  <c r="C198" i="43"/>
  <c r="C214" i="43"/>
  <c r="C230" i="43"/>
  <c r="C196" i="43"/>
  <c r="C219" i="43"/>
  <c r="C203" i="43"/>
  <c r="C223" i="43"/>
  <c r="C183" i="43"/>
  <c r="C204" i="43"/>
  <c r="C227" i="43"/>
  <c r="C187" i="43"/>
  <c r="C207" i="43"/>
  <c r="C228" i="43"/>
  <c r="C191" i="43"/>
  <c r="C212" i="43"/>
  <c r="C195" i="43"/>
  <c r="C215" i="43"/>
  <c r="C211" i="43"/>
  <c r="C220" i="43"/>
  <c r="C180" i="43"/>
  <c r="C34" i="51"/>
  <c r="C188" i="43"/>
  <c r="C199" i="43"/>
  <c r="F15" i="60"/>
  <c r="R15" i="60" s="1"/>
  <c r="F282" i="58"/>
  <c r="F20" i="60"/>
  <c r="R20" i="60" s="1"/>
  <c r="F23" i="60"/>
  <c r="R23" i="60" s="1"/>
  <c r="F49" i="60"/>
  <c r="R49" i="60" s="1"/>
  <c r="F62" i="60"/>
  <c r="R62" i="60" s="1"/>
  <c r="F50" i="60"/>
  <c r="R50" i="60" s="1"/>
  <c r="F51" i="60"/>
  <c r="R51" i="60" s="1"/>
  <c r="D11" i="28"/>
  <c r="E11" i="28" s="1"/>
  <c r="F11" i="28" s="1"/>
  <c r="F35" i="60"/>
  <c r="R35" i="60" s="1"/>
  <c r="F37" i="60"/>
  <c r="R37" i="60" s="1"/>
  <c r="F47" i="60"/>
  <c r="R47" i="60" s="1"/>
  <c r="F28" i="60"/>
  <c r="R28" i="60" s="1"/>
  <c r="F24" i="60"/>
  <c r="R24" i="60" s="1"/>
  <c r="F59" i="60"/>
  <c r="R59" i="60" s="1"/>
  <c r="F54" i="60"/>
  <c r="R54" i="60" s="1"/>
  <c r="D13" i="28"/>
  <c r="E13" i="28" s="1"/>
  <c r="F13" i="28" s="1"/>
  <c r="B24" i="54"/>
  <c r="K41" i="52" s="1"/>
  <c r="F41" i="60"/>
  <c r="R41" i="60" s="1"/>
  <c r="F46" i="60"/>
  <c r="R46" i="60" s="1"/>
  <c r="F65" i="60"/>
  <c r="R65" i="60" s="1"/>
  <c r="F29" i="60"/>
  <c r="R29" i="60" s="1"/>
  <c r="F61" i="60"/>
  <c r="R61" i="60" s="1"/>
  <c r="F36" i="60"/>
  <c r="R36" i="60" s="1"/>
  <c r="F38" i="60"/>
  <c r="R38" i="60" s="1"/>
  <c r="F231" i="58"/>
  <c r="B25" i="54"/>
  <c r="K42" i="52" s="1"/>
  <c r="F27" i="60"/>
  <c r="R27" i="60" s="1"/>
  <c r="F26" i="60"/>
  <c r="R26" i="60" s="1"/>
  <c r="F19" i="60"/>
  <c r="R19" i="60" s="1"/>
  <c r="F40" i="60"/>
  <c r="R40" i="60" s="1"/>
  <c r="F17" i="60"/>
  <c r="R17" i="60" s="1"/>
  <c r="F45" i="60"/>
  <c r="R45" i="60" s="1"/>
  <c r="B26" i="54"/>
  <c r="K43" i="52" s="1"/>
  <c r="F63" i="60"/>
  <c r="R63" i="60" s="1"/>
  <c r="F31" i="60"/>
  <c r="R31" i="60" s="1"/>
  <c r="F25" i="60"/>
  <c r="R25" i="60" s="1"/>
  <c r="F21" i="60"/>
  <c r="R21" i="60" s="1"/>
  <c r="F32" i="60"/>
  <c r="R32" i="60" s="1"/>
  <c r="R68" i="55"/>
  <c r="X89" i="37"/>
  <c r="D5" i="42" s="1"/>
  <c r="B7" i="7"/>
  <c r="X91" i="37"/>
  <c r="D6" i="42" s="1"/>
  <c r="N64" i="28"/>
  <c r="C85" i="28"/>
  <c r="C102" i="28" s="1"/>
  <c r="N65" i="28"/>
  <c r="C87" i="28"/>
  <c r="C100" i="28" s="1"/>
  <c r="H69" i="28"/>
  <c r="C88" i="28" s="1"/>
  <c r="N62" i="28"/>
  <c r="D63" i="28"/>
  <c r="D10" i="28"/>
  <c r="E10" i="28" s="1"/>
  <c r="F10" i="28" s="1"/>
  <c r="X93" i="37"/>
  <c r="D7" i="42" s="1"/>
  <c r="B11" i="7"/>
  <c r="O69" i="28"/>
  <c r="B10" i="7"/>
  <c r="D16" i="28"/>
  <c r="E16" i="28" s="1"/>
  <c r="F16" i="28" s="1"/>
  <c r="X95" i="37"/>
  <c r="D8" i="42" s="1"/>
  <c r="B13" i="7"/>
  <c r="D17" i="28"/>
  <c r="E17" i="28" s="1"/>
  <c r="F17" i="28" s="1"/>
  <c r="D19" i="28"/>
  <c r="E19" i="28" s="1"/>
  <c r="F19" i="28" s="1"/>
  <c r="D23" i="28"/>
  <c r="E23" i="28" s="1"/>
  <c r="F23" i="28" s="1"/>
  <c r="D21" i="28"/>
  <c r="E21" i="28" s="1"/>
  <c r="F21" i="28" s="1"/>
  <c r="N63" i="28"/>
  <c r="C244" i="43" l="1"/>
  <c r="M244" i="43" s="1"/>
  <c r="C266" i="43"/>
  <c r="M266" i="43" s="1"/>
  <c r="C259" i="43"/>
  <c r="M259" i="43" s="1"/>
  <c r="C306" i="43"/>
  <c r="M306" i="43" s="1"/>
  <c r="C327" i="43"/>
  <c r="M327" i="43" s="1"/>
  <c r="C309" i="43"/>
  <c r="M309" i="43" s="1"/>
  <c r="C320" i="43"/>
  <c r="M320" i="43" s="1"/>
  <c r="C250" i="43"/>
  <c r="M250" i="43" s="1"/>
  <c r="C234" i="43"/>
  <c r="M234" i="43" s="1"/>
  <c r="C278" i="43"/>
  <c r="M278" i="43" s="1"/>
  <c r="C231" i="43"/>
  <c r="M231" i="43" s="1"/>
  <c r="C283" i="43"/>
  <c r="M283" i="43" s="1"/>
  <c r="C293" i="43"/>
  <c r="M293" i="43" s="1"/>
  <c r="C307" i="43"/>
  <c r="M307" i="43" s="1"/>
  <c r="C326" i="43"/>
  <c r="M326" i="43" s="1"/>
  <c r="C265" i="43"/>
  <c r="M265" i="43" s="1"/>
  <c r="C35" i="51"/>
  <c r="C245" i="43"/>
  <c r="M245" i="43" s="1"/>
  <c r="C240" i="43"/>
  <c r="M240" i="43" s="1"/>
  <c r="C287" i="43"/>
  <c r="M287" i="43" s="1"/>
  <c r="C302" i="43"/>
  <c r="M302" i="43" s="1"/>
  <c r="C314" i="43"/>
  <c r="M314" i="43" s="1"/>
  <c r="C264" i="43"/>
  <c r="M264" i="43" s="1"/>
  <c r="C269" i="43"/>
  <c r="M269" i="43" s="1"/>
  <c r="C321" i="43"/>
  <c r="M321" i="43" s="1"/>
  <c r="C292" i="43"/>
  <c r="M292" i="43" s="1"/>
  <c r="C299" i="43"/>
  <c r="M299" i="43" s="1"/>
  <c r="C275" i="43"/>
  <c r="M275" i="43" s="1"/>
  <c r="C239" i="43"/>
  <c r="M239" i="43" s="1"/>
  <c r="C286" i="43"/>
  <c r="M286" i="43" s="1"/>
  <c r="C312" i="43"/>
  <c r="M312" i="43" s="1"/>
  <c r="C329" i="43"/>
  <c r="M329" i="43" s="1"/>
  <c r="C311" i="43"/>
  <c r="M311" i="43" s="1"/>
  <c r="C316" i="43"/>
  <c r="M316" i="43" s="1"/>
  <c r="D308" i="43"/>
  <c r="N308" i="43" s="1"/>
  <c r="D289" i="43"/>
  <c r="N289" i="43" s="1"/>
  <c r="D321" i="43"/>
  <c r="N321" i="43" s="1"/>
  <c r="D326" i="43"/>
  <c r="N326" i="43" s="1"/>
  <c r="D297" i="43"/>
  <c r="N297" i="43" s="1"/>
  <c r="D310" i="43"/>
  <c r="N310" i="43" s="1"/>
  <c r="D313" i="43"/>
  <c r="N313" i="43" s="1"/>
  <c r="D322" i="43"/>
  <c r="N322" i="43" s="1"/>
  <c r="D318" i="43"/>
  <c r="N318" i="43" s="1"/>
  <c r="D331" i="43"/>
  <c r="N331" i="43" s="1"/>
  <c r="D292" i="43"/>
  <c r="N292" i="43" s="1"/>
  <c r="D282" i="43"/>
  <c r="N282" i="43" s="1"/>
  <c r="D288" i="43"/>
  <c r="N288" i="43" s="1"/>
  <c r="D319" i="43"/>
  <c r="N319" i="43" s="1"/>
  <c r="D287" i="43"/>
  <c r="N287" i="43" s="1"/>
  <c r="D298" i="43"/>
  <c r="N298" i="43" s="1"/>
  <c r="D309" i="43"/>
  <c r="N309" i="43" s="1"/>
  <c r="D294" i="43"/>
  <c r="N294" i="43" s="1"/>
  <c r="F695" i="7"/>
  <c r="D327" i="43"/>
  <c r="N327" i="43" s="1"/>
  <c r="D290" i="43"/>
  <c r="N290" i="43" s="1"/>
  <c r="D315" i="43"/>
  <c r="N315" i="43" s="1"/>
  <c r="D328" i="43"/>
  <c r="N328" i="43" s="1"/>
  <c r="D305" i="43"/>
  <c r="N305" i="43" s="1"/>
  <c r="D304" i="43"/>
  <c r="N304" i="43" s="1"/>
  <c r="D307" i="43"/>
  <c r="N307" i="43" s="1"/>
  <c r="D284" i="43"/>
  <c r="N284" i="43" s="1"/>
  <c r="D314" i="43"/>
  <c r="N314" i="43" s="1"/>
  <c r="D296" i="43"/>
  <c r="N296" i="43" s="1"/>
  <c r="D295" i="43"/>
  <c r="N295" i="43" s="1"/>
  <c r="D332" i="43"/>
  <c r="N332" i="43" s="1"/>
  <c r="D312" i="43"/>
  <c r="N312" i="43" s="1"/>
  <c r="D330" i="43"/>
  <c r="N330" i="43" s="1"/>
  <c r="D329" i="43"/>
  <c r="N329" i="43" s="1"/>
  <c r="D285" i="43"/>
  <c r="N285" i="43" s="1"/>
  <c r="D324" i="43"/>
  <c r="N324" i="43" s="1"/>
  <c r="D302" i="43"/>
  <c r="N302" i="43" s="1"/>
  <c r="D311" i="43"/>
  <c r="N311" i="43" s="1"/>
  <c r="D291" i="43"/>
  <c r="N291" i="43" s="1"/>
  <c r="E275" i="43"/>
  <c r="O275" i="43" s="1"/>
  <c r="E43" i="43"/>
  <c r="E69" i="43"/>
  <c r="E253" i="43"/>
  <c r="O253" i="43" s="1"/>
  <c r="E245" i="43"/>
  <c r="O245" i="43" s="1"/>
  <c r="F648" i="7"/>
  <c r="C268" i="43"/>
  <c r="M268" i="43" s="1"/>
  <c r="E246" i="43"/>
  <c r="O246" i="43" s="1"/>
  <c r="E249" i="43"/>
  <c r="O249" i="43" s="1"/>
  <c r="E255" i="43"/>
  <c r="O255" i="43" s="1"/>
  <c r="E247" i="43"/>
  <c r="O247" i="43" s="1"/>
  <c r="E248" i="43"/>
  <c r="O248" i="43" s="1"/>
  <c r="E259" i="43"/>
  <c r="O259" i="43" s="1"/>
  <c r="E276" i="43"/>
  <c r="O276" i="43" s="1"/>
  <c r="C242" i="43"/>
  <c r="M242" i="43" s="1"/>
  <c r="C251" i="43"/>
  <c r="M251" i="43" s="1"/>
  <c r="E270" i="43"/>
  <c r="O270" i="43" s="1"/>
  <c r="E251" i="43"/>
  <c r="O251" i="43" s="1"/>
  <c r="E267" i="43"/>
  <c r="O267" i="43" s="1"/>
  <c r="C254" i="43"/>
  <c r="M254" i="43" s="1"/>
  <c r="C232" i="43"/>
  <c r="M232" i="43" s="1"/>
  <c r="C261" i="43"/>
  <c r="M261" i="43" s="1"/>
  <c r="C246" i="43"/>
  <c r="M246" i="43" s="1"/>
  <c r="C279" i="43"/>
  <c r="M279" i="43" s="1"/>
  <c r="C241" i="43"/>
  <c r="M241" i="43" s="1"/>
  <c r="E242" i="43"/>
  <c r="O242" i="43" s="1"/>
  <c r="E254" i="43"/>
  <c r="O254" i="43" s="1"/>
  <c r="E240" i="43"/>
  <c r="O240" i="43" s="1"/>
  <c r="C263" i="43"/>
  <c r="M263" i="43" s="1"/>
  <c r="C280" i="43"/>
  <c r="M280" i="43" s="1"/>
  <c r="C235" i="43"/>
  <c r="M235" i="43" s="1"/>
  <c r="C236" i="43"/>
  <c r="M236" i="43" s="1"/>
  <c r="C273" i="43"/>
  <c r="M273" i="43" s="1"/>
  <c r="C247" i="43"/>
  <c r="M247" i="43" s="1"/>
  <c r="C313" i="43"/>
  <c r="M313" i="43" s="1"/>
  <c r="C296" i="43"/>
  <c r="M296" i="43" s="1"/>
  <c r="C301" i="43"/>
  <c r="M301" i="43" s="1"/>
  <c r="C315" i="43"/>
  <c r="M315" i="43" s="1"/>
  <c r="C325" i="43"/>
  <c r="M325" i="43" s="1"/>
  <c r="D233" i="43"/>
  <c r="N233" i="43" s="1"/>
  <c r="D261" i="43"/>
  <c r="N261" i="43" s="1"/>
  <c r="E244" i="43"/>
  <c r="O244" i="43" s="1"/>
  <c r="D235" i="43"/>
  <c r="N235" i="43" s="1"/>
  <c r="E271" i="43"/>
  <c r="O271" i="43" s="1"/>
  <c r="E243" i="43"/>
  <c r="O243" i="43" s="1"/>
  <c r="D266" i="43"/>
  <c r="N266" i="43" s="1"/>
  <c r="E232" i="43"/>
  <c r="O232" i="43" s="1"/>
  <c r="D231" i="43"/>
  <c r="N231" i="43" s="1"/>
  <c r="E274" i="43"/>
  <c r="O274" i="43" s="1"/>
  <c r="D264" i="43"/>
  <c r="N264" i="43" s="1"/>
  <c r="G319" i="43"/>
  <c r="Q319" i="43" s="1"/>
  <c r="G318" i="43"/>
  <c r="Q318" i="43" s="1"/>
  <c r="G321" i="43"/>
  <c r="Q321" i="43" s="1"/>
  <c r="G314" i="43"/>
  <c r="Q314" i="43" s="1"/>
  <c r="G298" i="43"/>
  <c r="Q298" i="43" s="1"/>
  <c r="G296" i="43"/>
  <c r="Q296" i="43" s="1"/>
  <c r="G295" i="43"/>
  <c r="Q295" i="43" s="1"/>
  <c r="F657" i="7"/>
  <c r="E236" i="43"/>
  <c r="O236" i="43" s="1"/>
  <c r="E279" i="43"/>
  <c r="O279" i="43" s="1"/>
  <c r="E235" i="43"/>
  <c r="O235" i="43" s="1"/>
  <c r="E272" i="43"/>
  <c r="O272" i="43" s="1"/>
  <c r="E273" i="43"/>
  <c r="O273" i="43" s="1"/>
  <c r="F696" i="7"/>
  <c r="E263" i="43"/>
  <c r="O263" i="43" s="1"/>
  <c r="E252" i="43"/>
  <c r="O252" i="43" s="1"/>
  <c r="E264" i="43"/>
  <c r="O264" i="43" s="1"/>
  <c r="E241" i="43"/>
  <c r="O241" i="43" s="1"/>
  <c r="E257" i="43"/>
  <c r="O257" i="43" s="1"/>
  <c r="C258" i="43"/>
  <c r="M258" i="43" s="1"/>
  <c r="C270" i="43"/>
  <c r="M270" i="43" s="1"/>
  <c r="C237" i="43"/>
  <c r="M237" i="43" s="1"/>
  <c r="E269" i="43"/>
  <c r="O269" i="43" s="1"/>
  <c r="E231" i="43"/>
  <c r="O231" i="43" s="1"/>
  <c r="C238" i="43"/>
  <c r="M238" i="43" s="1"/>
  <c r="C249" i="43"/>
  <c r="M249" i="43" s="1"/>
  <c r="C262" i="43"/>
  <c r="M262" i="43" s="1"/>
  <c r="C252" i="43"/>
  <c r="M252" i="43" s="1"/>
  <c r="E256" i="43"/>
  <c r="O256" i="43" s="1"/>
  <c r="E250" i="43"/>
  <c r="O250" i="43" s="1"/>
  <c r="E268" i="43"/>
  <c r="O268" i="43" s="1"/>
  <c r="E237" i="43"/>
  <c r="O237" i="43" s="1"/>
  <c r="E234" i="43"/>
  <c r="O234" i="43" s="1"/>
  <c r="F280" i="43"/>
  <c r="P280" i="43" s="1"/>
  <c r="F246" i="43"/>
  <c r="P246" i="43" s="1"/>
  <c r="F281" i="43"/>
  <c r="P281" i="43" s="1"/>
  <c r="F262" i="43"/>
  <c r="P262" i="43" s="1"/>
  <c r="F258" i="43"/>
  <c r="P258" i="43" s="1"/>
  <c r="F254" i="43"/>
  <c r="P254" i="43" s="1"/>
  <c r="F268" i="43"/>
  <c r="P268" i="43" s="1"/>
  <c r="F242" i="43"/>
  <c r="P242" i="43" s="1"/>
  <c r="F265" i="43"/>
  <c r="P265" i="43" s="1"/>
  <c r="F238" i="43"/>
  <c r="P238" i="43" s="1"/>
  <c r="F249" i="43"/>
  <c r="P249" i="43" s="1"/>
  <c r="F235" i="43"/>
  <c r="P235" i="43" s="1"/>
  <c r="F257" i="43"/>
  <c r="P257" i="43" s="1"/>
  <c r="F239" i="43"/>
  <c r="P239" i="43" s="1"/>
  <c r="F273" i="43"/>
  <c r="P273" i="43" s="1"/>
  <c r="F234" i="43"/>
  <c r="P234" i="43" s="1"/>
  <c r="F269" i="43"/>
  <c r="P269" i="43" s="1"/>
  <c r="F250" i="43"/>
  <c r="P250" i="43" s="1"/>
  <c r="F240" i="43"/>
  <c r="P240" i="43" s="1"/>
  <c r="F261" i="43"/>
  <c r="P261" i="43" s="1"/>
  <c r="F237" i="43"/>
  <c r="P237" i="43" s="1"/>
  <c r="F248" i="43"/>
  <c r="P248" i="43" s="1"/>
  <c r="F276" i="43"/>
  <c r="P276" i="43" s="1"/>
  <c r="F267" i="43"/>
  <c r="P267" i="43" s="1"/>
  <c r="F260" i="43"/>
  <c r="P260" i="43" s="1"/>
  <c r="F270" i="43"/>
  <c r="P270" i="43" s="1"/>
  <c r="F243" i="43"/>
  <c r="P243" i="43" s="1"/>
  <c r="F279" i="43"/>
  <c r="P279" i="43" s="1"/>
  <c r="F278" i="43"/>
  <c r="P278" i="43" s="1"/>
  <c r="F245" i="43"/>
  <c r="P245" i="43" s="1"/>
  <c r="F259" i="43"/>
  <c r="P259" i="43" s="1"/>
  <c r="G35" i="51"/>
  <c r="F256" i="43"/>
  <c r="P256" i="43" s="1"/>
  <c r="F232" i="43"/>
  <c r="P232" i="43" s="1"/>
  <c r="F266" i="43"/>
  <c r="P266" i="43" s="1"/>
  <c r="F264" i="43"/>
  <c r="P264" i="43" s="1"/>
  <c r="F241" i="43"/>
  <c r="P241" i="43" s="1"/>
  <c r="F277" i="43"/>
  <c r="P277" i="43" s="1"/>
  <c r="F236" i="43"/>
  <c r="P236" i="43" s="1"/>
  <c r="F233" i="43"/>
  <c r="P233" i="43" s="1"/>
  <c r="F251" i="43"/>
  <c r="P251" i="43" s="1"/>
  <c r="F253" i="43"/>
  <c r="P253" i="43" s="1"/>
  <c r="F271" i="43"/>
  <c r="P271" i="43" s="1"/>
  <c r="F274" i="43"/>
  <c r="P274" i="43" s="1"/>
  <c r="F255" i="43"/>
  <c r="P255" i="43" s="1"/>
  <c r="F272" i="43"/>
  <c r="P272" i="43" s="1"/>
  <c r="F244" i="43"/>
  <c r="P244" i="43" s="1"/>
  <c r="F263" i="43"/>
  <c r="P263" i="43" s="1"/>
  <c r="F247" i="43"/>
  <c r="P247" i="43" s="1"/>
  <c r="F275" i="43"/>
  <c r="P275" i="43" s="1"/>
  <c r="F252" i="43"/>
  <c r="P252" i="43" s="1"/>
  <c r="C271" i="43"/>
  <c r="M271" i="43" s="1"/>
  <c r="C243" i="43"/>
  <c r="M243" i="43" s="1"/>
  <c r="C253" i="43"/>
  <c r="M253" i="43" s="1"/>
  <c r="E258" i="43"/>
  <c r="O258" i="43" s="1"/>
  <c r="E281" i="43"/>
  <c r="O281" i="43" s="1"/>
  <c r="E233" i="43"/>
  <c r="O233" i="43" s="1"/>
  <c r="E238" i="43"/>
  <c r="O238" i="43" s="1"/>
  <c r="D274" i="43"/>
  <c r="N274" i="43" s="1"/>
  <c r="D232" i="43"/>
  <c r="N232" i="43" s="1"/>
  <c r="D281" i="43"/>
  <c r="N281" i="43" s="1"/>
  <c r="D246" i="43"/>
  <c r="N246" i="43" s="1"/>
  <c r="D263" i="43"/>
  <c r="N263" i="43" s="1"/>
  <c r="D236" i="43"/>
  <c r="N236" i="43" s="1"/>
  <c r="C290" i="43"/>
  <c r="M290" i="43" s="1"/>
  <c r="C291" i="43"/>
  <c r="M291" i="43" s="1"/>
  <c r="C324" i="43"/>
  <c r="M324" i="43" s="1"/>
  <c r="C303" i="43"/>
  <c r="M303" i="43" s="1"/>
  <c r="C282" i="43"/>
  <c r="M282" i="43" s="1"/>
  <c r="C297" i="43"/>
  <c r="M297" i="43" s="1"/>
  <c r="F663" i="7"/>
  <c r="C255" i="43"/>
  <c r="M255" i="43" s="1"/>
  <c r="C272" i="43"/>
  <c r="M272" i="43" s="1"/>
  <c r="C260" i="43"/>
  <c r="M260" i="43" s="1"/>
  <c r="C276" i="43"/>
  <c r="M276" i="43" s="1"/>
  <c r="C277" i="43"/>
  <c r="M277" i="43" s="1"/>
  <c r="G313" i="43"/>
  <c r="Q313" i="43" s="1"/>
  <c r="G290" i="43"/>
  <c r="Q290" i="43" s="1"/>
  <c r="C322" i="43"/>
  <c r="M322" i="43" s="1"/>
  <c r="G315" i="43"/>
  <c r="Q315" i="43" s="1"/>
  <c r="G291" i="43"/>
  <c r="Q291" i="43" s="1"/>
  <c r="C310" i="43"/>
  <c r="M310" i="43" s="1"/>
  <c r="G330" i="43"/>
  <c r="Q330" i="43" s="1"/>
  <c r="C288" i="43"/>
  <c r="M288" i="43" s="1"/>
  <c r="C308" i="43"/>
  <c r="M308" i="43" s="1"/>
  <c r="G285" i="43"/>
  <c r="Q285" i="43" s="1"/>
  <c r="C289" i="43"/>
  <c r="M289" i="43" s="1"/>
  <c r="D244" i="43"/>
  <c r="N244" i="43" s="1"/>
  <c r="D278" i="43"/>
  <c r="N278" i="43" s="1"/>
  <c r="E261" i="43"/>
  <c r="O261" i="43" s="1"/>
  <c r="D276" i="43"/>
  <c r="N276" i="43" s="1"/>
  <c r="D277" i="43"/>
  <c r="N277" i="43" s="1"/>
  <c r="E260" i="43"/>
  <c r="O260" i="43" s="1"/>
  <c r="D267" i="43"/>
  <c r="N267" i="43" s="1"/>
  <c r="E266" i="43"/>
  <c r="O266" i="43" s="1"/>
  <c r="D252" i="43"/>
  <c r="N252" i="43" s="1"/>
  <c r="E239" i="43"/>
  <c r="O239" i="43" s="1"/>
  <c r="D257" i="43"/>
  <c r="N257" i="43" s="1"/>
  <c r="D306" i="43"/>
  <c r="N306" i="43" s="1"/>
  <c r="D320" i="43"/>
  <c r="N320" i="43" s="1"/>
  <c r="D293" i="43"/>
  <c r="N293" i="43" s="1"/>
  <c r="D316" i="43"/>
  <c r="N316" i="43" s="1"/>
  <c r="D300" i="43"/>
  <c r="N300" i="43" s="1"/>
  <c r="D286" i="43"/>
  <c r="N286" i="43" s="1"/>
  <c r="E36" i="51"/>
  <c r="G304" i="43"/>
  <c r="Q304" i="43" s="1"/>
  <c r="M52" i="33"/>
  <c r="P50" i="33"/>
  <c r="P52" i="33" s="1"/>
  <c r="C81" i="43"/>
  <c r="M81" i="43" s="1"/>
  <c r="C104" i="43"/>
  <c r="C98" i="43"/>
  <c r="C117" i="43"/>
  <c r="C94" i="43"/>
  <c r="C122" i="43"/>
  <c r="C78" i="43"/>
  <c r="C103" i="43"/>
  <c r="M103" i="43" s="1"/>
  <c r="C91" i="43"/>
  <c r="M91" i="43" s="1"/>
  <c r="F714" i="7"/>
  <c r="C32" i="51"/>
  <c r="C119" i="43"/>
  <c r="C128" i="43"/>
  <c r="M128" i="43" s="1"/>
  <c r="C112" i="43"/>
  <c r="C111" i="43"/>
  <c r="M111" i="43" s="1"/>
  <c r="C93" i="43"/>
  <c r="M93" i="43" s="1"/>
  <c r="C106" i="43"/>
  <c r="M106" i="43" s="1"/>
  <c r="C84" i="43"/>
  <c r="C101" i="43"/>
  <c r="C118" i="43"/>
  <c r="C95" i="43"/>
  <c r="M95" i="43" s="1"/>
  <c r="C83" i="43"/>
  <c r="F716" i="7"/>
  <c r="C125" i="43"/>
  <c r="M125" i="43" s="1"/>
  <c r="C85" i="43"/>
  <c r="M85" i="43" s="1"/>
  <c r="C113" i="43"/>
  <c r="C80" i="43"/>
  <c r="C97" i="43"/>
  <c r="C79" i="43"/>
  <c r="M79" i="43" s="1"/>
  <c r="I34" i="54"/>
  <c r="I51" i="52" s="1"/>
  <c r="C82" i="43"/>
  <c r="M82" i="43" s="1"/>
  <c r="C121" i="43"/>
  <c r="C86" i="43"/>
  <c r="M86" i="43" s="1"/>
  <c r="C120" i="43"/>
  <c r="C126" i="43"/>
  <c r="C92" i="43"/>
  <c r="C110" i="43"/>
  <c r="C127" i="43"/>
  <c r="C115" i="43"/>
  <c r="C109" i="43"/>
  <c r="C114" i="43"/>
  <c r="M114" i="43" s="1"/>
  <c r="C100" i="43"/>
  <c r="C107" i="43"/>
  <c r="C102" i="43"/>
  <c r="C123" i="43"/>
  <c r="M123" i="43" s="1"/>
  <c r="C116" i="43"/>
  <c r="C105" i="43"/>
  <c r="M105" i="43" s="1"/>
  <c r="C89" i="43"/>
  <c r="M89" i="43" s="1"/>
  <c r="C99" i="43"/>
  <c r="M99" i="43" s="1"/>
  <c r="F746" i="7"/>
  <c r="C163" i="43"/>
  <c r="E649" i="7"/>
  <c r="F737" i="7"/>
  <c r="C166" i="43"/>
  <c r="E679" i="7"/>
  <c r="F705" i="7"/>
  <c r="F682" i="7"/>
  <c r="F686" i="7"/>
  <c r="C149" i="43"/>
  <c r="F739" i="7"/>
  <c r="F704" i="7"/>
  <c r="F647" i="7"/>
  <c r="F685" i="7"/>
  <c r="C178" i="43"/>
  <c r="M178" i="43" s="1"/>
  <c r="F736" i="7"/>
  <c r="F719" i="7"/>
  <c r="F666" i="7"/>
  <c r="F669" i="7"/>
  <c r="C144" i="43"/>
  <c r="M144" i="43" s="1"/>
  <c r="F740" i="7"/>
  <c r="F742" i="7"/>
  <c r="F658" i="7"/>
  <c r="C135" i="43"/>
  <c r="M135" i="43" s="1"/>
  <c r="F747" i="7"/>
  <c r="F710" i="7"/>
  <c r="F671" i="7"/>
  <c r="K15" i="54"/>
  <c r="L38" i="52"/>
  <c r="L40" i="52" s="1"/>
  <c r="Q47" i="33" s="1"/>
  <c r="E652" i="7"/>
  <c r="F684" i="7"/>
  <c r="F676" i="7"/>
  <c r="F675" i="7"/>
  <c r="F689" i="7"/>
  <c r="F680" i="7"/>
  <c r="F670" i="7"/>
  <c r="F653" i="7"/>
  <c r="F667" i="7"/>
  <c r="F650" i="7"/>
  <c r="F659" i="7"/>
  <c r="F681" i="7"/>
  <c r="F672" i="7"/>
  <c r="F662" i="7"/>
  <c r="J34" i="54"/>
  <c r="J51" i="52" s="1"/>
  <c r="O52" i="33" s="1"/>
  <c r="F679" i="7"/>
  <c r="F646" i="7"/>
  <c r="F690" i="7"/>
  <c r="F673" i="7"/>
  <c r="F664" i="7"/>
  <c r="F654" i="7"/>
  <c r="E661" i="7"/>
  <c r="F651" i="7"/>
  <c r="F668" i="7"/>
  <c r="F674" i="7"/>
  <c r="F665" i="7"/>
  <c r="F656" i="7"/>
  <c r="F693" i="7"/>
  <c r="E688" i="7"/>
  <c r="F683" i="7"/>
  <c r="F692" i="7"/>
  <c r="F687" i="7"/>
  <c r="F649" i="7"/>
  <c r="F694" i="7"/>
  <c r="F677" i="7"/>
  <c r="E670" i="7"/>
  <c r="F660" i="7"/>
  <c r="F652" i="7"/>
  <c r="F691" i="7"/>
  <c r="F655" i="7"/>
  <c r="F688" i="7"/>
  <c r="F678" i="7"/>
  <c r="E706" i="7"/>
  <c r="E716" i="7"/>
  <c r="E746" i="7"/>
  <c r="E708" i="7"/>
  <c r="E730" i="7"/>
  <c r="E726" i="7"/>
  <c r="E710" i="7"/>
  <c r="E734" i="7"/>
  <c r="E738" i="7"/>
  <c r="E743" i="7"/>
  <c r="E725" i="7"/>
  <c r="E715" i="7"/>
  <c r="E735" i="7"/>
  <c r="C158" i="43"/>
  <c r="M158" i="43" s="1"/>
  <c r="C134" i="43"/>
  <c r="M134" i="43" s="1"/>
  <c r="C171" i="43"/>
  <c r="C167" i="43"/>
  <c r="M167" i="43" s="1"/>
  <c r="C177" i="43"/>
  <c r="C148" i="43"/>
  <c r="C138" i="43"/>
  <c r="E650" i="7"/>
  <c r="E674" i="7"/>
  <c r="E672" i="7"/>
  <c r="E671" i="7"/>
  <c r="E662" i="7"/>
  <c r="E691" i="7"/>
  <c r="C150" i="43"/>
  <c r="C175" i="43"/>
  <c r="C160" i="43"/>
  <c r="M160" i="43" s="1"/>
  <c r="C156" i="43"/>
  <c r="M156" i="43" s="1"/>
  <c r="C169" i="43"/>
  <c r="M169" i="43" s="1"/>
  <c r="C140" i="43"/>
  <c r="C130" i="43"/>
  <c r="M130" i="43" s="1"/>
  <c r="E696" i="7"/>
  <c r="E648" i="7"/>
  <c r="E656" i="7"/>
  <c r="E663" i="7"/>
  <c r="E654" i="7"/>
  <c r="E683" i="7"/>
  <c r="C33" i="51"/>
  <c r="C164" i="43"/>
  <c r="M164" i="43" s="1"/>
  <c r="C145" i="43"/>
  <c r="C137" i="43"/>
  <c r="C161" i="43"/>
  <c r="C132" i="43"/>
  <c r="E682" i="7"/>
  <c r="E693" i="7"/>
  <c r="E685" i="7"/>
  <c r="E655" i="7"/>
  <c r="E692" i="7"/>
  <c r="E675" i="7"/>
  <c r="C141" i="43"/>
  <c r="C153" i="43"/>
  <c r="M153" i="43" s="1"/>
  <c r="C129" i="43"/>
  <c r="M129" i="43" s="1"/>
  <c r="C155" i="43"/>
  <c r="M155" i="43" s="1"/>
  <c r="C152" i="43"/>
  <c r="C147" i="43"/>
  <c r="M147" i="43" s="1"/>
  <c r="E680" i="7"/>
  <c r="E681" i="7"/>
  <c r="E665" i="7"/>
  <c r="E669" i="7"/>
  <c r="E647" i="7"/>
  <c r="E684" i="7"/>
  <c r="E667" i="7"/>
  <c r="C179" i="43"/>
  <c r="M179" i="43" s="1"/>
  <c r="C133" i="43"/>
  <c r="C170" i="43"/>
  <c r="C173" i="43"/>
  <c r="C136" i="43"/>
  <c r="M136" i="43" s="1"/>
  <c r="C139" i="43"/>
  <c r="M139" i="43" s="1"/>
  <c r="E690" i="7"/>
  <c r="E658" i="7"/>
  <c r="E689" i="7"/>
  <c r="E653" i="7"/>
  <c r="E694" i="7"/>
  <c r="E676" i="7"/>
  <c r="E659" i="7"/>
  <c r="C174" i="43"/>
  <c r="C172" i="43"/>
  <c r="M172" i="43" s="1"/>
  <c r="C159" i="43"/>
  <c r="C165" i="43"/>
  <c r="M165" i="43" s="1"/>
  <c r="C151" i="43"/>
  <c r="C131" i="43"/>
  <c r="E666" i="7"/>
  <c r="E646" i="7"/>
  <c r="E673" i="7"/>
  <c r="E695" i="7"/>
  <c r="E686" i="7"/>
  <c r="E668" i="7"/>
  <c r="E651" i="7"/>
  <c r="C168" i="43"/>
  <c r="C176" i="43"/>
  <c r="C162" i="43"/>
  <c r="M162" i="43" s="1"/>
  <c r="C142" i="43"/>
  <c r="M142" i="43" s="1"/>
  <c r="C157" i="43"/>
  <c r="M157" i="43" s="1"/>
  <c r="C143" i="43"/>
  <c r="C154" i="43"/>
  <c r="M154" i="43" s="1"/>
  <c r="E664" i="7"/>
  <c r="E677" i="7"/>
  <c r="E657" i="7"/>
  <c r="E687" i="7"/>
  <c r="E678" i="7"/>
  <c r="E660" i="7"/>
  <c r="F733" i="7"/>
  <c r="F725" i="7"/>
  <c r="F706" i="7"/>
  <c r="F728" i="7"/>
  <c r="F711" i="7"/>
  <c r="F702" i="7"/>
  <c r="F715" i="7"/>
  <c r="F744" i="7"/>
  <c r="F698" i="7"/>
  <c r="F720" i="7"/>
  <c r="F703" i="7"/>
  <c r="F732" i="7"/>
  <c r="F709" i="7"/>
  <c r="F723" i="7"/>
  <c r="F745" i="7"/>
  <c r="F712" i="7"/>
  <c r="F697" i="7"/>
  <c r="F724" i="7"/>
  <c r="F717" i="7"/>
  <c r="F701" i="7"/>
  <c r="F738" i="7"/>
  <c r="F729" i="7"/>
  <c r="F743" i="7"/>
  <c r="F734" i="7"/>
  <c r="F708" i="7"/>
  <c r="F707" i="7"/>
  <c r="F731" i="7"/>
  <c r="F730" i="7"/>
  <c r="F721" i="7"/>
  <c r="F735" i="7"/>
  <c r="F726" i="7"/>
  <c r="F700" i="7"/>
  <c r="F741" i="7"/>
  <c r="F699" i="7"/>
  <c r="F722" i="7"/>
  <c r="F713" i="7"/>
  <c r="F727" i="7"/>
  <c r="F718" i="7"/>
  <c r="E733" i="7"/>
  <c r="R10" i="43"/>
  <c r="U125" i="42" s="1"/>
  <c r="L25" i="52"/>
  <c r="Q43" i="33" s="1"/>
  <c r="E747" i="7"/>
  <c r="E739" i="7"/>
  <c r="E713" i="7"/>
  <c r="E712" i="7"/>
  <c r="E697" i="7"/>
  <c r="E732" i="7"/>
  <c r="E737" i="7"/>
  <c r="E718" i="7"/>
  <c r="E742" i="7"/>
  <c r="E704" i="7"/>
  <c r="E741" i="7"/>
  <c r="E724" i="7"/>
  <c r="C59" i="58"/>
  <c r="E59" i="58" s="1"/>
  <c r="AB110" i="42"/>
  <c r="E731" i="7"/>
  <c r="E723" i="7"/>
  <c r="E714" i="7"/>
  <c r="E744" i="7"/>
  <c r="E727" i="7"/>
  <c r="E717" i="7"/>
  <c r="E700" i="7"/>
  <c r="C94" i="58"/>
  <c r="E94" i="58" s="1"/>
  <c r="AB115" i="42"/>
  <c r="E721" i="7"/>
  <c r="E702" i="7"/>
  <c r="E698" i="7"/>
  <c r="E736" i="7"/>
  <c r="E719" i="7"/>
  <c r="E709" i="7"/>
  <c r="H32" i="54"/>
  <c r="H49" i="52" s="1"/>
  <c r="C215" i="58"/>
  <c r="E215" i="58" s="1"/>
  <c r="AB125" i="42"/>
  <c r="E707" i="7"/>
  <c r="E722" i="7"/>
  <c r="E745" i="7"/>
  <c r="E728" i="7"/>
  <c r="E711" i="7"/>
  <c r="E701" i="7"/>
  <c r="C132" i="58"/>
  <c r="E132" i="58" s="1"/>
  <c r="AB120" i="42"/>
  <c r="E705" i="7"/>
  <c r="E699" i="7"/>
  <c r="E729" i="7"/>
  <c r="E720" i="7"/>
  <c r="E703" i="7"/>
  <c r="L23" i="33"/>
  <c r="E135" i="43"/>
  <c r="U120" i="42"/>
  <c r="E50" i="51"/>
  <c r="V98" i="42"/>
  <c r="V101" i="42" s="1"/>
  <c r="B47" i="51"/>
  <c r="S71" i="42"/>
  <c r="S74" i="42" s="1"/>
  <c r="G47" i="51"/>
  <c r="X71" i="42"/>
  <c r="X73" i="42" s="1"/>
  <c r="C52" i="51"/>
  <c r="T103" i="42"/>
  <c r="T106" i="42" s="1"/>
  <c r="F47" i="51"/>
  <c r="W71" i="42"/>
  <c r="W72" i="42" s="1"/>
  <c r="L26" i="52"/>
  <c r="Q44" i="33" s="1"/>
  <c r="F118" i="43"/>
  <c r="X115" i="42"/>
  <c r="F46" i="51"/>
  <c r="W88" i="42"/>
  <c r="W91" i="42" s="1"/>
  <c r="B50" i="51"/>
  <c r="S98" i="42"/>
  <c r="S99" i="42" s="1"/>
  <c r="I50" i="51"/>
  <c r="Z98" i="42"/>
  <c r="Z99" i="42" s="1"/>
  <c r="C47" i="51"/>
  <c r="T71" i="42"/>
  <c r="T74" i="42" s="1"/>
  <c r="G52" i="51"/>
  <c r="X103" i="42"/>
  <c r="X105" i="42" s="1"/>
  <c r="D115" i="43"/>
  <c r="V115" i="42"/>
  <c r="F202" i="43"/>
  <c r="X125" i="42"/>
  <c r="B46" i="51"/>
  <c r="S88" i="42"/>
  <c r="S90" i="42" s="1"/>
  <c r="G46" i="51"/>
  <c r="X88" i="42"/>
  <c r="X91" i="42" s="1"/>
  <c r="F50" i="51"/>
  <c r="W98" i="42"/>
  <c r="W100" i="42" s="1"/>
  <c r="D47" i="51"/>
  <c r="U71" i="42"/>
  <c r="U73" i="42" s="1"/>
  <c r="D52" i="51"/>
  <c r="U103" i="42"/>
  <c r="U105" i="42" s="1"/>
  <c r="D141" i="43"/>
  <c r="V120" i="42"/>
  <c r="D46" i="51"/>
  <c r="U88" i="42"/>
  <c r="U91" i="42" s="1"/>
  <c r="G154" i="43"/>
  <c r="S120" i="42"/>
  <c r="D32" i="43"/>
  <c r="V110" i="42"/>
  <c r="E95" i="43"/>
  <c r="U115" i="42"/>
  <c r="G200" i="43"/>
  <c r="S125" i="42"/>
  <c r="I47" i="51"/>
  <c r="Z71" i="42"/>
  <c r="Z72" i="42" s="1"/>
  <c r="I52" i="51"/>
  <c r="Z103" i="42"/>
  <c r="Z104" i="42" s="1"/>
  <c r="G77" i="43"/>
  <c r="Q77" i="43" s="1"/>
  <c r="S110" i="42"/>
  <c r="F38" i="43"/>
  <c r="X110" i="42"/>
  <c r="C46" i="51"/>
  <c r="T88" i="42"/>
  <c r="T90" i="42" s="1"/>
  <c r="C50" i="51"/>
  <c r="T98" i="42"/>
  <c r="T101" i="42" s="1"/>
  <c r="E52" i="51"/>
  <c r="V103" i="42"/>
  <c r="V105" i="42" s="1"/>
  <c r="D199" i="43"/>
  <c r="V125" i="42"/>
  <c r="C64" i="59"/>
  <c r="M64" i="59" s="1"/>
  <c r="K42" i="51"/>
  <c r="K43" i="51"/>
  <c r="G84" i="43"/>
  <c r="S115" i="42"/>
  <c r="F148" i="43"/>
  <c r="X120" i="42"/>
  <c r="I46" i="51"/>
  <c r="Z88" i="42"/>
  <c r="G50" i="51"/>
  <c r="X98" i="42"/>
  <c r="X101" i="42" s="1"/>
  <c r="E47" i="51"/>
  <c r="V71" i="42"/>
  <c r="V73" i="42" s="1"/>
  <c r="B52" i="51"/>
  <c r="S103" i="42"/>
  <c r="E46" i="51"/>
  <c r="V88" i="42"/>
  <c r="D50" i="51"/>
  <c r="U98" i="42"/>
  <c r="U101" i="42" s="1"/>
  <c r="F52" i="51"/>
  <c r="W103" i="42"/>
  <c r="W106" i="42" s="1"/>
  <c r="G12" i="59"/>
  <c r="D16" i="52" s="1"/>
  <c r="J12" i="59"/>
  <c r="E16" i="52" s="1"/>
  <c r="C45" i="59"/>
  <c r="M45" i="59" s="1"/>
  <c r="C36" i="59"/>
  <c r="M36" i="59" s="1"/>
  <c r="C27" i="59"/>
  <c r="M27" i="59" s="1"/>
  <c r="C63" i="59"/>
  <c r="M63" i="59" s="1"/>
  <c r="C32" i="59"/>
  <c r="M32" i="59" s="1"/>
  <c r="S133" i="42"/>
  <c r="S134" i="42"/>
  <c r="X135" i="42"/>
  <c r="V20" i="7"/>
  <c r="B31" i="54" s="1"/>
  <c r="B48" i="52" s="1"/>
  <c r="X133" i="42"/>
  <c r="K12" i="59"/>
  <c r="C69" i="59" s="1"/>
  <c r="M69" i="59" s="1"/>
  <c r="C50" i="59"/>
  <c r="M50" i="59" s="1"/>
  <c r="C42" i="59"/>
  <c r="M42" i="59" s="1"/>
  <c r="C37" i="59"/>
  <c r="M37" i="59" s="1"/>
  <c r="C28" i="59"/>
  <c r="M28" i="59" s="1"/>
  <c r="C19" i="59"/>
  <c r="M19" i="59" s="1"/>
  <c r="C55" i="59"/>
  <c r="M55" i="59" s="1"/>
  <c r="C30" i="59"/>
  <c r="M30" i="59" s="1"/>
  <c r="C22" i="59"/>
  <c r="M22" i="59" s="1"/>
  <c r="C29" i="59"/>
  <c r="M29" i="59" s="1"/>
  <c r="C20" i="59"/>
  <c r="M20" i="59" s="1"/>
  <c r="C65" i="59"/>
  <c r="M65" i="59" s="1"/>
  <c r="C47" i="59"/>
  <c r="M47" i="59" s="1"/>
  <c r="C58" i="59"/>
  <c r="M58" i="59" s="1"/>
  <c r="C48" i="59"/>
  <c r="M48" i="59" s="1"/>
  <c r="C62" i="59"/>
  <c r="M62" i="59" s="1"/>
  <c r="C21" i="59"/>
  <c r="M21" i="59" s="1"/>
  <c r="C67" i="59"/>
  <c r="M67" i="59" s="1"/>
  <c r="C57" i="59"/>
  <c r="M57" i="59" s="1"/>
  <c r="C39" i="59"/>
  <c r="M39" i="59" s="1"/>
  <c r="C56" i="59"/>
  <c r="M56" i="59" s="1"/>
  <c r="C26" i="59"/>
  <c r="M26" i="59" s="1"/>
  <c r="C40" i="59"/>
  <c r="M40" i="59" s="1"/>
  <c r="C68" i="59"/>
  <c r="M68" i="59" s="1"/>
  <c r="C59" i="59"/>
  <c r="M59" i="59" s="1"/>
  <c r="C49" i="59"/>
  <c r="M49" i="59" s="1"/>
  <c r="C31" i="59"/>
  <c r="M31" i="59" s="1"/>
  <c r="C34" i="59"/>
  <c r="M34" i="59" s="1"/>
  <c r="C66" i="59"/>
  <c r="M66" i="59" s="1"/>
  <c r="C60" i="59"/>
  <c r="M60" i="59" s="1"/>
  <c r="C51" i="59"/>
  <c r="M51" i="59" s="1"/>
  <c r="C41" i="59"/>
  <c r="M41" i="59" s="1"/>
  <c r="C23" i="59"/>
  <c r="M23" i="59" s="1"/>
  <c r="C38" i="59"/>
  <c r="M38" i="59" s="1"/>
  <c r="C46" i="59"/>
  <c r="M46" i="59" s="1"/>
  <c r="C61" i="59"/>
  <c r="M61" i="59" s="1"/>
  <c r="C52" i="59"/>
  <c r="M52" i="59" s="1"/>
  <c r="C43" i="59"/>
  <c r="M43" i="59" s="1"/>
  <c r="C33" i="59"/>
  <c r="M33" i="59" s="1"/>
  <c r="C54" i="59"/>
  <c r="M54" i="59" s="1"/>
  <c r="C24" i="59"/>
  <c r="M24" i="59" s="1"/>
  <c r="C53" i="59"/>
  <c r="M53" i="59" s="1"/>
  <c r="C44" i="59"/>
  <c r="M44" i="59" s="1"/>
  <c r="C35" i="59"/>
  <c r="M35" i="59" s="1"/>
  <c r="C25" i="59"/>
  <c r="M25" i="59" s="1"/>
  <c r="I12" i="59"/>
  <c r="G108" i="59" s="1"/>
  <c r="Q108" i="59" s="1"/>
  <c r="J46" i="51"/>
  <c r="AA91" i="42" s="1"/>
  <c r="F289" i="7"/>
  <c r="F297" i="7"/>
  <c r="F305" i="7"/>
  <c r="F313" i="7"/>
  <c r="F321" i="7"/>
  <c r="F329" i="7"/>
  <c r="F291" i="7"/>
  <c r="F299" i="7"/>
  <c r="F307" i="7"/>
  <c r="F315" i="7"/>
  <c r="F323" i="7"/>
  <c r="F331" i="7"/>
  <c r="F286" i="7"/>
  <c r="F294" i="7"/>
  <c r="F302" i="7"/>
  <c r="F310" i="7"/>
  <c r="F318" i="7"/>
  <c r="F326" i="7"/>
  <c r="F334" i="7"/>
  <c r="F298" i="7"/>
  <c r="F311" i="7"/>
  <c r="F324" i="7"/>
  <c r="F336" i="7"/>
  <c r="F288" i="7"/>
  <c r="F301" i="7"/>
  <c r="F314" i="7"/>
  <c r="F327" i="7"/>
  <c r="F290" i="7"/>
  <c r="F303" i="7"/>
  <c r="F316" i="7"/>
  <c r="F328" i="7"/>
  <c r="F295" i="7"/>
  <c r="F317" i="7"/>
  <c r="F335" i="7"/>
  <c r="F300" i="7"/>
  <c r="F320" i="7"/>
  <c r="F304" i="7"/>
  <c r="F322" i="7"/>
  <c r="F287" i="7"/>
  <c r="F319" i="7"/>
  <c r="F292" i="7"/>
  <c r="F325" i="7"/>
  <c r="F293" i="7"/>
  <c r="F330" i="7"/>
  <c r="F306" i="7"/>
  <c r="F333" i="7"/>
  <c r="F308" i="7"/>
  <c r="F296" i="7"/>
  <c r="F309" i="7"/>
  <c r="F312" i="7"/>
  <c r="F332" i="7"/>
  <c r="K14" i="59"/>
  <c r="H14" i="59"/>
  <c r="I14" i="59"/>
  <c r="J31" i="54"/>
  <c r="J48" i="52" s="1"/>
  <c r="F445" i="7"/>
  <c r="F453" i="7"/>
  <c r="F461" i="7"/>
  <c r="F469" i="7"/>
  <c r="F477" i="7"/>
  <c r="F485" i="7"/>
  <c r="F446" i="7"/>
  <c r="F454" i="7"/>
  <c r="F462" i="7"/>
  <c r="F470" i="7"/>
  <c r="F478" i="7"/>
  <c r="F486" i="7"/>
  <c r="F447" i="7"/>
  <c r="F455" i="7"/>
  <c r="F463" i="7"/>
  <c r="F471" i="7"/>
  <c r="F479" i="7"/>
  <c r="F487" i="7"/>
  <c r="F442" i="7"/>
  <c r="F451" i="7"/>
  <c r="F465" i="7"/>
  <c r="F476" i="7"/>
  <c r="F490" i="7"/>
  <c r="F456" i="7"/>
  <c r="F467" i="7"/>
  <c r="F481" i="7"/>
  <c r="F492" i="7"/>
  <c r="F448" i="7"/>
  <c r="F459" i="7"/>
  <c r="F473" i="7"/>
  <c r="F484" i="7"/>
  <c r="F450" i="7"/>
  <c r="F472" i="7"/>
  <c r="F491" i="7"/>
  <c r="F457" i="7"/>
  <c r="F475" i="7"/>
  <c r="F458" i="7"/>
  <c r="F480" i="7"/>
  <c r="F466" i="7"/>
  <c r="F443" i="7"/>
  <c r="F474" i="7"/>
  <c r="F444" i="7"/>
  <c r="F482" i="7"/>
  <c r="F464" i="7"/>
  <c r="F468" i="7"/>
  <c r="F483" i="7"/>
  <c r="F489" i="7"/>
  <c r="F449" i="7"/>
  <c r="F452" i="7"/>
  <c r="F460" i="7"/>
  <c r="F488" i="7"/>
  <c r="F76" i="59"/>
  <c r="P76" i="59" s="1"/>
  <c r="F84" i="59"/>
  <c r="P84" i="59" s="1"/>
  <c r="F92" i="59"/>
  <c r="P92" i="59" s="1"/>
  <c r="F100" i="59"/>
  <c r="P100" i="59" s="1"/>
  <c r="F108" i="59"/>
  <c r="P108" i="59" s="1"/>
  <c r="F116" i="59"/>
  <c r="P116" i="59" s="1"/>
  <c r="F70" i="59"/>
  <c r="F78" i="59"/>
  <c r="P78" i="59" s="1"/>
  <c r="F86" i="59"/>
  <c r="P86" i="59" s="1"/>
  <c r="F94" i="59"/>
  <c r="P94" i="59" s="1"/>
  <c r="F102" i="59"/>
  <c r="P102" i="59" s="1"/>
  <c r="F110" i="59"/>
  <c r="P110" i="59" s="1"/>
  <c r="F118" i="59"/>
  <c r="P118" i="59" s="1"/>
  <c r="F71" i="59"/>
  <c r="P71" i="59" s="1"/>
  <c r="F79" i="59"/>
  <c r="F87" i="59"/>
  <c r="P87" i="59" s="1"/>
  <c r="F95" i="59"/>
  <c r="P95" i="59" s="1"/>
  <c r="F103" i="59"/>
  <c r="P103" i="59" s="1"/>
  <c r="F111" i="59"/>
  <c r="P111" i="59" s="1"/>
  <c r="F119" i="59"/>
  <c r="P119" i="59" s="1"/>
  <c r="F81" i="59"/>
  <c r="P81" i="59" s="1"/>
  <c r="F93" i="59"/>
  <c r="P93" i="59" s="1"/>
  <c r="F106" i="59"/>
  <c r="F82" i="59"/>
  <c r="P82" i="59" s="1"/>
  <c r="F96" i="59"/>
  <c r="P96" i="59" s="1"/>
  <c r="F107" i="59"/>
  <c r="P107" i="59" s="1"/>
  <c r="F72" i="59"/>
  <c r="P72" i="59" s="1"/>
  <c r="F83" i="59"/>
  <c r="P83" i="59" s="1"/>
  <c r="F97" i="59"/>
  <c r="P97" i="59" s="1"/>
  <c r="F109" i="59"/>
  <c r="P109" i="59" s="1"/>
  <c r="F74" i="59"/>
  <c r="F88" i="59"/>
  <c r="P88" i="59" s="1"/>
  <c r="F99" i="59"/>
  <c r="P99" i="59" s="1"/>
  <c r="F113" i="59"/>
  <c r="P113" i="59" s="1"/>
  <c r="F75" i="59"/>
  <c r="P75" i="59" s="1"/>
  <c r="F89" i="59"/>
  <c r="P89" i="59" s="1"/>
  <c r="F101" i="59"/>
  <c r="P101" i="59" s="1"/>
  <c r="F114" i="59"/>
  <c r="P114" i="59" s="1"/>
  <c r="F80" i="59"/>
  <c r="F115" i="59"/>
  <c r="P115" i="59" s="1"/>
  <c r="F85" i="59"/>
  <c r="P85" i="59" s="1"/>
  <c r="F117" i="59"/>
  <c r="P117" i="59" s="1"/>
  <c r="F90" i="59"/>
  <c r="P90" i="59" s="1"/>
  <c r="F91" i="59"/>
  <c r="P91" i="59" s="1"/>
  <c r="F98" i="59"/>
  <c r="P98" i="59" s="1"/>
  <c r="F104" i="59"/>
  <c r="P104" i="59" s="1"/>
  <c r="F73" i="59"/>
  <c r="F105" i="59"/>
  <c r="P105" i="59" s="1"/>
  <c r="F77" i="59"/>
  <c r="P77" i="59" s="1"/>
  <c r="F112" i="59"/>
  <c r="P112" i="59" s="1"/>
  <c r="J50" i="51"/>
  <c r="AA99" i="42" s="1"/>
  <c r="F344" i="7"/>
  <c r="F352" i="7"/>
  <c r="F360" i="7"/>
  <c r="F368" i="7"/>
  <c r="F376" i="7"/>
  <c r="F384" i="7"/>
  <c r="F338" i="7"/>
  <c r="F346" i="7"/>
  <c r="F354" i="7"/>
  <c r="F362" i="7"/>
  <c r="F370" i="7"/>
  <c r="F378" i="7"/>
  <c r="F386" i="7"/>
  <c r="F345" i="7"/>
  <c r="F356" i="7"/>
  <c r="F366" i="7"/>
  <c r="F377" i="7"/>
  <c r="F337" i="7"/>
  <c r="F348" i="7"/>
  <c r="F358" i="7"/>
  <c r="F369" i="7"/>
  <c r="F380" i="7"/>
  <c r="F341" i="7"/>
  <c r="F351" i="7"/>
  <c r="F363" i="7"/>
  <c r="F373" i="7"/>
  <c r="F383" i="7"/>
  <c r="F343" i="7"/>
  <c r="F361" i="7"/>
  <c r="F379" i="7"/>
  <c r="F349" i="7"/>
  <c r="F365" i="7"/>
  <c r="F382" i="7"/>
  <c r="F350" i="7"/>
  <c r="F367" i="7"/>
  <c r="F385" i="7"/>
  <c r="F353" i="7"/>
  <c r="F375" i="7"/>
  <c r="F357" i="7"/>
  <c r="F387" i="7"/>
  <c r="F359" i="7"/>
  <c r="F364" i="7"/>
  <c r="F371" i="7"/>
  <c r="F372" i="7"/>
  <c r="F340" i="7"/>
  <c r="F381" i="7"/>
  <c r="F342" i="7"/>
  <c r="F347" i="7"/>
  <c r="F355" i="7"/>
  <c r="F374" i="7"/>
  <c r="F339" i="7"/>
  <c r="H52" i="51"/>
  <c r="Y106" i="42" s="1"/>
  <c r="E391" i="7"/>
  <c r="E399" i="7"/>
  <c r="E407" i="7"/>
  <c r="E415" i="7"/>
  <c r="E423" i="7"/>
  <c r="E431" i="7"/>
  <c r="E392" i="7"/>
  <c r="E400" i="7"/>
  <c r="E408" i="7"/>
  <c r="E416" i="7"/>
  <c r="E424" i="7"/>
  <c r="E432" i="7"/>
  <c r="E393" i="7"/>
  <c r="E401" i="7"/>
  <c r="E409" i="7"/>
  <c r="E417" i="7"/>
  <c r="E425" i="7"/>
  <c r="E433" i="7"/>
  <c r="E398" i="7"/>
  <c r="E412" i="7"/>
  <c r="E426" i="7"/>
  <c r="E437" i="7"/>
  <c r="E389" i="7"/>
  <c r="E403" i="7"/>
  <c r="E414" i="7"/>
  <c r="E428" i="7"/>
  <c r="E388" i="7"/>
  <c r="E395" i="7"/>
  <c r="E406" i="7"/>
  <c r="E420" i="7"/>
  <c r="E434" i="7"/>
  <c r="E410" i="7"/>
  <c r="E429" i="7"/>
  <c r="E394" i="7"/>
  <c r="E413" i="7"/>
  <c r="E435" i="7"/>
  <c r="E396" i="7"/>
  <c r="E418" i="7"/>
  <c r="E436" i="7"/>
  <c r="E390" i="7"/>
  <c r="E422" i="7"/>
  <c r="E402" i="7"/>
  <c r="E430" i="7"/>
  <c r="E404" i="7"/>
  <c r="E438" i="7"/>
  <c r="E419" i="7"/>
  <c r="E421" i="7"/>
  <c r="E427" i="7"/>
  <c r="E397" i="7"/>
  <c r="E405" i="7"/>
  <c r="E411" i="7"/>
  <c r="U133" i="42"/>
  <c r="J47" i="51"/>
  <c r="AA72" i="42" s="1"/>
  <c r="F87" i="7"/>
  <c r="F95" i="7"/>
  <c r="F103" i="7"/>
  <c r="F111" i="7"/>
  <c r="F119" i="7"/>
  <c r="F127" i="7"/>
  <c r="F89" i="7"/>
  <c r="F97" i="7"/>
  <c r="F105" i="7"/>
  <c r="F113" i="7"/>
  <c r="F121" i="7"/>
  <c r="F129" i="7"/>
  <c r="F90" i="7"/>
  <c r="F98" i="7"/>
  <c r="F106" i="7"/>
  <c r="F114" i="7"/>
  <c r="F122" i="7"/>
  <c r="F130" i="7"/>
  <c r="F91" i="7"/>
  <c r="F102" i="7"/>
  <c r="F116" i="7"/>
  <c r="F128" i="7"/>
  <c r="F93" i="7"/>
  <c r="F107" i="7"/>
  <c r="F118" i="7"/>
  <c r="F132" i="7"/>
  <c r="F83" i="7"/>
  <c r="F94" i="7"/>
  <c r="F108" i="7"/>
  <c r="F120" i="7"/>
  <c r="F82" i="7"/>
  <c r="F100" i="7"/>
  <c r="F123" i="7"/>
  <c r="F84" i="7"/>
  <c r="F101" i="7"/>
  <c r="F124" i="7"/>
  <c r="F85" i="7"/>
  <c r="F104" i="7"/>
  <c r="F125" i="7"/>
  <c r="F88" i="7"/>
  <c r="F110" i="7"/>
  <c r="F131" i="7"/>
  <c r="F92" i="7"/>
  <c r="F112" i="7"/>
  <c r="F86" i="7"/>
  <c r="F96" i="7"/>
  <c r="F99" i="7"/>
  <c r="F109" i="7"/>
  <c r="F115" i="7"/>
  <c r="F117" i="7"/>
  <c r="F126" i="7"/>
  <c r="T113" i="42"/>
  <c r="H47" i="51"/>
  <c r="Y73" i="42" s="1"/>
  <c r="E84" i="7"/>
  <c r="E92" i="7"/>
  <c r="E100" i="7"/>
  <c r="E108" i="7"/>
  <c r="E116" i="7"/>
  <c r="E124" i="7"/>
  <c r="E132" i="7"/>
  <c r="E86" i="7"/>
  <c r="E94" i="7"/>
  <c r="E102" i="7"/>
  <c r="E110" i="7"/>
  <c r="E87" i="7"/>
  <c r="E95" i="7"/>
  <c r="E103" i="7"/>
  <c r="E111" i="7"/>
  <c r="E119" i="7"/>
  <c r="E127" i="7"/>
  <c r="E90" i="7"/>
  <c r="E104" i="7"/>
  <c r="E115" i="7"/>
  <c r="E126" i="7"/>
  <c r="E93" i="7"/>
  <c r="E106" i="7"/>
  <c r="E118" i="7"/>
  <c r="E129" i="7"/>
  <c r="E96" i="7"/>
  <c r="E107" i="7"/>
  <c r="E120" i="7"/>
  <c r="E130" i="7"/>
  <c r="E89" i="7"/>
  <c r="E112" i="7"/>
  <c r="E128" i="7"/>
  <c r="E91" i="7"/>
  <c r="E113" i="7"/>
  <c r="E131" i="7"/>
  <c r="E97" i="7"/>
  <c r="E114" i="7"/>
  <c r="E82" i="7"/>
  <c r="E99" i="7"/>
  <c r="E121" i="7"/>
  <c r="E83" i="7"/>
  <c r="E101" i="7"/>
  <c r="E122" i="7"/>
  <c r="E88" i="7"/>
  <c r="E98" i="7"/>
  <c r="E105" i="7"/>
  <c r="E109" i="7"/>
  <c r="E117" i="7"/>
  <c r="E123" i="7"/>
  <c r="E125" i="7"/>
  <c r="E85" i="7"/>
  <c r="H46" i="51"/>
  <c r="Y89" i="42" s="1"/>
  <c r="E287" i="7"/>
  <c r="E295" i="7"/>
  <c r="E303" i="7"/>
  <c r="E311" i="7"/>
  <c r="E319" i="7"/>
  <c r="E327" i="7"/>
  <c r="E335" i="7"/>
  <c r="E289" i="7"/>
  <c r="E297" i="7"/>
  <c r="E305" i="7"/>
  <c r="E313" i="7"/>
  <c r="E321" i="7"/>
  <c r="E329" i="7"/>
  <c r="E292" i="7"/>
  <c r="E300" i="7"/>
  <c r="E308" i="7"/>
  <c r="E316" i="7"/>
  <c r="E324" i="7"/>
  <c r="E332" i="7"/>
  <c r="E299" i="7"/>
  <c r="E312" i="7"/>
  <c r="E325" i="7"/>
  <c r="E286" i="7"/>
  <c r="E290" i="7"/>
  <c r="E302" i="7"/>
  <c r="E315" i="7"/>
  <c r="E328" i="7"/>
  <c r="E291" i="7"/>
  <c r="E304" i="7"/>
  <c r="E317" i="7"/>
  <c r="E330" i="7"/>
  <c r="E307" i="7"/>
  <c r="E326" i="7"/>
  <c r="E293" i="7"/>
  <c r="E310" i="7"/>
  <c r="E333" i="7"/>
  <c r="E294" i="7"/>
  <c r="E314" i="7"/>
  <c r="E334" i="7"/>
  <c r="E301" i="7"/>
  <c r="E336" i="7"/>
  <c r="E306" i="7"/>
  <c r="E309" i="7"/>
  <c r="E320" i="7"/>
  <c r="E288" i="7"/>
  <c r="E322" i="7"/>
  <c r="E331" i="7"/>
  <c r="E296" i="7"/>
  <c r="E298" i="7"/>
  <c r="E318" i="7"/>
  <c r="E323" i="7"/>
  <c r="H50" i="51"/>
  <c r="Y101" i="42" s="1"/>
  <c r="E341" i="7"/>
  <c r="E349" i="7"/>
  <c r="E357" i="7"/>
  <c r="E343" i="7"/>
  <c r="E351" i="7"/>
  <c r="E359" i="7"/>
  <c r="E347" i="7"/>
  <c r="E358" i="7"/>
  <c r="E367" i="7"/>
  <c r="E375" i="7"/>
  <c r="E383" i="7"/>
  <c r="E339" i="7"/>
  <c r="E350" i="7"/>
  <c r="E361" i="7"/>
  <c r="E369" i="7"/>
  <c r="E377" i="7"/>
  <c r="E385" i="7"/>
  <c r="E344" i="7"/>
  <c r="E354" i="7"/>
  <c r="E364" i="7"/>
  <c r="E372" i="7"/>
  <c r="E380" i="7"/>
  <c r="E337" i="7"/>
  <c r="E345" i="7"/>
  <c r="E362" i="7"/>
  <c r="E374" i="7"/>
  <c r="E387" i="7"/>
  <c r="E348" i="7"/>
  <c r="E365" i="7"/>
  <c r="E378" i="7"/>
  <c r="E352" i="7"/>
  <c r="E366" i="7"/>
  <c r="E379" i="7"/>
  <c r="E355" i="7"/>
  <c r="E376" i="7"/>
  <c r="E360" i="7"/>
  <c r="E382" i="7"/>
  <c r="E338" i="7"/>
  <c r="E363" i="7"/>
  <c r="E384" i="7"/>
  <c r="E353" i="7"/>
  <c r="E356" i="7"/>
  <c r="E368" i="7"/>
  <c r="E371" i="7"/>
  <c r="E340" i="7"/>
  <c r="E373" i="7"/>
  <c r="E342" i="7"/>
  <c r="E346" i="7"/>
  <c r="E370" i="7"/>
  <c r="E381" i="7"/>
  <c r="E386" i="7"/>
  <c r="J52" i="51"/>
  <c r="AA104" i="42" s="1"/>
  <c r="F393" i="7"/>
  <c r="F401" i="7"/>
  <c r="F409" i="7"/>
  <c r="F417" i="7"/>
  <c r="F425" i="7"/>
  <c r="F433" i="7"/>
  <c r="F388" i="7"/>
  <c r="F394" i="7"/>
  <c r="F402" i="7"/>
  <c r="F410" i="7"/>
  <c r="F418" i="7"/>
  <c r="F426" i="7"/>
  <c r="F434" i="7"/>
  <c r="F395" i="7"/>
  <c r="F403" i="7"/>
  <c r="F411" i="7"/>
  <c r="F419" i="7"/>
  <c r="F427" i="7"/>
  <c r="F435" i="7"/>
  <c r="F398" i="7"/>
  <c r="F412" i="7"/>
  <c r="F423" i="7"/>
  <c r="F437" i="7"/>
  <c r="F389" i="7"/>
  <c r="F400" i="7"/>
  <c r="F414" i="7"/>
  <c r="F428" i="7"/>
  <c r="F392" i="7"/>
  <c r="F406" i="7"/>
  <c r="F420" i="7"/>
  <c r="F431" i="7"/>
  <c r="F397" i="7"/>
  <c r="F416" i="7"/>
  <c r="F438" i="7"/>
  <c r="F404" i="7"/>
  <c r="F422" i="7"/>
  <c r="F405" i="7"/>
  <c r="F424" i="7"/>
  <c r="F408" i="7"/>
  <c r="F415" i="7"/>
  <c r="F390" i="7"/>
  <c r="F421" i="7"/>
  <c r="F413" i="7"/>
  <c r="F429" i="7"/>
  <c r="F430" i="7"/>
  <c r="F391" i="7"/>
  <c r="F436" i="7"/>
  <c r="F396" i="7"/>
  <c r="F399" i="7"/>
  <c r="F407" i="7"/>
  <c r="F432" i="7"/>
  <c r="Z91" i="42"/>
  <c r="Z90" i="42"/>
  <c r="Z89" i="42"/>
  <c r="S104" i="42"/>
  <c r="S106" i="42"/>
  <c r="S105" i="42"/>
  <c r="T127" i="42"/>
  <c r="T126" i="42"/>
  <c r="T128" i="42"/>
  <c r="V91" i="42"/>
  <c r="V90" i="42"/>
  <c r="V89" i="42"/>
  <c r="T118" i="42"/>
  <c r="T117" i="42"/>
  <c r="T116" i="42"/>
  <c r="V100" i="42"/>
  <c r="T123" i="42"/>
  <c r="T122" i="42"/>
  <c r="T121" i="42"/>
  <c r="J14" i="59"/>
  <c r="G14" i="59"/>
  <c r="G18" i="52"/>
  <c r="I13" i="59"/>
  <c r="J13" i="59"/>
  <c r="G13" i="59"/>
  <c r="H13" i="59"/>
  <c r="K13" i="59"/>
  <c r="AC20" i="7"/>
  <c r="I31" i="54" s="1"/>
  <c r="I48" i="52" s="1"/>
  <c r="Y20" i="7"/>
  <c r="E31" i="54" s="1"/>
  <c r="E48" i="52" s="1"/>
  <c r="AB20" i="7"/>
  <c r="W20" i="7"/>
  <c r="C31" i="54" s="1"/>
  <c r="C48" i="52" s="1"/>
  <c r="AA20" i="7"/>
  <c r="G31" i="54" s="1"/>
  <c r="G48" i="52" s="1"/>
  <c r="Z20" i="7"/>
  <c r="F31" i="54" s="1"/>
  <c r="F48" i="52" s="1"/>
  <c r="X20" i="7"/>
  <c r="D31" i="54" s="1"/>
  <c r="D48" i="52" s="1"/>
  <c r="E159" i="43"/>
  <c r="D159" i="43"/>
  <c r="D139" i="43"/>
  <c r="F220" i="43"/>
  <c r="G192" i="43"/>
  <c r="D150" i="43"/>
  <c r="D130" i="43"/>
  <c r="G140" i="43"/>
  <c r="G91" i="43"/>
  <c r="D138" i="43"/>
  <c r="D152" i="43"/>
  <c r="D217" i="43"/>
  <c r="D200" i="43"/>
  <c r="D191" i="43"/>
  <c r="D230" i="43"/>
  <c r="D226" i="43"/>
  <c r="D194" i="43"/>
  <c r="D189" i="43"/>
  <c r="D203" i="43"/>
  <c r="C157" i="58"/>
  <c r="E157" i="58" s="1"/>
  <c r="D210" i="43"/>
  <c r="D182" i="43"/>
  <c r="D229" i="43"/>
  <c r="D220" i="43"/>
  <c r="D201" i="43"/>
  <c r="D184" i="43"/>
  <c r="D209" i="43"/>
  <c r="D211" i="43"/>
  <c r="D222" i="43"/>
  <c r="D213" i="43"/>
  <c r="D212" i="43"/>
  <c r="D193" i="43"/>
  <c r="D180" i="43"/>
  <c r="D228" i="43"/>
  <c r="D190" i="43"/>
  <c r="D202" i="43"/>
  <c r="D197" i="43"/>
  <c r="D204" i="43"/>
  <c r="D185" i="43"/>
  <c r="D223" i="43"/>
  <c r="D219" i="43"/>
  <c r="D183" i="43"/>
  <c r="D227" i="43"/>
  <c r="D218" i="43"/>
  <c r="D181" i="43"/>
  <c r="D196" i="43"/>
  <c r="D224" i="43"/>
  <c r="D215" i="43"/>
  <c r="D198" i="43"/>
  <c r="D206" i="43"/>
  <c r="D195" i="43"/>
  <c r="D221" i="43"/>
  <c r="D188" i="43"/>
  <c r="D216" i="43"/>
  <c r="D207" i="43"/>
  <c r="E34" i="51"/>
  <c r="D192" i="43"/>
  <c r="D187" i="43"/>
  <c r="D186" i="43"/>
  <c r="D214" i="43"/>
  <c r="D205" i="43"/>
  <c r="D225" i="43"/>
  <c r="D208" i="43"/>
  <c r="F485" i="43"/>
  <c r="P485" i="43" s="1"/>
  <c r="E134" i="43"/>
  <c r="F439" i="43"/>
  <c r="P439" i="43" s="1"/>
  <c r="F457" i="43"/>
  <c r="P457" i="43" s="1"/>
  <c r="F445" i="43"/>
  <c r="P445" i="43" s="1"/>
  <c r="F486" i="43"/>
  <c r="P486" i="43" s="1"/>
  <c r="F187" i="43"/>
  <c r="G176" i="43"/>
  <c r="F194" i="43"/>
  <c r="D30" i="43"/>
  <c r="N30" i="43" s="1"/>
  <c r="D47" i="43"/>
  <c r="N47" i="43" s="1"/>
  <c r="E83" i="43"/>
  <c r="E124" i="43"/>
  <c r="F217" i="43"/>
  <c r="E87" i="43"/>
  <c r="F215" i="43"/>
  <c r="E174" i="43"/>
  <c r="E176" i="43"/>
  <c r="E158" i="43"/>
  <c r="E144" i="43"/>
  <c r="E153" i="43"/>
  <c r="E136" i="43"/>
  <c r="E131" i="43"/>
  <c r="E129" i="43"/>
  <c r="E173" i="43"/>
  <c r="E171" i="43"/>
  <c r="E132" i="43"/>
  <c r="E165" i="43"/>
  <c r="E163" i="43"/>
  <c r="E154" i="43"/>
  <c r="E141" i="43"/>
  <c r="E161" i="43"/>
  <c r="E146" i="43"/>
  <c r="F192" i="43"/>
  <c r="E93" i="43"/>
  <c r="F111" i="43"/>
  <c r="B33" i="51"/>
  <c r="E123" i="43"/>
  <c r="G146" i="43"/>
  <c r="E106" i="43"/>
  <c r="F195" i="43"/>
  <c r="D27" i="43"/>
  <c r="N27" i="43" s="1"/>
  <c r="E97" i="43"/>
  <c r="C350" i="43"/>
  <c r="M350" i="43" s="1"/>
  <c r="C146" i="58"/>
  <c r="E146" i="58" s="1"/>
  <c r="C352" i="43"/>
  <c r="M352" i="43" s="1"/>
  <c r="C162" i="58"/>
  <c r="E162" i="58" s="1"/>
  <c r="C131" i="58"/>
  <c r="E131" i="58" s="1"/>
  <c r="C365" i="43"/>
  <c r="M365" i="43" s="1"/>
  <c r="C149" i="58"/>
  <c r="E149" i="58" s="1"/>
  <c r="C129" i="58"/>
  <c r="E129" i="58" s="1"/>
  <c r="C362" i="43"/>
  <c r="M362" i="43" s="1"/>
  <c r="C143" i="58"/>
  <c r="E143" i="58" s="1"/>
  <c r="C177" i="58"/>
  <c r="E177" i="58" s="1"/>
  <c r="C353" i="43"/>
  <c r="M353" i="43" s="1"/>
  <c r="C170" i="58"/>
  <c r="E170" i="58" s="1"/>
  <c r="C169" i="58"/>
  <c r="E169" i="58" s="1"/>
  <c r="C342" i="43"/>
  <c r="M342" i="43" s="1"/>
  <c r="C151" i="58"/>
  <c r="E151" i="58" s="1"/>
  <c r="C348" i="43"/>
  <c r="M348" i="43" s="1"/>
  <c r="C138" i="58"/>
  <c r="E138" i="58" s="1"/>
  <c r="F125" i="43"/>
  <c r="E172" i="43"/>
  <c r="E156" i="43"/>
  <c r="E142" i="43"/>
  <c r="E164" i="43"/>
  <c r="E138" i="43"/>
  <c r="E175" i="43"/>
  <c r="E157" i="43"/>
  <c r="F117" i="43"/>
  <c r="E155" i="43"/>
  <c r="E147" i="43"/>
  <c r="E169" i="43"/>
  <c r="E148" i="43"/>
  <c r="E130" i="43"/>
  <c r="E167" i="43"/>
  <c r="E149" i="43"/>
  <c r="F91" i="43"/>
  <c r="F78" i="43"/>
  <c r="E140" i="43"/>
  <c r="D33" i="51"/>
  <c r="E137" i="43"/>
  <c r="E178" i="43"/>
  <c r="E168" i="43"/>
  <c r="E151" i="43"/>
  <c r="E133" i="43"/>
  <c r="F120" i="43"/>
  <c r="E179" i="43"/>
  <c r="E177" i="43"/>
  <c r="E166" i="43"/>
  <c r="E170" i="43"/>
  <c r="E160" i="43"/>
  <c r="E143" i="43"/>
  <c r="F110" i="43"/>
  <c r="E139" i="43"/>
  <c r="E145" i="43"/>
  <c r="E150" i="43"/>
  <c r="E162" i="43"/>
  <c r="E152" i="43"/>
  <c r="G32" i="51"/>
  <c r="F109" i="43"/>
  <c r="F95" i="43"/>
  <c r="F83" i="43"/>
  <c r="F121" i="43"/>
  <c r="F112" i="43"/>
  <c r="F102" i="43"/>
  <c r="F122" i="43"/>
  <c r="F124" i="43"/>
  <c r="F127" i="43"/>
  <c r="F93" i="43"/>
  <c r="F114" i="43"/>
  <c r="F105" i="43"/>
  <c r="F96" i="43"/>
  <c r="F86" i="43"/>
  <c r="F116" i="43"/>
  <c r="F103" i="43"/>
  <c r="F108" i="43"/>
  <c r="F123" i="43"/>
  <c r="F106" i="43"/>
  <c r="F97" i="43"/>
  <c r="F88" i="43"/>
  <c r="C74" i="58"/>
  <c r="E74" i="58" s="1"/>
  <c r="F87" i="43"/>
  <c r="F94" i="43"/>
  <c r="F101" i="43"/>
  <c r="F85" i="43"/>
  <c r="F115" i="43"/>
  <c r="F98" i="43"/>
  <c r="F89" i="43"/>
  <c r="F80" i="43"/>
  <c r="F76" i="43"/>
  <c r="P76" i="43" s="1"/>
  <c r="F113" i="43"/>
  <c r="F92" i="43"/>
  <c r="F119" i="43"/>
  <c r="F107" i="43"/>
  <c r="F90" i="43"/>
  <c r="F81" i="43"/>
  <c r="F126" i="43"/>
  <c r="F30" i="43"/>
  <c r="P30" i="43" s="1"/>
  <c r="F84" i="43"/>
  <c r="F104" i="43"/>
  <c r="F79" i="43"/>
  <c r="F100" i="43"/>
  <c r="F99" i="43"/>
  <c r="F82" i="43"/>
  <c r="F128" i="43"/>
  <c r="AC7" i="7"/>
  <c r="Z66" i="42" s="1"/>
  <c r="Z7" i="7"/>
  <c r="W66" i="42" s="1"/>
  <c r="Y7" i="7"/>
  <c r="W7" i="7"/>
  <c r="AB7" i="7"/>
  <c r="Y66" i="42" s="1"/>
  <c r="V7" i="7"/>
  <c r="S66" i="42" s="1"/>
  <c r="AA7" i="7"/>
  <c r="X66" i="42" s="1"/>
  <c r="X7" i="7"/>
  <c r="U66" i="42" s="1"/>
  <c r="AD7" i="7"/>
  <c r="AA66" i="42" s="1"/>
  <c r="F67" i="43"/>
  <c r="P67" i="43" s="1"/>
  <c r="G69" i="43"/>
  <c r="Q69" i="43" s="1"/>
  <c r="C77" i="42"/>
  <c r="C15" i="42"/>
  <c r="C37" i="42"/>
  <c r="C101" i="42" s="1"/>
  <c r="C100" i="42"/>
  <c r="F77" i="43"/>
  <c r="P77" i="43" s="1"/>
  <c r="E28" i="42"/>
  <c r="G93" i="42"/>
  <c r="G67" i="42"/>
  <c r="E13" i="42"/>
  <c r="D31" i="42"/>
  <c r="D89" i="42"/>
  <c r="D71" i="42"/>
  <c r="D10" i="42"/>
  <c r="D9" i="42"/>
  <c r="D66" i="42"/>
  <c r="F60" i="43"/>
  <c r="P60" i="43" s="1"/>
  <c r="G82" i="42"/>
  <c r="E16" i="42"/>
  <c r="C95" i="42"/>
  <c r="C36" i="42"/>
  <c r="C96" i="42" s="1"/>
  <c r="E10" i="42"/>
  <c r="G71" i="42"/>
  <c r="D32" i="42"/>
  <c r="D94" i="42"/>
  <c r="AC22" i="7"/>
  <c r="I33" i="54" s="1"/>
  <c r="I50" i="52" s="1"/>
  <c r="Z22" i="7"/>
  <c r="F33" i="54" s="1"/>
  <c r="F50" i="52" s="1"/>
  <c r="W22" i="7"/>
  <c r="C33" i="54" s="1"/>
  <c r="C50" i="52" s="1"/>
  <c r="Y22" i="7"/>
  <c r="E33" i="54" s="1"/>
  <c r="E50" i="52" s="1"/>
  <c r="X22" i="7"/>
  <c r="D33" i="54" s="1"/>
  <c r="D50" i="52" s="1"/>
  <c r="AA22" i="7"/>
  <c r="G33" i="54" s="1"/>
  <c r="G50" i="52" s="1"/>
  <c r="AD22" i="7"/>
  <c r="AB22" i="7"/>
  <c r="V22" i="7"/>
  <c r="B33" i="54" s="1"/>
  <c r="B50" i="52" s="1"/>
  <c r="D34" i="42"/>
  <c r="D104" i="42"/>
  <c r="AD10" i="7"/>
  <c r="AA93" i="42" s="1"/>
  <c r="Z10" i="7"/>
  <c r="V10" i="7"/>
  <c r="AC10" i="7"/>
  <c r="Y10" i="7"/>
  <c r="AB10" i="7"/>
  <c r="Y93" i="42" s="1"/>
  <c r="X10" i="7"/>
  <c r="AA10" i="7"/>
  <c r="W10" i="7"/>
  <c r="F43" i="43"/>
  <c r="P43" i="43" s="1"/>
  <c r="G89" i="42"/>
  <c r="C16" i="42"/>
  <c r="C82" i="42"/>
  <c r="X24" i="7"/>
  <c r="D35" i="54" s="1"/>
  <c r="D52" i="52" s="1"/>
  <c r="AC24" i="7"/>
  <c r="I35" i="54" s="1"/>
  <c r="I52" i="52" s="1"/>
  <c r="V24" i="7"/>
  <c r="B35" i="54" s="1"/>
  <c r="B52" i="52" s="1"/>
  <c r="AB24" i="7"/>
  <c r="AA24" i="7"/>
  <c r="G35" i="54" s="1"/>
  <c r="G52" i="52" s="1"/>
  <c r="Z24" i="7"/>
  <c r="F35" i="54" s="1"/>
  <c r="F52" i="52" s="1"/>
  <c r="Y24" i="7"/>
  <c r="E35" i="54" s="1"/>
  <c r="E52" i="52" s="1"/>
  <c r="W24" i="7"/>
  <c r="C35" i="54" s="1"/>
  <c r="C52" i="52" s="1"/>
  <c r="AD24" i="7"/>
  <c r="D33" i="42"/>
  <c r="D99" i="42"/>
  <c r="C105" i="42"/>
  <c r="C38" i="42"/>
  <c r="C106" i="42" s="1"/>
  <c r="G77" i="42"/>
  <c r="E15" i="42"/>
  <c r="C14" i="42"/>
  <c r="C72" i="42"/>
  <c r="AB13" i="7"/>
  <c r="Y81" i="42" s="1"/>
  <c r="AA13" i="7"/>
  <c r="AD13" i="7"/>
  <c r="AA81" i="42" s="1"/>
  <c r="W13" i="7"/>
  <c r="Z13" i="7"/>
  <c r="V13" i="7"/>
  <c r="Y13" i="7"/>
  <c r="AC13" i="7"/>
  <c r="X13" i="7"/>
  <c r="Y11" i="7"/>
  <c r="X11" i="7"/>
  <c r="AD11" i="7"/>
  <c r="AA76" i="42" s="1"/>
  <c r="W11" i="7"/>
  <c r="AC11" i="7"/>
  <c r="Z11" i="7"/>
  <c r="AB11" i="7"/>
  <c r="Y76" i="42" s="1"/>
  <c r="V11" i="7"/>
  <c r="AA11" i="7"/>
  <c r="G99" i="42"/>
  <c r="E33" i="42"/>
  <c r="X26" i="7"/>
  <c r="D37" i="54" s="1"/>
  <c r="D54" i="52" s="1"/>
  <c r="AC26" i="7"/>
  <c r="I37" i="54" s="1"/>
  <c r="I54" i="52" s="1"/>
  <c r="Y26" i="7"/>
  <c r="E37" i="54" s="1"/>
  <c r="E54" i="52" s="1"/>
  <c r="Z26" i="7"/>
  <c r="F37" i="54" s="1"/>
  <c r="F54" i="52" s="1"/>
  <c r="W26" i="7"/>
  <c r="C37" i="54" s="1"/>
  <c r="C54" i="52" s="1"/>
  <c r="V26" i="7"/>
  <c r="B37" i="54" s="1"/>
  <c r="B54" i="52" s="1"/>
  <c r="AB26" i="7"/>
  <c r="AD26" i="7"/>
  <c r="AA26" i="7"/>
  <c r="G37" i="54" s="1"/>
  <c r="G54" i="52" s="1"/>
  <c r="G104" i="42"/>
  <c r="E34" i="42"/>
  <c r="D12" i="42"/>
  <c r="D81" i="42"/>
  <c r="D76" i="42"/>
  <c r="D11" i="42"/>
  <c r="G66" i="43"/>
  <c r="Q66" i="43" s="1"/>
  <c r="C17" i="42"/>
  <c r="C69" i="42" s="1"/>
  <c r="C68" i="42"/>
  <c r="C206" i="58"/>
  <c r="E206" i="58" s="1"/>
  <c r="C200" i="58"/>
  <c r="E200" i="58" s="1"/>
  <c r="C197" i="58"/>
  <c r="E197" i="58" s="1"/>
  <c r="C205" i="58"/>
  <c r="E205" i="58" s="1"/>
  <c r="C207" i="58"/>
  <c r="E207" i="58" s="1"/>
  <c r="C218" i="58"/>
  <c r="E218" i="58" s="1"/>
  <c r="C204" i="58"/>
  <c r="E204" i="58" s="1"/>
  <c r="C155" i="58"/>
  <c r="E155" i="58" s="1"/>
  <c r="C192" i="58"/>
  <c r="E192" i="58" s="1"/>
  <c r="C182" i="58"/>
  <c r="E182" i="58" s="1"/>
  <c r="C199" i="58"/>
  <c r="E199" i="58" s="1"/>
  <c r="B41" i="51"/>
  <c r="C230" i="58"/>
  <c r="E230" i="58" s="1"/>
  <c r="C228" i="58"/>
  <c r="E228" i="58" s="1"/>
  <c r="C224" i="58"/>
  <c r="E224" i="58" s="1"/>
  <c r="C184" i="58"/>
  <c r="E184" i="58" s="1"/>
  <c r="C202" i="58"/>
  <c r="E202" i="58" s="1"/>
  <c r="C191" i="58"/>
  <c r="E191" i="58" s="1"/>
  <c r="C134" i="58"/>
  <c r="E134" i="58" s="1"/>
  <c r="C175" i="58"/>
  <c r="E175" i="58" s="1"/>
  <c r="C179" i="58"/>
  <c r="E179" i="58" s="1"/>
  <c r="C135" i="58"/>
  <c r="E135" i="58" s="1"/>
  <c r="C172" i="58"/>
  <c r="E172" i="58" s="1"/>
  <c r="C161" i="58"/>
  <c r="E161" i="58" s="1"/>
  <c r="C221" i="58"/>
  <c r="E221" i="58" s="1"/>
  <c r="C217" i="58"/>
  <c r="E217" i="58" s="1"/>
  <c r="C213" i="58"/>
  <c r="E213" i="58" s="1"/>
  <c r="C209" i="58"/>
  <c r="E209" i="58" s="1"/>
  <c r="C222" i="58"/>
  <c r="E222" i="58" s="1"/>
  <c r="C194" i="58"/>
  <c r="E194" i="58" s="1"/>
  <c r="C183" i="58"/>
  <c r="E183" i="58" s="1"/>
  <c r="C159" i="58"/>
  <c r="E159" i="58" s="1"/>
  <c r="C160" i="58"/>
  <c r="E160" i="58" s="1"/>
  <c r="C141" i="58"/>
  <c r="E141" i="58" s="1"/>
  <c r="C165" i="58"/>
  <c r="E165" i="58" s="1"/>
  <c r="B40" i="51"/>
  <c r="C164" i="58"/>
  <c r="E164" i="58" s="1"/>
  <c r="C153" i="58"/>
  <c r="E153" i="58" s="1"/>
  <c r="F387" i="58"/>
  <c r="K25" i="54" s="1"/>
  <c r="C219" i="58"/>
  <c r="E219" i="58" s="1"/>
  <c r="C203" i="58"/>
  <c r="E203" i="58" s="1"/>
  <c r="C198" i="58"/>
  <c r="E198" i="58" s="1"/>
  <c r="C196" i="58"/>
  <c r="E196" i="58" s="1"/>
  <c r="C212" i="58"/>
  <c r="E212" i="58" s="1"/>
  <c r="C186" i="58"/>
  <c r="E186" i="58" s="1"/>
  <c r="C144" i="58"/>
  <c r="E144" i="58" s="1"/>
  <c r="C147" i="58"/>
  <c r="E147" i="58" s="1"/>
  <c r="C168" i="58"/>
  <c r="E168" i="58" s="1"/>
  <c r="C150" i="58"/>
  <c r="E150" i="58" s="1"/>
  <c r="C174" i="58"/>
  <c r="E174" i="58" s="1"/>
  <c r="C156" i="58"/>
  <c r="E156" i="58" s="1"/>
  <c r="C145" i="58"/>
  <c r="E145" i="58" s="1"/>
  <c r="C210" i="58"/>
  <c r="E210" i="58" s="1"/>
  <c r="C188" i="58"/>
  <c r="E188" i="58" s="1"/>
  <c r="C201" i="58"/>
  <c r="E201" i="58" s="1"/>
  <c r="C130" i="58"/>
  <c r="E130" i="58" s="1"/>
  <c r="C133" i="58"/>
  <c r="E133" i="58" s="1"/>
  <c r="C154" i="58"/>
  <c r="E154" i="58" s="1"/>
  <c r="C136" i="58"/>
  <c r="E136" i="58" s="1"/>
  <c r="C148" i="58"/>
  <c r="E148" i="58" s="1"/>
  <c r="C137" i="58"/>
  <c r="E137" i="58" s="1"/>
  <c r="C189" i="58"/>
  <c r="E189" i="58" s="1"/>
  <c r="C187" i="58"/>
  <c r="E187" i="58" s="1"/>
  <c r="C195" i="58"/>
  <c r="E195" i="58" s="1"/>
  <c r="C208" i="58"/>
  <c r="E208" i="58" s="1"/>
  <c r="C185" i="58"/>
  <c r="E185" i="58" s="1"/>
  <c r="C181" i="58"/>
  <c r="E181" i="58" s="1"/>
  <c r="C180" i="58"/>
  <c r="E180" i="58" s="1"/>
  <c r="C163" i="58"/>
  <c r="E163" i="58" s="1"/>
  <c r="C193" i="58"/>
  <c r="E193" i="58" s="1"/>
  <c r="C229" i="58"/>
  <c r="E229" i="58" s="1"/>
  <c r="C225" i="58"/>
  <c r="E225" i="58" s="1"/>
  <c r="C227" i="58"/>
  <c r="E227" i="58" s="1"/>
  <c r="C190" i="58"/>
  <c r="E190" i="58" s="1"/>
  <c r="C223" i="58"/>
  <c r="E223" i="58" s="1"/>
  <c r="C176" i="58"/>
  <c r="E176" i="58" s="1"/>
  <c r="C171" i="58"/>
  <c r="E171" i="58" s="1"/>
  <c r="C139" i="58"/>
  <c r="E139" i="58" s="1"/>
  <c r="C178" i="58"/>
  <c r="E178" i="58" s="1"/>
  <c r="C152" i="58"/>
  <c r="E152" i="58" s="1"/>
  <c r="C140" i="58"/>
  <c r="E140" i="58" s="1"/>
  <c r="C220" i="58"/>
  <c r="E220" i="58" s="1"/>
  <c r="C214" i="58"/>
  <c r="E214" i="58" s="1"/>
  <c r="C211" i="58"/>
  <c r="E211" i="58" s="1"/>
  <c r="C216" i="58"/>
  <c r="E216" i="58" s="1"/>
  <c r="C226" i="58"/>
  <c r="E226" i="58" s="1"/>
  <c r="C173" i="58"/>
  <c r="E173" i="58" s="1"/>
  <c r="C158" i="58"/>
  <c r="E158" i="58" s="1"/>
  <c r="C166" i="58"/>
  <c r="E166" i="58" s="1"/>
  <c r="C167" i="58"/>
  <c r="E167" i="58" s="1"/>
  <c r="C142" i="58"/>
  <c r="E142" i="58" s="1"/>
  <c r="C56" i="58"/>
  <c r="E56" i="58" s="1"/>
  <c r="F438" i="58"/>
  <c r="K26" i="54" s="1"/>
  <c r="F489" i="58"/>
  <c r="K27" i="54" s="1"/>
  <c r="F336" i="58"/>
  <c r="K24" i="54" s="1"/>
  <c r="C42" i="58"/>
  <c r="E42" i="58" s="1"/>
  <c r="C31" i="58"/>
  <c r="E31" i="58" s="1"/>
  <c r="C49" i="58"/>
  <c r="E49" i="58" s="1"/>
  <c r="C52" i="58"/>
  <c r="E52" i="58" s="1"/>
  <c r="C37" i="58"/>
  <c r="E37" i="58" s="1"/>
  <c r="G98" i="43"/>
  <c r="G218" i="43"/>
  <c r="G124" i="43"/>
  <c r="G220" i="43"/>
  <c r="G186" i="43"/>
  <c r="G182" i="43"/>
  <c r="G78" i="43"/>
  <c r="G185" i="43"/>
  <c r="G96" i="43"/>
  <c r="G211" i="43"/>
  <c r="G125" i="43"/>
  <c r="G34" i="51"/>
  <c r="F188" i="43"/>
  <c r="F204" i="43"/>
  <c r="F182" i="43"/>
  <c r="F211" i="43"/>
  <c r="F213" i="43"/>
  <c r="F186" i="43"/>
  <c r="C490" i="43"/>
  <c r="M490" i="43" s="1"/>
  <c r="F45" i="43"/>
  <c r="P45" i="43" s="1"/>
  <c r="F56" i="43"/>
  <c r="P56" i="43" s="1"/>
  <c r="F49" i="43"/>
  <c r="P49" i="43" s="1"/>
  <c r="F65" i="43"/>
  <c r="P65" i="43" s="1"/>
  <c r="F32" i="43"/>
  <c r="P32" i="43" s="1"/>
  <c r="F74" i="43"/>
  <c r="P74" i="43" s="1"/>
  <c r="G64" i="43"/>
  <c r="Q64" i="43" s="1"/>
  <c r="C533" i="43"/>
  <c r="M533" i="43" s="1"/>
  <c r="F224" i="43"/>
  <c r="F216" i="43"/>
  <c r="F193" i="43"/>
  <c r="F229" i="43"/>
  <c r="F200" i="43"/>
  <c r="F205" i="43"/>
  <c r="C508" i="43"/>
  <c r="M508" i="43" s="1"/>
  <c r="F63" i="43"/>
  <c r="P63" i="43" s="1"/>
  <c r="F35" i="43"/>
  <c r="P35" i="43" s="1"/>
  <c r="F39" i="43"/>
  <c r="P39" i="43" s="1"/>
  <c r="F55" i="43"/>
  <c r="P55" i="43" s="1"/>
  <c r="F27" i="43"/>
  <c r="P27" i="43" s="1"/>
  <c r="F66" i="43"/>
  <c r="P66" i="43" s="1"/>
  <c r="G36" i="43"/>
  <c r="Q36" i="43" s="1"/>
  <c r="C501" i="43"/>
  <c r="M501" i="43" s="1"/>
  <c r="F219" i="43"/>
  <c r="F185" i="43"/>
  <c r="F183" i="43"/>
  <c r="F221" i="43"/>
  <c r="F190" i="43"/>
  <c r="F197" i="43"/>
  <c r="F72" i="43"/>
  <c r="P72" i="43" s="1"/>
  <c r="F41" i="43"/>
  <c r="P41" i="43" s="1"/>
  <c r="G31" i="51"/>
  <c r="F28" i="43"/>
  <c r="P28" i="43" s="1"/>
  <c r="F44" i="43"/>
  <c r="P44" i="43" s="1"/>
  <c r="F70" i="43"/>
  <c r="P70" i="43" s="1"/>
  <c r="F58" i="43"/>
  <c r="P58" i="43" s="1"/>
  <c r="G67" i="43"/>
  <c r="Q67" i="43" s="1"/>
  <c r="F227" i="43"/>
  <c r="F209" i="43"/>
  <c r="F230" i="43"/>
  <c r="F212" i="43"/>
  <c r="F226" i="43"/>
  <c r="F189" i="43"/>
  <c r="C503" i="43"/>
  <c r="M503" i="43" s="1"/>
  <c r="F51" i="43"/>
  <c r="P51" i="43" s="1"/>
  <c r="F61" i="43"/>
  <c r="P61" i="43" s="1"/>
  <c r="F73" i="43"/>
  <c r="P73" i="43" s="1"/>
  <c r="F69" i="43"/>
  <c r="P69" i="43" s="1"/>
  <c r="F33" i="43"/>
  <c r="P33" i="43" s="1"/>
  <c r="F62" i="43"/>
  <c r="P62" i="43" s="1"/>
  <c r="F50" i="43"/>
  <c r="P50" i="43" s="1"/>
  <c r="G52" i="43"/>
  <c r="Q52" i="43" s="1"/>
  <c r="F206" i="43"/>
  <c r="F184" i="43"/>
  <c r="F222" i="43"/>
  <c r="F201" i="43"/>
  <c r="F218" i="43"/>
  <c r="F181" i="43"/>
  <c r="F29" i="43"/>
  <c r="P29" i="43" s="1"/>
  <c r="F40" i="43"/>
  <c r="P40" i="43" s="1"/>
  <c r="F52" i="43"/>
  <c r="P52" i="43" s="1"/>
  <c r="F59" i="43"/>
  <c r="P59" i="43" s="1"/>
  <c r="F75" i="43"/>
  <c r="P75" i="43" s="1"/>
  <c r="F54" i="43"/>
  <c r="P54" i="43" s="1"/>
  <c r="F42" i="43"/>
  <c r="P42" i="43" s="1"/>
  <c r="G59" i="43"/>
  <c r="Q59" i="43" s="1"/>
  <c r="G31" i="43"/>
  <c r="Q31" i="43" s="1"/>
  <c r="C516" i="43"/>
  <c r="M516" i="43" s="1"/>
  <c r="F196" i="43"/>
  <c r="F225" i="43"/>
  <c r="F180" i="43"/>
  <c r="F214" i="43"/>
  <c r="F191" i="43"/>
  <c r="F208" i="43"/>
  <c r="F210" i="43"/>
  <c r="F68" i="43"/>
  <c r="P68" i="43" s="1"/>
  <c r="F57" i="43"/>
  <c r="P57" i="43" s="1"/>
  <c r="F31" i="43"/>
  <c r="P31" i="43" s="1"/>
  <c r="F48" i="43"/>
  <c r="P48" i="43" s="1"/>
  <c r="F64" i="43"/>
  <c r="P64" i="43" s="1"/>
  <c r="F46" i="43"/>
  <c r="P46" i="43" s="1"/>
  <c r="F34" i="43"/>
  <c r="P34" i="43" s="1"/>
  <c r="G54" i="43"/>
  <c r="Q54" i="43" s="1"/>
  <c r="B31" i="51"/>
  <c r="C538" i="43"/>
  <c r="M538" i="43" s="1"/>
  <c r="F207" i="43"/>
  <c r="F199" i="43"/>
  <c r="F223" i="43"/>
  <c r="F203" i="43"/>
  <c r="F228" i="43"/>
  <c r="F198" i="43"/>
  <c r="F47" i="43"/>
  <c r="P47" i="43" s="1"/>
  <c r="F36" i="43"/>
  <c r="P36" i="43" s="1"/>
  <c r="F71" i="43"/>
  <c r="P71" i="43" s="1"/>
  <c r="F37" i="43"/>
  <c r="P37" i="43" s="1"/>
  <c r="F53" i="43"/>
  <c r="P53" i="43" s="1"/>
  <c r="G71" i="43"/>
  <c r="Q71" i="43" s="1"/>
  <c r="G65" i="43"/>
  <c r="Q65" i="43" s="1"/>
  <c r="C535" i="43"/>
  <c r="M535" i="43" s="1"/>
  <c r="G194" i="43"/>
  <c r="G230" i="43"/>
  <c r="G226" i="43"/>
  <c r="G221" i="43"/>
  <c r="G223" i="43"/>
  <c r="G203" i="43"/>
  <c r="G184" i="43"/>
  <c r="G117" i="43"/>
  <c r="G118" i="43"/>
  <c r="G114" i="43"/>
  <c r="G80" i="43"/>
  <c r="G88" i="43"/>
  <c r="G116" i="43"/>
  <c r="G209" i="43"/>
  <c r="G215" i="43"/>
  <c r="G212" i="43"/>
  <c r="G207" i="43"/>
  <c r="G213" i="43"/>
  <c r="G195" i="43"/>
  <c r="G110" i="43"/>
  <c r="G89" i="43"/>
  <c r="G104" i="43"/>
  <c r="G122" i="43"/>
  <c r="G127" i="43"/>
  <c r="G108" i="43"/>
  <c r="E402" i="43"/>
  <c r="O402" i="43" s="1"/>
  <c r="G205" i="43"/>
  <c r="G201" i="43"/>
  <c r="G198" i="43"/>
  <c r="G193" i="43"/>
  <c r="G202" i="43"/>
  <c r="G187" i="43"/>
  <c r="G85" i="43"/>
  <c r="G126" i="43"/>
  <c r="G93" i="43"/>
  <c r="G112" i="43"/>
  <c r="G119" i="43"/>
  <c r="G100" i="43"/>
  <c r="E394" i="43"/>
  <c r="O394" i="43" s="1"/>
  <c r="G180" i="43"/>
  <c r="G188" i="43"/>
  <c r="G183" i="43"/>
  <c r="G228" i="43"/>
  <c r="G191" i="43"/>
  <c r="G224" i="43"/>
  <c r="B32" i="51"/>
  <c r="G107" i="43"/>
  <c r="G115" i="43"/>
  <c r="G81" i="43"/>
  <c r="G101" i="43"/>
  <c r="G111" i="43"/>
  <c r="G92" i="43"/>
  <c r="G190" i="43"/>
  <c r="G229" i="43"/>
  <c r="G225" i="43"/>
  <c r="G217" i="43"/>
  <c r="G181" i="43"/>
  <c r="G216" i="43"/>
  <c r="G99" i="43"/>
  <c r="G128" i="43"/>
  <c r="G105" i="43"/>
  <c r="G123" i="43"/>
  <c r="G90" i="43"/>
  <c r="G103" i="43"/>
  <c r="G83" i="43"/>
  <c r="F173" i="43"/>
  <c r="B34" i="51"/>
  <c r="G222" i="43"/>
  <c r="G214" i="43"/>
  <c r="G210" i="43"/>
  <c r="G206" i="43"/>
  <c r="G227" i="43"/>
  <c r="G208" i="43"/>
  <c r="G106" i="43"/>
  <c r="G97" i="43"/>
  <c r="G94" i="43"/>
  <c r="G113" i="43"/>
  <c r="G120" i="43"/>
  <c r="G95" i="43"/>
  <c r="G79" i="43"/>
  <c r="F140" i="43"/>
  <c r="E434" i="43"/>
  <c r="O434" i="43" s="1"/>
  <c r="G204" i="43"/>
  <c r="G189" i="43"/>
  <c r="G199" i="43"/>
  <c r="G197" i="43"/>
  <c r="G196" i="43"/>
  <c r="G219" i="43"/>
  <c r="G86" i="43"/>
  <c r="G121" i="43"/>
  <c r="G82" i="43"/>
  <c r="G102" i="43"/>
  <c r="G109" i="43"/>
  <c r="G87" i="43"/>
  <c r="R69" i="60"/>
  <c r="G136" i="43"/>
  <c r="D76" i="43"/>
  <c r="N76" i="43" s="1"/>
  <c r="F163" i="43"/>
  <c r="E391" i="43"/>
  <c r="O391" i="43" s="1"/>
  <c r="E415" i="43"/>
  <c r="O415" i="43" s="1"/>
  <c r="G157" i="43"/>
  <c r="F165" i="43"/>
  <c r="G450" i="43"/>
  <c r="Q450" i="43" s="1"/>
  <c r="D55" i="43"/>
  <c r="N55" i="43" s="1"/>
  <c r="F137" i="43"/>
  <c r="E539" i="43"/>
  <c r="O539" i="43" s="1"/>
  <c r="F167" i="43"/>
  <c r="E496" i="43"/>
  <c r="O496" i="43" s="1"/>
  <c r="G163" i="43"/>
  <c r="D34" i="43"/>
  <c r="N34" i="43" s="1"/>
  <c r="F150" i="43"/>
  <c r="E400" i="43"/>
  <c r="O400" i="43" s="1"/>
  <c r="E501" i="43"/>
  <c r="O501" i="43" s="1"/>
  <c r="E491" i="43"/>
  <c r="O491" i="43" s="1"/>
  <c r="G485" i="43"/>
  <c r="Q485" i="43" s="1"/>
  <c r="D109" i="59"/>
  <c r="N109" i="59" s="1"/>
  <c r="D21" i="59"/>
  <c r="N21" i="59" s="1"/>
  <c r="D59" i="59"/>
  <c r="N59" i="59" s="1"/>
  <c r="D49" i="59"/>
  <c r="N49" i="59" s="1"/>
  <c r="D25" i="59"/>
  <c r="N25" i="59" s="1"/>
  <c r="R591" i="43"/>
  <c r="D54" i="59"/>
  <c r="N54" i="59" s="1"/>
  <c r="D44" i="59"/>
  <c r="N44" i="59" s="1"/>
  <c r="D34" i="59"/>
  <c r="N34" i="59" s="1"/>
  <c r="E33" i="59"/>
  <c r="O33" i="59" s="1"/>
  <c r="E419" i="43"/>
  <c r="O419" i="43" s="1"/>
  <c r="G174" i="43"/>
  <c r="G160" i="43"/>
  <c r="G167" i="43"/>
  <c r="G161" i="43"/>
  <c r="G175" i="43"/>
  <c r="G149" i="43"/>
  <c r="G138" i="43"/>
  <c r="D41" i="43"/>
  <c r="N41" i="43" s="1"/>
  <c r="D65" i="43"/>
  <c r="N65" i="43" s="1"/>
  <c r="D75" i="43"/>
  <c r="N75" i="43" s="1"/>
  <c r="D74" i="43"/>
  <c r="N74" i="43" s="1"/>
  <c r="D37" i="43"/>
  <c r="N37" i="43" s="1"/>
  <c r="D68" i="43"/>
  <c r="N68" i="43" s="1"/>
  <c r="F149" i="43"/>
  <c r="F146" i="43"/>
  <c r="F154" i="43"/>
  <c r="F176" i="43"/>
  <c r="F159" i="43"/>
  <c r="F142" i="43"/>
  <c r="F132" i="43"/>
  <c r="E412" i="43"/>
  <c r="O412" i="43" s="1"/>
  <c r="E403" i="43"/>
  <c r="O403" i="43" s="1"/>
  <c r="E421" i="43"/>
  <c r="O421" i="43" s="1"/>
  <c r="E411" i="43"/>
  <c r="O411" i="43" s="1"/>
  <c r="D18" i="54"/>
  <c r="D42" i="52" s="1"/>
  <c r="E428" i="43"/>
  <c r="O428" i="43" s="1"/>
  <c r="E393" i="43"/>
  <c r="O393" i="43" s="1"/>
  <c r="G172" i="43"/>
  <c r="G159" i="43"/>
  <c r="G152" i="43"/>
  <c r="G148" i="43"/>
  <c r="G164" i="43"/>
  <c r="G141" i="43"/>
  <c r="G130" i="43"/>
  <c r="D67" i="43"/>
  <c r="N67" i="43" s="1"/>
  <c r="D50" i="43"/>
  <c r="N50" i="43" s="1"/>
  <c r="D61" i="43"/>
  <c r="N61" i="43" s="1"/>
  <c r="D63" i="43"/>
  <c r="N63" i="43" s="1"/>
  <c r="D72" i="43"/>
  <c r="N72" i="43" s="1"/>
  <c r="D60" i="43"/>
  <c r="N60" i="43" s="1"/>
  <c r="F141" i="43"/>
  <c r="F179" i="43"/>
  <c r="F131" i="43"/>
  <c r="F168" i="43"/>
  <c r="F151" i="43"/>
  <c r="F134" i="43"/>
  <c r="E424" i="43"/>
  <c r="O424" i="43" s="1"/>
  <c r="E398" i="43"/>
  <c r="O398" i="43" s="1"/>
  <c r="E413" i="43"/>
  <c r="O413" i="43" s="1"/>
  <c r="E387" i="43"/>
  <c r="O387" i="43" s="1"/>
  <c r="E422" i="43"/>
  <c r="O422" i="43" s="1"/>
  <c r="E437" i="43"/>
  <c r="O437" i="43" s="1"/>
  <c r="E410" i="43"/>
  <c r="O410" i="43" s="1"/>
  <c r="G135" i="43"/>
  <c r="G171" i="43"/>
  <c r="G139" i="43"/>
  <c r="G134" i="43"/>
  <c r="G153" i="43"/>
  <c r="G133" i="43"/>
  <c r="D71" i="43"/>
  <c r="N71" i="43" s="1"/>
  <c r="D54" i="43"/>
  <c r="N54" i="43" s="1"/>
  <c r="D35" i="43"/>
  <c r="N35" i="43" s="1"/>
  <c r="D46" i="43"/>
  <c r="N46" i="43" s="1"/>
  <c r="D53" i="43"/>
  <c r="N53" i="43" s="1"/>
  <c r="D64" i="43"/>
  <c r="N64" i="43" s="1"/>
  <c r="D52" i="43"/>
  <c r="N52" i="43" s="1"/>
  <c r="F139" i="43"/>
  <c r="F157" i="43"/>
  <c r="F177" i="43"/>
  <c r="F160" i="43"/>
  <c r="F143" i="43"/>
  <c r="F129" i="43"/>
  <c r="E426" i="43"/>
  <c r="O426" i="43" s="1"/>
  <c r="E431" i="43"/>
  <c r="O431" i="43" s="1"/>
  <c r="E388" i="43"/>
  <c r="O388" i="43" s="1"/>
  <c r="E408" i="43"/>
  <c r="O408" i="43" s="1"/>
  <c r="E399" i="43"/>
  <c r="O399" i="43" s="1"/>
  <c r="E427" i="43"/>
  <c r="O427" i="43" s="1"/>
  <c r="G131" i="43"/>
  <c r="G156" i="43"/>
  <c r="G129" i="43"/>
  <c r="G179" i="43"/>
  <c r="G143" i="43"/>
  <c r="G178" i="43"/>
  <c r="D57" i="43"/>
  <c r="N57" i="43" s="1"/>
  <c r="D39" i="43"/>
  <c r="N39" i="43" s="1"/>
  <c r="E31" i="51"/>
  <c r="D33" i="43"/>
  <c r="N33" i="43" s="1"/>
  <c r="D42" i="43"/>
  <c r="N42" i="43" s="1"/>
  <c r="D56" i="43"/>
  <c r="N56" i="43" s="1"/>
  <c r="D44" i="43"/>
  <c r="N44" i="43" s="1"/>
  <c r="F171" i="43"/>
  <c r="F138" i="43"/>
  <c r="F169" i="43"/>
  <c r="F152" i="43"/>
  <c r="F135" i="43"/>
  <c r="F172" i="43"/>
  <c r="E404" i="43"/>
  <c r="O404" i="43" s="1"/>
  <c r="E409" i="43"/>
  <c r="O409" i="43" s="1"/>
  <c r="E416" i="43"/>
  <c r="O416" i="43" s="1"/>
  <c r="E418" i="43"/>
  <c r="O418" i="43" s="1"/>
  <c r="E433" i="43"/>
  <c r="O433" i="43" s="1"/>
  <c r="E436" i="43"/>
  <c r="O436" i="43" s="1"/>
  <c r="G145" i="43"/>
  <c r="G142" i="43"/>
  <c r="G166" i="43"/>
  <c r="G168" i="43"/>
  <c r="G132" i="43"/>
  <c r="G170" i="43"/>
  <c r="D43" i="43"/>
  <c r="N43" i="43" s="1"/>
  <c r="D66" i="43"/>
  <c r="N66" i="43" s="1"/>
  <c r="D77" i="43"/>
  <c r="N77" i="43" s="1"/>
  <c r="D73" i="43"/>
  <c r="N73" i="43" s="1"/>
  <c r="D31" i="43"/>
  <c r="N31" i="43" s="1"/>
  <c r="D48" i="43"/>
  <c r="N48" i="43" s="1"/>
  <c r="D36" i="43"/>
  <c r="N36" i="43" s="1"/>
  <c r="F170" i="43"/>
  <c r="F178" i="43"/>
  <c r="F161" i="43"/>
  <c r="F144" i="43"/>
  <c r="F174" i="43"/>
  <c r="F164" i="43"/>
  <c r="E429" i="43"/>
  <c r="O429" i="43" s="1"/>
  <c r="E395" i="43"/>
  <c r="O395" i="43" s="1"/>
  <c r="E425" i="43"/>
  <c r="O425" i="43" s="1"/>
  <c r="E389" i="43"/>
  <c r="O389" i="43" s="1"/>
  <c r="E414" i="43"/>
  <c r="O414" i="43" s="1"/>
  <c r="E405" i="43"/>
  <c r="O405" i="43" s="1"/>
  <c r="E390" i="43"/>
  <c r="O390" i="43" s="1"/>
  <c r="G177" i="43"/>
  <c r="G169" i="43"/>
  <c r="G151" i="43"/>
  <c r="G158" i="43"/>
  <c r="G173" i="43"/>
  <c r="G162" i="43"/>
  <c r="D29" i="43"/>
  <c r="N29" i="43" s="1"/>
  <c r="D51" i="43"/>
  <c r="N51" i="43" s="1"/>
  <c r="D62" i="43"/>
  <c r="N62" i="43" s="1"/>
  <c r="D59" i="43"/>
  <c r="N59" i="43" s="1"/>
  <c r="D69" i="43"/>
  <c r="N69" i="43" s="1"/>
  <c r="D40" i="43"/>
  <c r="N40" i="43" s="1"/>
  <c r="D28" i="43"/>
  <c r="N28" i="43" s="1"/>
  <c r="F130" i="43"/>
  <c r="G33" i="51"/>
  <c r="F155" i="43"/>
  <c r="F153" i="43"/>
  <c r="F136" i="43"/>
  <c r="F166" i="43"/>
  <c r="F156" i="43"/>
  <c r="E423" i="43"/>
  <c r="O423" i="43" s="1"/>
  <c r="E420" i="43"/>
  <c r="O420" i="43" s="1"/>
  <c r="E396" i="43"/>
  <c r="O396" i="43" s="1"/>
  <c r="E417" i="43"/>
  <c r="O417" i="43" s="1"/>
  <c r="E392" i="43"/>
  <c r="O392" i="43" s="1"/>
  <c r="E432" i="43"/>
  <c r="O432" i="43" s="1"/>
  <c r="E407" i="43"/>
  <c r="O407" i="43" s="1"/>
  <c r="G150" i="43"/>
  <c r="G144" i="43"/>
  <c r="G155" i="43"/>
  <c r="G137" i="43"/>
  <c r="G147" i="43"/>
  <c r="G165" i="43"/>
  <c r="D70" i="43"/>
  <c r="N70" i="43" s="1"/>
  <c r="D38" i="43"/>
  <c r="N38" i="43" s="1"/>
  <c r="D49" i="43"/>
  <c r="N49" i="43" s="1"/>
  <c r="D45" i="43"/>
  <c r="N45" i="43" s="1"/>
  <c r="D58" i="43"/>
  <c r="N58" i="43" s="1"/>
  <c r="F162" i="43"/>
  <c r="F147" i="43"/>
  <c r="F133" i="43"/>
  <c r="F145" i="43"/>
  <c r="F175" i="43"/>
  <c r="F158" i="43"/>
  <c r="E401" i="43"/>
  <c r="O401" i="43" s="1"/>
  <c r="E406" i="43"/>
  <c r="O406" i="43" s="1"/>
  <c r="E430" i="43"/>
  <c r="O430" i="43" s="1"/>
  <c r="E397" i="43"/>
  <c r="O397" i="43" s="1"/>
  <c r="E340" i="43"/>
  <c r="O340" i="43" s="1"/>
  <c r="D497" i="43"/>
  <c r="N497" i="43" s="1"/>
  <c r="D494" i="43"/>
  <c r="N494" i="43" s="1"/>
  <c r="D537" i="43"/>
  <c r="N537" i="43" s="1"/>
  <c r="E343" i="43"/>
  <c r="O343" i="43" s="1"/>
  <c r="E366" i="43"/>
  <c r="O366" i="43" s="1"/>
  <c r="E351" i="43"/>
  <c r="O351" i="43" s="1"/>
  <c r="D502" i="43"/>
  <c r="N502" i="43" s="1"/>
  <c r="E370" i="43"/>
  <c r="O370" i="43" s="1"/>
  <c r="E386" i="43"/>
  <c r="O386" i="43" s="1"/>
  <c r="D511" i="43"/>
  <c r="N511" i="43" s="1"/>
  <c r="D519" i="43"/>
  <c r="N519" i="43" s="1"/>
  <c r="E337" i="43"/>
  <c r="O337" i="43" s="1"/>
  <c r="D495" i="43"/>
  <c r="N495" i="43" s="1"/>
  <c r="E381" i="43"/>
  <c r="O381" i="43" s="1"/>
  <c r="E349" i="43"/>
  <c r="O349" i="43" s="1"/>
  <c r="E341" i="43"/>
  <c r="O341" i="43" s="1"/>
  <c r="E371" i="43"/>
  <c r="O371" i="43" s="1"/>
  <c r="E359" i="43"/>
  <c r="O359" i="43" s="1"/>
  <c r="E348" i="43"/>
  <c r="O348" i="43" s="1"/>
  <c r="D528" i="43"/>
  <c r="N528" i="43" s="1"/>
  <c r="E339" i="43"/>
  <c r="O339" i="43" s="1"/>
  <c r="D536" i="43"/>
  <c r="N536" i="43" s="1"/>
  <c r="E364" i="43"/>
  <c r="O364" i="43" s="1"/>
  <c r="D509" i="43"/>
  <c r="N509" i="43" s="1"/>
  <c r="E369" i="43"/>
  <c r="O369" i="43" s="1"/>
  <c r="E363" i="43"/>
  <c r="O363" i="43" s="1"/>
  <c r="E355" i="43"/>
  <c r="O355" i="43" s="1"/>
  <c r="E377" i="43"/>
  <c r="O377" i="43" s="1"/>
  <c r="E367" i="43"/>
  <c r="O367" i="43" s="1"/>
  <c r="E365" i="43"/>
  <c r="O365" i="43" s="1"/>
  <c r="D490" i="43"/>
  <c r="N490" i="43" s="1"/>
  <c r="E356" i="43"/>
  <c r="O356" i="43" s="1"/>
  <c r="D498" i="43"/>
  <c r="N498" i="43" s="1"/>
  <c r="E345" i="43"/>
  <c r="O345" i="43" s="1"/>
  <c r="D534" i="43"/>
  <c r="N534" i="43" s="1"/>
  <c r="D524" i="43"/>
  <c r="N524" i="43" s="1"/>
  <c r="E338" i="43"/>
  <c r="O338" i="43" s="1"/>
  <c r="E385" i="43"/>
  <c r="O385" i="43" s="1"/>
  <c r="E383" i="43"/>
  <c r="O383" i="43" s="1"/>
  <c r="D525" i="43"/>
  <c r="N525" i="43" s="1"/>
  <c r="E362" i="43"/>
  <c r="O362" i="43" s="1"/>
  <c r="E374" i="43"/>
  <c r="O374" i="43" s="1"/>
  <c r="D499" i="43"/>
  <c r="N499" i="43" s="1"/>
  <c r="E373" i="43"/>
  <c r="O373" i="43" s="1"/>
  <c r="D507" i="43"/>
  <c r="N507" i="43" s="1"/>
  <c r="D535" i="43"/>
  <c r="N535" i="43" s="1"/>
  <c r="D501" i="43"/>
  <c r="N501" i="43" s="1"/>
  <c r="E384" i="43"/>
  <c r="O384" i="43" s="1"/>
  <c r="E360" i="43"/>
  <c r="O360" i="43" s="1"/>
  <c r="E350" i="43"/>
  <c r="O350" i="43" s="1"/>
  <c r="D496" i="43"/>
  <c r="N496" i="43" s="1"/>
  <c r="E344" i="43"/>
  <c r="O344" i="43" s="1"/>
  <c r="D500" i="43"/>
  <c r="N500" i="43" s="1"/>
  <c r="E382" i="43"/>
  <c r="O382" i="43" s="1"/>
  <c r="D508" i="43"/>
  <c r="N508" i="43" s="1"/>
  <c r="D516" i="43"/>
  <c r="N516" i="43" s="1"/>
  <c r="D531" i="43"/>
  <c r="N531" i="43" s="1"/>
  <c r="E342" i="43"/>
  <c r="O342" i="43" s="1"/>
  <c r="E357" i="43"/>
  <c r="O357" i="43" s="1"/>
  <c r="E358" i="43"/>
  <c r="O358" i="43" s="1"/>
  <c r="E372" i="43"/>
  <c r="O372" i="43" s="1"/>
  <c r="E353" i="43"/>
  <c r="O353" i="43" s="1"/>
  <c r="E352" i="43"/>
  <c r="O352" i="43" s="1"/>
  <c r="E379" i="43"/>
  <c r="O379" i="43" s="1"/>
  <c r="E336" i="43"/>
  <c r="O336" i="43" s="1"/>
  <c r="D505" i="43"/>
  <c r="N505" i="43" s="1"/>
  <c r="D521" i="43"/>
  <c r="N521" i="43" s="1"/>
  <c r="E346" i="43"/>
  <c r="O346" i="43" s="1"/>
  <c r="E380" i="43"/>
  <c r="O380" i="43" s="1"/>
  <c r="E378" i="43"/>
  <c r="O378" i="43" s="1"/>
  <c r="E361" i="43"/>
  <c r="O361" i="43" s="1"/>
  <c r="E375" i="43"/>
  <c r="O375" i="43" s="1"/>
  <c r="E354" i="43"/>
  <c r="O354" i="43" s="1"/>
  <c r="E376" i="43"/>
  <c r="O376" i="43" s="1"/>
  <c r="E368" i="43"/>
  <c r="O368" i="43" s="1"/>
  <c r="E347" i="43"/>
  <c r="O347" i="43" s="1"/>
  <c r="R540" i="43"/>
  <c r="G512" i="43"/>
  <c r="Q512" i="43" s="1"/>
  <c r="E513" i="43"/>
  <c r="O513" i="43" s="1"/>
  <c r="E494" i="43"/>
  <c r="O494" i="43" s="1"/>
  <c r="E495" i="43"/>
  <c r="O495" i="43" s="1"/>
  <c r="E524" i="43"/>
  <c r="O524" i="43" s="1"/>
  <c r="G445" i="43"/>
  <c r="Q445" i="43" s="1"/>
  <c r="G482" i="43"/>
  <c r="Q482" i="43" s="1"/>
  <c r="E522" i="43"/>
  <c r="O522" i="43" s="1"/>
  <c r="E511" i="43"/>
  <c r="O511" i="43" s="1"/>
  <c r="E506" i="43"/>
  <c r="O506" i="43" s="1"/>
  <c r="E519" i="43"/>
  <c r="O519" i="43" s="1"/>
  <c r="G449" i="43"/>
  <c r="Q449" i="43" s="1"/>
  <c r="E531" i="43"/>
  <c r="O531" i="43" s="1"/>
  <c r="E509" i="43"/>
  <c r="O509" i="43" s="1"/>
  <c r="G456" i="43"/>
  <c r="Q456" i="43" s="1"/>
  <c r="G448" i="43"/>
  <c r="Q448" i="43" s="1"/>
  <c r="E489" i="43"/>
  <c r="O489" i="43" s="1"/>
  <c r="E536" i="43"/>
  <c r="O536" i="43" s="1"/>
  <c r="G474" i="43"/>
  <c r="Q474" i="43" s="1"/>
  <c r="G466" i="43"/>
  <c r="Q466" i="43" s="1"/>
  <c r="E503" i="43"/>
  <c r="O503" i="43" s="1"/>
  <c r="E504" i="43"/>
  <c r="O504" i="43" s="1"/>
  <c r="E537" i="43"/>
  <c r="O537" i="43" s="1"/>
  <c r="G481" i="43"/>
  <c r="Q481" i="43" s="1"/>
  <c r="E521" i="43"/>
  <c r="O521" i="43" s="1"/>
  <c r="E498" i="43"/>
  <c r="O498" i="43" s="1"/>
  <c r="E517" i="43"/>
  <c r="O517" i="43" s="1"/>
  <c r="G460" i="43"/>
  <c r="Q460" i="43" s="1"/>
  <c r="E530" i="43"/>
  <c r="O530" i="43" s="1"/>
  <c r="E510" i="43"/>
  <c r="O510" i="43" s="1"/>
  <c r="G468" i="43"/>
  <c r="Q468" i="43" s="1"/>
  <c r="G452" i="43"/>
  <c r="Q452" i="43" s="1"/>
  <c r="C499" i="43"/>
  <c r="M499" i="43" s="1"/>
  <c r="G34" i="43"/>
  <c r="Q34" i="43" s="1"/>
  <c r="G47" i="43"/>
  <c r="Q47" i="43" s="1"/>
  <c r="G27" i="43"/>
  <c r="Q27" i="43" s="1"/>
  <c r="G42" i="43"/>
  <c r="Q42" i="43" s="1"/>
  <c r="G73" i="43"/>
  <c r="Q73" i="43" s="1"/>
  <c r="G61" i="43"/>
  <c r="Q61" i="43" s="1"/>
  <c r="C495" i="43"/>
  <c r="M495" i="43" s="1"/>
  <c r="E523" i="43"/>
  <c r="O523" i="43" s="1"/>
  <c r="E528" i="43"/>
  <c r="O528" i="43" s="1"/>
  <c r="C524" i="43"/>
  <c r="M524" i="43" s="1"/>
  <c r="C521" i="43"/>
  <c r="M521" i="43" s="1"/>
  <c r="E516" i="43"/>
  <c r="O516" i="43" s="1"/>
  <c r="E532" i="43"/>
  <c r="O532" i="43" s="1"/>
  <c r="D20" i="54"/>
  <c r="D44" i="52" s="1"/>
  <c r="C536" i="43"/>
  <c r="M536" i="43" s="1"/>
  <c r="C539" i="43"/>
  <c r="M539" i="43" s="1"/>
  <c r="G465" i="43"/>
  <c r="Q465" i="43" s="1"/>
  <c r="G443" i="43"/>
  <c r="Q443" i="43" s="1"/>
  <c r="G486" i="43"/>
  <c r="Q486" i="43" s="1"/>
  <c r="G440" i="43"/>
  <c r="Q440" i="43" s="1"/>
  <c r="G457" i="43"/>
  <c r="Q457" i="43" s="1"/>
  <c r="G467" i="43"/>
  <c r="Q467" i="43" s="1"/>
  <c r="G453" i="43"/>
  <c r="Q453" i="43" s="1"/>
  <c r="G53" i="43"/>
  <c r="Q53" i="43" s="1"/>
  <c r="C497" i="43"/>
  <c r="M497" i="43" s="1"/>
  <c r="C507" i="43"/>
  <c r="M507" i="43" s="1"/>
  <c r="C510" i="43"/>
  <c r="M510" i="43" s="1"/>
  <c r="C512" i="43"/>
  <c r="M512" i="43" s="1"/>
  <c r="I20" i="54"/>
  <c r="I44" i="52" s="1"/>
  <c r="C520" i="43"/>
  <c r="M520" i="43" s="1"/>
  <c r="C525" i="43"/>
  <c r="M525" i="43" s="1"/>
  <c r="G39" i="43"/>
  <c r="Q39" i="43" s="1"/>
  <c r="G50" i="43"/>
  <c r="Q50" i="43" s="1"/>
  <c r="G44" i="43"/>
  <c r="Q44" i="43" s="1"/>
  <c r="G56" i="43"/>
  <c r="Q56" i="43" s="1"/>
  <c r="G72" i="43"/>
  <c r="Q72" i="43" s="1"/>
  <c r="G57" i="43"/>
  <c r="Q57" i="43" s="1"/>
  <c r="G45" i="43"/>
  <c r="Q45" i="43" s="1"/>
  <c r="E512" i="43"/>
  <c r="O512" i="43" s="1"/>
  <c r="C522" i="43"/>
  <c r="M522" i="43" s="1"/>
  <c r="E525" i="43"/>
  <c r="O525" i="43" s="1"/>
  <c r="E492" i="43"/>
  <c r="O492" i="43" s="1"/>
  <c r="E514" i="43"/>
  <c r="O514" i="43" s="1"/>
  <c r="C532" i="43"/>
  <c r="M532" i="43" s="1"/>
  <c r="C496" i="43"/>
  <c r="M496" i="43" s="1"/>
  <c r="E527" i="43"/>
  <c r="O527" i="43" s="1"/>
  <c r="C506" i="43"/>
  <c r="M506" i="43" s="1"/>
  <c r="G444" i="43"/>
  <c r="Q444" i="43" s="1"/>
  <c r="G478" i="43"/>
  <c r="Q478" i="43" s="1"/>
  <c r="G488" i="43"/>
  <c r="Q488" i="43" s="1"/>
  <c r="G458" i="43"/>
  <c r="Q458" i="43" s="1"/>
  <c r="G483" i="43"/>
  <c r="Q483" i="43" s="1"/>
  <c r="G484" i="43"/>
  <c r="Q484" i="43" s="1"/>
  <c r="G479" i="43"/>
  <c r="Q479" i="43" s="1"/>
  <c r="B19" i="54"/>
  <c r="B43" i="52" s="1"/>
  <c r="C537" i="43"/>
  <c r="M537" i="43" s="1"/>
  <c r="G76" i="43"/>
  <c r="Q76" i="43" s="1"/>
  <c r="G32" i="43"/>
  <c r="Q32" i="43" s="1"/>
  <c r="G60" i="43"/>
  <c r="Q60" i="43" s="1"/>
  <c r="G46" i="43"/>
  <c r="Q46" i="43" s="1"/>
  <c r="G62" i="43"/>
  <c r="Q62" i="43" s="1"/>
  <c r="G49" i="43"/>
  <c r="Q49" i="43" s="1"/>
  <c r="G37" i="43"/>
  <c r="Q37" i="43" s="1"/>
  <c r="E490" i="43"/>
  <c r="O490" i="43" s="1"/>
  <c r="C492" i="43"/>
  <c r="M492" i="43" s="1"/>
  <c r="E518" i="43"/>
  <c r="O518" i="43" s="1"/>
  <c r="E500" i="43"/>
  <c r="O500" i="43" s="1"/>
  <c r="E497" i="43"/>
  <c r="O497" i="43" s="1"/>
  <c r="C529" i="43"/>
  <c r="M529" i="43" s="1"/>
  <c r="C518" i="43"/>
  <c r="M518" i="43" s="1"/>
  <c r="E529" i="43"/>
  <c r="O529" i="43" s="1"/>
  <c r="C514" i="43"/>
  <c r="M514" i="43" s="1"/>
  <c r="G462" i="43"/>
  <c r="Q462" i="43" s="1"/>
  <c r="G487" i="43"/>
  <c r="Q487" i="43" s="1"/>
  <c r="G442" i="43"/>
  <c r="Q442" i="43" s="1"/>
  <c r="G475" i="43"/>
  <c r="Q475" i="43" s="1"/>
  <c r="G454" i="43"/>
  <c r="Q454" i="43" s="1"/>
  <c r="G464" i="43"/>
  <c r="Q464" i="43" s="1"/>
  <c r="C408" i="43"/>
  <c r="M408" i="43" s="1"/>
  <c r="C491" i="43"/>
  <c r="M491" i="43" s="1"/>
  <c r="C494" i="43"/>
  <c r="M494" i="43" s="1"/>
  <c r="G55" i="43"/>
  <c r="Q55" i="43" s="1"/>
  <c r="G70" i="43"/>
  <c r="Q70" i="43" s="1"/>
  <c r="G43" i="43"/>
  <c r="Q43" i="43" s="1"/>
  <c r="G35" i="43"/>
  <c r="Q35" i="43" s="1"/>
  <c r="G51" i="43"/>
  <c r="Q51" i="43" s="1"/>
  <c r="G41" i="43"/>
  <c r="Q41" i="43" s="1"/>
  <c r="G29" i="43"/>
  <c r="Q29" i="43" s="1"/>
  <c r="E515" i="43"/>
  <c r="O515" i="43" s="1"/>
  <c r="C493" i="43"/>
  <c r="M493" i="43" s="1"/>
  <c r="C519" i="43"/>
  <c r="M519" i="43" s="1"/>
  <c r="E533" i="43"/>
  <c r="O533" i="43" s="1"/>
  <c r="E526" i="43"/>
  <c r="O526" i="43" s="1"/>
  <c r="E538" i="43"/>
  <c r="O538" i="43" s="1"/>
  <c r="C515" i="43"/>
  <c r="M515" i="43" s="1"/>
  <c r="C504" i="43"/>
  <c r="M504" i="43" s="1"/>
  <c r="C526" i="43"/>
  <c r="M526" i="43" s="1"/>
  <c r="C531" i="43"/>
  <c r="M531" i="43" s="1"/>
  <c r="G471" i="43"/>
  <c r="Q471" i="43" s="1"/>
  <c r="G480" i="43"/>
  <c r="Q480" i="43" s="1"/>
  <c r="G459" i="43"/>
  <c r="Q459" i="43" s="1"/>
  <c r="G446" i="43"/>
  <c r="Q446" i="43" s="1"/>
  <c r="G463" i="43"/>
  <c r="Q463" i="43" s="1"/>
  <c r="G470" i="43"/>
  <c r="Q470" i="43" s="1"/>
  <c r="G473" i="43"/>
  <c r="Q473" i="43" s="1"/>
  <c r="C500" i="43"/>
  <c r="M500" i="43" s="1"/>
  <c r="C511" i="43"/>
  <c r="M511" i="43" s="1"/>
  <c r="G38" i="43"/>
  <c r="Q38" i="43" s="1"/>
  <c r="G48" i="43"/>
  <c r="Q48" i="43" s="1"/>
  <c r="G68" i="43"/>
  <c r="Q68" i="43" s="1"/>
  <c r="G74" i="43"/>
  <c r="Q74" i="43" s="1"/>
  <c r="G40" i="43"/>
  <c r="Q40" i="43" s="1"/>
  <c r="G33" i="43"/>
  <c r="Q33" i="43" s="1"/>
  <c r="E502" i="43"/>
  <c r="O502" i="43" s="1"/>
  <c r="C505" i="43"/>
  <c r="M505" i="43" s="1"/>
  <c r="C527" i="43"/>
  <c r="M527" i="43" s="1"/>
  <c r="E493" i="43"/>
  <c r="O493" i="43" s="1"/>
  <c r="E508" i="43"/>
  <c r="O508" i="43" s="1"/>
  <c r="C489" i="43"/>
  <c r="M489" i="43" s="1"/>
  <c r="C498" i="43"/>
  <c r="M498" i="43" s="1"/>
  <c r="E499" i="43"/>
  <c r="O499" i="43" s="1"/>
  <c r="C509" i="43"/>
  <c r="M509" i="43" s="1"/>
  <c r="G477" i="43"/>
  <c r="Q477" i="43" s="1"/>
  <c r="G438" i="43"/>
  <c r="Q438" i="43" s="1"/>
  <c r="G476" i="43"/>
  <c r="Q476" i="43" s="1"/>
  <c r="G455" i="43"/>
  <c r="Q455" i="43" s="1"/>
  <c r="G469" i="43"/>
  <c r="Q469" i="43" s="1"/>
  <c r="G441" i="43"/>
  <c r="Q441" i="43" s="1"/>
  <c r="C517" i="43"/>
  <c r="M517" i="43" s="1"/>
  <c r="C528" i="43"/>
  <c r="M528" i="43" s="1"/>
  <c r="G75" i="43"/>
  <c r="Q75" i="43" s="1"/>
  <c r="G28" i="43"/>
  <c r="Q28" i="43" s="1"/>
  <c r="G58" i="43"/>
  <c r="Q58" i="43" s="1"/>
  <c r="G63" i="43"/>
  <c r="Q63" i="43" s="1"/>
  <c r="G30" i="43"/>
  <c r="Q30" i="43" s="1"/>
  <c r="E535" i="43"/>
  <c r="O535" i="43" s="1"/>
  <c r="E520" i="43"/>
  <c r="O520" i="43" s="1"/>
  <c r="C530" i="43"/>
  <c r="M530" i="43" s="1"/>
  <c r="C513" i="43"/>
  <c r="M513" i="43" s="1"/>
  <c r="C502" i="43"/>
  <c r="M502" i="43" s="1"/>
  <c r="E534" i="43"/>
  <c r="O534" i="43" s="1"/>
  <c r="E505" i="43"/>
  <c r="O505" i="43" s="1"/>
  <c r="C523" i="43"/>
  <c r="M523" i="43" s="1"/>
  <c r="G472" i="43"/>
  <c r="Q472" i="43" s="1"/>
  <c r="G451" i="43"/>
  <c r="Q451" i="43" s="1"/>
  <c r="G439" i="43"/>
  <c r="Q439" i="43" s="1"/>
  <c r="G461" i="43"/>
  <c r="Q461" i="43" s="1"/>
  <c r="B20" i="54"/>
  <c r="B44" i="52" s="1"/>
  <c r="C123" i="58"/>
  <c r="E123" i="58" s="1"/>
  <c r="F361" i="43"/>
  <c r="P361" i="43" s="1"/>
  <c r="F357" i="43"/>
  <c r="P357" i="43" s="1"/>
  <c r="F370" i="43"/>
  <c r="P370" i="43" s="1"/>
  <c r="F380" i="43"/>
  <c r="P380" i="43" s="1"/>
  <c r="F383" i="43"/>
  <c r="P383" i="43" s="1"/>
  <c r="C78" i="58"/>
  <c r="E78" i="58" s="1"/>
  <c r="E73" i="43"/>
  <c r="O73" i="43" s="1"/>
  <c r="F358" i="43"/>
  <c r="P358" i="43" s="1"/>
  <c r="F373" i="43"/>
  <c r="P373" i="43" s="1"/>
  <c r="C95" i="58"/>
  <c r="E95" i="58" s="1"/>
  <c r="E71" i="43"/>
  <c r="O71" i="43" s="1"/>
  <c r="F381" i="43"/>
  <c r="P381" i="43" s="1"/>
  <c r="F61" i="59"/>
  <c r="P61" i="59" s="1"/>
  <c r="F56" i="59"/>
  <c r="P56" i="59" s="1"/>
  <c r="F25" i="59"/>
  <c r="P25" i="59" s="1"/>
  <c r="P73" i="59"/>
  <c r="F27" i="59"/>
  <c r="P27" i="59" s="1"/>
  <c r="F35" i="59"/>
  <c r="P35" i="59" s="1"/>
  <c r="F28" i="59"/>
  <c r="P28" i="59" s="1"/>
  <c r="F65" i="59"/>
  <c r="P65" i="59" s="1"/>
  <c r="F20" i="59"/>
  <c r="P20" i="59" s="1"/>
  <c r="P74" i="59"/>
  <c r="F46" i="59"/>
  <c r="P46" i="59" s="1"/>
  <c r="F50" i="59"/>
  <c r="P50" i="59" s="1"/>
  <c r="F38" i="59"/>
  <c r="P38" i="59" s="1"/>
  <c r="F42" i="59"/>
  <c r="P42" i="59" s="1"/>
  <c r="F18" i="59"/>
  <c r="P18" i="59" s="1"/>
  <c r="F64" i="59"/>
  <c r="P64" i="59" s="1"/>
  <c r="P79" i="59"/>
  <c r="G336" i="43"/>
  <c r="Q336" i="43" s="1"/>
  <c r="G379" i="43"/>
  <c r="Q379" i="43" s="1"/>
  <c r="D119" i="43"/>
  <c r="D107" i="43"/>
  <c r="G20" i="59"/>
  <c r="Q20" i="59" s="1"/>
  <c r="G373" i="43"/>
  <c r="Q373" i="43" s="1"/>
  <c r="E18" i="59"/>
  <c r="O18" i="59" s="1"/>
  <c r="D115" i="59"/>
  <c r="N115" i="59" s="1"/>
  <c r="E118" i="43"/>
  <c r="E91" i="43"/>
  <c r="E128" i="43"/>
  <c r="E116" i="43"/>
  <c r="E98" i="43"/>
  <c r="E89" i="43"/>
  <c r="E79" i="43"/>
  <c r="C404" i="43"/>
  <c r="M404" i="43" s="1"/>
  <c r="C420" i="43"/>
  <c r="M420" i="43" s="1"/>
  <c r="G508" i="43"/>
  <c r="Q508" i="43" s="1"/>
  <c r="G529" i="43"/>
  <c r="Q529" i="43" s="1"/>
  <c r="D76" i="59"/>
  <c r="N76" i="59" s="1"/>
  <c r="C418" i="43"/>
  <c r="M418" i="43" s="1"/>
  <c r="E109" i="43"/>
  <c r="E107" i="43"/>
  <c r="E112" i="43"/>
  <c r="E108" i="43"/>
  <c r="E90" i="43"/>
  <c r="E81" i="43"/>
  <c r="C414" i="43"/>
  <c r="M414" i="43" s="1"/>
  <c r="C403" i="43"/>
  <c r="M403" i="43" s="1"/>
  <c r="G506" i="43"/>
  <c r="Q506" i="43" s="1"/>
  <c r="G537" i="43"/>
  <c r="Q537" i="43" s="1"/>
  <c r="D94" i="59"/>
  <c r="N94" i="59" s="1"/>
  <c r="E102" i="43"/>
  <c r="E120" i="43"/>
  <c r="E96" i="43"/>
  <c r="E100" i="43"/>
  <c r="E82" i="43"/>
  <c r="E127" i="43"/>
  <c r="C423" i="43"/>
  <c r="M423" i="43" s="1"/>
  <c r="C391" i="43"/>
  <c r="M391" i="43" s="1"/>
  <c r="G516" i="43"/>
  <c r="Q516" i="43" s="1"/>
  <c r="G492" i="43"/>
  <c r="Q492" i="43" s="1"/>
  <c r="E32" i="59"/>
  <c r="O32" i="59" s="1"/>
  <c r="D95" i="59"/>
  <c r="N95" i="59" s="1"/>
  <c r="F69" i="59"/>
  <c r="P69" i="59" s="1"/>
  <c r="E101" i="43"/>
  <c r="E104" i="43"/>
  <c r="E80" i="43"/>
  <c r="E92" i="43"/>
  <c r="E78" i="43"/>
  <c r="E119" i="43"/>
  <c r="C409" i="43"/>
  <c r="M409" i="43" s="1"/>
  <c r="C429" i="43"/>
  <c r="M429" i="43" s="1"/>
  <c r="G514" i="43"/>
  <c r="Q514" i="43" s="1"/>
  <c r="G511" i="43"/>
  <c r="Q511" i="43" s="1"/>
  <c r="G428" i="43"/>
  <c r="Q428" i="43" s="1"/>
  <c r="E68" i="59"/>
  <c r="O68" i="59" s="1"/>
  <c r="D83" i="59"/>
  <c r="N83" i="59" s="1"/>
  <c r="E86" i="43"/>
  <c r="E88" i="43"/>
  <c r="E126" i="43"/>
  <c r="E84" i="43"/>
  <c r="E121" i="43"/>
  <c r="E111" i="43"/>
  <c r="G524" i="43"/>
  <c r="Q524" i="43" s="1"/>
  <c r="G528" i="43"/>
  <c r="Q528" i="43" s="1"/>
  <c r="G437" i="43"/>
  <c r="Q437" i="43" s="1"/>
  <c r="E27" i="59"/>
  <c r="O27" i="59" s="1"/>
  <c r="D75" i="59"/>
  <c r="N75" i="59" s="1"/>
  <c r="D32" i="51"/>
  <c r="E125" i="43"/>
  <c r="E115" i="43"/>
  <c r="E110" i="43"/>
  <c r="E122" i="43"/>
  <c r="E113" i="43"/>
  <c r="E103" i="43"/>
  <c r="C399" i="43"/>
  <c r="M399" i="43" s="1"/>
  <c r="C393" i="43"/>
  <c r="M393" i="43" s="1"/>
  <c r="G523" i="43"/>
  <c r="Q523" i="43" s="1"/>
  <c r="E42" i="59"/>
  <c r="O42" i="59" s="1"/>
  <c r="E117" i="43"/>
  <c r="E85" i="43"/>
  <c r="E99" i="43"/>
  <c r="E94" i="43"/>
  <c r="E114" i="43"/>
  <c r="E105" i="43"/>
  <c r="C407" i="43"/>
  <c r="M407" i="43" s="1"/>
  <c r="C417" i="43"/>
  <c r="M417" i="43" s="1"/>
  <c r="G534" i="43"/>
  <c r="Q534" i="43" s="1"/>
  <c r="G404" i="43"/>
  <c r="Q404" i="43" s="1"/>
  <c r="D456" i="43"/>
  <c r="N456" i="43" s="1"/>
  <c r="C80" i="58"/>
  <c r="E80" i="58" s="1"/>
  <c r="E62" i="43"/>
  <c r="O62" i="43" s="1"/>
  <c r="F351" i="43"/>
  <c r="P351" i="43" s="1"/>
  <c r="F359" i="43"/>
  <c r="P359" i="43" s="1"/>
  <c r="F353" i="43"/>
  <c r="P353" i="43" s="1"/>
  <c r="F338" i="43"/>
  <c r="P338" i="43" s="1"/>
  <c r="C90" i="58"/>
  <c r="E90" i="58" s="1"/>
  <c r="E40" i="43"/>
  <c r="O40" i="43" s="1"/>
  <c r="F384" i="43"/>
  <c r="P384" i="43" s="1"/>
  <c r="C119" i="58"/>
  <c r="E119" i="58" s="1"/>
  <c r="E29" i="43"/>
  <c r="O29" i="43" s="1"/>
  <c r="F377" i="43"/>
  <c r="P377" i="43" s="1"/>
  <c r="C117" i="58"/>
  <c r="E117" i="58" s="1"/>
  <c r="C93" i="58"/>
  <c r="E93" i="58" s="1"/>
  <c r="E76" i="43"/>
  <c r="O76" i="43" s="1"/>
  <c r="E56" i="43"/>
  <c r="O56" i="43" s="1"/>
  <c r="C103" i="58"/>
  <c r="E103" i="58" s="1"/>
  <c r="C82" i="58"/>
  <c r="E82" i="58" s="1"/>
  <c r="E54" i="43"/>
  <c r="O54" i="43" s="1"/>
  <c r="E45" i="43"/>
  <c r="O45" i="43" s="1"/>
  <c r="F341" i="43"/>
  <c r="P341" i="43" s="1"/>
  <c r="F356" i="43"/>
  <c r="P356" i="43" s="1"/>
  <c r="C84" i="58"/>
  <c r="E84" i="58" s="1"/>
  <c r="C86" i="58"/>
  <c r="E86" i="58" s="1"/>
  <c r="E32" i="43"/>
  <c r="O32" i="43" s="1"/>
  <c r="E35" i="43"/>
  <c r="O35" i="43" s="1"/>
  <c r="F434" i="43"/>
  <c r="P434" i="43" s="1"/>
  <c r="D447" i="43"/>
  <c r="N447" i="43" s="1"/>
  <c r="F413" i="43"/>
  <c r="P413" i="43" s="1"/>
  <c r="D485" i="43"/>
  <c r="N485" i="43" s="1"/>
  <c r="D468" i="43"/>
  <c r="N468" i="43" s="1"/>
  <c r="D450" i="43"/>
  <c r="N450" i="43" s="1"/>
  <c r="F422" i="43"/>
  <c r="P422" i="43" s="1"/>
  <c r="D440" i="43"/>
  <c r="N440" i="43" s="1"/>
  <c r="D486" i="43"/>
  <c r="N486" i="43" s="1"/>
  <c r="D469" i="43"/>
  <c r="N469" i="43" s="1"/>
  <c r="D444" i="43"/>
  <c r="N444" i="43" s="1"/>
  <c r="D438" i="43"/>
  <c r="N438" i="43" s="1"/>
  <c r="F379" i="43"/>
  <c r="P379" i="43" s="1"/>
  <c r="F343" i="43"/>
  <c r="P343" i="43" s="1"/>
  <c r="C116" i="58"/>
  <c r="E116" i="58" s="1"/>
  <c r="C124" i="58"/>
  <c r="E124" i="58" s="1"/>
  <c r="C121" i="58"/>
  <c r="E121" i="58" s="1"/>
  <c r="C108" i="58"/>
  <c r="E108" i="58" s="1"/>
  <c r="B39" i="51"/>
  <c r="C115" i="58"/>
  <c r="E115" i="58" s="1"/>
  <c r="E37" i="43"/>
  <c r="O37" i="43" s="1"/>
  <c r="E48" i="43"/>
  <c r="O48" i="43" s="1"/>
  <c r="E52" i="43"/>
  <c r="O52" i="43" s="1"/>
  <c r="E68" i="43"/>
  <c r="O68" i="43" s="1"/>
  <c r="E34" i="43"/>
  <c r="O34" i="43" s="1"/>
  <c r="E63" i="43"/>
  <c r="O63" i="43" s="1"/>
  <c r="F388" i="43"/>
  <c r="P388" i="43" s="1"/>
  <c r="F354" i="43"/>
  <c r="P354" i="43" s="1"/>
  <c r="F337" i="43"/>
  <c r="P337" i="43" s="1"/>
  <c r="F367" i="43"/>
  <c r="P367" i="43" s="1"/>
  <c r="F363" i="43"/>
  <c r="P363" i="43" s="1"/>
  <c r="F346" i="43"/>
  <c r="P346" i="43" s="1"/>
  <c r="F393" i="43"/>
  <c r="P393" i="43" s="1"/>
  <c r="D452" i="43"/>
  <c r="N452" i="43" s="1"/>
  <c r="D487" i="43"/>
  <c r="N487" i="43" s="1"/>
  <c r="D478" i="43"/>
  <c r="N478" i="43" s="1"/>
  <c r="D461" i="43"/>
  <c r="N461" i="43" s="1"/>
  <c r="D467" i="43"/>
  <c r="N467" i="43" s="1"/>
  <c r="D465" i="43"/>
  <c r="N465" i="43" s="1"/>
  <c r="F360" i="43"/>
  <c r="P360" i="43" s="1"/>
  <c r="C89" i="58"/>
  <c r="E89" i="58" s="1"/>
  <c r="C101" i="58"/>
  <c r="E101" i="58" s="1"/>
  <c r="C111" i="58"/>
  <c r="E111" i="58" s="1"/>
  <c r="C106" i="58"/>
  <c r="E106" i="58" s="1"/>
  <c r="C97" i="58"/>
  <c r="E97" i="58" s="1"/>
  <c r="C126" i="58"/>
  <c r="E126" i="58" s="1"/>
  <c r="C107" i="58"/>
  <c r="E107" i="58" s="1"/>
  <c r="E60" i="43"/>
  <c r="O60" i="43" s="1"/>
  <c r="E74" i="43"/>
  <c r="O74" i="43" s="1"/>
  <c r="E28" i="43"/>
  <c r="O28" i="43" s="1"/>
  <c r="E41" i="43"/>
  <c r="O41" i="43" s="1"/>
  <c r="E57" i="43"/>
  <c r="O57" i="43" s="1"/>
  <c r="E75" i="43"/>
  <c r="O75" i="43" s="1"/>
  <c r="E55" i="43"/>
  <c r="O55" i="43" s="1"/>
  <c r="F401" i="43"/>
  <c r="P401" i="43" s="1"/>
  <c r="F397" i="43"/>
  <c r="P397" i="43" s="1"/>
  <c r="F362" i="43"/>
  <c r="P362" i="43" s="1"/>
  <c r="F345" i="43"/>
  <c r="P345" i="43" s="1"/>
  <c r="F350" i="43"/>
  <c r="P350" i="43" s="1"/>
  <c r="F403" i="43"/>
  <c r="P403" i="43" s="1"/>
  <c r="F344" i="43"/>
  <c r="P344" i="43" s="1"/>
  <c r="F339" i="43"/>
  <c r="P339" i="43" s="1"/>
  <c r="F371" i="43"/>
  <c r="P371" i="43" s="1"/>
  <c r="D439" i="43"/>
  <c r="N439" i="43" s="1"/>
  <c r="D488" i="43"/>
  <c r="N488" i="43" s="1"/>
  <c r="D479" i="43"/>
  <c r="N479" i="43" s="1"/>
  <c r="D470" i="43"/>
  <c r="N470" i="43" s="1"/>
  <c r="D453" i="43"/>
  <c r="N453" i="43" s="1"/>
  <c r="D459" i="43"/>
  <c r="N459" i="43" s="1"/>
  <c r="D441" i="43"/>
  <c r="N441" i="43" s="1"/>
  <c r="F348" i="43"/>
  <c r="P348" i="43" s="1"/>
  <c r="F369" i="43"/>
  <c r="P369" i="43" s="1"/>
  <c r="C113" i="58"/>
  <c r="E113" i="58" s="1"/>
  <c r="C88" i="58"/>
  <c r="E88" i="58" s="1"/>
  <c r="C96" i="58"/>
  <c r="E96" i="58" s="1"/>
  <c r="C92" i="58"/>
  <c r="E92" i="58" s="1"/>
  <c r="C87" i="58"/>
  <c r="E87" i="58" s="1"/>
  <c r="C118" i="58"/>
  <c r="E118" i="58" s="1"/>
  <c r="C99" i="58"/>
  <c r="E99" i="58" s="1"/>
  <c r="E42" i="43"/>
  <c r="O42" i="43" s="1"/>
  <c r="E53" i="43"/>
  <c r="O53" i="43" s="1"/>
  <c r="E65" i="43"/>
  <c r="O65" i="43" s="1"/>
  <c r="E30" i="43"/>
  <c r="O30" i="43" s="1"/>
  <c r="E36" i="43"/>
  <c r="O36" i="43" s="1"/>
  <c r="E67" i="43"/>
  <c r="O67" i="43" s="1"/>
  <c r="E47" i="43"/>
  <c r="O47" i="43" s="1"/>
  <c r="F418" i="43"/>
  <c r="P418" i="43" s="1"/>
  <c r="F396" i="43"/>
  <c r="P396" i="43" s="1"/>
  <c r="F386" i="43"/>
  <c r="P386" i="43" s="1"/>
  <c r="F376" i="43"/>
  <c r="P376" i="43" s="1"/>
  <c r="F368" i="43"/>
  <c r="P368" i="43" s="1"/>
  <c r="F340" i="43"/>
  <c r="P340" i="43" s="1"/>
  <c r="F412" i="43"/>
  <c r="P412" i="43" s="1"/>
  <c r="G17" i="54"/>
  <c r="G41" i="52" s="1"/>
  <c r="D448" i="43"/>
  <c r="N448" i="43" s="1"/>
  <c r="D480" i="43"/>
  <c r="N480" i="43" s="1"/>
  <c r="D471" i="43"/>
  <c r="N471" i="43" s="1"/>
  <c r="D462" i="43"/>
  <c r="N462" i="43" s="1"/>
  <c r="D445" i="43"/>
  <c r="N445" i="43" s="1"/>
  <c r="D451" i="43"/>
  <c r="N451" i="43" s="1"/>
  <c r="E19" i="54"/>
  <c r="E43" i="52" s="1"/>
  <c r="F365" i="43"/>
  <c r="P365" i="43" s="1"/>
  <c r="F378" i="43"/>
  <c r="P378" i="43" s="1"/>
  <c r="C100" i="58"/>
  <c r="E100" i="58" s="1"/>
  <c r="C127" i="58"/>
  <c r="E127" i="58" s="1"/>
  <c r="C81" i="58"/>
  <c r="E81" i="58" s="1"/>
  <c r="C79" i="58"/>
  <c r="E79" i="58" s="1"/>
  <c r="C125" i="58"/>
  <c r="E125" i="58" s="1"/>
  <c r="C110" i="58"/>
  <c r="E110" i="58" s="1"/>
  <c r="C91" i="58"/>
  <c r="E91" i="58" s="1"/>
  <c r="E27" i="43"/>
  <c r="O27" i="43" s="1"/>
  <c r="E33" i="43"/>
  <c r="O33" i="43" s="1"/>
  <c r="E46" i="43"/>
  <c r="O46" i="43" s="1"/>
  <c r="E72" i="43"/>
  <c r="O72" i="43" s="1"/>
  <c r="D31" i="51"/>
  <c r="E59" i="43"/>
  <c r="O59" i="43" s="1"/>
  <c r="E39" i="43"/>
  <c r="O39" i="43" s="1"/>
  <c r="F432" i="43"/>
  <c r="P432" i="43" s="1"/>
  <c r="F405" i="43"/>
  <c r="P405" i="43" s="1"/>
  <c r="F355" i="43"/>
  <c r="P355" i="43" s="1"/>
  <c r="F364" i="43"/>
  <c r="P364" i="43" s="1"/>
  <c r="F342" i="43"/>
  <c r="P342" i="43" s="1"/>
  <c r="F410" i="43"/>
  <c r="P410" i="43" s="1"/>
  <c r="D477" i="43"/>
  <c r="N477" i="43" s="1"/>
  <c r="D442" i="43"/>
  <c r="N442" i="43" s="1"/>
  <c r="F435" i="43"/>
  <c r="P435" i="43" s="1"/>
  <c r="D472" i="43"/>
  <c r="N472" i="43" s="1"/>
  <c r="D463" i="43"/>
  <c r="N463" i="43" s="1"/>
  <c r="D454" i="43"/>
  <c r="N454" i="43" s="1"/>
  <c r="D484" i="43"/>
  <c r="N484" i="43" s="1"/>
  <c r="D482" i="43"/>
  <c r="N482" i="43" s="1"/>
  <c r="F382" i="43"/>
  <c r="P382" i="43" s="1"/>
  <c r="F336" i="43"/>
  <c r="P336" i="43" s="1"/>
  <c r="C85" i="58"/>
  <c r="E85" i="58" s="1"/>
  <c r="C112" i="58"/>
  <c r="E112" i="58" s="1"/>
  <c r="C122" i="58"/>
  <c r="E122" i="58" s="1"/>
  <c r="C120" i="58"/>
  <c r="E120" i="58" s="1"/>
  <c r="C114" i="58"/>
  <c r="E114" i="58" s="1"/>
  <c r="C102" i="58"/>
  <c r="E102" i="58" s="1"/>
  <c r="C83" i="58"/>
  <c r="E83" i="58" s="1"/>
  <c r="E58" i="43"/>
  <c r="O58" i="43" s="1"/>
  <c r="E49" i="43"/>
  <c r="O49" i="43" s="1"/>
  <c r="E64" i="43"/>
  <c r="O64" i="43" s="1"/>
  <c r="E61" i="43"/>
  <c r="O61" i="43" s="1"/>
  <c r="E77" i="43"/>
  <c r="O77" i="43" s="1"/>
  <c r="E51" i="43"/>
  <c r="O51" i="43" s="1"/>
  <c r="E31" i="43"/>
  <c r="O31" i="43" s="1"/>
  <c r="F409" i="43"/>
  <c r="P409" i="43" s="1"/>
  <c r="F414" i="43"/>
  <c r="P414" i="43" s="1"/>
  <c r="F374" i="43"/>
  <c r="P374" i="43" s="1"/>
  <c r="F372" i="43"/>
  <c r="P372" i="43" s="1"/>
  <c r="F347" i="43"/>
  <c r="P347" i="43" s="1"/>
  <c r="D464" i="43"/>
  <c r="N464" i="43" s="1"/>
  <c r="D455" i="43"/>
  <c r="N455" i="43" s="1"/>
  <c r="D446" i="43"/>
  <c r="N446" i="43" s="1"/>
  <c r="D476" i="43"/>
  <c r="N476" i="43" s="1"/>
  <c r="F352" i="43"/>
  <c r="P352" i="43" s="1"/>
  <c r="C128" i="58"/>
  <c r="E128" i="58" s="1"/>
  <c r="C98" i="58"/>
  <c r="E98" i="58" s="1"/>
  <c r="C109" i="58"/>
  <c r="E109" i="58" s="1"/>
  <c r="C105" i="58"/>
  <c r="E105" i="58" s="1"/>
  <c r="C104" i="58"/>
  <c r="E104" i="58" s="1"/>
  <c r="E38" i="43"/>
  <c r="O38" i="43" s="1"/>
  <c r="E70" i="43"/>
  <c r="O70" i="43" s="1"/>
  <c r="E44" i="43"/>
  <c r="O44" i="43" s="1"/>
  <c r="E50" i="43"/>
  <c r="O50" i="43" s="1"/>
  <c r="E66" i="43"/>
  <c r="O66" i="43" s="1"/>
  <c r="F426" i="43"/>
  <c r="P426" i="43" s="1"/>
  <c r="F349" i="43"/>
  <c r="P349" i="43" s="1"/>
  <c r="F385" i="43"/>
  <c r="P385" i="43" s="1"/>
  <c r="F375" i="43"/>
  <c r="P375" i="43" s="1"/>
  <c r="G371" i="43"/>
  <c r="Q371" i="43" s="1"/>
  <c r="G355" i="43"/>
  <c r="Q355" i="43" s="1"/>
  <c r="D98" i="43"/>
  <c r="D99" i="43"/>
  <c r="E477" i="43"/>
  <c r="O477" i="43" s="1"/>
  <c r="G357" i="43"/>
  <c r="Q357" i="43" s="1"/>
  <c r="C482" i="43"/>
  <c r="M482" i="43" s="1"/>
  <c r="D113" i="43"/>
  <c r="E441" i="43"/>
  <c r="O441" i="43" s="1"/>
  <c r="G363" i="43"/>
  <c r="Q363" i="43" s="1"/>
  <c r="G382" i="43"/>
  <c r="Q382" i="43" s="1"/>
  <c r="G377" i="43"/>
  <c r="Q377" i="43" s="1"/>
  <c r="C474" i="43"/>
  <c r="M474" i="43" s="1"/>
  <c r="C476" i="43"/>
  <c r="M476" i="43" s="1"/>
  <c r="C440" i="43"/>
  <c r="M440" i="43" s="1"/>
  <c r="C448" i="43"/>
  <c r="M448" i="43" s="1"/>
  <c r="D97" i="43"/>
  <c r="C444" i="43"/>
  <c r="M444" i="43" s="1"/>
  <c r="C460" i="43"/>
  <c r="M460" i="43" s="1"/>
  <c r="C480" i="43"/>
  <c r="M480" i="43" s="1"/>
  <c r="C446" i="43"/>
  <c r="M446" i="43" s="1"/>
  <c r="C457" i="43"/>
  <c r="M457" i="43" s="1"/>
  <c r="G46" i="59"/>
  <c r="Q46" i="59" s="1"/>
  <c r="E32" i="51"/>
  <c r="D88" i="43"/>
  <c r="C477" i="43"/>
  <c r="M477" i="43" s="1"/>
  <c r="I19" i="54"/>
  <c r="I43" i="52" s="1"/>
  <c r="G26" i="59"/>
  <c r="Q26" i="59" s="1"/>
  <c r="G348" i="43"/>
  <c r="Q348" i="43" s="1"/>
  <c r="G356" i="43"/>
  <c r="Q356" i="43" s="1"/>
  <c r="D79" i="43"/>
  <c r="D80" i="43"/>
  <c r="E451" i="43"/>
  <c r="O451" i="43" s="1"/>
  <c r="G380" i="43"/>
  <c r="Q380" i="43" s="1"/>
  <c r="C464" i="43"/>
  <c r="M464" i="43" s="1"/>
  <c r="C454" i="43"/>
  <c r="M454" i="43" s="1"/>
  <c r="G40" i="59"/>
  <c r="Q40" i="59" s="1"/>
  <c r="G344" i="43"/>
  <c r="Q344" i="43" s="1"/>
  <c r="G358" i="43"/>
  <c r="Q358" i="43" s="1"/>
  <c r="D110" i="43"/>
  <c r="D124" i="43"/>
  <c r="G375" i="43"/>
  <c r="Q375" i="43" s="1"/>
  <c r="C484" i="43"/>
  <c r="M484" i="43" s="1"/>
  <c r="G345" i="43"/>
  <c r="Q345" i="43" s="1"/>
  <c r="G29" i="59"/>
  <c r="Q29" i="59" s="1"/>
  <c r="G338" i="43"/>
  <c r="Q338" i="43" s="1"/>
  <c r="G346" i="43"/>
  <c r="Q346" i="43" s="1"/>
  <c r="D87" i="43"/>
  <c r="D116" i="43"/>
  <c r="G384" i="43"/>
  <c r="Q384" i="43" s="1"/>
  <c r="D428" i="43"/>
  <c r="N428" i="43" s="1"/>
  <c r="D346" i="43"/>
  <c r="N346" i="43" s="1"/>
  <c r="D337" i="43"/>
  <c r="N337" i="43" s="1"/>
  <c r="D375" i="43"/>
  <c r="N375" i="43" s="1"/>
  <c r="D338" i="43"/>
  <c r="N338" i="43" s="1"/>
  <c r="D353" i="43"/>
  <c r="N353" i="43" s="1"/>
  <c r="D371" i="43"/>
  <c r="N371" i="43" s="1"/>
  <c r="F506" i="43"/>
  <c r="P506" i="43" s="1"/>
  <c r="F529" i="43"/>
  <c r="P529" i="43" s="1"/>
  <c r="D372" i="43"/>
  <c r="N372" i="43" s="1"/>
  <c r="F508" i="43"/>
  <c r="P508" i="43" s="1"/>
  <c r="F531" i="43"/>
  <c r="P531" i="43" s="1"/>
  <c r="F538" i="43"/>
  <c r="P538" i="43" s="1"/>
  <c r="D358" i="43"/>
  <c r="N358" i="43" s="1"/>
  <c r="F501" i="43"/>
  <c r="P501" i="43" s="1"/>
  <c r="D379" i="43"/>
  <c r="N379" i="43" s="1"/>
  <c r="D373" i="43"/>
  <c r="N373" i="43" s="1"/>
  <c r="D365" i="43"/>
  <c r="N365" i="43" s="1"/>
  <c r="D360" i="43"/>
  <c r="N360" i="43" s="1"/>
  <c r="F520" i="43"/>
  <c r="P520" i="43" s="1"/>
  <c r="F536" i="43"/>
  <c r="P536" i="43" s="1"/>
  <c r="D343" i="43"/>
  <c r="N343" i="43" s="1"/>
  <c r="F503" i="43"/>
  <c r="P503" i="43" s="1"/>
  <c r="G68" i="59"/>
  <c r="Q68" i="59" s="1"/>
  <c r="G32" i="59"/>
  <c r="Q32" i="59" s="1"/>
  <c r="G43" i="59"/>
  <c r="Q43" i="59" s="1"/>
  <c r="F504" i="43"/>
  <c r="P504" i="43" s="1"/>
  <c r="D347" i="43"/>
  <c r="N347" i="43" s="1"/>
  <c r="F493" i="43"/>
  <c r="P493" i="43" s="1"/>
  <c r="D367" i="43"/>
  <c r="N367" i="43" s="1"/>
  <c r="D370" i="43"/>
  <c r="N370" i="43" s="1"/>
  <c r="D385" i="43"/>
  <c r="N385" i="43" s="1"/>
  <c r="D357" i="43"/>
  <c r="N357" i="43" s="1"/>
  <c r="F498" i="43"/>
  <c r="P498" i="43" s="1"/>
  <c r="F526" i="43"/>
  <c r="P526" i="43" s="1"/>
  <c r="F497" i="43"/>
  <c r="P497" i="43" s="1"/>
  <c r="F514" i="43"/>
  <c r="P514" i="43" s="1"/>
  <c r="F519" i="43"/>
  <c r="P519" i="43" s="1"/>
  <c r="F522" i="43"/>
  <c r="P522" i="43" s="1"/>
  <c r="F489" i="43"/>
  <c r="P489" i="43" s="1"/>
  <c r="G54" i="59"/>
  <c r="Q54" i="59" s="1"/>
  <c r="G63" i="59"/>
  <c r="Q63" i="59" s="1"/>
  <c r="G35" i="59"/>
  <c r="Q35" i="59" s="1"/>
  <c r="F521" i="43"/>
  <c r="P521" i="43" s="1"/>
  <c r="D364" i="43"/>
  <c r="N364" i="43" s="1"/>
  <c r="F510" i="43"/>
  <c r="P510" i="43" s="1"/>
  <c r="D348" i="43"/>
  <c r="N348" i="43" s="1"/>
  <c r="D344" i="43"/>
  <c r="N344" i="43" s="1"/>
  <c r="D363" i="43"/>
  <c r="N363" i="43" s="1"/>
  <c r="D359" i="43"/>
  <c r="N359" i="43" s="1"/>
  <c r="F496" i="43"/>
  <c r="P496" i="43" s="1"/>
  <c r="F523" i="43"/>
  <c r="P523" i="43" s="1"/>
  <c r="F509" i="43"/>
  <c r="P509" i="43" s="1"/>
  <c r="F534" i="43"/>
  <c r="P534" i="43" s="1"/>
  <c r="F532" i="43"/>
  <c r="P532" i="43" s="1"/>
  <c r="D377" i="43"/>
  <c r="N377" i="43" s="1"/>
  <c r="G20" i="54"/>
  <c r="G44" i="52" s="1"/>
  <c r="G52" i="59"/>
  <c r="Q52" i="59" s="1"/>
  <c r="G31" i="59"/>
  <c r="Q31" i="59" s="1"/>
  <c r="D384" i="43"/>
  <c r="N384" i="43" s="1"/>
  <c r="F530" i="43"/>
  <c r="P530" i="43" s="1"/>
  <c r="D381" i="43"/>
  <c r="N381" i="43" s="1"/>
  <c r="F500" i="43"/>
  <c r="P500" i="43" s="1"/>
  <c r="D345" i="43"/>
  <c r="N345" i="43" s="1"/>
  <c r="D350" i="43"/>
  <c r="N350" i="43" s="1"/>
  <c r="D369" i="43"/>
  <c r="N369" i="43" s="1"/>
  <c r="D349" i="43"/>
  <c r="N349" i="43" s="1"/>
  <c r="F535" i="43"/>
  <c r="P535" i="43" s="1"/>
  <c r="F490" i="43"/>
  <c r="P490" i="43" s="1"/>
  <c r="F518" i="43"/>
  <c r="P518" i="43" s="1"/>
  <c r="D352" i="43"/>
  <c r="N352" i="43" s="1"/>
  <c r="F513" i="43"/>
  <c r="P513" i="43" s="1"/>
  <c r="F511" i="43"/>
  <c r="P511" i="43" s="1"/>
  <c r="F491" i="43"/>
  <c r="P491" i="43" s="1"/>
  <c r="G65" i="59"/>
  <c r="Q65" i="59" s="1"/>
  <c r="G23" i="59"/>
  <c r="Q23" i="59" s="1"/>
  <c r="D336" i="43"/>
  <c r="N336" i="43" s="1"/>
  <c r="F539" i="43"/>
  <c r="P539" i="43" s="1"/>
  <c r="D351" i="43"/>
  <c r="N351" i="43" s="1"/>
  <c r="D362" i="43"/>
  <c r="N362" i="43" s="1"/>
  <c r="D383" i="43"/>
  <c r="N383" i="43" s="1"/>
  <c r="D386" i="43"/>
  <c r="N386" i="43" s="1"/>
  <c r="D382" i="43"/>
  <c r="N382" i="43" s="1"/>
  <c r="F537" i="43"/>
  <c r="P537" i="43" s="1"/>
  <c r="F515" i="43"/>
  <c r="P515" i="43" s="1"/>
  <c r="D341" i="43"/>
  <c r="N341" i="43" s="1"/>
  <c r="D374" i="43"/>
  <c r="N374" i="43" s="1"/>
  <c r="F525" i="43"/>
  <c r="P525" i="43" s="1"/>
  <c r="F524" i="43"/>
  <c r="P524" i="43" s="1"/>
  <c r="D355" i="43"/>
  <c r="N355" i="43" s="1"/>
  <c r="G33" i="59"/>
  <c r="Q33" i="59" s="1"/>
  <c r="G18" i="59"/>
  <c r="Q18" i="59" s="1"/>
  <c r="D339" i="43"/>
  <c r="N339" i="43" s="1"/>
  <c r="F502" i="43"/>
  <c r="P502" i="43" s="1"/>
  <c r="F495" i="43"/>
  <c r="P495" i="43" s="1"/>
  <c r="D376" i="43"/>
  <c r="N376" i="43" s="1"/>
  <c r="D340" i="43"/>
  <c r="N340" i="43" s="1"/>
  <c r="D361" i="43"/>
  <c r="N361" i="43" s="1"/>
  <c r="D380" i="43"/>
  <c r="N380" i="43" s="1"/>
  <c r="F507" i="43"/>
  <c r="P507" i="43" s="1"/>
  <c r="F494" i="43"/>
  <c r="P494" i="43" s="1"/>
  <c r="E17" i="54"/>
  <c r="E41" i="52" s="1"/>
  <c r="F505" i="43"/>
  <c r="P505" i="43" s="1"/>
  <c r="F499" i="43"/>
  <c r="P499" i="43" s="1"/>
  <c r="G25" i="59"/>
  <c r="Q25" i="59" s="1"/>
  <c r="G37" i="59"/>
  <c r="Q37" i="59" s="1"/>
  <c r="D356" i="43"/>
  <c r="N356" i="43" s="1"/>
  <c r="F492" i="43"/>
  <c r="P492" i="43" s="1"/>
  <c r="F512" i="43"/>
  <c r="P512" i="43" s="1"/>
  <c r="D354" i="43"/>
  <c r="N354" i="43" s="1"/>
  <c r="D342" i="43"/>
  <c r="N342" i="43" s="1"/>
  <c r="D378" i="43"/>
  <c r="N378" i="43" s="1"/>
  <c r="D366" i="43"/>
  <c r="N366" i="43" s="1"/>
  <c r="F533" i="43"/>
  <c r="P533" i="43" s="1"/>
  <c r="F516" i="43"/>
  <c r="P516" i="43" s="1"/>
  <c r="F528" i="43"/>
  <c r="P528" i="43" s="1"/>
  <c r="F517" i="43"/>
  <c r="P517" i="43" s="1"/>
  <c r="D65" i="59"/>
  <c r="N65" i="59" s="1"/>
  <c r="D37" i="59"/>
  <c r="N37" i="59" s="1"/>
  <c r="D27" i="59"/>
  <c r="N27" i="59" s="1"/>
  <c r="D63" i="59"/>
  <c r="N63" i="59" s="1"/>
  <c r="D46" i="59"/>
  <c r="N46" i="59" s="1"/>
  <c r="D36" i="59"/>
  <c r="N36" i="59" s="1"/>
  <c r="D26" i="59"/>
  <c r="N26" i="59" s="1"/>
  <c r="C367" i="43"/>
  <c r="M367" i="43" s="1"/>
  <c r="C358" i="43"/>
  <c r="M358" i="43" s="1"/>
  <c r="D132" i="43"/>
  <c r="D129" i="43"/>
  <c r="D143" i="43"/>
  <c r="D142" i="43"/>
  <c r="D131" i="43"/>
  <c r="D177" i="43"/>
  <c r="C58" i="58"/>
  <c r="E58" i="58" s="1"/>
  <c r="C73" i="58"/>
  <c r="E73" i="58" s="1"/>
  <c r="C76" i="58"/>
  <c r="E76" i="58" s="1"/>
  <c r="C45" i="58"/>
  <c r="E45" i="58" s="1"/>
  <c r="C29" i="58"/>
  <c r="E29" i="58" s="1"/>
  <c r="C53" i="58"/>
  <c r="E53" i="58" s="1"/>
  <c r="C64" i="58"/>
  <c r="E64" i="58" s="1"/>
  <c r="F456" i="43"/>
  <c r="P456" i="43" s="1"/>
  <c r="F464" i="43"/>
  <c r="P464" i="43" s="1"/>
  <c r="F449" i="43"/>
  <c r="P449" i="43" s="1"/>
  <c r="F451" i="43"/>
  <c r="P451" i="43" s="1"/>
  <c r="F471" i="43"/>
  <c r="P471" i="43" s="1"/>
  <c r="C369" i="43"/>
  <c r="M369" i="43" s="1"/>
  <c r="C374" i="43"/>
  <c r="M374" i="43" s="1"/>
  <c r="C340" i="43"/>
  <c r="M340" i="43" s="1"/>
  <c r="C378" i="43"/>
  <c r="M378" i="43" s="1"/>
  <c r="C344" i="43"/>
  <c r="M344" i="43" s="1"/>
  <c r="F467" i="43"/>
  <c r="P467" i="43" s="1"/>
  <c r="F440" i="43"/>
  <c r="P440" i="43" s="1"/>
  <c r="I17" i="54"/>
  <c r="I41" i="52" s="1"/>
  <c r="D43" i="59"/>
  <c r="N43" i="59" s="1"/>
  <c r="D57" i="59"/>
  <c r="N57" i="59" s="1"/>
  <c r="D64" i="59"/>
  <c r="N64" i="59" s="1"/>
  <c r="D55" i="59"/>
  <c r="N55" i="59" s="1"/>
  <c r="D38" i="59"/>
  <c r="N38" i="59" s="1"/>
  <c r="D28" i="59"/>
  <c r="N28" i="59" s="1"/>
  <c r="C384" i="43"/>
  <c r="M384" i="43" s="1"/>
  <c r="F473" i="43"/>
  <c r="P473" i="43" s="1"/>
  <c r="C375" i="43"/>
  <c r="M375" i="43" s="1"/>
  <c r="D168" i="43"/>
  <c r="D157" i="43"/>
  <c r="D167" i="43"/>
  <c r="D134" i="43"/>
  <c r="D178" i="43"/>
  <c r="D169" i="43"/>
  <c r="C60" i="58"/>
  <c r="E60" i="58" s="1"/>
  <c r="C38" i="58"/>
  <c r="E38" i="58" s="1"/>
  <c r="C66" i="58"/>
  <c r="E66" i="58" s="1"/>
  <c r="C55" i="58"/>
  <c r="E55" i="58" s="1"/>
  <c r="C39" i="58"/>
  <c r="E39" i="58" s="1"/>
  <c r="C61" i="58"/>
  <c r="E61" i="58" s="1"/>
  <c r="C72" i="58"/>
  <c r="E72" i="58" s="1"/>
  <c r="F478" i="43"/>
  <c r="P478" i="43" s="1"/>
  <c r="F474" i="43"/>
  <c r="P474" i="43" s="1"/>
  <c r="F484" i="43"/>
  <c r="P484" i="43" s="1"/>
  <c r="F454" i="43"/>
  <c r="P454" i="43" s="1"/>
  <c r="C355" i="43"/>
  <c r="M355" i="43" s="1"/>
  <c r="C360" i="43"/>
  <c r="M360" i="43" s="1"/>
  <c r="C372" i="43"/>
  <c r="M372" i="43" s="1"/>
  <c r="C361" i="43"/>
  <c r="M361" i="43" s="1"/>
  <c r="C370" i="43"/>
  <c r="M370" i="43" s="1"/>
  <c r="D19" i="59"/>
  <c r="N19" i="59" s="1"/>
  <c r="D35" i="59"/>
  <c r="N35" i="59" s="1"/>
  <c r="D56" i="59"/>
  <c r="N56" i="59" s="1"/>
  <c r="D47" i="59"/>
  <c r="N47" i="59" s="1"/>
  <c r="D30" i="59"/>
  <c r="N30" i="59" s="1"/>
  <c r="D20" i="59"/>
  <c r="N20" i="59" s="1"/>
  <c r="C385" i="43"/>
  <c r="M385" i="43" s="1"/>
  <c r="F482" i="43"/>
  <c r="P482" i="43" s="1"/>
  <c r="C336" i="43"/>
  <c r="M336" i="43" s="1"/>
  <c r="F481" i="43"/>
  <c r="P481" i="43" s="1"/>
  <c r="D172" i="43"/>
  <c r="D148" i="43"/>
  <c r="D136" i="43"/>
  <c r="D151" i="43"/>
  <c r="D179" i="43"/>
  <c r="D170" i="43"/>
  <c r="D161" i="43"/>
  <c r="C71" i="58"/>
  <c r="E71" i="58" s="1"/>
  <c r="C77" i="58"/>
  <c r="E77" i="58" s="1"/>
  <c r="C30" i="58"/>
  <c r="E30" i="58" s="1"/>
  <c r="C70" i="58"/>
  <c r="E70" i="58" s="1"/>
  <c r="C50" i="58"/>
  <c r="E50" i="58" s="1"/>
  <c r="C69" i="58"/>
  <c r="E69" i="58" s="1"/>
  <c r="F441" i="43"/>
  <c r="P441" i="43" s="1"/>
  <c r="F476" i="43"/>
  <c r="P476" i="43" s="1"/>
  <c r="F463" i="43"/>
  <c r="P463" i="43" s="1"/>
  <c r="C341" i="43"/>
  <c r="M341" i="43" s="1"/>
  <c r="C377" i="43"/>
  <c r="M377" i="43" s="1"/>
  <c r="C382" i="43"/>
  <c r="M382" i="43" s="1"/>
  <c r="C386" i="43"/>
  <c r="M386" i="43" s="1"/>
  <c r="F475" i="43"/>
  <c r="P475" i="43" s="1"/>
  <c r="F448" i="43"/>
  <c r="P448" i="43" s="1"/>
  <c r="F462" i="43"/>
  <c r="P462" i="43" s="1"/>
  <c r="G19" i="54"/>
  <c r="G43" i="52" s="1"/>
  <c r="D29" i="59"/>
  <c r="N29" i="59" s="1"/>
  <c r="D53" i="59"/>
  <c r="N53" i="59" s="1"/>
  <c r="D48" i="59"/>
  <c r="N48" i="59" s="1"/>
  <c r="D39" i="59"/>
  <c r="N39" i="59" s="1"/>
  <c r="D22" i="59"/>
  <c r="N22" i="59" s="1"/>
  <c r="D66" i="59"/>
  <c r="N66" i="59" s="1"/>
  <c r="G76" i="59"/>
  <c r="Q76" i="59" s="1"/>
  <c r="C339" i="43"/>
  <c r="M339" i="43" s="1"/>
  <c r="F452" i="43"/>
  <c r="P452" i="43" s="1"/>
  <c r="C338" i="43"/>
  <c r="M338" i="43" s="1"/>
  <c r="F443" i="43"/>
  <c r="P443" i="43" s="1"/>
  <c r="D160" i="43"/>
  <c r="D165" i="43"/>
  <c r="D176" i="43"/>
  <c r="D135" i="43"/>
  <c r="D171" i="43"/>
  <c r="D162" i="43"/>
  <c r="D153" i="43"/>
  <c r="C32" i="58"/>
  <c r="E32" i="58" s="1"/>
  <c r="C62" i="58"/>
  <c r="E62" i="58" s="1"/>
  <c r="C43" i="58"/>
  <c r="E43" i="58" s="1"/>
  <c r="C35" i="58"/>
  <c r="E35" i="58" s="1"/>
  <c r="C57" i="58"/>
  <c r="E57" i="58" s="1"/>
  <c r="C28" i="58"/>
  <c r="E28" i="58" s="1"/>
  <c r="F466" i="43"/>
  <c r="P466" i="43" s="1"/>
  <c r="F455" i="43"/>
  <c r="P455" i="43" s="1"/>
  <c r="F446" i="43"/>
  <c r="P446" i="43" s="1"/>
  <c r="C363" i="43"/>
  <c r="M363" i="43" s="1"/>
  <c r="C368" i="43"/>
  <c r="M368" i="43" s="1"/>
  <c r="C343" i="43"/>
  <c r="M343" i="43" s="1"/>
  <c r="C380" i="43"/>
  <c r="M380" i="43" s="1"/>
  <c r="D45" i="59"/>
  <c r="N45" i="59" s="1"/>
  <c r="D33" i="59"/>
  <c r="N33" i="59" s="1"/>
  <c r="D40" i="59"/>
  <c r="N40" i="59" s="1"/>
  <c r="D31" i="59"/>
  <c r="N31" i="59" s="1"/>
  <c r="D68" i="59"/>
  <c r="N68" i="59" s="1"/>
  <c r="D58" i="59"/>
  <c r="N58" i="59" s="1"/>
  <c r="C356" i="43"/>
  <c r="M356" i="43" s="1"/>
  <c r="F469" i="43"/>
  <c r="P469" i="43" s="1"/>
  <c r="C347" i="43"/>
  <c r="M347" i="43" s="1"/>
  <c r="F460" i="43"/>
  <c r="P460" i="43" s="1"/>
  <c r="D149" i="43"/>
  <c r="D144" i="43"/>
  <c r="D156" i="43"/>
  <c r="D174" i="43"/>
  <c r="D163" i="43"/>
  <c r="D154" i="43"/>
  <c r="D145" i="43"/>
  <c r="C47" i="58"/>
  <c r="E47" i="58" s="1"/>
  <c r="C40" i="58"/>
  <c r="E40" i="58" s="1"/>
  <c r="C54" i="58"/>
  <c r="E54" i="58" s="1"/>
  <c r="C46" i="58"/>
  <c r="E46" i="58" s="1"/>
  <c r="C67" i="58"/>
  <c r="E67" i="58" s="1"/>
  <c r="C36" i="58"/>
  <c r="E36" i="58" s="1"/>
  <c r="F468" i="43"/>
  <c r="P468" i="43" s="1"/>
  <c r="F480" i="43"/>
  <c r="P480" i="43" s="1"/>
  <c r="C349" i="43"/>
  <c r="M349" i="43" s="1"/>
  <c r="C346" i="43"/>
  <c r="M346" i="43" s="1"/>
  <c r="C376" i="43"/>
  <c r="M376" i="43" s="1"/>
  <c r="F453" i="43"/>
  <c r="P453" i="43" s="1"/>
  <c r="C359" i="43"/>
  <c r="M359" i="43" s="1"/>
  <c r="D61" i="59"/>
  <c r="N61" i="59" s="1"/>
  <c r="D51" i="59"/>
  <c r="N51" i="59" s="1"/>
  <c r="D32" i="59"/>
  <c r="N32" i="59" s="1"/>
  <c r="D23" i="59"/>
  <c r="N23" i="59" s="1"/>
  <c r="D60" i="59"/>
  <c r="N60" i="59" s="1"/>
  <c r="D50" i="59"/>
  <c r="N50" i="59" s="1"/>
  <c r="C373" i="43"/>
  <c r="M373" i="43" s="1"/>
  <c r="F479" i="43"/>
  <c r="P479" i="43" s="1"/>
  <c r="C364" i="43"/>
  <c r="M364" i="43" s="1"/>
  <c r="F477" i="43"/>
  <c r="P477" i="43" s="1"/>
  <c r="D140" i="43"/>
  <c r="E33" i="51"/>
  <c r="D133" i="43"/>
  <c r="D166" i="43"/>
  <c r="D155" i="43"/>
  <c r="D146" i="43"/>
  <c r="D137" i="43"/>
  <c r="C34" i="58"/>
  <c r="E34" i="58" s="1"/>
  <c r="C65" i="58"/>
  <c r="E65" i="58" s="1"/>
  <c r="C68" i="58"/>
  <c r="E68" i="58" s="1"/>
  <c r="C75" i="58"/>
  <c r="E75" i="58" s="1"/>
  <c r="C33" i="58"/>
  <c r="E33" i="58" s="1"/>
  <c r="C44" i="58"/>
  <c r="E44" i="58" s="1"/>
  <c r="F450" i="43"/>
  <c r="P450" i="43" s="1"/>
  <c r="F458" i="43"/>
  <c r="P458" i="43" s="1"/>
  <c r="F447" i="43"/>
  <c r="P447" i="43" s="1"/>
  <c r="F465" i="43"/>
  <c r="P465" i="43" s="1"/>
  <c r="C371" i="43"/>
  <c r="M371" i="43" s="1"/>
  <c r="C354" i="43"/>
  <c r="M354" i="43" s="1"/>
  <c r="C351" i="43"/>
  <c r="M351" i="43" s="1"/>
  <c r="F442" i="43"/>
  <c r="P442" i="43" s="1"/>
  <c r="F438" i="43"/>
  <c r="P438" i="43" s="1"/>
  <c r="D67" i="59"/>
  <c r="N67" i="59" s="1"/>
  <c r="D41" i="59"/>
  <c r="N41" i="59" s="1"/>
  <c r="D18" i="59"/>
  <c r="N18" i="59" s="1"/>
  <c r="D24" i="59"/>
  <c r="N24" i="59" s="1"/>
  <c r="D62" i="59"/>
  <c r="N62" i="59" s="1"/>
  <c r="D52" i="59"/>
  <c r="N52" i="59" s="1"/>
  <c r="D42" i="59"/>
  <c r="N42" i="59" s="1"/>
  <c r="F488" i="43"/>
  <c r="P488" i="43" s="1"/>
  <c r="C381" i="43"/>
  <c r="M381" i="43" s="1"/>
  <c r="F487" i="43"/>
  <c r="P487" i="43" s="1"/>
  <c r="D173" i="43"/>
  <c r="D164" i="43"/>
  <c r="D175" i="43"/>
  <c r="D158" i="43"/>
  <c r="D147" i="43"/>
  <c r="C51" i="58"/>
  <c r="E51" i="58" s="1"/>
  <c r="C48" i="58"/>
  <c r="E48" i="58" s="1"/>
  <c r="C27" i="58"/>
  <c r="E27" i="58" s="1"/>
  <c r="B38" i="51"/>
  <c r="C63" i="58"/>
  <c r="E63" i="58" s="1"/>
  <c r="C41" i="58"/>
  <c r="E41" i="58" s="1"/>
  <c r="F483" i="43"/>
  <c r="P483" i="43" s="1"/>
  <c r="F444" i="43"/>
  <c r="P444" i="43" s="1"/>
  <c r="F472" i="43"/>
  <c r="P472" i="43" s="1"/>
  <c r="F459" i="43"/>
  <c r="P459" i="43" s="1"/>
  <c r="C366" i="43"/>
  <c r="M366" i="43" s="1"/>
  <c r="C357" i="43"/>
  <c r="M357" i="43" s="1"/>
  <c r="C379" i="43"/>
  <c r="M379" i="43" s="1"/>
  <c r="C337" i="43"/>
  <c r="M337" i="43" s="1"/>
  <c r="C383" i="43"/>
  <c r="M383" i="43" s="1"/>
  <c r="F470" i="43"/>
  <c r="P470" i="43" s="1"/>
  <c r="F51" i="59"/>
  <c r="P51" i="59" s="1"/>
  <c r="F33" i="59"/>
  <c r="P33" i="59" s="1"/>
  <c r="F30" i="59"/>
  <c r="P30" i="59" s="1"/>
  <c r="F53" i="59"/>
  <c r="P53" i="59" s="1"/>
  <c r="F47" i="59"/>
  <c r="P47" i="59" s="1"/>
  <c r="F34" i="59"/>
  <c r="P34" i="59" s="1"/>
  <c r="F48" i="59"/>
  <c r="P48" i="59" s="1"/>
  <c r="P80" i="59"/>
  <c r="G350" i="43"/>
  <c r="Q350" i="43" s="1"/>
  <c r="G381" i="43"/>
  <c r="Q381" i="43" s="1"/>
  <c r="D122" i="43"/>
  <c r="D106" i="43"/>
  <c r="D118" i="43"/>
  <c r="D81" i="43"/>
  <c r="D125" i="43"/>
  <c r="D108" i="43"/>
  <c r="D91" i="43"/>
  <c r="G369" i="43"/>
  <c r="Q369" i="43" s="1"/>
  <c r="G339" i="43"/>
  <c r="Q339" i="43" s="1"/>
  <c r="G383" i="43"/>
  <c r="Q383" i="43" s="1"/>
  <c r="D398" i="43"/>
  <c r="N398" i="43" s="1"/>
  <c r="C461" i="43"/>
  <c r="M461" i="43" s="1"/>
  <c r="C463" i="43"/>
  <c r="M463" i="43" s="1"/>
  <c r="C438" i="43"/>
  <c r="M438" i="43" s="1"/>
  <c r="C479" i="43"/>
  <c r="M479" i="43" s="1"/>
  <c r="C449" i="43"/>
  <c r="M449" i="43" s="1"/>
  <c r="C466" i="43"/>
  <c r="M466" i="43" s="1"/>
  <c r="C469" i="43"/>
  <c r="M469" i="43" s="1"/>
  <c r="C441" i="43"/>
  <c r="M441" i="43" s="1"/>
  <c r="E474" i="43"/>
  <c r="O474" i="43" s="1"/>
  <c r="F19" i="59"/>
  <c r="P19" i="59" s="1"/>
  <c r="F63" i="59"/>
  <c r="P63" i="59" s="1"/>
  <c r="F22" i="59"/>
  <c r="P22" i="59" s="1"/>
  <c r="F45" i="59"/>
  <c r="P45" i="59" s="1"/>
  <c r="F68" i="59"/>
  <c r="P68" i="59" s="1"/>
  <c r="F26" i="59"/>
  <c r="P26" i="59" s="1"/>
  <c r="F40" i="59"/>
  <c r="P40" i="59" s="1"/>
  <c r="D111" i="43"/>
  <c r="D86" i="43"/>
  <c r="D95" i="43"/>
  <c r="D128" i="43"/>
  <c r="D117" i="43"/>
  <c r="D100" i="43"/>
  <c r="D83" i="43"/>
  <c r="E440" i="43"/>
  <c r="O440" i="43" s="1"/>
  <c r="G374" i="43"/>
  <c r="Q374" i="43" s="1"/>
  <c r="G361" i="43"/>
  <c r="Q361" i="43" s="1"/>
  <c r="G353" i="43"/>
  <c r="Q353" i="43" s="1"/>
  <c r="C478" i="43"/>
  <c r="M478" i="43" s="1"/>
  <c r="C451" i="43"/>
  <c r="M451" i="43" s="1"/>
  <c r="C458" i="43"/>
  <c r="M458" i="43" s="1"/>
  <c r="C483" i="43"/>
  <c r="M483" i="43" s="1"/>
  <c r="C467" i="43"/>
  <c r="M467" i="43" s="1"/>
  <c r="F49" i="59"/>
  <c r="P49" i="59" s="1"/>
  <c r="F39" i="59"/>
  <c r="P39" i="59" s="1"/>
  <c r="F37" i="59"/>
  <c r="P37" i="59" s="1"/>
  <c r="F60" i="59"/>
  <c r="P60" i="59" s="1"/>
  <c r="F32" i="59"/>
  <c r="P32" i="59" s="1"/>
  <c r="D102" i="43"/>
  <c r="D127" i="43"/>
  <c r="D121" i="43"/>
  <c r="D120" i="43"/>
  <c r="D109" i="43"/>
  <c r="D92" i="43"/>
  <c r="E458" i="43"/>
  <c r="O458" i="43" s="1"/>
  <c r="G354" i="43"/>
  <c r="Q354" i="43" s="1"/>
  <c r="G359" i="43"/>
  <c r="Q359" i="43" s="1"/>
  <c r="G351" i="43"/>
  <c r="Q351" i="43" s="1"/>
  <c r="G340" i="43"/>
  <c r="Q340" i="43" s="1"/>
  <c r="G366" i="43"/>
  <c r="Q366" i="43" s="1"/>
  <c r="G343" i="43"/>
  <c r="Q343" i="43" s="1"/>
  <c r="C455" i="43"/>
  <c r="M455" i="43" s="1"/>
  <c r="D417" i="43"/>
  <c r="N417" i="43" s="1"/>
  <c r="C468" i="43"/>
  <c r="M468" i="43" s="1"/>
  <c r="C475" i="43"/>
  <c r="M475" i="43" s="1"/>
  <c r="C453" i="43"/>
  <c r="M453" i="43" s="1"/>
  <c r="C473" i="43"/>
  <c r="M473" i="43" s="1"/>
  <c r="C486" i="43"/>
  <c r="M486" i="43" s="1"/>
  <c r="F43" i="59"/>
  <c r="P43" i="59" s="1"/>
  <c r="F23" i="59"/>
  <c r="P23" i="59" s="1"/>
  <c r="F29" i="59"/>
  <c r="P29" i="59" s="1"/>
  <c r="F52" i="59"/>
  <c r="P52" i="59" s="1"/>
  <c r="F24" i="59"/>
  <c r="P24" i="59" s="1"/>
  <c r="D90" i="43"/>
  <c r="D126" i="43"/>
  <c r="D105" i="43"/>
  <c r="D112" i="43"/>
  <c r="D101" i="43"/>
  <c r="D84" i="43"/>
  <c r="E467" i="43"/>
  <c r="O467" i="43" s="1"/>
  <c r="G337" i="43"/>
  <c r="Q337" i="43" s="1"/>
  <c r="G367" i="43"/>
  <c r="Q367" i="43" s="1"/>
  <c r="G341" i="43"/>
  <c r="Q341" i="43" s="1"/>
  <c r="G364" i="43"/>
  <c r="Q364" i="43" s="1"/>
  <c r="G372" i="43"/>
  <c r="Q372" i="43" s="1"/>
  <c r="D390" i="43"/>
  <c r="N390" i="43" s="1"/>
  <c r="C472" i="43"/>
  <c r="M472" i="43" s="1"/>
  <c r="C485" i="43"/>
  <c r="M485" i="43" s="1"/>
  <c r="C488" i="43"/>
  <c r="M488" i="43" s="1"/>
  <c r="C445" i="43"/>
  <c r="M445" i="43" s="1"/>
  <c r="C470" i="43"/>
  <c r="M470" i="43" s="1"/>
  <c r="C450" i="43"/>
  <c r="M450" i="43" s="1"/>
  <c r="F59" i="59"/>
  <c r="P59" i="59" s="1"/>
  <c r="F41" i="59"/>
  <c r="P41" i="59" s="1"/>
  <c r="F62" i="59"/>
  <c r="P62" i="59" s="1"/>
  <c r="F55" i="59"/>
  <c r="P55" i="59" s="1"/>
  <c r="F21" i="59"/>
  <c r="P21" i="59" s="1"/>
  <c r="F44" i="59"/>
  <c r="P44" i="59" s="1"/>
  <c r="F66" i="59"/>
  <c r="P66" i="59" s="1"/>
  <c r="P70" i="59"/>
  <c r="G385" i="43"/>
  <c r="Q385" i="43" s="1"/>
  <c r="G352" i="43"/>
  <c r="Q352" i="43" s="1"/>
  <c r="D114" i="43"/>
  <c r="D103" i="43"/>
  <c r="D89" i="43"/>
  <c r="D104" i="43"/>
  <c r="D93" i="43"/>
  <c r="D123" i="43"/>
  <c r="E445" i="43"/>
  <c r="O445" i="43" s="1"/>
  <c r="G347" i="43"/>
  <c r="Q347" i="43" s="1"/>
  <c r="G349" i="43"/>
  <c r="Q349" i="43" s="1"/>
  <c r="G360" i="43"/>
  <c r="Q360" i="43" s="1"/>
  <c r="B17" i="54"/>
  <c r="B41" i="52" s="1"/>
  <c r="G376" i="43"/>
  <c r="Q376" i="43" s="1"/>
  <c r="G368" i="43"/>
  <c r="Q368" i="43" s="1"/>
  <c r="C456" i="43"/>
  <c r="M456" i="43" s="1"/>
  <c r="C481" i="43"/>
  <c r="M481" i="43" s="1"/>
  <c r="C471" i="43"/>
  <c r="M471" i="43" s="1"/>
  <c r="C442" i="43"/>
  <c r="M442" i="43" s="1"/>
  <c r="C462" i="43"/>
  <c r="M462" i="43" s="1"/>
  <c r="C447" i="43"/>
  <c r="M447" i="43" s="1"/>
  <c r="D420" i="43"/>
  <c r="N420" i="43" s="1"/>
  <c r="C487" i="43"/>
  <c r="M487" i="43" s="1"/>
  <c r="C452" i="43"/>
  <c r="M452" i="43" s="1"/>
  <c r="F57" i="59"/>
  <c r="P57" i="59" s="1"/>
  <c r="F67" i="59"/>
  <c r="P67" i="59" s="1"/>
  <c r="F54" i="59"/>
  <c r="P54" i="59" s="1"/>
  <c r="F31" i="59"/>
  <c r="P31" i="59" s="1"/>
  <c r="F36" i="59"/>
  <c r="P36" i="59" s="1"/>
  <c r="F58" i="59"/>
  <c r="P58" i="59" s="1"/>
  <c r="P106" i="59"/>
  <c r="D94" i="43"/>
  <c r="D82" i="43"/>
  <c r="D78" i="43"/>
  <c r="D96" i="43"/>
  <c r="D85" i="43"/>
  <c r="G370" i="43"/>
  <c r="Q370" i="43" s="1"/>
  <c r="G365" i="43"/>
  <c r="Q365" i="43" s="1"/>
  <c r="G362" i="43"/>
  <c r="Q362" i="43" s="1"/>
  <c r="G378" i="43"/>
  <c r="Q378" i="43" s="1"/>
  <c r="G342" i="43"/>
  <c r="Q342" i="43" s="1"/>
  <c r="C465" i="43"/>
  <c r="M465" i="43" s="1"/>
  <c r="C443" i="43"/>
  <c r="M443" i="43" s="1"/>
  <c r="C459" i="43"/>
  <c r="M459" i="43" s="1"/>
  <c r="D415" i="43"/>
  <c r="N415" i="43" s="1"/>
  <c r="G410" i="43"/>
  <c r="Q410" i="43" s="1"/>
  <c r="G427" i="43"/>
  <c r="Q427" i="43" s="1"/>
  <c r="G435" i="43"/>
  <c r="Q435" i="43" s="1"/>
  <c r="G389" i="43"/>
  <c r="Q389" i="43" s="1"/>
  <c r="G420" i="43"/>
  <c r="Q420" i="43" s="1"/>
  <c r="G406" i="43"/>
  <c r="Q406" i="43" s="1"/>
  <c r="G429" i="43"/>
  <c r="Q429" i="43" s="1"/>
  <c r="G416" i="43"/>
  <c r="Q416" i="43" s="1"/>
  <c r="C395" i="43"/>
  <c r="M395" i="43" s="1"/>
  <c r="C410" i="43"/>
  <c r="M410" i="43" s="1"/>
  <c r="C425" i="43"/>
  <c r="M425" i="43" s="1"/>
  <c r="C387" i="43"/>
  <c r="M387" i="43" s="1"/>
  <c r="C421" i="43"/>
  <c r="M421" i="43" s="1"/>
  <c r="C430" i="43"/>
  <c r="M430" i="43" s="1"/>
  <c r="C437" i="43"/>
  <c r="M437" i="43" s="1"/>
  <c r="G517" i="43"/>
  <c r="Q517" i="43" s="1"/>
  <c r="G525" i="43"/>
  <c r="Q525" i="43" s="1"/>
  <c r="G533" i="43"/>
  <c r="Q533" i="43" s="1"/>
  <c r="G504" i="43"/>
  <c r="Q504" i="43" s="1"/>
  <c r="G538" i="43"/>
  <c r="Q538" i="43" s="1"/>
  <c r="G501" i="43"/>
  <c r="Q501" i="43" s="1"/>
  <c r="G490" i="43"/>
  <c r="Q490" i="43" s="1"/>
  <c r="G387" i="43"/>
  <c r="Q387" i="43" s="1"/>
  <c r="G392" i="43"/>
  <c r="Q392" i="43" s="1"/>
  <c r="G436" i="43"/>
  <c r="Q436" i="43" s="1"/>
  <c r="G398" i="43"/>
  <c r="Q398" i="43" s="1"/>
  <c r="G433" i="43"/>
  <c r="Q433" i="43" s="1"/>
  <c r="G399" i="43"/>
  <c r="Q399" i="43" s="1"/>
  <c r="C422" i="43"/>
  <c r="M422" i="43" s="1"/>
  <c r="C388" i="43"/>
  <c r="M388" i="43" s="1"/>
  <c r="C413" i="43"/>
  <c r="M413" i="43" s="1"/>
  <c r="C401" i="43"/>
  <c r="M401" i="43" s="1"/>
  <c r="C392" i="43"/>
  <c r="M392" i="43" s="1"/>
  <c r="G507" i="43"/>
  <c r="Q507" i="43" s="1"/>
  <c r="G515" i="43"/>
  <c r="Q515" i="43" s="1"/>
  <c r="G526" i="43"/>
  <c r="Q526" i="43" s="1"/>
  <c r="G521" i="43"/>
  <c r="Q521" i="43" s="1"/>
  <c r="G493" i="43"/>
  <c r="Q493" i="43" s="1"/>
  <c r="G491" i="43"/>
  <c r="Q491" i="43" s="1"/>
  <c r="G401" i="43"/>
  <c r="Q401" i="43" s="1"/>
  <c r="G409" i="43"/>
  <c r="Q409" i="43" s="1"/>
  <c r="G390" i="43"/>
  <c r="Q390" i="43" s="1"/>
  <c r="G408" i="43"/>
  <c r="Q408" i="43" s="1"/>
  <c r="G424" i="43"/>
  <c r="Q424" i="43" s="1"/>
  <c r="B18" i="54"/>
  <c r="B42" i="52" s="1"/>
  <c r="G412" i="43"/>
  <c r="Q412" i="43" s="1"/>
  <c r="C402" i="43"/>
  <c r="M402" i="43" s="1"/>
  <c r="C433" i="43"/>
  <c r="M433" i="43" s="1"/>
  <c r="C397" i="43"/>
  <c r="M397" i="43" s="1"/>
  <c r="C431" i="43"/>
  <c r="M431" i="43" s="1"/>
  <c r="G496" i="43"/>
  <c r="Q496" i="43" s="1"/>
  <c r="G530" i="43"/>
  <c r="Q530" i="43" s="1"/>
  <c r="G539" i="43"/>
  <c r="Q539" i="43" s="1"/>
  <c r="G500" i="43"/>
  <c r="Q500" i="43" s="1"/>
  <c r="G415" i="43"/>
  <c r="Q415" i="43" s="1"/>
  <c r="G423" i="43"/>
  <c r="Q423" i="43" s="1"/>
  <c r="G400" i="43"/>
  <c r="Q400" i="43" s="1"/>
  <c r="G425" i="43"/>
  <c r="Q425" i="43" s="1"/>
  <c r="G391" i="43"/>
  <c r="Q391" i="43" s="1"/>
  <c r="I18" i="54"/>
  <c r="I42" i="52" s="1"/>
  <c r="G407" i="43"/>
  <c r="Q407" i="43" s="1"/>
  <c r="C426" i="43"/>
  <c r="M426" i="43" s="1"/>
  <c r="C435" i="43"/>
  <c r="M435" i="43" s="1"/>
  <c r="C406" i="43"/>
  <c r="M406" i="43" s="1"/>
  <c r="C434" i="43"/>
  <c r="M434" i="43" s="1"/>
  <c r="C390" i="43"/>
  <c r="M390" i="43" s="1"/>
  <c r="G502" i="43"/>
  <c r="Q502" i="43" s="1"/>
  <c r="G510" i="43"/>
  <c r="Q510" i="43" s="1"/>
  <c r="G518" i="43"/>
  <c r="Q518" i="43" s="1"/>
  <c r="G513" i="43"/>
  <c r="Q513" i="43" s="1"/>
  <c r="G489" i="43"/>
  <c r="Q489" i="43" s="1"/>
  <c r="G509" i="43"/>
  <c r="Q509" i="43" s="1"/>
  <c r="G405" i="43"/>
  <c r="Q405" i="43" s="1"/>
  <c r="G434" i="43"/>
  <c r="Q434" i="43" s="1"/>
  <c r="G417" i="43"/>
  <c r="Q417" i="43" s="1"/>
  <c r="G426" i="43"/>
  <c r="Q426" i="43" s="1"/>
  <c r="G413" i="43"/>
  <c r="Q413" i="43" s="1"/>
  <c r="C389" i="43"/>
  <c r="M389" i="43" s="1"/>
  <c r="C415" i="43"/>
  <c r="M415" i="43" s="1"/>
  <c r="C396" i="43"/>
  <c r="M396" i="43" s="1"/>
  <c r="C394" i="43"/>
  <c r="M394" i="43" s="1"/>
  <c r="C411" i="43"/>
  <c r="M411" i="43" s="1"/>
  <c r="C416" i="43"/>
  <c r="M416" i="43" s="1"/>
  <c r="C419" i="43"/>
  <c r="M419" i="43" s="1"/>
  <c r="C412" i="43"/>
  <c r="M412" i="43" s="1"/>
  <c r="G519" i="43"/>
  <c r="Q519" i="43" s="1"/>
  <c r="G527" i="43"/>
  <c r="Q527" i="43" s="1"/>
  <c r="G535" i="43"/>
  <c r="Q535" i="43" s="1"/>
  <c r="G522" i="43"/>
  <c r="Q522" i="43" s="1"/>
  <c r="G531" i="43"/>
  <c r="Q531" i="43" s="1"/>
  <c r="G503" i="43"/>
  <c r="Q503" i="43" s="1"/>
  <c r="G499" i="43"/>
  <c r="Q499" i="43" s="1"/>
  <c r="G394" i="43"/>
  <c r="Q394" i="43" s="1"/>
  <c r="G402" i="43"/>
  <c r="Q402" i="43" s="1"/>
  <c r="G396" i="43"/>
  <c r="Q396" i="43" s="1"/>
  <c r="G431" i="43"/>
  <c r="Q431" i="43" s="1"/>
  <c r="G388" i="43"/>
  <c r="Q388" i="43" s="1"/>
  <c r="G421" i="43"/>
  <c r="Q421" i="43" s="1"/>
  <c r="C398" i="43"/>
  <c r="M398" i="43" s="1"/>
  <c r="C432" i="43"/>
  <c r="M432" i="43" s="1"/>
  <c r="C405" i="43"/>
  <c r="M405" i="43" s="1"/>
  <c r="C428" i="43"/>
  <c r="M428" i="43" s="1"/>
  <c r="C436" i="43"/>
  <c r="M436" i="43" s="1"/>
  <c r="C427" i="43"/>
  <c r="M427" i="43" s="1"/>
  <c r="C400" i="43"/>
  <c r="M400" i="43" s="1"/>
  <c r="G536" i="43"/>
  <c r="Q536" i="43" s="1"/>
  <c r="G497" i="43"/>
  <c r="Q497" i="43" s="1"/>
  <c r="G505" i="43"/>
  <c r="Q505" i="43" s="1"/>
  <c r="G532" i="43"/>
  <c r="Q532" i="43" s="1"/>
  <c r="G495" i="43"/>
  <c r="Q495" i="43" s="1"/>
  <c r="G520" i="43"/>
  <c r="Q520" i="43" s="1"/>
  <c r="G494" i="43"/>
  <c r="Q494" i="43" s="1"/>
  <c r="G411" i="43"/>
  <c r="Q411" i="43" s="1"/>
  <c r="G419" i="43"/>
  <c r="Q419" i="43" s="1"/>
  <c r="G414" i="43"/>
  <c r="Q414" i="43" s="1"/>
  <c r="G418" i="43"/>
  <c r="Q418" i="43" s="1"/>
  <c r="G397" i="43"/>
  <c r="Q397" i="43" s="1"/>
  <c r="G422" i="43"/>
  <c r="Q422" i="43" s="1"/>
  <c r="G393" i="43"/>
  <c r="Q393" i="43" s="1"/>
  <c r="F430" i="43"/>
  <c r="P430" i="43" s="1"/>
  <c r="F424" i="43"/>
  <c r="P424" i="43" s="1"/>
  <c r="F395" i="43"/>
  <c r="P395" i="43" s="1"/>
  <c r="F392" i="43"/>
  <c r="P392" i="43" s="1"/>
  <c r="F417" i="43"/>
  <c r="P417" i="43" s="1"/>
  <c r="F391" i="43"/>
  <c r="P391" i="43" s="1"/>
  <c r="F387" i="43"/>
  <c r="P387" i="43" s="1"/>
  <c r="F400" i="43"/>
  <c r="P400" i="43" s="1"/>
  <c r="F425" i="43"/>
  <c r="P425" i="43" s="1"/>
  <c r="F399" i="43"/>
  <c r="P399" i="43" s="1"/>
  <c r="F437" i="43"/>
  <c r="P437" i="43" s="1"/>
  <c r="F429" i="43"/>
  <c r="P429" i="43" s="1"/>
  <c r="G18" i="54"/>
  <c r="G42" i="52" s="1"/>
  <c r="F421" i="43"/>
  <c r="P421" i="43" s="1"/>
  <c r="F416" i="43"/>
  <c r="P416" i="43" s="1"/>
  <c r="F408" i="43"/>
  <c r="P408" i="43" s="1"/>
  <c r="F433" i="43"/>
  <c r="P433" i="43" s="1"/>
  <c r="F407" i="43"/>
  <c r="P407" i="43" s="1"/>
  <c r="F390" i="43"/>
  <c r="P390" i="43" s="1"/>
  <c r="F428" i="43"/>
  <c r="P428" i="43" s="1"/>
  <c r="F420" i="43"/>
  <c r="P420" i="43" s="1"/>
  <c r="F402" i="43"/>
  <c r="P402" i="43" s="1"/>
  <c r="F394" i="43"/>
  <c r="P394" i="43" s="1"/>
  <c r="F415" i="43"/>
  <c r="P415" i="43" s="1"/>
  <c r="F398" i="43"/>
  <c r="P398" i="43" s="1"/>
  <c r="F436" i="43"/>
  <c r="P436" i="43" s="1"/>
  <c r="F419" i="43"/>
  <c r="P419" i="43" s="1"/>
  <c r="F411" i="43"/>
  <c r="P411" i="43" s="1"/>
  <c r="F431" i="43"/>
  <c r="P431" i="43" s="1"/>
  <c r="F423" i="43"/>
  <c r="P423" i="43" s="1"/>
  <c r="F406" i="43"/>
  <c r="P406" i="43" s="1"/>
  <c r="F389" i="43"/>
  <c r="P389" i="43" s="1"/>
  <c r="F427" i="43"/>
  <c r="P427" i="43" s="1"/>
  <c r="D449" i="43"/>
  <c r="N449" i="43" s="1"/>
  <c r="D458" i="43"/>
  <c r="N458" i="43" s="1"/>
  <c r="D475" i="43"/>
  <c r="N475" i="43" s="1"/>
  <c r="D457" i="43"/>
  <c r="N457" i="43" s="1"/>
  <c r="D466" i="43"/>
  <c r="N466" i="43" s="1"/>
  <c r="D483" i="43"/>
  <c r="N483" i="43" s="1"/>
  <c r="D473" i="43"/>
  <c r="N473" i="43" s="1"/>
  <c r="D481" i="43"/>
  <c r="N481" i="43" s="1"/>
  <c r="D443" i="43"/>
  <c r="N443" i="43" s="1"/>
  <c r="D460" i="43"/>
  <c r="N460" i="43" s="1"/>
  <c r="D530" i="43"/>
  <c r="N530" i="43" s="1"/>
  <c r="D506" i="43"/>
  <c r="N506" i="43" s="1"/>
  <c r="D504" i="43"/>
  <c r="N504" i="43" s="1"/>
  <c r="D529" i="43"/>
  <c r="N529" i="43" s="1"/>
  <c r="D527" i="43"/>
  <c r="N527" i="43" s="1"/>
  <c r="D503" i="43"/>
  <c r="N503" i="43" s="1"/>
  <c r="D512" i="43"/>
  <c r="N512" i="43" s="1"/>
  <c r="D518" i="43"/>
  <c r="N518" i="43" s="1"/>
  <c r="D533" i="43"/>
  <c r="N533" i="43" s="1"/>
  <c r="D515" i="43"/>
  <c r="N515" i="43" s="1"/>
  <c r="D517" i="43"/>
  <c r="N517" i="43" s="1"/>
  <c r="D539" i="43"/>
  <c r="N539" i="43" s="1"/>
  <c r="D526" i="43"/>
  <c r="N526" i="43" s="1"/>
  <c r="E20" i="54"/>
  <c r="E44" i="52" s="1"/>
  <c r="D532" i="43"/>
  <c r="N532" i="43" s="1"/>
  <c r="D510" i="43"/>
  <c r="N510" i="43" s="1"/>
  <c r="D513" i="43"/>
  <c r="N513" i="43" s="1"/>
  <c r="D489" i="43"/>
  <c r="N489" i="43" s="1"/>
  <c r="D514" i="43"/>
  <c r="N514" i="43" s="1"/>
  <c r="D493" i="43"/>
  <c r="N493" i="43" s="1"/>
  <c r="D491" i="43"/>
  <c r="N491" i="43" s="1"/>
  <c r="D522" i="43"/>
  <c r="N522" i="43" s="1"/>
  <c r="D520" i="43"/>
  <c r="N520" i="43" s="1"/>
  <c r="D492" i="43"/>
  <c r="N492" i="43" s="1"/>
  <c r="D538" i="43"/>
  <c r="N538" i="43" s="1"/>
  <c r="E62" i="59"/>
  <c r="O62" i="59" s="1"/>
  <c r="E52" i="59"/>
  <c r="O52" i="59" s="1"/>
  <c r="E19" i="59"/>
  <c r="O19" i="59" s="1"/>
  <c r="E34" i="59"/>
  <c r="O34" i="59" s="1"/>
  <c r="E25" i="59"/>
  <c r="O25" i="59" s="1"/>
  <c r="E61" i="59"/>
  <c r="O61" i="59" s="1"/>
  <c r="E470" i="43"/>
  <c r="O470" i="43" s="1"/>
  <c r="E476" i="43"/>
  <c r="O476" i="43" s="1"/>
  <c r="E486" i="43"/>
  <c r="O486" i="43" s="1"/>
  <c r="E453" i="43"/>
  <c r="O453" i="43" s="1"/>
  <c r="E463" i="43"/>
  <c r="O463" i="43" s="1"/>
  <c r="E483" i="43"/>
  <c r="O483" i="43" s="1"/>
  <c r="D437" i="43"/>
  <c r="N437" i="43" s="1"/>
  <c r="D407" i="43"/>
  <c r="N407" i="43" s="1"/>
  <c r="D423" i="43"/>
  <c r="N423" i="43" s="1"/>
  <c r="D403" i="43"/>
  <c r="N403" i="43" s="1"/>
  <c r="D425" i="43"/>
  <c r="N425" i="43" s="1"/>
  <c r="D413" i="43"/>
  <c r="N413" i="43" s="1"/>
  <c r="E460" i="43"/>
  <c r="O460" i="43" s="1"/>
  <c r="E30" i="59"/>
  <c r="O30" i="59" s="1"/>
  <c r="E28" i="59"/>
  <c r="O28" i="59" s="1"/>
  <c r="E60" i="59"/>
  <c r="O60" i="59" s="1"/>
  <c r="E26" i="59"/>
  <c r="O26" i="59" s="1"/>
  <c r="E63" i="59"/>
  <c r="O63" i="59" s="1"/>
  <c r="E53" i="59"/>
  <c r="O53" i="59" s="1"/>
  <c r="E439" i="43"/>
  <c r="O439" i="43" s="1"/>
  <c r="E464" i="43"/>
  <c r="O464" i="43" s="1"/>
  <c r="E480" i="43"/>
  <c r="O480" i="43" s="1"/>
  <c r="E469" i="43"/>
  <c r="O469" i="43" s="1"/>
  <c r="E443" i="43"/>
  <c r="O443" i="43" s="1"/>
  <c r="D391" i="43"/>
  <c r="N391" i="43" s="1"/>
  <c r="D408" i="43"/>
  <c r="N408" i="43" s="1"/>
  <c r="D436" i="43"/>
  <c r="N436" i="43" s="1"/>
  <c r="D411" i="43"/>
  <c r="N411" i="43" s="1"/>
  <c r="D433" i="43"/>
  <c r="N433" i="43" s="1"/>
  <c r="D406" i="43"/>
  <c r="N406" i="43" s="1"/>
  <c r="E485" i="43"/>
  <c r="O485" i="43" s="1"/>
  <c r="E56" i="59"/>
  <c r="O56" i="59" s="1"/>
  <c r="E67" i="59"/>
  <c r="O67" i="59" s="1"/>
  <c r="E36" i="59"/>
  <c r="O36" i="59" s="1"/>
  <c r="E44" i="59"/>
  <c r="O44" i="59" s="1"/>
  <c r="E55" i="59"/>
  <c r="O55" i="59" s="1"/>
  <c r="E45" i="59"/>
  <c r="O45" i="59" s="1"/>
  <c r="E465" i="43"/>
  <c r="O465" i="43" s="1"/>
  <c r="E481" i="43"/>
  <c r="O481" i="43" s="1"/>
  <c r="E450" i="43"/>
  <c r="O450" i="43" s="1"/>
  <c r="E454" i="43"/>
  <c r="O454" i="43" s="1"/>
  <c r="D392" i="43"/>
  <c r="N392" i="43" s="1"/>
  <c r="D414" i="43"/>
  <c r="N414" i="43" s="1"/>
  <c r="D397" i="43"/>
  <c r="N397" i="43" s="1"/>
  <c r="D427" i="43"/>
  <c r="N427" i="43" s="1"/>
  <c r="D410" i="43"/>
  <c r="N410" i="43" s="1"/>
  <c r="D409" i="43"/>
  <c r="N409" i="43" s="1"/>
  <c r="E48" i="59"/>
  <c r="O48" i="59" s="1"/>
  <c r="E24" i="59"/>
  <c r="O24" i="59" s="1"/>
  <c r="E59" i="59"/>
  <c r="O59" i="59" s="1"/>
  <c r="E20" i="59"/>
  <c r="O20" i="59" s="1"/>
  <c r="E65" i="59"/>
  <c r="O65" i="59" s="1"/>
  <c r="E47" i="59"/>
  <c r="O47" i="59" s="1"/>
  <c r="E37" i="59"/>
  <c r="O37" i="59" s="1"/>
  <c r="E482" i="43"/>
  <c r="O482" i="43" s="1"/>
  <c r="E446" i="43"/>
  <c r="O446" i="43" s="1"/>
  <c r="E459" i="43"/>
  <c r="O459" i="43" s="1"/>
  <c r="E448" i="43"/>
  <c r="O448" i="43" s="1"/>
  <c r="E475" i="43"/>
  <c r="O475" i="43" s="1"/>
  <c r="E442" i="43"/>
  <c r="O442" i="43" s="1"/>
  <c r="E479" i="43"/>
  <c r="O479" i="43" s="1"/>
  <c r="D401" i="43"/>
  <c r="N401" i="43" s="1"/>
  <c r="D424" i="43"/>
  <c r="N424" i="43" s="1"/>
  <c r="D422" i="43"/>
  <c r="N422" i="43" s="1"/>
  <c r="D405" i="43"/>
  <c r="N405" i="43" s="1"/>
  <c r="D396" i="43"/>
  <c r="N396" i="43" s="1"/>
  <c r="D431" i="43"/>
  <c r="N431" i="43" s="1"/>
  <c r="D388" i="43"/>
  <c r="N388" i="43" s="1"/>
  <c r="E38" i="59"/>
  <c r="O38" i="59" s="1"/>
  <c r="E54" i="59"/>
  <c r="O54" i="59" s="1"/>
  <c r="E51" i="59"/>
  <c r="O51" i="59" s="1"/>
  <c r="E66" i="59"/>
  <c r="O66" i="59" s="1"/>
  <c r="E57" i="59"/>
  <c r="O57" i="59" s="1"/>
  <c r="E39" i="59"/>
  <c r="O39" i="59" s="1"/>
  <c r="E29" i="59"/>
  <c r="O29" i="59" s="1"/>
  <c r="E468" i="43"/>
  <c r="O468" i="43" s="1"/>
  <c r="E478" i="43"/>
  <c r="O478" i="43" s="1"/>
  <c r="E484" i="43"/>
  <c r="O484" i="43" s="1"/>
  <c r="E455" i="43"/>
  <c r="O455" i="43" s="1"/>
  <c r="E461" i="43"/>
  <c r="O461" i="43" s="1"/>
  <c r="E449" i="43"/>
  <c r="O449" i="43" s="1"/>
  <c r="E447" i="43"/>
  <c r="O447" i="43" s="1"/>
  <c r="D418" i="43"/>
  <c r="N418" i="43" s="1"/>
  <c r="D393" i="43"/>
  <c r="N393" i="43" s="1"/>
  <c r="D432" i="43"/>
  <c r="N432" i="43" s="1"/>
  <c r="D430" i="43"/>
  <c r="N430" i="43" s="1"/>
  <c r="D421" i="43"/>
  <c r="N421" i="43" s="1"/>
  <c r="D426" i="43"/>
  <c r="N426" i="43" s="1"/>
  <c r="D394" i="43"/>
  <c r="N394" i="43" s="1"/>
  <c r="E18" i="54"/>
  <c r="E42" i="52" s="1"/>
  <c r="E40" i="59"/>
  <c r="O40" i="59" s="1"/>
  <c r="E22" i="59"/>
  <c r="O22" i="59" s="1"/>
  <c r="E43" i="59"/>
  <c r="O43" i="59" s="1"/>
  <c r="E58" i="59"/>
  <c r="O58" i="59" s="1"/>
  <c r="E49" i="59"/>
  <c r="O49" i="59" s="1"/>
  <c r="E31" i="59"/>
  <c r="O31" i="59" s="1"/>
  <c r="E21" i="59"/>
  <c r="O21" i="59" s="1"/>
  <c r="E456" i="43"/>
  <c r="O456" i="43" s="1"/>
  <c r="E472" i="43"/>
  <c r="O472" i="43" s="1"/>
  <c r="E471" i="43"/>
  <c r="O471" i="43" s="1"/>
  <c r="E466" i="43"/>
  <c r="O466" i="43" s="1"/>
  <c r="D402" i="43"/>
  <c r="N402" i="43" s="1"/>
  <c r="D435" i="43"/>
  <c r="N435" i="43" s="1"/>
  <c r="D434" i="43"/>
  <c r="N434" i="43" s="1"/>
  <c r="D400" i="43"/>
  <c r="N400" i="43" s="1"/>
  <c r="D399" i="43"/>
  <c r="N399" i="43" s="1"/>
  <c r="D404" i="43"/>
  <c r="N404" i="43" s="1"/>
  <c r="D416" i="43"/>
  <c r="N416" i="43" s="1"/>
  <c r="E462" i="43"/>
  <c r="O462" i="43" s="1"/>
  <c r="E487" i="43"/>
  <c r="O487" i="43" s="1"/>
  <c r="E457" i="43"/>
  <c r="O457" i="43" s="1"/>
  <c r="G403" i="43"/>
  <c r="Q403" i="43" s="1"/>
  <c r="G395" i="43"/>
  <c r="Q395" i="43" s="1"/>
  <c r="G432" i="43"/>
  <c r="Q432" i="43" s="1"/>
  <c r="E64" i="59"/>
  <c r="O64" i="59" s="1"/>
  <c r="E46" i="59"/>
  <c r="O46" i="59" s="1"/>
  <c r="E35" i="59"/>
  <c r="O35" i="59" s="1"/>
  <c r="E50" i="59"/>
  <c r="O50" i="59" s="1"/>
  <c r="E41" i="59"/>
  <c r="O41" i="59" s="1"/>
  <c r="E23" i="59"/>
  <c r="O23" i="59" s="1"/>
  <c r="E473" i="43"/>
  <c r="O473" i="43" s="1"/>
  <c r="E438" i="43"/>
  <c r="O438" i="43" s="1"/>
  <c r="E488" i="43"/>
  <c r="O488" i="43" s="1"/>
  <c r="E452" i="43"/>
  <c r="O452" i="43" s="1"/>
  <c r="D419" i="43"/>
  <c r="N419" i="43" s="1"/>
  <c r="D389" i="43"/>
  <c r="N389" i="43" s="1"/>
  <c r="D412" i="43"/>
  <c r="N412" i="43" s="1"/>
  <c r="D429" i="43"/>
  <c r="N429" i="43" s="1"/>
  <c r="D395" i="43"/>
  <c r="N395" i="43" s="1"/>
  <c r="E444" i="43"/>
  <c r="O444" i="43" s="1"/>
  <c r="H740" i="7"/>
  <c r="W740" i="7" s="1"/>
  <c r="G699" i="7"/>
  <c r="V699" i="7" s="1"/>
  <c r="G62" i="59"/>
  <c r="Q62" i="59" s="1"/>
  <c r="G49" i="59"/>
  <c r="Q49" i="59" s="1"/>
  <c r="G56" i="59"/>
  <c r="Q56" i="59" s="1"/>
  <c r="G47" i="59"/>
  <c r="Q47" i="59" s="1"/>
  <c r="G53" i="59"/>
  <c r="Q53" i="59" s="1"/>
  <c r="G59" i="59"/>
  <c r="Q59" i="59" s="1"/>
  <c r="G60" i="59"/>
  <c r="Q60" i="59" s="1"/>
  <c r="G41" i="59"/>
  <c r="Q41" i="59" s="1"/>
  <c r="G48" i="59"/>
  <c r="Q48" i="59" s="1"/>
  <c r="G39" i="59"/>
  <c r="Q39" i="59" s="1"/>
  <c r="G45" i="59"/>
  <c r="Q45" i="59" s="1"/>
  <c r="G51" i="59"/>
  <c r="Q51" i="59" s="1"/>
  <c r="G44" i="59"/>
  <c r="Q44" i="59" s="1"/>
  <c r="G58" i="59"/>
  <c r="Q58" i="59" s="1"/>
  <c r="G66" i="59"/>
  <c r="Q66" i="59" s="1"/>
  <c r="G24" i="59"/>
  <c r="Q24" i="59" s="1"/>
  <c r="G30" i="59"/>
  <c r="Q30" i="59" s="1"/>
  <c r="G21" i="59"/>
  <c r="Q21" i="59" s="1"/>
  <c r="G27" i="59"/>
  <c r="Q27" i="59" s="1"/>
  <c r="G38" i="59"/>
  <c r="Q38" i="59" s="1"/>
  <c r="G34" i="59"/>
  <c r="Q34" i="59" s="1"/>
  <c r="G50" i="59"/>
  <c r="Q50" i="59" s="1"/>
  <c r="G42" i="59"/>
  <c r="Q42" i="59" s="1"/>
  <c r="G22" i="59"/>
  <c r="Q22" i="59" s="1"/>
  <c r="G28" i="59"/>
  <c r="Q28" i="59" s="1"/>
  <c r="G19" i="59"/>
  <c r="Q19" i="59" s="1"/>
  <c r="G36" i="59"/>
  <c r="Q36" i="59" s="1"/>
  <c r="G57" i="59"/>
  <c r="Q57" i="59" s="1"/>
  <c r="G64" i="59"/>
  <c r="Q64" i="59" s="1"/>
  <c r="G55" i="59"/>
  <c r="Q55" i="59" s="1"/>
  <c r="G61" i="59"/>
  <c r="Q61" i="59" s="1"/>
  <c r="G67" i="59"/>
  <c r="Q67" i="59" s="1"/>
  <c r="G13" i="28"/>
  <c r="D9" i="61"/>
  <c r="E9" i="61" s="1"/>
  <c r="F9" i="61" s="1"/>
  <c r="B30" i="61" s="1"/>
  <c r="D8" i="61"/>
  <c r="E8" i="61" s="1"/>
  <c r="F8" i="61" s="1"/>
  <c r="B34" i="61"/>
  <c r="G13" i="61"/>
  <c r="D18" i="61"/>
  <c r="E18" i="61" s="1"/>
  <c r="F18" i="61" s="1"/>
  <c r="B37" i="61" s="1"/>
  <c r="D20" i="61"/>
  <c r="E20" i="61" s="1"/>
  <c r="F20" i="61" s="1"/>
  <c r="G17" i="61"/>
  <c r="B38" i="61"/>
  <c r="B42" i="61"/>
  <c r="G21" i="61"/>
  <c r="D24" i="61"/>
  <c r="E24" i="61" s="1"/>
  <c r="F24" i="61" s="1"/>
  <c r="D22" i="61"/>
  <c r="E22" i="61" s="1"/>
  <c r="F22" i="61" s="1"/>
  <c r="B41" i="61" s="1"/>
  <c r="D14" i="28"/>
  <c r="E14" i="28" s="1"/>
  <c r="F14" i="28" s="1"/>
  <c r="B32" i="28" s="1"/>
  <c r="D15" i="61"/>
  <c r="E15" i="61" s="1"/>
  <c r="F15" i="61" s="1"/>
  <c r="D14" i="61"/>
  <c r="E14" i="61" s="1"/>
  <c r="F14" i="61" s="1"/>
  <c r="B33" i="61" s="1"/>
  <c r="G10" i="61"/>
  <c r="G10" i="28"/>
  <c r="I64" i="28"/>
  <c r="C82" i="28" s="1"/>
  <c r="C97" i="28" s="1"/>
  <c r="C83" i="28"/>
  <c r="C98" i="28" s="1"/>
  <c r="E98" i="28" s="1"/>
  <c r="D15" i="28"/>
  <c r="E15" i="28" s="1"/>
  <c r="F15" i="28" s="1"/>
  <c r="B31" i="28" s="1"/>
  <c r="R66" i="42" s="1"/>
  <c r="E63" i="28"/>
  <c r="F63" i="28" s="1"/>
  <c r="G63" i="28" s="1"/>
  <c r="O63" i="28"/>
  <c r="P63" i="28" s="1"/>
  <c r="D80" i="28" s="1"/>
  <c r="D95" i="28" s="1"/>
  <c r="D9" i="28"/>
  <c r="E9" i="28" s="1"/>
  <c r="F9" i="28" s="1"/>
  <c r="B29" i="28" s="1"/>
  <c r="D18" i="28"/>
  <c r="E18" i="28" s="1"/>
  <c r="F18" i="28" s="1"/>
  <c r="B36" i="28" s="1"/>
  <c r="X15" i="60"/>
  <c r="K652" i="7"/>
  <c r="Z652" i="7" s="1"/>
  <c r="K656" i="7"/>
  <c r="Z656" i="7" s="1"/>
  <c r="K666" i="7"/>
  <c r="Z666" i="7" s="1"/>
  <c r="K677" i="7"/>
  <c r="Z677" i="7" s="1"/>
  <c r="K688" i="7"/>
  <c r="Z688" i="7" s="1"/>
  <c r="K657" i="7"/>
  <c r="Z657" i="7" s="1"/>
  <c r="K678" i="7"/>
  <c r="Z678" i="7" s="1"/>
  <c r="K658" i="7"/>
  <c r="Z658" i="7" s="1"/>
  <c r="K690" i="7"/>
  <c r="Z690" i="7" s="1"/>
  <c r="K648" i="7"/>
  <c r="Z648" i="7" s="1"/>
  <c r="K680" i="7"/>
  <c r="Z680" i="7" s="1"/>
  <c r="K649" i="7"/>
  <c r="Z649" i="7" s="1"/>
  <c r="K659" i="7"/>
  <c r="Z659" i="7" s="1"/>
  <c r="K670" i="7"/>
  <c r="Z670" i="7" s="1"/>
  <c r="K681" i="7"/>
  <c r="Z681" i="7" s="1"/>
  <c r="K691" i="7"/>
  <c r="Z691" i="7" s="1"/>
  <c r="K650" i="7"/>
  <c r="Z650" i="7" s="1"/>
  <c r="K661" i="7"/>
  <c r="Z661" i="7" s="1"/>
  <c r="K672" i="7"/>
  <c r="Z672" i="7" s="1"/>
  <c r="K682" i="7"/>
  <c r="Z682" i="7" s="1"/>
  <c r="K693" i="7"/>
  <c r="Z693" i="7" s="1"/>
  <c r="K651" i="7"/>
  <c r="Z651" i="7" s="1"/>
  <c r="K662" i="7"/>
  <c r="Z662" i="7" s="1"/>
  <c r="K673" i="7"/>
  <c r="Z673" i="7" s="1"/>
  <c r="K683" i="7"/>
  <c r="Z683" i="7" s="1"/>
  <c r="K694" i="7"/>
  <c r="Z694" i="7" s="1"/>
  <c r="K653" i="7"/>
  <c r="Z653" i="7" s="1"/>
  <c r="K664" i="7"/>
  <c r="Z664" i="7" s="1"/>
  <c r="K674" i="7"/>
  <c r="Z674" i="7" s="1"/>
  <c r="K685" i="7"/>
  <c r="Z685" i="7" s="1"/>
  <c r="K696" i="7"/>
  <c r="Z696" i="7" s="1"/>
  <c r="K654" i="7"/>
  <c r="Z654" i="7" s="1"/>
  <c r="K665" i="7"/>
  <c r="Z665" i="7" s="1"/>
  <c r="K675" i="7"/>
  <c r="Z675" i="7" s="1"/>
  <c r="K686" i="7"/>
  <c r="Z686" i="7" s="1"/>
  <c r="K646" i="7"/>
  <c r="Z646" i="7" s="1"/>
  <c r="K667" i="7"/>
  <c r="Z667" i="7" s="1"/>
  <c r="K689" i="7"/>
  <c r="Z689" i="7" s="1"/>
  <c r="K669" i="7"/>
  <c r="Z669" i="7" s="1"/>
  <c r="K695" i="7"/>
  <c r="Z695" i="7" s="1"/>
  <c r="K684" i="7"/>
  <c r="Z684" i="7" s="1"/>
  <c r="K687" i="7"/>
  <c r="Z687" i="7" s="1"/>
  <c r="K676" i="7"/>
  <c r="Z676" i="7" s="1"/>
  <c r="K679" i="7"/>
  <c r="Z679" i="7" s="1"/>
  <c r="K668" i="7"/>
  <c r="Z668" i="7" s="1"/>
  <c r="K671" i="7"/>
  <c r="Z671" i="7" s="1"/>
  <c r="K660" i="7"/>
  <c r="Z660" i="7" s="1"/>
  <c r="K663" i="7"/>
  <c r="Z663" i="7" s="1"/>
  <c r="K655" i="7"/>
  <c r="Z655" i="7" s="1"/>
  <c r="K647" i="7"/>
  <c r="Z647" i="7" s="1"/>
  <c r="K692" i="7"/>
  <c r="Z692" i="7" s="1"/>
  <c r="L648" i="7"/>
  <c r="AA648" i="7" s="1"/>
  <c r="L656" i="7"/>
  <c r="AA656" i="7" s="1"/>
  <c r="L664" i="7"/>
  <c r="AA664" i="7" s="1"/>
  <c r="L672" i="7"/>
  <c r="AA672" i="7" s="1"/>
  <c r="L680" i="7"/>
  <c r="AA680" i="7" s="1"/>
  <c r="L688" i="7"/>
  <c r="AA688" i="7" s="1"/>
  <c r="L696" i="7"/>
  <c r="AA696" i="7" s="1"/>
  <c r="L657" i="7"/>
  <c r="AA657" i="7" s="1"/>
  <c r="L673" i="7"/>
  <c r="AA673" i="7" s="1"/>
  <c r="L689" i="7"/>
  <c r="AA689" i="7" s="1"/>
  <c r="L650" i="7"/>
  <c r="AA650" i="7" s="1"/>
  <c r="L682" i="7"/>
  <c r="AA682" i="7" s="1"/>
  <c r="L666" i="7"/>
  <c r="AA666" i="7" s="1"/>
  <c r="L674" i="7"/>
  <c r="AA674" i="7" s="1"/>
  <c r="L651" i="7"/>
  <c r="AA651" i="7" s="1"/>
  <c r="L659" i="7"/>
  <c r="AA659" i="7" s="1"/>
  <c r="L667" i="7"/>
  <c r="AA667" i="7" s="1"/>
  <c r="L675" i="7"/>
  <c r="AA675" i="7" s="1"/>
  <c r="L683" i="7"/>
  <c r="AA683" i="7" s="1"/>
  <c r="L691" i="7"/>
  <c r="AA691" i="7" s="1"/>
  <c r="L652" i="7"/>
  <c r="AA652" i="7" s="1"/>
  <c r="L660" i="7"/>
  <c r="AA660" i="7" s="1"/>
  <c r="L668" i="7"/>
  <c r="AA668" i="7" s="1"/>
  <c r="L676" i="7"/>
  <c r="AA676" i="7" s="1"/>
  <c r="L684" i="7"/>
  <c r="AA684" i="7" s="1"/>
  <c r="L692" i="7"/>
  <c r="AA692" i="7" s="1"/>
  <c r="L653" i="7"/>
  <c r="AA653" i="7" s="1"/>
  <c r="L661" i="7"/>
  <c r="AA661" i="7" s="1"/>
  <c r="L669" i="7"/>
  <c r="AA669" i="7" s="1"/>
  <c r="L677" i="7"/>
  <c r="AA677" i="7" s="1"/>
  <c r="L685" i="7"/>
  <c r="AA685" i="7" s="1"/>
  <c r="L693" i="7"/>
  <c r="AA693" i="7" s="1"/>
  <c r="L654" i="7"/>
  <c r="AA654" i="7" s="1"/>
  <c r="L662" i="7"/>
  <c r="AA662" i="7" s="1"/>
  <c r="L670" i="7"/>
  <c r="AA670" i="7" s="1"/>
  <c r="L678" i="7"/>
  <c r="AA678" i="7" s="1"/>
  <c r="L686" i="7"/>
  <c r="AA686" i="7" s="1"/>
  <c r="L694" i="7"/>
  <c r="AA694" i="7" s="1"/>
  <c r="L647" i="7"/>
  <c r="AA647" i="7" s="1"/>
  <c r="L655" i="7"/>
  <c r="AA655" i="7" s="1"/>
  <c r="L663" i="7"/>
  <c r="AA663" i="7" s="1"/>
  <c r="L671" i="7"/>
  <c r="AA671" i="7" s="1"/>
  <c r="L679" i="7"/>
  <c r="AA679" i="7" s="1"/>
  <c r="L687" i="7"/>
  <c r="AA687" i="7" s="1"/>
  <c r="L695" i="7"/>
  <c r="AA695" i="7" s="1"/>
  <c r="L649" i="7"/>
  <c r="AA649" i="7" s="1"/>
  <c r="L665" i="7"/>
  <c r="AA665" i="7" s="1"/>
  <c r="L681" i="7"/>
  <c r="AA681" i="7" s="1"/>
  <c r="L646" i="7"/>
  <c r="AA646" i="7" s="1"/>
  <c r="L658" i="7"/>
  <c r="AA658" i="7" s="1"/>
  <c r="L690" i="7"/>
  <c r="AA690" i="7" s="1"/>
  <c r="D658" i="7"/>
  <c r="D669" i="7"/>
  <c r="D683" i="7"/>
  <c r="D696" i="7"/>
  <c r="D656" i="7"/>
  <c r="D668" i="7"/>
  <c r="D682" i="7"/>
  <c r="D693" i="7"/>
  <c r="D659" i="7"/>
  <c r="D675" i="7"/>
  <c r="D691" i="7"/>
  <c r="D692" i="7"/>
  <c r="D676" i="7"/>
  <c r="D661" i="7"/>
  <c r="D677" i="7"/>
  <c r="D648" i="7"/>
  <c r="D664" i="7"/>
  <c r="D680" i="7"/>
  <c r="D650" i="7"/>
  <c r="D666" i="7"/>
  <c r="D684" i="7"/>
  <c r="D651" i="7"/>
  <c r="D667" i="7"/>
  <c r="D685" i="7"/>
  <c r="D654" i="7"/>
  <c r="D652" i="7"/>
  <c r="D672" i="7"/>
  <c r="D688" i="7"/>
  <c r="D653" i="7"/>
  <c r="D674" i="7"/>
  <c r="D690" i="7"/>
  <c r="D660" i="7"/>
  <c r="D673" i="7"/>
  <c r="D695" i="7"/>
  <c r="D679" i="7"/>
  <c r="D665" i="7"/>
  <c r="D687" i="7"/>
  <c r="D657" i="7"/>
  <c r="D649" i="7"/>
  <c r="D671" i="7"/>
  <c r="D694" i="7"/>
  <c r="D663" i="7"/>
  <c r="D686" i="7"/>
  <c r="D655" i="7"/>
  <c r="D678" i="7"/>
  <c r="D689" i="7"/>
  <c r="D647" i="7"/>
  <c r="D670" i="7"/>
  <c r="D681" i="7"/>
  <c r="D662" i="7"/>
  <c r="I647" i="7"/>
  <c r="X647" i="7" s="1"/>
  <c r="I649" i="7"/>
  <c r="X649" i="7" s="1"/>
  <c r="I661" i="7"/>
  <c r="X661" i="7" s="1"/>
  <c r="I675" i="7"/>
  <c r="X675" i="7" s="1"/>
  <c r="I686" i="7"/>
  <c r="X686" i="7" s="1"/>
  <c r="I662" i="7"/>
  <c r="X662" i="7" s="1"/>
  <c r="I689" i="7"/>
  <c r="X689" i="7" s="1"/>
  <c r="I652" i="7"/>
  <c r="X652" i="7" s="1"/>
  <c r="I665" i="7"/>
  <c r="X665" i="7" s="1"/>
  <c r="I677" i="7"/>
  <c r="X677" i="7" s="1"/>
  <c r="I691" i="7"/>
  <c r="X691" i="7" s="1"/>
  <c r="I653" i="7"/>
  <c r="X653" i="7" s="1"/>
  <c r="I667" i="7"/>
  <c r="X667" i="7" s="1"/>
  <c r="I678" i="7"/>
  <c r="X678" i="7" s="1"/>
  <c r="I692" i="7"/>
  <c r="X692" i="7" s="1"/>
  <c r="I654" i="7"/>
  <c r="X654" i="7" s="1"/>
  <c r="I668" i="7"/>
  <c r="X668" i="7" s="1"/>
  <c r="I681" i="7"/>
  <c r="X681" i="7" s="1"/>
  <c r="I693" i="7"/>
  <c r="X693" i="7" s="1"/>
  <c r="I657" i="7"/>
  <c r="X657" i="7" s="1"/>
  <c r="I669" i="7"/>
  <c r="X669" i="7" s="1"/>
  <c r="I683" i="7"/>
  <c r="X683" i="7" s="1"/>
  <c r="I694" i="7"/>
  <c r="X694" i="7" s="1"/>
  <c r="I659" i="7"/>
  <c r="X659" i="7" s="1"/>
  <c r="I670" i="7"/>
  <c r="X670" i="7" s="1"/>
  <c r="I684" i="7"/>
  <c r="X684" i="7" s="1"/>
  <c r="I646" i="7"/>
  <c r="X646" i="7" s="1"/>
  <c r="I660" i="7"/>
  <c r="X660" i="7" s="1"/>
  <c r="I673" i="7"/>
  <c r="X673" i="7" s="1"/>
  <c r="I685" i="7"/>
  <c r="X685" i="7" s="1"/>
  <c r="I651" i="7"/>
  <c r="X651" i="7" s="1"/>
  <c r="I676" i="7"/>
  <c r="X676" i="7" s="1"/>
  <c r="I658" i="7"/>
  <c r="X658" i="7" s="1"/>
  <c r="I680" i="7"/>
  <c r="X680" i="7" s="1"/>
  <c r="I663" i="7"/>
  <c r="X663" i="7" s="1"/>
  <c r="I650" i="7"/>
  <c r="X650" i="7" s="1"/>
  <c r="I672" i="7"/>
  <c r="X672" i="7" s="1"/>
  <c r="I655" i="7"/>
  <c r="X655" i="7" s="1"/>
  <c r="I664" i="7"/>
  <c r="X664" i="7" s="1"/>
  <c r="I656" i="7"/>
  <c r="X656" i="7" s="1"/>
  <c r="I690" i="7"/>
  <c r="X690" i="7" s="1"/>
  <c r="I648" i="7"/>
  <c r="X648" i="7" s="1"/>
  <c r="I695" i="7"/>
  <c r="X695" i="7" s="1"/>
  <c r="I682" i="7"/>
  <c r="X682" i="7" s="1"/>
  <c r="I687" i="7"/>
  <c r="X687" i="7" s="1"/>
  <c r="I674" i="7"/>
  <c r="X674" i="7" s="1"/>
  <c r="I696" i="7"/>
  <c r="X696" i="7" s="1"/>
  <c r="I679" i="7"/>
  <c r="X679" i="7" s="1"/>
  <c r="I666" i="7"/>
  <c r="X666" i="7" s="1"/>
  <c r="I688" i="7"/>
  <c r="X688" i="7" s="1"/>
  <c r="I671" i="7"/>
  <c r="X671" i="7" s="1"/>
  <c r="G650" i="7"/>
  <c r="V650" i="7" s="1"/>
  <c r="G648" i="7"/>
  <c r="V648" i="7" s="1"/>
  <c r="G662" i="7"/>
  <c r="V662" i="7" s="1"/>
  <c r="G673" i="7"/>
  <c r="V673" i="7" s="1"/>
  <c r="G687" i="7"/>
  <c r="V687" i="7" s="1"/>
  <c r="G663" i="7"/>
  <c r="V663" i="7" s="1"/>
  <c r="G688" i="7"/>
  <c r="V688" i="7" s="1"/>
  <c r="G678" i="7"/>
  <c r="V678" i="7" s="1"/>
  <c r="G652" i="7"/>
  <c r="V652" i="7" s="1"/>
  <c r="G664" i="7"/>
  <c r="V664" i="7" s="1"/>
  <c r="G654" i="7"/>
  <c r="V654" i="7" s="1"/>
  <c r="G665" i="7"/>
  <c r="V665" i="7" s="1"/>
  <c r="G679" i="7"/>
  <c r="V679" i="7" s="1"/>
  <c r="G692" i="7"/>
  <c r="V692" i="7" s="1"/>
  <c r="G655" i="7"/>
  <c r="V655" i="7" s="1"/>
  <c r="G668" i="7"/>
  <c r="V668" i="7" s="1"/>
  <c r="G680" i="7"/>
  <c r="V680" i="7" s="1"/>
  <c r="G694" i="7"/>
  <c r="V694" i="7" s="1"/>
  <c r="G656" i="7"/>
  <c r="V656" i="7" s="1"/>
  <c r="G670" i="7"/>
  <c r="V670" i="7" s="1"/>
  <c r="G681" i="7"/>
  <c r="V681" i="7" s="1"/>
  <c r="G695" i="7"/>
  <c r="V695" i="7" s="1"/>
  <c r="G657" i="7"/>
  <c r="V657" i="7" s="1"/>
  <c r="G671" i="7"/>
  <c r="V671" i="7" s="1"/>
  <c r="G684" i="7"/>
  <c r="V684" i="7" s="1"/>
  <c r="G696" i="7"/>
  <c r="V696" i="7" s="1"/>
  <c r="G647" i="7"/>
  <c r="V647" i="7" s="1"/>
  <c r="G660" i="7"/>
  <c r="V660" i="7" s="1"/>
  <c r="G672" i="7"/>
  <c r="V672" i="7" s="1"/>
  <c r="G686" i="7"/>
  <c r="V686" i="7" s="1"/>
  <c r="G646" i="7"/>
  <c r="V646" i="7" s="1"/>
  <c r="G649" i="7"/>
  <c r="V649" i="7" s="1"/>
  <c r="G676" i="7"/>
  <c r="V676" i="7" s="1"/>
  <c r="G689" i="7"/>
  <c r="V689" i="7" s="1"/>
  <c r="G667" i="7"/>
  <c r="V667" i="7" s="1"/>
  <c r="G659" i="7"/>
  <c r="V659" i="7" s="1"/>
  <c r="G693" i="7"/>
  <c r="V693" i="7" s="1"/>
  <c r="G690" i="7"/>
  <c r="V690" i="7" s="1"/>
  <c r="G685" i="7"/>
  <c r="V685" i="7" s="1"/>
  <c r="G682" i="7"/>
  <c r="V682" i="7" s="1"/>
  <c r="G677" i="7"/>
  <c r="V677" i="7" s="1"/>
  <c r="G674" i="7"/>
  <c r="V674" i="7" s="1"/>
  <c r="G669" i="7"/>
  <c r="V669" i="7" s="1"/>
  <c r="G691" i="7"/>
  <c r="V691" i="7" s="1"/>
  <c r="G666" i="7"/>
  <c r="V666" i="7" s="1"/>
  <c r="G658" i="7"/>
  <c r="V658" i="7" s="1"/>
  <c r="G661" i="7"/>
  <c r="V661" i="7" s="1"/>
  <c r="G683" i="7"/>
  <c r="V683" i="7" s="1"/>
  <c r="G653" i="7"/>
  <c r="V653" i="7" s="1"/>
  <c r="G675" i="7"/>
  <c r="V675" i="7" s="1"/>
  <c r="G651" i="7"/>
  <c r="V651" i="7" s="1"/>
  <c r="H652" i="7"/>
  <c r="W652" i="7" s="1"/>
  <c r="H651" i="7"/>
  <c r="W651" i="7" s="1"/>
  <c r="H660" i="7"/>
  <c r="W660" i="7" s="1"/>
  <c r="H674" i="7"/>
  <c r="W674" i="7" s="1"/>
  <c r="H687" i="7"/>
  <c r="W687" i="7" s="1"/>
  <c r="H663" i="7"/>
  <c r="W663" i="7" s="1"/>
  <c r="H689" i="7"/>
  <c r="W689" i="7" s="1"/>
  <c r="H649" i="7"/>
  <c r="W649" i="7" s="1"/>
  <c r="H665" i="7"/>
  <c r="W665" i="7" s="1"/>
  <c r="H676" i="7"/>
  <c r="W676" i="7" s="1"/>
  <c r="H690" i="7"/>
  <c r="W690" i="7" s="1"/>
  <c r="H650" i="7"/>
  <c r="W650" i="7" s="1"/>
  <c r="H666" i="7"/>
  <c r="W666" i="7" s="1"/>
  <c r="H679" i="7"/>
  <c r="W679" i="7" s="1"/>
  <c r="H691" i="7"/>
  <c r="W691" i="7" s="1"/>
  <c r="H655" i="7"/>
  <c r="W655" i="7" s="1"/>
  <c r="H667" i="7"/>
  <c r="W667" i="7" s="1"/>
  <c r="H681" i="7"/>
  <c r="W681" i="7" s="1"/>
  <c r="H692" i="7"/>
  <c r="W692" i="7" s="1"/>
  <c r="H657" i="7"/>
  <c r="W657" i="7" s="1"/>
  <c r="H668" i="7"/>
  <c r="W668" i="7" s="1"/>
  <c r="H682" i="7"/>
  <c r="W682" i="7" s="1"/>
  <c r="H695" i="7"/>
  <c r="W695" i="7" s="1"/>
  <c r="H658" i="7"/>
  <c r="W658" i="7" s="1"/>
  <c r="H671" i="7"/>
  <c r="W671" i="7" s="1"/>
  <c r="H683" i="7"/>
  <c r="W683" i="7" s="1"/>
  <c r="H646" i="7"/>
  <c r="W646" i="7" s="1"/>
  <c r="H653" i="7"/>
  <c r="W653" i="7" s="1"/>
  <c r="H659" i="7"/>
  <c r="W659" i="7" s="1"/>
  <c r="H673" i="7"/>
  <c r="W673" i="7" s="1"/>
  <c r="H684" i="7"/>
  <c r="W684" i="7" s="1"/>
  <c r="H647" i="7"/>
  <c r="W647" i="7" s="1"/>
  <c r="H675" i="7"/>
  <c r="W675" i="7" s="1"/>
  <c r="H696" i="7"/>
  <c r="W696" i="7" s="1"/>
  <c r="H654" i="7"/>
  <c r="W654" i="7" s="1"/>
  <c r="H685" i="7"/>
  <c r="W685" i="7" s="1"/>
  <c r="H688" i="7"/>
  <c r="W688" i="7" s="1"/>
  <c r="H677" i="7"/>
  <c r="W677" i="7" s="1"/>
  <c r="H680" i="7"/>
  <c r="W680" i="7" s="1"/>
  <c r="H669" i="7"/>
  <c r="W669" i="7" s="1"/>
  <c r="H672" i="7"/>
  <c r="W672" i="7" s="1"/>
  <c r="H694" i="7"/>
  <c r="W694" i="7" s="1"/>
  <c r="H661" i="7"/>
  <c r="W661" i="7" s="1"/>
  <c r="H664" i="7"/>
  <c r="W664" i="7" s="1"/>
  <c r="H686" i="7"/>
  <c r="W686" i="7" s="1"/>
  <c r="H656" i="7"/>
  <c r="W656" i="7" s="1"/>
  <c r="H678" i="7"/>
  <c r="W678" i="7" s="1"/>
  <c r="H648" i="7"/>
  <c r="W648" i="7" s="1"/>
  <c r="H670" i="7"/>
  <c r="W670" i="7" s="1"/>
  <c r="H662" i="7"/>
  <c r="W662" i="7" s="1"/>
  <c r="H693" i="7"/>
  <c r="W693" i="7" s="1"/>
  <c r="K29" i="51"/>
  <c r="J692" i="7"/>
  <c r="Y692" i="7" s="1"/>
  <c r="J653" i="7"/>
  <c r="Y653" i="7" s="1"/>
  <c r="J683" i="7"/>
  <c r="Y683" i="7" s="1"/>
  <c r="J690" i="7"/>
  <c r="Y690" i="7" s="1"/>
  <c r="J664" i="7"/>
  <c r="Y664" i="7" s="1"/>
  <c r="J655" i="7"/>
  <c r="Y655" i="7" s="1"/>
  <c r="J693" i="7"/>
  <c r="Y693" i="7" s="1"/>
  <c r="J668" i="7"/>
  <c r="Y668" i="7" s="1"/>
  <c r="J675" i="7"/>
  <c r="Y675" i="7" s="1"/>
  <c r="J682" i="7"/>
  <c r="Y682" i="7" s="1"/>
  <c r="J646" i="7"/>
  <c r="Y646" i="7" s="1"/>
  <c r="J656" i="7"/>
  <c r="Y656" i="7" s="1"/>
  <c r="J647" i="7"/>
  <c r="Y647" i="7" s="1"/>
  <c r="J685" i="7"/>
  <c r="Y685" i="7" s="1"/>
  <c r="J667" i="7"/>
  <c r="Y667" i="7" s="1"/>
  <c r="J674" i="7"/>
  <c r="Y674" i="7" s="1"/>
  <c r="J689" i="7"/>
  <c r="Y689" i="7" s="1"/>
  <c r="J648" i="7"/>
  <c r="Y648" i="7" s="1"/>
  <c r="J677" i="7"/>
  <c r="Y677" i="7" s="1"/>
  <c r="J652" i="7"/>
  <c r="Y652" i="7" s="1"/>
  <c r="J659" i="7"/>
  <c r="Y659" i="7" s="1"/>
  <c r="J666" i="7"/>
  <c r="Y666" i="7" s="1"/>
  <c r="J681" i="7"/>
  <c r="Y681" i="7" s="1"/>
  <c r="J695" i="7"/>
  <c r="Y695" i="7" s="1"/>
  <c r="J686" i="7"/>
  <c r="Y686" i="7" s="1"/>
  <c r="J669" i="7"/>
  <c r="Y669" i="7" s="1"/>
  <c r="J651" i="7"/>
  <c r="Y651" i="7" s="1"/>
  <c r="J658" i="7"/>
  <c r="Y658" i="7" s="1"/>
  <c r="J673" i="7"/>
  <c r="Y673" i="7" s="1"/>
  <c r="J696" i="7"/>
  <c r="Y696" i="7" s="1"/>
  <c r="J687" i="7"/>
  <c r="Y687" i="7" s="1"/>
  <c r="J678" i="7"/>
  <c r="Y678" i="7" s="1"/>
  <c r="J661" i="7"/>
  <c r="Y661" i="7" s="1"/>
  <c r="J650" i="7"/>
  <c r="Y650" i="7" s="1"/>
  <c r="J665" i="7"/>
  <c r="Y665" i="7" s="1"/>
  <c r="J688" i="7"/>
  <c r="Y688" i="7" s="1"/>
  <c r="J679" i="7"/>
  <c r="Y679" i="7" s="1"/>
  <c r="J670" i="7"/>
  <c r="Y670" i="7" s="1"/>
  <c r="J684" i="7"/>
  <c r="Y684" i="7" s="1"/>
  <c r="J660" i="7"/>
  <c r="Y660" i="7" s="1"/>
  <c r="J657" i="7"/>
  <c r="Y657" i="7" s="1"/>
  <c r="J680" i="7"/>
  <c r="Y680" i="7" s="1"/>
  <c r="J671" i="7"/>
  <c r="Y671" i="7" s="1"/>
  <c r="J662" i="7"/>
  <c r="Y662" i="7" s="1"/>
  <c r="J676" i="7"/>
  <c r="Y676" i="7" s="1"/>
  <c r="J691" i="7"/>
  <c r="Y691" i="7" s="1"/>
  <c r="J649" i="7"/>
  <c r="Y649" i="7" s="1"/>
  <c r="J672" i="7"/>
  <c r="Y672" i="7" s="1"/>
  <c r="J663" i="7"/>
  <c r="Y663" i="7" s="1"/>
  <c r="J654" i="7"/>
  <c r="Y654" i="7" s="1"/>
  <c r="J694" i="7"/>
  <c r="Y694" i="7" s="1"/>
  <c r="M90" i="43"/>
  <c r="M98" i="43"/>
  <c r="M122" i="43"/>
  <c r="M101" i="43"/>
  <c r="M109" i="43"/>
  <c r="M117" i="43"/>
  <c r="M80" i="43"/>
  <c r="M102" i="43"/>
  <c r="M112" i="43"/>
  <c r="M92" i="43"/>
  <c r="M113" i="43"/>
  <c r="M124" i="43"/>
  <c r="M83" i="43"/>
  <c r="M94" i="43"/>
  <c r="M104" i="43"/>
  <c r="M115" i="43"/>
  <c r="M126" i="43"/>
  <c r="M84" i="43"/>
  <c r="M116" i="43"/>
  <c r="M127" i="43"/>
  <c r="M96" i="43"/>
  <c r="M107" i="43"/>
  <c r="M118" i="43"/>
  <c r="M87" i="43"/>
  <c r="M97" i="43"/>
  <c r="M108" i="43"/>
  <c r="M119" i="43"/>
  <c r="M78" i="43"/>
  <c r="M88" i="43"/>
  <c r="M110" i="43"/>
  <c r="M120" i="43"/>
  <c r="M100" i="43"/>
  <c r="M121" i="43"/>
  <c r="O69" i="43"/>
  <c r="O43" i="43"/>
  <c r="N32" i="43"/>
  <c r="M28" i="43"/>
  <c r="M36" i="43"/>
  <c r="M44" i="43"/>
  <c r="M52" i="43"/>
  <c r="M60" i="43"/>
  <c r="M68" i="43"/>
  <c r="M76" i="43"/>
  <c r="M31" i="43"/>
  <c r="M39" i="43"/>
  <c r="M47" i="43"/>
  <c r="M55" i="43"/>
  <c r="M63" i="43"/>
  <c r="M71" i="43"/>
  <c r="M32" i="43"/>
  <c r="M42" i="43"/>
  <c r="M53" i="43"/>
  <c r="M64" i="43"/>
  <c r="M74" i="43"/>
  <c r="M33" i="43"/>
  <c r="M43" i="43"/>
  <c r="M54" i="43"/>
  <c r="M65" i="43"/>
  <c r="M75" i="43"/>
  <c r="M34" i="43"/>
  <c r="M45" i="43"/>
  <c r="M56" i="43"/>
  <c r="M66" i="43"/>
  <c r="M77" i="43"/>
  <c r="M35" i="43"/>
  <c r="M46" i="43"/>
  <c r="M57" i="43"/>
  <c r="M67" i="43"/>
  <c r="M27" i="43"/>
  <c r="M37" i="43"/>
  <c r="M48" i="43"/>
  <c r="M58" i="43"/>
  <c r="M69" i="43"/>
  <c r="M38" i="43"/>
  <c r="M49" i="43"/>
  <c r="M59" i="43"/>
  <c r="M70" i="43"/>
  <c r="M29" i="43"/>
  <c r="M40" i="43"/>
  <c r="M50" i="43"/>
  <c r="M61" i="43"/>
  <c r="M72" i="43"/>
  <c r="M73" i="43"/>
  <c r="M30" i="43"/>
  <c r="M41" i="43"/>
  <c r="M51" i="43"/>
  <c r="M62" i="43"/>
  <c r="P38" i="43"/>
  <c r="D8" i="28"/>
  <c r="E8" i="28" s="1"/>
  <c r="F8" i="28" s="1"/>
  <c r="M131" i="43"/>
  <c r="M163" i="43"/>
  <c r="M171" i="43"/>
  <c r="M133" i="43"/>
  <c r="M141" i="43"/>
  <c r="M149" i="43"/>
  <c r="M173" i="43"/>
  <c r="M150" i="43"/>
  <c r="M166" i="43"/>
  <c r="M174" i="43"/>
  <c r="M143" i="43"/>
  <c r="M151" i="43"/>
  <c r="M159" i="43"/>
  <c r="M175" i="43"/>
  <c r="M137" i="43"/>
  <c r="M145" i="43"/>
  <c r="M161" i="43"/>
  <c r="M177" i="43"/>
  <c r="M146" i="43"/>
  <c r="M168" i="43"/>
  <c r="M148" i="43"/>
  <c r="M170" i="43"/>
  <c r="M152" i="43"/>
  <c r="M132" i="43"/>
  <c r="M176" i="43"/>
  <c r="M138" i="43"/>
  <c r="M140" i="43"/>
  <c r="M182" i="43"/>
  <c r="M190" i="43"/>
  <c r="M184" i="43"/>
  <c r="M188" i="43"/>
  <c r="M196" i="43"/>
  <c r="M192" i="43"/>
  <c r="M201" i="43"/>
  <c r="M209" i="43"/>
  <c r="M217" i="43"/>
  <c r="M225" i="43"/>
  <c r="M183" i="43"/>
  <c r="M194" i="43"/>
  <c r="M203" i="43"/>
  <c r="M211" i="43"/>
  <c r="M219" i="43"/>
  <c r="M227" i="43"/>
  <c r="M185" i="43"/>
  <c r="M195" i="43"/>
  <c r="M204" i="43"/>
  <c r="M212" i="43"/>
  <c r="M220" i="43"/>
  <c r="M228" i="43"/>
  <c r="M186" i="43"/>
  <c r="M197" i="43"/>
  <c r="M205" i="43"/>
  <c r="M213" i="43"/>
  <c r="M221" i="43"/>
  <c r="M229" i="43"/>
  <c r="M189" i="43"/>
  <c r="M199" i="43"/>
  <c r="M207" i="43"/>
  <c r="M215" i="43"/>
  <c r="M223" i="43"/>
  <c r="M180" i="43"/>
  <c r="M206" i="43"/>
  <c r="M226" i="43"/>
  <c r="M181" i="43"/>
  <c r="M208" i="43"/>
  <c r="M230" i="43"/>
  <c r="M187" i="43"/>
  <c r="M210" i="43"/>
  <c r="M216" i="43"/>
  <c r="M202" i="43"/>
  <c r="M191" i="43"/>
  <c r="M214" i="43"/>
  <c r="M193" i="43"/>
  <c r="M224" i="43"/>
  <c r="M198" i="43"/>
  <c r="M218" i="43"/>
  <c r="M200" i="43"/>
  <c r="M222" i="43"/>
  <c r="D87" i="28"/>
  <c r="D100" i="28" s="1"/>
  <c r="D88" i="28"/>
  <c r="D101" i="28" s="1"/>
  <c r="C101" i="28"/>
  <c r="C77" i="28"/>
  <c r="C92" i="28" s="1"/>
  <c r="I62" i="28"/>
  <c r="C78" i="28" s="1"/>
  <c r="C93" i="28" s="1"/>
  <c r="P62" i="28"/>
  <c r="D78" i="28" s="1"/>
  <c r="D93" i="28" s="1"/>
  <c r="E102" i="28"/>
  <c r="E85" i="28"/>
  <c r="E81" i="28"/>
  <c r="D84" i="28"/>
  <c r="D99" i="28" s="1"/>
  <c r="E96" i="28"/>
  <c r="D82" i="28"/>
  <c r="D97" i="28" s="1"/>
  <c r="D20" i="28"/>
  <c r="E20" i="28" s="1"/>
  <c r="F20" i="28" s="1"/>
  <c r="B33" i="28"/>
  <c r="D22" i="28"/>
  <c r="E22" i="28" s="1"/>
  <c r="F22" i="28" s="1"/>
  <c r="D24" i="28"/>
  <c r="E24" i="28" s="1"/>
  <c r="F24" i="28" s="1"/>
  <c r="B39" i="28" s="1"/>
  <c r="G21" i="28"/>
  <c r="B41" i="28"/>
  <c r="G17" i="28"/>
  <c r="B37" i="28"/>
  <c r="D104" i="59" l="1"/>
  <c r="N104" i="59" s="1"/>
  <c r="D103" i="59"/>
  <c r="N103" i="59" s="1"/>
  <c r="D93" i="59"/>
  <c r="N93" i="59" s="1"/>
  <c r="D118" i="59"/>
  <c r="N118" i="59" s="1"/>
  <c r="D100" i="59"/>
  <c r="N100" i="59" s="1"/>
  <c r="D74" i="59"/>
  <c r="N74" i="59" s="1"/>
  <c r="D112" i="59"/>
  <c r="N112" i="59" s="1"/>
  <c r="D102" i="59"/>
  <c r="N102" i="59" s="1"/>
  <c r="D84" i="59"/>
  <c r="N84" i="59" s="1"/>
  <c r="D72" i="59"/>
  <c r="N72" i="59" s="1"/>
  <c r="D117" i="59"/>
  <c r="N117" i="59" s="1"/>
  <c r="D108" i="59"/>
  <c r="N108" i="59" s="1"/>
  <c r="D116" i="59"/>
  <c r="N116" i="59" s="1"/>
  <c r="D91" i="59"/>
  <c r="N91" i="59" s="1"/>
  <c r="D82" i="59"/>
  <c r="N82" i="59" s="1"/>
  <c r="D111" i="59"/>
  <c r="N111" i="59" s="1"/>
  <c r="D101" i="59"/>
  <c r="N101" i="59" s="1"/>
  <c r="D71" i="59"/>
  <c r="N71" i="59" s="1"/>
  <c r="D70" i="59"/>
  <c r="N70" i="59" s="1"/>
  <c r="D78" i="59"/>
  <c r="N78" i="59" s="1"/>
  <c r="D99" i="59"/>
  <c r="N99" i="59" s="1"/>
  <c r="D73" i="59"/>
  <c r="N73" i="59" s="1"/>
  <c r="D110" i="59"/>
  <c r="N110" i="59" s="1"/>
  <c r="D89" i="59"/>
  <c r="N89" i="59" s="1"/>
  <c r="D80" i="59"/>
  <c r="N80" i="59" s="1"/>
  <c r="D79" i="59"/>
  <c r="N79" i="59" s="1"/>
  <c r="D87" i="59"/>
  <c r="N87" i="59" s="1"/>
  <c r="D90" i="59"/>
  <c r="N90" i="59" s="1"/>
  <c r="D119" i="59"/>
  <c r="N119" i="59" s="1"/>
  <c r="D106" i="59"/>
  <c r="N106" i="59" s="1"/>
  <c r="D97" i="59"/>
  <c r="N97" i="59" s="1"/>
  <c r="D88" i="59"/>
  <c r="N88" i="59" s="1"/>
  <c r="D96" i="59"/>
  <c r="N96" i="59" s="1"/>
  <c r="D77" i="59"/>
  <c r="N77" i="59" s="1"/>
  <c r="D107" i="59"/>
  <c r="N107" i="59" s="1"/>
  <c r="D81" i="59"/>
  <c r="N81" i="59" s="1"/>
  <c r="D69" i="59"/>
  <c r="N69" i="59" s="1"/>
  <c r="D114" i="59"/>
  <c r="N114" i="59" s="1"/>
  <c r="D105" i="59"/>
  <c r="N105" i="59" s="1"/>
  <c r="D113" i="59"/>
  <c r="N113" i="59" s="1"/>
  <c r="D86" i="59"/>
  <c r="N86" i="59" s="1"/>
  <c r="D85" i="59"/>
  <c r="N85" i="59" s="1"/>
  <c r="D98" i="59"/>
  <c r="N98" i="59" s="1"/>
  <c r="D92" i="59"/>
  <c r="N92" i="59" s="1"/>
  <c r="E96" i="59"/>
  <c r="O96" i="59" s="1"/>
  <c r="R282" i="43"/>
  <c r="K36" i="51" s="1"/>
  <c r="R231" i="43"/>
  <c r="K35" i="51" s="1"/>
  <c r="V74" i="42"/>
  <c r="W101" i="42"/>
  <c r="U89" i="42"/>
  <c r="E90" i="59"/>
  <c r="O90" i="59" s="1"/>
  <c r="W105" i="42"/>
  <c r="E112" i="59"/>
  <c r="O112" i="59" s="1"/>
  <c r="W104" i="42"/>
  <c r="E75" i="59"/>
  <c r="O75" i="59" s="1"/>
  <c r="E204" i="43"/>
  <c r="E100" i="59"/>
  <c r="O100" i="59" s="1"/>
  <c r="E79" i="59"/>
  <c r="O79" i="59" s="1"/>
  <c r="V72" i="42"/>
  <c r="L50" i="33"/>
  <c r="L52" i="33" s="1"/>
  <c r="I50" i="33"/>
  <c r="I52" i="33" s="1"/>
  <c r="N50" i="33"/>
  <c r="N52" i="33" s="1"/>
  <c r="J50" i="33"/>
  <c r="J52" i="33" s="1"/>
  <c r="G50" i="33"/>
  <c r="G52" i="33" s="1"/>
  <c r="E82" i="59"/>
  <c r="O82" i="59" s="1"/>
  <c r="E115" i="59"/>
  <c r="O115" i="59" s="1"/>
  <c r="E92" i="59"/>
  <c r="O92" i="59" s="1"/>
  <c r="E117" i="59"/>
  <c r="O117" i="59" s="1"/>
  <c r="E88" i="59"/>
  <c r="O88" i="59" s="1"/>
  <c r="E113" i="59"/>
  <c r="O113" i="59" s="1"/>
  <c r="E99" i="59"/>
  <c r="O99" i="59" s="1"/>
  <c r="E107" i="59"/>
  <c r="O107" i="59" s="1"/>
  <c r="E84" i="59"/>
  <c r="O84" i="59" s="1"/>
  <c r="E109" i="59"/>
  <c r="O109" i="59" s="1"/>
  <c r="E71" i="59"/>
  <c r="O71" i="59" s="1"/>
  <c r="E105" i="59"/>
  <c r="O105" i="59" s="1"/>
  <c r="E91" i="59"/>
  <c r="O91" i="59" s="1"/>
  <c r="E77" i="59"/>
  <c r="O77" i="59" s="1"/>
  <c r="E76" i="59"/>
  <c r="O76" i="59" s="1"/>
  <c r="E101" i="59"/>
  <c r="O101" i="59" s="1"/>
  <c r="E118" i="59"/>
  <c r="O118" i="59" s="1"/>
  <c r="E80" i="59"/>
  <c r="O80" i="59" s="1"/>
  <c r="E69" i="59"/>
  <c r="O69" i="59" s="1"/>
  <c r="E86" i="59"/>
  <c r="O86" i="59" s="1"/>
  <c r="E93" i="59"/>
  <c r="O93" i="59" s="1"/>
  <c r="E110" i="59"/>
  <c r="O110" i="59" s="1"/>
  <c r="E72" i="59"/>
  <c r="O72" i="59" s="1"/>
  <c r="E97" i="59"/>
  <c r="O97" i="59" s="1"/>
  <c r="E95" i="59"/>
  <c r="O95" i="59" s="1"/>
  <c r="E85" i="59"/>
  <c r="O85" i="59" s="1"/>
  <c r="E102" i="59"/>
  <c r="O102" i="59" s="1"/>
  <c r="E119" i="59"/>
  <c r="O119" i="59" s="1"/>
  <c r="E89" i="59"/>
  <c r="O89" i="59" s="1"/>
  <c r="E114" i="59"/>
  <c r="O114" i="59" s="1"/>
  <c r="E116" i="59"/>
  <c r="O116" i="59" s="1"/>
  <c r="E104" i="59"/>
  <c r="O104" i="59" s="1"/>
  <c r="E94" i="59"/>
  <c r="O94" i="59" s="1"/>
  <c r="E111" i="59"/>
  <c r="O111" i="59" s="1"/>
  <c r="E81" i="59"/>
  <c r="O81" i="59" s="1"/>
  <c r="E106" i="59"/>
  <c r="O106" i="59" s="1"/>
  <c r="E108" i="59"/>
  <c r="O108" i="59" s="1"/>
  <c r="E78" i="59"/>
  <c r="O78" i="59" s="1"/>
  <c r="E74" i="59"/>
  <c r="O74" i="59" s="1"/>
  <c r="E103" i="59"/>
  <c r="O103" i="59" s="1"/>
  <c r="E73" i="59"/>
  <c r="O73" i="59" s="1"/>
  <c r="E98" i="59"/>
  <c r="O98" i="59" s="1"/>
  <c r="E83" i="59"/>
  <c r="O83" i="59" s="1"/>
  <c r="E70" i="59"/>
  <c r="O70" i="59" s="1"/>
  <c r="E87" i="59"/>
  <c r="O87" i="59" s="1"/>
  <c r="V104" i="42"/>
  <c r="X104" i="42"/>
  <c r="K21" i="54"/>
  <c r="L45" i="52"/>
  <c r="K22" i="54"/>
  <c r="L46" i="52"/>
  <c r="K40" i="54"/>
  <c r="L57" i="52"/>
  <c r="Q48" i="33" s="1"/>
  <c r="X99" i="42"/>
  <c r="U99" i="42"/>
  <c r="X100" i="42"/>
  <c r="U100" i="42"/>
  <c r="E185" i="43"/>
  <c r="X74" i="42"/>
  <c r="Z105" i="42"/>
  <c r="E208" i="43"/>
  <c r="E200" i="43"/>
  <c r="U104" i="42"/>
  <c r="E229" i="43"/>
  <c r="E221" i="43"/>
  <c r="E213" i="43"/>
  <c r="U74" i="42"/>
  <c r="X106" i="42"/>
  <c r="T104" i="42"/>
  <c r="V106" i="42"/>
  <c r="W89" i="42"/>
  <c r="T105" i="42"/>
  <c r="P16" i="33" s="1"/>
  <c r="W90" i="42"/>
  <c r="X89" i="42"/>
  <c r="X90" i="42"/>
  <c r="E224" i="43"/>
  <c r="E216" i="43"/>
  <c r="E199" i="43"/>
  <c r="E191" i="43"/>
  <c r="E219" i="43"/>
  <c r="E211" i="43"/>
  <c r="E203" i="43"/>
  <c r="X72" i="42"/>
  <c r="U106" i="42"/>
  <c r="Z106" i="42"/>
  <c r="E215" i="43"/>
  <c r="E207" i="43"/>
  <c r="E190" i="43"/>
  <c r="E182" i="43"/>
  <c r="E214" i="43"/>
  <c r="E225" i="43"/>
  <c r="T72" i="42"/>
  <c r="E206" i="43"/>
  <c r="E198" i="43"/>
  <c r="E181" i="43"/>
  <c r="E227" i="43"/>
  <c r="D34" i="51"/>
  <c r="E202" i="43"/>
  <c r="T73" i="42"/>
  <c r="S91" i="42"/>
  <c r="E197" i="43"/>
  <c r="E189" i="43"/>
  <c r="E226" i="43"/>
  <c r="E228" i="43"/>
  <c r="E186" i="43"/>
  <c r="E209" i="43"/>
  <c r="S89" i="42"/>
  <c r="T99" i="42"/>
  <c r="E187" i="43"/>
  <c r="E193" i="43"/>
  <c r="E205" i="43"/>
  <c r="E217" i="43"/>
  <c r="E194" i="43"/>
  <c r="E212" i="43"/>
  <c r="T100" i="42"/>
  <c r="E223" i="43"/>
  <c r="E195" i="43"/>
  <c r="E201" i="43"/>
  <c r="E188" i="43"/>
  <c r="E192" i="43"/>
  <c r="E184" i="43"/>
  <c r="E180" i="43"/>
  <c r="E220" i="43"/>
  <c r="E210" i="43"/>
  <c r="E218" i="43"/>
  <c r="E196" i="43"/>
  <c r="E183" i="43"/>
  <c r="E230" i="43"/>
  <c r="E222" i="43"/>
  <c r="S100" i="42"/>
  <c r="W99" i="42"/>
  <c r="W73" i="42"/>
  <c r="S101" i="42"/>
  <c r="V99" i="42"/>
  <c r="W74" i="42"/>
  <c r="U90" i="42"/>
  <c r="Z100" i="42"/>
  <c r="AB124" i="42"/>
  <c r="AB123" i="42"/>
  <c r="AB122" i="42"/>
  <c r="AB121" i="42"/>
  <c r="AB126" i="42"/>
  <c r="AB129" i="42"/>
  <c r="AB128" i="42"/>
  <c r="AB127" i="42"/>
  <c r="AB118" i="42"/>
  <c r="X16" i="33" s="1"/>
  <c r="AB117" i="42"/>
  <c r="AB116" i="42"/>
  <c r="AB119" i="42"/>
  <c r="AB114" i="42"/>
  <c r="AB113" i="42"/>
  <c r="AB112" i="42"/>
  <c r="AB111" i="42"/>
  <c r="Z101" i="42"/>
  <c r="Z73" i="42"/>
  <c r="S72" i="42"/>
  <c r="Z74" i="42"/>
  <c r="S73" i="42"/>
  <c r="T91" i="42"/>
  <c r="U72" i="42"/>
  <c r="T89" i="42"/>
  <c r="B49" i="51"/>
  <c r="S76" i="42"/>
  <c r="S78" i="42" s="1"/>
  <c r="D51" i="51"/>
  <c r="U81" i="42"/>
  <c r="U82" i="42" s="1"/>
  <c r="D48" i="51"/>
  <c r="U93" i="42"/>
  <c r="U95" i="42" s="1"/>
  <c r="I51" i="51"/>
  <c r="Z81" i="42"/>
  <c r="Z82" i="42" s="1"/>
  <c r="C45" i="51"/>
  <c r="T66" i="42"/>
  <c r="T67" i="42" s="1"/>
  <c r="F49" i="51"/>
  <c r="W76" i="42"/>
  <c r="W79" i="42" s="1"/>
  <c r="E51" i="51"/>
  <c r="V81" i="42"/>
  <c r="V82" i="42" s="1"/>
  <c r="E48" i="51"/>
  <c r="V93" i="42"/>
  <c r="V95" i="42" s="1"/>
  <c r="E45" i="51"/>
  <c r="V66" i="42"/>
  <c r="V69" i="42" s="1"/>
  <c r="I49" i="51"/>
  <c r="Z76" i="42"/>
  <c r="Z79" i="42" s="1"/>
  <c r="B51" i="51"/>
  <c r="S81" i="42"/>
  <c r="S84" i="42" s="1"/>
  <c r="I48" i="51"/>
  <c r="Z93" i="42"/>
  <c r="Z95" i="42" s="1"/>
  <c r="AC136" i="42"/>
  <c r="AC134" i="42"/>
  <c r="AC133" i="42"/>
  <c r="AC132" i="42"/>
  <c r="AC135" i="42"/>
  <c r="C49" i="51"/>
  <c r="T76" i="42"/>
  <c r="T79" i="42" s="1"/>
  <c r="F51" i="51"/>
  <c r="W81" i="42"/>
  <c r="W83" i="42" s="1"/>
  <c r="B48" i="51"/>
  <c r="S93" i="42"/>
  <c r="S96" i="42" s="1"/>
  <c r="C51" i="51"/>
  <c r="T81" i="42"/>
  <c r="T82" i="42" s="1"/>
  <c r="F48" i="51"/>
  <c r="W93" i="42"/>
  <c r="W96" i="42" s="1"/>
  <c r="D49" i="51"/>
  <c r="U76" i="42"/>
  <c r="U78" i="42" s="1"/>
  <c r="C48" i="51"/>
  <c r="T93" i="42"/>
  <c r="T95" i="42" s="1"/>
  <c r="G49" i="51"/>
  <c r="X76" i="42"/>
  <c r="X79" i="42" s="1"/>
  <c r="E49" i="51"/>
  <c r="V76" i="42"/>
  <c r="V77" i="42" s="1"/>
  <c r="G51" i="51"/>
  <c r="X81" i="42"/>
  <c r="X83" i="42" s="1"/>
  <c r="G48" i="51"/>
  <c r="X93" i="42"/>
  <c r="X96" i="42" s="1"/>
  <c r="AA100" i="42"/>
  <c r="G77" i="59"/>
  <c r="Q77" i="59" s="1"/>
  <c r="G74" i="59"/>
  <c r="Q74" i="59" s="1"/>
  <c r="G102" i="59"/>
  <c r="Q102" i="59" s="1"/>
  <c r="G95" i="59"/>
  <c r="Q95" i="59" s="1"/>
  <c r="G101" i="59"/>
  <c r="Q101" i="59" s="1"/>
  <c r="G109" i="59"/>
  <c r="Q109" i="59" s="1"/>
  <c r="G70" i="59"/>
  <c r="Q70" i="59" s="1"/>
  <c r="G78" i="59"/>
  <c r="Q78" i="59" s="1"/>
  <c r="G100" i="59"/>
  <c r="Q100" i="59" s="1"/>
  <c r="C114" i="59"/>
  <c r="M114" i="59" s="1"/>
  <c r="Y104" i="42"/>
  <c r="Y105" i="42"/>
  <c r="C75" i="59"/>
  <c r="M75" i="59" s="1"/>
  <c r="AA89" i="42"/>
  <c r="AA101" i="42"/>
  <c r="C111" i="59"/>
  <c r="M111" i="59" s="1"/>
  <c r="C92" i="59"/>
  <c r="M92" i="59" s="1"/>
  <c r="T114" i="42"/>
  <c r="AA106" i="42"/>
  <c r="Y91" i="42"/>
  <c r="AA90" i="42"/>
  <c r="Y100" i="42"/>
  <c r="C91" i="59"/>
  <c r="M91" i="59" s="1"/>
  <c r="C73" i="59"/>
  <c r="M73" i="59" s="1"/>
  <c r="C103" i="59"/>
  <c r="M103" i="59" s="1"/>
  <c r="G116" i="59"/>
  <c r="Q116" i="59" s="1"/>
  <c r="G86" i="59"/>
  <c r="Q86" i="59" s="1"/>
  <c r="G83" i="59"/>
  <c r="Q83" i="59" s="1"/>
  <c r="G93" i="59"/>
  <c r="Q93" i="59" s="1"/>
  <c r="G84" i="59"/>
  <c r="Q84" i="59" s="1"/>
  <c r="G118" i="59"/>
  <c r="Q118" i="59" s="1"/>
  <c r="G117" i="59"/>
  <c r="Q117" i="59" s="1"/>
  <c r="G114" i="59"/>
  <c r="Q114" i="59" s="1"/>
  <c r="AA105" i="42"/>
  <c r="C109" i="59"/>
  <c r="M109" i="59" s="1"/>
  <c r="C83" i="59"/>
  <c r="M83" i="59" s="1"/>
  <c r="G72" i="59"/>
  <c r="Q72" i="59" s="1"/>
  <c r="G71" i="59"/>
  <c r="Q71" i="59" s="1"/>
  <c r="C80" i="59"/>
  <c r="M80" i="59" s="1"/>
  <c r="C112" i="59"/>
  <c r="M112" i="59" s="1"/>
  <c r="C74" i="59"/>
  <c r="M74" i="59" s="1"/>
  <c r="G87" i="59"/>
  <c r="Q87" i="59" s="1"/>
  <c r="G104" i="59"/>
  <c r="Q104" i="59" s="1"/>
  <c r="G111" i="59"/>
  <c r="Q111" i="59" s="1"/>
  <c r="G110" i="59"/>
  <c r="Q110" i="59" s="1"/>
  <c r="G81" i="59"/>
  <c r="Q81" i="59" s="1"/>
  <c r="G80" i="59"/>
  <c r="Q80" i="59" s="1"/>
  <c r="G96" i="59"/>
  <c r="Q96" i="59" s="1"/>
  <c r="G113" i="59"/>
  <c r="Q113" i="59" s="1"/>
  <c r="G85" i="59"/>
  <c r="Q85" i="59" s="1"/>
  <c r="G69" i="59"/>
  <c r="Q69" i="59" s="1"/>
  <c r="G119" i="59"/>
  <c r="Q119" i="59" s="1"/>
  <c r="G98" i="59"/>
  <c r="Q98" i="59" s="1"/>
  <c r="G89" i="59"/>
  <c r="Q89" i="59" s="1"/>
  <c r="G79" i="59"/>
  <c r="Q79" i="59" s="1"/>
  <c r="C108" i="59"/>
  <c r="M108" i="59" s="1"/>
  <c r="G105" i="59"/>
  <c r="Q105" i="59" s="1"/>
  <c r="G75" i="59"/>
  <c r="Q75" i="59" s="1"/>
  <c r="G94" i="59"/>
  <c r="Q94" i="59" s="1"/>
  <c r="G82" i="59"/>
  <c r="Q82" i="59" s="1"/>
  <c r="G73" i="59"/>
  <c r="Q73" i="59" s="1"/>
  <c r="G107" i="59"/>
  <c r="Q107" i="59" s="1"/>
  <c r="G106" i="59"/>
  <c r="Q106" i="59" s="1"/>
  <c r="G88" i="59"/>
  <c r="Q88" i="59" s="1"/>
  <c r="C71" i="59"/>
  <c r="M71" i="59" s="1"/>
  <c r="C78" i="59"/>
  <c r="M78" i="59" s="1"/>
  <c r="G115" i="59"/>
  <c r="Q115" i="59" s="1"/>
  <c r="G103" i="59"/>
  <c r="Q103" i="59" s="1"/>
  <c r="G91" i="59"/>
  <c r="Q91" i="59" s="1"/>
  <c r="G90" i="59"/>
  <c r="Q90" i="59" s="1"/>
  <c r="G97" i="59"/>
  <c r="Q97" i="59" s="1"/>
  <c r="G112" i="59"/>
  <c r="Q112" i="59" s="1"/>
  <c r="G99" i="59"/>
  <c r="Q99" i="59" s="1"/>
  <c r="G92" i="59"/>
  <c r="Q92" i="59" s="1"/>
  <c r="C119" i="59"/>
  <c r="M119" i="59" s="1"/>
  <c r="C90" i="59"/>
  <c r="M90" i="59" s="1"/>
  <c r="C77" i="59"/>
  <c r="M77" i="59" s="1"/>
  <c r="Y99" i="42"/>
  <c r="Y90" i="42"/>
  <c r="C101" i="59"/>
  <c r="M101" i="59" s="1"/>
  <c r="C117" i="59"/>
  <c r="M117" i="59" s="1"/>
  <c r="C99" i="59"/>
  <c r="M99" i="59" s="1"/>
  <c r="C72" i="59"/>
  <c r="M72" i="59" s="1"/>
  <c r="C81" i="59"/>
  <c r="M81" i="59" s="1"/>
  <c r="C110" i="59"/>
  <c r="M110" i="59" s="1"/>
  <c r="C105" i="59"/>
  <c r="M105" i="59" s="1"/>
  <c r="C96" i="59"/>
  <c r="M96" i="59" s="1"/>
  <c r="C116" i="59"/>
  <c r="M116" i="59" s="1"/>
  <c r="C88" i="59"/>
  <c r="M88" i="59" s="1"/>
  <c r="C98" i="59"/>
  <c r="M98" i="59" s="1"/>
  <c r="C115" i="59"/>
  <c r="M115" i="59" s="1"/>
  <c r="C85" i="59"/>
  <c r="M85" i="59" s="1"/>
  <c r="C94" i="59"/>
  <c r="M94" i="59" s="1"/>
  <c r="Y74" i="42"/>
  <c r="U16" i="33" s="1"/>
  <c r="M45" i="33" s="1"/>
  <c r="C97" i="59"/>
  <c r="M97" i="59" s="1"/>
  <c r="C118" i="59"/>
  <c r="M118" i="59" s="1"/>
  <c r="C113" i="59"/>
  <c r="M113" i="59" s="1"/>
  <c r="C70" i="59"/>
  <c r="M70" i="59" s="1"/>
  <c r="C107" i="59"/>
  <c r="M107" i="59" s="1"/>
  <c r="C104" i="59"/>
  <c r="M104" i="59" s="1"/>
  <c r="C84" i="59"/>
  <c r="M84" i="59" s="1"/>
  <c r="C100" i="59"/>
  <c r="M100" i="59" s="1"/>
  <c r="C87" i="59"/>
  <c r="M87" i="59" s="1"/>
  <c r="C82" i="59"/>
  <c r="M82" i="59" s="1"/>
  <c r="C86" i="59"/>
  <c r="M86" i="59" s="1"/>
  <c r="AA73" i="42"/>
  <c r="AA74" i="42"/>
  <c r="I16" i="52"/>
  <c r="C76" i="59"/>
  <c r="M76" i="59" s="1"/>
  <c r="C93" i="59"/>
  <c r="M93" i="59" s="1"/>
  <c r="C79" i="59"/>
  <c r="M79" i="59" s="1"/>
  <c r="C95" i="59"/>
  <c r="M95" i="59" s="1"/>
  <c r="C89" i="59"/>
  <c r="M89" i="59" s="1"/>
  <c r="C106" i="59"/>
  <c r="M106" i="59" s="1"/>
  <c r="C102" i="59"/>
  <c r="M102" i="59" s="1"/>
  <c r="Y72" i="42"/>
  <c r="T112" i="42"/>
  <c r="T111" i="42"/>
  <c r="H51" i="51"/>
  <c r="Y84" i="42" s="1"/>
  <c r="E190" i="7"/>
  <c r="E198" i="7"/>
  <c r="E206" i="7"/>
  <c r="E214" i="7"/>
  <c r="E222" i="7"/>
  <c r="E230" i="7"/>
  <c r="E192" i="7"/>
  <c r="E200" i="7"/>
  <c r="E208" i="7"/>
  <c r="E216" i="7"/>
  <c r="E224" i="7"/>
  <c r="E232" i="7"/>
  <c r="E185" i="7"/>
  <c r="E193" i="7"/>
  <c r="E201" i="7"/>
  <c r="E209" i="7"/>
  <c r="E217" i="7"/>
  <c r="E225" i="7"/>
  <c r="E233" i="7"/>
  <c r="E191" i="7"/>
  <c r="E204" i="7"/>
  <c r="E218" i="7"/>
  <c r="E229" i="7"/>
  <c r="E195" i="7"/>
  <c r="E207" i="7"/>
  <c r="E220" i="7"/>
  <c r="E234" i="7"/>
  <c r="E196" i="7"/>
  <c r="E210" i="7"/>
  <c r="E221" i="7"/>
  <c r="E184" i="7"/>
  <c r="E189" i="7"/>
  <c r="E212" i="7"/>
  <c r="E231" i="7"/>
  <c r="E194" i="7"/>
  <c r="E213" i="7"/>
  <c r="E197" i="7"/>
  <c r="E215" i="7"/>
  <c r="E202" i="7"/>
  <c r="E223" i="7"/>
  <c r="E186" i="7"/>
  <c r="E203" i="7"/>
  <c r="E226" i="7"/>
  <c r="E228" i="7"/>
  <c r="E187" i="7"/>
  <c r="E188" i="7"/>
  <c r="E199" i="7"/>
  <c r="E205" i="7"/>
  <c r="E211" i="7"/>
  <c r="E219" i="7"/>
  <c r="E227" i="7"/>
  <c r="H45" i="51"/>
  <c r="E35" i="7"/>
  <c r="E43" i="7"/>
  <c r="E51" i="7"/>
  <c r="E59" i="7"/>
  <c r="E67" i="7"/>
  <c r="E75" i="7"/>
  <c r="E38" i="7"/>
  <c r="E46" i="7"/>
  <c r="E54" i="7"/>
  <c r="E62" i="7"/>
  <c r="E70" i="7"/>
  <c r="E78" i="7"/>
  <c r="E37" i="7"/>
  <c r="E48" i="7"/>
  <c r="E58" i="7"/>
  <c r="E69" i="7"/>
  <c r="E80" i="7"/>
  <c r="E40" i="7"/>
  <c r="E50" i="7"/>
  <c r="E61" i="7"/>
  <c r="E72" i="7"/>
  <c r="E31" i="7"/>
  <c r="E41" i="7"/>
  <c r="E52" i="7"/>
  <c r="E63" i="7"/>
  <c r="E73" i="7"/>
  <c r="E44" i="7"/>
  <c r="E60" i="7"/>
  <c r="E77" i="7"/>
  <c r="E45" i="7"/>
  <c r="E64" i="7"/>
  <c r="E79" i="7"/>
  <c r="E32" i="7"/>
  <c r="E47" i="7"/>
  <c r="E65" i="7"/>
  <c r="E81" i="7"/>
  <c r="E34" i="7"/>
  <c r="E53" i="7"/>
  <c r="E68" i="7"/>
  <c r="E36" i="7"/>
  <c r="E55" i="7"/>
  <c r="E71" i="7"/>
  <c r="E33" i="7"/>
  <c r="E76" i="7"/>
  <c r="E39" i="7"/>
  <c r="E42" i="7"/>
  <c r="E49" i="7"/>
  <c r="E56" i="7"/>
  <c r="E57" i="7"/>
  <c r="E66" i="7"/>
  <c r="E74" i="7"/>
  <c r="H49" i="51"/>
  <c r="Y78" i="42" s="1"/>
  <c r="E134" i="7"/>
  <c r="E142" i="7"/>
  <c r="E150" i="7"/>
  <c r="E158" i="7"/>
  <c r="E166" i="7"/>
  <c r="E174" i="7"/>
  <c r="E182" i="7"/>
  <c r="E136" i="7"/>
  <c r="E144" i="7"/>
  <c r="E152" i="7"/>
  <c r="E160" i="7"/>
  <c r="E168" i="7"/>
  <c r="E176" i="7"/>
  <c r="E137" i="7"/>
  <c r="E145" i="7"/>
  <c r="E153" i="7"/>
  <c r="E161" i="7"/>
  <c r="E169" i="7"/>
  <c r="E177" i="7"/>
  <c r="E133" i="7"/>
  <c r="E141" i="7"/>
  <c r="E155" i="7"/>
  <c r="E167" i="7"/>
  <c r="E180" i="7"/>
  <c r="E146" i="7"/>
  <c r="E157" i="7"/>
  <c r="E171" i="7"/>
  <c r="E183" i="7"/>
  <c r="E147" i="7"/>
  <c r="E159" i="7"/>
  <c r="E172" i="7"/>
  <c r="E140" i="7"/>
  <c r="E163" i="7"/>
  <c r="E181" i="7"/>
  <c r="E143" i="7"/>
  <c r="E164" i="7"/>
  <c r="E148" i="7"/>
  <c r="E165" i="7"/>
  <c r="E151" i="7"/>
  <c r="E173" i="7"/>
  <c r="E135" i="7"/>
  <c r="E154" i="7"/>
  <c r="E175" i="7"/>
  <c r="E138" i="7"/>
  <c r="E139" i="7"/>
  <c r="E149" i="7"/>
  <c r="E156" i="7"/>
  <c r="E162" i="7"/>
  <c r="E170" i="7"/>
  <c r="E178" i="7"/>
  <c r="E179" i="7"/>
  <c r="J35" i="54"/>
  <c r="J52" i="52" s="1"/>
  <c r="F547" i="7"/>
  <c r="F555" i="7"/>
  <c r="F563" i="7"/>
  <c r="F571" i="7"/>
  <c r="F579" i="7"/>
  <c r="F587" i="7"/>
  <c r="F548" i="7"/>
  <c r="F556" i="7"/>
  <c r="F564" i="7"/>
  <c r="F572" i="7"/>
  <c r="F580" i="7"/>
  <c r="F588" i="7"/>
  <c r="F550" i="7"/>
  <c r="F558" i="7"/>
  <c r="F566" i="7"/>
  <c r="F574" i="7"/>
  <c r="F582" i="7"/>
  <c r="F590" i="7"/>
  <c r="F551" i="7"/>
  <c r="F559" i="7"/>
  <c r="F567" i="7"/>
  <c r="F575" i="7"/>
  <c r="F583" i="7"/>
  <c r="F591" i="7"/>
  <c r="F557" i="7"/>
  <c r="F573" i="7"/>
  <c r="F589" i="7"/>
  <c r="F560" i="7"/>
  <c r="F576" i="7"/>
  <c r="F592" i="7"/>
  <c r="F545" i="7"/>
  <c r="F561" i="7"/>
  <c r="F577" i="7"/>
  <c r="F593" i="7"/>
  <c r="F565" i="7"/>
  <c r="F586" i="7"/>
  <c r="F546" i="7"/>
  <c r="F569" i="7"/>
  <c r="F544" i="7"/>
  <c r="F549" i="7"/>
  <c r="F570" i="7"/>
  <c r="F553" i="7"/>
  <c r="F581" i="7"/>
  <c r="F584" i="7"/>
  <c r="F594" i="7"/>
  <c r="F552" i="7"/>
  <c r="F562" i="7"/>
  <c r="F568" i="7"/>
  <c r="F578" i="7"/>
  <c r="F585" i="7"/>
  <c r="F554" i="7"/>
  <c r="H48" i="51"/>
  <c r="Y96" i="42" s="1"/>
  <c r="E238" i="7"/>
  <c r="E246" i="7"/>
  <c r="E254" i="7"/>
  <c r="E240" i="7"/>
  <c r="E248" i="7"/>
  <c r="E256" i="7"/>
  <c r="E264" i="7"/>
  <c r="E272" i="7"/>
  <c r="E280" i="7"/>
  <c r="E243" i="7"/>
  <c r="E251" i="7"/>
  <c r="E259" i="7"/>
  <c r="E267" i="7"/>
  <c r="E275" i="7"/>
  <c r="E283" i="7"/>
  <c r="E236" i="7"/>
  <c r="E249" i="7"/>
  <c r="E261" i="7"/>
  <c r="E271" i="7"/>
  <c r="E282" i="7"/>
  <c r="E239" i="7"/>
  <c r="E252" i="7"/>
  <c r="E263" i="7"/>
  <c r="E274" i="7"/>
  <c r="E285" i="7"/>
  <c r="E241" i="7"/>
  <c r="E253" i="7"/>
  <c r="E265" i="7"/>
  <c r="E276" i="7"/>
  <c r="E257" i="7"/>
  <c r="E273" i="7"/>
  <c r="E242" i="7"/>
  <c r="E260" i="7"/>
  <c r="E278" i="7"/>
  <c r="E244" i="7"/>
  <c r="E262" i="7"/>
  <c r="E279" i="7"/>
  <c r="E247" i="7"/>
  <c r="E277" i="7"/>
  <c r="E250" i="7"/>
  <c r="E281" i="7"/>
  <c r="E255" i="7"/>
  <c r="E284" i="7"/>
  <c r="E266" i="7"/>
  <c r="E268" i="7"/>
  <c r="E269" i="7"/>
  <c r="E270" i="7"/>
  <c r="E235" i="7"/>
  <c r="E237" i="7"/>
  <c r="E245" i="7"/>
  <c r="E258" i="7"/>
  <c r="U111" i="42"/>
  <c r="S111" i="42"/>
  <c r="H33" i="54"/>
  <c r="H50" i="52" s="1"/>
  <c r="E500" i="7"/>
  <c r="E508" i="7"/>
  <c r="E516" i="7"/>
  <c r="E524" i="7"/>
  <c r="E532" i="7"/>
  <c r="E540" i="7"/>
  <c r="E501" i="7"/>
  <c r="E509" i="7"/>
  <c r="E517" i="7"/>
  <c r="E525" i="7"/>
  <c r="E533" i="7"/>
  <c r="E541" i="7"/>
  <c r="E494" i="7"/>
  <c r="E502" i="7"/>
  <c r="E510" i="7"/>
  <c r="E518" i="7"/>
  <c r="E526" i="7"/>
  <c r="E534" i="7"/>
  <c r="E542" i="7"/>
  <c r="E504" i="7"/>
  <c r="E515" i="7"/>
  <c r="E529" i="7"/>
  <c r="E543" i="7"/>
  <c r="E495" i="7"/>
  <c r="E506" i="7"/>
  <c r="E520" i="7"/>
  <c r="E531" i="7"/>
  <c r="E493" i="7"/>
  <c r="E498" i="7"/>
  <c r="E512" i="7"/>
  <c r="E523" i="7"/>
  <c r="E537" i="7"/>
  <c r="E513" i="7"/>
  <c r="E535" i="7"/>
  <c r="E497" i="7"/>
  <c r="E519" i="7"/>
  <c r="E538" i="7"/>
  <c r="E499" i="7"/>
  <c r="E521" i="7"/>
  <c r="E539" i="7"/>
  <c r="E505" i="7"/>
  <c r="E536" i="7"/>
  <c r="E511" i="7"/>
  <c r="E514" i="7"/>
  <c r="E522" i="7"/>
  <c r="E527" i="7"/>
  <c r="E528" i="7"/>
  <c r="E496" i="7"/>
  <c r="E503" i="7"/>
  <c r="E507" i="7"/>
  <c r="E530" i="7"/>
  <c r="F178" i="59"/>
  <c r="P178" i="59" s="1"/>
  <c r="F186" i="59"/>
  <c r="P186" i="59" s="1"/>
  <c r="F194" i="59"/>
  <c r="P194" i="59" s="1"/>
  <c r="F202" i="59"/>
  <c r="P202" i="59" s="1"/>
  <c r="F210" i="59"/>
  <c r="P210" i="59" s="1"/>
  <c r="F218" i="59"/>
  <c r="P218" i="59" s="1"/>
  <c r="F173" i="59"/>
  <c r="P173" i="59" s="1"/>
  <c r="F181" i="59"/>
  <c r="P181" i="59" s="1"/>
  <c r="F189" i="59"/>
  <c r="P189" i="59" s="1"/>
  <c r="F197" i="59"/>
  <c r="P197" i="59" s="1"/>
  <c r="F205" i="59"/>
  <c r="P205" i="59" s="1"/>
  <c r="F213" i="59"/>
  <c r="P213" i="59" s="1"/>
  <c r="F221" i="59"/>
  <c r="P221" i="59" s="1"/>
  <c r="F177" i="59"/>
  <c r="P177" i="59" s="1"/>
  <c r="F188" i="59"/>
  <c r="P188" i="59" s="1"/>
  <c r="F199" i="59"/>
  <c r="P199" i="59" s="1"/>
  <c r="F209" i="59"/>
  <c r="P209" i="59" s="1"/>
  <c r="F220" i="59"/>
  <c r="P220" i="59" s="1"/>
  <c r="F180" i="59"/>
  <c r="P180" i="59" s="1"/>
  <c r="F191" i="59"/>
  <c r="P191" i="59" s="1"/>
  <c r="F201" i="59"/>
  <c r="P201" i="59" s="1"/>
  <c r="F212" i="59"/>
  <c r="P212" i="59" s="1"/>
  <c r="F182" i="59"/>
  <c r="P182" i="59" s="1"/>
  <c r="F192" i="59"/>
  <c r="P192" i="59" s="1"/>
  <c r="F203" i="59"/>
  <c r="P203" i="59" s="1"/>
  <c r="F214" i="59"/>
  <c r="P214" i="59" s="1"/>
  <c r="F183" i="59"/>
  <c r="P183" i="59" s="1"/>
  <c r="F198" i="59"/>
  <c r="P198" i="59" s="1"/>
  <c r="F216" i="59"/>
  <c r="P216" i="59" s="1"/>
  <c r="F184" i="59"/>
  <c r="P184" i="59" s="1"/>
  <c r="F200" i="59"/>
  <c r="P200" i="59" s="1"/>
  <c r="F217" i="59"/>
  <c r="P217" i="59" s="1"/>
  <c r="F185" i="59"/>
  <c r="P185" i="59" s="1"/>
  <c r="F204" i="59"/>
  <c r="P204" i="59" s="1"/>
  <c r="F219" i="59"/>
  <c r="P219" i="59" s="1"/>
  <c r="F174" i="59"/>
  <c r="P174" i="59" s="1"/>
  <c r="F190" i="59"/>
  <c r="P190" i="59" s="1"/>
  <c r="F207" i="59"/>
  <c r="P207" i="59" s="1"/>
  <c r="F175" i="59"/>
  <c r="P175" i="59" s="1"/>
  <c r="F193" i="59"/>
  <c r="P193" i="59" s="1"/>
  <c r="F208" i="59"/>
  <c r="P208" i="59" s="1"/>
  <c r="F211" i="59"/>
  <c r="P211" i="59" s="1"/>
  <c r="F172" i="59"/>
  <c r="P172" i="59" s="1"/>
  <c r="F215" i="59"/>
  <c r="P215" i="59" s="1"/>
  <c r="F176" i="59"/>
  <c r="P176" i="59" s="1"/>
  <c r="F171" i="59"/>
  <c r="P171" i="59" s="1"/>
  <c r="F179" i="59"/>
  <c r="P179" i="59" s="1"/>
  <c r="F187" i="59"/>
  <c r="P187" i="59" s="1"/>
  <c r="F195" i="59"/>
  <c r="P195" i="59" s="1"/>
  <c r="F196" i="59"/>
  <c r="P196" i="59" s="1"/>
  <c r="F206" i="59"/>
  <c r="P206" i="59" s="1"/>
  <c r="J33" i="54"/>
  <c r="J50" i="52" s="1"/>
  <c r="F494" i="7"/>
  <c r="F502" i="7"/>
  <c r="F510" i="7"/>
  <c r="F518" i="7"/>
  <c r="F526" i="7"/>
  <c r="F534" i="7"/>
  <c r="F542" i="7"/>
  <c r="F495" i="7"/>
  <c r="F503" i="7"/>
  <c r="F511" i="7"/>
  <c r="F519" i="7"/>
  <c r="F527" i="7"/>
  <c r="F535" i="7"/>
  <c r="F543" i="7"/>
  <c r="F496" i="7"/>
  <c r="F504" i="7"/>
  <c r="F512" i="7"/>
  <c r="F520" i="7"/>
  <c r="F528" i="7"/>
  <c r="F536" i="7"/>
  <c r="F501" i="7"/>
  <c r="F515" i="7"/>
  <c r="F529" i="7"/>
  <c r="F540" i="7"/>
  <c r="F506" i="7"/>
  <c r="F517" i="7"/>
  <c r="F531" i="7"/>
  <c r="F498" i="7"/>
  <c r="F509" i="7"/>
  <c r="F523" i="7"/>
  <c r="F537" i="7"/>
  <c r="F500" i="7"/>
  <c r="F522" i="7"/>
  <c r="F541" i="7"/>
  <c r="F507" i="7"/>
  <c r="F525" i="7"/>
  <c r="F508" i="7"/>
  <c r="F530" i="7"/>
  <c r="F521" i="7"/>
  <c r="F497" i="7"/>
  <c r="F532" i="7"/>
  <c r="F499" i="7"/>
  <c r="F533" i="7"/>
  <c r="F514" i="7"/>
  <c r="F516" i="7"/>
  <c r="F524" i="7"/>
  <c r="F539" i="7"/>
  <c r="F493" i="7"/>
  <c r="F538" i="7"/>
  <c r="F505" i="7"/>
  <c r="F513" i="7"/>
  <c r="G17" i="52"/>
  <c r="F124" i="59"/>
  <c r="P124" i="59" s="1"/>
  <c r="F132" i="59"/>
  <c r="P132" i="59" s="1"/>
  <c r="F140" i="59"/>
  <c r="P140" i="59" s="1"/>
  <c r="F148" i="59"/>
  <c r="P148" i="59" s="1"/>
  <c r="F156" i="59"/>
  <c r="P156" i="59" s="1"/>
  <c r="F164" i="59"/>
  <c r="P164" i="59" s="1"/>
  <c r="F127" i="59"/>
  <c r="P127" i="59" s="1"/>
  <c r="F135" i="59"/>
  <c r="P135" i="59" s="1"/>
  <c r="F143" i="59"/>
  <c r="P143" i="59" s="1"/>
  <c r="F151" i="59"/>
  <c r="P151" i="59" s="1"/>
  <c r="F159" i="59"/>
  <c r="P159" i="59" s="1"/>
  <c r="F129" i="59"/>
  <c r="P129" i="59" s="1"/>
  <c r="F139" i="59"/>
  <c r="P139" i="59" s="1"/>
  <c r="F150" i="59"/>
  <c r="P150" i="59" s="1"/>
  <c r="F161" i="59"/>
  <c r="P161" i="59" s="1"/>
  <c r="F170" i="59"/>
  <c r="P170" i="59" s="1"/>
  <c r="F121" i="59"/>
  <c r="P121" i="59" s="1"/>
  <c r="F131" i="59"/>
  <c r="P131" i="59" s="1"/>
  <c r="F142" i="59"/>
  <c r="P142" i="59" s="1"/>
  <c r="F153" i="59"/>
  <c r="P153" i="59" s="1"/>
  <c r="F163" i="59"/>
  <c r="P163" i="59" s="1"/>
  <c r="F122" i="59"/>
  <c r="P122" i="59" s="1"/>
  <c r="F133" i="59"/>
  <c r="P133" i="59" s="1"/>
  <c r="F144" i="59"/>
  <c r="P144" i="59" s="1"/>
  <c r="F154" i="59"/>
  <c r="P154" i="59" s="1"/>
  <c r="F165" i="59"/>
  <c r="P165" i="59" s="1"/>
  <c r="F130" i="59"/>
  <c r="P130" i="59" s="1"/>
  <c r="F147" i="59"/>
  <c r="P147" i="59" s="1"/>
  <c r="F166" i="59"/>
  <c r="P166" i="59" s="1"/>
  <c r="F134" i="59"/>
  <c r="P134" i="59" s="1"/>
  <c r="F149" i="59"/>
  <c r="P149" i="59" s="1"/>
  <c r="F167" i="59"/>
  <c r="P167" i="59" s="1"/>
  <c r="F136" i="59"/>
  <c r="P136" i="59" s="1"/>
  <c r="F152" i="59"/>
  <c r="P152" i="59" s="1"/>
  <c r="F168" i="59"/>
  <c r="P168" i="59" s="1"/>
  <c r="F123" i="59"/>
  <c r="P123" i="59" s="1"/>
  <c r="F138" i="59"/>
  <c r="P138" i="59" s="1"/>
  <c r="F157" i="59"/>
  <c r="P157" i="59" s="1"/>
  <c r="F120" i="59"/>
  <c r="P120" i="59" s="1"/>
  <c r="F125" i="59"/>
  <c r="P125" i="59" s="1"/>
  <c r="F141" i="59"/>
  <c r="P141" i="59" s="1"/>
  <c r="F158" i="59"/>
  <c r="P158" i="59" s="1"/>
  <c r="F155" i="59"/>
  <c r="P155" i="59" s="1"/>
  <c r="F160" i="59"/>
  <c r="P160" i="59" s="1"/>
  <c r="F162" i="59"/>
  <c r="P162" i="59" s="1"/>
  <c r="F126" i="59"/>
  <c r="P126" i="59" s="1"/>
  <c r="F169" i="59"/>
  <c r="P169" i="59" s="1"/>
  <c r="F128" i="59"/>
  <c r="P128" i="59" s="1"/>
  <c r="F137" i="59"/>
  <c r="P137" i="59" s="1"/>
  <c r="F145" i="59"/>
  <c r="P145" i="59" s="1"/>
  <c r="F146" i="59"/>
  <c r="P146" i="59" s="1"/>
  <c r="F38" i="7"/>
  <c r="F46" i="7"/>
  <c r="F54" i="7"/>
  <c r="F62" i="7"/>
  <c r="F70" i="7"/>
  <c r="F78" i="7"/>
  <c r="F33" i="7"/>
  <c r="F41" i="7"/>
  <c r="F49" i="7"/>
  <c r="F57" i="7"/>
  <c r="F65" i="7"/>
  <c r="F73" i="7"/>
  <c r="F81" i="7"/>
  <c r="F35" i="7"/>
  <c r="F45" i="7"/>
  <c r="F56" i="7"/>
  <c r="F67" i="7"/>
  <c r="F77" i="7"/>
  <c r="F37" i="7"/>
  <c r="F48" i="7"/>
  <c r="F59" i="7"/>
  <c r="F69" i="7"/>
  <c r="F80" i="7"/>
  <c r="F39" i="7"/>
  <c r="F50" i="7"/>
  <c r="F60" i="7"/>
  <c r="F71" i="7"/>
  <c r="F31" i="7"/>
  <c r="F43" i="7"/>
  <c r="F61" i="7"/>
  <c r="F76" i="7"/>
  <c r="F44" i="7"/>
  <c r="F63" i="7"/>
  <c r="F79" i="7"/>
  <c r="F47" i="7"/>
  <c r="F64" i="7"/>
  <c r="F34" i="7"/>
  <c r="F52" i="7"/>
  <c r="F68" i="7"/>
  <c r="F36" i="7"/>
  <c r="F53" i="7"/>
  <c r="F72" i="7"/>
  <c r="F40" i="7"/>
  <c r="F42" i="7"/>
  <c r="F51" i="7"/>
  <c r="F55" i="7"/>
  <c r="F58" i="7"/>
  <c r="F66" i="7"/>
  <c r="F74" i="7"/>
  <c r="F75" i="7"/>
  <c r="F32" i="7"/>
  <c r="J37" i="54"/>
  <c r="J54" i="52" s="1"/>
  <c r="F596" i="7"/>
  <c r="F604" i="7"/>
  <c r="F612" i="7"/>
  <c r="F620" i="7"/>
  <c r="F628" i="7"/>
  <c r="F636" i="7"/>
  <c r="F644" i="7"/>
  <c r="F597" i="7"/>
  <c r="F605" i="7"/>
  <c r="F613" i="7"/>
  <c r="F621" i="7"/>
  <c r="F629" i="7"/>
  <c r="F637" i="7"/>
  <c r="F645" i="7"/>
  <c r="F599" i="7"/>
  <c r="F607" i="7"/>
  <c r="F615" i="7"/>
  <c r="F623" i="7"/>
  <c r="F631" i="7"/>
  <c r="F639" i="7"/>
  <c r="F600" i="7"/>
  <c r="F608" i="7"/>
  <c r="F616" i="7"/>
  <c r="F624" i="7"/>
  <c r="F632" i="7"/>
  <c r="F640" i="7"/>
  <c r="F595" i="7"/>
  <c r="F598" i="7"/>
  <c r="F614" i="7"/>
  <c r="F630" i="7"/>
  <c r="F601" i="7"/>
  <c r="F617" i="7"/>
  <c r="F633" i="7"/>
  <c r="F602" i="7"/>
  <c r="F618" i="7"/>
  <c r="F634" i="7"/>
  <c r="F611" i="7"/>
  <c r="F641" i="7"/>
  <c r="F622" i="7"/>
  <c r="F643" i="7"/>
  <c r="F625" i="7"/>
  <c r="F606" i="7"/>
  <c r="F627" i="7"/>
  <c r="F635" i="7"/>
  <c r="F642" i="7"/>
  <c r="F603" i="7"/>
  <c r="F610" i="7"/>
  <c r="F626" i="7"/>
  <c r="F638" i="7"/>
  <c r="F609" i="7"/>
  <c r="F619" i="7"/>
  <c r="J49" i="51"/>
  <c r="AA79" i="42" s="1"/>
  <c r="F136" i="7"/>
  <c r="F144" i="7"/>
  <c r="F152" i="7"/>
  <c r="F160" i="7"/>
  <c r="F168" i="7"/>
  <c r="F176" i="7"/>
  <c r="F138" i="7"/>
  <c r="F146" i="7"/>
  <c r="F154" i="7"/>
  <c r="F162" i="7"/>
  <c r="F170" i="7"/>
  <c r="F178" i="7"/>
  <c r="F133" i="7"/>
  <c r="F139" i="7"/>
  <c r="F147" i="7"/>
  <c r="F155" i="7"/>
  <c r="F163" i="7"/>
  <c r="F171" i="7"/>
  <c r="F179" i="7"/>
  <c r="F141" i="7"/>
  <c r="F153" i="7"/>
  <c r="F166" i="7"/>
  <c r="F180" i="7"/>
  <c r="F143" i="7"/>
  <c r="F157" i="7"/>
  <c r="F169" i="7"/>
  <c r="F182" i="7"/>
  <c r="F145" i="7"/>
  <c r="F158" i="7"/>
  <c r="F172" i="7"/>
  <c r="F183" i="7"/>
  <c r="F150" i="7"/>
  <c r="F173" i="7"/>
  <c r="F134" i="7"/>
  <c r="F151" i="7"/>
  <c r="F174" i="7"/>
  <c r="F135" i="7"/>
  <c r="F156" i="7"/>
  <c r="F175" i="7"/>
  <c r="F140" i="7"/>
  <c r="F161" i="7"/>
  <c r="F181" i="7"/>
  <c r="F142" i="7"/>
  <c r="F164" i="7"/>
  <c r="F137" i="7"/>
  <c r="F148" i="7"/>
  <c r="F149" i="7"/>
  <c r="F159" i="7"/>
  <c r="F165" i="7"/>
  <c r="F167" i="7"/>
  <c r="F177" i="7"/>
  <c r="X112" i="42"/>
  <c r="H37" i="54"/>
  <c r="H54" i="52" s="1"/>
  <c r="E602" i="7"/>
  <c r="E610" i="7"/>
  <c r="E618" i="7"/>
  <c r="E626" i="7"/>
  <c r="E634" i="7"/>
  <c r="E642" i="7"/>
  <c r="E603" i="7"/>
  <c r="E611" i="7"/>
  <c r="E619" i="7"/>
  <c r="E627" i="7"/>
  <c r="E635" i="7"/>
  <c r="E643" i="7"/>
  <c r="E597" i="7"/>
  <c r="E605" i="7"/>
  <c r="E613" i="7"/>
  <c r="E621" i="7"/>
  <c r="E629" i="7"/>
  <c r="E637" i="7"/>
  <c r="E645" i="7"/>
  <c r="E598" i="7"/>
  <c r="E606" i="7"/>
  <c r="E614" i="7"/>
  <c r="E622" i="7"/>
  <c r="E630" i="7"/>
  <c r="E638" i="7"/>
  <c r="E596" i="7"/>
  <c r="E612" i="7"/>
  <c r="E628" i="7"/>
  <c r="E644" i="7"/>
  <c r="E599" i="7"/>
  <c r="E615" i="7"/>
  <c r="E631" i="7"/>
  <c r="E595" i="7"/>
  <c r="E600" i="7"/>
  <c r="E616" i="7"/>
  <c r="E632" i="7"/>
  <c r="E617" i="7"/>
  <c r="E640" i="7"/>
  <c r="E623" i="7"/>
  <c r="E601" i="7"/>
  <c r="E624" i="7"/>
  <c r="E607" i="7"/>
  <c r="E633" i="7"/>
  <c r="E636" i="7"/>
  <c r="E641" i="7"/>
  <c r="E604" i="7"/>
  <c r="E639" i="7"/>
  <c r="E609" i="7"/>
  <c r="E620" i="7"/>
  <c r="E625" i="7"/>
  <c r="E608" i="7"/>
  <c r="J51" i="51"/>
  <c r="AA83" i="42" s="1"/>
  <c r="F185" i="7"/>
  <c r="F193" i="7"/>
  <c r="F201" i="7"/>
  <c r="F188" i="7"/>
  <c r="F196" i="7"/>
  <c r="F190" i="7"/>
  <c r="F200" i="7"/>
  <c r="F209" i="7"/>
  <c r="F217" i="7"/>
  <c r="F225" i="7"/>
  <c r="F233" i="7"/>
  <c r="F192" i="7"/>
  <c r="F203" i="7"/>
  <c r="F211" i="7"/>
  <c r="F219" i="7"/>
  <c r="F227" i="7"/>
  <c r="F184" i="7"/>
  <c r="F194" i="7"/>
  <c r="F204" i="7"/>
  <c r="F212" i="7"/>
  <c r="F220" i="7"/>
  <c r="F228" i="7"/>
  <c r="F187" i="7"/>
  <c r="F205" i="7"/>
  <c r="F216" i="7"/>
  <c r="F230" i="7"/>
  <c r="F191" i="7"/>
  <c r="F207" i="7"/>
  <c r="F221" i="7"/>
  <c r="F232" i="7"/>
  <c r="F195" i="7"/>
  <c r="F208" i="7"/>
  <c r="F222" i="7"/>
  <c r="F234" i="7"/>
  <c r="F199" i="7"/>
  <c r="F223" i="7"/>
  <c r="F202" i="7"/>
  <c r="F224" i="7"/>
  <c r="F206" i="7"/>
  <c r="F226" i="7"/>
  <c r="F186" i="7"/>
  <c r="F213" i="7"/>
  <c r="F231" i="7"/>
  <c r="F189" i="7"/>
  <c r="F214" i="7"/>
  <c r="F229" i="7"/>
  <c r="F197" i="7"/>
  <c r="F198" i="7"/>
  <c r="F210" i="7"/>
  <c r="F215" i="7"/>
  <c r="F218" i="7"/>
  <c r="H35" i="54"/>
  <c r="H52" i="52" s="1"/>
  <c r="E549" i="7"/>
  <c r="E557" i="7"/>
  <c r="E565" i="7"/>
  <c r="E573" i="7"/>
  <c r="E581" i="7"/>
  <c r="E589" i="7"/>
  <c r="E550" i="7"/>
  <c r="E558" i="7"/>
  <c r="E566" i="7"/>
  <c r="E574" i="7"/>
  <c r="E582" i="7"/>
  <c r="E590" i="7"/>
  <c r="E551" i="7"/>
  <c r="E559" i="7"/>
  <c r="E567" i="7"/>
  <c r="E575" i="7"/>
  <c r="E583" i="7"/>
  <c r="E591" i="7"/>
  <c r="E554" i="7"/>
  <c r="E568" i="7"/>
  <c r="E579" i="7"/>
  <c r="E593" i="7"/>
  <c r="E545" i="7"/>
  <c r="E556" i="7"/>
  <c r="E570" i="7"/>
  <c r="E584" i="7"/>
  <c r="E546" i="7"/>
  <c r="E560" i="7"/>
  <c r="E548" i="7"/>
  <c r="E562" i="7"/>
  <c r="E576" i="7"/>
  <c r="E587" i="7"/>
  <c r="E563" i="7"/>
  <c r="E585" i="7"/>
  <c r="E569" i="7"/>
  <c r="E588" i="7"/>
  <c r="E547" i="7"/>
  <c r="E571" i="7"/>
  <c r="E592" i="7"/>
  <c r="E555" i="7"/>
  <c r="E594" i="7"/>
  <c r="E564" i="7"/>
  <c r="E572" i="7"/>
  <c r="E561" i="7"/>
  <c r="E577" i="7"/>
  <c r="E578" i="7"/>
  <c r="E586" i="7"/>
  <c r="E544" i="7"/>
  <c r="E552" i="7"/>
  <c r="E553" i="7"/>
  <c r="E580" i="7"/>
  <c r="J48" i="51"/>
  <c r="AA95" i="42" s="1"/>
  <c r="F240" i="7"/>
  <c r="F248" i="7"/>
  <c r="F256" i="7"/>
  <c r="F264" i="7"/>
  <c r="F272" i="7"/>
  <c r="F280" i="7"/>
  <c r="F242" i="7"/>
  <c r="F250" i="7"/>
  <c r="F258" i="7"/>
  <c r="F266" i="7"/>
  <c r="F274" i="7"/>
  <c r="F282" i="7"/>
  <c r="F237" i="7"/>
  <c r="F245" i="7"/>
  <c r="F253" i="7"/>
  <c r="F261" i="7"/>
  <c r="F269" i="7"/>
  <c r="F277" i="7"/>
  <c r="F285" i="7"/>
  <c r="F247" i="7"/>
  <c r="F260" i="7"/>
  <c r="F273" i="7"/>
  <c r="F238" i="7"/>
  <c r="F251" i="7"/>
  <c r="F263" i="7"/>
  <c r="F276" i="7"/>
  <c r="F239" i="7"/>
  <c r="F252" i="7"/>
  <c r="F265" i="7"/>
  <c r="F278" i="7"/>
  <c r="F235" i="7"/>
  <c r="F244" i="7"/>
  <c r="F267" i="7"/>
  <c r="F284" i="7"/>
  <c r="F249" i="7"/>
  <c r="F270" i="7"/>
  <c r="F254" i="7"/>
  <c r="F271" i="7"/>
  <c r="F262" i="7"/>
  <c r="F236" i="7"/>
  <c r="F268" i="7"/>
  <c r="F241" i="7"/>
  <c r="F275" i="7"/>
  <c r="F246" i="7"/>
  <c r="F281" i="7"/>
  <c r="F255" i="7"/>
  <c r="F283" i="7"/>
  <c r="F243" i="7"/>
  <c r="F257" i="7"/>
  <c r="F259" i="7"/>
  <c r="F279" i="7"/>
  <c r="H31" i="54"/>
  <c r="H48" i="52" s="1"/>
  <c r="E443" i="7"/>
  <c r="E451" i="7"/>
  <c r="E459" i="7"/>
  <c r="E467" i="7"/>
  <c r="E475" i="7"/>
  <c r="E483" i="7"/>
  <c r="E491" i="7"/>
  <c r="E444" i="7"/>
  <c r="E452" i="7"/>
  <c r="E460" i="7"/>
  <c r="E468" i="7"/>
  <c r="E476" i="7"/>
  <c r="E484" i="7"/>
  <c r="E492" i="7"/>
  <c r="E445" i="7"/>
  <c r="E453" i="7"/>
  <c r="E461" i="7"/>
  <c r="E469" i="7"/>
  <c r="E477" i="7"/>
  <c r="E485" i="7"/>
  <c r="E454" i="7"/>
  <c r="E465" i="7"/>
  <c r="E479" i="7"/>
  <c r="E490" i="7"/>
  <c r="E456" i="7"/>
  <c r="E470" i="7"/>
  <c r="E481" i="7"/>
  <c r="E448" i="7"/>
  <c r="E462" i="7"/>
  <c r="E473" i="7"/>
  <c r="E487" i="7"/>
  <c r="E463" i="7"/>
  <c r="E482" i="7"/>
  <c r="E447" i="7"/>
  <c r="E466" i="7"/>
  <c r="E488" i="7"/>
  <c r="E449" i="7"/>
  <c r="E471" i="7"/>
  <c r="E489" i="7"/>
  <c r="E450" i="7"/>
  <c r="E480" i="7"/>
  <c r="E457" i="7"/>
  <c r="E442" i="7"/>
  <c r="E458" i="7"/>
  <c r="E472" i="7"/>
  <c r="E474" i="7"/>
  <c r="E478" i="7"/>
  <c r="E446" i="7"/>
  <c r="E464" i="7"/>
  <c r="E486" i="7"/>
  <c r="E455" i="7"/>
  <c r="W84" i="42"/>
  <c r="S94" i="42"/>
  <c r="S118" i="42"/>
  <c r="O16" i="33" s="1"/>
  <c r="S117" i="42"/>
  <c r="S116" i="42"/>
  <c r="X126" i="42"/>
  <c r="X127" i="42"/>
  <c r="X128" i="42"/>
  <c r="X113" i="42"/>
  <c r="T94" i="42"/>
  <c r="U123" i="42"/>
  <c r="U122" i="42"/>
  <c r="U121" i="42"/>
  <c r="U128" i="42"/>
  <c r="U127" i="42"/>
  <c r="U126" i="42"/>
  <c r="X116" i="42"/>
  <c r="X118" i="42"/>
  <c r="X117" i="42"/>
  <c r="X123" i="42"/>
  <c r="X122" i="42"/>
  <c r="X121" i="42"/>
  <c r="X82" i="42"/>
  <c r="X94" i="42"/>
  <c r="V123" i="42"/>
  <c r="V122" i="42"/>
  <c r="V121" i="42"/>
  <c r="V114" i="42"/>
  <c r="V113" i="42"/>
  <c r="V112" i="42"/>
  <c r="V111" i="42"/>
  <c r="S128" i="42"/>
  <c r="S127" i="42"/>
  <c r="S126" i="42"/>
  <c r="S77" i="42"/>
  <c r="U96" i="42"/>
  <c r="V128" i="42"/>
  <c r="V127" i="42"/>
  <c r="V126" i="42"/>
  <c r="Z84" i="42"/>
  <c r="T68" i="42"/>
  <c r="V118" i="42"/>
  <c r="R16" i="33" s="1"/>
  <c r="V117" i="42"/>
  <c r="V116" i="42"/>
  <c r="U118" i="42"/>
  <c r="U117" i="42"/>
  <c r="U116" i="42"/>
  <c r="V84" i="42"/>
  <c r="S122" i="42"/>
  <c r="S121" i="42"/>
  <c r="S123" i="42"/>
  <c r="D17" i="52"/>
  <c r="E148" i="59"/>
  <c r="O148" i="59" s="1"/>
  <c r="E145" i="59"/>
  <c r="O145" i="59" s="1"/>
  <c r="E167" i="59"/>
  <c r="O167" i="59" s="1"/>
  <c r="E125" i="59"/>
  <c r="O125" i="59" s="1"/>
  <c r="E155" i="59"/>
  <c r="O155" i="59" s="1"/>
  <c r="E127" i="59"/>
  <c r="O127" i="59" s="1"/>
  <c r="E169" i="59"/>
  <c r="O169" i="59" s="1"/>
  <c r="E153" i="59"/>
  <c r="O153" i="59" s="1"/>
  <c r="E128" i="59"/>
  <c r="O128" i="59" s="1"/>
  <c r="E150" i="59"/>
  <c r="O150" i="59" s="1"/>
  <c r="E163" i="59"/>
  <c r="O163" i="59" s="1"/>
  <c r="E161" i="59"/>
  <c r="O161" i="59" s="1"/>
  <c r="E146" i="59"/>
  <c r="O146" i="59" s="1"/>
  <c r="E121" i="59"/>
  <c r="O121" i="59" s="1"/>
  <c r="E136" i="59"/>
  <c r="O136" i="59" s="1"/>
  <c r="E158" i="59"/>
  <c r="O158" i="59" s="1"/>
  <c r="E133" i="59"/>
  <c r="O133" i="59" s="1"/>
  <c r="E154" i="59"/>
  <c r="O154" i="59" s="1"/>
  <c r="E122" i="59"/>
  <c r="O122" i="59" s="1"/>
  <c r="E160" i="59"/>
  <c r="O160" i="59" s="1"/>
  <c r="E165" i="59"/>
  <c r="O165" i="59" s="1"/>
  <c r="E166" i="59"/>
  <c r="O166" i="59" s="1"/>
  <c r="E141" i="59"/>
  <c r="O141" i="59" s="1"/>
  <c r="E120" i="59"/>
  <c r="O120" i="59" s="1"/>
  <c r="E157" i="59"/>
  <c r="O157" i="59" s="1"/>
  <c r="E143" i="59"/>
  <c r="O143" i="59" s="1"/>
  <c r="E149" i="59"/>
  <c r="O149" i="59" s="1"/>
  <c r="E124" i="59"/>
  <c r="O124" i="59" s="1"/>
  <c r="E162" i="59"/>
  <c r="O162" i="59" s="1"/>
  <c r="E168" i="59"/>
  <c r="O168" i="59" s="1"/>
  <c r="E126" i="59"/>
  <c r="O126" i="59" s="1"/>
  <c r="E152" i="59"/>
  <c r="O152" i="59" s="1"/>
  <c r="E139" i="59"/>
  <c r="O139" i="59" s="1"/>
  <c r="E130" i="59"/>
  <c r="O130" i="59" s="1"/>
  <c r="E135" i="59"/>
  <c r="O135" i="59" s="1"/>
  <c r="E132" i="59"/>
  <c r="O132" i="59" s="1"/>
  <c r="E170" i="59"/>
  <c r="O170" i="59" s="1"/>
  <c r="E144" i="59"/>
  <c r="O144" i="59" s="1"/>
  <c r="E129" i="59"/>
  <c r="O129" i="59" s="1"/>
  <c r="E151" i="59"/>
  <c r="O151" i="59" s="1"/>
  <c r="E156" i="59"/>
  <c r="O156" i="59" s="1"/>
  <c r="E123" i="59"/>
  <c r="O123" i="59" s="1"/>
  <c r="E131" i="59"/>
  <c r="O131" i="59" s="1"/>
  <c r="E159" i="59"/>
  <c r="O159" i="59" s="1"/>
  <c r="E134" i="59"/>
  <c r="O134" i="59" s="1"/>
  <c r="E147" i="59"/>
  <c r="O147" i="59" s="1"/>
  <c r="E140" i="59"/>
  <c r="O140" i="59" s="1"/>
  <c r="E137" i="59"/>
  <c r="O137" i="59" s="1"/>
  <c r="E142" i="59"/>
  <c r="O142" i="59" s="1"/>
  <c r="E164" i="59"/>
  <c r="O164" i="59" s="1"/>
  <c r="E138" i="59"/>
  <c r="O138" i="59" s="1"/>
  <c r="E17" i="52"/>
  <c r="J42" i="33" s="1"/>
  <c r="D161" i="59"/>
  <c r="N161" i="59" s="1"/>
  <c r="D159" i="59"/>
  <c r="N159" i="59" s="1"/>
  <c r="D131" i="59"/>
  <c r="N131" i="59" s="1"/>
  <c r="D156" i="59"/>
  <c r="N156" i="59" s="1"/>
  <c r="D142" i="59"/>
  <c r="N142" i="59" s="1"/>
  <c r="D146" i="59"/>
  <c r="N146" i="59" s="1"/>
  <c r="D157" i="59"/>
  <c r="N157" i="59" s="1"/>
  <c r="D160" i="59"/>
  <c r="N160" i="59" s="1"/>
  <c r="D140" i="59"/>
  <c r="N140" i="59" s="1"/>
  <c r="D145" i="59"/>
  <c r="N145" i="59" s="1"/>
  <c r="D166" i="59"/>
  <c r="N166" i="59" s="1"/>
  <c r="D138" i="59"/>
  <c r="N138" i="59" s="1"/>
  <c r="D129" i="59"/>
  <c r="N129" i="59" s="1"/>
  <c r="D121" i="59"/>
  <c r="N121" i="59" s="1"/>
  <c r="D136" i="59"/>
  <c r="N136" i="59" s="1"/>
  <c r="D143" i="59"/>
  <c r="N143" i="59" s="1"/>
  <c r="D148" i="59"/>
  <c r="N148" i="59" s="1"/>
  <c r="D169" i="59"/>
  <c r="N169" i="59" s="1"/>
  <c r="D128" i="59"/>
  <c r="N128" i="59" s="1"/>
  <c r="D167" i="59"/>
  <c r="N167" i="59" s="1"/>
  <c r="D168" i="59"/>
  <c r="N168" i="59" s="1"/>
  <c r="D165" i="59"/>
  <c r="N165" i="59" s="1"/>
  <c r="D149" i="59"/>
  <c r="N149" i="59" s="1"/>
  <c r="D147" i="59"/>
  <c r="N147" i="59" s="1"/>
  <c r="D154" i="59"/>
  <c r="N154" i="59" s="1"/>
  <c r="D144" i="59"/>
  <c r="N144" i="59" s="1"/>
  <c r="D158" i="59"/>
  <c r="N158" i="59" s="1"/>
  <c r="D150" i="59"/>
  <c r="N150" i="59" s="1"/>
  <c r="D151" i="59"/>
  <c r="N151" i="59" s="1"/>
  <c r="D163" i="59"/>
  <c r="N163" i="59" s="1"/>
  <c r="D139" i="59"/>
  <c r="N139" i="59" s="1"/>
  <c r="D137" i="59"/>
  <c r="N137" i="59" s="1"/>
  <c r="D127" i="59"/>
  <c r="N127" i="59" s="1"/>
  <c r="D126" i="59"/>
  <c r="N126" i="59" s="1"/>
  <c r="D141" i="59"/>
  <c r="N141" i="59" s="1"/>
  <c r="D133" i="59"/>
  <c r="N133" i="59" s="1"/>
  <c r="D134" i="59"/>
  <c r="N134" i="59" s="1"/>
  <c r="D122" i="59"/>
  <c r="N122" i="59" s="1"/>
  <c r="D135" i="59"/>
  <c r="N135" i="59" s="1"/>
  <c r="D123" i="59"/>
  <c r="N123" i="59" s="1"/>
  <c r="D132" i="59"/>
  <c r="N132" i="59" s="1"/>
  <c r="D124" i="59"/>
  <c r="N124" i="59" s="1"/>
  <c r="D120" i="59"/>
  <c r="N120" i="59" s="1"/>
  <c r="D164" i="59"/>
  <c r="N164" i="59" s="1"/>
  <c r="D153" i="59"/>
  <c r="N153" i="59" s="1"/>
  <c r="D125" i="59"/>
  <c r="N125" i="59" s="1"/>
  <c r="D152" i="59"/>
  <c r="N152" i="59" s="1"/>
  <c r="D130" i="59"/>
  <c r="N130" i="59" s="1"/>
  <c r="D170" i="59"/>
  <c r="N170" i="59" s="1"/>
  <c r="D162" i="59"/>
  <c r="N162" i="59" s="1"/>
  <c r="D155" i="59"/>
  <c r="N155" i="59" s="1"/>
  <c r="B17" i="52"/>
  <c r="G154" i="59"/>
  <c r="Q154" i="59" s="1"/>
  <c r="G163" i="59"/>
  <c r="Q163" i="59" s="1"/>
  <c r="G125" i="59"/>
  <c r="Q125" i="59" s="1"/>
  <c r="G142" i="59"/>
  <c r="Q142" i="59" s="1"/>
  <c r="G159" i="59"/>
  <c r="Q159" i="59" s="1"/>
  <c r="G153" i="59"/>
  <c r="Q153" i="59" s="1"/>
  <c r="G134" i="59"/>
  <c r="Q134" i="59" s="1"/>
  <c r="G162" i="59"/>
  <c r="Q162" i="59" s="1"/>
  <c r="G120" i="59"/>
  <c r="Q120" i="59" s="1"/>
  <c r="G133" i="59"/>
  <c r="Q133" i="59" s="1"/>
  <c r="G150" i="59"/>
  <c r="Q150" i="59" s="1"/>
  <c r="G167" i="59"/>
  <c r="Q167" i="59" s="1"/>
  <c r="G161" i="59"/>
  <c r="Q161" i="59" s="1"/>
  <c r="G123" i="59"/>
  <c r="Q123" i="59" s="1"/>
  <c r="G132" i="59"/>
  <c r="Q132" i="59" s="1"/>
  <c r="G149" i="59"/>
  <c r="Q149" i="59" s="1"/>
  <c r="G166" i="59"/>
  <c r="Q166" i="59" s="1"/>
  <c r="G136" i="59"/>
  <c r="Q136" i="59" s="1"/>
  <c r="G121" i="59"/>
  <c r="Q121" i="59" s="1"/>
  <c r="G140" i="59"/>
  <c r="Q140" i="59" s="1"/>
  <c r="G144" i="59"/>
  <c r="Q144" i="59" s="1"/>
  <c r="G139" i="59"/>
  <c r="Q139" i="59" s="1"/>
  <c r="G152" i="59"/>
  <c r="Q152" i="59" s="1"/>
  <c r="G145" i="59"/>
  <c r="Q145" i="59" s="1"/>
  <c r="G151" i="59"/>
  <c r="Q151" i="59" s="1"/>
  <c r="G170" i="59"/>
  <c r="Q170" i="59" s="1"/>
  <c r="G124" i="59"/>
  <c r="Q124" i="59" s="1"/>
  <c r="G141" i="59"/>
  <c r="Q141" i="59" s="1"/>
  <c r="G158" i="59"/>
  <c r="Q158" i="59" s="1"/>
  <c r="G128" i="59"/>
  <c r="Q128" i="59" s="1"/>
  <c r="G169" i="59"/>
  <c r="Q169" i="59" s="1"/>
  <c r="G122" i="59"/>
  <c r="Q122" i="59" s="1"/>
  <c r="G127" i="59"/>
  <c r="Q127" i="59" s="1"/>
  <c r="G148" i="59"/>
  <c r="Q148" i="59" s="1"/>
  <c r="G160" i="59"/>
  <c r="Q160" i="59" s="1"/>
  <c r="G146" i="59"/>
  <c r="Q146" i="59" s="1"/>
  <c r="G157" i="59"/>
  <c r="Q157" i="59" s="1"/>
  <c r="G129" i="59"/>
  <c r="Q129" i="59" s="1"/>
  <c r="G135" i="59"/>
  <c r="Q135" i="59" s="1"/>
  <c r="G126" i="59"/>
  <c r="Q126" i="59" s="1"/>
  <c r="G168" i="59"/>
  <c r="Q168" i="59" s="1"/>
  <c r="G131" i="59"/>
  <c r="Q131" i="59" s="1"/>
  <c r="G130" i="59"/>
  <c r="Q130" i="59" s="1"/>
  <c r="G137" i="59"/>
  <c r="Q137" i="59" s="1"/>
  <c r="G156" i="59"/>
  <c r="Q156" i="59" s="1"/>
  <c r="G155" i="59"/>
  <c r="Q155" i="59" s="1"/>
  <c r="G165" i="59"/>
  <c r="Q165" i="59" s="1"/>
  <c r="G138" i="59"/>
  <c r="Q138" i="59" s="1"/>
  <c r="G143" i="59"/>
  <c r="Q143" i="59" s="1"/>
  <c r="G164" i="59"/>
  <c r="Q164" i="59" s="1"/>
  <c r="G147" i="59"/>
  <c r="Q147" i="59" s="1"/>
  <c r="B18" i="52"/>
  <c r="G212" i="59"/>
  <c r="Q212" i="59" s="1"/>
  <c r="G204" i="59"/>
  <c r="Q204" i="59" s="1"/>
  <c r="G189" i="59"/>
  <c r="Q189" i="59" s="1"/>
  <c r="G210" i="59"/>
  <c r="Q210" i="59" s="1"/>
  <c r="G203" i="59"/>
  <c r="Q203" i="59" s="1"/>
  <c r="G206" i="59"/>
  <c r="Q206" i="59" s="1"/>
  <c r="G195" i="59"/>
  <c r="Q195" i="59" s="1"/>
  <c r="G180" i="59"/>
  <c r="Q180" i="59" s="1"/>
  <c r="G193" i="59"/>
  <c r="Q193" i="59" s="1"/>
  <c r="G207" i="59"/>
  <c r="Q207" i="59" s="1"/>
  <c r="G194" i="59"/>
  <c r="Q194" i="59" s="1"/>
  <c r="G221" i="59"/>
  <c r="Q221" i="59" s="1"/>
  <c r="G179" i="59"/>
  <c r="Q179" i="59" s="1"/>
  <c r="G199" i="59"/>
  <c r="Q199" i="59" s="1"/>
  <c r="G178" i="59"/>
  <c r="Q178" i="59" s="1"/>
  <c r="G214" i="59"/>
  <c r="Q214" i="59" s="1"/>
  <c r="G218" i="59"/>
  <c r="Q218" i="59" s="1"/>
  <c r="G176" i="59"/>
  <c r="Q176" i="59" s="1"/>
  <c r="G182" i="59"/>
  <c r="Q182" i="59" s="1"/>
  <c r="G183" i="59"/>
  <c r="Q183" i="59" s="1"/>
  <c r="G197" i="59"/>
  <c r="Q197" i="59" s="1"/>
  <c r="G188" i="59"/>
  <c r="Q188" i="59" s="1"/>
  <c r="G208" i="59"/>
  <c r="Q208" i="59" s="1"/>
  <c r="G205" i="59"/>
  <c r="Q205" i="59" s="1"/>
  <c r="G201" i="59"/>
  <c r="Q201" i="59" s="1"/>
  <c r="G173" i="59"/>
  <c r="Q173" i="59" s="1"/>
  <c r="G191" i="59"/>
  <c r="Q191" i="59" s="1"/>
  <c r="G177" i="59"/>
  <c r="Q177" i="59" s="1"/>
  <c r="G216" i="59"/>
  <c r="Q216" i="59" s="1"/>
  <c r="G196" i="59"/>
  <c r="Q196" i="59" s="1"/>
  <c r="G184" i="59"/>
  <c r="Q184" i="59" s="1"/>
  <c r="G215" i="59"/>
  <c r="Q215" i="59" s="1"/>
  <c r="G219" i="59"/>
  <c r="Q219" i="59" s="1"/>
  <c r="G174" i="59"/>
  <c r="Q174" i="59" s="1"/>
  <c r="G209" i="59"/>
  <c r="Q209" i="59" s="1"/>
  <c r="G187" i="59"/>
  <c r="Q187" i="59" s="1"/>
  <c r="G190" i="59"/>
  <c r="Q190" i="59" s="1"/>
  <c r="G202" i="59"/>
  <c r="Q202" i="59" s="1"/>
  <c r="G220" i="59"/>
  <c r="Q220" i="59" s="1"/>
  <c r="G171" i="59"/>
  <c r="Q171" i="59" s="1"/>
  <c r="G217" i="59"/>
  <c r="Q217" i="59" s="1"/>
  <c r="G175" i="59"/>
  <c r="Q175" i="59" s="1"/>
  <c r="G181" i="59"/>
  <c r="Q181" i="59" s="1"/>
  <c r="G185" i="59"/>
  <c r="Q185" i="59" s="1"/>
  <c r="G211" i="59"/>
  <c r="Q211" i="59" s="1"/>
  <c r="G186" i="59"/>
  <c r="Q186" i="59" s="1"/>
  <c r="G192" i="59"/>
  <c r="Q192" i="59" s="1"/>
  <c r="G213" i="59"/>
  <c r="Q213" i="59" s="1"/>
  <c r="G200" i="59"/>
  <c r="Q200" i="59" s="1"/>
  <c r="G198" i="59"/>
  <c r="Q198" i="59" s="1"/>
  <c r="G172" i="59"/>
  <c r="Q172" i="59" s="1"/>
  <c r="D18" i="52"/>
  <c r="E197" i="59"/>
  <c r="O197" i="59" s="1"/>
  <c r="E207" i="59"/>
  <c r="O207" i="59" s="1"/>
  <c r="E179" i="59"/>
  <c r="O179" i="59" s="1"/>
  <c r="E199" i="59"/>
  <c r="O199" i="59" s="1"/>
  <c r="E219" i="59"/>
  <c r="O219" i="59" s="1"/>
  <c r="E192" i="59"/>
  <c r="O192" i="59" s="1"/>
  <c r="E198" i="59"/>
  <c r="O198" i="59" s="1"/>
  <c r="E209" i="59"/>
  <c r="O209" i="59" s="1"/>
  <c r="E190" i="59"/>
  <c r="O190" i="59" s="1"/>
  <c r="E202" i="59"/>
  <c r="O202" i="59" s="1"/>
  <c r="E183" i="59"/>
  <c r="O183" i="59" s="1"/>
  <c r="E216" i="59"/>
  <c r="O216" i="59" s="1"/>
  <c r="E204" i="59"/>
  <c r="O204" i="59" s="1"/>
  <c r="E195" i="59"/>
  <c r="O195" i="59" s="1"/>
  <c r="E214" i="59"/>
  <c r="O214" i="59" s="1"/>
  <c r="E205" i="59"/>
  <c r="O205" i="59" s="1"/>
  <c r="E189" i="59"/>
  <c r="O189" i="59" s="1"/>
  <c r="E181" i="59"/>
  <c r="O181" i="59" s="1"/>
  <c r="E185" i="59"/>
  <c r="O185" i="59" s="1"/>
  <c r="E174" i="59"/>
  <c r="O174" i="59" s="1"/>
  <c r="E175" i="59"/>
  <c r="O175" i="59" s="1"/>
  <c r="E171" i="59"/>
  <c r="O171" i="59" s="1"/>
  <c r="E221" i="59"/>
  <c r="O221" i="59" s="1"/>
  <c r="E213" i="59"/>
  <c r="O213" i="59" s="1"/>
  <c r="E178" i="59"/>
  <c r="O178" i="59" s="1"/>
  <c r="E180" i="59"/>
  <c r="O180" i="59" s="1"/>
  <c r="E172" i="59"/>
  <c r="O172" i="59" s="1"/>
  <c r="E220" i="59"/>
  <c r="O220" i="59" s="1"/>
  <c r="E196" i="59"/>
  <c r="O196" i="59" s="1"/>
  <c r="E203" i="59"/>
  <c r="O203" i="59" s="1"/>
  <c r="E187" i="59"/>
  <c r="O187" i="59" s="1"/>
  <c r="E186" i="59"/>
  <c r="O186" i="59" s="1"/>
  <c r="E218" i="59"/>
  <c r="O218" i="59" s="1"/>
  <c r="E210" i="59"/>
  <c r="O210" i="59" s="1"/>
  <c r="E211" i="59"/>
  <c r="O211" i="59" s="1"/>
  <c r="E212" i="59"/>
  <c r="O212" i="59" s="1"/>
  <c r="E208" i="59"/>
  <c r="O208" i="59" s="1"/>
  <c r="E200" i="59"/>
  <c r="O200" i="59" s="1"/>
  <c r="E201" i="59"/>
  <c r="O201" i="59" s="1"/>
  <c r="E215" i="59"/>
  <c r="O215" i="59" s="1"/>
  <c r="E193" i="59"/>
  <c r="O193" i="59" s="1"/>
  <c r="E191" i="59"/>
  <c r="O191" i="59" s="1"/>
  <c r="E194" i="59"/>
  <c r="O194" i="59" s="1"/>
  <c r="E217" i="59"/>
  <c r="O217" i="59" s="1"/>
  <c r="E184" i="59"/>
  <c r="O184" i="59" s="1"/>
  <c r="E206" i="59"/>
  <c r="O206" i="59" s="1"/>
  <c r="E176" i="59"/>
  <c r="O176" i="59" s="1"/>
  <c r="E182" i="59"/>
  <c r="O182" i="59" s="1"/>
  <c r="E177" i="59"/>
  <c r="O177" i="59" s="1"/>
  <c r="E188" i="59"/>
  <c r="O188" i="59" s="1"/>
  <c r="E173" i="59"/>
  <c r="O173" i="59" s="1"/>
  <c r="I17" i="52"/>
  <c r="N42" i="33" s="1"/>
  <c r="C149" i="59"/>
  <c r="M149" i="59" s="1"/>
  <c r="C142" i="59"/>
  <c r="M142" i="59" s="1"/>
  <c r="C124" i="59"/>
  <c r="M124" i="59" s="1"/>
  <c r="C153" i="59"/>
  <c r="M153" i="59" s="1"/>
  <c r="C136" i="59"/>
  <c r="M136" i="59" s="1"/>
  <c r="C125" i="59"/>
  <c r="M125" i="59" s="1"/>
  <c r="C121" i="59"/>
  <c r="M121" i="59" s="1"/>
  <c r="C148" i="59"/>
  <c r="M148" i="59" s="1"/>
  <c r="C130" i="59"/>
  <c r="M130" i="59" s="1"/>
  <c r="C132" i="59"/>
  <c r="M132" i="59" s="1"/>
  <c r="C170" i="59"/>
  <c r="M170" i="59" s="1"/>
  <c r="C144" i="59"/>
  <c r="M144" i="59" s="1"/>
  <c r="C156" i="59"/>
  <c r="M156" i="59" s="1"/>
  <c r="C159" i="59"/>
  <c r="M159" i="59" s="1"/>
  <c r="C122" i="59"/>
  <c r="M122" i="59" s="1"/>
  <c r="C123" i="59"/>
  <c r="M123" i="59" s="1"/>
  <c r="C161" i="59"/>
  <c r="M161" i="59" s="1"/>
  <c r="C127" i="59"/>
  <c r="M127" i="59" s="1"/>
  <c r="C157" i="59"/>
  <c r="M157" i="59" s="1"/>
  <c r="C147" i="59"/>
  <c r="M147" i="59" s="1"/>
  <c r="C140" i="59"/>
  <c r="M140" i="59" s="1"/>
  <c r="C169" i="59"/>
  <c r="M169" i="59" s="1"/>
  <c r="C152" i="59"/>
  <c r="M152" i="59" s="1"/>
  <c r="C126" i="59"/>
  <c r="M126" i="59" s="1"/>
  <c r="C166" i="59"/>
  <c r="M166" i="59" s="1"/>
  <c r="C164" i="59"/>
  <c r="M164" i="59" s="1"/>
  <c r="C138" i="59"/>
  <c r="M138" i="59" s="1"/>
  <c r="C150" i="59"/>
  <c r="M150" i="59" s="1"/>
  <c r="C151" i="59"/>
  <c r="M151" i="59" s="1"/>
  <c r="C160" i="59"/>
  <c r="M160" i="59" s="1"/>
  <c r="C135" i="59"/>
  <c r="M135" i="59" s="1"/>
  <c r="C134" i="59"/>
  <c r="M134" i="59" s="1"/>
  <c r="C155" i="59"/>
  <c r="M155" i="59" s="1"/>
  <c r="C129" i="59"/>
  <c r="M129" i="59" s="1"/>
  <c r="C139" i="59"/>
  <c r="M139" i="59" s="1"/>
  <c r="C143" i="59"/>
  <c r="M143" i="59" s="1"/>
  <c r="C158" i="59"/>
  <c r="M158" i="59" s="1"/>
  <c r="C163" i="59"/>
  <c r="M163" i="59" s="1"/>
  <c r="C146" i="59"/>
  <c r="M146" i="59" s="1"/>
  <c r="C167" i="59"/>
  <c r="M167" i="59" s="1"/>
  <c r="C168" i="59"/>
  <c r="M168" i="59" s="1"/>
  <c r="C165" i="59"/>
  <c r="M165" i="59" s="1"/>
  <c r="C120" i="59"/>
  <c r="M120" i="59" s="1"/>
  <c r="C154" i="59"/>
  <c r="M154" i="59" s="1"/>
  <c r="C137" i="59"/>
  <c r="M137" i="59" s="1"/>
  <c r="C131" i="59"/>
  <c r="M131" i="59" s="1"/>
  <c r="C133" i="59"/>
  <c r="M133" i="59" s="1"/>
  <c r="C141" i="59"/>
  <c r="M141" i="59" s="1"/>
  <c r="C162" i="59"/>
  <c r="M162" i="59" s="1"/>
  <c r="C145" i="59"/>
  <c r="M145" i="59" s="1"/>
  <c r="C128" i="59"/>
  <c r="M128" i="59" s="1"/>
  <c r="E18" i="52"/>
  <c r="D210" i="59"/>
  <c r="N210" i="59" s="1"/>
  <c r="D197" i="59"/>
  <c r="N197" i="59" s="1"/>
  <c r="D203" i="59"/>
  <c r="N203" i="59" s="1"/>
  <c r="D179" i="59"/>
  <c r="N179" i="59" s="1"/>
  <c r="D202" i="59"/>
  <c r="N202" i="59" s="1"/>
  <c r="D194" i="59"/>
  <c r="N194" i="59" s="1"/>
  <c r="D213" i="59"/>
  <c r="N213" i="59" s="1"/>
  <c r="D205" i="59"/>
  <c r="N205" i="59" s="1"/>
  <c r="D198" i="59"/>
  <c r="N198" i="59" s="1"/>
  <c r="D175" i="59"/>
  <c r="N175" i="59" s="1"/>
  <c r="D220" i="59"/>
  <c r="N220" i="59" s="1"/>
  <c r="D185" i="59"/>
  <c r="N185" i="59" s="1"/>
  <c r="D177" i="59"/>
  <c r="N177" i="59" s="1"/>
  <c r="D192" i="59"/>
  <c r="N192" i="59" s="1"/>
  <c r="D176" i="59"/>
  <c r="N176" i="59" s="1"/>
  <c r="D204" i="59"/>
  <c r="N204" i="59" s="1"/>
  <c r="D196" i="59"/>
  <c r="N196" i="59" s="1"/>
  <c r="D189" i="59"/>
  <c r="N189" i="59" s="1"/>
  <c r="D209" i="59"/>
  <c r="N209" i="59" s="1"/>
  <c r="D195" i="59"/>
  <c r="N195" i="59" s="1"/>
  <c r="D187" i="59"/>
  <c r="N187" i="59" s="1"/>
  <c r="D180" i="59"/>
  <c r="N180" i="59" s="1"/>
  <c r="D219" i="59"/>
  <c r="N219" i="59" s="1"/>
  <c r="D183" i="59"/>
  <c r="N183" i="59" s="1"/>
  <c r="D178" i="59"/>
  <c r="N178" i="59" s="1"/>
  <c r="D217" i="59"/>
  <c r="N217" i="59" s="1"/>
  <c r="D218" i="59"/>
  <c r="N218" i="59" s="1"/>
  <c r="D206" i="59"/>
  <c r="N206" i="59" s="1"/>
  <c r="D199" i="59"/>
  <c r="N199" i="59" s="1"/>
  <c r="D208" i="59"/>
  <c r="N208" i="59" s="1"/>
  <c r="D200" i="59"/>
  <c r="N200" i="59" s="1"/>
  <c r="D201" i="59"/>
  <c r="N201" i="59" s="1"/>
  <c r="D193" i="59"/>
  <c r="N193" i="59" s="1"/>
  <c r="D174" i="59"/>
  <c r="N174" i="59" s="1"/>
  <c r="D184" i="59"/>
  <c r="N184" i="59" s="1"/>
  <c r="D221" i="59"/>
  <c r="N221" i="59" s="1"/>
  <c r="D215" i="59"/>
  <c r="N215" i="59" s="1"/>
  <c r="D207" i="59"/>
  <c r="N207" i="59" s="1"/>
  <c r="D190" i="59"/>
  <c r="N190" i="59" s="1"/>
  <c r="D182" i="59"/>
  <c r="N182" i="59" s="1"/>
  <c r="D172" i="59"/>
  <c r="N172" i="59" s="1"/>
  <c r="D211" i="59"/>
  <c r="N211" i="59" s="1"/>
  <c r="D216" i="59"/>
  <c r="N216" i="59" s="1"/>
  <c r="D181" i="59"/>
  <c r="N181" i="59" s="1"/>
  <c r="D173" i="59"/>
  <c r="N173" i="59" s="1"/>
  <c r="D212" i="59"/>
  <c r="N212" i="59" s="1"/>
  <c r="D188" i="59"/>
  <c r="N188" i="59" s="1"/>
  <c r="D186" i="59"/>
  <c r="N186" i="59" s="1"/>
  <c r="D171" i="59"/>
  <c r="N171" i="59" s="1"/>
  <c r="D214" i="59"/>
  <c r="N214" i="59" s="1"/>
  <c r="D191" i="59"/>
  <c r="N191" i="59" s="1"/>
  <c r="I18" i="52"/>
  <c r="C174" i="59"/>
  <c r="M174" i="59" s="1"/>
  <c r="C183" i="59"/>
  <c r="M183" i="59" s="1"/>
  <c r="C200" i="59"/>
  <c r="M200" i="59" s="1"/>
  <c r="C217" i="59"/>
  <c r="M217" i="59" s="1"/>
  <c r="C204" i="59"/>
  <c r="M204" i="59" s="1"/>
  <c r="C220" i="59"/>
  <c r="M220" i="59" s="1"/>
  <c r="C192" i="59"/>
  <c r="M192" i="59" s="1"/>
  <c r="C173" i="59"/>
  <c r="M173" i="59" s="1"/>
  <c r="C182" i="59"/>
  <c r="M182" i="59" s="1"/>
  <c r="C191" i="59"/>
  <c r="M191" i="59" s="1"/>
  <c r="C208" i="59"/>
  <c r="M208" i="59" s="1"/>
  <c r="C178" i="59"/>
  <c r="M178" i="59" s="1"/>
  <c r="C179" i="59"/>
  <c r="M179" i="59" s="1"/>
  <c r="C195" i="59"/>
  <c r="M195" i="59" s="1"/>
  <c r="C189" i="59"/>
  <c r="M189" i="59" s="1"/>
  <c r="C198" i="59"/>
  <c r="M198" i="59" s="1"/>
  <c r="C207" i="59"/>
  <c r="M207" i="59" s="1"/>
  <c r="C177" i="59"/>
  <c r="M177" i="59" s="1"/>
  <c r="C194" i="59"/>
  <c r="M194" i="59" s="1"/>
  <c r="C180" i="59"/>
  <c r="M180" i="59" s="1"/>
  <c r="C203" i="59"/>
  <c r="M203" i="59" s="1"/>
  <c r="C215" i="59"/>
  <c r="M215" i="59" s="1"/>
  <c r="C202" i="59"/>
  <c r="M202" i="59" s="1"/>
  <c r="C212" i="59"/>
  <c r="M212" i="59" s="1"/>
  <c r="C176" i="59"/>
  <c r="M176" i="59" s="1"/>
  <c r="C187" i="59"/>
  <c r="M187" i="59" s="1"/>
  <c r="C184" i="59"/>
  <c r="M184" i="59" s="1"/>
  <c r="C188" i="59"/>
  <c r="M188" i="59" s="1"/>
  <c r="C181" i="59"/>
  <c r="M181" i="59" s="1"/>
  <c r="C190" i="59"/>
  <c r="M190" i="59" s="1"/>
  <c r="C199" i="59"/>
  <c r="M199" i="59" s="1"/>
  <c r="C216" i="59"/>
  <c r="M216" i="59" s="1"/>
  <c r="C186" i="59"/>
  <c r="M186" i="59" s="1"/>
  <c r="C211" i="59"/>
  <c r="M211" i="59" s="1"/>
  <c r="C196" i="59"/>
  <c r="M196" i="59" s="1"/>
  <c r="C197" i="59"/>
  <c r="M197" i="59" s="1"/>
  <c r="C205" i="59"/>
  <c r="M205" i="59" s="1"/>
  <c r="C210" i="59"/>
  <c r="M210" i="59" s="1"/>
  <c r="C171" i="59"/>
  <c r="M171" i="59" s="1"/>
  <c r="C175" i="59"/>
  <c r="M175" i="59" s="1"/>
  <c r="C206" i="59"/>
  <c r="M206" i="59" s="1"/>
  <c r="C193" i="59"/>
  <c r="M193" i="59" s="1"/>
  <c r="C201" i="59"/>
  <c r="M201" i="59" s="1"/>
  <c r="C172" i="59"/>
  <c r="M172" i="59" s="1"/>
  <c r="C185" i="59"/>
  <c r="M185" i="59" s="1"/>
  <c r="C214" i="59"/>
  <c r="M214" i="59" s="1"/>
  <c r="C219" i="59"/>
  <c r="M219" i="59" s="1"/>
  <c r="C221" i="59"/>
  <c r="M221" i="59" s="1"/>
  <c r="C213" i="59"/>
  <c r="M213" i="59" s="1"/>
  <c r="C218" i="59"/>
  <c r="M218" i="59" s="1"/>
  <c r="C209" i="59"/>
  <c r="M209" i="59" s="1"/>
  <c r="R102" i="42"/>
  <c r="R101" i="42"/>
  <c r="R100" i="42"/>
  <c r="R99" i="42"/>
  <c r="R98" i="42"/>
  <c r="R70" i="42"/>
  <c r="R69" i="42"/>
  <c r="R68" i="42"/>
  <c r="R67" i="42"/>
  <c r="Q92" i="42"/>
  <c r="Q88" i="42"/>
  <c r="Q91" i="42"/>
  <c r="R88" i="42"/>
  <c r="Q90" i="42"/>
  <c r="Q89" i="42"/>
  <c r="R107" i="42"/>
  <c r="R106" i="42"/>
  <c r="R105" i="42"/>
  <c r="R104" i="42"/>
  <c r="R103" i="42"/>
  <c r="R85" i="42"/>
  <c r="R84" i="42"/>
  <c r="R83" i="42"/>
  <c r="R81" i="42"/>
  <c r="R82" i="42"/>
  <c r="Q98" i="42"/>
  <c r="Q101" i="42"/>
  <c r="Q102" i="42"/>
  <c r="Q100" i="42"/>
  <c r="Q99" i="42"/>
  <c r="Q97" i="42"/>
  <c r="Q96" i="42"/>
  <c r="Q95" i="42"/>
  <c r="Q94" i="42"/>
  <c r="Q93" i="42"/>
  <c r="D77" i="42"/>
  <c r="D15" i="42"/>
  <c r="E14" i="42"/>
  <c r="G72" i="42"/>
  <c r="D14" i="42"/>
  <c r="D72" i="42"/>
  <c r="D45" i="51"/>
  <c r="I31" i="7"/>
  <c r="G45" i="51"/>
  <c r="J31" i="7"/>
  <c r="D100" i="42"/>
  <c r="D37" i="42"/>
  <c r="D101" i="42" s="1"/>
  <c r="K31" i="7"/>
  <c r="B45" i="51"/>
  <c r="D82" i="42"/>
  <c r="D16" i="42"/>
  <c r="D38" i="42"/>
  <c r="D106" i="42" s="1"/>
  <c r="D105" i="42"/>
  <c r="E20" i="42"/>
  <c r="G84" i="42" s="1"/>
  <c r="G83" i="42"/>
  <c r="D35" i="42"/>
  <c r="D91" i="42" s="1"/>
  <c r="D90" i="42"/>
  <c r="C19" i="42"/>
  <c r="C79" i="42" s="1"/>
  <c r="C78" i="42"/>
  <c r="G105" i="42"/>
  <c r="E38" i="42"/>
  <c r="G106" i="42" s="1"/>
  <c r="C18" i="42"/>
  <c r="C74" i="42" s="1"/>
  <c r="C73" i="42"/>
  <c r="E17" i="42"/>
  <c r="G69" i="42" s="1"/>
  <c r="G68" i="42"/>
  <c r="G78" i="42"/>
  <c r="E19" i="42"/>
  <c r="G79" i="42" s="1"/>
  <c r="C20" i="42"/>
  <c r="C84" i="42" s="1"/>
  <c r="C83" i="42"/>
  <c r="G90" i="42"/>
  <c r="G91" i="42"/>
  <c r="D36" i="42"/>
  <c r="D96" i="42" s="1"/>
  <c r="D95" i="42"/>
  <c r="H31" i="7"/>
  <c r="F45" i="51"/>
  <c r="E37" i="42"/>
  <c r="G101" i="42" s="1"/>
  <c r="G100" i="42"/>
  <c r="D13" i="42"/>
  <c r="D67" i="42"/>
  <c r="E32" i="42"/>
  <c r="G94" i="42"/>
  <c r="J45" i="51"/>
  <c r="I45" i="51"/>
  <c r="D31" i="7"/>
  <c r="F129" i="58"/>
  <c r="F180" i="58"/>
  <c r="L708" i="7"/>
  <c r="AA708" i="7" s="1"/>
  <c r="L726" i="7"/>
  <c r="AA726" i="7" s="1"/>
  <c r="L733" i="7"/>
  <c r="AA733" i="7" s="1"/>
  <c r="L710" i="7"/>
  <c r="AA710" i="7" s="1"/>
  <c r="F78" i="58"/>
  <c r="L698" i="7"/>
  <c r="AA698" i="7" s="1"/>
  <c r="L699" i="7"/>
  <c r="AA699" i="7" s="1"/>
  <c r="L725" i="7"/>
  <c r="AA725" i="7" s="1"/>
  <c r="L703" i="7"/>
  <c r="AA703" i="7" s="1"/>
  <c r="L741" i="7"/>
  <c r="AA741" i="7" s="1"/>
  <c r="L704" i="7"/>
  <c r="AA704" i="7" s="1"/>
  <c r="L744" i="7"/>
  <c r="AA744" i="7" s="1"/>
  <c r="L729" i="7"/>
  <c r="AA729" i="7" s="1"/>
  <c r="L746" i="7"/>
  <c r="AA746" i="7" s="1"/>
  <c r="L743" i="7"/>
  <c r="AA743" i="7" s="1"/>
  <c r="L718" i="7"/>
  <c r="AA718" i="7" s="1"/>
  <c r="L706" i="7"/>
  <c r="AA706" i="7" s="1"/>
  <c r="L721" i="7"/>
  <c r="AA721" i="7" s="1"/>
  <c r="L737" i="7"/>
  <c r="AA737" i="7" s="1"/>
  <c r="L747" i="7"/>
  <c r="AA747" i="7" s="1"/>
  <c r="L711" i="7"/>
  <c r="AA711" i="7" s="1"/>
  <c r="L727" i="7"/>
  <c r="AA727" i="7" s="1"/>
  <c r="L739" i="7"/>
  <c r="AA739" i="7" s="1"/>
  <c r="L713" i="7"/>
  <c r="AA713" i="7" s="1"/>
  <c r="L700" i="7"/>
  <c r="AA700" i="7" s="1"/>
  <c r="L716" i="7"/>
  <c r="AA716" i="7" s="1"/>
  <c r="F27" i="58"/>
  <c r="R336" i="43"/>
  <c r="R387" i="43"/>
  <c r="L734" i="7"/>
  <c r="AA734" i="7" s="1"/>
  <c r="L701" i="7"/>
  <c r="AA701" i="7" s="1"/>
  <c r="L719" i="7"/>
  <c r="AA719" i="7" s="1"/>
  <c r="L717" i="7"/>
  <c r="AA717" i="7" s="1"/>
  <c r="L738" i="7"/>
  <c r="AA738" i="7" s="1"/>
  <c r="L731" i="7"/>
  <c r="AA731" i="7" s="1"/>
  <c r="L724" i="7"/>
  <c r="AA724" i="7" s="1"/>
  <c r="L742" i="7"/>
  <c r="AA742" i="7" s="1"/>
  <c r="L709" i="7"/>
  <c r="AA709" i="7" s="1"/>
  <c r="L705" i="7"/>
  <c r="AA705" i="7" s="1"/>
  <c r="L730" i="7"/>
  <c r="AA730" i="7" s="1"/>
  <c r="L723" i="7"/>
  <c r="AA723" i="7" s="1"/>
  <c r="L745" i="7"/>
  <c r="AA745" i="7" s="1"/>
  <c r="L712" i="7"/>
  <c r="AA712" i="7" s="1"/>
  <c r="L732" i="7"/>
  <c r="AA732" i="7" s="1"/>
  <c r="L740" i="7"/>
  <c r="AA740" i="7" s="1"/>
  <c r="L697" i="7"/>
  <c r="AA697" i="7" s="1"/>
  <c r="L722" i="7"/>
  <c r="AA722" i="7" s="1"/>
  <c r="L715" i="7"/>
  <c r="AA715" i="7" s="1"/>
  <c r="L735" i="7"/>
  <c r="AA735" i="7" s="1"/>
  <c r="L702" i="7"/>
  <c r="AA702" i="7" s="1"/>
  <c r="L720" i="7"/>
  <c r="AA720" i="7" s="1"/>
  <c r="L728" i="7"/>
  <c r="AA728" i="7" s="1"/>
  <c r="L736" i="7"/>
  <c r="AA736" i="7" s="1"/>
  <c r="L714" i="7"/>
  <c r="AA714" i="7" s="1"/>
  <c r="L707" i="7"/>
  <c r="AA707" i="7" s="1"/>
  <c r="R489" i="43"/>
  <c r="R438" i="43"/>
  <c r="R18" i="59"/>
  <c r="K54" i="51"/>
  <c r="G723" i="7"/>
  <c r="V723" i="7" s="1"/>
  <c r="B28" i="28"/>
  <c r="G708" i="7"/>
  <c r="V708" i="7" s="1"/>
  <c r="D79" i="28"/>
  <c r="D94" i="28" s="1"/>
  <c r="G707" i="7"/>
  <c r="V707" i="7" s="1"/>
  <c r="G722" i="7"/>
  <c r="V722" i="7" s="1"/>
  <c r="B31" i="61"/>
  <c r="G15" i="61"/>
  <c r="B32" i="61"/>
  <c r="G23" i="61"/>
  <c r="B40" i="61"/>
  <c r="B39" i="61"/>
  <c r="G8" i="61"/>
  <c r="B29" i="61"/>
  <c r="G19" i="61"/>
  <c r="B36" i="61"/>
  <c r="B35" i="61"/>
  <c r="E83" i="28"/>
  <c r="G714" i="7"/>
  <c r="V714" i="7" s="1"/>
  <c r="G711" i="7"/>
  <c r="V711" i="7" s="1"/>
  <c r="G728" i="7"/>
  <c r="V728" i="7" s="1"/>
  <c r="G737" i="7"/>
  <c r="V737" i="7" s="1"/>
  <c r="G734" i="7"/>
  <c r="V734" i="7" s="1"/>
  <c r="G705" i="7"/>
  <c r="V705" i="7" s="1"/>
  <c r="G702" i="7"/>
  <c r="V702" i="7" s="1"/>
  <c r="H723" i="7"/>
  <c r="W723" i="7" s="1"/>
  <c r="G15" i="28"/>
  <c r="G741" i="7"/>
  <c r="V741" i="7" s="1"/>
  <c r="B30" i="28"/>
  <c r="B34" i="28"/>
  <c r="H746" i="7"/>
  <c r="W746" i="7" s="1"/>
  <c r="H733" i="7"/>
  <c r="W733" i="7" s="1"/>
  <c r="H713" i="7"/>
  <c r="W713" i="7" s="1"/>
  <c r="H700" i="7"/>
  <c r="W700" i="7" s="1"/>
  <c r="H722" i="7"/>
  <c r="W722" i="7" s="1"/>
  <c r="H742" i="7"/>
  <c r="W742" i="7" s="1"/>
  <c r="H738" i="7"/>
  <c r="W738" i="7" s="1"/>
  <c r="H698" i="7"/>
  <c r="W698" i="7" s="1"/>
  <c r="H737" i="7"/>
  <c r="W737" i="7" s="1"/>
  <c r="H709" i="7"/>
  <c r="W709" i="7" s="1"/>
  <c r="H704" i="7"/>
  <c r="W704" i="7" s="1"/>
  <c r="I737" i="7"/>
  <c r="X737" i="7" s="1"/>
  <c r="J726" i="7"/>
  <c r="Y726" i="7" s="1"/>
  <c r="H697" i="7"/>
  <c r="W697" i="7" s="1"/>
  <c r="D728" i="7"/>
  <c r="G727" i="7"/>
  <c r="V727" i="7" s="1"/>
  <c r="R27" i="43"/>
  <c r="H728" i="7"/>
  <c r="W728" i="7" s="1"/>
  <c r="H703" i="7"/>
  <c r="W703" i="7" s="1"/>
  <c r="H741" i="7"/>
  <c r="W741" i="7" s="1"/>
  <c r="H727" i="7"/>
  <c r="W727" i="7" s="1"/>
  <c r="H712" i="7"/>
  <c r="W712" i="7" s="1"/>
  <c r="H747" i="7"/>
  <c r="W747" i="7" s="1"/>
  <c r="H736" i="7"/>
  <c r="W736" i="7" s="1"/>
  <c r="H721" i="7"/>
  <c r="W721" i="7" s="1"/>
  <c r="H715" i="7"/>
  <c r="W715" i="7" s="1"/>
  <c r="H745" i="7"/>
  <c r="W745" i="7" s="1"/>
  <c r="H730" i="7"/>
  <c r="W730" i="7" s="1"/>
  <c r="H732" i="7"/>
  <c r="W732" i="7" s="1"/>
  <c r="G746" i="7"/>
  <c r="V746" i="7" s="1"/>
  <c r="G731" i="7"/>
  <c r="V731" i="7" s="1"/>
  <c r="G716" i="7"/>
  <c r="V716" i="7" s="1"/>
  <c r="G704" i="7"/>
  <c r="V704" i="7" s="1"/>
  <c r="G740" i="7"/>
  <c r="V740" i="7" s="1"/>
  <c r="G726" i="7"/>
  <c r="V726" i="7" s="1"/>
  <c r="G713" i="7"/>
  <c r="V713" i="7" s="1"/>
  <c r="G698" i="7"/>
  <c r="V698" i="7" s="1"/>
  <c r="G743" i="7"/>
  <c r="V743" i="7" s="1"/>
  <c r="D708" i="7"/>
  <c r="G747" i="7"/>
  <c r="V747" i="7" s="1"/>
  <c r="G732" i="7"/>
  <c r="V732" i="7" s="1"/>
  <c r="G717" i="7"/>
  <c r="V717" i="7" s="1"/>
  <c r="G719" i="7"/>
  <c r="V719" i="7" s="1"/>
  <c r="D725" i="7"/>
  <c r="G725" i="7"/>
  <c r="V725" i="7" s="1"/>
  <c r="G745" i="7"/>
  <c r="V745" i="7" s="1"/>
  <c r="G712" i="7"/>
  <c r="V712" i="7" s="1"/>
  <c r="G730" i="7"/>
  <c r="V730" i="7" s="1"/>
  <c r="G697" i="7"/>
  <c r="V697" i="7" s="1"/>
  <c r="G718" i="7"/>
  <c r="V718" i="7" s="1"/>
  <c r="G703" i="7"/>
  <c r="V703" i="7" s="1"/>
  <c r="H717" i="7"/>
  <c r="W717" i="7" s="1"/>
  <c r="H735" i="7"/>
  <c r="W735" i="7" s="1"/>
  <c r="H702" i="7"/>
  <c r="W702" i="7" s="1"/>
  <c r="H720" i="7"/>
  <c r="W720" i="7" s="1"/>
  <c r="H739" i="7"/>
  <c r="W739" i="7" s="1"/>
  <c r="H716" i="7"/>
  <c r="W716" i="7" s="1"/>
  <c r="D701" i="7"/>
  <c r="G715" i="7"/>
  <c r="V715" i="7" s="1"/>
  <c r="G733" i="7"/>
  <c r="V733" i="7" s="1"/>
  <c r="G700" i="7"/>
  <c r="V700" i="7" s="1"/>
  <c r="G720" i="7"/>
  <c r="V720" i="7" s="1"/>
  <c r="G738" i="7"/>
  <c r="V738" i="7" s="1"/>
  <c r="G710" i="7"/>
  <c r="V710" i="7" s="1"/>
  <c r="H705" i="7"/>
  <c r="W705" i="7" s="1"/>
  <c r="H725" i="7"/>
  <c r="W725" i="7" s="1"/>
  <c r="H743" i="7"/>
  <c r="W743" i="7" s="1"/>
  <c r="H710" i="7"/>
  <c r="W710" i="7" s="1"/>
  <c r="H731" i="7"/>
  <c r="W731" i="7" s="1"/>
  <c r="H708" i="7"/>
  <c r="W708" i="7" s="1"/>
  <c r="D719" i="7"/>
  <c r="G736" i="7"/>
  <c r="V736" i="7" s="1"/>
  <c r="G701" i="7"/>
  <c r="V701" i="7" s="1"/>
  <c r="G721" i="7"/>
  <c r="V721" i="7" s="1"/>
  <c r="G739" i="7"/>
  <c r="V739" i="7" s="1"/>
  <c r="G706" i="7"/>
  <c r="V706" i="7" s="1"/>
  <c r="G735" i="7"/>
  <c r="V735" i="7" s="1"/>
  <c r="H718" i="7"/>
  <c r="W718" i="7" s="1"/>
  <c r="H726" i="7"/>
  <c r="W726" i="7" s="1"/>
  <c r="H744" i="7"/>
  <c r="W744" i="7" s="1"/>
  <c r="H711" i="7"/>
  <c r="W711" i="7" s="1"/>
  <c r="H729" i="7"/>
  <c r="W729" i="7" s="1"/>
  <c r="H707" i="7"/>
  <c r="W707" i="7" s="1"/>
  <c r="G724" i="7"/>
  <c r="V724" i="7" s="1"/>
  <c r="G744" i="7"/>
  <c r="V744" i="7" s="1"/>
  <c r="G709" i="7"/>
  <c r="V709" i="7" s="1"/>
  <c r="G729" i="7"/>
  <c r="V729" i="7" s="1"/>
  <c r="G742" i="7"/>
  <c r="V742" i="7" s="1"/>
  <c r="H706" i="7"/>
  <c r="W706" i="7" s="1"/>
  <c r="H714" i="7"/>
  <c r="W714" i="7" s="1"/>
  <c r="H734" i="7"/>
  <c r="W734" i="7" s="1"/>
  <c r="H701" i="7"/>
  <c r="W701" i="7" s="1"/>
  <c r="H719" i="7"/>
  <c r="W719" i="7" s="1"/>
  <c r="H699" i="7"/>
  <c r="W699" i="7" s="1"/>
  <c r="D698" i="7"/>
  <c r="D705" i="7"/>
  <c r="D742" i="7"/>
  <c r="D703" i="7"/>
  <c r="D739" i="7"/>
  <c r="D746" i="7"/>
  <c r="D710" i="7"/>
  <c r="D720" i="7"/>
  <c r="D707" i="7"/>
  <c r="D734" i="7"/>
  <c r="D741" i="7"/>
  <c r="D704" i="7"/>
  <c r="D738" i="7"/>
  <c r="D724" i="7"/>
  <c r="D731" i="7"/>
  <c r="D726" i="7"/>
  <c r="D745" i="7"/>
  <c r="D721" i="7"/>
  <c r="D740" i="7"/>
  <c r="D716" i="7"/>
  <c r="D723" i="7"/>
  <c r="D709" i="7"/>
  <c r="D718" i="7"/>
  <c r="D706" i="7"/>
  <c r="D713" i="7"/>
  <c r="D735" i="7"/>
  <c r="H724" i="7"/>
  <c r="W724" i="7" s="1"/>
  <c r="D730" i="7"/>
  <c r="D697" i="7"/>
  <c r="D715" i="7"/>
  <c r="D733" i="7"/>
  <c r="D700" i="7"/>
  <c r="D727" i="7"/>
  <c r="D712" i="7"/>
  <c r="D711" i="7"/>
  <c r="D744" i="7"/>
  <c r="D729" i="7"/>
  <c r="D747" i="7"/>
  <c r="D714" i="7"/>
  <c r="D732" i="7"/>
  <c r="D699" i="7"/>
  <c r="D736" i="7"/>
  <c r="D717" i="7"/>
  <c r="D737" i="7"/>
  <c r="D702" i="7"/>
  <c r="D722" i="7"/>
  <c r="D743" i="7"/>
  <c r="J733" i="7"/>
  <c r="Y733" i="7" s="1"/>
  <c r="J718" i="7"/>
  <c r="Y718" i="7" s="1"/>
  <c r="J714" i="7"/>
  <c r="Y714" i="7" s="1"/>
  <c r="J744" i="7"/>
  <c r="Y744" i="7" s="1"/>
  <c r="J711" i="7"/>
  <c r="Y711" i="7" s="1"/>
  <c r="J729" i="7"/>
  <c r="Y729" i="7" s="1"/>
  <c r="J747" i="7"/>
  <c r="Y747" i="7" s="1"/>
  <c r="J732" i="7"/>
  <c r="Y732" i="7" s="1"/>
  <c r="J699" i="7"/>
  <c r="Y699" i="7" s="1"/>
  <c r="J719" i="7"/>
  <c r="Y719" i="7" s="1"/>
  <c r="J737" i="7"/>
  <c r="Y737" i="7" s="1"/>
  <c r="J704" i="7"/>
  <c r="Y704" i="7" s="1"/>
  <c r="J725" i="7"/>
  <c r="Y725" i="7" s="1"/>
  <c r="J710" i="7"/>
  <c r="Y710" i="7" s="1"/>
  <c r="J722" i="7"/>
  <c r="Y722" i="7" s="1"/>
  <c r="J740" i="7"/>
  <c r="Y740" i="7" s="1"/>
  <c r="J707" i="7"/>
  <c r="Y707" i="7" s="1"/>
  <c r="J727" i="7"/>
  <c r="Y727" i="7" s="1"/>
  <c r="J745" i="7"/>
  <c r="Y745" i="7" s="1"/>
  <c r="J717" i="7"/>
  <c r="Y717" i="7" s="1"/>
  <c r="J702" i="7"/>
  <c r="Y702" i="7" s="1"/>
  <c r="J712" i="7"/>
  <c r="Y712" i="7" s="1"/>
  <c r="J730" i="7"/>
  <c r="Y730" i="7" s="1"/>
  <c r="J697" i="7"/>
  <c r="Y697" i="7" s="1"/>
  <c r="J715" i="7"/>
  <c r="Y715" i="7" s="1"/>
  <c r="J735" i="7"/>
  <c r="Y735" i="7" s="1"/>
  <c r="J709" i="7"/>
  <c r="Y709" i="7" s="1"/>
  <c r="J700" i="7"/>
  <c r="Y700" i="7" s="1"/>
  <c r="J720" i="7"/>
  <c r="Y720" i="7" s="1"/>
  <c r="J738" i="7"/>
  <c r="Y738" i="7" s="1"/>
  <c r="J705" i="7"/>
  <c r="Y705" i="7" s="1"/>
  <c r="J723" i="7"/>
  <c r="Y723" i="7" s="1"/>
  <c r="J701" i="7"/>
  <c r="Y701" i="7" s="1"/>
  <c r="J743" i="7"/>
  <c r="Y743" i="7" s="1"/>
  <c r="J708" i="7"/>
  <c r="Y708" i="7" s="1"/>
  <c r="J728" i="7"/>
  <c r="Y728" i="7" s="1"/>
  <c r="J746" i="7"/>
  <c r="Y746" i="7" s="1"/>
  <c r="J713" i="7"/>
  <c r="Y713" i="7" s="1"/>
  <c r="J742" i="7"/>
  <c r="Y742" i="7" s="1"/>
  <c r="J731" i="7"/>
  <c r="Y731" i="7" s="1"/>
  <c r="J698" i="7"/>
  <c r="Y698" i="7" s="1"/>
  <c r="J716" i="7"/>
  <c r="Y716" i="7" s="1"/>
  <c r="J736" i="7"/>
  <c r="Y736" i="7" s="1"/>
  <c r="J703" i="7"/>
  <c r="Y703" i="7" s="1"/>
  <c r="J734" i="7"/>
  <c r="Y734" i="7" s="1"/>
  <c r="J721" i="7"/>
  <c r="Y721" i="7" s="1"/>
  <c r="J739" i="7"/>
  <c r="Y739" i="7" s="1"/>
  <c r="J706" i="7"/>
  <c r="Y706" i="7" s="1"/>
  <c r="J724" i="7"/>
  <c r="Y724" i="7" s="1"/>
  <c r="J741" i="7"/>
  <c r="Y741" i="7" s="1"/>
  <c r="I703" i="7"/>
  <c r="X703" i="7" s="1"/>
  <c r="I723" i="7"/>
  <c r="X723" i="7" s="1"/>
  <c r="I744" i="7"/>
  <c r="X744" i="7" s="1"/>
  <c r="I729" i="7"/>
  <c r="X729" i="7" s="1"/>
  <c r="I718" i="7"/>
  <c r="X718" i="7" s="1"/>
  <c r="I738" i="7"/>
  <c r="X738" i="7" s="1"/>
  <c r="I741" i="7"/>
  <c r="X741" i="7" s="1"/>
  <c r="I708" i="7"/>
  <c r="X708" i="7" s="1"/>
  <c r="I726" i="7"/>
  <c r="X726" i="7" s="1"/>
  <c r="I746" i="7"/>
  <c r="X746" i="7" s="1"/>
  <c r="I711" i="7"/>
  <c r="X711" i="7" s="1"/>
  <c r="I736" i="7"/>
  <c r="X736" i="7" s="1"/>
  <c r="I721" i="7"/>
  <c r="X721" i="7" s="1"/>
  <c r="I731" i="7"/>
  <c r="X731" i="7" s="1"/>
  <c r="I698" i="7"/>
  <c r="X698" i="7" s="1"/>
  <c r="I716" i="7"/>
  <c r="X716" i="7" s="1"/>
  <c r="I734" i="7"/>
  <c r="X734" i="7" s="1"/>
  <c r="I701" i="7"/>
  <c r="X701" i="7" s="1"/>
  <c r="I728" i="7"/>
  <c r="X728" i="7" s="1"/>
  <c r="I713" i="7"/>
  <c r="X713" i="7" s="1"/>
  <c r="I719" i="7"/>
  <c r="X719" i="7" s="1"/>
  <c r="I739" i="7"/>
  <c r="X739" i="7" s="1"/>
  <c r="I706" i="7"/>
  <c r="X706" i="7" s="1"/>
  <c r="I724" i="7"/>
  <c r="X724" i="7" s="1"/>
  <c r="I742" i="7"/>
  <c r="X742" i="7" s="1"/>
  <c r="I720" i="7"/>
  <c r="X720" i="7" s="1"/>
  <c r="I705" i="7"/>
  <c r="X705" i="7" s="1"/>
  <c r="I709" i="7"/>
  <c r="X709" i="7" s="1"/>
  <c r="I727" i="7"/>
  <c r="X727" i="7" s="1"/>
  <c r="I747" i="7"/>
  <c r="X747" i="7" s="1"/>
  <c r="I714" i="7"/>
  <c r="X714" i="7" s="1"/>
  <c r="I732" i="7"/>
  <c r="X732" i="7" s="1"/>
  <c r="I712" i="7"/>
  <c r="X712" i="7" s="1"/>
  <c r="I699" i="7"/>
  <c r="X699" i="7" s="1"/>
  <c r="I717" i="7"/>
  <c r="X717" i="7" s="1"/>
  <c r="I735" i="7"/>
  <c r="X735" i="7" s="1"/>
  <c r="I702" i="7"/>
  <c r="X702" i="7" s="1"/>
  <c r="I722" i="7"/>
  <c r="X722" i="7" s="1"/>
  <c r="I704" i="7"/>
  <c r="X704" i="7" s="1"/>
  <c r="I740" i="7"/>
  <c r="X740" i="7" s="1"/>
  <c r="I707" i="7"/>
  <c r="X707" i="7" s="1"/>
  <c r="I725" i="7"/>
  <c r="X725" i="7" s="1"/>
  <c r="I743" i="7"/>
  <c r="X743" i="7" s="1"/>
  <c r="I710" i="7"/>
  <c r="X710" i="7" s="1"/>
  <c r="I745" i="7"/>
  <c r="X745" i="7" s="1"/>
  <c r="I730" i="7"/>
  <c r="X730" i="7" s="1"/>
  <c r="I697" i="7"/>
  <c r="X697" i="7" s="1"/>
  <c r="I715" i="7"/>
  <c r="X715" i="7" s="1"/>
  <c r="I733" i="7"/>
  <c r="X733" i="7" s="1"/>
  <c r="I700" i="7"/>
  <c r="X700" i="7" s="1"/>
  <c r="G8" i="28"/>
  <c r="L546" i="7"/>
  <c r="AA546" i="7" s="1"/>
  <c r="L554" i="7"/>
  <c r="AA554" i="7" s="1"/>
  <c r="L562" i="7"/>
  <c r="AA562" i="7" s="1"/>
  <c r="L570" i="7"/>
  <c r="AA570" i="7" s="1"/>
  <c r="L578" i="7"/>
  <c r="AA578" i="7" s="1"/>
  <c r="L586" i="7"/>
  <c r="AA586" i="7" s="1"/>
  <c r="L594" i="7"/>
  <c r="AA594" i="7" s="1"/>
  <c r="L545" i="7"/>
  <c r="AA545" i="7" s="1"/>
  <c r="L553" i="7"/>
  <c r="AA553" i="7" s="1"/>
  <c r="L561" i="7"/>
  <c r="AA561" i="7" s="1"/>
  <c r="L569" i="7"/>
  <c r="AA569" i="7" s="1"/>
  <c r="L577" i="7"/>
  <c r="AA577" i="7" s="1"/>
  <c r="L585" i="7"/>
  <c r="AA585" i="7" s="1"/>
  <c r="L593" i="7"/>
  <c r="AA593" i="7" s="1"/>
  <c r="L550" i="7"/>
  <c r="AA550" i="7" s="1"/>
  <c r="L560" i="7"/>
  <c r="AA560" i="7" s="1"/>
  <c r="L572" i="7"/>
  <c r="AA572" i="7" s="1"/>
  <c r="L582" i="7"/>
  <c r="AA582" i="7" s="1"/>
  <c r="L592" i="7"/>
  <c r="AA592" i="7" s="1"/>
  <c r="L551" i="7"/>
  <c r="AA551" i="7" s="1"/>
  <c r="L563" i="7"/>
  <c r="AA563" i="7" s="1"/>
  <c r="L573" i="7"/>
  <c r="AA573" i="7" s="1"/>
  <c r="L583" i="7"/>
  <c r="AA583" i="7" s="1"/>
  <c r="L544" i="7"/>
  <c r="AA544" i="7" s="1"/>
  <c r="L552" i="7"/>
  <c r="AA552" i="7" s="1"/>
  <c r="L564" i="7"/>
  <c r="AA564" i="7" s="1"/>
  <c r="L574" i="7"/>
  <c r="AA574" i="7" s="1"/>
  <c r="L584" i="7"/>
  <c r="AA584" i="7" s="1"/>
  <c r="L555" i="7"/>
  <c r="AA555" i="7" s="1"/>
  <c r="L565" i="7"/>
  <c r="AA565" i="7" s="1"/>
  <c r="L575" i="7"/>
  <c r="AA575" i="7" s="1"/>
  <c r="L587" i="7"/>
  <c r="AA587" i="7" s="1"/>
  <c r="L556" i="7"/>
  <c r="AA556" i="7" s="1"/>
  <c r="L566" i="7"/>
  <c r="AA566" i="7" s="1"/>
  <c r="L576" i="7"/>
  <c r="AA576" i="7" s="1"/>
  <c r="L588" i="7"/>
  <c r="AA588" i="7" s="1"/>
  <c r="L547" i="7"/>
  <c r="AA547" i="7" s="1"/>
  <c r="L557" i="7"/>
  <c r="AA557" i="7" s="1"/>
  <c r="L567" i="7"/>
  <c r="AA567" i="7" s="1"/>
  <c r="L579" i="7"/>
  <c r="AA579" i="7" s="1"/>
  <c r="L589" i="7"/>
  <c r="AA589" i="7" s="1"/>
  <c r="L548" i="7"/>
  <c r="AA548" i="7" s="1"/>
  <c r="L558" i="7"/>
  <c r="AA558" i="7" s="1"/>
  <c r="L568" i="7"/>
  <c r="AA568" i="7" s="1"/>
  <c r="L580" i="7"/>
  <c r="AA580" i="7" s="1"/>
  <c r="L590" i="7"/>
  <c r="AA590" i="7" s="1"/>
  <c r="L549" i="7"/>
  <c r="AA549" i="7" s="1"/>
  <c r="L559" i="7"/>
  <c r="AA559" i="7" s="1"/>
  <c r="L571" i="7"/>
  <c r="AA571" i="7" s="1"/>
  <c r="L581" i="7"/>
  <c r="AA581" i="7" s="1"/>
  <c r="L591" i="7"/>
  <c r="AA591" i="7" s="1"/>
  <c r="G752" i="7"/>
  <c r="V752" i="7" s="1"/>
  <c r="G760" i="7"/>
  <c r="V760" i="7" s="1"/>
  <c r="G768" i="7"/>
  <c r="V768" i="7" s="1"/>
  <c r="G776" i="7"/>
  <c r="V776" i="7" s="1"/>
  <c r="G784" i="7"/>
  <c r="V784" i="7" s="1"/>
  <c r="G792" i="7"/>
  <c r="V792" i="7" s="1"/>
  <c r="G751" i="7"/>
  <c r="V751" i="7" s="1"/>
  <c r="G759" i="7"/>
  <c r="V759" i="7" s="1"/>
  <c r="G767" i="7"/>
  <c r="V767" i="7" s="1"/>
  <c r="G775" i="7"/>
  <c r="V775" i="7" s="1"/>
  <c r="G783" i="7"/>
  <c r="V783" i="7" s="1"/>
  <c r="G791" i="7"/>
  <c r="V791" i="7" s="1"/>
  <c r="G748" i="7"/>
  <c r="V748" i="7" s="1"/>
  <c r="G755" i="7"/>
  <c r="V755" i="7" s="1"/>
  <c r="G765" i="7"/>
  <c r="V765" i="7" s="1"/>
  <c r="G777" i="7"/>
  <c r="V777" i="7" s="1"/>
  <c r="G787" i="7"/>
  <c r="V787" i="7" s="1"/>
  <c r="G797" i="7"/>
  <c r="V797" i="7" s="1"/>
  <c r="G756" i="7"/>
  <c r="V756" i="7" s="1"/>
  <c r="G766" i="7"/>
  <c r="V766" i="7" s="1"/>
  <c r="G778" i="7"/>
  <c r="V778" i="7" s="1"/>
  <c r="G788" i="7"/>
  <c r="V788" i="7" s="1"/>
  <c r="G798" i="7"/>
  <c r="V798" i="7" s="1"/>
  <c r="G757" i="7"/>
  <c r="V757" i="7" s="1"/>
  <c r="G769" i="7"/>
  <c r="V769" i="7" s="1"/>
  <c r="G779" i="7"/>
  <c r="V779" i="7" s="1"/>
  <c r="G789" i="7"/>
  <c r="V789" i="7" s="1"/>
  <c r="G758" i="7"/>
  <c r="V758" i="7" s="1"/>
  <c r="G770" i="7"/>
  <c r="V770" i="7" s="1"/>
  <c r="G780" i="7"/>
  <c r="V780" i="7" s="1"/>
  <c r="G790" i="7"/>
  <c r="V790" i="7" s="1"/>
  <c r="G749" i="7"/>
  <c r="V749" i="7" s="1"/>
  <c r="G761" i="7"/>
  <c r="V761" i="7" s="1"/>
  <c r="G771" i="7"/>
  <c r="V771" i="7" s="1"/>
  <c r="G781" i="7"/>
  <c r="V781" i="7" s="1"/>
  <c r="G793" i="7"/>
  <c r="V793" i="7" s="1"/>
  <c r="G750" i="7"/>
  <c r="V750" i="7" s="1"/>
  <c r="G762" i="7"/>
  <c r="V762" i="7" s="1"/>
  <c r="G772" i="7"/>
  <c r="V772" i="7" s="1"/>
  <c r="G782" i="7"/>
  <c r="V782" i="7" s="1"/>
  <c r="G794" i="7"/>
  <c r="V794" i="7" s="1"/>
  <c r="G753" i="7"/>
  <c r="V753" i="7" s="1"/>
  <c r="G763" i="7"/>
  <c r="V763" i="7" s="1"/>
  <c r="G773" i="7"/>
  <c r="V773" i="7" s="1"/>
  <c r="G785" i="7"/>
  <c r="V785" i="7" s="1"/>
  <c r="G795" i="7"/>
  <c r="V795" i="7" s="1"/>
  <c r="G754" i="7"/>
  <c r="V754" i="7" s="1"/>
  <c r="G764" i="7"/>
  <c r="V764" i="7" s="1"/>
  <c r="G774" i="7"/>
  <c r="V774" i="7" s="1"/>
  <c r="G786" i="7"/>
  <c r="V786" i="7" s="1"/>
  <c r="G796" i="7"/>
  <c r="V796" i="7" s="1"/>
  <c r="D494" i="7"/>
  <c r="D502" i="7"/>
  <c r="D510" i="7"/>
  <c r="D518" i="7"/>
  <c r="D526" i="7"/>
  <c r="D534" i="7"/>
  <c r="D542" i="7"/>
  <c r="D501" i="7"/>
  <c r="D509" i="7"/>
  <c r="D517" i="7"/>
  <c r="D525" i="7"/>
  <c r="D533" i="7"/>
  <c r="D541" i="7"/>
  <c r="D496" i="7"/>
  <c r="D506" i="7"/>
  <c r="D516" i="7"/>
  <c r="D528" i="7"/>
  <c r="D538" i="7"/>
  <c r="D497" i="7"/>
  <c r="D507" i="7"/>
  <c r="D519" i="7"/>
  <c r="D529" i="7"/>
  <c r="D539" i="7"/>
  <c r="D498" i="7"/>
  <c r="D508" i="7"/>
  <c r="D520" i="7"/>
  <c r="D530" i="7"/>
  <c r="D540" i="7"/>
  <c r="D499" i="7"/>
  <c r="D511" i="7"/>
  <c r="D521" i="7"/>
  <c r="D531" i="7"/>
  <c r="D543" i="7"/>
  <c r="D500" i="7"/>
  <c r="D512" i="7"/>
  <c r="D522" i="7"/>
  <c r="D532" i="7"/>
  <c r="D493" i="7"/>
  <c r="D503" i="7"/>
  <c r="D513" i="7"/>
  <c r="D523" i="7"/>
  <c r="D535" i="7"/>
  <c r="D504" i="7"/>
  <c r="D514" i="7"/>
  <c r="D524" i="7"/>
  <c r="D536" i="7"/>
  <c r="D495" i="7"/>
  <c r="D505" i="7"/>
  <c r="D515" i="7"/>
  <c r="D527" i="7"/>
  <c r="D537" i="7"/>
  <c r="J804" i="7"/>
  <c r="Y804" i="7" s="1"/>
  <c r="J812" i="7"/>
  <c r="Y812" i="7" s="1"/>
  <c r="J820" i="7"/>
  <c r="Y820" i="7" s="1"/>
  <c r="J828" i="7"/>
  <c r="Y828" i="7" s="1"/>
  <c r="J836" i="7"/>
  <c r="Y836" i="7" s="1"/>
  <c r="J844" i="7"/>
  <c r="Y844" i="7" s="1"/>
  <c r="J803" i="7"/>
  <c r="Y803" i="7" s="1"/>
  <c r="J811" i="7"/>
  <c r="Y811" i="7" s="1"/>
  <c r="J819" i="7"/>
  <c r="Y819" i="7" s="1"/>
  <c r="J827" i="7"/>
  <c r="Y827" i="7" s="1"/>
  <c r="J835" i="7"/>
  <c r="Y835" i="7" s="1"/>
  <c r="J843" i="7"/>
  <c r="Y843" i="7" s="1"/>
  <c r="J802" i="7"/>
  <c r="Y802" i="7" s="1"/>
  <c r="J814" i="7"/>
  <c r="Y814" i="7" s="1"/>
  <c r="J824" i="7"/>
  <c r="Y824" i="7" s="1"/>
  <c r="J834" i="7"/>
  <c r="Y834" i="7" s="1"/>
  <c r="J846" i="7"/>
  <c r="Y846" i="7" s="1"/>
  <c r="J805" i="7"/>
  <c r="Y805" i="7" s="1"/>
  <c r="J815" i="7"/>
  <c r="Y815" i="7" s="1"/>
  <c r="J825" i="7"/>
  <c r="Y825" i="7" s="1"/>
  <c r="J837" i="7"/>
  <c r="Y837" i="7" s="1"/>
  <c r="J847" i="7"/>
  <c r="Y847" i="7" s="1"/>
  <c r="J806" i="7"/>
  <c r="Y806" i="7" s="1"/>
  <c r="J816" i="7"/>
  <c r="Y816" i="7" s="1"/>
  <c r="J826" i="7"/>
  <c r="Y826" i="7" s="1"/>
  <c r="J838" i="7"/>
  <c r="Y838" i="7" s="1"/>
  <c r="J848" i="7"/>
  <c r="Y848" i="7" s="1"/>
  <c r="J807" i="7"/>
  <c r="Y807" i="7" s="1"/>
  <c r="J817" i="7"/>
  <c r="Y817" i="7" s="1"/>
  <c r="J829" i="7"/>
  <c r="Y829" i="7" s="1"/>
  <c r="J839" i="7"/>
  <c r="Y839" i="7" s="1"/>
  <c r="J849" i="7"/>
  <c r="Y849" i="7" s="1"/>
  <c r="J808" i="7"/>
  <c r="Y808" i="7" s="1"/>
  <c r="J818" i="7"/>
  <c r="Y818" i="7" s="1"/>
  <c r="J830" i="7"/>
  <c r="Y830" i="7" s="1"/>
  <c r="J840" i="7"/>
  <c r="Y840" i="7" s="1"/>
  <c r="J799" i="7"/>
  <c r="Y799" i="7" s="1"/>
  <c r="J809" i="7"/>
  <c r="Y809" i="7" s="1"/>
  <c r="J821" i="7"/>
  <c r="Y821" i="7" s="1"/>
  <c r="J831" i="7"/>
  <c r="Y831" i="7" s="1"/>
  <c r="J841" i="7"/>
  <c r="Y841" i="7" s="1"/>
  <c r="J800" i="7"/>
  <c r="Y800" i="7" s="1"/>
  <c r="J810" i="7"/>
  <c r="Y810" i="7" s="1"/>
  <c r="J822" i="7"/>
  <c r="Y822" i="7" s="1"/>
  <c r="J832" i="7"/>
  <c r="Y832" i="7" s="1"/>
  <c r="J842" i="7"/>
  <c r="Y842" i="7" s="1"/>
  <c r="J801" i="7"/>
  <c r="Y801" i="7" s="1"/>
  <c r="J813" i="7"/>
  <c r="Y813" i="7" s="1"/>
  <c r="J823" i="7"/>
  <c r="Y823" i="7" s="1"/>
  <c r="J833" i="7"/>
  <c r="Y833" i="7" s="1"/>
  <c r="J845" i="7"/>
  <c r="Y845" i="7" s="1"/>
  <c r="I597" i="7"/>
  <c r="X597" i="7" s="1"/>
  <c r="I605" i="7"/>
  <c r="X605" i="7" s="1"/>
  <c r="I613" i="7"/>
  <c r="X613" i="7" s="1"/>
  <c r="I621" i="7"/>
  <c r="X621" i="7" s="1"/>
  <c r="I629" i="7"/>
  <c r="X629" i="7" s="1"/>
  <c r="I637" i="7"/>
  <c r="X637" i="7" s="1"/>
  <c r="I645" i="7"/>
  <c r="X645" i="7" s="1"/>
  <c r="I596" i="7"/>
  <c r="X596" i="7" s="1"/>
  <c r="I604" i="7"/>
  <c r="X604" i="7" s="1"/>
  <c r="I612" i="7"/>
  <c r="X612" i="7" s="1"/>
  <c r="I620" i="7"/>
  <c r="X620" i="7" s="1"/>
  <c r="I628" i="7"/>
  <c r="X628" i="7" s="1"/>
  <c r="I636" i="7"/>
  <c r="X636" i="7" s="1"/>
  <c r="I644" i="7"/>
  <c r="X644" i="7" s="1"/>
  <c r="I600" i="7"/>
  <c r="X600" i="7" s="1"/>
  <c r="I610" i="7"/>
  <c r="X610" i="7" s="1"/>
  <c r="I622" i="7"/>
  <c r="X622" i="7" s="1"/>
  <c r="I632" i="7"/>
  <c r="X632" i="7" s="1"/>
  <c r="I642" i="7"/>
  <c r="X642" i="7" s="1"/>
  <c r="I599" i="7"/>
  <c r="X599" i="7" s="1"/>
  <c r="I609" i="7"/>
  <c r="X609" i="7" s="1"/>
  <c r="I619" i="7"/>
  <c r="X619" i="7" s="1"/>
  <c r="I631" i="7"/>
  <c r="X631" i="7" s="1"/>
  <c r="I641" i="7"/>
  <c r="X641" i="7" s="1"/>
  <c r="I606" i="7"/>
  <c r="X606" i="7" s="1"/>
  <c r="I618" i="7"/>
  <c r="X618" i="7" s="1"/>
  <c r="I634" i="7"/>
  <c r="X634" i="7" s="1"/>
  <c r="I607" i="7"/>
  <c r="X607" i="7" s="1"/>
  <c r="I623" i="7"/>
  <c r="X623" i="7" s="1"/>
  <c r="I635" i="7"/>
  <c r="X635" i="7" s="1"/>
  <c r="I608" i="7"/>
  <c r="X608" i="7" s="1"/>
  <c r="I624" i="7"/>
  <c r="X624" i="7" s="1"/>
  <c r="I638" i="7"/>
  <c r="X638" i="7" s="1"/>
  <c r="I611" i="7"/>
  <c r="X611" i="7" s="1"/>
  <c r="I625" i="7"/>
  <c r="X625" i="7" s="1"/>
  <c r="I639" i="7"/>
  <c r="X639" i="7" s="1"/>
  <c r="I598" i="7"/>
  <c r="X598" i="7" s="1"/>
  <c r="I614" i="7"/>
  <c r="X614" i="7" s="1"/>
  <c r="I626" i="7"/>
  <c r="X626" i="7" s="1"/>
  <c r="I640" i="7"/>
  <c r="X640" i="7" s="1"/>
  <c r="I601" i="7"/>
  <c r="X601" i="7" s="1"/>
  <c r="I615" i="7"/>
  <c r="X615" i="7" s="1"/>
  <c r="I627" i="7"/>
  <c r="X627" i="7" s="1"/>
  <c r="I643" i="7"/>
  <c r="X643" i="7" s="1"/>
  <c r="I602" i="7"/>
  <c r="X602" i="7" s="1"/>
  <c r="I616" i="7"/>
  <c r="X616" i="7" s="1"/>
  <c r="I630" i="7"/>
  <c r="X630" i="7" s="1"/>
  <c r="I595" i="7"/>
  <c r="X595" i="7" s="1"/>
  <c r="I603" i="7"/>
  <c r="X603" i="7" s="1"/>
  <c r="I617" i="7"/>
  <c r="X617" i="7" s="1"/>
  <c r="I633" i="7"/>
  <c r="X633" i="7" s="1"/>
  <c r="I546" i="7"/>
  <c r="X546" i="7" s="1"/>
  <c r="I554" i="7"/>
  <c r="X554" i="7" s="1"/>
  <c r="I545" i="7"/>
  <c r="X545" i="7" s="1"/>
  <c r="I553" i="7"/>
  <c r="X553" i="7" s="1"/>
  <c r="I547" i="7"/>
  <c r="X547" i="7" s="1"/>
  <c r="I557" i="7"/>
  <c r="X557" i="7" s="1"/>
  <c r="I565" i="7"/>
  <c r="X565" i="7" s="1"/>
  <c r="I573" i="7"/>
  <c r="X573" i="7" s="1"/>
  <c r="I581" i="7"/>
  <c r="X581" i="7" s="1"/>
  <c r="I589" i="7"/>
  <c r="X589" i="7" s="1"/>
  <c r="I556" i="7"/>
  <c r="X556" i="7" s="1"/>
  <c r="I564" i="7"/>
  <c r="X564" i="7" s="1"/>
  <c r="I572" i="7"/>
  <c r="X572" i="7" s="1"/>
  <c r="I580" i="7"/>
  <c r="X580" i="7" s="1"/>
  <c r="I588" i="7"/>
  <c r="X588" i="7" s="1"/>
  <c r="I559" i="7"/>
  <c r="X559" i="7" s="1"/>
  <c r="I569" i="7"/>
  <c r="X569" i="7" s="1"/>
  <c r="I579" i="7"/>
  <c r="X579" i="7" s="1"/>
  <c r="I591" i="7"/>
  <c r="X591" i="7" s="1"/>
  <c r="I548" i="7"/>
  <c r="X548" i="7" s="1"/>
  <c r="I560" i="7"/>
  <c r="X560" i="7" s="1"/>
  <c r="I570" i="7"/>
  <c r="X570" i="7" s="1"/>
  <c r="I582" i="7"/>
  <c r="X582" i="7" s="1"/>
  <c r="I592" i="7"/>
  <c r="X592" i="7" s="1"/>
  <c r="I549" i="7"/>
  <c r="X549" i="7" s="1"/>
  <c r="I561" i="7"/>
  <c r="X561" i="7" s="1"/>
  <c r="I571" i="7"/>
  <c r="X571" i="7" s="1"/>
  <c r="I583" i="7"/>
  <c r="X583" i="7" s="1"/>
  <c r="I593" i="7"/>
  <c r="X593" i="7" s="1"/>
  <c r="I550" i="7"/>
  <c r="X550" i="7" s="1"/>
  <c r="I562" i="7"/>
  <c r="X562" i="7" s="1"/>
  <c r="I574" i="7"/>
  <c r="X574" i="7" s="1"/>
  <c r="I584" i="7"/>
  <c r="X584" i="7" s="1"/>
  <c r="I594" i="7"/>
  <c r="X594" i="7" s="1"/>
  <c r="I551" i="7"/>
  <c r="X551" i="7" s="1"/>
  <c r="I563" i="7"/>
  <c r="X563" i="7" s="1"/>
  <c r="I575" i="7"/>
  <c r="X575" i="7" s="1"/>
  <c r="I585" i="7"/>
  <c r="X585" i="7" s="1"/>
  <c r="I544" i="7"/>
  <c r="X544" i="7" s="1"/>
  <c r="I552" i="7"/>
  <c r="X552" i="7" s="1"/>
  <c r="I566" i="7"/>
  <c r="X566" i="7" s="1"/>
  <c r="I576" i="7"/>
  <c r="X576" i="7" s="1"/>
  <c r="I586" i="7"/>
  <c r="X586" i="7" s="1"/>
  <c r="I555" i="7"/>
  <c r="X555" i="7" s="1"/>
  <c r="I567" i="7"/>
  <c r="X567" i="7" s="1"/>
  <c r="I577" i="7"/>
  <c r="X577" i="7" s="1"/>
  <c r="I587" i="7"/>
  <c r="X587" i="7" s="1"/>
  <c r="I558" i="7"/>
  <c r="X558" i="7" s="1"/>
  <c r="I568" i="7"/>
  <c r="X568" i="7" s="1"/>
  <c r="I578" i="7"/>
  <c r="X578" i="7" s="1"/>
  <c r="I590" i="7"/>
  <c r="X590" i="7" s="1"/>
  <c r="D750" i="7"/>
  <c r="D758" i="7"/>
  <c r="D766" i="7"/>
  <c r="D774" i="7"/>
  <c r="D782" i="7"/>
  <c r="D790" i="7"/>
  <c r="D798" i="7"/>
  <c r="D749" i="7"/>
  <c r="D757" i="7"/>
  <c r="D765" i="7"/>
  <c r="D773" i="7"/>
  <c r="D781" i="7"/>
  <c r="D789" i="7"/>
  <c r="D797" i="7"/>
  <c r="D759" i="7"/>
  <c r="D769" i="7"/>
  <c r="D779" i="7"/>
  <c r="D791" i="7"/>
  <c r="D760" i="7"/>
  <c r="D770" i="7"/>
  <c r="D780" i="7"/>
  <c r="D792" i="7"/>
  <c r="D751" i="7"/>
  <c r="D761" i="7"/>
  <c r="D771" i="7"/>
  <c r="D783" i="7"/>
  <c r="D793" i="7"/>
  <c r="D752" i="7"/>
  <c r="D762" i="7"/>
  <c r="D772" i="7"/>
  <c r="D784" i="7"/>
  <c r="D794" i="7"/>
  <c r="D753" i="7"/>
  <c r="D763" i="7"/>
  <c r="D775" i="7"/>
  <c r="D785" i="7"/>
  <c r="D795" i="7"/>
  <c r="D754" i="7"/>
  <c r="D764" i="7"/>
  <c r="D776" i="7"/>
  <c r="D786" i="7"/>
  <c r="D796" i="7"/>
  <c r="D755" i="7"/>
  <c r="D767" i="7"/>
  <c r="D777" i="7"/>
  <c r="D787" i="7"/>
  <c r="D748" i="7"/>
  <c r="D756" i="7"/>
  <c r="D768" i="7"/>
  <c r="D778" i="7"/>
  <c r="D788" i="7"/>
  <c r="I495" i="7"/>
  <c r="X495" i="7" s="1"/>
  <c r="I503" i="7"/>
  <c r="X503" i="7" s="1"/>
  <c r="I511" i="7"/>
  <c r="X511" i="7" s="1"/>
  <c r="I519" i="7"/>
  <c r="X519" i="7" s="1"/>
  <c r="I527" i="7"/>
  <c r="X527" i="7" s="1"/>
  <c r="I535" i="7"/>
  <c r="X535" i="7" s="1"/>
  <c r="I543" i="7"/>
  <c r="X543" i="7" s="1"/>
  <c r="I494" i="7"/>
  <c r="X494" i="7" s="1"/>
  <c r="I502" i="7"/>
  <c r="X502" i="7" s="1"/>
  <c r="I510" i="7"/>
  <c r="X510" i="7" s="1"/>
  <c r="I518" i="7"/>
  <c r="X518" i="7" s="1"/>
  <c r="I526" i="7"/>
  <c r="X526" i="7" s="1"/>
  <c r="I534" i="7"/>
  <c r="X534" i="7" s="1"/>
  <c r="I542" i="7"/>
  <c r="X542" i="7" s="1"/>
  <c r="I497" i="7"/>
  <c r="X497" i="7" s="1"/>
  <c r="I507" i="7"/>
  <c r="X507" i="7" s="1"/>
  <c r="I517" i="7"/>
  <c r="X517" i="7" s="1"/>
  <c r="I529" i="7"/>
  <c r="X529" i="7" s="1"/>
  <c r="I539" i="7"/>
  <c r="X539" i="7" s="1"/>
  <c r="I520" i="7"/>
  <c r="X520" i="7" s="1"/>
  <c r="I498" i="7"/>
  <c r="X498" i="7" s="1"/>
  <c r="I530" i="7"/>
  <c r="X530" i="7" s="1"/>
  <c r="I499" i="7"/>
  <c r="X499" i="7" s="1"/>
  <c r="I509" i="7"/>
  <c r="X509" i="7" s="1"/>
  <c r="I521" i="7"/>
  <c r="X521" i="7" s="1"/>
  <c r="I531" i="7"/>
  <c r="X531" i="7" s="1"/>
  <c r="I541" i="7"/>
  <c r="X541" i="7" s="1"/>
  <c r="I500" i="7"/>
  <c r="X500" i="7" s="1"/>
  <c r="I512" i="7"/>
  <c r="X512" i="7" s="1"/>
  <c r="I522" i="7"/>
  <c r="X522" i="7" s="1"/>
  <c r="I532" i="7"/>
  <c r="X532" i="7" s="1"/>
  <c r="I493" i="7"/>
  <c r="X493" i="7" s="1"/>
  <c r="I501" i="7"/>
  <c r="X501" i="7" s="1"/>
  <c r="I513" i="7"/>
  <c r="X513" i="7" s="1"/>
  <c r="I523" i="7"/>
  <c r="X523" i="7" s="1"/>
  <c r="I533" i="7"/>
  <c r="X533" i="7" s="1"/>
  <c r="I504" i="7"/>
  <c r="X504" i="7" s="1"/>
  <c r="I514" i="7"/>
  <c r="X514" i="7" s="1"/>
  <c r="I524" i="7"/>
  <c r="X524" i="7" s="1"/>
  <c r="I536" i="7"/>
  <c r="X536" i="7" s="1"/>
  <c r="I505" i="7"/>
  <c r="X505" i="7" s="1"/>
  <c r="I515" i="7"/>
  <c r="X515" i="7" s="1"/>
  <c r="I525" i="7"/>
  <c r="X525" i="7" s="1"/>
  <c r="I537" i="7"/>
  <c r="X537" i="7" s="1"/>
  <c r="I496" i="7"/>
  <c r="X496" i="7" s="1"/>
  <c r="I506" i="7"/>
  <c r="X506" i="7" s="1"/>
  <c r="I516" i="7"/>
  <c r="X516" i="7" s="1"/>
  <c r="I528" i="7"/>
  <c r="X528" i="7" s="1"/>
  <c r="I538" i="7"/>
  <c r="X538" i="7" s="1"/>
  <c r="I508" i="7"/>
  <c r="X508" i="7" s="1"/>
  <c r="I540" i="7"/>
  <c r="X540" i="7" s="1"/>
  <c r="I806" i="7"/>
  <c r="X806" i="7" s="1"/>
  <c r="I814" i="7"/>
  <c r="X814" i="7" s="1"/>
  <c r="I822" i="7"/>
  <c r="X822" i="7" s="1"/>
  <c r="I830" i="7"/>
  <c r="X830" i="7" s="1"/>
  <c r="I838" i="7"/>
  <c r="X838" i="7" s="1"/>
  <c r="I846" i="7"/>
  <c r="X846" i="7" s="1"/>
  <c r="I805" i="7"/>
  <c r="X805" i="7" s="1"/>
  <c r="I813" i="7"/>
  <c r="X813" i="7" s="1"/>
  <c r="I821" i="7"/>
  <c r="X821" i="7" s="1"/>
  <c r="I829" i="7"/>
  <c r="X829" i="7" s="1"/>
  <c r="I837" i="7"/>
  <c r="X837" i="7" s="1"/>
  <c r="I845" i="7"/>
  <c r="X845" i="7" s="1"/>
  <c r="I808" i="7"/>
  <c r="X808" i="7" s="1"/>
  <c r="I818" i="7"/>
  <c r="X818" i="7" s="1"/>
  <c r="I828" i="7"/>
  <c r="X828" i="7" s="1"/>
  <c r="I840" i="7"/>
  <c r="X840" i="7" s="1"/>
  <c r="I799" i="7"/>
  <c r="X799" i="7" s="1"/>
  <c r="I809" i="7"/>
  <c r="X809" i="7" s="1"/>
  <c r="I819" i="7"/>
  <c r="X819" i="7" s="1"/>
  <c r="I831" i="7"/>
  <c r="X831" i="7" s="1"/>
  <c r="I841" i="7"/>
  <c r="X841" i="7" s="1"/>
  <c r="I800" i="7"/>
  <c r="X800" i="7" s="1"/>
  <c r="I810" i="7"/>
  <c r="X810" i="7" s="1"/>
  <c r="I820" i="7"/>
  <c r="X820" i="7" s="1"/>
  <c r="I832" i="7"/>
  <c r="X832" i="7" s="1"/>
  <c r="I842" i="7"/>
  <c r="X842" i="7" s="1"/>
  <c r="I801" i="7"/>
  <c r="X801" i="7" s="1"/>
  <c r="I811" i="7"/>
  <c r="X811" i="7" s="1"/>
  <c r="I823" i="7"/>
  <c r="X823" i="7" s="1"/>
  <c r="I833" i="7"/>
  <c r="X833" i="7" s="1"/>
  <c r="I843" i="7"/>
  <c r="X843" i="7" s="1"/>
  <c r="I802" i="7"/>
  <c r="X802" i="7" s="1"/>
  <c r="I812" i="7"/>
  <c r="X812" i="7" s="1"/>
  <c r="I824" i="7"/>
  <c r="X824" i="7" s="1"/>
  <c r="I834" i="7"/>
  <c r="X834" i="7" s="1"/>
  <c r="I844" i="7"/>
  <c r="X844" i="7" s="1"/>
  <c r="I803" i="7"/>
  <c r="X803" i="7" s="1"/>
  <c r="I815" i="7"/>
  <c r="X815" i="7" s="1"/>
  <c r="I825" i="7"/>
  <c r="X825" i="7" s="1"/>
  <c r="I835" i="7"/>
  <c r="X835" i="7" s="1"/>
  <c r="I847" i="7"/>
  <c r="X847" i="7" s="1"/>
  <c r="I804" i="7"/>
  <c r="X804" i="7" s="1"/>
  <c r="I816" i="7"/>
  <c r="X816" i="7" s="1"/>
  <c r="I826" i="7"/>
  <c r="X826" i="7" s="1"/>
  <c r="I836" i="7"/>
  <c r="X836" i="7" s="1"/>
  <c r="I848" i="7"/>
  <c r="X848" i="7" s="1"/>
  <c r="I807" i="7"/>
  <c r="X807" i="7" s="1"/>
  <c r="I817" i="7"/>
  <c r="X817" i="7" s="1"/>
  <c r="I827" i="7"/>
  <c r="X827" i="7" s="1"/>
  <c r="I839" i="7"/>
  <c r="X839" i="7" s="1"/>
  <c r="I849" i="7"/>
  <c r="X849" i="7" s="1"/>
  <c r="K599" i="7"/>
  <c r="Z599" i="7" s="1"/>
  <c r="K607" i="7"/>
  <c r="Z607" i="7" s="1"/>
  <c r="K615" i="7"/>
  <c r="Z615" i="7" s="1"/>
  <c r="K623" i="7"/>
  <c r="Z623" i="7" s="1"/>
  <c r="K631" i="7"/>
  <c r="Z631" i="7" s="1"/>
  <c r="K639" i="7"/>
  <c r="Z639" i="7" s="1"/>
  <c r="K598" i="7"/>
  <c r="Z598" i="7" s="1"/>
  <c r="K606" i="7"/>
  <c r="Z606" i="7" s="1"/>
  <c r="K614" i="7"/>
  <c r="Z614" i="7" s="1"/>
  <c r="K622" i="7"/>
  <c r="Z622" i="7" s="1"/>
  <c r="K630" i="7"/>
  <c r="Z630" i="7" s="1"/>
  <c r="K638" i="7"/>
  <c r="Z638" i="7" s="1"/>
  <c r="K595" i="7"/>
  <c r="Z595" i="7" s="1"/>
  <c r="K604" i="7"/>
  <c r="Z604" i="7" s="1"/>
  <c r="K616" i="7"/>
  <c r="Z616" i="7" s="1"/>
  <c r="K626" i="7"/>
  <c r="Z626" i="7" s="1"/>
  <c r="K636" i="7"/>
  <c r="Z636" i="7" s="1"/>
  <c r="K603" i="7"/>
  <c r="Z603" i="7" s="1"/>
  <c r="K613" i="7"/>
  <c r="Z613" i="7" s="1"/>
  <c r="K625" i="7"/>
  <c r="Z625" i="7" s="1"/>
  <c r="K635" i="7"/>
  <c r="Z635" i="7" s="1"/>
  <c r="K645" i="7"/>
  <c r="Z645" i="7" s="1"/>
  <c r="K602" i="7"/>
  <c r="Z602" i="7" s="1"/>
  <c r="K618" i="7"/>
  <c r="Z618" i="7" s="1"/>
  <c r="K632" i="7"/>
  <c r="Z632" i="7" s="1"/>
  <c r="K644" i="7"/>
  <c r="Z644" i="7" s="1"/>
  <c r="K605" i="7"/>
  <c r="Z605" i="7" s="1"/>
  <c r="K619" i="7"/>
  <c r="Z619" i="7" s="1"/>
  <c r="K633" i="7"/>
  <c r="Z633" i="7" s="1"/>
  <c r="K608" i="7"/>
  <c r="Z608" i="7" s="1"/>
  <c r="K620" i="7"/>
  <c r="Z620" i="7" s="1"/>
  <c r="K634" i="7"/>
  <c r="Z634" i="7" s="1"/>
  <c r="K609" i="7"/>
  <c r="Z609" i="7" s="1"/>
  <c r="K621" i="7"/>
  <c r="Z621" i="7" s="1"/>
  <c r="K637" i="7"/>
  <c r="Z637" i="7" s="1"/>
  <c r="K596" i="7"/>
  <c r="Z596" i="7" s="1"/>
  <c r="K610" i="7"/>
  <c r="Z610" i="7" s="1"/>
  <c r="K624" i="7"/>
  <c r="Z624" i="7" s="1"/>
  <c r="K640" i="7"/>
  <c r="Z640" i="7" s="1"/>
  <c r="K597" i="7"/>
  <c r="Z597" i="7" s="1"/>
  <c r="K611" i="7"/>
  <c r="Z611" i="7" s="1"/>
  <c r="K627" i="7"/>
  <c r="Z627" i="7" s="1"/>
  <c r="K641" i="7"/>
  <c r="Z641" i="7" s="1"/>
  <c r="K600" i="7"/>
  <c r="Z600" i="7" s="1"/>
  <c r="K612" i="7"/>
  <c r="Z612" i="7" s="1"/>
  <c r="K628" i="7"/>
  <c r="Z628" i="7" s="1"/>
  <c r="K642" i="7"/>
  <c r="Z642" i="7" s="1"/>
  <c r="K601" i="7"/>
  <c r="Z601" i="7" s="1"/>
  <c r="K617" i="7"/>
  <c r="Z617" i="7" s="1"/>
  <c r="K629" i="7"/>
  <c r="Z629" i="7" s="1"/>
  <c r="K643" i="7"/>
  <c r="Z643" i="7" s="1"/>
  <c r="G549" i="7"/>
  <c r="V549" i="7" s="1"/>
  <c r="G557" i="7"/>
  <c r="V557" i="7" s="1"/>
  <c r="G565" i="7"/>
  <c r="V565" i="7" s="1"/>
  <c r="G573" i="7"/>
  <c r="V573" i="7" s="1"/>
  <c r="G581" i="7"/>
  <c r="V581" i="7" s="1"/>
  <c r="G589" i="7"/>
  <c r="V589" i="7" s="1"/>
  <c r="G548" i="7"/>
  <c r="V548" i="7" s="1"/>
  <c r="G556" i="7"/>
  <c r="V556" i="7" s="1"/>
  <c r="G564" i="7"/>
  <c r="V564" i="7" s="1"/>
  <c r="G572" i="7"/>
  <c r="V572" i="7" s="1"/>
  <c r="G580" i="7"/>
  <c r="V580" i="7" s="1"/>
  <c r="G588" i="7"/>
  <c r="V588" i="7" s="1"/>
  <c r="G554" i="7"/>
  <c r="V554" i="7" s="1"/>
  <c r="G566" i="7"/>
  <c r="V566" i="7" s="1"/>
  <c r="G576" i="7"/>
  <c r="V576" i="7" s="1"/>
  <c r="G586" i="7"/>
  <c r="V586" i="7" s="1"/>
  <c r="G553" i="7"/>
  <c r="V553" i="7" s="1"/>
  <c r="G563" i="7"/>
  <c r="V563" i="7" s="1"/>
  <c r="G575" i="7"/>
  <c r="V575" i="7" s="1"/>
  <c r="G585" i="7"/>
  <c r="V585" i="7" s="1"/>
  <c r="G544" i="7"/>
  <c r="V544" i="7" s="1"/>
  <c r="G552" i="7"/>
  <c r="V552" i="7" s="1"/>
  <c r="G568" i="7"/>
  <c r="V568" i="7" s="1"/>
  <c r="G582" i="7"/>
  <c r="V582" i="7" s="1"/>
  <c r="G594" i="7"/>
  <c r="V594" i="7" s="1"/>
  <c r="G555" i="7"/>
  <c r="V555" i="7" s="1"/>
  <c r="G569" i="7"/>
  <c r="V569" i="7" s="1"/>
  <c r="G583" i="7"/>
  <c r="V583" i="7" s="1"/>
  <c r="G558" i="7"/>
  <c r="V558" i="7" s="1"/>
  <c r="G570" i="7"/>
  <c r="V570" i="7" s="1"/>
  <c r="G584" i="7"/>
  <c r="V584" i="7" s="1"/>
  <c r="G545" i="7"/>
  <c r="V545" i="7" s="1"/>
  <c r="G559" i="7"/>
  <c r="V559" i="7" s="1"/>
  <c r="G571" i="7"/>
  <c r="V571" i="7" s="1"/>
  <c r="G587" i="7"/>
  <c r="V587" i="7" s="1"/>
  <c r="G546" i="7"/>
  <c r="V546" i="7" s="1"/>
  <c r="G560" i="7"/>
  <c r="V560" i="7" s="1"/>
  <c r="G574" i="7"/>
  <c r="V574" i="7" s="1"/>
  <c r="G590" i="7"/>
  <c r="V590" i="7" s="1"/>
  <c r="G547" i="7"/>
  <c r="V547" i="7" s="1"/>
  <c r="G561" i="7"/>
  <c r="V561" i="7" s="1"/>
  <c r="G577" i="7"/>
  <c r="V577" i="7" s="1"/>
  <c r="G591" i="7"/>
  <c r="V591" i="7" s="1"/>
  <c r="G550" i="7"/>
  <c r="V550" i="7" s="1"/>
  <c r="G562" i="7"/>
  <c r="V562" i="7" s="1"/>
  <c r="G578" i="7"/>
  <c r="V578" i="7" s="1"/>
  <c r="G592" i="7"/>
  <c r="V592" i="7" s="1"/>
  <c r="G551" i="7"/>
  <c r="V551" i="7" s="1"/>
  <c r="G567" i="7"/>
  <c r="V567" i="7" s="1"/>
  <c r="G579" i="7"/>
  <c r="V579" i="7" s="1"/>
  <c r="G593" i="7"/>
  <c r="V593" i="7" s="1"/>
  <c r="G498" i="7"/>
  <c r="V498" i="7" s="1"/>
  <c r="G506" i="7"/>
  <c r="V506" i="7" s="1"/>
  <c r="G514" i="7"/>
  <c r="V514" i="7" s="1"/>
  <c r="G522" i="7"/>
  <c r="V522" i="7" s="1"/>
  <c r="G530" i="7"/>
  <c r="V530" i="7" s="1"/>
  <c r="G538" i="7"/>
  <c r="V538" i="7" s="1"/>
  <c r="G497" i="7"/>
  <c r="V497" i="7" s="1"/>
  <c r="G505" i="7"/>
  <c r="V505" i="7" s="1"/>
  <c r="G513" i="7"/>
  <c r="V513" i="7" s="1"/>
  <c r="G521" i="7"/>
  <c r="V521" i="7" s="1"/>
  <c r="G529" i="7"/>
  <c r="V529" i="7" s="1"/>
  <c r="G537" i="7"/>
  <c r="V537" i="7" s="1"/>
  <c r="G494" i="7"/>
  <c r="V494" i="7" s="1"/>
  <c r="G504" i="7"/>
  <c r="V504" i="7" s="1"/>
  <c r="G516" i="7"/>
  <c r="V516" i="7" s="1"/>
  <c r="G526" i="7"/>
  <c r="V526" i="7" s="1"/>
  <c r="G536" i="7"/>
  <c r="V536" i="7" s="1"/>
  <c r="G539" i="7"/>
  <c r="V539" i="7" s="1"/>
  <c r="G495" i="7"/>
  <c r="V495" i="7" s="1"/>
  <c r="G507" i="7"/>
  <c r="V507" i="7" s="1"/>
  <c r="G527" i="7"/>
  <c r="V527" i="7" s="1"/>
  <c r="G496" i="7"/>
  <c r="V496" i="7" s="1"/>
  <c r="G508" i="7"/>
  <c r="V508" i="7" s="1"/>
  <c r="G518" i="7"/>
  <c r="V518" i="7" s="1"/>
  <c r="G528" i="7"/>
  <c r="V528" i="7" s="1"/>
  <c r="G540" i="7"/>
  <c r="V540" i="7" s="1"/>
  <c r="G499" i="7"/>
  <c r="V499" i="7" s="1"/>
  <c r="G509" i="7"/>
  <c r="V509" i="7" s="1"/>
  <c r="G519" i="7"/>
  <c r="V519" i="7" s="1"/>
  <c r="G531" i="7"/>
  <c r="V531" i="7" s="1"/>
  <c r="G541" i="7"/>
  <c r="V541" i="7" s="1"/>
  <c r="G500" i="7"/>
  <c r="V500" i="7" s="1"/>
  <c r="G510" i="7"/>
  <c r="V510" i="7" s="1"/>
  <c r="G520" i="7"/>
  <c r="V520" i="7" s="1"/>
  <c r="G532" i="7"/>
  <c r="V532" i="7" s="1"/>
  <c r="G542" i="7"/>
  <c r="V542" i="7" s="1"/>
  <c r="G501" i="7"/>
  <c r="V501" i="7" s="1"/>
  <c r="G511" i="7"/>
  <c r="V511" i="7" s="1"/>
  <c r="G523" i="7"/>
  <c r="V523" i="7" s="1"/>
  <c r="G533" i="7"/>
  <c r="V533" i="7" s="1"/>
  <c r="G543" i="7"/>
  <c r="V543" i="7" s="1"/>
  <c r="G502" i="7"/>
  <c r="V502" i="7" s="1"/>
  <c r="G512" i="7"/>
  <c r="V512" i="7" s="1"/>
  <c r="G524" i="7"/>
  <c r="V524" i="7" s="1"/>
  <c r="G534" i="7"/>
  <c r="V534" i="7" s="1"/>
  <c r="G493" i="7"/>
  <c r="V493" i="7" s="1"/>
  <c r="G503" i="7"/>
  <c r="V503" i="7" s="1"/>
  <c r="G515" i="7"/>
  <c r="V515" i="7" s="1"/>
  <c r="G525" i="7"/>
  <c r="V525" i="7" s="1"/>
  <c r="G535" i="7"/>
  <c r="V535" i="7" s="1"/>
  <c r="G517" i="7"/>
  <c r="V517" i="7" s="1"/>
  <c r="L806" i="7"/>
  <c r="AA806" i="7" s="1"/>
  <c r="L814" i="7"/>
  <c r="AA814" i="7" s="1"/>
  <c r="L822" i="7"/>
  <c r="AA822" i="7" s="1"/>
  <c r="L830" i="7"/>
  <c r="AA830" i="7" s="1"/>
  <c r="L838" i="7"/>
  <c r="AA838" i="7" s="1"/>
  <c r="L846" i="7"/>
  <c r="AA846" i="7" s="1"/>
  <c r="L805" i="7"/>
  <c r="AA805" i="7" s="1"/>
  <c r="L813" i="7"/>
  <c r="AA813" i="7" s="1"/>
  <c r="L821" i="7"/>
  <c r="AA821" i="7" s="1"/>
  <c r="L829" i="7"/>
  <c r="AA829" i="7" s="1"/>
  <c r="L837" i="7"/>
  <c r="AA837" i="7" s="1"/>
  <c r="L845" i="7"/>
  <c r="AA845" i="7" s="1"/>
  <c r="L808" i="7"/>
  <c r="AA808" i="7" s="1"/>
  <c r="L818" i="7"/>
  <c r="AA818" i="7" s="1"/>
  <c r="L828" i="7"/>
  <c r="AA828" i="7" s="1"/>
  <c r="L840" i="7"/>
  <c r="AA840" i="7" s="1"/>
  <c r="L799" i="7"/>
  <c r="AA799" i="7" s="1"/>
  <c r="L809" i="7"/>
  <c r="AA809" i="7" s="1"/>
  <c r="L819" i="7"/>
  <c r="AA819" i="7" s="1"/>
  <c r="L831" i="7"/>
  <c r="AA831" i="7" s="1"/>
  <c r="L841" i="7"/>
  <c r="AA841" i="7" s="1"/>
  <c r="L800" i="7"/>
  <c r="AA800" i="7" s="1"/>
  <c r="L810" i="7"/>
  <c r="AA810" i="7" s="1"/>
  <c r="L820" i="7"/>
  <c r="AA820" i="7" s="1"/>
  <c r="L832" i="7"/>
  <c r="AA832" i="7" s="1"/>
  <c r="L842" i="7"/>
  <c r="AA842" i="7" s="1"/>
  <c r="L801" i="7"/>
  <c r="AA801" i="7" s="1"/>
  <c r="L811" i="7"/>
  <c r="AA811" i="7" s="1"/>
  <c r="L823" i="7"/>
  <c r="AA823" i="7" s="1"/>
  <c r="L833" i="7"/>
  <c r="AA833" i="7" s="1"/>
  <c r="L843" i="7"/>
  <c r="AA843" i="7" s="1"/>
  <c r="L802" i="7"/>
  <c r="AA802" i="7" s="1"/>
  <c r="L812" i="7"/>
  <c r="AA812" i="7" s="1"/>
  <c r="L824" i="7"/>
  <c r="AA824" i="7" s="1"/>
  <c r="L834" i="7"/>
  <c r="AA834" i="7" s="1"/>
  <c r="L844" i="7"/>
  <c r="AA844" i="7" s="1"/>
  <c r="L803" i="7"/>
  <c r="AA803" i="7" s="1"/>
  <c r="L815" i="7"/>
  <c r="AA815" i="7" s="1"/>
  <c r="L825" i="7"/>
  <c r="AA825" i="7" s="1"/>
  <c r="L835" i="7"/>
  <c r="AA835" i="7" s="1"/>
  <c r="L847" i="7"/>
  <c r="AA847" i="7" s="1"/>
  <c r="L804" i="7"/>
  <c r="AA804" i="7" s="1"/>
  <c r="L816" i="7"/>
  <c r="AA816" i="7" s="1"/>
  <c r="L826" i="7"/>
  <c r="AA826" i="7" s="1"/>
  <c r="L836" i="7"/>
  <c r="AA836" i="7" s="1"/>
  <c r="L848" i="7"/>
  <c r="AA848" i="7" s="1"/>
  <c r="L807" i="7"/>
  <c r="AA807" i="7" s="1"/>
  <c r="L817" i="7"/>
  <c r="AA817" i="7" s="1"/>
  <c r="L827" i="7"/>
  <c r="AA827" i="7" s="1"/>
  <c r="L839" i="7"/>
  <c r="AA839" i="7" s="1"/>
  <c r="L849" i="7"/>
  <c r="AA849" i="7" s="1"/>
  <c r="L602" i="7"/>
  <c r="AA602" i="7" s="1"/>
  <c r="L610" i="7"/>
  <c r="AA610" i="7" s="1"/>
  <c r="L618" i="7"/>
  <c r="AA618" i="7" s="1"/>
  <c r="L626" i="7"/>
  <c r="AA626" i="7" s="1"/>
  <c r="L634" i="7"/>
  <c r="AA634" i="7" s="1"/>
  <c r="L642" i="7"/>
  <c r="AA642" i="7" s="1"/>
  <c r="L601" i="7"/>
  <c r="AA601" i="7" s="1"/>
  <c r="L609" i="7"/>
  <c r="AA609" i="7" s="1"/>
  <c r="L617" i="7"/>
  <c r="AA617" i="7" s="1"/>
  <c r="L625" i="7"/>
  <c r="AA625" i="7" s="1"/>
  <c r="L633" i="7"/>
  <c r="AA633" i="7" s="1"/>
  <c r="L641" i="7"/>
  <c r="AA641" i="7" s="1"/>
  <c r="L603" i="7"/>
  <c r="AA603" i="7" s="1"/>
  <c r="L613" i="7"/>
  <c r="AA613" i="7" s="1"/>
  <c r="L623" i="7"/>
  <c r="AA623" i="7" s="1"/>
  <c r="L635" i="7"/>
  <c r="AA635" i="7" s="1"/>
  <c r="L645" i="7"/>
  <c r="AA645" i="7" s="1"/>
  <c r="L600" i="7"/>
  <c r="AA600" i="7" s="1"/>
  <c r="L612" i="7"/>
  <c r="AA612" i="7" s="1"/>
  <c r="L622" i="7"/>
  <c r="AA622" i="7" s="1"/>
  <c r="L632" i="7"/>
  <c r="AA632" i="7" s="1"/>
  <c r="L644" i="7"/>
  <c r="AA644" i="7" s="1"/>
  <c r="L597" i="7"/>
  <c r="AA597" i="7" s="1"/>
  <c r="L611" i="7"/>
  <c r="AA611" i="7" s="1"/>
  <c r="L627" i="7"/>
  <c r="AA627" i="7" s="1"/>
  <c r="L639" i="7"/>
  <c r="AA639" i="7" s="1"/>
  <c r="L598" i="7"/>
  <c r="AA598" i="7" s="1"/>
  <c r="L614" i="7"/>
  <c r="AA614" i="7" s="1"/>
  <c r="L628" i="7"/>
  <c r="AA628" i="7" s="1"/>
  <c r="L640" i="7"/>
  <c r="AA640" i="7" s="1"/>
  <c r="L599" i="7"/>
  <c r="AA599" i="7" s="1"/>
  <c r="L615" i="7"/>
  <c r="AA615" i="7" s="1"/>
  <c r="L629" i="7"/>
  <c r="AA629" i="7" s="1"/>
  <c r="L643" i="7"/>
  <c r="AA643" i="7" s="1"/>
  <c r="L604" i="7"/>
  <c r="AA604" i="7" s="1"/>
  <c r="L616" i="7"/>
  <c r="AA616" i="7" s="1"/>
  <c r="L630" i="7"/>
  <c r="AA630" i="7" s="1"/>
  <c r="L595" i="7"/>
  <c r="AA595" i="7" s="1"/>
  <c r="L605" i="7"/>
  <c r="AA605" i="7" s="1"/>
  <c r="L619" i="7"/>
  <c r="AA619" i="7" s="1"/>
  <c r="L631" i="7"/>
  <c r="AA631" i="7" s="1"/>
  <c r="L606" i="7"/>
  <c r="AA606" i="7" s="1"/>
  <c r="L620" i="7"/>
  <c r="AA620" i="7" s="1"/>
  <c r="L636" i="7"/>
  <c r="AA636" i="7" s="1"/>
  <c r="L607" i="7"/>
  <c r="AA607" i="7" s="1"/>
  <c r="L621" i="7"/>
  <c r="AA621" i="7" s="1"/>
  <c r="L637" i="7"/>
  <c r="AA637" i="7" s="1"/>
  <c r="L596" i="7"/>
  <c r="AA596" i="7" s="1"/>
  <c r="L608" i="7"/>
  <c r="AA608" i="7" s="1"/>
  <c r="L624" i="7"/>
  <c r="AA624" i="7" s="1"/>
  <c r="L638" i="7"/>
  <c r="AA638" i="7" s="1"/>
  <c r="H552" i="7"/>
  <c r="W552" i="7" s="1"/>
  <c r="H560" i="7"/>
  <c r="W560" i="7" s="1"/>
  <c r="H568" i="7"/>
  <c r="W568" i="7" s="1"/>
  <c r="H576" i="7"/>
  <c r="W576" i="7" s="1"/>
  <c r="H584" i="7"/>
  <c r="W584" i="7" s="1"/>
  <c r="H592" i="7"/>
  <c r="W592" i="7" s="1"/>
  <c r="H551" i="7"/>
  <c r="W551" i="7" s="1"/>
  <c r="H559" i="7"/>
  <c r="W559" i="7" s="1"/>
  <c r="H567" i="7"/>
  <c r="W567" i="7" s="1"/>
  <c r="H575" i="7"/>
  <c r="W575" i="7" s="1"/>
  <c r="H583" i="7"/>
  <c r="W583" i="7" s="1"/>
  <c r="H591" i="7"/>
  <c r="W591" i="7" s="1"/>
  <c r="H553" i="7"/>
  <c r="W553" i="7" s="1"/>
  <c r="H563" i="7"/>
  <c r="W563" i="7" s="1"/>
  <c r="H573" i="7"/>
  <c r="W573" i="7" s="1"/>
  <c r="H585" i="7"/>
  <c r="W585" i="7" s="1"/>
  <c r="H544" i="7"/>
  <c r="W544" i="7" s="1"/>
  <c r="H550" i="7"/>
  <c r="W550" i="7" s="1"/>
  <c r="H562" i="7"/>
  <c r="W562" i="7" s="1"/>
  <c r="H572" i="7"/>
  <c r="W572" i="7" s="1"/>
  <c r="H582" i="7"/>
  <c r="W582" i="7" s="1"/>
  <c r="H594" i="7"/>
  <c r="W594" i="7" s="1"/>
  <c r="H547" i="7"/>
  <c r="W547" i="7" s="1"/>
  <c r="H561" i="7"/>
  <c r="W561" i="7" s="1"/>
  <c r="H577" i="7"/>
  <c r="W577" i="7" s="1"/>
  <c r="H589" i="7"/>
  <c r="W589" i="7" s="1"/>
  <c r="H548" i="7"/>
  <c r="W548" i="7" s="1"/>
  <c r="H564" i="7"/>
  <c r="W564" i="7" s="1"/>
  <c r="H578" i="7"/>
  <c r="W578" i="7" s="1"/>
  <c r="H590" i="7"/>
  <c r="W590" i="7" s="1"/>
  <c r="H549" i="7"/>
  <c r="W549" i="7" s="1"/>
  <c r="H565" i="7"/>
  <c r="W565" i="7" s="1"/>
  <c r="H579" i="7"/>
  <c r="W579" i="7" s="1"/>
  <c r="H593" i="7"/>
  <c r="W593" i="7" s="1"/>
  <c r="H554" i="7"/>
  <c r="W554" i="7" s="1"/>
  <c r="H566" i="7"/>
  <c r="W566" i="7" s="1"/>
  <c r="H580" i="7"/>
  <c r="W580" i="7" s="1"/>
  <c r="H555" i="7"/>
  <c r="W555" i="7" s="1"/>
  <c r="H569" i="7"/>
  <c r="W569" i="7" s="1"/>
  <c r="H581" i="7"/>
  <c r="W581" i="7" s="1"/>
  <c r="H556" i="7"/>
  <c r="W556" i="7" s="1"/>
  <c r="H570" i="7"/>
  <c r="W570" i="7" s="1"/>
  <c r="H586" i="7"/>
  <c r="W586" i="7" s="1"/>
  <c r="H545" i="7"/>
  <c r="W545" i="7" s="1"/>
  <c r="H557" i="7"/>
  <c r="W557" i="7" s="1"/>
  <c r="H571" i="7"/>
  <c r="W571" i="7" s="1"/>
  <c r="H587" i="7"/>
  <c r="W587" i="7" s="1"/>
  <c r="H546" i="7"/>
  <c r="W546" i="7" s="1"/>
  <c r="H558" i="7"/>
  <c r="W558" i="7" s="1"/>
  <c r="H574" i="7"/>
  <c r="W574" i="7" s="1"/>
  <c r="H588" i="7"/>
  <c r="W588" i="7" s="1"/>
  <c r="H501" i="7"/>
  <c r="W501" i="7" s="1"/>
  <c r="H509" i="7"/>
  <c r="W509" i="7" s="1"/>
  <c r="H517" i="7"/>
  <c r="W517" i="7" s="1"/>
  <c r="H525" i="7"/>
  <c r="W525" i="7" s="1"/>
  <c r="H533" i="7"/>
  <c r="W533" i="7" s="1"/>
  <c r="H541" i="7"/>
  <c r="W541" i="7" s="1"/>
  <c r="H500" i="7"/>
  <c r="W500" i="7" s="1"/>
  <c r="H508" i="7"/>
  <c r="W508" i="7" s="1"/>
  <c r="H516" i="7"/>
  <c r="W516" i="7" s="1"/>
  <c r="H524" i="7"/>
  <c r="W524" i="7" s="1"/>
  <c r="H532" i="7"/>
  <c r="W532" i="7" s="1"/>
  <c r="H540" i="7"/>
  <c r="W540" i="7" s="1"/>
  <c r="H503" i="7"/>
  <c r="W503" i="7" s="1"/>
  <c r="H513" i="7"/>
  <c r="W513" i="7" s="1"/>
  <c r="H523" i="7"/>
  <c r="W523" i="7" s="1"/>
  <c r="H535" i="7"/>
  <c r="W535" i="7" s="1"/>
  <c r="H526" i="7"/>
  <c r="W526" i="7" s="1"/>
  <c r="H494" i="7"/>
  <c r="W494" i="7" s="1"/>
  <c r="H504" i="7"/>
  <c r="W504" i="7" s="1"/>
  <c r="H536" i="7"/>
  <c r="W536" i="7" s="1"/>
  <c r="H495" i="7"/>
  <c r="W495" i="7" s="1"/>
  <c r="H505" i="7"/>
  <c r="W505" i="7" s="1"/>
  <c r="H515" i="7"/>
  <c r="W515" i="7" s="1"/>
  <c r="H527" i="7"/>
  <c r="W527" i="7" s="1"/>
  <c r="H537" i="7"/>
  <c r="W537" i="7" s="1"/>
  <c r="H496" i="7"/>
  <c r="W496" i="7" s="1"/>
  <c r="H506" i="7"/>
  <c r="W506" i="7" s="1"/>
  <c r="H518" i="7"/>
  <c r="W518" i="7" s="1"/>
  <c r="H528" i="7"/>
  <c r="W528" i="7" s="1"/>
  <c r="H538" i="7"/>
  <c r="W538" i="7" s="1"/>
  <c r="H497" i="7"/>
  <c r="W497" i="7" s="1"/>
  <c r="H507" i="7"/>
  <c r="W507" i="7" s="1"/>
  <c r="H519" i="7"/>
  <c r="W519" i="7" s="1"/>
  <c r="H529" i="7"/>
  <c r="W529" i="7" s="1"/>
  <c r="H539" i="7"/>
  <c r="W539" i="7" s="1"/>
  <c r="H498" i="7"/>
  <c r="W498" i="7" s="1"/>
  <c r="H510" i="7"/>
  <c r="W510" i="7" s="1"/>
  <c r="H520" i="7"/>
  <c r="W520" i="7" s="1"/>
  <c r="H530" i="7"/>
  <c r="W530" i="7" s="1"/>
  <c r="H542" i="7"/>
  <c r="W542" i="7" s="1"/>
  <c r="H499" i="7"/>
  <c r="W499" i="7" s="1"/>
  <c r="H511" i="7"/>
  <c r="W511" i="7" s="1"/>
  <c r="H521" i="7"/>
  <c r="W521" i="7" s="1"/>
  <c r="H531" i="7"/>
  <c r="W531" i="7" s="1"/>
  <c r="H543" i="7"/>
  <c r="W543" i="7" s="1"/>
  <c r="H502" i="7"/>
  <c r="W502" i="7" s="1"/>
  <c r="H512" i="7"/>
  <c r="W512" i="7" s="1"/>
  <c r="H522" i="7"/>
  <c r="W522" i="7" s="1"/>
  <c r="H534" i="7"/>
  <c r="W534" i="7" s="1"/>
  <c r="H493" i="7"/>
  <c r="W493" i="7" s="1"/>
  <c r="H514" i="7"/>
  <c r="W514" i="7" s="1"/>
  <c r="D804" i="7"/>
  <c r="D812" i="7"/>
  <c r="D820" i="7"/>
  <c r="D828" i="7"/>
  <c r="D836" i="7"/>
  <c r="D844" i="7"/>
  <c r="D803" i="7"/>
  <c r="D811" i="7"/>
  <c r="D819" i="7"/>
  <c r="D827" i="7"/>
  <c r="D835" i="7"/>
  <c r="D843" i="7"/>
  <c r="D807" i="7"/>
  <c r="D817" i="7"/>
  <c r="D829" i="7"/>
  <c r="D839" i="7"/>
  <c r="D849" i="7"/>
  <c r="D808" i="7"/>
  <c r="D818" i="7"/>
  <c r="D830" i="7"/>
  <c r="D840" i="7"/>
  <c r="D799" i="7"/>
  <c r="D809" i="7"/>
  <c r="D821" i="7"/>
  <c r="D831" i="7"/>
  <c r="D841" i="7"/>
  <c r="D800" i="7"/>
  <c r="D810" i="7"/>
  <c r="D822" i="7"/>
  <c r="D832" i="7"/>
  <c r="D842" i="7"/>
  <c r="D801" i="7"/>
  <c r="D813" i="7"/>
  <c r="D823" i="7"/>
  <c r="D833" i="7"/>
  <c r="D845" i="7"/>
  <c r="D802" i="7"/>
  <c r="D814" i="7"/>
  <c r="D824" i="7"/>
  <c r="D834" i="7"/>
  <c r="D846" i="7"/>
  <c r="D805" i="7"/>
  <c r="D815" i="7"/>
  <c r="D825" i="7"/>
  <c r="D837" i="7"/>
  <c r="D847" i="7"/>
  <c r="D806" i="7"/>
  <c r="D816" i="7"/>
  <c r="D826" i="7"/>
  <c r="D838" i="7"/>
  <c r="D848" i="7"/>
  <c r="D596" i="7"/>
  <c r="D604" i="7"/>
  <c r="D612" i="7"/>
  <c r="D620" i="7"/>
  <c r="D628" i="7"/>
  <c r="D636" i="7"/>
  <c r="D644" i="7"/>
  <c r="D603" i="7"/>
  <c r="D611" i="7"/>
  <c r="D619" i="7"/>
  <c r="D627" i="7"/>
  <c r="D635" i="7"/>
  <c r="D643" i="7"/>
  <c r="D599" i="7"/>
  <c r="D609" i="7"/>
  <c r="D621" i="7"/>
  <c r="D631" i="7"/>
  <c r="D641" i="7"/>
  <c r="D602" i="7"/>
  <c r="D605" i="7"/>
  <c r="D598" i="7"/>
  <c r="D608" i="7"/>
  <c r="D618" i="7"/>
  <c r="D630" i="7"/>
  <c r="D640" i="7"/>
  <c r="D601" i="7"/>
  <c r="D617" i="7"/>
  <c r="D633" i="7"/>
  <c r="D606" i="7"/>
  <c r="D622" i="7"/>
  <c r="D634" i="7"/>
  <c r="D607" i="7"/>
  <c r="D623" i="7"/>
  <c r="D637" i="7"/>
  <c r="D610" i="7"/>
  <c r="D624" i="7"/>
  <c r="D638" i="7"/>
  <c r="D613" i="7"/>
  <c r="D625" i="7"/>
  <c r="D639" i="7"/>
  <c r="D614" i="7"/>
  <c r="D626" i="7"/>
  <c r="D642" i="7"/>
  <c r="D597" i="7"/>
  <c r="D615" i="7"/>
  <c r="D629" i="7"/>
  <c r="D645" i="7"/>
  <c r="D600" i="7"/>
  <c r="D616" i="7"/>
  <c r="D632" i="7"/>
  <c r="D595" i="7"/>
  <c r="J547" i="7"/>
  <c r="Y547" i="7" s="1"/>
  <c r="J555" i="7"/>
  <c r="Y555" i="7" s="1"/>
  <c r="J563" i="7"/>
  <c r="Y563" i="7" s="1"/>
  <c r="J571" i="7"/>
  <c r="Y571" i="7" s="1"/>
  <c r="J579" i="7"/>
  <c r="Y579" i="7" s="1"/>
  <c r="J587" i="7"/>
  <c r="Y587" i="7" s="1"/>
  <c r="J544" i="7"/>
  <c r="Y544" i="7" s="1"/>
  <c r="J546" i="7"/>
  <c r="Y546" i="7" s="1"/>
  <c r="J554" i="7"/>
  <c r="Y554" i="7" s="1"/>
  <c r="J562" i="7"/>
  <c r="Y562" i="7" s="1"/>
  <c r="J570" i="7"/>
  <c r="Y570" i="7" s="1"/>
  <c r="J578" i="7"/>
  <c r="Y578" i="7" s="1"/>
  <c r="J586" i="7"/>
  <c r="Y586" i="7" s="1"/>
  <c r="J594" i="7"/>
  <c r="Y594" i="7" s="1"/>
  <c r="J550" i="7"/>
  <c r="Y550" i="7" s="1"/>
  <c r="J560" i="7"/>
  <c r="Y560" i="7" s="1"/>
  <c r="J572" i="7"/>
  <c r="Y572" i="7" s="1"/>
  <c r="J582" i="7"/>
  <c r="Y582" i="7" s="1"/>
  <c r="J592" i="7"/>
  <c r="Y592" i="7" s="1"/>
  <c r="J549" i="7"/>
  <c r="Y549" i="7" s="1"/>
  <c r="J559" i="7"/>
  <c r="Y559" i="7" s="1"/>
  <c r="J569" i="7"/>
  <c r="Y569" i="7" s="1"/>
  <c r="J581" i="7"/>
  <c r="Y581" i="7" s="1"/>
  <c r="J591" i="7"/>
  <c r="Y591" i="7" s="1"/>
  <c r="J556" i="7"/>
  <c r="Y556" i="7" s="1"/>
  <c r="J568" i="7"/>
  <c r="Y568" i="7" s="1"/>
  <c r="J584" i="7"/>
  <c r="Y584" i="7" s="1"/>
  <c r="J557" i="7"/>
  <c r="Y557" i="7" s="1"/>
  <c r="J573" i="7"/>
  <c r="Y573" i="7" s="1"/>
  <c r="J585" i="7"/>
  <c r="Y585" i="7" s="1"/>
  <c r="J558" i="7"/>
  <c r="Y558" i="7" s="1"/>
  <c r="J574" i="7"/>
  <c r="Y574" i="7" s="1"/>
  <c r="J588" i="7"/>
  <c r="Y588" i="7" s="1"/>
  <c r="J545" i="7"/>
  <c r="Y545" i="7" s="1"/>
  <c r="J561" i="7"/>
  <c r="Y561" i="7" s="1"/>
  <c r="J575" i="7"/>
  <c r="Y575" i="7" s="1"/>
  <c r="J589" i="7"/>
  <c r="Y589" i="7" s="1"/>
  <c r="J548" i="7"/>
  <c r="Y548" i="7" s="1"/>
  <c r="J564" i="7"/>
  <c r="Y564" i="7" s="1"/>
  <c r="J576" i="7"/>
  <c r="Y576" i="7" s="1"/>
  <c r="J590" i="7"/>
  <c r="Y590" i="7" s="1"/>
  <c r="J551" i="7"/>
  <c r="Y551" i="7" s="1"/>
  <c r="J565" i="7"/>
  <c r="Y565" i="7" s="1"/>
  <c r="J577" i="7"/>
  <c r="Y577" i="7" s="1"/>
  <c r="J593" i="7"/>
  <c r="Y593" i="7" s="1"/>
  <c r="J552" i="7"/>
  <c r="Y552" i="7" s="1"/>
  <c r="J566" i="7"/>
  <c r="Y566" i="7" s="1"/>
  <c r="J580" i="7"/>
  <c r="Y580" i="7" s="1"/>
  <c r="J553" i="7"/>
  <c r="Y553" i="7" s="1"/>
  <c r="J567" i="7"/>
  <c r="Y567" i="7" s="1"/>
  <c r="J583" i="7"/>
  <c r="Y583" i="7" s="1"/>
  <c r="J750" i="7"/>
  <c r="Y750" i="7" s="1"/>
  <c r="J758" i="7"/>
  <c r="Y758" i="7" s="1"/>
  <c r="J766" i="7"/>
  <c r="Y766" i="7" s="1"/>
  <c r="J774" i="7"/>
  <c r="Y774" i="7" s="1"/>
  <c r="J782" i="7"/>
  <c r="Y782" i="7" s="1"/>
  <c r="J790" i="7"/>
  <c r="Y790" i="7" s="1"/>
  <c r="J798" i="7"/>
  <c r="Y798" i="7" s="1"/>
  <c r="J749" i="7"/>
  <c r="Y749" i="7" s="1"/>
  <c r="J757" i="7"/>
  <c r="Y757" i="7" s="1"/>
  <c r="J765" i="7"/>
  <c r="Y765" i="7" s="1"/>
  <c r="J773" i="7"/>
  <c r="Y773" i="7" s="1"/>
  <c r="J781" i="7"/>
  <c r="Y781" i="7" s="1"/>
  <c r="J789" i="7"/>
  <c r="Y789" i="7" s="1"/>
  <c r="J797" i="7"/>
  <c r="Y797" i="7" s="1"/>
  <c r="J754" i="7"/>
  <c r="Y754" i="7" s="1"/>
  <c r="J764" i="7"/>
  <c r="Y764" i="7" s="1"/>
  <c r="J776" i="7"/>
  <c r="Y776" i="7" s="1"/>
  <c r="J786" i="7"/>
  <c r="Y786" i="7" s="1"/>
  <c r="J796" i="7"/>
  <c r="Y796" i="7" s="1"/>
  <c r="J755" i="7"/>
  <c r="Y755" i="7" s="1"/>
  <c r="J767" i="7"/>
  <c r="Y767" i="7" s="1"/>
  <c r="J777" i="7"/>
  <c r="Y777" i="7" s="1"/>
  <c r="J787" i="7"/>
  <c r="Y787" i="7" s="1"/>
  <c r="J748" i="7"/>
  <c r="Y748" i="7" s="1"/>
  <c r="J756" i="7"/>
  <c r="Y756" i="7" s="1"/>
  <c r="J768" i="7"/>
  <c r="Y768" i="7" s="1"/>
  <c r="J778" i="7"/>
  <c r="Y778" i="7" s="1"/>
  <c r="J788" i="7"/>
  <c r="Y788" i="7" s="1"/>
  <c r="J759" i="7"/>
  <c r="Y759" i="7" s="1"/>
  <c r="J769" i="7"/>
  <c r="Y769" i="7" s="1"/>
  <c r="J779" i="7"/>
  <c r="Y779" i="7" s="1"/>
  <c r="J791" i="7"/>
  <c r="Y791" i="7" s="1"/>
  <c r="J760" i="7"/>
  <c r="Y760" i="7" s="1"/>
  <c r="J770" i="7"/>
  <c r="Y770" i="7" s="1"/>
  <c r="J780" i="7"/>
  <c r="Y780" i="7" s="1"/>
  <c r="J792" i="7"/>
  <c r="Y792" i="7" s="1"/>
  <c r="J751" i="7"/>
  <c r="Y751" i="7" s="1"/>
  <c r="J761" i="7"/>
  <c r="Y761" i="7" s="1"/>
  <c r="J771" i="7"/>
  <c r="Y771" i="7" s="1"/>
  <c r="J783" i="7"/>
  <c r="Y783" i="7" s="1"/>
  <c r="J793" i="7"/>
  <c r="Y793" i="7" s="1"/>
  <c r="J752" i="7"/>
  <c r="Y752" i="7" s="1"/>
  <c r="J762" i="7"/>
  <c r="Y762" i="7" s="1"/>
  <c r="J772" i="7"/>
  <c r="Y772" i="7" s="1"/>
  <c r="J784" i="7"/>
  <c r="Y784" i="7" s="1"/>
  <c r="J794" i="7"/>
  <c r="Y794" i="7" s="1"/>
  <c r="J753" i="7"/>
  <c r="Y753" i="7" s="1"/>
  <c r="J763" i="7"/>
  <c r="Y763" i="7" s="1"/>
  <c r="J775" i="7"/>
  <c r="Y775" i="7" s="1"/>
  <c r="J785" i="7"/>
  <c r="Y785" i="7" s="1"/>
  <c r="J795" i="7"/>
  <c r="Y795" i="7" s="1"/>
  <c r="J496" i="7"/>
  <c r="Y496" i="7" s="1"/>
  <c r="J504" i="7"/>
  <c r="Y504" i="7" s="1"/>
  <c r="J512" i="7"/>
  <c r="Y512" i="7" s="1"/>
  <c r="J520" i="7"/>
  <c r="Y520" i="7" s="1"/>
  <c r="J528" i="7"/>
  <c r="Y528" i="7" s="1"/>
  <c r="J536" i="7"/>
  <c r="Y536" i="7" s="1"/>
  <c r="J493" i="7"/>
  <c r="Y493" i="7" s="1"/>
  <c r="J495" i="7"/>
  <c r="Y495" i="7" s="1"/>
  <c r="J503" i="7"/>
  <c r="Y503" i="7" s="1"/>
  <c r="J511" i="7"/>
  <c r="Y511" i="7" s="1"/>
  <c r="J519" i="7"/>
  <c r="Y519" i="7" s="1"/>
  <c r="J527" i="7"/>
  <c r="Y527" i="7" s="1"/>
  <c r="J535" i="7"/>
  <c r="Y535" i="7" s="1"/>
  <c r="J543" i="7"/>
  <c r="Y543" i="7" s="1"/>
  <c r="J500" i="7"/>
  <c r="Y500" i="7" s="1"/>
  <c r="J510" i="7"/>
  <c r="Y510" i="7" s="1"/>
  <c r="J522" i="7"/>
  <c r="Y522" i="7" s="1"/>
  <c r="J532" i="7"/>
  <c r="Y532" i="7" s="1"/>
  <c r="J542" i="7"/>
  <c r="Y542" i="7" s="1"/>
  <c r="J501" i="7"/>
  <c r="Y501" i="7" s="1"/>
  <c r="J513" i="7"/>
  <c r="Y513" i="7" s="1"/>
  <c r="J523" i="7"/>
  <c r="Y523" i="7" s="1"/>
  <c r="J533" i="7"/>
  <c r="Y533" i="7" s="1"/>
  <c r="J502" i="7"/>
  <c r="Y502" i="7" s="1"/>
  <c r="J514" i="7"/>
  <c r="Y514" i="7" s="1"/>
  <c r="J524" i="7"/>
  <c r="Y524" i="7" s="1"/>
  <c r="J534" i="7"/>
  <c r="Y534" i="7" s="1"/>
  <c r="J505" i="7"/>
  <c r="Y505" i="7" s="1"/>
  <c r="J515" i="7"/>
  <c r="Y515" i="7" s="1"/>
  <c r="J525" i="7"/>
  <c r="Y525" i="7" s="1"/>
  <c r="J537" i="7"/>
  <c r="Y537" i="7" s="1"/>
  <c r="J494" i="7"/>
  <c r="Y494" i="7" s="1"/>
  <c r="J506" i="7"/>
  <c r="Y506" i="7" s="1"/>
  <c r="J516" i="7"/>
  <c r="Y516" i="7" s="1"/>
  <c r="J526" i="7"/>
  <c r="Y526" i="7" s="1"/>
  <c r="J538" i="7"/>
  <c r="Y538" i="7" s="1"/>
  <c r="J497" i="7"/>
  <c r="Y497" i="7" s="1"/>
  <c r="J507" i="7"/>
  <c r="Y507" i="7" s="1"/>
  <c r="J517" i="7"/>
  <c r="Y517" i="7" s="1"/>
  <c r="J529" i="7"/>
  <c r="Y529" i="7" s="1"/>
  <c r="J539" i="7"/>
  <c r="Y539" i="7" s="1"/>
  <c r="J498" i="7"/>
  <c r="Y498" i="7" s="1"/>
  <c r="J508" i="7"/>
  <c r="Y508" i="7" s="1"/>
  <c r="J518" i="7"/>
  <c r="Y518" i="7" s="1"/>
  <c r="J530" i="7"/>
  <c r="Y530" i="7" s="1"/>
  <c r="J540" i="7"/>
  <c r="Y540" i="7" s="1"/>
  <c r="J499" i="7"/>
  <c r="Y499" i="7" s="1"/>
  <c r="J509" i="7"/>
  <c r="Y509" i="7" s="1"/>
  <c r="J521" i="7"/>
  <c r="Y521" i="7" s="1"/>
  <c r="J531" i="7"/>
  <c r="Y531" i="7" s="1"/>
  <c r="J541" i="7"/>
  <c r="Y541" i="7" s="1"/>
  <c r="G806" i="7"/>
  <c r="V806" i="7" s="1"/>
  <c r="G814" i="7"/>
  <c r="V814" i="7" s="1"/>
  <c r="G822" i="7"/>
  <c r="V822" i="7" s="1"/>
  <c r="G830" i="7"/>
  <c r="V830" i="7" s="1"/>
  <c r="G838" i="7"/>
  <c r="V838" i="7" s="1"/>
  <c r="G846" i="7"/>
  <c r="V846" i="7" s="1"/>
  <c r="G805" i="7"/>
  <c r="V805" i="7" s="1"/>
  <c r="G813" i="7"/>
  <c r="V813" i="7" s="1"/>
  <c r="G821" i="7"/>
  <c r="V821" i="7" s="1"/>
  <c r="G829" i="7"/>
  <c r="V829" i="7" s="1"/>
  <c r="G837" i="7"/>
  <c r="V837" i="7" s="1"/>
  <c r="G845" i="7"/>
  <c r="V845" i="7" s="1"/>
  <c r="G803" i="7"/>
  <c r="V803" i="7" s="1"/>
  <c r="G815" i="7"/>
  <c r="V815" i="7" s="1"/>
  <c r="G825" i="7"/>
  <c r="V825" i="7" s="1"/>
  <c r="G835" i="7"/>
  <c r="V835" i="7" s="1"/>
  <c r="G847" i="7"/>
  <c r="V847" i="7" s="1"/>
  <c r="G804" i="7"/>
  <c r="V804" i="7" s="1"/>
  <c r="G816" i="7"/>
  <c r="V816" i="7" s="1"/>
  <c r="G826" i="7"/>
  <c r="V826" i="7" s="1"/>
  <c r="G836" i="7"/>
  <c r="V836" i="7" s="1"/>
  <c r="G848" i="7"/>
  <c r="V848" i="7" s="1"/>
  <c r="G807" i="7"/>
  <c r="V807" i="7" s="1"/>
  <c r="G817" i="7"/>
  <c r="V817" i="7" s="1"/>
  <c r="G827" i="7"/>
  <c r="V827" i="7" s="1"/>
  <c r="G839" i="7"/>
  <c r="V839" i="7" s="1"/>
  <c r="G849" i="7"/>
  <c r="V849" i="7" s="1"/>
  <c r="G808" i="7"/>
  <c r="V808" i="7" s="1"/>
  <c r="G818" i="7"/>
  <c r="V818" i="7" s="1"/>
  <c r="G828" i="7"/>
  <c r="V828" i="7" s="1"/>
  <c r="G840" i="7"/>
  <c r="V840" i="7" s="1"/>
  <c r="G799" i="7"/>
  <c r="V799" i="7" s="1"/>
  <c r="G809" i="7"/>
  <c r="V809" i="7" s="1"/>
  <c r="G819" i="7"/>
  <c r="V819" i="7" s="1"/>
  <c r="G831" i="7"/>
  <c r="V831" i="7" s="1"/>
  <c r="G841" i="7"/>
  <c r="V841" i="7" s="1"/>
  <c r="G800" i="7"/>
  <c r="V800" i="7" s="1"/>
  <c r="G810" i="7"/>
  <c r="V810" i="7" s="1"/>
  <c r="G820" i="7"/>
  <c r="V820" i="7" s="1"/>
  <c r="G832" i="7"/>
  <c r="V832" i="7" s="1"/>
  <c r="G842" i="7"/>
  <c r="V842" i="7" s="1"/>
  <c r="G801" i="7"/>
  <c r="V801" i="7" s="1"/>
  <c r="G811" i="7"/>
  <c r="V811" i="7" s="1"/>
  <c r="G823" i="7"/>
  <c r="V823" i="7" s="1"/>
  <c r="G833" i="7"/>
  <c r="V833" i="7" s="1"/>
  <c r="G843" i="7"/>
  <c r="V843" i="7" s="1"/>
  <c r="G802" i="7"/>
  <c r="V802" i="7" s="1"/>
  <c r="G812" i="7"/>
  <c r="V812" i="7" s="1"/>
  <c r="G824" i="7"/>
  <c r="V824" i="7" s="1"/>
  <c r="G834" i="7"/>
  <c r="V834" i="7" s="1"/>
  <c r="G844" i="7"/>
  <c r="V844" i="7" s="1"/>
  <c r="G600" i="7"/>
  <c r="V600" i="7" s="1"/>
  <c r="G608" i="7"/>
  <c r="V608" i="7" s="1"/>
  <c r="G616" i="7"/>
  <c r="V616" i="7" s="1"/>
  <c r="G624" i="7"/>
  <c r="V624" i="7" s="1"/>
  <c r="G632" i="7"/>
  <c r="V632" i="7" s="1"/>
  <c r="G640" i="7"/>
  <c r="V640" i="7" s="1"/>
  <c r="G599" i="7"/>
  <c r="V599" i="7" s="1"/>
  <c r="G607" i="7"/>
  <c r="V607" i="7" s="1"/>
  <c r="G615" i="7"/>
  <c r="V615" i="7" s="1"/>
  <c r="G623" i="7"/>
  <c r="V623" i="7" s="1"/>
  <c r="G631" i="7"/>
  <c r="V631" i="7" s="1"/>
  <c r="G639" i="7"/>
  <c r="V639" i="7" s="1"/>
  <c r="G597" i="7"/>
  <c r="V597" i="7" s="1"/>
  <c r="G609" i="7"/>
  <c r="V609" i="7" s="1"/>
  <c r="G619" i="7"/>
  <c r="V619" i="7" s="1"/>
  <c r="G629" i="7"/>
  <c r="V629" i="7" s="1"/>
  <c r="G641" i="7"/>
  <c r="V641" i="7" s="1"/>
  <c r="G596" i="7"/>
  <c r="V596" i="7" s="1"/>
  <c r="G606" i="7"/>
  <c r="V606" i="7" s="1"/>
  <c r="G618" i="7"/>
  <c r="V618" i="7" s="1"/>
  <c r="G628" i="7"/>
  <c r="V628" i="7" s="1"/>
  <c r="G638" i="7"/>
  <c r="V638" i="7" s="1"/>
  <c r="G601" i="7"/>
  <c r="V601" i="7" s="1"/>
  <c r="G613" i="7"/>
  <c r="V613" i="7" s="1"/>
  <c r="G627" i="7"/>
  <c r="V627" i="7" s="1"/>
  <c r="G643" i="7"/>
  <c r="V643" i="7" s="1"/>
  <c r="G602" i="7"/>
  <c r="V602" i="7" s="1"/>
  <c r="G614" i="7"/>
  <c r="V614" i="7" s="1"/>
  <c r="G630" i="7"/>
  <c r="V630" i="7" s="1"/>
  <c r="G644" i="7"/>
  <c r="V644" i="7" s="1"/>
  <c r="G603" i="7"/>
  <c r="V603" i="7" s="1"/>
  <c r="G617" i="7"/>
  <c r="V617" i="7" s="1"/>
  <c r="G633" i="7"/>
  <c r="V633" i="7" s="1"/>
  <c r="G645" i="7"/>
  <c r="V645" i="7" s="1"/>
  <c r="G604" i="7"/>
  <c r="V604" i="7" s="1"/>
  <c r="G620" i="7"/>
  <c r="V620" i="7" s="1"/>
  <c r="G634" i="7"/>
  <c r="V634" i="7" s="1"/>
  <c r="G595" i="7"/>
  <c r="V595" i="7" s="1"/>
  <c r="G605" i="7"/>
  <c r="V605" i="7" s="1"/>
  <c r="G621" i="7"/>
  <c r="V621" i="7" s="1"/>
  <c r="G635" i="7"/>
  <c r="V635" i="7" s="1"/>
  <c r="G610" i="7"/>
  <c r="V610" i="7" s="1"/>
  <c r="G622" i="7"/>
  <c r="V622" i="7" s="1"/>
  <c r="G636" i="7"/>
  <c r="V636" i="7" s="1"/>
  <c r="G611" i="7"/>
  <c r="V611" i="7" s="1"/>
  <c r="G625" i="7"/>
  <c r="V625" i="7" s="1"/>
  <c r="G637" i="7"/>
  <c r="V637" i="7" s="1"/>
  <c r="G598" i="7"/>
  <c r="V598" i="7" s="1"/>
  <c r="G612" i="7"/>
  <c r="V612" i="7" s="1"/>
  <c r="G626" i="7"/>
  <c r="V626" i="7" s="1"/>
  <c r="G642" i="7"/>
  <c r="V642" i="7" s="1"/>
  <c r="K756" i="7"/>
  <c r="Z756" i="7" s="1"/>
  <c r="K764" i="7"/>
  <c r="Z764" i="7" s="1"/>
  <c r="K772" i="7"/>
  <c r="Z772" i="7" s="1"/>
  <c r="K780" i="7"/>
  <c r="Z780" i="7" s="1"/>
  <c r="K788" i="7"/>
  <c r="Z788" i="7" s="1"/>
  <c r="K796" i="7"/>
  <c r="Z796" i="7" s="1"/>
  <c r="K755" i="7"/>
  <c r="Z755" i="7" s="1"/>
  <c r="K763" i="7"/>
  <c r="Z763" i="7" s="1"/>
  <c r="K771" i="7"/>
  <c r="Z771" i="7" s="1"/>
  <c r="K779" i="7"/>
  <c r="Z779" i="7" s="1"/>
  <c r="K787" i="7"/>
  <c r="Z787" i="7" s="1"/>
  <c r="K795" i="7"/>
  <c r="Z795" i="7" s="1"/>
  <c r="K750" i="7"/>
  <c r="Z750" i="7" s="1"/>
  <c r="K760" i="7"/>
  <c r="Z760" i="7" s="1"/>
  <c r="K770" i="7"/>
  <c r="Z770" i="7" s="1"/>
  <c r="K782" i="7"/>
  <c r="Z782" i="7" s="1"/>
  <c r="K792" i="7"/>
  <c r="Z792" i="7" s="1"/>
  <c r="K751" i="7"/>
  <c r="Z751" i="7" s="1"/>
  <c r="K761" i="7"/>
  <c r="Z761" i="7" s="1"/>
  <c r="K773" i="7"/>
  <c r="Z773" i="7" s="1"/>
  <c r="K783" i="7"/>
  <c r="Z783" i="7" s="1"/>
  <c r="K793" i="7"/>
  <c r="Z793" i="7" s="1"/>
  <c r="K752" i="7"/>
  <c r="Z752" i="7" s="1"/>
  <c r="K762" i="7"/>
  <c r="Z762" i="7" s="1"/>
  <c r="K774" i="7"/>
  <c r="Z774" i="7" s="1"/>
  <c r="K784" i="7"/>
  <c r="Z784" i="7" s="1"/>
  <c r="K794" i="7"/>
  <c r="Z794" i="7" s="1"/>
  <c r="K753" i="7"/>
  <c r="Z753" i="7" s="1"/>
  <c r="K765" i="7"/>
  <c r="Z765" i="7" s="1"/>
  <c r="K775" i="7"/>
  <c r="Z775" i="7" s="1"/>
  <c r="K785" i="7"/>
  <c r="Z785" i="7" s="1"/>
  <c r="K797" i="7"/>
  <c r="Z797" i="7" s="1"/>
  <c r="K754" i="7"/>
  <c r="Z754" i="7" s="1"/>
  <c r="K766" i="7"/>
  <c r="Z766" i="7" s="1"/>
  <c r="K776" i="7"/>
  <c r="Z776" i="7" s="1"/>
  <c r="K786" i="7"/>
  <c r="Z786" i="7" s="1"/>
  <c r="K798" i="7"/>
  <c r="Z798" i="7" s="1"/>
  <c r="K757" i="7"/>
  <c r="Z757" i="7" s="1"/>
  <c r="K767" i="7"/>
  <c r="Z767" i="7" s="1"/>
  <c r="K777" i="7"/>
  <c r="Z777" i="7" s="1"/>
  <c r="K789" i="7"/>
  <c r="Z789" i="7" s="1"/>
  <c r="K748" i="7"/>
  <c r="Z748" i="7" s="1"/>
  <c r="K758" i="7"/>
  <c r="Z758" i="7" s="1"/>
  <c r="K768" i="7"/>
  <c r="Z768" i="7" s="1"/>
  <c r="K778" i="7"/>
  <c r="Z778" i="7" s="1"/>
  <c r="K790" i="7"/>
  <c r="Z790" i="7" s="1"/>
  <c r="K749" i="7"/>
  <c r="Z749" i="7" s="1"/>
  <c r="K759" i="7"/>
  <c r="Z759" i="7" s="1"/>
  <c r="K769" i="7"/>
  <c r="Z769" i="7" s="1"/>
  <c r="K781" i="7"/>
  <c r="Z781" i="7" s="1"/>
  <c r="K791" i="7"/>
  <c r="Z791" i="7" s="1"/>
  <c r="H754" i="7"/>
  <c r="W754" i="7" s="1"/>
  <c r="H762" i="7"/>
  <c r="W762" i="7" s="1"/>
  <c r="H753" i="7"/>
  <c r="W753" i="7" s="1"/>
  <c r="H761" i="7"/>
  <c r="W761" i="7" s="1"/>
  <c r="H769" i="7"/>
  <c r="W769" i="7" s="1"/>
  <c r="H752" i="7"/>
  <c r="W752" i="7" s="1"/>
  <c r="H764" i="7"/>
  <c r="W764" i="7" s="1"/>
  <c r="H773" i="7"/>
  <c r="W773" i="7" s="1"/>
  <c r="H781" i="7"/>
  <c r="W781" i="7" s="1"/>
  <c r="H789" i="7"/>
  <c r="W789" i="7" s="1"/>
  <c r="H797" i="7"/>
  <c r="W797" i="7" s="1"/>
  <c r="H755" i="7"/>
  <c r="W755" i="7" s="1"/>
  <c r="H765" i="7"/>
  <c r="W765" i="7" s="1"/>
  <c r="H774" i="7"/>
  <c r="W774" i="7" s="1"/>
  <c r="H782" i="7"/>
  <c r="W782" i="7" s="1"/>
  <c r="H790" i="7"/>
  <c r="W790" i="7" s="1"/>
  <c r="H756" i="7"/>
  <c r="W756" i="7" s="1"/>
  <c r="H766" i="7"/>
  <c r="W766" i="7" s="1"/>
  <c r="H775" i="7"/>
  <c r="W775" i="7" s="1"/>
  <c r="H783" i="7"/>
  <c r="W783" i="7" s="1"/>
  <c r="H791" i="7"/>
  <c r="W791" i="7" s="1"/>
  <c r="H757" i="7"/>
  <c r="W757" i="7" s="1"/>
  <c r="H767" i="7"/>
  <c r="W767" i="7" s="1"/>
  <c r="H776" i="7"/>
  <c r="W776" i="7" s="1"/>
  <c r="H784" i="7"/>
  <c r="W784" i="7" s="1"/>
  <c r="H792" i="7"/>
  <c r="W792" i="7" s="1"/>
  <c r="H758" i="7"/>
  <c r="W758" i="7" s="1"/>
  <c r="H768" i="7"/>
  <c r="W768" i="7" s="1"/>
  <c r="H777" i="7"/>
  <c r="W777" i="7" s="1"/>
  <c r="H785" i="7"/>
  <c r="W785" i="7" s="1"/>
  <c r="H793" i="7"/>
  <c r="W793" i="7" s="1"/>
  <c r="H749" i="7"/>
  <c r="W749" i="7" s="1"/>
  <c r="H759" i="7"/>
  <c r="W759" i="7" s="1"/>
  <c r="H770" i="7"/>
  <c r="W770" i="7" s="1"/>
  <c r="H778" i="7"/>
  <c r="W778" i="7" s="1"/>
  <c r="H786" i="7"/>
  <c r="W786" i="7" s="1"/>
  <c r="H750" i="7"/>
  <c r="W750" i="7" s="1"/>
  <c r="H760" i="7"/>
  <c r="W760" i="7" s="1"/>
  <c r="H771" i="7"/>
  <c r="W771" i="7" s="1"/>
  <c r="H779" i="7"/>
  <c r="W779" i="7" s="1"/>
  <c r="H787" i="7"/>
  <c r="W787" i="7" s="1"/>
  <c r="H795" i="7"/>
  <c r="W795" i="7" s="1"/>
  <c r="H751" i="7"/>
  <c r="W751" i="7" s="1"/>
  <c r="H763" i="7"/>
  <c r="W763" i="7" s="1"/>
  <c r="H772" i="7"/>
  <c r="W772" i="7" s="1"/>
  <c r="H780" i="7"/>
  <c r="W780" i="7" s="1"/>
  <c r="H788" i="7"/>
  <c r="W788" i="7" s="1"/>
  <c r="H796" i="7"/>
  <c r="W796" i="7" s="1"/>
  <c r="H794" i="7"/>
  <c r="W794" i="7" s="1"/>
  <c r="H798" i="7"/>
  <c r="W798" i="7" s="1"/>
  <c r="H748" i="7"/>
  <c r="W748" i="7" s="1"/>
  <c r="L500" i="7"/>
  <c r="AA500" i="7" s="1"/>
  <c r="L508" i="7"/>
  <c r="AA508" i="7" s="1"/>
  <c r="L516" i="7"/>
  <c r="AA516" i="7" s="1"/>
  <c r="L524" i="7"/>
  <c r="AA524" i="7" s="1"/>
  <c r="L532" i="7"/>
  <c r="AA532" i="7" s="1"/>
  <c r="L540" i="7"/>
  <c r="AA540" i="7" s="1"/>
  <c r="L499" i="7"/>
  <c r="AA499" i="7" s="1"/>
  <c r="L507" i="7"/>
  <c r="AA507" i="7" s="1"/>
  <c r="L515" i="7"/>
  <c r="AA515" i="7" s="1"/>
  <c r="L523" i="7"/>
  <c r="AA523" i="7" s="1"/>
  <c r="L531" i="7"/>
  <c r="AA531" i="7" s="1"/>
  <c r="L539" i="7"/>
  <c r="AA539" i="7" s="1"/>
  <c r="L498" i="7"/>
  <c r="AA498" i="7" s="1"/>
  <c r="L510" i="7"/>
  <c r="AA510" i="7" s="1"/>
  <c r="L520" i="7"/>
  <c r="AA520" i="7" s="1"/>
  <c r="L530" i="7"/>
  <c r="AA530" i="7" s="1"/>
  <c r="L542" i="7"/>
  <c r="AA542" i="7" s="1"/>
  <c r="L501" i="7"/>
  <c r="AA501" i="7" s="1"/>
  <c r="L521" i="7"/>
  <c r="AA521" i="7" s="1"/>
  <c r="L533" i="7"/>
  <c r="AA533" i="7" s="1"/>
  <c r="L502" i="7"/>
  <c r="AA502" i="7" s="1"/>
  <c r="L512" i="7"/>
  <c r="AA512" i="7" s="1"/>
  <c r="L522" i="7"/>
  <c r="AA522" i="7" s="1"/>
  <c r="L534" i="7"/>
  <c r="AA534" i="7" s="1"/>
  <c r="L493" i="7"/>
  <c r="AA493" i="7" s="1"/>
  <c r="L503" i="7"/>
  <c r="AA503" i="7" s="1"/>
  <c r="L513" i="7"/>
  <c r="AA513" i="7" s="1"/>
  <c r="L525" i="7"/>
  <c r="AA525" i="7" s="1"/>
  <c r="L535" i="7"/>
  <c r="AA535" i="7" s="1"/>
  <c r="L494" i="7"/>
  <c r="AA494" i="7" s="1"/>
  <c r="L504" i="7"/>
  <c r="AA504" i="7" s="1"/>
  <c r="L514" i="7"/>
  <c r="AA514" i="7" s="1"/>
  <c r="L526" i="7"/>
  <c r="AA526" i="7" s="1"/>
  <c r="L536" i="7"/>
  <c r="AA536" i="7" s="1"/>
  <c r="L495" i="7"/>
  <c r="AA495" i="7" s="1"/>
  <c r="L505" i="7"/>
  <c r="AA505" i="7" s="1"/>
  <c r="L517" i="7"/>
  <c r="AA517" i="7" s="1"/>
  <c r="L527" i="7"/>
  <c r="AA527" i="7" s="1"/>
  <c r="L537" i="7"/>
  <c r="AA537" i="7" s="1"/>
  <c r="L496" i="7"/>
  <c r="AA496" i="7" s="1"/>
  <c r="L506" i="7"/>
  <c r="AA506" i="7" s="1"/>
  <c r="L518" i="7"/>
  <c r="AA518" i="7" s="1"/>
  <c r="L528" i="7"/>
  <c r="AA528" i="7" s="1"/>
  <c r="L538" i="7"/>
  <c r="AA538" i="7" s="1"/>
  <c r="L497" i="7"/>
  <c r="AA497" i="7" s="1"/>
  <c r="L509" i="7"/>
  <c r="AA509" i="7" s="1"/>
  <c r="L519" i="7"/>
  <c r="AA519" i="7" s="1"/>
  <c r="L529" i="7"/>
  <c r="AA529" i="7" s="1"/>
  <c r="L541" i="7"/>
  <c r="AA541" i="7" s="1"/>
  <c r="L511" i="7"/>
  <c r="AA511" i="7" s="1"/>
  <c r="L543" i="7"/>
  <c r="AA543" i="7" s="1"/>
  <c r="D545" i="7"/>
  <c r="D553" i="7"/>
  <c r="D561" i="7"/>
  <c r="D569" i="7"/>
  <c r="D577" i="7"/>
  <c r="D585" i="7"/>
  <c r="D593" i="7"/>
  <c r="D546" i="7"/>
  <c r="D562" i="7"/>
  <c r="D578" i="7"/>
  <c r="D594" i="7"/>
  <c r="D555" i="7"/>
  <c r="D579" i="7"/>
  <c r="D544" i="7"/>
  <c r="D563" i="7"/>
  <c r="D548" i="7"/>
  <c r="D556" i="7"/>
  <c r="D564" i="7"/>
  <c r="D572" i="7"/>
  <c r="D580" i="7"/>
  <c r="D588" i="7"/>
  <c r="D549" i="7"/>
  <c r="D557" i="7"/>
  <c r="D565" i="7"/>
  <c r="D573" i="7"/>
  <c r="D581" i="7"/>
  <c r="D589" i="7"/>
  <c r="D550" i="7"/>
  <c r="D558" i="7"/>
  <c r="D566" i="7"/>
  <c r="D574" i="7"/>
  <c r="D582" i="7"/>
  <c r="D590" i="7"/>
  <c r="D551" i="7"/>
  <c r="D559" i="7"/>
  <c r="D567" i="7"/>
  <c r="D575" i="7"/>
  <c r="D583" i="7"/>
  <c r="D591" i="7"/>
  <c r="D552" i="7"/>
  <c r="D560" i="7"/>
  <c r="D568" i="7"/>
  <c r="D576" i="7"/>
  <c r="D584" i="7"/>
  <c r="D592" i="7"/>
  <c r="D554" i="7"/>
  <c r="D570" i="7"/>
  <c r="D586" i="7"/>
  <c r="D547" i="7"/>
  <c r="D571" i="7"/>
  <c r="D587" i="7"/>
  <c r="L762" i="7"/>
  <c r="AA762" i="7" s="1"/>
  <c r="L775" i="7"/>
  <c r="AA775" i="7" s="1"/>
  <c r="L787" i="7"/>
  <c r="AA787" i="7" s="1"/>
  <c r="L748" i="7"/>
  <c r="AA748" i="7" s="1"/>
  <c r="L761" i="7"/>
  <c r="AA761" i="7" s="1"/>
  <c r="L772" i="7"/>
  <c r="AA772" i="7" s="1"/>
  <c r="L786" i="7"/>
  <c r="AA786" i="7" s="1"/>
  <c r="L754" i="7"/>
  <c r="AA754" i="7" s="1"/>
  <c r="L770" i="7"/>
  <c r="AA770" i="7" s="1"/>
  <c r="L788" i="7"/>
  <c r="AA788" i="7" s="1"/>
  <c r="L771" i="7"/>
  <c r="AA771" i="7" s="1"/>
  <c r="L793" i="7"/>
  <c r="AA793" i="7" s="1"/>
  <c r="L756" i="7"/>
  <c r="AA756" i="7" s="1"/>
  <c r="L759" i="7"/>
  <c r="AA759" i="7" s="1"/>
  <c r="L778" i="7"/>
  <c r="AA778" i="7" s="1"/>
  <c r="L794" i="7"/>
  <c r="AA794" i="7" s="1"/>
  <c r="L763" i="7"/>
  <c r="AA763" i="7" s="1"/>
  <c r="L779" i="7"/>
  <c r="AA779" i="7" s="1"/>
  <c r="L795" i="7"/>
  <c r="AA795" i="7" s="1"/>
  <c r="L749" i="7"/>
  <c r="AA749" i="7" s="1"/>
  <c r="L764" i="7"/>
  <c r="AA764" i="7" s="1"/>
  <c r="L780" i="7"/>
  <c r="AA780" i="7" s="1"/>
  <c r="L796" i="7"/>
  <c r="AA796" i="7" s="1"/>
  <c r="L751" i="7"/>
  <c r="AA751" i="7" s="1"/>
  <c r="L767" i="7"/>
  <c r="AA767" i="7" s="1"/>
  <c r="L783" i="7"/>
  <c r="AA783" i="7" s="1"/>
  <c r="L753" i="7"/>
  <c r="AA753" i="7" s="1"/>
  <c r="L769" i="7"/>
  <c r="AA769" i="7" s="1"/>
  <c r="L785" i="7"/>
  <c r="AA785" i="7" s="1"/>
  <c r="L755" i="7"/>
  <c r="AA755" i="7" s="1"/>
  <c r="L791" i="7"/>
  <c r="AA791" i="7" s="1"/>
  <c r="L777" i="7"/>
  <c r="AA777" i="7" s="1"/>
  <c r="L760" i="7"/>
  <c r="AA760" i="7" s="1"/>
  <c r="L790" i="7"/>
  <c r="AA790" i="7" s="1"/>
  <c r="L797" i="7"/>
  <c r="AA797" i="7" s="1"/>
  <c r="L752" i="7"/>
  <c r="AA752" i="7" s="1"/>
  <c r="L782" i="7"/>
  <c r="AA782" i="7" s="1"/>
  <c r="L789" i="7"/>
  <c r="AA789" i="7" s="1"/>
  <c r="L774" i="7"/>
  <c r="AA774" i="7" s="1"/>
  <c r="L781" i="7"/>
  <c r="AA781" i="7" s="1"/>
  <c r="L766" i="7"/>
  <c r="AA766" i="7" s="1"/>
  <c r="L773" i="7"/>
  <c r="AA773" i="7" s="1"/>
  <c r="L792" i="7"/>
  <c r="AA792" i="7" s="1"/>
  <c r="L758" i="7"/>
  <c r="AA758" i="7" s="1"/>
  <c r="L765" i="7"/>
  <c r="AA765" i="7" s="1"/>
  <c r="L784" i="7"/>
  <c r="AA784" i="7" s="1"/>
  <c r="L750" i="7"/>
  <c r="AA750" i="7" s="1"/>
  <c r="L757" i="7"/>
  <c r="AA757" i="7" s="1"/>
  <c r="L776" i="7"/>
  <c r="AA776" i="7" s="1"/>
  <c r="L768" i="7"/>
  <c r="AA768" i="7" s="1"/>
  <c r="L798" i="7"/>
  <c r="AA798" i="7" s="1"/>
  <c r="K497" i="7"/>
  <c r="Z497" i="7" s="1"/>
  <c r="K505" i="7"/>
  <c r="Z505" i="7" s="1"/>
  <c r="K513" i="7"/>
  <c r="Z513" i="7" s="1"/>
  <c r="K521" i="7"/>
  <c r="Z521" i="7" s="1"/>
  <c r="K529" i="7"/>
  <c r="Z529" i="7" s="1"/>
  <c r="K537" i="7"/>
  <c r="Z537" i="7" s="1"/>
  <c r="K496" i="7"/>
  <c r="Z496" i="7" s="1"/>
  <c r="K504" i="7"/>
  <c r="Z504" i="7" s="1"/>
  <c r="K512" i="7"/>
  <c r="Z512" i="7" s="1"/>
  <c r="K520" i="7"/>
  <c r="Z520" i="7" s="1"/>
  <c r="K528" i="7"/>
  <c r="Z528" i="7" s="1"/>
  <c r="K536" i="7"/>
  <c r="Z536" i="7" s="1"/>
  <c r="K493" i="7"/>
  <c r="Z493" i="7" s="1"/>
  <c r="K501" i="7"/>
  <c r="Z501" i="7" s="1"/>
  <c r="K511" i="7"/>
  <c r="Z511" i="7" s="1"/>
  <c r="K523" i="7"/>
  <c r="Z523" i="7" s="1"/>
  <c r="K533" i="7"/>
  <c r="Z533" i="7" s="1"/>
  <c r="K543" i="7"/>
  <c r="Z543" i="7" s="1"/>
  <c r="K502" i="7"/>
  <c r="Z502" i="7" s="1"/>
  <c r="K524" i="7"/>
  <c r="Z524" i="7" s="1"/>
  <c r="K503" i="7"/>
  <c r="Z503" i="7" s="1"/>
  <c r="K515" i="7"/>
  <c r="Z515" i="7" s="1"/>
  <c r="K525" i="7"/>
  <c r="Z525" i="7" s="1"/>
  <c r="K535" i="7"/>
  <c r="Z535" i="7" s="1"/>
  <c r="K494" i="7"/>
  <c r="Z494" i="7" s="1"/>
  <c r="K506" i="7"/>
  <c r="Z506" i="7" s="1"/>
  <c r="K516" i="7"/>
  <c r="Z516" i="7" s="1"/>
  <c r="K526" i="7"/>
  <c r="Z526" i="7" s="1"/>
  <c r="K538" i="7"/>
  <c r="Z538" i="7" s="1"/>
  <c r="K495" i="7"/>
  <c r="Z495" i="7" s="1"/>
  <c r="K507" i="7"/>
  <c r="Z507" i="7" s="1"/>
  <c r="K517" i="7"/>
  <c r="Z517" i="7" s="1"/>
  <c r="K527" i="7"/>
  <c r="Z527" i="7" s="1"/>
  <c r="K539" i="7"/>
  <c r="Z539" i="7" s="1"/>
  <c r="K498" i="7"/>
  <c r="Z498" i="7" s="1"/>
  <c r="K508" i="7"/>
  <c r="Z508" i="7" s="1"/>
  <c r="K518" i="7"/>
  <c r="Z518" i="7" s="1"/>
  <c r="K530" i="7"/>
  <c r="Z530" i="7" s="1"/>
  <c r="K540" i="7"/>
  <c r="Z540" i="7" s="1"/>
  <c r="K499" i="7"/>
  <c r="Z499" i="7" s="1"/>
  <c r="K509" i="7"/>
  <c r="Z509" i="7" s="1"/>
  <c r="K519" i="7"/>
  <c r="Z519" i="7" s="1"/>
  <c r="K531" i="7"/>
  <c r="Z531" i="7" s="1"/>
  <c r="K541" i="7"/>
  <c r="Z541" i="7" s="1"/>
  <c r="K500" i="7"/>
  <c r="Z500" i="7" s="1"/>
  <c r="K510" i="7"/>
  <c r="Z510" i="7" s="1"/>
  <c r="K522" i="7"/>
  <c r="Z522" i="7" s="1"/>
  <c r="K532" i="7"/>
  <c r="Z532" i="7" s="1"/>
  <c r="K542" i="7"/>
  <c r="Z542" i="7" s="1"/>
  <c r="K514" i="7"/>
  <c r="Z514" i="7" s="1"/>
  <c r="K534" i="7"/>
  <c r="Z534" i="7" s="1"/>
  <c r="H800" i="7"/>
  <c r="W800" i="7" s="1"/>
  <c r="H808" i="7"/>
  <c r="W808" i="7" s="1"/>
  <c r="H816" i="7"/>
  <c r="W816" i="7" s="1"/>
  <c r="H824" i="7"/>
  <c r="W824" i="7" s="1"/>
  <c r="H832" i="7"/>
  <c r="W832" i="7" s="1"/>
  <c r="H840" i="7"/>
  <c r="W840" i="7" s="1"/>
  <c r="H848" i="7"/>
  <c r="W848" i="7" s="1"/>
  <c r="H807" i="7"/>
  <c r="W807" i="7" s="1"/>
  <c r="H815" i="7"/>
  <c r="W815" i="7" s="1"/>
  <c r="H823" i="7"/>
  <c r="W823" i="7" s="1"/>
  <c r="H831" i="7"/>
  <c r="W831" i="7" s="1"/>
  <c r="H839" i="7"/>
  <c r="W839" i="7" s="1"/>
  <c r="H847" i="7"/>
  <c r="W847" i="7" s="1"/>
  <c r="H802" i="7"/>
  <c r="W802" i="7" s="1"/>
  <c r="H812" i="7"/>
  <c r="W812" i="7" s="1"/>
  <c r="H822" i="7"/>
  <c r="W822" i="7" s="1"/>
  <c r="H834" i="7"/>
  <c r="W834" i="7" s="1"/>
  <c r="H844" i="7"/>
  <c r="W844" i="7" s="1"/>
  <c r="H803" i="7"/>
  <c r="W803" i="7" s="1"/>
  <c r="H813" i="7"/>
  <c r="W813" i="7" s="1"/>
  <c r="H825" i="7"/>
  <c r="W825" i="7" s="1"/>
  <c r="H835" i="7"/>
  <c r="W835" i="7" s="1"/>
  <c r="H845" i="7"/>
  <c r="W845" i="7" s="1"/>
  <c r="H804" i="7"/>
  <c r="W804" i="7" s="1"/>
  <c r="H814" i="7"/>
  <c r="W814" i="7" s="1"/>
  <c r="H826" i="7"/>
  <c r="W826" i="7" s="1"/>
  <c r="H836" i="7"/>
  <c r="W836" i="7" s="1"/>
  <c r="H846" i="7"/>
  <c r="W846" i="7" s="1"/>
  <c r="H805" i="7"/>
  <c r="W805" i="7" s="1"/>
  <c r="H817" i="7"/>
  <c r="W817" i="7" s="1"/>
  <c r="H827" i="7"/>
  <c r="W827" i="7" s="1"/>
  <c r="H837" i="7"/>
  <c r="W837" i="7" s="1"/>
  <c r="H849" i="7"/>
  <c r="W849" i="7" s="1"/>
  <c r="H806" i="7"/>
  <c r="W806" i="7" s="1"/>
  <c r="H818" i="7"/>
  <c r="W818" i="7" s="1"/>
  <c r="H828" i="7"/>
  <c r="W828" i="7" s="1"/>
  <c r="H838" i="7"/>
  <c r="W838" i="7" s="1"/>
  <c r="H799" i="7"/>
  <c r="W799" i="7" s="1"/>
  <c r="H809" i="7"/>
  <c r="W809" i="7" s="1"/>
  <c r="H819" i="7"/>
  <c r="W819" i="7" s="1"/>
  <c r="H829" i="7"/>
  <c r="W829" i="7" s="1"/>
  <c r="H841" i="7"/>
  <c r="W841" i="7" s="1"/>
  <c r="H810" i="7"/>
  <c r="W810" i="7" s="1"/>
  <c r="H820" i="7"/>
  <c r="W820" i="7" s="1"/>
  <c r="H830" i="7"/>
  <c r="W830" i="7" s="1"/>
  <c r="H842" i="7"/>
  <c r="W842" i="7" s="1"/>
  <c r="H801" i="7"/>
  <c r="W801" i="7" s="1"/>
  <c r="H811" i="7"/>
  <c r="W811" i="7" s="1"/>
  <c r="H821" i="7"/>
  <c r="W821" i="7" s="1"/>
  <c r="H833" i="7"/>
  <c r="W833" i="7" s="1"/>
  <c r="H843" i="7"/>
  <c r="W843" i="7" s="1"/>
  <c r="H603" i="7"/>
  <c r="W603" i="7" s="1"/>
  <c r="H611" i="7"/>
  <c r="W611" i="7" s="1"/>
  <c r="H619" i="7"/>
  <c r="W619" i="7" s="1"/>
  <c r="H627" i="7"/>
  <c r="W627" i="7" s="1"/>
  <c r="H635" i="7"/>
  <c r="W635" i="7" s="1"/>
  <c r="H643" i="7"/>
  <c r="W643" i="7" s="1"/>
  <c r="H602" i="7"/>
  <c r="W602" i="7" s="1"/>
  <c r="H610" i="7"/>
  <c r="W610" i="7" s="1"/>
  <c r="H618" i="7"/>
  <c r="W618" i="7" s="1"/>
  <c r="H626" i="7"/>
  <c r="W626" i="7" s="1"/>
  <c r="H634" i="7"/>
  <c r="W634" i="7" s="1"/>
  <c r="H642" i="7"/>
  <c r="W642" i="7" s="1"/>
  <c r="H596" i="7"/>
  <c r="W596" i="7" s="1"/>
  <c r="H606" i="7"/>
  <c r="W606" i="7" s="1"/>
  <c r="H616" i="7"/>
  <c r="W616" i="7" s="1"/>
  <c r="H628" i="7"/>
  <c r="W628" i="7" s="1"/>
  <c r="H638" i="7"/>
  <c r="W638" i="7" s="1"/>
  <c r="H605" i="7"/>
  <c r="W605" i="7" s="1"/>
  <c r="H615" i="7"/>
  <c r="W615" i="7" s="1"/>
  <c r="H625" i="7"/>
  <c r="W625" i="7" s="1"/>
  <c r="H637" i="7"/>
  <c r="W637" i="7" s="1"/>
  <c r="H608" i="7"/>
  <c r="W608" i="7" s="1"/>
  <c r="H622" i="7"/>
  <c r="W622" i="7" s="1"/>
  <c r="H636" i="7"/>
  <c r="W636" i="7" s="1"/>
  <c r="H597" i="7"/>
  <c r="W597" i="7" s="1"/>
  <c r="H609" i="7"/>
  <c r="W609" i="7" s="1"/>
  <c r="H623" i="7"/>
  <c r="W623" i="7" s="1"/>
  <c r="H639" i="7"/>
  <c r="W639" i="7" s="1"/>
  <c r="H598" i="7"/>
  <c r="W598" i="7" s="1"/>
  <c r="H612" i="7"/>
  <c r="W612" i="7" s="1"/>
  <c r="H624" i="7"/>
  <c r="W624" i="7" s="1"/>
  <c r="H640" i="7"/>
  <c r="W640" i="7" s="1"/>
  <c r="H599" i="7"/>
  <c r="W599" i="7" s="1"/>
  <c r="H613" i="7"/>
  <c r="W613" i="7" s="1"/>
  <c r="H629" i="7"/>
  <c r="W629" i="7" s="1"/>
  <c r="H641" i="7"/>
  <c r="W641" i="7" s="1"/>
  <c r="H600" i="7"/>
  <c r="W600" i="7" s="1"/>
  <c r="H614" i="7"/>
  <c r="W614" i="7" s="1"/>
  <c r="H630" i="7"/>
  <c r="W630" i="7" s="1"/>
  <c r="H644" i="7"/>
  <c r="W644" i="7" s="1"/>
  <c r="H601" i="7"/>
  <c r="W601" i="7" s="1"/>
  <c r="H617" i="7"/>
  <c r="W617" i="7" s="1"/>
  <c r="H631" i="7"/>
  <c r="W631" i="7" s="1"/>
  <c r="H645" i="7"/>
  <c r="W645" i="7" s="1"/>
  <c r="H604" i="7"/>
  <c r="W604" i="7" s="1"/>
  <c r="H620" i="7"/>
  <c r="W620" i="7" s="1"/>
  <c r="H632" i="7"/>
  <c r="W632" i="7" s="1"/>
  <c r="H595" i="7"/>
  <c r="W595" i="7" s="1"/>
  <c r="H607" i="7"/>
  <c r="W607" i="7" s="1"/>
  <c r="H621" i="7"/>
  <c r="W621" i="7" s="1"/>
  <c r="H633" i="7"/>
  <c r="W633" i="7" s="1"/>
  <c r="K551" i="7"/>
  <c r="Z551" i="7" s="1"/>
  <c r="K559" i="7"/>
  <c r="Z559" i="7" s="1"/>
  <c r="K567" i="7"/>
  <c r="Z567" i="7" s="1"/>
  <c r="K575" i="7"/>
  <c r="Z575" i="7" s="1"/>
  <c r="K583" i="7"/>
  <c r="Z583" i="7" s="1"/>
  <c r="K591" i="7"/>
  <c r="Z591" i="7" s="1"/>
  <c r="K550" i="7"/>
  <c r="Z550" i="7" s="1"/>
  <c r="K558" i="7"/>
  <c r="Z558" i="7" s="1"/>
  <c r="K566" i="7"/>
  <c r="Z566" i="7" s="1"/>
  <c r="K574" i="7"/>
  <c r="Z574" i="7" s="1"/>
  <c r="K582" i="7"/>
  <c r="Z582" i="7" s="1"/>
  <c r="K590" i="7"/>
  <c r="Z590" i="7" s="1"/>
  <c r="K553" i="7"/>
  <c r="Z553" i="7" s="1"/>
  <c r="K563" i="7"/>
  <c r="Z563" i="7" s="1"/>
  <c r="K573" i="7"/>
  <c r="Z573" i="7" s="1"/>
  <c r="K585" i="7"/>
  <c r="Z585" i="7" s="1"/>
  <c r="K544" i="7"/>
  <c r="Z544" i="7" s="1"/>
  <c r="K554" i="7"/>
  <c r="Z554" i="7" s="1"/>
  <c r="K564" i="7"/>
  <c r="Z564" i="7" s="1"/>
  <c r="K576" i="7"/>
  <c r="Z576" i="7" s="1"/>
  <c r="K586" i="7"/>
  <c r="Z586" i="7" s="1"/>
  <c r="K545" i="7"/>
  <c r="Z545" i="7" s="1"/>
  <c r="K555" i="7"/>
  <c r="Z555" i="7" s="1"/>
  <c r="K565" i="7"/>
  <c r="Z565" i="7" s="1"/>
  <c r="K577" i="7"/>
  <c r="Z577" i="7" s="1"/>
  <c r="K587" i="7"/>
  <c r="Z587" i="7" s="1"/>
  <c r="K546" i="7"/>
  <c r="Z546" i="7" s="1"/>
  <c r="K556" i="7"/>
  <c r="Z556" i="7" s="1"/>
  <c r="K568" i="7"/>
  <c r="Z568" i="7" s="1"/>
  <c r="K578" i="7"/>
  <c r="Z578" i="7" s="1"/>
  <c r="K588" i="7"/>
  <c r="Z588" i="7" s="1"/>
  <c r="K547" i="7"/>
  <c r="Z547" i="7" s="1"/>
  <c r="K557" i="7"/>
  <c r="Z557" i="7" s="1"/>
  <c r="K569" i="7"/>
  <c r="Z569" i="7" s="1"/>
  <c r="K579" i="7"/>
  <c r="Z579" i="7" s="1"/>
  <c r="K589" i="7"/>
  <c r="Z589" i="7" s="1"/>
  <c r="K548" i="7"/>
  <c r="Z548" i="7" s="1"/>
  <c r="K560" i="7"/>
  <c r="Z560" i="7" s="1"/>
  <c r="K570" i="7"/>
  <c r="Z570" i="7" s="1"/>
  <c r="K580" i="7"/>
  <c r="Z580" i="7" s="1"/>
  <c r="K592" i="7"/>
  <c r="Z592" i="7" s="1"/>
  <c r="K549" i="7"/>
  <c r="Z549" i="7" s="1"/>
  <c r="K561" i="7"/>
  <c r="Z561" i="7" s="1"/>
  <c r="K571" i="7"/>
  <c r="Z571" i="7" s="1"/>
  <c r="K581" i="7"/>
  <c r="Z581" i="7" s="1"/>
  <c r="K593" i="7"/>
  <c r="Z593" i="7" s="1"/>
  <c r="K552" i="7"/>
  <c r="Z552" i="7" s="1"/>
  <c r="K562" i="7"/>
  <c r="Z562" i="7" s="1"/>
  <c r="K572" i="7"/>
  <c r="Z572" i="7" s="1"/>
  <c r="K584" i="7"/>
  <c r="Z584" i="7" s="1"/>
  <c r="K594" i="7"/>
  <c r="Z594" i="7" s="1"/>
  <c r="I752" i="7"/>
  <c r="X752" i="7" s="1"/>
  <c r="I760" i="7"/>
  <c r="X760" i="7" s="1"/>
  <c r="I768" i="7"/>
  <c r="X768" i="7" s="1"/>
  <c r="I776" i="7"/>
  <c r="X776" i="7" s="1"/>
  <c r="I784" i="7"/>
  <c r="X784" i="7" s="1"/>
  <c r="I792" i="7"/>
  <c r="X792" i="7" s="1"/>
  <c r="I751" i="7"/>
  <c r="X751" i="7" s="1"/>
  <c r="I759" i="7"/>
  <c r="X759" i="7" s="1"/>
  <c r="I767" i="7"/>
  <c r="X767" i="7" s="1"/>
  <c r="I775" i="7"/>
  <c r="X775" i="7" s="1"/>
  <c r="I783" i="7"/>
  <c r="X783" i="7" s="1"/>
  <c r="I791" i="7"/>
  <c r="X791" i="7" s="1"/>
  <c r="I748" i="7"/>
  <c r="X748" i="7" s="1"/>
  <c r="I758" i="7"/>
  <c r="X758" i="7" s="1"/>
  <c r="I770" i="7"/>
  <c r="X770" i="7" s="1"/>
  <c r="I780" i="7"/>
  <c r="X780" i="7" s="1"/>
  <c r="I790" i="7"/>
  <c r="X790" i="7" s="1"/>
  <c r="I749" i="7"/>
  <c r="X749" i="7" s="1"/>
  <c r="I761" i="7"/>
  <c r="X761" i="7" s="1"/>
  <c r="I771" i="7"/>
  <c r="X771" i="7" s="1"/>
  <c r="I781" i="7"/>
  <c r="X781" i="7" s="1"/>
  <c r="I793" i="7"/>
  <c r="X793" i="7" s="1"/>
  <c r="I750" i="7"/>
  <c r="X750" i="7" s="1"/>
  <c r="I762" i="7"/>
  <c r="X762" i="7" s="1"/>
  <c r="I772" i="7"/>
  <c r="X772" i="7" s="1"/>
  <c r="I782" i="7"/>
  <c r="X782" i="7" s="1"/>
  <c r="I794" i="7"/>
  <c r="X794" i="7" s="1"/>
  <c r="I753" i="7"/>
  <c r="X753" i="7" s="1"/>
  <c r="I763" i="7"/>
  <c r="X763" i="7" s="1"/>
  <c r="I773" i="7"/>
  <c r="X773" i="7" s="1"/>
  <c r="I785" i="7"/>
  <c r="X785" i="7" s="1"/>
  <c r="I795" i="7"/>
  <c r="X795" i="7" s="1"/>
  <c r="I754" i="7"/>
  <c r="X754" i="7" s="1"/>
  <c r="I764" i="7"/>
  <c r="X764" i="7" s="1"/>
  <c r="I774" i="7"/>
  <c r="X774" i="7" s="1"/>
  <c r="I786" i="7"/>
  <c r="X786" i="7" s="1"/>
  <c r="I796" i="7"/>
  <c r="X796" i="7" s="1"/>
  <c r="I755" i="7"/>
  <c r="X755" i="7" s="1"/>
  <c r="I765" i="7"/>
  <c r="X765" i="7" s="1"/>
  <c r="I777" i="7"/>
  <c r="X777" i="7" s="1"/>
  <c r="I787" i="7"/>
  <c r="X787" i="7" s="1"/>
  <c r="I797" i="7"/>
  <c r="X797" i="7" s="1"/>
  <c r="I756" i="7"/>
  <c r="X756" i="7" s="1"/>
  <c r="I766" i="7"/>
  <c r="X766" i="7" s="1"/>
  <c r="I778" i="7"/>
  <c r="X778" i="7" s="1"/>
  <c r="I788" i="7"/>
  <c r="X788" i="7" s="1"/>
  <c r="I798" i="7"/>
  <c r="X798" i="7" s="1"/>
  <c r="I757" i="7"/>
  <c r="X757" i="7" s="1"/>
  <c r="I769" i="7"/>
  <c r="X769" i="7" s="1"/>
  <c r="I779" i="7"/>
  <c r="X779" i="7" s="1"/>
  <c r="I789" i="7"/>
  <c r="X789" i="7" s="1"/>
  <c r="K799" i="7"/>
  <c r="Z799" i="7" s="1"/>
  <c r="K845" i="7"/>
  <c r="Z845" i="7" s="1"/>
  <c r="K842" i="7"/>
  <c r="Z842" i="7" s="1"/>
  <c r="K805" i="7"/>
  <c r="Z805" i="7" s="1"/>
  <c r="K807" i="7"/>
  <c r="Z807" i="7" s="1"/>
  <c r="K817" i="7"/>
  <c r="Z817" i="7" s="1"/>
  <c r="K808" i="7"/>
  <c r="Z808" i="7" s="1"/>
  <c r="K818" i="7"/>
  <c r="Z818" i="7" s="1"/>
  <c r="K803" i="7"/>
  <c r="Z803" i="7" s="1"/>
  <c r="K831" i="7"/>
  <c r="Z831" i="7" s="1"/>
  <c r="K832" i="7"/>
  <c r="Z832" i="7" s="1"/>
  <c r="K826" i="7"/>
  <c r="Z826" i="7" s="1"/>
  <c r="K849" i="7"/>
  <c r="Z849" i="7" s="1"/>
  <c r="K847" i="7"/>
  <c r="Z847" i="7" s="1"/>
  <c r="K828" i="7"/>
  <c r="Z828" i="7" s="1"/>
  <c r="K827" i="7"/>
  <c r="Z827" i="7" s="1"/>
  <c r="K815" i="7"/>
  <c r="Z815" i="7" s="1"/>
  <c r="K837" i="7"/>
  <c r="Z837" i="7" s="1"/>
  <c r="K833" i="7"/>
  <c r="Z833" i="7" s="1"/>
  <c r="K820" i="7"/>
  <c r="Z820" i="7" s="1"/>
  <c r="K819" i="7"/>
  <c r="Z819" i="7" s="1"/>
  <c r="K812" i="7"/>
  <c r="Z812" i="7" s="1"/>
  <c r="K841" i="7"/>
  <c r="Z841" i="7" s="1"/>
  <c r="K801" i="7"/>
  <c r="Z801" i="7" s="1"/>
  <c r="K824" i="7"/>
  <c r="Z824" i="7" s="1"/>
  <c r="K821" i="7"/>
  <c r="Z821" i="7" s="1"/>
  <c r="K846" i="7"/>
  <c r="Z846" i="7" s="1"/>
  <c r="K811" i="7"/>
  <c r="Z811" i="7" s="1"/>
  <c r="K829" i="7"/>
  <c r="Z829" i="7" s="1"/>
  <c r="K810" i="7"/>
  <c r="Z810" i="7" s="1"/>
  <c r="K838" i="7"/>
  <c r="Z838" i="7" s="1"/>
  <c r="K804" i="7"/>
  <c r="Z804" i="7" s="1"/>
  <c r="K816" i="7"/>
  <c r="Z816" i="7" s="1"/>
  <c r="K839" i="7"/>
  <c r="Z839" i="7" s="1"/>
  <c r="K848" i="7"/>
  <c r="Z848" i="7" s="1"/>
  <c r="K830" i="7"/>
  <c r="Z830" i="7" s="1"/>
  <c r="K802" i="7"/>
  <c r="Z802" i="7" s="1"/>
  <c r="K825" i="7"/>
  <c r="Z825" i="7" s="1"/>
  <c r="K834" i="7"/>
  <c r="Z834" i="7" s="1"/>
  <c r="K822" i="7"/>
  <c r="Z822" i="7" s="1"/>
  <c r="K813" i="7"/>
  <c r="Z813" i="7" s="1"/>
  <c r="K823" i="7"/>
  <c r="Z823" i="7" s="1"/>
  <c r="K814" i="7"/>
  <c r="Z814" i="7" s="1"/>
  <c r="K844" i="7"/>
  <c r="Z844" i="7" s="1"/>
  <c r="K843" i="7"/>
  <c r="Z843" i="7" s="1"/>
  <c r="K840" i="7"/>
  <c r="Z840" i="7" s="1"/>
  <c r="K800" i="7"/>
  <c r="Z800" i="7" s="1"/>
  <c r="K809" i="7"/>
  <c r="Z809" i="7" s="1"/>
  <c r="K806" i="7"/>
  <c r="Z806" i="7" s="1"/>
  <c r="K836" i="7"/>
  <c r="Z836" i="7" s="1"/>
  <c r="K835" i="7"/>
  <c r="Z835" i="7" s="1"/>
  <c r="J598" i="7"/>
  <c r="Y598" i="7" s="1"/>
  <c r="J606" i="7"/>
  <c r="Y606" i="7" s="1"/>
  <c r="J614" i="7"/>
  <c r="Y614" i="7" s="1"/>
  <c r="J622" i="7"/>
  <c r="Y622" i="7" s="1"/>
  <c r="J630" i="7"/>
  <c r="Y630" i="7" s="1"/>
  <c r="J638" i="7"/>
  <c r="Y638" i="7" s="1"/>
  <c r="J595" i="7"/>
  <c r="Y595" i="7" s="1"/>
  <c r="J597" i="7"/>
  <c r="Y597" i="7" s="1"/>
  <c r="J605" i="7"/>
  <c r="Y605" i="7" s="1"/>
  <c r="J613" i="7"/>
  <c r="Y613" i="7" s="1"/>
  <c r="J621" i="7"/>
  <c r="Y621" i="7" s="1"/>
  <c r="J629" i="7"/>
  <c r="Y629" i="7" s="1"/>
  <c r="J637" i="7"/>
  <c r="Y637" i="7" s="1"/>
  <c r="J645" i="7"/>
  <c r="Y645" i="7" s="1"/>
  <c r="J603" i="7"/>
  <c r="Y603" i="7" s="1"/>
  <c r="J615" i="7"/>
  <c r="Y615" i="7" s="1"/>
  <c r="J625" i="7"/>
  <c r="Y625" i="7" s="1"/>
  <c r="J635" i="7"/>
  <c r="Y635" i="7" s="1"/>
  <c r="J602" i="7"/>
  <c r="Y602" i="7" s="1"/>
  <c r="J612" i="7"/>
  <c r="Y612" i="7" s="1"/>
  <c r="J624" i="7"/>
  <c r="Y624" i="7" s="1"/>
  <c r="J634" i="7"/>
  <c r="Y634" i="7" s="1"/>
  <c r="J644" i="7"/>
  <c r="Y644" i="7" s="1"/>
  <c r="J601" i="7"/>
  <c r="Y601" i="7" s="1"/>
  <c r="J617" i="7"/>
  <c r="Y617" i="7" s="1"/>
  <c r="J631" i="7"/>
  <c r="Y631" i="7" s="1"/>
  <c r="J643" i="7"/>
  <c r="Y643" i="7" s="1"/>
  <c r="J604" i="7"/>
  <c r="Y604" i="7" s="1"/>
  <c r="J618" i="7"/>
  <c r="Y618" i="7" s="1"/>
  <c r="J632" i="7"/>
  <c r="Y632" i="7" s="1"/>
  <c r="J607" i="7"/>
  <c r="Y607" i="7" s="1"/>
  <c r="J619" i="7"/>
  <c r="Y619" i="7" s="1"/>
  <c r="J633" i="7"/>
  <c r="Y633" i="7" s="1"/>
  <c r="J608" i="7"/>
  <c r="Y608" i="7" s="1"/>
  <c r="J620" i="7"/>
  <c r="Y620" i="7" s="1"/>
  <c r="J636" i="7"/>
  <c r="Y636" i="7" s="1"/>
  <c r="J609" i="7"/>
  <c r="Y609" i="7" s="1"/>
  <c r="J623" i="7"/>
  <c r="Y623" i="7" s="1"/>
  <c r="J639" i="7"/>
  <c r="Y639" i="7" s="1"/>
  <c r="J596" i="7"/>
  <c r="Y596" i="7" s="1"/>
  <c r="J610" i="7"/>
  <c r="Y610" i="7" s="1"/>
  <c r="J626" i="7"/>
  <c r="Y626" i="7" s="1"/>
  <c r="J640" i="7"/>
  <c r="Y640" i="7" s="1"/>
  <c r="J599" i="7"/>
  <c r="Y599" i="7" s="1"/>
  <c r="J611" i="7"/>
  <c r="Y611" i="7" s="1"/>
  <c r="J627" i="7"/>
  <c r="Y627" i="7" s="1"/>
  <c r="J641" i="7"/>
  <c r="Y641" i="7" s="1"/>
  <c r="J600" i="7"/>
  <c r="Y600" i="7" s="1"/>
  <c r="J616" i="7"/>
  <c r="Y616" i="7" s="1"/>
  <c r="J628" i="7"/>
  <c r="Y628" i="7" s="1"/>
  <c r="J642" i="7"/>
  <c r="Y642" i="7" s="1"/>
  <c r="M687" i="7"/>
  <c r="U687" i="7" s="1"/>
  <c r="M685" i="7"/>
  <c r="U685" i="7" s="1"/>
  <c r="M691" i="7"/>
  <c r="U691" i="7" s="1"/>
  <c r="M661" i="7"/>
  <c r="U661" i="7" s="1"/>
  <c r="M664" i="7"/>
  <c r="U664" i="7" s="1"/>
  <c r="M666" i="7"/>
  <c r="U666" i="7" s="1"/>
  <c r="M659" i="7"/>
  <c r="U659" i="7" s="1"/>
  <c r="M667" i="7"/>
  <c r="U667" i="7" s="1"/>
  <c r="M665" i="7"/>
  <c r="U665" i="7" s="1"/>
  <c r="M647" i="7"/>
  <c r="U647" i="7" s="1"/>
  <c r="M670" i="7"/>
  <c r="U670" i="7" s="1"/>
  <c r="M657" i="7"/>
  <c r="U657" i="7" s="1"/>
  <c r="M655" i="7"/>
  <c r="U655" i="7" s="1"/>
  <c r="M692" i="7"/>
  <c r="U692" i="7" s="1"/>
  <c r="M684" i="7"/>
  <c r="U684" i="7" s="1"/>
  <c r="M663" i="7"/>
  <c r="U663" i="7" s="1"/>
  <c r="M688" i="7"/>
  <c r="U688" i="7" s="1"/>
  <c r="M680" i="7"/>
  <c r="U680" i="7" s="1"/>
  <c r="M672" i="7"/>
  <c r="U672" i="7" s="1"/>
  <c r="M654" i="7"/>
  <c r="U654" i="7" s="1"/>
  <c r="M694" i="7"/>
  <c r="U694" i="7" s="1"/>
  <c r="M686" i="7"/>
  <c r="U686" i="7" s="1"/>
  <c r="M673" i="7"/>
  <c r="U673" i="7" s="1"/>
  <c r="M649" i="7"/>
  <c r="U649" i="7" s="1"/>
  <c r="B40" i="28"/>
  <c r="D77" i="28"/>
  <c r="D92" i="28" s="1"/>
  <c r="E92" i="28" s="1"/>
  <c r="E88" i="28"/>
  <c r="E101" i="28"/>
  <c r="I63" i="28"/>
  <c r="C80" i="28" s="1"/>
  <c r="C95" i="28" s="1"/>
  <c r="E95" i="28" s="1"/>
  <c r="C79" i="28"/>
  <c r="C94" i="28" s="1"/>
  <c r="E86" i="28"/>
  <c r="E103" i="28"/>
  <c r="E99" i="28"/>
  <c r="E84" i="28"/>
  <c r="E82" i="28"/>
  <c r="E97" i="28"/>
  <c r="E93" i="28"/>
  <c r="E78" i="28"/>
  <c r="B35" i="28"/>
  <c r="G19" i="28"/>
  <c r="G23" i="28"/>
  <c r="B38" i="28"/>
  <c r="E87" i="28"/>
  <c r="E100" i="28"/>
  <c r="X95" i="42" l="1"/>
  <c r="T96" i="42"/>
  <c r="W82" i="42"/>
  <c r="X84" i="42"/>
  <c r="U77" i="42"/>
  <c r="U79" i="42"/>
  <c r="S95" i="42"/>
  <c r="V16" i="33"/>
  <c r="N45" i="33" s="1"/>
  <c r="J16" i="33"/>
  <c r="T16" i="33"/>
  <c r="T69" i="42"/>
  <c r="S79" i="42"/>
  <c r="Q16" i="33"/>
  <c r="S16" i="33"/>
  <c r="K45" i="33" s="1"/>
  <c r="P45" i="33"/>
  <c r="E26" i="33"/>
  <c r="AC110" i="42"/>
  <c r="AC111" i="42" s="1"/>
  <c r="S82" i="42"/>
  <c r="S83" i="42"/>
  <c r="V83" i="42"/>
  <c r="U94" i="42"/>
  <c r="W16" i="33"/>
  <c r="O45" i="33" s="1"/>
  <c r="J45" i="33"/>
  <c r="V78" i="42"/>
  <c r="T78" i="42"/>
  <c r="W95" i="42"/>
  <c r="U84" i="42"/>
  <c r="U83" i="42"/>
  <c r="W78" i="42"/>
  <c r="Z78" i="42"/>
  <c r="W77" i="42"/>
  <c r="Z77" i="42"/>
  <c r="K20" i="54"/>
  <c r="L44" i="52"/>
  <c r="K18" i="54"/>
  <c r="L42" i="52"/>
  <c r="Q50" i="33" s="1"/>
  <c r="K17" i="54"/>
  <c r="L41" i="52"/>
  <c r="K19" i="54"/>
  <c r="L43" i="52"/>
  <c r="Z96" i="42"/>
  <c r="V96" i="42"/>
  <c r="V94" i="42"/>
  <c r="Z83" i="42"/>
  <c r="V79" i="42"/>
  <c r="T77" i="42"/>
  <c r="W94" i="42"/>
  <c r="X78" i="42"/>
  <c r="X77" i="42"/>
  <c r="Z94" i="42"/>
  <c r="T84" i="42"/>
  <c r="T83" i="42"/>
  <c r="L42" i="33"/>
  <c r="G42" i="33"/>
  <c r="G45" i="33" s="1"/>
  <c r="I42" i="33"/>
  <c r="T119" i="42"/>
  <c r="H45" i="33"/>
  <c r="K31" i="51"/>
  <c r="K38" i="51"/>
  <c r="K41" i="51"/>
  <c r="K40" i="51"/>
  <c r="K39" i="51"/>
  <c r="K17" i="51"/>
  <c r="L15" i="52"/>
  <c r="Q41" i="33" s="1"/>
  <c r="S112" i="42"/>
  <c r="M31" i="7"/>
  <c r="Y79" i="42"/>
  <c r="AA82" i="42"/>
  <c r="AA84" i="42"/>
  <c r="Y95" i="42"/>
  <c r="AA94" i="42"/>
  <c r="R69" i="59"/>
  <c r="L16" i="52" s="1"/>
  <c r="Y77" i="42"/>
  <c r="Y82" i="42"/>
  <c r="AA96" i="42"/>
  <c r="V67" i="42"/>
  <c r="V68" i="42"/>
  <c r="X114" i="42"/>
  <c r="X111" i="42"/>
  <c r="Y94" i="42"/>
  <c r="Y83" i="42"/>
  <c r="U112" i="42"/>
  <c r="U114" i="42"/>
  <c r="U113" i="42"/>
  <c r="S113" i="42"/>
  <c r="AA77" i="42"/>
  <c r="AA78" i="42"/>
  <c r="R171" i="59"/>
  <c r="R120" i="59"/>
  <c r="V119" i="42"/>
  <c r="R78" i="42"/>
  <c r="R77" i="42"/>
  <c r="R76" i="42"/>
  <c r="R80" i="42"/>
  <c r="R79" i="42"/>
  <c r="Q75" i="42"/>
  <c r="Q74" i="42"/>
  <c r="Q73" i="42"/>
  <c r="Q72" i="42"/>
  <c r="Q71" i="42"/>
  <c r="R91" i="42"/>
  <c r="R92" i="42"/>
  <c r="R89" i="42"/>
  <c r="R90" i="42"/>
  <c r="Q76" i="42"/>
  <c r="Q79" i="42"/>
  <c r="Q80" i="42"/>
  <c r="Q78" i="42"/>
  <c r="Q77" i="42"/>
  <c r="Q70" i="42"/>
  <c r="Q69" i="42"/>
  <c r="Q66" i="42"/>
  <c r="Q68" i="42"/>
  <c r="Q67" i="42"/>
  <c r="Q85" i="42"/>
  <c r="Q84" i="42"/>
  <c r="Q81" i="42"/>
  <c r="Q83" i="42"/>
  <c r="Q82" i="42"/>
  <c r="Q107" i="42"/>
  <c r="Q103" i="42"/>
  <c r="Q106" i="42"/>
  <c r="Q105" i="42"/>
  <c r="Q104" i="42"/>
  <c r="D83" i="42"/>
  <c r="D20" i="42"/>
  <c r="D84" i="42" s="1"/>
  <c r="E36" i="42"/>
  <c r="G96" i="42" s="1"/>
  <c r="G95" i="42"/>
  <c r="D18" i="42"/>
  <c r="D74" i="42" s="1"/>
  <c r="D73" i="42"/>
  <c r="D17" i="42"/>
  <c r="D69" i="42" s="1"/>
  <c r="D68" i="42"/>
  <c r="E18" i="42"/>
  <c r="G74" i="42" s="1"/>
  <c r="G73" i="42"/>
  <c r="D19" i="42"/>
  <c r="D79" i="42" s="1"/>
  <c r="D78" i="42"/>
  <c r="M717" i="7"/>
  <c r="U717" i="7" s="1"/>
  <c r="M722" i="7"/>
  <c r="U722" i="7" s="1"/>
  <c r="M738" i="7"/>
  <c r="U738" i="7" s="1"/>
  <c r="M746" i="7"/>
  <c r="U746" i="7" s="1"/>
  <c r="M716" i="7"/>
  <c r="U716" i="7" s="1"/>
  <c r="M737" i="7"/>
  <c r="U737" i="7" s="1"/>
  <c r="M735" i="7"/>
  <c r="U735" i="7" s="1"/>
  <c r="M847" i="7"/>
  <c r="U847" i="7" s="1"/>
  <c r="M600" i="7"/>
  <c r="U600" i="7" s="1"/>
  <c r="M712" i="7"/>
  <c r="U712" i="7" s="1"/>
  <c r="M742" i="7"/>
  <c r="U742" i="7" s="1"/>
  <c r="M502" i="7"/>
  <c r="U502" i="7" s="1"/>
  <c r="M725" i="7"/>
  <c r="U725" i="7" s="1"/>
  <c r="M729" i="7"/>
  <c r="U729" i="7" s="1"/>
  <c r="M704" i="7"/>
  <c r="U704" i="7" s="1"/>
  <c r="M741" i="7"/>
  <c r="U741" i="7" s="1"/>
  <c r="M634" i="7"/>
  <c r="U634" i="7" s="1"/>
  <c r="M719" i="7"/>
  <c r="U719" i="7" s="1"/>
  <c r="M745" i="7"/>
  <c r="U745" i="7" s="1"/>
  <c r="M702" i="7"/>
  <c r="U702" i="7" s="1"/>
  <c r="M743" i="7"/>
  <c r="U743" i="7" s="1"/>
  <c r="M714" i="7"/>
  <c r="U714" i="7" s="1"/>
  <c r="M733" i="7"/>
  <c r="U733" i="7" s="1"/>
  <c r="M708" i="7"/>
  <c r="U708" i="7" s="1"/>
  <c r="M718" i="7"/>
  <c r="U718" i="7" s="1"/>
  <c r="M731" i="7"/>
  <c r="U731" i="7" s="1"/>
  <c r="M710" i="7"/>
  <c r="U710" i="7" s="1"/>
  <c r="M814" i="7"/>
  <c r="U814" i="7" s="1"/>
  <c r="M739" i="7"/>
  <c r="U739" i="7" s="1"/>
  <c r="M697" i="7"/>
  <c r="U697" i="7" s="1"/>
  <c r="M740" i="7"/>
  <c r="U740" i="7" s="1"/>
  <c r="M744" i="7"/>
  <c r="U744" i="7" s="1"/>
  <c r="M728" i="7"/>
  <c r="U728" i="7" s="1"/>
  <c r="M747" i="7"/>
  <c r="U747" i="7" s="1"/>
  <c r="M715" i="7"/>
  <c r="U715" i="7" s="1"/>
  <c r="M721" i="7"/>
  <c r="U721" i="7" s="1"/>
  <c r="M734" i="7"/>
  <c r="U734" i="7" s="1"/>
  <c r="M709" i="7"/>
  <c r="U709" i="7" s="1"/>
  <c r="M701" i="7"/>
  <c r="U701" i="7" s="1"/>
  <c r="M724" i="7"/>
  <c r="U724" i="7" s="1"/>
  <c r="M706" i="7"/>
  <c r="U706" i="7" s="1"/>
  <c r="M726" i="7"/>
  <c r="U726" i="7" s="1"/>
  <c r="M813" i="7"/>
  <c r="U813" i="7" s="1"/>
  <c r="M705" i="7"/>
  <c r="U705" i="7" s="1"/>
  <c r="M841" i="7"/>
  <c r="U841" i="7" s="1"/>
  <c r="M723" i="7"/>
  <c r="U723" i="7" s="1"/>
  <c r="M703" i="7"/>
  <c r="U703" i="7" s="1"/>
  <c r="M699" i="7"/>
  <c r="U699" i="7" s="1"/>
  <c r="M727" i="7"/>
  <c r="U727" i="7" s="1"/>
  <c r="M713" i="7"/>
  <c r="U713" i="7" s="1"/>
  <c r="M707" i="7"/>
  <c r="U707" i="7" s="1"/>
  <c r="M698" i="7"/>
  <c r="U698" i="7" s="1"/>
  <c r="M730" i="7"/>
  <c r="U730" i="7" s="1"/>
  <c r="M700" i="7"/>
  <c r="U700" i="7" s="1"/>
  <c r="M711" i="7"/>
  <c r="U711" i="7" s="1"/>
  <c r="M736" i="7"/>
  <c r="U736" i="7" s="1"/>
  <c r="M732" i="7"/>
  <c r="U732" i="7" s="1"/>
  <c r="M720" i="7"/>
  <c r="U720" i="7" s="1"/>
  <c r="M610" i="7"/>
  <c r="U610" i="7" s="1"/>
  <c r="M842" i="7"/>
  <c r="U842" i="7" s="1"/>
  <c r="M618" i="7"/>
  <c r="U618" i="7" s="1"/>
  <c r="M838" i="7"/>
  <c r="U838" i="7" s="1"/>
  <c r="M805" i="7"/>
  <c r="U805" i="7" s="1"/>
  <c r="M823" i="7"/>
  <c r="U823" i="7" s="1"/>
  <c r="M806" i="7"/>
  <c r="U806" i="7" s="1"/>
  <c r="M593" i="7"/>
  <c r="U593" i="7" s="1"/>
  <c r="M504" i="7"/>
  <c r="U504" i="7" s="1"/>
  <c r="M607" i="7"/>
  <c r="U607" i="7" s="1"/>
  <c r="M815" i="7"/>
  <c r="U815" i="7" s="1"/>
  <c r="M832" i="7"/>
  <c r="U832" i="7" s="1"/>
  <c r="M621" i="7"/>
  <c r="U621" i="7" s="1"/>
  <c r="M521" i="7"/>
  <c r="U521" i="7" s="1"/>
  <c r="M630" i="7"/>
  <c r="U630" i="7" s="1"/>
  <c r="M817" i="7"/>
  <c r="U817" i="7" s="1"/>
  <c r="M835" i="7"/>
  <c r="U835" i="7" s="1"/>
  <c r="M560" i="7"/>
  <c r="U560" i="7" s="1"/>
  <c r="M808" i="7"/>
  <c r="U808" i="7" s="1"/>
  <c r="M809" i="7"/>
  <c r="U809" i="7" s="1"/>
  <c r="M829" i="7"/>
  <c r="U829" i="7" s="1"/>
  <c r="M497" i="7"/>
  <c r="U497" i="7" s="1"/>
  <c r="M839" i="7"/>
  <c r="U839" i="7" s="1"/>
  <c r="M824" i="7"/>
  <c r="U824" i="7" s="1"/>
  <c r="M531" i="7"/>
  <c r="U531" i="7" s="1"/>
  <c r="M586" i="7"/>
  <c r="U586" i="7" s="1"/>
  <c r="M606" i="7"/>
  <c r="U606" i="7" s="1"/>
  <c r="M627" i="7"/>
  <c r="U627" i="7" s="1"/>
  <c r="M633" i="7"/>
  <c r="U633" i="7" s="1"/>
  <c r="M640" i="7"/>
  <c r="U640" i="7" s="1"/>
  <c r="M825" i="7"/>
  <c r="U825" i="7" s="1"/>
  <c r="M810" i="7"/>
  <c r="U810" i="7" s="1"/>
  <c r="M843" i="7"/>
  <c r="U843" i="7" s="1"/>
  <c r="M828" i="7"/>
  <c r="U828" i="7" s="1"/>
  <c r="M642" i="7"/>
  <c r="U642" i="7" s="1"/>
  <c r="M513" i="7"/>
  <c r="U513" i="7" s="1"/>
  <c r="M591" i="7"/>
  <c r="U591" i="7" s="1"/>
  <c r="M848" i="7"/>
  <c r="U848" i="7" s="1"/>
  <c r="M520" i="7"/>
  <c r="U520" i="7" s="1"/>
  <c r="M594" i="7"/>
  <c r="U594" i="7" s="1"/>
  <c r="L443" i="7"/>
  <c r="AA443" i="7" s="1"/>
  <c r="L451" i="7"/>
  <c r="AA451" i="7" s="1"/>
  <c r="L459" i="7"/>
  <c r="AA459" i="7" s="1"/>
  <c r="L467" i="7"/>
  <c r="AA467" i="7" s="1"/>
  <c r="L475" i="7"/>
  <c r="AA475" i="7" s="1"/>
  <c r="L483" i="7"/>
  <c r="AA483" i="7" s="1"/>
  <c r="L491" i="7"/>
  <c r="AA491" i="7" s="1"/>
  <c r="L450" i="7"/>
  <c r="AA450" i="7" s="1"/>
  <c r="L482" i="7"/>
  <c r="AA482" i="7" s="1"/>
  <c r="L444" i="7"/>
  <c r="AA444" i="7" s="1"/>
  <c r="L452" i="7"/>
  <c r="AA452" i="7" s="1"/>
  <c r="L460" i="7"/>
  <c r="AA460" i="7" s="1"/>
  <c r="L468" i="7"/>
  <c r="AA468" i="7" s="1"/>
  <c r="L476" i="7"/>
  <c r="AA476" i="7" s="1"/>
  <c r="L484" i="7"/>
  <c r="AA484" i="7" s="1"/>
  <c r="L492" i="7"/>
  <c r="AA492" i="7" s="1"/>
  <c r="L445" i="7"/>
  <c r="AA445" i="7" s="1"/>
  <c r="L453" i="7"/>
  <c r="AA453" i="7" s="1"/>
  <c r="L461" i="7"/>
  <c r="AA461" i="7" s="1"/>
  <c r="L469" i="7"/>
  <c r="AA469" i="7" s="1"/>
  <c r="L477" i="7"/>
  <c r="AA477" i="7" s="1"/>
  <c r="L485" i="7"/>
  <c r="AA485" i="7" s="1"/>
  <c r="L442" i="7"/>
  <c r="AA442" i="7" s="1"/>
  <c r="L458" i="7"/>
  <c r="AA458" i="7" s="1"/>
  <c r="L446" i="7"/>
  <c r="AA446" i="7" s="1"/>
  <c r="L454" i="7"/>
  <c r="AA454" i="7" s="1"/>
  <c r="L462" i="7"/>
  <c r="AA462" i="7" s="1"/>
  <c r="L470" i="7"/>
  <c r="AA470" i="7" s="1"/>
  <c r="L478" i="7"/>
  <c r="AA478" i="7" s="1"/>
  <c r="L486" i="7"/>
  <c r="AA486" i="7" s="1"/>
  <c r="L447" i="7"/>
  <c r="AA447" i="7" s="1"/>
  <c r="L455" i="7"/>
  <c r="AA455" i="7" s="1"/>
  <c r="L463" i="7"/>
  <c r="AA463" i="7" s="1"/>
  <c r="L471" i="7"/>
  <c r="AA471" i="7" s="1"/>
  <c r="L479" i="7"/>
  <c r="AA479" i="7" s="1"/>
  <c r="L487" i="7"/>
  <c r="AA487" i="7" s="1"/>
  <c r="L490" i="7"/>
  <c r="AA490" i="7" s="1"/>
  <c r="L448" i="7"/>
  <c r="AA448" i="7" s="1"/>
  <c r="L456" i="7"/>
  <c r="AA456" i="7" s="1"/>
  <c r="L464" i="7"/>
  <c r="AA464" i="7" s="1"/>
  <c r="L472" i="7"/>
  <c r="AA472" i="7" s="1"/>
  <c r="L480" i="7"/>
  <c r="AA480" i="7" s="1"/>
  <c r="L488" i="7"/>
  <c r="AA488" i="7" s="1"/>
  <c r="L466" i="7"/>
  <c r="AA466" i="7" s="1"/>
  <c r="L449" i="7"/>
  <c r="AA449" i="7" s="1"/>
  <c r="L457" i="7"/>
  <c r="AA457" i="7" s="1"/>
  <c r="L465" i="7"/>
  <c r="AA465" i="7" s="1"/>
  <c r="L473" i="7"/>
  <c r="AA473" i="7" s="1"/>
  <c r="L481" i="7"/>
  <c r="AA481" i="7" s="1"/>
  <c r="L489" i="7"/>
  <c r="AA489" i="7" s="1"/>
  <c r="L474" i="7"/>
  <c r="AA474" i="7" s="1"/>
  <c r="I446" i="7"/>
  <c r="X446" i="7" s="1"/>
  <c r="I454" i="7"/>
  <c r="X454" i="7" s="1"/>
  <c r="I462" i="7"/>
  <c r="X462" i="7" s="1"/>
  <c r="I470" i="7"/>
  <c r="X470" i="7" s="1"/>
  <c r="I478" i="7"/>
  <c r="X478" i="7" s="1"/>
  <c r="I486" i="7"/>
  <c r="X486" i="7" s="1"/>
  <c r="I461" i="7"/>
  <c r="X461" i="7" s="1"/>
  <c r="I447" i="7"/>
  <c r="X447" i="7" s="1"/>
  <c r="I455" i="7"/>
  <c r="X455" i="7" s="1"/>
  <c r="I463" i="7"/>
  <c r="X463" i="7" s="1"/>
  <c r="I471" i="7"/>
  <c r="X471" i="7" s="1"/>
  <c r="I479" i="7"/>
  <c r="X479" i="7" s="1"/>
  <c r="I487" i="7"/>
  <c r="X487" i="7" s="1"/>
  <c r="I442" i="7"/>
  <c r="X442" i="7" s="1"/>
  <c r="I448" i="7"/>
  <c r="X448" i="7" s="1"/>
  <c r="I456" i="7"/>
  <c r="X456" i="7" s="1"/>
  <c r="I464" i="7"/>
  <c r="X464" i="7" s="1"/>
  <c r="I472" i="7"/>
  <c r="X472" i="7" s="1"/>
  <c r="I480" i="7"/>
  <c r="X480" i="7" s="1"/>
  <c r="I488" i="7"/>
  <c r="X488" i="7" s="1"/>
  <c r="I453" i="7"/>
  <c r="X453" i="7" s="1"/>
  <c r="I449" i="7"/>
  <c r="X449" i="7" s="1"/>
  <c r="I457" i="7"/>
  <c r="X457" i="7" s="1"/>
  <c r="I465" i="7"/>
  <c r="X465" i="7" s="1"/>
  <c r="I473" i="7"/>
  <c r="X473" i="7" s="1"/>
  <c r="I481" i="7"/>
  <c r="X481" i="7" s="1"/>
  <c r="I489" i="7"/>
  <c r="X489" i="7" s="1"/>
  <c r="I485" i="7"/>
  <c r="X485" i="7" s="1"/>
  <c r="I450" i="7"/>
  <c r="X450" i="7" s="1"/>
  <c r="I458" i="7"/>
  <c r="X458" i="7" s="1"/>
  <c r="I466" i="7"/>
  <c r="X466" i="7" s="1"/>
  <c r="I474" i="7"/>
  <c r="X474" i="7" s="1"/>
  <c r="I482" i="7"/>
  <c r="X482" i="7" s="1"/>
  <c r="I490" i="7"/>
  <c r="X490" i="7" s="1"/>
  <c r="I443" i="7"/>
  <c r="X443" i="7" s="1"/>
  <c r="I451" i="7"/>
  <c r="X451" i="7" s="1"/>
  <c r="I459" i="7"/>
  <c r="X459" i="7" s="1"/>
  <c r="I467" i="7"/>
  <c r="X467" i="7" s="1"/>
  <c r="I475" i="7"/>
  <c r="X475" i="7" s="1"/>
  <c r="I483" i="7"/>
  <c r="X483" i="7" s="1"/>
  <c r="I491" i="7"/>
  <c r="X491" i="7" s="1"/>
  <c r="I469" i="7"/>
  <c r="X469" i="7" s="1"/>
  <c r="I444" i="7"/>
  <c r="X444" i="7" s="1"/>
  <c r="I452" i="7"/>
  <c r="X452" i="7" s="1"/>
  <c r="I460" i="7"/>
  <c r="X460" i="7" s="1"/>
  <c r="I468" i="7"/>
  <c r="X468" i="7" s="1"/>
  <c r="I476" i="7"/>
  <c r="X476" i="7" s="1"/>
  <c r="I484" i="7"/>
  <c r="X484" i="7" s="1"/>
  <c r="I492" i="7"/>
  <c r="X492" i="7" s="1"/>
  <c r="I445" i="7"/>
  <c r="X445" i="7" s="1"/>
  <c r="I477" i="7"/>
  <c r="X477" i="7" s="1"/>
  <c r="M548" i="7"/>
  <c r="U548" i="7" s="1"/>
  <c r="M818" i="7"/>
  <c r="U818" i="7" s="1"/>
  <c r="G449" i="7"/>
  <c r="V449" i="7" s="1"/>
  <c r="G457" i="7"/>
  <c r="V457" i="7" s="1"/>
  <c r="G465" i="7"/>
  <c r="V465" i="7" s="1"/>
  <c r="G473" i="7"/>
  <c r="V473" i="7" s="1"/>
  <c r="G481" i="7"/>
  <c r="V481" i="7" s="1"/>
  <c r="G489" i="7"/>
  <c r="V489" i="7" s="1"/>
  <c r="G456" i="7"/>
  <c r="V456" i="7" s="1"/>
  <c r="G488" i="7"/>
  <c r="V488" i="7" s="1"/>
  <c r="G450" i="7"/>
  <c r="V450" i="7" s="1"/>
  <c r="G458" i="7"/>
  <c r="V458" i="7" s="1"/>
  <c r="G466" i="7"/>
  <c r="V466" i="7" s="1"/>
  <c r="G474" i="7"/>
  <c r="V474" i="7" s="1"/>
  <c r="G482" i="7"/>
  <c r="V482" i="7" s="1"/>
  <c r="G490" i="7"/>
  <c r="V490" i="7" s="1"/>
  <c r="G443" i="7"/>
  <c r="V443" i="7" s="1"/>
  <c r="G451" i="7"/>
  <c r="V451" i="7" s="1"/>
  <c r="G459" i="7"/>
  <c r="V459" i="7" s="1"/>
  <c r="G467" i="7"/>
  <c r="V467" i="7" s="1"/>
  <c r="G475" i="7"/>
  <c r="V475" i="7" s="1"/>
  <c r="G483" i="7"/>
  <c r="V483" i="7" s="1"/>
  <c r="G491" i="7"/>
  <c r="V491" i="7" s="1"/>
  <c r="G464" i="7"/>
  <c r="V464" i="7" s="1"/>
  <c r="G444" i="7"/>
  <c r="V444" i="7" s="1"/>
  <c r="G452" i="7"/>
  <c r="V452" i="7" s="1"/>
  <c r="G460" i="7"/>
  <c r="V460" i="7" s="1"/>
  <c r="G468" i="7"/>
  <c r="V468" i="7" s="1"/>
  <c r="G476" i="7"/>
  <c r="V476" i="7" s="1"/>
  <c r="G484" i="7"/>
  <c r="V484" i="7" s="1"/>
  <c r="G492" i="7"/>
  <c r="V492" i="7" s="1"/>
  <c r="G445" i="7"/>
  <c r="V445" i="7" s="1"/>
  <c r="G453" i="7"/>
  <c r="V453" i="7" s="1"/>
  <c r="G461" i="7"/>
  <c r="V461" i="7" s="1"/>
  <c r="G469" i="7"/>
  <c r="V469" i="7" s="1"/>
  <c r="G477" i="7"/>
  <c r="V477" i="7" s="1"/>
  <c r="G485" i="7"/>
  <c r="V485" i="7" s="1"/>
  <c r="G442" i="7"/>
  <c r="V442" i="7" s="1"/>
  <c r="G446" i="7"/>
  <c r="V446" i="7" s="1"/>
  <c r="G454" i="7"/>
  <c r="V454" i="7" s="1"/>
  <c r="G462" i="7"/>
  <c r="V462" i="7" s="1"/>
  <c r="G470" i="7"/>
  <c r="V470" i="7" s="1"/>
  <c r="G478" i="7"/>
  <c r="V478" i="7" s="1"/>
  <c r="G486" i="7"/>
  <c r="V486" i="7" s="1"/>
  <c r="G480" i="7"/>
  <c r="V480" i="7" s="1"/>
  <c r="G447" i="7"/>
  <c r="V447" i="7" s="1"/>
  <c r="G455" i="7"/>
  <c r="V455" i="7" s="1"/>
  <c r="G463" i="7"/>
  <c r="V463" i="7" s="1"/>
  <c r="G471" i="7"/>
  <c r="V471" i="7" s="1"/>
  <c r="G479" i="7"/>
  <c r="V479" i="7" s="1"/>
  <c r="G487" i="7"/>
  <c r="V487" i="7" s="1"/>
  <c r="G448" i="7"/>
  <c r="V448" i="7" s="1"/>
  <c r="G472" i="7"/>
  <c r="V472" i="7" s="1"/>
  <c r="M609" i="7"/>
  <c r="U609" i="7" s="1"/>
  <c r="H444" i="7"/>
  <c r="W444" i="7" s="1"/>
  <c r="H452" i="7"/>
  <c r="W452" i="7" s="1"/>
  <c r="H460" i="7"/>
  <c r="W460" i="7" s="1"/>
  <c r="H468" i="7"/>
  <c r="W468" i="7" s="1"/>
  <c r="H476" i="7"/>
  <c r="W476" i="7" s="1"/>
  <c r="H484" i="7"/>
  <c r="W484" i="7" s="1"/>
  <c r="H492" i="7"/>
  <c r="W492" i="7" s="1"/>
  <c r="H443" i="7"/>
  <c r="W443" i="7" s="1"/>
  <c r="H459" i="7"/>
  <c r="W459" i="7" s="1"/>
  <c r="H491" i="7"/>
  <c r="W491" i="7" s="1"/>
  <c r="H445" i="7"/>
  <c r="W445" i="7" s="1"/>
  <c r="H453" i="7"/>
  <c r="W453" i="7" s="1"/>
  <c r="H461" i="7"/>
  <c r="W461" i="7" s="1"/>
  <c r="H469" i="7"/>
  <c r="W469" i="7" s="1"/>
  <c r="H477" i="7"/>
  <c r="W477" i="7" s="1"/>
  <c r="H485" i="7"/>
  <c r="W485" i="7" s="1"/>
  <c r="H442" i="7"/>
  <c r="W442" i="7" s="1"/>
  <c r="H446" i="7"/>
  <c r="W446" i="7" s="1"/>
  <c r="H454" i="7"/>
  <c r="W454" i="7" s="1"/>
  <c r="H462" i="7"/>
  <c r="W462" i="7" s="1"/>
  <c r="H470" i="7"/>
  <c r="W470" i="7" s="1"/>
  <c r="H478" i="7"/>
  <c r="W478" i="7" s="1"/>
  <c r="H486" i="7"/>
  <c r="W486" i="7" s="1"/>
  <c r="H467" i="7"/>
  <c r="W467" i="7" s="1"/>
  <c r="H447" i="7"/>
  <c r="W447" i="7" s="1"/>
  <c r="H455" i="7"/>
  <c r="W455" i="7" s="1"/>
  <c r="H463" i="7"/>
  <c r="W463" i="7" s="1"/>
  <c r="H471" i="7"/>
  <c r="W471" i="7" s="1"/>
  <c r="H479" i="7"/>
  <c r="W479" i="7" s="1"/>
  <c r="H487" i="7"/>
  <c r="W487" i="7" s="1"/>
  <c r="H448" i="7"/>
  <c r="W448" i="7" s="1"/>
  <c r="H456" i="7"/>
  <c r="W456" i="7" s="1"/>
  <c r="H464" i="7"/>
  <c r="W464" i="7" s="1"/>
  <c r="H472" i="7"/>
  <c r="W472" i="7" s="1"/>
  <c r="H480" i="7"/>
  <c r="W480" i="7" s="1"/>
  <c r="H488" i="7"/>
  <c r="W488" i="7" s="1"/>
  <c r="H449" i="7"/>
  <c r="W449" i="7" s="1"/>
  <c r="H457" i="7"/>
  <c r="W457" i="7" s="1"/>
  <c r="H465" i="7"/>
  <c r="W465" i="7" s="1"/>
  <c r="H473" i="7"/>
  <c r="W473" i="7" s="1"/>
  <c r="H481" i="7"/>
  <c r="W481" i="7" s="1"/>
  <c r="H489" i="7"/>
  <c r="W489" i="7" s="1"/>
  <c r="H483" i="7"/>
  <c r="W483" i="7" s="1"/>
  <c r="H450" i="7"/>
  <c r="W450" i="7" s="1"/>
  <c r="H458" i="7"/>
  <c r="W458" i="7" s="1"/>
  <c r="H466" i="7"/>
  <c r="W466" i="7" s="1"/>
  <c r="H474" i="7"/>
  <c r="W474" i="7" s="1"/>
  <c r="H482" i="7"/>
  <c r="W482" i="7" s="1"/>
  <c r="H490" i="7"/>
  <c r="W490" i="7" s="1"/>
  <c r="H451" i="7"/>
  <c r="W451" i="7" s="1"/>
  <c r="H475" i="7"/>
  <c r="W475" i="7" s="1"/>
  <c r="J447" i="7"/>
  <c r="Y447" i="7" s="1"/>
  <c r="J455" i="7"/>
  <c r="Y455" i="7" s="1"/>
  <c r="J463" i="7"/>
  <c r="Y463" i="7" s="1"/>
  <c r="J471" i="7"/>
  <c r="Y471" i="7" s="1"/>
  <c r="J479" i="7"/>
  <c r="Y479" i="7" s="1"/>
  <c r="J487" i="7"/>
  <c r="Y487" i="7" s="1"/>
  <c r="J462" i="7"/>
  <c r="Y462" i="7" s="1"/>
  <c r="J448" i="7"/>
  <c r="Y448" i="7" s="1"/>
  <c r="J456" i="7"/>
  <c r="Y456" i="7" s="1"/>
  <c r="J464" i="7"/>
  <c r="Y464" i="7" s="1"/>
  <c r="J472" i="7"/>
  <c r="Y472" i="7" s="1"/>
  <c r="J480" i="7"/>
  <c r="Y480" i="7" s="1"/>
  <c r="J488" i="7"/>
  <c r="Y488" i="7" s="1"/>
  <c r="J449" i="7"/>
  <c r="Y449" i="7" s="1"/>
  <c r="J457" i="7"/>
  <c r="Y457" i="7" s="1"/>
  <c r="J465" i="7"/>
  <c r="Y465" i="7" s="1"/>
  <c r="J473" i="7"/>
  <c r="Y473" i="7" s="1"/>
  <c r="J481" i="7"/>
  <c r="Y481" i="7" s="1"/>
  <c r="J489" i="7"/>
  <c r="Y489" i="7" s="1"/>
  <c r="J478" i="7"/>
  <c r="Y478" i="7" s="1"/>
  <c r="J450" i="7"/>
  <c r="Y450" i="7" s="1"/>
  <c r="J458" i="7"/>
  <c r="Y458" i="7" s="1"/>
  <c r="J466" i="7"/>
  <c r="Y466" i="7" s="1"/>
  <c r="J474" i="7"/>
  <c r="Y474" i="7" s="1"/>
  <c r="J482" i="7"/>
  <c r="Y482" i="7" s="1"/>
  <c r="J490" i="7"/>
  <c r="Y490" i="7" s="1"/>
  <c r="J443" i="7"/>
  <c r="Y443" i="7" s="1"/>
  <c r="J451" i="7"/>
  <c r="Y451" i="7" s="1"/>
  <c r="J459" i="7"/>
  <c r="Y459" i="7" s="1"/>
  <c r="J467" i="7"/>
  <c r="Y467" i="7" s="1"/>
  <c r="J475" i="7"/>
  <c r="Y475" i="7" s="1"/>
  <c r="J483" i="7"/>
  <c r="Y483" i="7" s="1"/>
  <c r="J491" i="7"/>
  <c r="Y491" i="7" s="1"/>
  <c r="J470" i="7"/>
  <c r="Y470" i="7" s="1"/>
  <c r="J444" i="7"/>
  <c r="Y444" i="7" s="1"/>
  <c r="J452" i="7"/>
  <c r="Y452" i="7" s="1"/>
  <c r="J460" i="7"/>
  <c r="Y460" i="7" s="1"/>
  <c r="J468" i="7"/>
  <c r="Y468" i="7" s="1"/>
  <c r="J476" i="7"/>
  <c r="Y476" i="7" s="1"/>
  <c r="J484" i="7"/>
  <c r="Y484" i="7" s="1"/>
  <c r="J492" i="7"/>
  <c r="Y492" i="7" s="1"/>
  <c r="J446" i="7"/>
  <c r="Y446" i="7" s="1"/>
  <c r="J486" i="7"/>
  <c r="Y486" i="7" s="1"/>
  <c r="J445" i="7"/>
  <c r="Y445" i="7" s="1"/>
  <c r="J453" i="7"/>
  <c r="Y453" i="7" s="1"/>
  <c r="J461" i="7"/>
  <c r="Y461" i="7" s="1"/>
  <c r="J469" i="7"/>
  <c r="Y469" i="7" s="1"/>
  <c r="J477" i="7"/>
  <c r="Y477" i="7" s="1"/>
  <c r="J485" i="7"/>
  <c r="Y485" i="7" s="1"/>
  <c r="J442" i="7"/>
  <c r="Y442" i="7" s="1"/>
  <c r="J454" i="7"/>
  <c r="Y454" i="7" s="1"/>
  <c r="D445" i="7"/>
  <c r="D453" i="7"/>
  <c r="D461" i="7"/>
  <c r="D469" i="7"/>
  <c r="D477" i="7"/>
  <c r="D485" i="7"/>
  <c r="D442" i="7"/>
  <c r="D452" i="7"/>
  <c r="D492" i="7"/>
  <c r="D446" i="7"/>
  <c r="D454" i="7"/>
  <c r="D462" i="7"/>
  <c r="D470" i="7"/>
  <c r="D478" i="7"/>
  <c r="D486" i="7"/>
  <c r="D447" i="7"/>
  <c r="D455" i="7"/>
  <c r="D463" i="7"/>
  <c r="D471" i="7"/>
  <c r="D479" i="7"/>
  <c r="D487" i="7"/>
  <c r="D468" i="7"/>
  <c r="D448" i="7"/>
  <c r="D456" i="7"/>
  <c r="D464" i="7"/>
  <c r="D472" i="7"/>
  <c r="D480" i="7"/>
  <c r="D488" i="7"/>
  <c r="D460" i="7"/>
  <c r="D449" i="7"/>
  <c r="D457" i="7"/>
  <c r="D465" i="7"/>
  <c r="D473" i="7"/>
  <c r="D481" i="7"/>
  <c r="D489" i="7"/>
  <c r="D450" i="7"/>
  <c r="D458" i="7"/>
  <c r="D466" i="7"/>
  <c r="D474" i="7"/>
  <c r="D482" i="7"/>
  <c r="D490" i="7"/>
  <c r="D476" i="7"/>
  <c r="D443" i="7"/>
  <c r="D451" i="7"/>
  <c r="D459" i="7"/>
  <c r="D467" i="7"/>
  <c r="D475" i="7"/>
  <c r="D483" i="7"/>
  <c r="D491" i="7"/>
  <c r="D444" i="7"/>
  <c r="D484" i="7"/>
  <c r="M544" i="7"/>
  <c r="U544" i="7" s="1"/>
  <c r="M616" i="7"/>
  <c r="U616" i="7" s="1"/>
  <c r="M599" i="7"/>
  <c r="U599" i="7" s="1"/>
  <c r="M827" i="7"/>
  <c r="U827" i="7" s="1"/>
  <c r="M845" i="7"/>
  <c r="U845" i="7" s="1"/>
  <c r="M830" i="7"/>
  <c r="U830" i="7" s="1"/>
  <c r="M572" i="7"/>
  <c r="U572" i="7" s="1"/>
  <c r="M637" i="7"/>
  <c r="U637" i="7" s="1"/>
  <c r="M601" i="7"/>
  <c r="U601" i="7" s="1"/>
  <c r="M604" i="7"/>
  <c r="U604" i="7" s="1"/>
  <c r="M837" i="7"/>
  <c r="U837" i="7" s="1"/>
  <c r="M802" i="7"/>
  <c r="U802" i="7" s="1"/>
  <c r="M822" i="7"/>
  <c r="U822" i="7" s="1"/>
  <c r="M840" i="7"/>
  <c r="U840" i="7" s="1"/>
  <c r="M807" i="7"/>
  <c r="U807" i="7" s="1"/>
  <c r="M833" i="7"/>
  <c r="U833" i="7" s="1"/>
  <c r="M603" i="7"/>
  <c r="U603" i="7" s="1"/>
  <c r="M597" i="7"/>
  <c r="U597" i="7" s="1"/>
  <c r="M536" i="7"/>
  <c r="U536" i="7" s="1"/>
  <c r="M493" i="7"/>
  <c r="U493" i="7" s="1"/>
  <c r="M529" i="7"/>
  <c r="U529" i="7" s="1"/>
  <c r="K448" i="7"/>
  <c r="Z448" i="7" s="1"/>
  <c r="K456" i="7"/>
  <c r="Z456" i="7" s="1"/>
  <c r="K464" i="7"/>
  <c r="Z464" i="7" s="1"/>
  <c r="K472" i="7"/>
  <c r="Z472" i="7" s="1"/>
  <c r="K480" i="7"/>
  <c r="Z480" i="7" s="1"/>
  <c r="K488" i="7"/>
  <c r="Z488" i="7" s="1"/>
  <c r="K471" i="7"/>
  <c r="Z471" i="7" s="1"/>
  <c r="K449" i="7"/>
  <c r="Z449" i="7" s="1"/>
  <c r="K457" i="7"/>
  <c r="Z457" i="7" s="1"/>
  <c r="K465" i="7"/>
  <c r="Z465" i="7" s="1"/>
  <c r="K473" i="7"/>
  <c r="Z473" i="7" s="1"/>
  <c r="K481" i="7"/>
  <c r="Z481" i="7" s="1"/>
  <c r="K489" i="7"/>
  <c r="Z489" i="7" s="1"/>
  <c r="K450" i="7"/>
  <c r="Z450" i="7" s="1"/>
  <c r="K458" i="7"/>
  <c r="Z458" i="7" s="1"/>
  <c r="K466" i="7"/>
  <c r="Z466" i="7" s="1"/>
  <c r="K474" i="7"/>
  <c r="Z474" i="7" s="1"/>
  <c r="K482" i="7"/>
  <c r="Z482" i="7" s="1"/>
  <c r="K490" i="7"/>
  <c r="Z490" i="7" s="1"/>
  <c r="K447" i="7"/>
  <c r="Z447" i="7" s="1"/>
  <c r="K487" i="7"/>
  <c r="Z487" i="7" s="1"/>
  <c r="K443" i="7"/>
  <c r="Z443" i="7" s="1"/>
  <c r="K451" i="7"/>
  <c r="Z451" i="7" s="1"/>
  <c r="K459" i="7"/>
  <c r="Z459" i="7" s="1"/>
  <c r="K467" i="7"/>
  <c r="Z467" i="7" s="1"/>
  <c r="K475" i="7"/>
  <c r="Z475" i="7" s="1"/>
  <c r="K483" i="7"/>
  <c r="Z483" i="7" s="1"/>
  <c r="K491" i="7"/>
  <c r="Z491" i="7" s="1"/>
  <c r="K444" i="7"/>
  <c r="Z444" i="7" s="1"/>
  <c r="K452" i="7"/>
  <c r="Z452" i="7" s="1"/>
  <c r="K460" i="7"/>
  <c r="Z460" i="7" s="1"/>
  <c r="K468" i="7"/>
  <c r="Z468" i="7" s="1"/>
  <c r="K476" i="7"/>
  <c r="Z476" i="7" s="1"/>
  <c r="K484" i="7"/>
  <c r="Z484" i="7" s="1"/>
  <c r="K492" i="7"/>
  <c r="Z492" i="7" s="1"/>
  <c r="K445" i="7"/>
  <c r="Z445" i="7" s="1"/>
  <c r="K453" i="7"/>
  <c r="Z453" i="7" s="1"/>
  <c r="K461" i="7"/>
  <c r="Z461" i="7" s="1"/>
  <c r="K469" i="7"/>
  <c r="Z469" i="7" s="1"/>
  <c r="K477" i="7"/>
  <c r="Z477" i="7" s="1"/>
  <c r="K485" i="7"/>
  <c r="Z485" i="7" s="1"/>
  <c r="K442" i="7"/>
  <c r="Z442" i="7" s="1"/>
  <c r="K463" i="7"/>
  <c r="Z463" i="7" s="1"/>
  <c r="K446" i="7"/>
  <c r="Z446" i="7" s="1"/>
  <c r="K454" i="7"/>
  <c r="Z454" i="7" s="1"/>
  <c r="K462" i="7"/>
  <c r="Z462" i="7" s="1"/>
  <c r="K470" i="7"/>
  <c r="Z470" i="7" s="1"/>
  <c r="K478" i="7"/>
  <c r="Z478" i="7" s="1"/>
  <c r="K486" i="7"/>
  <c r="Z486" i="7" s="1"/>
  <c r="K455" i="7"/>
  <c r="Z455" i="7" s="1"/>
  <c r="K479" i="7"/>
  <c r="Z479" i="7" s="1"/>
  <c r="M632" i="7"/>
  <c r="U632" i="7" s="1"/>
  <c r="M534" i="7"/>
  <c r="U534" i="7" s="1"/>
  <c r="M539" i="7"/>
  <c r="U539" i="7" s="1"/>
  <c r="M501" i="7"/>
  <c r="U501" i="7" s="1"/>
  <c r="M619" i="7"/>
  <c r="U619" i="7" s="1"/>
  <c r="M819" i="7"/>
  <c r="U819" i="7" s="1"/>
  <c r="M512" i="7"/>
  <c r="U512" i="7" s="1"/>
  <c r="M537" i="7"/>
  <c r="U537" i="7" s="1"/>
  <c r="M533" i="7"/>
  <c r="U533" i="7" s="1"/>
  <c r="M541" i="7"/>
  <c r="U541" i="7" s="1"/>
  <c r="M514" i="7"/>
  <c r="U514" i="7" s="1"/>
  <c r="M499" i="7"/>
  <c r="U499" i="7" s="1"/>
  <c r="M559" i="7"/>
  <c r="U559" i="7" s="1"/>
  <c r="M617" i="7"/>
  <c r="U617" i="7" s="1"/>
  <c r="M623" i="7"/>
  <c r="U623" i="7" s="1"/>
  <c r="M844" i="7"/>
  <c r="U844" i="7" s="1"/>
  <c r="M583" i="7"/>
  <c r="U583" i="7" s="1"/>
  <c r="M555" i="7"/>
  <c r="U555" i="7" s="1"/>
  <c r="M615" i="7"/>
  <c r="U615" i="7" s="1"/>
  <c r="M638" i="7"/>
  <c r="U638" i="7" s="1"/>
  <c r="M628" i="7"/>
  <c r="U628" i="7" s="1"/>
  <c r="M816" i="7"/>
  <c r="U816" i="7" s="1"/>
  <c r="M834" i="7"/>
  <c r="U834" i="7" s="1"/>
  <c r="M811" i="7"/>
  <c r="U811" i="7" s="1"/>
  <c r="M800" i="7"/>
  <c r="U800" i="7" s="1"/>
  <c r="M799" i="7"/>
  <c r="U799" i="7" s="1"/>
  <c r="M645" i="7"/>
  <c r="U645" i="7" s="1"/>
  <c r="M612" i="7"/>
  <c r="U612" i="7" s="1"/>
  <c r="M523" i="7"/>
  <c r="U523" i="7" s="1"/>
  <c r="M508" i="7"/>
  <c r="U508" i="7" s="1"/>
  <c r="M528" i="7"/>
  <c r="U528" i="7" s="1"/>
  <c r="M509" i="7"/>
  <c r="U509" i="7" s="1"/>
  <c r="M515" i="7"/>
  <c r="U515" i="7" s="1"/>
  <c r="M496" i="7"/>
  <c r="U496" i="7" s="1"/>
  <c r="M540" i="7"/>
  <c r="U540" i="7" s="1"/>
  <c r="M505" i="7"/>
  <c r="U505" i="7" s="1"/>
  <c r="M525" i="7"/>
  <c r="U525" i="7" s="1"/>
  <c r="M507" i="7"/>
  <c r="U507" i="7" s="1"/>
  <c r="M551" i="7"/>
  <c r="U551" i="7" s="1"/>
  <c r="M836" i="7"/>
  <c r="U836" i="7" s="1"/>
  <c r="M803" i="7"/>
  <c r="U803" i="7" s="1"/>
  <c r="M821" i="7"/>
  <c r="U821" i="7" s="1"/>
  <c r="M565" i="7"/>
  <c r="U565" i="7" s="1"/>
  <c r="M584" i="7"/>
  <c r="U584" i="7" s="1"/>
  <c r="M629" i="7"/>
  <c r="U629" i="7" s="1"/>
  <c r="M622" i="7"/>
  <c r="U622" i="7" s="1"/>
  <c r="M826" i="7"/>
  <c r="U826" i="7" s="1"/>
  <c r="M846" i="7"/>
  <c r="U846" i="7" s="1"/>
  <c r="M831" i="7"/>
  <c r="U831" i="7" s="1"/>
  <c r="M849" i="7"/>
  <c r="U849" i="7" s="1"/>
  <c r="M804" i="7"/>
  <c r="U804" i="7" s="1"/>
  <c r="M812" i="7"/>
  <c r="U812" i="7" s="1"/>
  <c r="M820" i="7"/>
  <c r="U820" i="7" s="1"/>
  <c r="M801" i="7"/>
  <c r="U801" i="7" s="1"/>
  <c r="M793" i="7"/>
  <c r="U793" i="7" s="1"/>
  <c r="M760" i="7"/>
  <c r="U760" i="7" s="1"/>
  <c r="M788" i="7"/>
  <c r="U788" i="7" s="1"/>
  <c r="M755" i="7"/>
  <c r="U755" i="7" s="1"/>
  <c r="M775" i="7"/>
  <c r="U775" i="7" s="1"/>
  <c r="M773" i="7"/>
  <c r="U773" i="7" s="1"/>
  <c r="M766" i="7"/>
  <c r="U766" i="7" s="1"/>
  <c r="M527" i="7"/>
  <c r="U527" i="7" s="1"/>
  <c r="M535" i="7"/>
  <c r="U535" i="7" s="1"/>
  <c r="M500" i="7"/>
  <c r="U500" i="7" s="1"/>
  <c r="M538" i="7"/>
  <c r="U538" i="7" s="1"/>
  <c r="M517" i="7"/>
  <c r="U517" i="7" s="1"/>
  <c r="M778" i="7"/>
  <c r="U778" i="7" s="1"/>
  <c r="M796" i="7"/>
  <c r="U796" i="7" s="1"/>
  <c r="M763" i="7"/>
  <c r="U763" i="7" s="1"/>
  <c r="M783" i="7"/>
  <c r="U783" i="7" s="1"/>
  <c r="M791" i="7"/>
  <c r="U791" i="7" s="1"/>
  <c r="M765" i="7"/>
  <c r="U765" i="7" s="1"/>
  <c r="M758" i="7"/>
  <c r="U758" i="7" s="1"/>
  <c r="M543" i="7"/>
  <c r="U543" i="7" s="1"/>
  <c r="M494" i="7"/>
  <c r="U494" i="7" s="1"/>
  <c r="M768" i="7"/>
  <c r="U768" i="7" s="1"/>
  <c r="M786" i="7"/>
  <c r="U786" i="7" s="1"/>
  <c r="M753" i="7"/>
  <c r="U753" i="7" s="1"/>
  <c r="M771" i="7"/>
  <c r="U771" i="7" s="1"/>
  <c r="M779" i="7"/>
  <c r="U779" i="7" s="1"/>
  <c r="M757" i="7"/>
  <c r="U757" i="7" s="1"/>
  <c r="M750" i="7"/>
  <c r="U750" i="7" s="1"/>
  <c r="M498" i="7"/>
  <c r="U498" i="7" s="1"/>
  <c r="M516" i="7"/>
  <c r="U516" i="7" s="1"/>
  <c r="M756" i="7"/>
  <c r="U756" i="7" s="1"/>
  <c r="M776" i="7"/>
  <c r="U776" i="7" s="1"/>
  <c r="M794" i="7"/>
  <c r="U794" i="7" s="1"/>
  <c r="M761" i="7"/>
  <c r="U761" i="7" s="1"/>
  <c r="M769" i="7"/>
  <c r="U769" i="7" s="1"/>
  <c r="M749" i="7"/>
  <c r="U749" i="7" s="1"/>
  <c r="M495" i="7"/>
  <c r="U495" i="7" s="1"/>
  <c r="M503" i="7"/>
  <c r="U503" i="7" s="1"/>
  <c r="M506" i="7"/>
  <c r="U506" i="7" s="1"/>
  <c r="M542" i="7"/>
  <c r="U542" i="7" s="1"/>
  <c r="M748" i="7"/>
  <c r="U748" i="7" s="1"/>
  <c r="M764" i="7"/>
  <c r="U764" i="7" s="1"/>
  <c r="M784" i="7"/>
  <c r="U784" i="7" s="1"/>
  <c r="M751" i="7"/>
  <c r="U751" i="7" s="1"/>
  <c r="M759" i="7"/>
  <c r="U759" i="7" s="1"/>
  <c r="M798" i="7"/>
  <c r="U798" i="7" s="1"/>
  <c r="M511" i="7"/>
  <c r="U511" i="7" s="1"/>
  <c r="M787" i="7"/>
  <c r="U787" i="7" s="1"/>
  <c r="M754" i="7"/>
  <c r="U754" i="7" s="1"/>
  <c r="M772" i="7"/>
  <c r="U772" i="7" s="1"/>
  <c r="M792" i="7"/>
  <c r="U792" i="7" s="1"/>
  <c r="M797" i="7"/>
  <c r="U797" i="7" s="1"/>
  <c r="M790" i="7"/>
  <c r="U790" i="7" s="1"/>
  <c r="M524" i="7"/>
  <c r="U524" i="7" s="1"/>
  <c r="M532" i="7"/>
  <c r="U532" i="7" s="1"/>
  <c r="M519" i="7"/>
  <c r="U519" i="7" s="1"/>
  <c r="M526" i="7"/>
  <c r="U526" i="7" s="1"/>
  <c r="M777" i="7"/>
  <c r="U777" i="7" s="1"/>
  <c r="M795" i="7"/>
  <c r="U795" i="7" s="1"/>
  <c r="M762" i="7"/>
  <c r="U762" i="7" s="1"/>
  <c r="M780" i="7"/>
  <c r="U780" i="7" s="1"/>
  <c r="M789" i="7"/>
  <c r="U789" i="7" s="1"/>
  <c r="M782" i="7"/>
  <c r="U782" i="7" s="1"/>
  <c r="M522" i="7"/>
  <c r="U522" i="7" s="1"/>
  <c r="M518" i="7"/>
  <c r="U518" i="7" s="1"/>
  <c r="M767" i="7"/>
  <c r="U767" i="7" s="1"/>
  <c r="M785" i="7"/>
  <c r="U785" i="7" s="1"/>
  <c r="M752" i="7"/>
  <c r="U752" i="7" s="1"/>
  <c r="M770" i="7"/>
  <c r="U770" i="7" s="1"/>
  <c r="M781" i="7"/>
  <c r="U781" i="7" s="1"/>
  <c r="M774" i="7"/>
  <c r="U774" i="7" s="1"/>
  <c r="M530" i="7"/>
  <c r="U530" i="7" s="1"/>
  <c r="M510" i="7"/>
  <c r="U510" i="7" s="1"/>
  <c r="M567" i="7"/>
  <c r="U567" i="7" s="1"/>
  <c r="M550" i="7"/>
  <c r="U550" i="7" s="1"/>
  <c r="M683" i="7"/>
  <c r="U683" i="7" s="1"/>
  <c r="M695" i="7"/>
  <c r="U695" i="7" s="1"/>
  <c r="M690" i="7"/>
  <c r="U690" i="7" s="1"/>
  <c r="M678" i="7"/>
  <c r="U678" i="7" s="1"/>
  <c r="M651" i="7"/>
  <c r="U651" i="7" s="1"/>
  <c r="M595" i="7"/>
  <c r="U595" i="7" s="1"/>
  <c r="M620" i="7"/>
  <c r="U620" i="7" s="1"/>
  <c r="M626" i="7"/>
  <c r="U626" i="7" s="1"/>
  <c r="M669" i="7"/>
  <c r="U669" i="7" s="1"/>
  <c r="M679" i="7"/>
  <c r="U679" i="7" s="1"/>
  <c r="M658" i="7"/>
  <c r="U658" i="7" s="1"/>
  <c r="M580" i="7"/>
  <c r="U580" i="7" s="1"/>
  <c r="M585" i="7"/>
  <c r="U585" i="7" s="1"/>
  <c r="M566" i="7"/>
  <c r="U566" i="7" s="1"/>
  <c r="M563" i="7"/>
  <c r="U563" i="7" s="1"/>
  <c r="M581" i="7"/>
  <c r="U581" i="7" s="1"/>
  <c r="M611" i="7"/>
  <c r="U611" i="7" s="1"/>
  <c r="M598" i="7"/>
  <c r="U598" i="7" s="1"/>
  <c r="M608" i="7"/>
  <c r="U608" i="7" s="1"/>
  <c r="M641" i="7"/>
  <c r="U641" i="7" s="1"/>
  <c r="M650" i="7"/>
  <c r="U650" i="7" s="1"/>
  <c r="M675" i="7"/>
  <c r="U675" i="7" s="1"/>
  <c r="M652" i="7"/>
  <c r="U652" i="7" s="1"/>
  <c r="M561" i="7"/>
  <c r="U561" i="7" s="1"/>
  <c r="M589" i="7"/>
  <c r="U589" i="7" s="1"/>
  <c r="M574" i="7"/>
  <c r="U574" i="7" s="1"/>
  <c r="M588" i="7"/>
  <c r="U588" i="7" s="1"/>
  <c r="M545" i="7"/>
  <c r="U545" i="7" s="1"/>
  <c r="M562" i="7"/>
  <c r="U562" i="7" s="1"/>
  <c r="M590" i="7"/>
  <c r="U590" i="7" s="1"/>
  <c r="M571" i="7"/>
  <c r="U571" i="7" s="1"/>
  <c r="M570" i="7"/>
  <c r="U570" i="7" s="1"/>
  <c r="M602" i="7"/>
  <c r="U602" i="7" s="1"/>
  <c r="M605" i="7"/>
  <c r="U605" i="7" s="1"/>
  <c r="M674" i="7"/>
  <c r="U674" i="7" s="1"/>
  <c r="M614" i="7"/>
  <c r="U614" i="7" s="1"/>
  <c r="M644" i="7"/>
  <c r="U644" i="7" s="1"/>
  <c r="M636" i="7"/>
  <c r="U636" i="7" s="1"/>
  <c r="M656" i="7"/>
  <c r="U656" i="7" s="1"/>
  <c r="M648" i="7"/>
  <c r="U648" i="7" s="1"/>
  <c r="M671" i="7"/>
  <c r="U671" i="7" s="1"/>
  <c r="M681" i="7"/>
  <c r="U681" i="7" s="1"/>
  <c r="M568" i="7"/>
  <c r="U568" i="7" s="1"/>
  <c r="M576" i="7"/>
  <c r="U576" i="7" s="1"/>
  <c r="M578" i="7"/>
  <c r="U578" i="7" s="1"/>
  <c r="M546" i="7"/>
  <c r="U546" i="7" s="1"/>
  <c r="M577" i="7"/>
  <c r="U577" i="7" s="1"/>
  <c r="M557" i="7"/>
  <c r="U557" i="7" s="1"/>
  <c r="M558" i="7"/>
  <c r="U558" i="7" s="1"/>
  <c r="M575" i="7"/>
  <c r="U575" i="7" s="1"/>
  <c r="M625" i="7"/>
  <c r="U625" i="7" s="1"/>
  <c r="M624" i="7"/>
  <c r="U624" i="7" s="1"/>
  <c r="M613" i="7"/>
  <c r="U613" i="7" s="1"/>
  <c r="M646" i="7"/>
  <c r="U646" i="7" s="1"/>
  <c r="M662" i="7"/>
  <c r="U662" i="7" s="1"/>
  <c r="M660" i="7"/>
  <c r="U660" i="7" s="1"/>
  <c r="M682" i="7"/>
  <c r="U682" i="7" s="1"/>
  <c r="M596" i="7"/>
  <c r="U596" i="7" s="1"/>
  <c r="M643" i="7"/>
  <c r="U643" i="7" s="1"/>
  <c r="M668" i="7"/>
  <c r="U668" i="7" s="1"/>
  <c r="M677" i="7"/>
  <c r="U677" i="7" s="1"/>
  <c r="M689" i="7"/>
  <c r="U689" i="7" s="1"/>
  <c r="M573" i="7"/>
  <c r="U573" i="7" s="1"/>
  <c r="M582" i="7"/>
  <c r="U582" i="7" s="1"/>
  <c r="M592" i="7"/>
  <c r="U592" i="7" s="1"/>
  <c r="M579" i="7"/>
  <c r="U579" i="7" s="1"/>
  <c r="M547" i="7"/>
  <c r="U547" i="7" s="1"/>
  <c r="M631" i="7"/>
  <c r="U631" i="7" s="1"/>
  <c r="M676" i="7"/>
  <c r="U676" i="7" s="1"/>
  <c r="M696" i="7"/>
  <c r="U696" i="7" s="1"/>
  <c r="M635" i="7"/>
  <c r="U635" i="7" s="1"/>
  <c r="M639" i="7"/>
  <c r="U639" i="7" s="1"/>
  <c r="M653" i="7"/>
  <c r="U653" i="7" s="1"/>
  <c r="M693" i="7"/>
  <c r="U693" i="7" s="1"/>
  <c r="M564" i="7"/>
  <c r="U564" i="7" s="1"/>
  <c r="M556" i="7"/>
  <c r="U556" i="7" s="1"/>
  <c r="M553" i="7"/>
  <c r="U553" i="7" s="1"/>
  <c r="M549" i="7"/>
  <c r="U549" i="7" s="1"/>
  <c r="M569" i="7"/>
  <c r="U569" i="7" s="1"/>
  <c r="M552" i="7"/>
  <c r="U552" i="7" s="1"/>
  <c r="M587" i="7"/>
  <c r="U587" i="7" s="1"/>
  <c r="M554" i="7"/>
  <c r="U554" i="7" s="1"/>
  <c r="E77" i="28"/>
  <c r="E79" i="28"/>
  <c r="E80" i="28"/>
  <c r="E94" i="28"/>
  <c r="AC114" i="42" l="1"/>
  <c r="AC112" i="42"/>
  <c r="AC113" i="42"/>
  <c r="N16" i="33"/>
  <c r="AB646" i="7"/>
  <c r="AB493" i="7"/>
  <c r="AB748" i="7"/>
  <c r="L53" i="52" s="1"/>
  <c r="Q51" i="33" s="1"/>
  <c r="K16" i="33"/>
  <c r="AB544" i="7"/>
  <c r="L52" i="52" s="1"/>
  <c r="AB595" i="7"/>
  <c r="L54" i="52" s="1"/>
  <c r="AB799" i="7"/>
  <c r="L55" i="52" s="1"/>
  <c r="I45" i="33"/>
  <c r="L45" i="33"/>
  <c r="F26" i="33"/>
  <c r="I26" i="33" s="1"/>
  <c r="K19" i="51"/>
  <c r="L17" i="52"/>
  <c r="Q42" i="33" s="1"/>
  <c r="K20" i="51"/>
  <c r="L18" i="52"/>
  <c r="K18" i="51"/>
  <c r="X119" i="42"/>
  <c r="U119" i="42"/>
  <c r="Y69" i="42"/>
  <c r="Y68" i="42"/>
  <c r="Y67" i="42"/>
  <c r="AA69" i="42"/>
  <c r="AA68" i="42"/>
  <c r="AA67" i="42"/>
  <c r="S69" i="42"/>
  <c r="S68" i="42"/>
  <c r="S67" i="42"/>
  <c r="W67" i="42"/>
  <c r="W69" i="42"/>
  <c r="W68" i="42"/>
  <c r="X69" i="42"/>
  <c r="X67" i="42"/>
  <c r="X68" i="42"/>
  <c r="U69" i="42"/>
  <c r="U68" i="42"/>
  <c r="U67" i="42"/>
  <c r="Z69" i="42"/>
  <c r="Z68" i="42"/>
  <c r="Z67" i="42"/>
  <c r="F20" i="33"/>
  <c r="M487" i="7"/>
  <c r="U487" i="7" s="1"/>
  <c r="M483" i="7"/>
  <c r="U483" i="7" s="1"/>
  <c r="M452" i="7"/>
  <c r="U452" i="7" s="1"/>
  <c r="M488" i="7"/>
  <c r="U488" i="7" s="1"/>
  <c r="M460" i="7"/>
  <c r="U460" i="7" s="1"/>
  <c r="M464" i="7"/>
  <c r="U464" i="7" s="1"/>
  <c r="M465" i="7"/>
  <c r="U465" i="7" s="1"/>
  <c r="M477" i="7"/>
  <c r="U477" i="7" s="1"/>
  <c r="M459" i="7"/>
  <c r="U459" i="7" s="1"/>
  <c r="M491" i="7"/>
  <c r="U491" i="7" s="1"/>
  <c r="M490" i="7"/>
  <c r="U490" i="7" s="1"/>
  <c r="M492" i="7"/>
  <c r="U492" i="7" s="1"/>
  <c r="M445" i="7"/>
  <c r="U445" i="7" s="1"/>
  <c r="M462" i="7"/>
  <c r="U462" i="7" s="1"/>
  <c r="M451" i="7"/>
  <c r="U451" i="7" s="1"/>
  <c r="M458" i="7"/>
  <c r="U458" i="7" s="1"/>
  <c r="M473" i="7"/>
  <c r="U473" i="7" s="1"/>
  <c r="M455" i="7"/>
  <c r="U455" i="7" s="1"/>
  <c r="M475" i="7"/>
  <c r="U475" i="7" s="1"/>
  <c r="M448" i="7"/>
  <c r="U448" i="7" s="1"/>
  <c r="M486" i="7"/>
  <c r="U486" i="7" s="1"/>
  <c r="M449" i="7"/>
  <c r="U449" i="7" s="1"/>
  <c r="M447" i="7"/>
  <c r="U447" i="7" s="1"/>
  <c r="M450" i="7"/>
  <c r="U450" i="7" s="1"/>
  <c r="M479" i="7"/>
  <c r="U479" i="7" s="1"/>
  <c r="M469" i="7"/>
  <c r="U469" i="7" s="1"/>
  <c r="M482" i="7"/>
  <c r="U482" i="7" s="1"/>
  <c r="M456" i="7"/>
  <c r="U456" i="7" s="1"/>
  <c r="M446" i="7"/>
  <c r="U446" i="7" s="1"/>
  <c r="M484" i="7"/>
  <c r="U484" i="7" s="1"/>
  <c r="M443" i="7"/>
  <c r="U443" i="7" s="1"/>
  <c r="M489" i="7"/>
  <c r="U489" i="7" s="1"/>
  <c r="M480" i="7"/>
  <c r="U480" i="7" s="1"/>
  <c r="M471" i="7"/>
  <c r="U471" i="7" s="1"/>
  <c r="M454" i="7"/>
  <c r="U454" i="7" s="1"/>
  <c r="M461" i="7"/>
  <c r="U461" i="7" s="1"/>
  <c r="M478" i="7"/>
  <c r="U478" i="7" s="1"/>
  <c r="M485" i="7"/>
  <c r="U485" i="7" s="1"/>
  <c r="M467" i="7"/>
  <c r="U467" i="7" s="1"/>
  <c r="M474" i="7"/>
  <c r="U474" i="7" s="1"/>
  <c r="M442" i="7"/>
  <c r="U442" i="7" s="1"/>
  <c r="M444" i="7"/>
  <c r="U444" i="7" s="1"/>
  <c r="M476" i="7"/>
  <c r="U476" i="7" s="1"/>
  <c r="M472" i="7"/>
  <c r="U472" i="7" s="1"/>
  <c r="M463" i="7"/>
  <c r="U463" i="7" s="1"/>
  <c r="M453" i="7"/>
  <c r="U453" i="7" s="1"/>
  <c r="M470" i="7"/>
  <c r="U470" i="7" s="1"/>
  <c r="M468" i="7"/>
  <c r="U468" i="7" s="1"/>
  <c r="M466" i="7"/>
  <c r="U466" i="7" s="1"/>
  <c r="M481" i="7"/>
  <c r="U481" i="7" s="1"/>
  <c r="M457" i="7"/>
  <c r="U457" i="7" s="1"/>
  <c r="L50" i="52"/>
  <c r="L51" i="52"/>
  <c r="G59" i="33" l="1"/>
  <c r="AB442" i="7"/>
  <c r="L48" i="52" s="1"/>
  <c r="G65" i="33"/>
  <c r="G62" i="33"/>
  <c r="J62" i="33"/>
  <c r="G61" i="33"/>
  <c r="K37" i="54"/>
  <c r="AC101" i="42"/>
  <c r="AC98" i="42"/>
  <c r="AC100" i="42"/>
  <c r="AC99" i="42"/>
  <c r="AC102" i="42"/>
  <c r="K34" i="54"/>
  <c r="AC81" i="42"/>
  <c r="AC83" i="42"/>
  <c r="AC85" i="42"/>
  <c r="AC82" i="42"/>
  <c r="AC84" i="42"/>
  <c r="K35" i="54"/>
  <c r="AC97" i="42"/>
  <c r="AC95" i="42"/>
  <c r="AC96" i="42"/>
  <c r="AC94" i="42"/>
  <c r="AC93" i="42"/>
  <c r="K32" i="54"/>
  <c r="AC71" i="42"/>
  <c r="AC75" i="42"/>
  <c r="AC73" i="42"/>
  <c r="AC72" i="42"/>
  <c r="AC74" i="42"/>
  <c r="K38" i="54"/>
  <c r="AC107" i="42"/>
  <c r="AC103" i="42"/>
  <c r="AC105" i="42"/>
  <c r="AC104" i="42"/>
  <c r="AC106" i="42"/>
  <c r="K33" i="54"/>
  <c r="AC79" i="42"/>
  <c r="AC78" i="42"/>
  <c r="AC76" i="42"/>
  <c r="AC77" i="42"/>
  <c r="AC80" i="42"/>
  <c r="G60" i="33"/>
  <c r="H62" i="33" l="1"/>
  <c r="H67" i="33"/>
  <c r="H64" i="33"/>
  <c r="H63" i="33"/>
  <c r="H66" i="33"/>
  <c r="H65" i="33"/>
  <c r="K31" i="54"/>
  <c r="AC69" i="42"/>
  <c r="AC66" i="42"/>
  <c r="AC68" i="42"/>
  <c r="AC67" i="42"/>
  <c r="AC70" i="42"/>
  <c r="K287" i="7"/>
  <c r="K295" i="7"/>
  <c r="K303" i="7"/>
  <c r="K311" i="7"/>
  <c r="K319" i="7"/>
  <c r="K327" i="7"/>
  <c r="K335" i="7"/>
  <c r="K288" i="7"/>
  <c r="K296" i="7"/>
  <c r="K304" i="7"/>
  <c r="K312" i="7"/>
  <c r="K320" i="7"/>
  <c r="K328" i="7"/>
  <c r="K336" i="7"/>
  <c r="K289" i="7"/>
  <c r="K297" i="7"/>
  <c r="K305" i="7"/>
  <c r="K313" i="7"/>
  <c r="K321" i="7"/>
  <c r="K329" i="7"/>
  <c r="K286" i="7"/>
  <c r="K293" i="7"/>
  <c r="K307" i="7"/>
  <c r="K318" i="7"/>
  <c r="K332" i="7"/>
  <c r="K294" i="7"/>
  <c r="K308" i="7"/>
  <c r="K322" i="7"/>
  <c r="K333" i="7"/>
  <c r="K298" i="7"/>
  <c r="K309" i="7"/>
  <c r="K323" i="7"/>
  <c r="K334" i="7"/>
  <c r="K299" i="7"/>
  <c r="K310" i="7"/>
  <c r="K324" i="7"/>
  <c r="K300" i="7"/>
  <c r="K314" i="7"/>
  <c r="K325" i="7"/>
  <c r="K326" i="7"/>
  <c r="K317" i="7"/>
  <c r="K290" i="7"/>
  <c r="K301" i="7"/>
  <c r="K315" i="7"/>
  <c r="K292" i="7"/>
  <c r="K291" i="7"/>
  <c r="K302" i="7"/>
  <c r="K316" i="7"/>
  <c r="K330" i="7"/>
  <c r="K306" i="7"/>
  <c r="K331" i="7"/>
  <c r="D291" i="7"/>
  <c r="D299" i="7"/>
  <c r="D307" i="7"/>
  <c r="D315" i="7"/>
  <c r="D323" i="7"/>
  <c r="D331" i="7"/>
  <c r="D292" i="7"/>
  <c r="D300" i="7"/>
  <c r="D308" i="7"/>
  <c r="D316" i="7"/>
  <c r="D324" i="7"/>
  <c r="D332" i="7"/>
  <c r="D293" i="7"/>
  <c r="D301" i="7"/>
  <c r="D309" i="7"/>
  <c r="D317" i="7"/>
  <c r="D325" i="7"/>
  <c r="D333" i="7"/>
  <c r="D286" i="7"/>
  <c r="D294" i="7"/>
  <c r="D302" i="7"/>
  <c r="D310" i="7"/>
  <c r="D318" i="7"/>
  <c r="D326" i="7"/>
  <c r="D334" i="7"/>
  <c r="D287" i="7"/>
  <c r="D295" i="7"/>
  <c r="D303" i="7"/>
  <c r="D311" i="7"/>
  <c r="D319" i="7"/>
  <c r="D327" i="7"/>
  <c r="D335" i="7"/>
  <c r="D288" i="7"/>
  <c r="D296" i="7"/>
  <c r="D304" i="7"/>
  <c r="D312" i="7"/>
  <c r="D320" i="7"/>
  <c r="D328" i="7"/>
  <c r="D336" i="7"/>
  <c r="D289" i="7"/>
  <c r="D297" i="7"/>
  <c r="D305" i="7"/>
  <c r="D313" i="7"/>
  <c r="D321" i="7"/>
  <c r="D329" i="7"/>
  <c r="D298" i="7"/>
  <c r="D306" i="7"/>
  <c r="D314" i="7"/>
  <c r="D322" i="7"/>
  <c r="D330" i="7"/>
  <c r="D290" i="7"/>
  <c r="G288" i="7"/>
  <c r="G296" i="7"/>
  <c r="G304" i="7"/>
  <c r="G312" i="7"/>
  <c r="G320" i="7"/>
  <c r="G328" i="7"/>
  <c r="G336" i="7"/>
  <c r="G289" i="7"/>
  <c r="G297" i="7"/>
  <c r="G305" i="7"/>
  <c r="G313" i="7"/>
  <c r="G321" i="7"/>
  <c r="G329" i="7"/>
  <c r="G286" i="7"/>
  <c r="G290" i="7"/>
  <c r="G298" i="7"/>
  <c r="G306" i="7"/>
  <c r="G314" i="7"/>
  <c r="G322" i="7"/>
  <c r="G330" i="7"/>
  <c r="G293" i="7"/>
  <c r="G307" i="7"/>
  <c r="G318" i="7"/>
  <c r="G332" i="7"/>
  <c r="G294" i="7"/>
  <c r="G308" i="7"/>
  <c r="G319" i="7"/>
  <c r="G333" i="7"/>
  <c r="G295" i="7"/>
  <c r="G309" i="7"/>
  <c r="G323" i="7"/>
  <c r="G334" i="7"/>
  <c r="G299" i="7"/>
  <c r="G310" i="7"/>
  <c r="G324" i="7"/>
  <c r="G335" i="7"/>
  <c r="G300" i="7"/>
  <c r="G311" i="7"/>
  <c r="G325" i="7"/>
  <c r="G331" i="7"/>
  <c r="G287" i="7"/>
  <c r="G301" i="7"/>
  <c r="G315" i="7"/>
  <c r="G326" i="7"/>
  <c r="G303" i="7"/>
  <c r="G291" i="7"/>
  <c r="G302" i="7"/>
  <c r="G316" i="7"/>
  <c r="G327" i="7"/>
  <c r="G292" i="7"/>
  <c r="G317" i="7"/>
  <c r="L290" i="7"/>
  <c r="L298" i="7"/>
  <c r="L306" i="7"/>
  <c r="L314" i="7"/>
  <c r="L322" i="7"/>
  <c r="L330" i="7"/>
  <c r="L291" i="7"/>
  <c r="L299" i="7"/>
  <c r="L307" i="7"/>
  <c r="L315" i="7"/>
  <c r="L323" i="7"/>
  <c r="L331" i="7"/>
  <c r="L292" i="7"/>
  <c r="L300" i="7"/>
  <c r="L308" i="7"/>
  <c r="L316" i="7"/>
  <c r="L324" i="7"/>
  <c r="L332" i="7"/>
  <c r="L294" i="7"/>
  <c r="L305" i="7"/>
  <c r="L319" i="7"/>
  <c r="L333" i="7"/>
  <c r="L295" i="7"/>
  <c r="L309" i="7"/>
  <c r="L320" i="7"/>
  <c r="L334" i="7"/>
  <c r="L296" i="7"/>
  <c r="L310" i="7"/>
  <c r="L321" i="7"/>
  <c r="L335" i="7"/>
  <c r="L297" i="7"/>
  <c r="L311" i="7"/>
  <c r="L325" i="7"/>
  <c r="L336" i="7"/>
  <c r="L287" i="7"/>
  <c r="L301" i="7"/>
  <c r="L312" i="7"/>
  <c r="L326" i="7"/>
  <c r="L286" i="7"/>
  <c r="L288" i="7"/>
  <c r="L304" i="7"/>
  <c r="L329" i="7"/>
  <c r="L302" i="7"/>
  <c r="L313" i="7"/>
  <c r="L327" i="7"/>
  <c r="L289" i="7"/>
  <c r="L303" i="7"/>
  <c r="L317" i="7"/>
  <c r="L328" i="7"/>
  <c r="L293" i="7"/>
  <c r="L318" i="7"/>
  <c r="I293" i="7"/>
  <c r="I301" i="7"/>
  <c r="I309" i="7"/>
  <c r="I317" i="7"/>
  <c r="I325" i="7"/>
  <c r="I333" i="7"/>
  <c r="I294" i="7"/>
  <c r="I302" i="7"/>
  <c r="I310" i="7"/>
  <c r="I318" i="7"/>
  <c r="I326" i="7"/>
  <c r="I334" i="7"/>
  <c r="I287" i="7"/>
  <c r="I295" i="7"/>
  <c r="I303" i="7"/>
  <c r="I311" i="7"/>
  <c r="I319" i="7"/>
  <c r="I327" i="7"/>
  <c r="I335" i="7"/>
  <c r="I292" i="7"/>
  <c r="I306" i="7"/>
  <c r="I320" i="7"/>
  <c r="I331" i="7"/>
  <c r="I296" i="7"/>
  <c r="I307" i="7"/>
  <c r="I321" i="7"/>
  <c r="I332" i="7"/>
  <c r="I297" i="7"/>
  <c r="I308" i="7"/>
  <c r="I322" i="7"/>
  <c r="I336" i="7"/>
  <c r="I298" i="7"/>
  <c r="I312" i="7"/>
  <c r="I323" i="7"/>
  <c r="I286" i="7"/>
  <c r="I288" i="7"/>
  <c r="I299" i="7"/>
  <c r="I313" i="7"/>
  <c r="I324" i="7"/>
  <c r="I316" i="7"/>
  <c r="I289" i="7"/>
  <c r="I300" i="7"/>
  <c r="I314" i="7"/>
  <c r="I328" i="7"/>
  <c r="I290" i="7"/>
  <c r="I304" i="7"/>
  <c r="I315" i="7"/>
  <c r="I329" i="7"/>
  <c r="I291" i="7"/>
  <c r="I305" i="7"/>
  <c r="I330" i="7"/>
  <c r="J290" i="7"/>
  <c r="J291" i="7"/>
  <c r="J299" i="7"/>
  <c r="J307" i="7"/>
  <c r="J315" i="7"/>
  <c r="J292" i="7"/>
  <c r="J293" i="7"/>
  <c r="J301" i="7"/>
  <c r="J309" i="7"/>
  <c r="J317" i="7"/>
  <c r="J294" i="7"/>
  <c r="J302" i="7"/>
  <c r="J310" i="7"/>
  <c r="J318" i="7"/>
  <c r="J326" i="7"/>
  <c r="J334" i="7"/>
  <c r="J287" i="7"/>
  <c r="J295" i="7"/>
  <c r="J303" i="7"/>
  <c r="J311" i="7"/>
  <c r="J319" i="7"/>
  <c r="J327" i="7"/>
  <c r="J335" i="7"/>
  <c r="J288" i="7"/>
  <c r="J296" i="7"/>
  <c r="J304" i="7"/>
  <c r="J312" i="7"/>
  <c r="J320" i="7"/>
  <c r="J328" i="7"/>
  <c r="J336" i="7"/>
  <c r="J297" i="7"/>
  <c r="J316" i="7"/>
  <c r="J331" i="7"/>
  <c r="J298" i="7"/>
  <c r="J321" i="7"/>
  <c r="J332" i="7"/>
  <c r="J300" i="7"/>
  <c r="J322" i="7"/>
  <c r="J333" i="7"/>
  <c r="J305" i="7"/>
  <c r="J323" i="7"/>
  <c r="J286" i="7"/>
  <c r="J306" i="7"/>
  <c r="J324" i="7"/>
  <c r="J330" i="7"/>
  <c r="J308" i="7"/>
  <c r="J325" i="7"/>
  <c r="J313" i="7"/>
  <c r="J329" i="7"/>
  <c r="J289" i="7"/>
  <c r="J314" i="7"/>
  <c r="H291" i="7"/>
  <c r="H299" i="7"/>
  <c r="H307" i="7"/>
  <c r="H315" i="7"/>
  <c r="H323" i="7"/>
  <c r="H331" i="7"/>
  <c r="H292" i="7"/>
  <c r="H300" i="7"/>
  <c r="H308" i="7"/>
  <c r="H316" i="7"/>
  <c r="H324" i="7"/>
  <c r="H332" i="7"/>
  <c r="H293" i="7"/>
  <c r="H301" i="7"/>
  <c r="H309" i="7"/>
  <c r="H317" i="7"/>
  <c r="H325" i="7"/>
  <c r="H333" i="7"/>
  <c r="H294" i="7"/>
  <c r="H305" i="7"/>
  <c r="H319" i="7"/>
  <c r="H330" i="7"/>
  <c r="H295" i="7"/>
  <c r="H306" i="7"/>
  <c r="H320" i="7"/>
  <c r="H334" i="7"/>
  <c r="H296" i="7"/>
  <c r="H310" i="7"/>
  <c r="H321" i="7"/>
  <c r="H335" i="7"/>
  <c r="H297" i="7"/>
  <c r="H311" i="7"/>
  <c r="H322" i="7"/>
  <c r="H336" i="7"/>
  <c r="H287" i="7"/>
  <c r="H298" i="7"/>
  <c r="H312" i="7"/>
  <c r="H326" i="7"/>
  <c r="H286" i="7"/>
  <c r="H288" i="7"/>
  <c r="H302" i="7"/>
  <c r="H313" i="7"/>
  <c r="H327" i="7"/>
  <c r="H289" i="7"/>
  <c r="H303" i="7"/>
  <c r="H314" i="7"/>
  <c r="H328" i="7"/>
  <c r="H290" i="7"/>
  <c r="H304" i="7"/>
  <c r="H318" i="7"/>
  <c r="H329" i="7"/>
  <c r="L342" i="7" l="1"/>
  <c r="AA342" i="7" s="1"/>
  <c r="L350" i="7"/>
  <c r="AA350" i="7" s="1"/>
  <c r="L358" i="7"/>
  <c r="AA358" i="7" s="1"/>
  <c r="L366" i="7"/>
  <c r="AA366" i="7" s="1"/>
  <c r="L374" i="7"/>
  <c r="AA374" i="7" s="1"/>
  <c r="L382" i="7"/>
  <c r="AA382" i="7" s="1"/>
  <c r="L343" i="7"/>
  <c r="AA343" i="7" s="1"/>
  <c r="L344" i="7"/>
  <c r="AA344" i="7" s="1"/>
  <c r="L345" i="7"/>
  <c r="AA345" i="7" s="1"/>
  <c r="L353" i="7"/>
  <c r="AA353" i="7" s="1"/>
  <c r="L361" i="7"/>
  <c r="AA361" i="7" s="1"/>
  <c r="L369" i="7"/>
  <c r="AA369" i="7" s="1"/>
  <c r="L377" i="7"/>
  <c r="AA377" i="7" s="1"/>
  <c r="L385" i="7"/>
  <c r="AA385" i="7" s="1"/>
  <c r="L338" i="7"/>
  <c r="AA338" i="7" s="1"/>
  <c r="L346" i="7"/>
  <c r="AA346" i="7" s="1"/>
  <c r="L354" i="7"/>
  <c r="AA354" i="7" s="1"/>
  <c r="L362" i="7"/>
  <c r="AA362" i="7" s="1"/>
  <c r="L370" i="7"/>
  <c r="AA370" i="7" s="1"/>
  <c r="L378" i="7"/>
  <c r="AA378" i="7" s="1"/>
  <c r="L386" i="7"/>
  <c r="AA386" i="7" s="1"/>
  <c r="L339" i="7"/>
  <c r="AA339" i="7" s="1"/>
  <c r="L347" i="7"/>
  <c r="AA347" i="7" s="1"/>
  <c r="L355" i="7"/>
  <c r="AA355" i="7" s="1"/>
  <c r="L363" i="7"/>
  <c r="AA363" i="7" s="1"/>
  <c r="L371" i="7"/>
  <c r="AA371" i="7" s="1"/>
  <c r="L379" i="7"/>
  <c r="AA379" i="7" s="1"/>
  <c r="L387" i="7"/>
  <c r="AA387" i="7" s="1"/>
  <c r="L340" i="7"/>
  <c r="AA340" i="7" s="1"/>
  <c r="L348" i="7"/>
  <c r="AA348" i="7" s="1"/>
  <c r="L356" i="7"/>
  <c r="AA356" i="7" s="1"/>
  <c r="L364" i="7"/>
  <c r="AA364" i="7" s="1"/>
  <c r="L372" i="7"/>
  <c r="AA372" i="7" s="1"/>
  <c r="L380" i="7"/>
  <c r="AA380" i="7" s="1"/>
  <c r="L337" i="7"/>
  <c r="AA337" i="7" s="1"/>
  <c r="L349" i="7"/>
  <c r="AA349" i="7" s="1"/>
  <c r="L368" i="7"/>
  <c r="AA368" i="7" s="1"/>
  <c r="K341" i="7"/>
  <c r="K349" i="7"/>
  <c r="K357" i="7"/>
  <c r="K365" i="7"/>
  <c r="K373" i="7"/>
  <c r="K381" i="7"/>
  <c r="L351" i="7"/>
  <c r="AA351" i="7" s="1"/>
  <c r="L373" i="7"/>
  <c r="AA373" i="7" s="1"/>
  <c r="K342" i="7"/>
  <c r="K350" i="7"/>
  <c r="K358" i="7"/>
  <c r="K366" i="7"/>
  <c r="K374" i="7"/>
  <c r="K382" i="7"/>
  <c r="L352" i="7"/>
  <c r="AA352" i="7" s="1"/>
  <c r="L375" i="7"/>
  <c r="AA375" i="7" s="1"/>
  <c r="K343" i="7"/>
  <c r="K351" i="7"/>
  <c r="K359" i="7"/>
  <c r="K367" i="7"/>
  <c r="K375" i="7"/>
  <c r="K383" i="7"/>
  <c r="L357" i="7"/>
  <c r="AA357" i="7" s="1"/>
  <c r="L376" i="7"/>
  <c r="AA376" i="7" s="1"/>
  <c r="K344" i="7"/>
  <c r="K352" i="7"/>
  <c r="K360" i="7"/>
  <c r="K368" i="7"/>
  <c r="K376" i="7"/>
  <c r="K384" i="7"/>
  <c r="L359" i="7"/>
  <c r="AA359" i="7" s="1"/>
  <c r="L381" i="7"/>
  <c r="AA381" i="7" s="1"/>
  <c r="K387" i="7"/>
  <c r="K345" i="7"/>
  <c r="K353" i="7"/>
  <c r="K361" i="7"/>
  <c r="K369" i="7"/>
  <c r="K377" i="7"/>
  <c r="K385" i="7"/>
  <c r="L360" i="7"/>
  <c r="AA360" i="7" s="1"/>
  <c r="L383" i="7"/>
  <c r="AA383" i="7" s="1"/>
  <c r="K338" i="7"/>
  <c r="K346" i="7"/>
  <c r="K354" i="7"/>
  <c r="K362" i="7"/>
  <c r="K370" i="7"/>
  <c r="K378" i="7"/>
  <c r="K386" i="7"/>
  <c r="L365" i="7"/>
  <c r="AA365" i="7" s="1"/>
  <c r="L384" i="7"/>
  <c r="AA384" i="7" s="1"/>
  <c r="K339" i="7"/>
  <c r="K347" i="7"/>
  <c r="K355" i="7"/>
  <c r="K363" i="7"/>
  <c r="K371" i="7"/>
  <c r="K379" i="7"/>
  <c r="K337" i="7"/>
  <c r="K372" i="7"/>
  <c r="K380" i="7"/>
  <c r="L341" i="7"/>
  <c r="AA341" i="7" s="1"/>
  <c r="K340" i="7"/>
  <c r="L367" i="7"/>
  <c r="AA367" i="7" s="1"/>
  <c r="K348" i="7"/>
  <c r="K356" i="7"/>
  <c r="K364" i="7"/>
  <c r="L396" i="7"/>
  <c r="L404" i="7"/>
  <c r="L412" i="7"/>
  <c r="L420" i="7"/>
  <c r="L428" i="7"/>
  <c r="L436" i="7"/>
  <c r="L389" i="7"/>
  <c r="L397" i="7"/>
  <c r="L405" i="7"/>
  <c r="L413" i="7"/>
  <c r="L421" i="7"/>
  <c r="L429" i="7"/>
  <c r="L437" i="7"/>
  <c r="L390" i="7"/>
  <c r="L398" i="7"/>
  <c r="L406" i="7"/>
  <c r="L414" i="7"/>
  <c r="L422" i="7"/>
  <c r="L430" i="7"/>
  <c r="L438" i="7"/>
  <c r="L391" i="7"/>
  <c r="L399" i="7"/>
  <c r="L407" i="7"/>
  <c r="L415" i="7"/>
  <c r="L423" i="7"/>
  <c r="L431" i="7"/>
  <c r="L388" i="7"/>
  <c r="L392" i="7"/>
  <c r="L400" i="7"/>
  <c r="L408" i="7"/>
  <c r="L416" i="7"/>
  <c r="L424" i="7"/>
  <c r="L432" i="7"/>
  <c r="L393" i="7"/>
  <c r="L401" i="7"/>
  <c r="L409" i="7"/>
  <c r="L417" i="7"/>
  <c r="L425" i="7"/>
  <c r="L433" i="7"/>
  <c r="L394" i="7"/>
  <c r="L402" i="7"/>
  <c r="L410" i="7"/>
  <c r="L418" i="7"/>
  <c r="L426" i="7"/>
  <c r="L434" i="7"/>
  <c r="L435" i="7"/>
  <c r="L395" i="7"/>
  <c r="L403" i="7"/>
  <c r="L411" i="7"/>
  <c r="L419" i="7"/>
  <c r="L427" i="7"/>
  <c r="I337" i="7"/>
  <c r="X337" i="7" s="1"/>
  <c r="I344" i="7"/>
  <c r="X344" i="7" s="1"/>
  <c r="I352" i="7"/>
  <c r="X352" i="7" s="1"/>
  <c r="I360" i="7"/>
  <c r="X360" i="7" s="1"/>
  <c r="I368" i="7"/>
  <c r="X368" i="7" s="1"/>
  <c r="I376" i="7"/>
  <c r="X376" i="7" s="1"/>
  <c r="I384" i="7"/>
  <c r="X384" i="7" s="1"/>
  <c r="I345" i="7"/>
  <c r="X345" i="7" s="1"/>
  <c r="I353" i="7"/>
  <c r="X353" i="7" s="1"/>
  <c r="I361" i="7"/>
  <c r="X361" i="7" s="1"/>
  <c r="I369" i="7"/>
  <c r="X369" i="7" s="1"/>
  <c r="I377" i="7"/>
  <c r="X377" i="7" s="1"/>
  <c r="I385" i="7"/>
  <c r="X385" i="7" s="1"/>
  <c r="I338" i="7"/>
  <c r="X338" i="7" s="1"/>
  <c r="I346" i="7"/>
  <c r="X346" i="7" s="1"/>
  <c r="I354" i="7"/>
  <c r="X354" i="7" s="1"/>
  <c r="I362" i="7"/>
  <c r="X362" i="7" s="1"/>
  <c r="I370" i="7"/>
  <c r="X370" i="7" s="1"/>
  <c r="I378" i="7"/>
  <c r="X378" i="7" s="1"/>
  <c r="I386" i="7"/>
  <c r="X386" i="7" s="1"/>
  <c r="I339" i="7"/>
  <c r="X339" i="7" s="1"/>
  <c r="I347" i="7"/>
  <c r="X347" i="7" s="1"/>
  <c r="I355" i="7"/>
  <c r="X355" i="7" s="1"/>
  <c r="I363" i="7"/>
  <c r="X363" i="7" s="1"/>
  <c r="I371" i="7"/>
  <c r="X371" i="7" s="1"/>
  <c r="I379" i="7"/>
  <c r="X379" i="7" s="1"/>
  <c r="I387" i="7"/>
  <c r="X387" i="7" s="1"/>
  <c r="I340" i="7"/>
  <c r="X340" i="7" s="1"/>
  <c r="I348" i="7"/>
  <c r="X348" i="7" s="1"/>
  <c r="I356" i="7"/>
  <c r="X356" i="7" s="1"/>
  <c r="I364" i="7"/>
  <c r="X364" i="7" s="1"/>
  <c r="I372" i="7"/>
  <c r="X372" i="7" s="1"/>
  <c r="I380" i="7"/>
  <c r="X380" i="7" s="1"/>
  <c r="I341" i="7"/>
  <c r="X341" i="7" s="1"/>
  <c r="I349" i="7"/>
  <c r="X349" i="7" s="1"/>
  <c r="I357" i="7"/>
  <c r="X357" i="7" s="1"/>
  <c r="I365" i="7"/>
  <c r="X365" i="7" s="1"/>
  <c r="I373" i="7"/>
  <c r="X373" i="7" s="1"/>
  <c r="I381" i="7"/>
  <c r="X381" i="7" s="1"/>
  <c r="I342" i="7"/>
  <c r="X342" i="7" s="1"/>
  <c r="I350" i="7"/>
  <c r="X350" i="7" s="1"/>
  <c r="I358" i="7"/>
  <c r="X358" i="7" s="1"/>
  <c r="I366" i="7"/>
  <c r="X366" i="7" s="1"/>
  <c r="I374" i="7"/>
  <c r="X374" i="7" s="1"/>
  <c r="I382" i="7"/>
  <c r="X382" i="7" s="1"/>
  <c r="I359" i="7"/>
  <c r="X359" i="7" s="1"/>
  <c r="I367" i="7"/>
  <c r="X367" i="7" s="1"/>
  <c r="I375" i="7"/>
  <c r="X375" i="7" s="1"/>
  <c r="I383" i="7"/>
  <c r="X383" i="7" s="1"/>
  <c r="I343" i="7"/>
  <c r="X343" i="7" s="1"/>
  <c r="I351" i="7"/>
  <c r="X351" i="7" s="1"/>
  <c r="J344" i="7"/>
  <c r="J352" i="7"/>
  <c r="J360" i="7"/>
  <c r="J368" i="7"/>
  <c r="J376" i="7"/>
  <c r="J384" i="7"/>
  <c r="J345" i="7"/>
  <c r="J353" i="7"/>
  <c r="J361" i="7"/>
  <c r="J369" i="7"/>
  <c r="J377" i="7"/>
  <c r="J385" i="7"/>
  <c r="J338" i="7"/>
  <c r="J346" i="7"/>
  <c r="J354" i="7"/>
  <c r="J362" i="7"/>
  <c r="J370" i="7"/>
  <c r="J378" i="7"/>
  <c r="J386" i="7"/>
  <c r="J339" i="7"/>
  <c r="J347" i="7"/>
  <c r="J355" i="7"/>
  <c r="J363" i="7"/>
  <c r="J371" i="7"/>
  <c r="J379" i="7"/>
  <c r="J387" i="7"/>
  <c r="J340" i="7"/>
  <c r="J348" i="7"/>
  <c r="J356" i="7"/>
  <c r="J364" i="7"/>
  <c r="J372" i="7"/>
  <c r="J380" i="7"/>
  <c r="J337" i="7"/>
  <c r="J341" i="7"/>
  <c r="J349" i="7"/>
  <c r="J357" i="7"/>
  <c r="J365" i="7"/>
  <c r="J373" i="7"/>
  <c r="J381" i="7"/>
  <c r="J342" i="7"/>
  <c r="J350" i="7"/>
  <c r="J358" i="7"/>
  <c r="J366" i="7"/>
  <c r="J374" i="7"/>
  <c r="J382" i="7"/>
  <c r="J375" i="7"/>
  <c r="J383" i="7"/>
  <c r="J343" i="7"/>
  <c r="J351" i="7"/>
  <c r="J359" i="7"/>
  <c r="J367" i="7"/>
  <c r="G339" i="7"/>
  <c r="V339" i="7" s="1"/>
  <c r="G347" i="7"/>
  <c r="V347" i="7" s="1"/>
  <c r="G355" i="7"/>
  <c r="V355" i="7" s="1"/>
  <c r="G363" i="7"/>
  <c r="V363" i="7" s="1"/>
  <c r="G371" i="7"/>
  <c r="V371" i="7" s="1"/>
  <c r="G379" i="7"/>
  <c r="V379" i="7" s="1"/>
  <c r="G387" i="7"/>
  <c r="V387" i="7" s="1"/>
  <c r="G340" i="7"/>
  <c r="V340" i="7" s="1"/>
  <c r="G348" i="7"/>
  <c r="V348" i="7" s="1"/>
  <c r="G356" i="7"/>
  <c r="V356" i="7" s="1"/>
  <c r="G364" i="7"/>
  <c r="V364" i="7" s="1"/>
  <c r="G372" i="7"/>
  <c r="V372" i="7" s="1"/>
  <c r="G380" i="7"/>
  <c r="V380" i="7" s="1"/>
  <c r="G337" i="7"/>
  <c r="V337" i="7" s="1"/>
  <c r="G341" i="7"/>
  <c r="V341" i="7" s="1"/>
  <c r="G349" i="7"/>
  <c r="V349" i="7" s="1"/>
  <c r="G357" i="7"/>
  <c r="V357" i="7" s="1"/>
  <c r="G365" i="7"/>
  <c r="V365" i="7" s="1"/>
  <c r="G373" i="7"/>
  <c r="V373" i="7" s="1"/>
  <c r="G381" i="7"/>
  <c r="V381" i="7" s="1"/>
  <c r="G342" i="7"/>
  <c r="V342" i="7" s="1"/>
  <c r="G350" i="7"/>
  <c r="V350" i="7" s="1"/>
  <c r="G358" i="7"/>
  <c r="V358" i="7" s="1"/>
  <c r="G366" i="7"/>
  <c r="V366" i="7" s="1"/>
  <c r="G374" i="7"/>
  <c r="V374" i="7" s="1"/>
  <c r="G382" i="7"/>
  <c r="V382" i="7" s="1"/>
  <c r="G343" i="7"/>
  <c r="V343" i="7" s="1"/>
  <c r="G351" i="7"/>
  <c r="V351" i="7" s="1"/>
  <c r="G359" i="7"/>
  <c r="V359" i="7" s="1"/>
  <c r="G367" i="7"/>
  <c r="V367" i="7" s="1"/>
  <c r="G375" i="7"/>
  <c r="V375" i="7" s="1"/>
  <c r="G383" i="7"/>
  <c r="V383" i="7" s="1"/>
  <c r="G344" i="7"/>
  <c r="V344" i="7" s="1"/>
  <c r="G352" i="7"/>
  <c r="V352" i="7" s="1"/>
  <c r="G360" i="7"/>
  <c r="V360" i="7" s="1"/>
  <c r="G368" i="7"/>
  <c r="V368" i="7" s="1"/>
  <c r="G376" i="7"/>
  <c r="V376" i="7" s="1"/>
  <c r="G384" i="7"/>
  <c r="V384" i="7" s="1"/>
  <c r="G345" i="7"/>
  <c r="V345" i="7" s="1"/>
  <c r="G353" i="7"/>
  <c r="V353" i="7" s="1"/>
  <c r="G361" i="7"/>
  <c r="V361" i="7" s="1"/>
  <c r="G369" i="7"/>
  <c r="V369" i="7" s="1"/>
  <c r="G377" i="7"/>
  <c r="V377" i="7" s="1"/>
  <c r="G385" i="7"/>
  <c r="V385" i="7" s="1"/>
  <c r="G346" i="7"/>
  <c r="V346" i="7" s="1"/>
  <c r="G354" i="7"/>
  <c r="V354" i="7" s="1"/>
  <c r="G362" i="7"/>
  <c r="V362" i="7" s="1"/>
  <c r="G370" i="7"/>
  <c r="V370" i="7" s="1"/>
  <c r="G378" i="7"/>
  <c r="V378" i="7" s="1"/>
  <c r="G386" i="7"/>
  <c r="V386" i="7" s="1"/>
  <c r="G338" i="7"/>
  <c r="V338" i="7" s="1"/>
  <c r="J392" i="7"/>
  <c r="J400" i="7"/>
  <c r="J408" i="7"/>
  <c r="J416" i="7"/>
  <c r="J424" i="7"/>
  <c r="J432" i="7"/>
  <c r="J393" i="7"/>
  <c r="J401" i="7"/>
  <c r="J409" i="7"/>
  <c r="J417" i="7"/>
  <c r="J425" i="7"/>
  <c r="J433" i="7"/>
  <c r="J394" i="7"/>
  <c r="J402" i="7"/>
  <c r="J410" i="7"/>
  <c r="J418" i="7"/>
  <c r="J426" i="7"/>
  <c r="J434" i="7"/>
  <c r="J395" i="7"/>
  <c r="J403" i="7"/>
  <c r="J411" i="7"/>
  <c r="J419" i="7"/>
  <c r="J427" i="7"/>
  <c r="J435" i="7"/>
  <c r="J396" i="7"/>
  <c r="J404" i="7"/>
  <c r="J412" i="7"/>
  <c r="J420" i="7"/>
  <c r="J428" i="7"/>
  <c r="J436" i="7"/>
  <c r="J389" i="7"/>
  <c r="J397" i="7"/>
  <c r="J405" i="7"/>
  <c r="J413" i="7"/>
  <c r="J421" i="7"/>
  <c r="J429" i="7"/>
  <c r="J437" i="7"/>
  <c r="J390" i="7"/>
  <c r="J398" i="7"/>
  <c r="J406" i="7"/>
  <c r="J414" i="7"/>
  <c r="J422" i="7"/>
  <c r="J430" i="7"/>
  <c r="J438" i="7"/>
  <c r="J391" i="7"/>
  <c r="J399" i="7"/>
  <c r="J407" i="7"/>
  <c r="J415" i="7"/>
  <c r="J423" i="7"/>
  <c r="J431" i="7"/>
  <c r="J388" i="7"/>
  <c r="H389" i="7"/>
  <c r="H397" i="7"/>
  <c r="H405" i="7"/>
  <c r="H413" i="7"/>
  <c r="H421" i="7"/>
  <c r="H429" i="7"/>
  <c r="H437" i="7"/>
  <c r="H390" i="7"/>
  <c r="H398" i="7"/>
  <c r="H406" i="7"/>
  <c r="H414" i="7"/>
  <c r="H422" i="7"/>
  <c r="H430" i="7"/>
  <c r="H438" i="7"/>
  <c r="H391" i="7"/>
  <c r="H399" i="7"/>
  <c r="H407" i="7"/>
  <c r="H415" i="7"/>
  <c r="H423" i="7"/>
  <c r="H431" i="7"/>
  <c r="H388" i="7"/>
  <c r="H392" i="7"/>
  <c r="H400" i="7"/>
  <c r="H408" i="7"/>
  <c r="H416" i="7"/>
  <c r="H424" i="7"/>
  <c r="H432" i="7"/>
  <c r="H393" i="7"/>
  <c r="H401" i="7"/>
  <c r="H409" i="7"/>
  <c r="H417" i="7"/>
  <c r="H425" i="7"/>
  <c r="H433" i="7"/>
  <c r="H394" i="7"/>
  <c r="H402" i="7"/>
  <c r="H410" i="7"/>
  <c r="H418" i="7"/>
  <c r="H426" i="7"/>
  <c r="H434" i="7"/>
  <c r="H395" i="7"/>
  <c r="H403" i="7"/>
  <c r="H411" i="7"/>
  <c r="H419" i="7"/>
  <c r="H427" i="7"/>
  <c r="H435" i="7"/>
  <c r="H396" i="7"/>
  <c r="H404" i="7"/>
  <c r="H412" i="7"/>
  <c r="H420" i="7"/>
  <c r="H428" i="7"/>
  <c r="H436" i="7"/>
  <c r="M345" i="7"/>
  <c r="M353" i="7"/>
  <c r="M361" i="7"/>
  <c r="M369" i="7"/>
  <c r="M377" i="7"/>
  <c r="M385" i="7"/>
  <c r="M338" i="7"/>
  <c r="M346" i="7"/>
  <c r="M354" i="7"/>
  <c r="M362" i="7"/>
  <c r="M370" i="7"/>
  <c r="M378" i="7"/>
  <c r="M386" i="7"/>
  <c r="M339" i="7"/>
  <c r="M347" i="7"/>
  <c r="M355" i="7"/>
  <c r="M363" i="7"/>
  <c r="M371" i="7"/>
  <c r="M379" i="7"/>
  <c r="M387" i="7"/>
  <c r="M340" i="7"/>
  <c r="M348" i="7"/>
  <c r="M356" i="7"/>
  <c r="M364" i="7"/>
  <c r="M372" i="7"/>
  <c r="M380" i="7"/>
  <c r="M337" i="7"/>
  <c r="M341" i="7"/>
  <c r="M349" i="7"/>
  <c r="M357" i="7"/>
  <c r="M365" i="7"/>
  <c r="M373" i="7"/>
  <c r="M381" i="7"/>
  <c r="M342" i="7"/>
  <c r="M350" i="7"/>
  <c r="M358" i="7"/>
  <c r="M366" i="7"/>
  <c r="M374" i="7"/>
  <c r="M382" i="7"/>
  <c r="M343" i="7"/>
  <c r="M351" i="7"/>
  <c r="M359" i="7"/>
  <c r="M367" i="7"/>
  <c r="M375" i="7"/>
  <c r="M383" i="7"/>
  <c r="M344" i="7"/>
  <c r="M352" i="7"/>
  <c r="M360" i="7"/>
  <c r="M368" i="7"/>
  <c r="M376" i="7"/>
  <c r="M384" i="7"/>
  <c r="H341" i="7"/>
  <c r="W341" i="7" s="1"/>
  <c r="H349" i="7"/>
  <c r="W349" i="7" s="1"/>
  <c r="H357" i="7"/>
  <c r="W357" i="7" s="1"/>
  <c r="H365" i="7"/>
  <c r="W365" i="7" s="1"/>
  <c r="H373" i="7"/>
  <c r="W373" i="7" s="1"/>
  <c r="H381" i="7"/>
  <c r="W381" i="7" s="1"/>
  <c r="H342" i="7"/>
  <c r="W342" i="7" s="1"/>
  <c r="H350" i="7"/>
  <c r="W350" i="7" s="1"/>
  <c r="H358" i="7"/>
  <c r="W358" i="7" s="1"/>
  <c r="H366" i="7"/>
  <c r="W366" i="7" s="1"/>
  <c r="H374" i="7"/>
  <c r="W374" i="7" s="1"/>
  <c r="H382" i="7"/>
  <c r="W382" i="7" s="1"/>
  <c r="H343" i="7"/>
  <c r="W343" i="7" s="1"/>
  <c r="H351" i="7"/>
  <c r="W351" i="7" s="1"/>
  <c r="H359" i="7"/>
  <c r="W359" i="7" s="1"/>
  <c r="H367" i="7"/>
  <c r="W367" i="7" s="1"/>
  <c r="H375" i="7"/>
  <c r="W375" i="7" s="1"/>
  <c r="H383" i="7"/>
  <c r="W383" i="7" s="1"/>
  <c r="H344" i="7"/>
  <c r="W344" i="7" s="1"/>
  <c r="H352" i="7"/>
  <c r="W352" i="7" s="1"/>
  <c r="H360" i="7"/>
  <c r="W360" i="7" s="1"/>
  <c r="H368" i="7"/>
  <c r="W368" i="7" s="1"/>
  <c r="H376" i="7"/>
  <c r="W376" i="7" s="1"/>
  <c r="H384" i="7"/>
  <c r="W384" i="7" s="1"/>
  <c r="H345" i="7"/>
  <c r="W345" i="7" s="1"/>
  <c r="H353" i="7"/>
  <c r="W353" i="7" s="1"/>
  <c r="H361" i="7"/>
  <c r="W361" i="7" s="1"/>
  <c r="H369" i="7"/>
  <c r="W369" i="7" s="1"/>
  <c r="H377" i="7"/>
  <c r="W377" i="7" s="1"/>
  <c r="H385" i="7"/>
  <c r="W385" i="7" s="1"/>
  <c r="H338" i="7"/>
  <c r="W338" i="7" s="1"/>
  <c r="H346" i="7"/>
  <c r="W346" i="7" s="1"/>
  <c r="H354" i="7"/>
  <c r="W354" i="7" s="1"/>
  <c r="H362" i="7"/>
  <c r="W362" i="7" s="1"/>
  <c r="H370" i="7"/>
  <c r="W370" i="7" s="1"/>
  <c r="H378" i="7"/>
  <c r="W378" i="7" s="1"/>
  <c r="H386" i="7"/>
  <c r="W386" i="7" s="1"/>
  <c r="H339" i="7"/>
  <c r="W339" i="7" s="1"/>
  <c r="H347" i="7"/>
  <c r="W347" i="7" s="1"/>
  <c r="H355" i="7"/>
  <c r="W355" i="7" s="1"/>
  <c r="H363" i="7"/>
  <c r="W363" i="7" s="1"/>
  <c r="H371" i="7"/>
  <c r="W371" i="7" s="1"/>
  <c r="H379" i="7"/>
  <c r="W379" i="7" s="1"/>
  <c r="H387" i="7"/>
  <c r="W387" i="7" s="1"/>
  <c r="H337" i="7"/>
  <c r="W337" i="7" s="1"/>
  <c r="H340" i="7"/>
  <c r="W340" i="7" s="1"/>
  <c r="H348" i="7"/>
  <c r="W348" i="7" s="1"/>
  <c r="H356" i="7"/>
  <c r="W356" i="7" s="1"/>
  <c r="H364" i="7"/>
  <c r="W364" i="7" s="1"/>
  <c r="H372" i="7"/>
  <c r="W372" i="7" s="1"/>
  <c r="H380" i="7"/>
  <c r="W380" i="7" s="1"/>
  <c r="D395" i="7"/>
  <c r="D403" i="7"/>
  <c r="D411" i="7"/>
  <c r="D419" i="7"/>
  <c r="D427" i="7"/>
  <c r="D435" i="7"/>
  <c r="D390" i="7"/>
  <c r="D398" i="7"/>
  <c r="D406" i="7"/>
  <c r="D414" i="7"/>
  <c r="D422" i="7"/>
  <c r="D430" i="7"/>
  <c r="D438" i="7"/>
  <c r="D391" i="7"/>
  <c r="D399" i="7"/>
  <c r="D407" i="7"/>
  <c r="D415" i="7"/>
  <c r="D423" i="7"/>
  <c r="D431" i="7"/>
  <c r="D388" i="7"/>
  <c r="D392" i="7"/>
  <c r="D400" i="7"/>
  <c r="D408" i="7"/>
  <c r="D416" i="7"/>
  <c r="D424" i="7"/>
  <c r="D432" i="7"/>
  <c r="D393" i="7"/>
  <c r="D401" i="7"/>
  <c r="D409" i="7"/>
  <c r="D417" i="7"/>
  <c r="D425" i="7"/>
  <c r="D433" i="7"/>
  <c r="D404" i="7"/>
  <c r="D426" i="7"/>
  <c r="D405" i="7"/>
  <c r="D428" i="7"/>
  <c r="D410" i="7"/>
  <c r="D429" i="7"/>
  <c r="D389" i="7"/>
  <c r="D412" i="7"/>
  <c r="D434" i="7"/>
  <c r="D394" i="7"/>
  <c r="D413" i="7"/>
  <c r="D436" i="7"/>
  <c r="D396" i="7"/>
  <c r="D418" i="7"/>
  <c r="D437" i="7"/>
  <c r="D397" i="7"/>
  <c r="D420" i="7"/>
  <c r="D402" i="7"/>
  <c r="D421" i="7"/>
  <c r="I391" i="7"/>
  <c r="I399" i="7"/>
  <c r="I407" i="7"/>
  <c r="I415" i="7"/>
  <c r="I423" i="7"/>
  <c r="I431" i="7"/>
  <c r="I388" i="7"/>
  <c r="I392" i="7"/>
  <c r="I400" i="7"/>
  <c r="I408" i="7"/>
  <c r="I416" i="7"/>
  <c r="I424" i="7"/>
  <c r="I432" i="7"/>
  <c r="I393" i="7"/>
  <c r="I401" i="7"/>
  <c r="I409" i="7"/>
  <c r="I417" i="7"/>
  <c r="I425" i="7"/>
  <c r="I433" i="7"/>
  <c r="I394" i="7"/>
  <c r="I402" i="7"/>
  <c r="I410" i="7"/>
  <c r="I418" i="7"/>
  <c r="I426" i="7"/>
  <c r="I434" i="7"/>
  <c r="I395" i="7"/>
  <c r="I403" i="7"/>
  <c r="I411" i="7"/>
  <c r="I419" i="7"/>
  <c r="I427" i="7"/>
  <c r="I435" i="7"/>
  <c r="I396" i="7"/>
  <c r="I404" i="7"/>
  <c r="I412" i="7"/>
  <c r="I420" i="7"/>
  <c r="I428" i="7"/>
  <c r="I436" i="7"/>
  <c r="I389" i="7"/>
  <c r="I397" i="7"/>
  <c r="I405" i="7"/>
  <c r="I413" i="7"/>
  <c r="I421" i="7"/>
  <c r="I429" i="7"/>
  <c r="I437" i="7"/>
  <c r="I422" i="7"/>
  <c r="I430" i="7"/>
  <c r="I438" i="7"/>
  <c r="I390" i="7"/>
  <c r="I398" i="7"/>
  <c r="I406" i="7"/>
  <c r="I414" i="7"/>
  <c r="D340" i="7"/>
  <c r="D348" i="7"/>
  <c r="D356" i="7"/>
  <c r="D364" i="7"/>
  <c r="D372" i="7"/>
  <c r="D380" i="7"/>
  <c r="D341" i="7"/>
  <c r="D349" i="7"/>
  <c r="D357" i="7"/>
  <c r="D365" i="7"/>
  <c r="D373" i="7"/>
  <c r="D381" i="7"/>
  <c r="D342" i="7"/>
  <c r="D350" i="7"/>
  <c r="D358" i="7"/>
  <c r="D366" i="7"/>
  <c r="D374" i="7"/>
  <c r="D382" i="7"/>
  <c r="D343" i="7"/>
  <c r="D351" i="7"/>
  <c r="D359" i="7"/>
  <c r="D367" i="7"/>
  <c r="D375" i="7"/>
  <c r="D383" i="7"/>
  <c r="D344" i="7"/>
  <c r="D352" i="7"/>
  <c r="D360" i="7"/>
  <c r="D368" i="7"/>
  <c r="D376" i="7"/>
  <c r="D384" i="7"/>
  <c r="D345" i="7"/>
  <c r="D353" i="7"/>
  <c r="D361" i="7"/>
  <c r="D369" i="7"/>
  <c r="D377" i="7"/>
  <c r="D385" i="7"/>
  <c r="D338" i="7"/>
  <c r="D346" i="7"/>
  <c r="D354" i="7"/>
  <c r="D362" i="7"/>
  <c r="D370" i="7"/>
  <c r="D378" i="7"/>
  <c r="D386" i="7"/>
  <c r="D337" i="7"/>
  <c r="D387" i="7"/>
  <c r="D339" i="7"/>
  <c r="D347" i="7"/>
  <c r="D355" i="7"/>
  <c r="D363" i="7"/>
  <c r="D371" i="7"/>
  <c r="D379" i="7"/>
  <c r="K393" i="7"/>
  <c r="K401" i="7"/>
  <c r="K409" i="7"/>
  <c r="K417" i="7"/>
  <c r="K425" i="7"/>
  <c r="K433" i="7"/>
  <c r="K394" i="7"/>
  <c r="K402" i="7"/>
  <c r="K410" i="7"/>
  <c r="K418" i="7"/>
  <c r="K426" i="7"/>
  <c r="K434" i="7"/>
  <c r="K395" i="7"/>
  <c r="K403" i="7"/>
  <c r="K411" i="7"/>
  <c r="K419" i="7"/>
  <c r="K427" i="7"/>
  <c r="K435" i="7"/>
  <c r="K396" i="7"/>
  <c r="K404" i="7"/>
  <c r="K412" i="7"/>
  <c r="K420" i="7"/>
  <c r="K428" i="7"/>
  <c r="K436" i="7"/>
  <c r="K389" i="7"/>
  <c r="K397" i="7"/>
  <c r="K405" i="7"/>
  <c r="K413" i="7"/>
  <c r="K421" i="7"/>
  <c r="K429" i="7"/>
  <c r="K437" i="7"/>
  <c r="K390" i="7"/>
  <c r="K398" i="7"/>
  <c r="K406" i="7"/>
  <c r="K414" i="7"/>
  <c r="K422" i="7"/>
  <c r="K430" i="7"/>
  <c r="K438" i="7"/>
  <c r="K391" i="7"/>
  <c r="K399" i="7"/>
  <c r="K407" i="7"/>
  <c r="K415" i="7"/>
  <c r="K423" i="7"/>
  <c r="K431" i="7"/>
  <c r="K388" i="7"/>
  <c r="K392" i="7"/>
  <c r="K400" i="7"/>
  <c r="K408" i="7"/>
  <c r="K416" i="7"/>
  <c r="K424" i="7"/>
  <c r="K432" i="7"/>
  <c r="G394" i="7"/>
  <c r="G402" i="7"/>
  <c r="G410" i="7"/>
  <c r="G418" i="7"/>
  <c r="G426" i="7"/>
  <c r="G434" i="7"/>
  <c r="G395" i="7"/>
  <c r="G403" i="7"/>
  <c r="G411" i="7"/>
  <c r="G419" i="7"/>
  <c r="G427" i="7"/>
  <c r="G435" i="7"/>
  <c r="G396" i="7"/>
  <c r="G404" i="7"/>
  <c r="G412" i="7"/>
  <c r="G420" i="7"/>
  <c r="G428" i="7"/>
  <c r="G436" i="7"/>
  <c r="G389" i="7"/>
  <c r="G397" i="7"/>
  <c r="G405" i="7"/>
  <c r="G413" i="7"/>
  <c r="G421" i="7"/>
  <c r="G429" i="7"/>
  <c r="G437" i="7"/>
  <c r="G390" i="7"/>
  <c r="G398" i="7"/>
  <c r="G406" i="7"/>
  <c r="G414" i="7"/>
  <c r="G422" i="7"/>
  <c r="G430" i="7"/>
  <c r="G438" i="7"/>
  <c r="G391" i="7"/>
  <c r="G399" i="7"/>
  <c r="G407" i="7"/>
  <c r="G415" i="7"/>
  <c r="G423" i="7"/>
  <c r="G431" i="7"/>
  <c r="G388" i="7"/>
  <c r="G392" i="7"/>
  <c r="G400" i="7"/>
  <c r="G408" i="7"/>
  <c r="G416" i="7"/>
  <c r="G424" i="7"/>
  <c r="G432" i="7"/>
  <c r="G409" i="7"/>
  <c r="G417" i="7"/>
  <c r="G425" i="7"/>
  <c r="G433" i="7"/>
  <c r="G393" i="7"/>
  <c r="G401" i="7"/>
  <c r="I83" i="7"/>
  <c r="I91" i="7"/>
  <c r="I99" i="7"/>
  <c r="I107" i="7"/>
  <c r="I115" i="7"/>
  <c r="I123" i="7"/>
  <c r="I131" i="7"/>
  <c r="I89" i="7"/>
  <c r="I121" i="7"/>
  <c r="I114" i="7"/>
  <c r="I130" i="7"/>
  <c r="I84" i="7"/>
  <c r="I92" i="7"/>
  <c r="I100" i="7"/>
  <c r="I108" i="7"/>
  <c r="I116" i="7"/>
  <c r="I124" i="7"/>
  <c r="I132" i="7"/>
  <c r="I85" i="7"/>
  <c r="I93" i="7"/>
  <c r="I101" i="7"/>
  <c r="I109" i="7"/>
  <c r="I117" i="7"/>
  <c r="I125" i="7"/>
  <c r="I82" i="7"/>
  <c r="I105" i="7"/>
  <c r="I129" i="7"/>
  <c r="I90" i="7"/>
  <c r="I122" i="7"/>
  <c r="I86" i="7"/>
  <c r="I94" i="7"/>
  <c r="I102" i="7"/>
  <c r="I110" i="7"/>
  <c r="I118" i="7"/>
  <c r="I126" i="7"/>
  <c r="I87" i="7"/>
  <c r="I95" i="7"/>
  <c r="I103" i="7"/>
  <c r="I111" i="7"/>
  <c r="I119" i="7"/>
  <c r="I127" i="7"/>
  <c r="I113" i="7"/>
  <c r="I98" i="7"/>
  <c r="I88" i="7"/>
  <c r="I96" i="7"/>
  <c r="I104" i="7"/>
  <c r="I112" i="7"/>
  <c r="I120" i="7"/>
  <c r="I128" i="7"/>
  <c r="I97" i="7"/>
  <c r="I106" i="7"/>
  <c r="G86" i="7"/>
  <c r="G94" i="7"/>
  <c r="G102" i="7"/>
  <c r="G110" i="7"/>
  <c r="G118" i="7"/>
  <c r="G126" i="7"/>
  <c r="G108" i="7"/>
  <c r="G101" i="7"/>
  <c r="G82" i="7"/>
  <c r="G87" i="7"/>
  <c r="G95" i="7"/>
  <c r="G103" i="7"/>
  <c r="G111" i="7"/>
  <c r="G119" i="7"/>
  <c r="G127" i="7"/>
  <c r="G88" i="7"/>
  <c r="G96" i="7"/>
  <c r="G104" i="7"/>
  <c r="G112" i="7"/>
  <c r="G120" i="7"/>
  <c r="G128" i="7"/>
  <c r="G92" i="7"/>
  <c r="G124" i="7"/>
  <c r="G93" i="7"/>
  <c r="G125" i="7"/>
  <c r="G89" i="7"/>
  <c r="G97" i="7"/>
  <c r="G105" i="7"/>
  <c r="G113" i="7"/>
  <c r="G121" i="7"/>
  <c r="G129" i="7"/>
  <c r="G90" i="7"/>
  <c r="G98" i="7"/>
  <c r="G106" i="7"/>
  <c r="G114" i="7"/>
  <c r="G122" i="7"/>
  <c r="G130" i="7"/>
  <c r="G100" i="7"/>
  <c r="G132" i="7"/>
  <c r="G109" i="7"/>
  <c r="G83" i="7"/>
  <c r="G91" i="7"/>
  <c r="G99" i="7"/>
  <c r="G107" i="7"/>
  <c r="G115" i="7"/>
  <c r="G123" i="7"/>
  <c r="G131" i="7"/>
  <c r="G84" i="7"/>
  <c r="G116" i="7"/>
  <c r="G85" i="7"/>
  <c r="G117" i="7"/>
  <c r="L88" i="7"/>
  <c r="L96" i="7"/>
  <c r="L104" i="7"/>
  <c r="L112" i="7"/>
  <c r="L120" i="7"/>
  <c r="L128" i="7"/>
  <c r="L102" i="7"/>
  <c r="L111" i="7"/>
  <c r="L89" i="7"/>
  <c r="L97" i="7"/>
  <c r="L105" i="7"/>
  <c r="L113" i="7"/>
  <c r="L121" i="7"/>
  <c r="L129" i="7"/>
  <c r="L90" i="7"/>
  <c r="L98" i="7"/>
  <c r="L106" i="7"/>
  <c r="L114" i="7"/>
  <c r="L122" i="7"/>
  <c r="L130" i="7"/>
  <c r="L110" i="7"/>
  <c r="L103" i="7"/>
  <c r="L83" i="7"/>
  <c r="L91" i="7"/>
  <c r="L99" i="7"/>
  <c r="L107" i="7"/>
  <c r="L115" i="7"/>
  <c r="L123" i="7"/>
  <c r="L131" i="7"/>
  <c r="L84" i="7"/>
  <c r="L92" i="7"/>
  <c r="L100" i="7"/>
  <c r="L108" i="7"/>
  <c r="L116" i="7"/>
  <c r="L124" i="7"/>
  <c r="L132" i="7"/>
  <c r="L94" i="7"/>
  <c r="L126" i="7"/>
  <c r="L87" i="7"/>
  <c r="L119" i="7"/>
  <c r="L85" i="7"/>
  <c r="L93" i="7"/>
  <c r="L101" i="7"/>
  <c r="L109" i="7"/>
  <c r="L117" i="7"/>
  <c r="L125" i="7"/>
  <c r="L82" i="7"/>
  <c r="L86" i="7"/>
  <c r="L118" i="7"/>
  <c r="L95" i="7"/>
  <c r="L127" i="7"/>
  <c r="D84" i="7"/>
  <c r="D92" i="7"/>
  <c r="D100" i="7"/>
  <c r="D108" i="7"/>
  <c r="D116" i="7"/>
  <c r="D124" i="7"/>
  <c r="D132" i="7"/>
  <c r="D106" i="7"/>
  <c r="D99" i="7"/>
  <c r="D131" i="7"/>
  <c r="D85" i="7"/>
  <c r="D93" i="7"/>
  <c r="D101" i="7"/>
  <c r="D109" i="7"/>
  <c r="D117" i="7"/>
  <c r="D125" i="7"/>
  <c r="D82" i="7"/>
  <c r="D86" i="7"/>
  <c r="D94" i="7"/>
  <c r="D102" i="7"/>
  <c r="D110" i="7"/>
  <c r="D118" i="7"/>
  <c r="D126" i="7"/>
  <c r="D98" i="7"/>
  <c r="D130" i="7"/>
  <c r="D83" i="7"/>
  <c r="D115" i="7"/>
  <c r="D87" i="7"/>
  <c r="D95" i="7"/>
  <c r="D103" i="7"/>
  <c r="D111" i="7"/>
  <c r="D119" i="7"/>
  <c r="D127" i="7"/>
  <c r="D88" i="7"/>
  <c r="D96" i="7"/>
  <c r="D104" i="7"/>
  <c r="D112" i="7"/>
  <c r="D120" i="7"/>
  <c r="D128" i="7"/>
  <c r="D114" i="7"/>
  <c r="D107" i="7"/>
  <c r="D89" i="7"/>
  <c r="D97" i="7"/>
  <c r="D105" i="7"/>
  <c r="D113" i="7"/>
  <c r="D121" i="7"/>
  <c r="D129" i="7"/>
  <c r="D90" i="7"/>
  <c r="D122" i="7"/>
  <c r="D91" i="7"/>
  <c r="D123" i="7"/>
  <c r="K85" i="7"/>
  <c r="K93" i="7"/>
  <c r="K101" i="7"/>
  <c r="K109" i="7"/>
  <c r="K117" i="7"/>
  <c r="K125" i="7"/>
  <c r="K82" i="7"/>
  <c r="K83" i="7"/>
  <c r="K115" i="7"/>
  <c r="K86" i="7"/>
  <c r="K94" i="7"/>
  <c r="K102" i="7"/>
  <c r="K110" i="7"/>
  <c r="K118" i="7"/>
  <c r="K126" i="7"/>
  <c r="K87" i="7"/>
  <c r="K95" i="7"/>
  <c r="K103" i="7"/>
  <c r="K111" i="7"/>
  <c r="K119" i="7"/>
  <c r="K127" i="7"/>
  <c r="K91" i="7"/>
  <c r="K123" i="7"/>
  <c r="K88" i="7"/>
  <c r="K96" i="7"/>
  <c r="K104" i="7"/>
  <c r="K112" i="7"/>
  <c r="K120" i="7"/>
  <c r="K128" i="7"/>
  <c r="K89" i="7"/>
  <c r="K97" i="7"/>
  <c r="K105" i="7"/>
  <c r="K113" i="7"/>
  <c r="K121" i="7"/>
  <c r="K129" i="7"/>
  <c r="K107" i="7"/>
  <c r="K90" i="7"/>
  <c r="K98" i="7"/>
  <c r="K106" i="7"/>
  <c r="K114" i="7"/>
  <c r="K122" i="7"/>
  <c r="K130" i="7"/>
  <c r="K99" i="7"/>
  <c r="K131" i="7"/>
  <c r="K84" i="7"/>
  <c r="K108" i="7"/>
  <c r="K116" i="7"/>
  <c r="K124" i="7"/>
  <c r="K132" i="7"/>
  <c r="K92" i="7"/>
  <c r="K100" i="7"/>
  <c r="H89" i="7"/>
  <c r="H97" i="7"/>
  <c r="H105" i="7"/>
  <c r="H113" i="7"/>
  <c r="H121" i="7"/>
  <c r="H129" i="7"/>
  <c r="H95" i="7"/>
  <c r="H127" i="7"/>
  <c r="H88" i="7"/>
  <c r="H120" i="7"/>
  <c r="H90" i="7"/>
  <c r="H98" i="7"/>
  <c r="H106" i="7"/>
  <c r="H114" i="7"/>
  <c r="H122" i="7"/>
  <c r="H130" i="7"/>
  <c r="H83" i="7"/>
  <c r="H91" i="7"/>
  <c r="H99" i="7"/>
  <c r="H107" i="7"/>
  <c r="H115" i="7"/>
  <c r="H123" i="7"/>
  <c r="H131" i="7"/>
  <c r="H111" i="7"/>
  <c r="H112" i="7"/>
  <c r="H84" i="7"/>
  <c r="H92" i="7"/>
  <c r="H100" i="7"/>
  <c r="H108" i="7"/>
  <c r="H116" i="7"/>
  <c r="H124" i="7"/>
  <c r="H132" i="7"/>
  <c r="H85" i="7"/>
  <c r="H93" i="7"/>
  <c r="H101" i="7"/>
  <c r="H109" i="7"/>
  <c r="H117" i="7"/>
  <c r="H125" i="7"/>
  <c r="H82" i="7"/>
  <c r="H87" i="7"/>
  <c r="H119" i="7"/>
  <c r="H96" i="7"/>
  <c r="H128" i="7"/>
  <c r="H86" i="7"/>
  <c r="H94" i="7"/>
  <c r="H102" i="7"/>
  <c r="H110" i="7"/>
  <c r="H118" i="7"/>
  <c r="H126" i="7"/>
  <c r="H103" i="7"/>
  <c r="H104" i="7"/>
  <c r="J84" i="7"/>
  <c r="J92" i="7"/>
  <c r="J100" i="7"/>
  <c r="J108" i="7"/>
  <c r="J116" i="7"/>
  <c r="J124" i="7"/>
  <c r="J132" i="7"/>
  <c r="J114" i="7"/>
  <c r="J107" i="7"/>
  <c r="J85" i="7"/>
  <c r="J93" i="7"/>
  <c r="J101" i="7"/>
  <c r="J109" i="7"/>
  <c r="J117" i="7"/>
  <c r="J125" i="7"/>
  <c r="J82" i="7"/>
  <c r="J86" i="7"/>
  <c r="J94" i="7"/>
  <c r="J102" i="7"/>
  <c r="J110" i="7"/>
  <c r="J118" i="7"/>
  <c r="J126" i="7"/>
  <c r="J98" i="7"/>
  <c r="J130" i="7"/>
  <c r="J99" i="7"/>
  <c r="J131" i="7"/>
  <c r="J87" i="7"/>
  <c r="J95" i="7"/>
  <c r="J103" i="7"/>
  <c r="J111" i="7"/>
  <c r="J119" i="7"/>
  <c r="J127" i="7"/>
  <c r="J90" i="7"/>
  <c r="J88" i="7"/>
  <c r="J96" i="7"/>
  <c r="J104" i="7"/>
  <c r="J112" i="7"/>
  <c r="J120" i="7"/>
  <c r="J128" i="7"/>
  <c r="J106" i="7"/>
  <c r="J83" i="7"/>
  <c r="J115" i="7"/>
  <c r="J89" i="7"/>
  <c r="J97" i="7"/>
  <c r="J105" i="7"/>
  <c r="J113" i="7"/>
  <c r="J121" i="7"/>
  <c r="J129" i="7"/>
  <c r="J122" i="7"/>
  <c r="J91" i="7"/>
  <c r="J123" i="7"/>
  <c r="D34" i="7"/>
  <c r="D38" i="7"/>
  <c r="D42" i="7"/>
  <c r="D46" i="7"/>
  <c r="D50" i="7"/>
  <c r="D54" i="7"/>
  <c r="D58" i="7"/>
  <c r="D62" i="7"/>
  <c r="D66" i="7"/>
  <c r="D70" i="7"/>
  <c r="D74" i="7"/>
  <c r="D78" i="7"/>
  <c r="D33" i="7"/>
  <c r="D37" i="7"/>
  <c r="D41" i="7"/>
  <c r="D45" i="7"/>
  <c r="D49" i="7"/>
  <c r="D53" i="7"/>
  <c r="D57" i="7"/>
  <c r="D61" i="7"/>
  <c r="D65" i="7"/>
  <c r="D69" i="7"/>
  <c r="D73" i="7"/>
  <c r="D77" i="7"/>
  <c r="D81" i="7"/>
  <c r="D32" i="7"/>
  <c r="D36" i="7"/>
  <c r="D40" i="7"/>
  <c r="D44" i="7"/>
  <c r="D48" i="7"/>
  <c r="D52" i="7"/>
  <c r="D56" i="7"/>
  <c r="D60" i="7"/>
  <c r="D64" i="7"/>
  <c r="D68" i="7"/>
  <c r="D72" i="7"/>
  <c r="D76" i="7"/>
  <c r="D80" i="7"/>
  <c r="D35" i="7"/>
  <c r="D39" i="7"/>
  <c r="D71" i="7"/>
  <c r="D43" i="7"/>
  <c r="D75" i="7"/>
  <c r="D55" i="7"/>
  <c r="D59" i="7"/>
  <c r="D51" i="7"/>
  <c r="D67" i="7"/>
  <c r="D47" i="7"/>
  <c r="D79" i="7"/>
  <c r="D63" i="7"/>
  <c r="I33" i="7"/>
  <c r="I37" i="7"/>
  <c r="I41" i="7"/>
  <c r="I45" i="7"/>
  <c r="I49" i="7"/>
  <c r="I53" i="7"/>
  <c r="I57" i="7"/>
  <c r="I61" i="7"/>
  <c r="I65" i="7"/>
  <c r="I69" i="7"/>
  <c r="I73" i="7"/>
  <c r="I77" i="7"/>
  <c r="I81" i="7"/>
  <c r="I32" i="7"/>
  <c r="I36" i="7"/>
  <c r="I40" i="7"/>
  <c r="I44" i="7"/>
  <c r="I48" i="7"/>
  <c r="I52" i="7"/>
  <c r="I56" i="7"/>
  <c r="I60" i="7"/>
  <c r="I64" i="7"/>
  <c r="I68" i="7"/>
  <c r="I72" i="7"/>
  <c r="I76" i="7"/>
  <c r="I80" i="7"/>
  <c r="I38" i="7"/>
  <c r="I35" i="7"/>
  <c r="I42" i="7"/>
  <c r="I67" i="7"/>
  <c r="I74" i="7"/>
  <c r="I39" i="7"/>
  <c r="I46" i="7"/>
  <c r="I71" i="7"/>
  <c r="I78" i="7"/>
  <c r="I51" i="7"/>
  <c r="I58" i="7"/>
  <c r="I55" i="7"/>
  <c r="I62" i="7"/>
  <c r="I34" i="7"/>
  <c r="I79" i="7"/>
  <c r="I75" i="7"/>
  <c r="I50" i="7"/>
  <c r="I70" i="7"/>
  <c r="I59" i="7"/>
  <c r="I63" i="7"/>
  <c r="I54" i="7"/>
  <c r="I43" i="7"/>
  <c r="I66" i="7"/>
  <c r="I47" i="7"/>
  <c r="H32" i="7"/>
  <c r="H36" i="7"/>
  <c r="H40" i="7"/>
  <c r="H44" i="7"/>
  <c r="H48" i="7"/>
  <c r="H52" i="7"/>
  <c r="H56" i="7"/>
  <c r="H60" i="7"/>
  <c r="H64" i="7"/>
  <c r="H68" i="7"/>
  <c r="H72" i="7"/>
  <c r="H76" i="7"/>
  <c r="H80" i="7"/>
  <c r="H35" i="7"/>
  <c r="H39" i="7"/>
  <c r="H43" i="7"/>
  <c r="H47" i="7"/>
  <c r="H51" i="7"/>
  <c r="H55" i="7"/>
  <c r="H59" i="7"/>
  <c r="H63" i="7"/>
  <c r="H67" i="7"/>
  <c r="H71" i="7"/>
  <c r="H75" i="7"/>
  <c r="H79" i="7"/>
  <c r="H34" i="7"/>
  <c r="H38" i="7"/>
  <c r="H42" i="7"/>
  <c r="H46" i="7"/>
  <c r="H50" i="7"/>
  <c r="H54" i="7"/>
  <c r="H58" i="7"/>
  <c r="H62" i="7"/>
  <c r="H66" i="7"/>
  <c r="H70" i="7"/>
  <c r="H74" i="7"/>
  <c r="H78" i="7"/>
  <c r="H49" i="7"/>
  <c r="H81" i="7"/>
  <c r="H53" i="7"/>
  <c r="H33" i="7"/>
  <c r="H65" i="7"/>
  <c r="H37" i="7"/>
  <c r="H69" i="7"/>
  <c r="H45" i="7"/>
  <c r="H57" i="7"/>
  <c r="H61" i="7"/>
  <c r="H73" i="7"/>
  <c r="H41" i="7"/>
  <c r="H77" i="7"/>
  <c r="G32" i="7"/>
  <c r="G36" i="7"/>
  <c r="G40" i="7"/>
  <c r="G44" i="7"/>
  <c r="G48" i="7"/>
  <c r="G52" i="7"/>
  <c r="G56" i="7"/>
  <c r="G60" i="7"/>
  <c r="G64" i="7"/>
  <c r="G68" i="7"/>
  <c r="G72" i="7"/>
  <c r="G76" i="7"/>
  <c r="G80" i="7"/>
  <c r="G31" i="7"/>
  <c r="G35" i="7"/>
  <c r="G39" i="7"/>
  <c r="G43" i="7"/>
  <c r="G47" i="7"/>
  <c r="G51" i="7"/>
  <c r="G55" i="7"/>
  <c r="G59" i="7"/>
  <c r="G63" i="7"/>
  <c r="G67" i="7"/>
  <c r="G71" i="7"/>
  <c r="G75" i="7"/>
  <c r="G79" i="7"/>
  <c r="G42" i="7"/>
  <c r="G46" i="7"/>
  <c r="G53" i="7"/>
  <c r="G78" i="7"/>
  <c r="G50" i="7"/>
  <c r="G57" i="7"/>
  <c r="G37" i="7"/>
  <c r="G62" i="7"/>
  <c r="G69" i="7"/>
  <c r="G34" i="7"/>
  <c r="G41" i="7"/>
  <c r="G66" i="7"/>
  <c r="G73" i="7"/>
  <c r="G58" i="7"/>
  <c r="G65" i="7"/>
  <c r="G74" i="7"/>
  <c r="G81" i="7"/>
  <c r="G38" i="7"/>
  <c r="G54" i="7"/>
  <c r="G61" i="7"/>
  <c r="G45" i="7"/>
  <c r="G49" i="7"/>
  <c r="G70" i="7"/>
  <c r="G77" i="7"/>
  <c r="G33" i="7"/>
  <c r="J35" i="7"/>
  <c r="J55" i="7"/>
  <c r="J32" i="7"/>
  <c r="J41" i="7"/>
  <c r="J49" i="7"/>
  <c r="J57" i="7"/>
  <c r="J65" i="7"/>
  <c r="J73" i="7"/>
  <c r="J81" i="7"/>
  <c r="J33" i="7"/>
  <c r="J42" i="7"/>
  <c r="J50" i="7"/>
  <c r="J58" i="7"/>
  <c r="J66" i="7"/>
  <c r="J74" i="7"/>
  <c r="J38" i="7"/>
  <c r="J62" i="7"/>
  <c r="J47" i="7"/>
  <c r="J79" i="7"/>
  <c r="J70" i="7"/>
  <c r="J71" i="7"/>
  <c r="J34" i="7"/>
  <c r="J43" i="7"/>
  <c r="J51" i="7"/>
  <c r="J59" i="7"/>
  <c r="J67" i="7"/>
  <c r="J75" i="7"/>
  <c r="J45" i="7"/>
  <c r="J54" i="7"/>
  <c r="J39" i="7"/>
  <c r="J36" i="7"/>
  <c r="J44" i="7"/>
  <c r="J52" i="7"/>
  <c r="J60" i="7"/>
  <c r="J68" i="7"/>
  <c r="J76" i="7"/>
  <c r="J37" i="7"/>
  <c r="J53" i="7"/>
  <c r="J61" i="7"/>
  <c r="J69" i="7"/>
  <c r="J77" i="7"/>
  <c r="J46" i="7"/>
  <c r="J78" i="7"/>
  <c r="J63" i="7"/>
  <c r="J64" i="7"/>
  <c r="J80" i="7"/>
  <c r="J72" i="7"/>
  <c r="J40" i="7"/>
  <c r="J48" i="7"/>
  <c r="J56" i="7"/>
  <c r="K37" i="7"/>
  <c r="Z37" i="7" s="1"/>
  <c r="K45" i="7"/>
  <c r="Z45" i="7" s="1"/>
  <c r="K53" i="7"/>
  <c r="Z53" i="7" s="1"/>
  <c r="K61" i="7"/>
  <c r="Z61" i="7" s="1"/>
  <c r="K69" i="7"/>
  <c r="Z69" i="7" s="1"/>
  <c r="K77" i="7"/>
  <c r="Z77" i="7" s="1"/>
  <c r="K32" i="7"/>
  <c r="Z32" i="7" s="1"/>
  <c r="K40" i="7"/>
  <c r="Z40" i="7" s="1"/>
  <c r="K48" i="7"/>
  <c r="Z48" i="7" s="1"/>
  <c r="K56" i="7"/>
  <c r="Z56" i="7" s="1"/>
  <c r="K64" i="7"/>
  <c r="Z64" i="7" s="1"/>
  <c r="K72" i="7"/>
  <c r="Z72" i="7" s="1"/>
  <c r="K80" i="7"/>
  <c r="Z80" i="7" s="1"/>
  <c r="K67" i="7"/>
  <c r="Z67" i="7" s="1"/>
  <c r="K68" i="7"/>
  <c r="Z68" i="7" s="1"/>
  <c r="K39" i="7"/>
  <c r="Z39" i="7" s="1"/>
  <c r="K50" i="7"/>
  <c r="Z50" i="7" s="1"/>
  <c r="K60" i="7"/>
  <c r="Z60" i="7" s="1"/>
  <c r="K71" i="7"/>
  <c r="Z71" i="7" s="1"/>
  <c r="K41" i="7"/>
  <c r="Z41" i="7" s="1"/>
  <c r="K51" i="7"/>
  <c r="Z51" i="7" s="1"/>
  <c r="K62" i="7"/>
  <c r="Z62" i="7" s="1"/>
  <c r="K73" i="7"/>
  <c r="Z73" i="7" s="1"/>
  <c r="Z31" i="7"/>
  <c r="K46" i="7"/>
  <c r="Z46" i="7" s="1"/>
  <c r="K47" i="7"/>
  <c r="Z47" i="7" s="1"/>
  <c r="K78" i="7"/>
  <c r="Z78" i="7" s="1"/>
  <c r="K36" i="7"/>
  <c r="Z36" i="7" s="1"/>
  <c r="K79" i="7"/>
  <c r="Z79" i="7" s="1"/>
  <c r="K42" i="7"/>
  <c r="Z42" i="7" s="1"/>
  <c r="K52" i="7"/>
  <c r="Z52" i="7" s="1"/>
  <c r="K63" i="7"/>
  <c r="Z63" i="7" s="1"/>
  <c r="K74" i="7"/>
  <c r="Z74" i="7" s="1"/>
  <c r="K33" i="7"/>
  <c r="Z33" i="7" s="1"/>
  <c r="K43" i="7"/>
  <c r="Z43" i="7" s="1"/>
  <c r="K54" i="7"/>
  <c r="Z54" i="7" s="1"/>
  <c r="K65" i="7"/>
  <c r="Z65" i="7" s="1"/>
  <c r="K75" i="7"/>
  <c r="Z75" i="7" s="1"/>
  <c r="K34" i="7"/>
  <c r="Z34" i="7" s="1"/>
  <c r="K44" i="7"/>
  <c r="Z44" i="7" s="1"/>
  <c r="K55" i="7"/>
  <c r="Z55" i="7" s="1"/>
  <c r="K66" i="7"/>
  <c r="Z66" i="7" s="1"/>
  <c r="K76" i="7"/>
  <c r="Z76" i="7" s="1"/>
  <c r="K35" i="7"/>
  <c r="Z35" i="7" s="1"/>
  <c r="K57" i="7"/>
  <c r="Z57" i="7" s="1"/>
  <c r="K58" i="7"/>
  <c r="Z58" i="7" s="1"/>
  <c r="K38" i="7"/>
  <c r="Z38" i="7" s="1"/>
  <c r="K49" i="7"/>
  <c r="Z49" i="7" s="1"/>
  <c r="K59" i="7"/>
  <c r="Z59" i="7" s="1"/>
  <c r="K81" i="7"/>
  <c r="Z81" i="7" s="1"/>
  <c r="K70" i="7"/>
  <c r="Z70" i="7" s="1"/>
  <c r="L39" i="7"/>
  <c r="L47" i="7"/>
  <c r="L55" i="7"/>
  <c r="L63" i="7"/>
  <c r="L71" i="7"/>
  <c r="L79" i="7"/>
  <c r="L34" i="7"/>
  <c r="L42" i="7"/>
  <c r="L50" i="7"/>
  <c r="L58" i="7"/>
  <c r="L66" i="7"/>
  <c r="L74" i="7"/>
  <c r="L32" i="7"/>
  <c r="L76" i="7"/>
  <c r="L36" i="7"/>
  <c r="L46" i="7"/>
  <c r="L57" i="7"/>
  <c r="L68" i="7"/>
  <c r="L78" i="7"/>
  <c r="L37" i="7"/>
  <c r="L48" i="7"/>
  <c r="L59" i="7"/>
  <c r="L69" i="7"/>
  <c r="L80" i="7"/>
  <c r="L43" i="7"/>
  <c r="L75" i="7"/>
  <c r="L54" i="7"/>
  <c r="L64" i="7"/>
  <c r="L44" i="7"/>
  <c r="L38" i="7"/>
  <c r="L49" i="7"/>
  <c r="L60" i="7"/>
  <c r="L70" i="7"/>
  <c r="L81" i="7"/>
  <c r="L62" i="7"/>
  <c r="L40" i="7"/>
  <c r="L51" i="7"/>
  <c r="L61" i="7"/>
  <c r="L72" i="7"/>
  <c r="L31" i="7"/>
  <c r="L41" i="7"/>
  <c r="L52" i="7"/>
  <c r="L73" i="7"/>
  <c r="L53" i="7"/>
  <c r="L33" i="7"/>
  <c r="L65" i="7"/>
  <c r="L35" i="7"/>
  <c r="L45" i="7"/>
  <c r="L77" i="7"/>
  <c r="L56" i="7"/>
  <c r="L67" i="7"/>
  <c r="Z332" i="7"/>
  <c r="Z324" i="7"/>
  <c r="Z316" i="7"/>
  <c r="Z323" i="7"/>
  <c r="Z321" i="7"/>
  <c r="Z319" i="7"/>
  <c r="Z317" i="7"/>
  <c r="Z331" i="7"/>
  <c r="Z329" i="7"/>
  <c r="Z327" i="7"/>
  <c r="Z325" i="7"/>
  <c r="Z336" i="7"/>
  <c r="Z335" i="7"/>
  <c r="Z318" i="7"/>
  <c r="Z312" i="7"/>
  <c r="Z304" i="7"/>
  <c r="Z296" i="7"/>
  <c r="Z288" i="7"/>
  <c r="Z334" i="7"/>
  <c r="Z333" i="7"/>
  <c r="Z326" i="7"/>
  <c r="Z313" i="7"/>
  <c r="Z315" i="7"/>
  <c r="Z311" i="7"/>
  <c r="Z309" i="7"/>
  <c r="Z307" i="7"/>
  <c r="Z305" i="7"/>
  <c r="Z314" i="7"/>
  <c r="Z310" i="7"/>
  <c r="Z286" i="7"/>
  <c r="Z306" i="7"/>
  <c r="Z330" i="7"/>
  <c r="Z328" i="7"/>
  <c r="Z299" i="7"/>
  <c r="Z300" i="7"/>
  <c r="Z322" i="7"/>
  <c r="Z320" i="7"/>
  <c r="Z303" i="7"/>
  <c r="Z308" i="7"/>
  <c r="Z295" i="7"/>
  <c r="Z291" i="7"/>
  <c r="Z289" i="7"/>
  <c r="Z294" i="7"/>
  <c r="Z287" i="7"/>
  <c r="Z297" i="7"/>
  <c r="Z298" i="7"/>
  <c r="Z293" i="7"/>
  <c r="Z290" i="7"/>
  <c r="Z301" i="7"/>
  <c r="Z302" i="7"/>
  <c r="Z292" i="7"/>
  <c r="V336" i="7"/>
  <c r="V328" i="7"/>
  <c r="V320" i="7"/>
  <c r="V318" i="7"/>
  <c r="V316" i="7"/>
  <c r="V326" i="7"/>
  <c r="V324" i="7"/>
  <c r="V322" i="7"/>
  <c r="V333" i="7"/>
  <c r="V332" i="7"/>
  <c r="V315" i="7"/>
  <c r="V314" i="7"/>
  <c r="V308" i="7"/>
  <c r="V300" i="7"/>
  <c r="V292" i="7"/>
  <c r="V335" i="7"/>
  <c r="V334" i="7"/>
  <c r="V331" i="7"/>
  <c r="V312" i="7"/>
  <c r="V310" i="7"/>
  <c r="V317" i="7"/>
  <c r="V306" i="7"/>
  <c r="V304" i="7"/>
  <c r="V302" i="7"/>
  <c r="V321" i="7"/>
  <c r="V313" i="7"/>
  <c r="V311" i="7"/>
  <c r="V309" i="7"/>
  <c r="V319" i="7"/>
  <c r="V307" i="7"/>
  <c r="V305" i="7"/>
  <c r="V329" i="7"/>
  <c r="V330" i="7"/>
  <c r="V327" i="7"/>
  <c r="V325" i="7"/>
  <c r="V323" i="7"/>
  <c r="V301" i="7"/>
  <c r="V303" i="7"/>
  <c r="V296" i="7"/>
  <c r="V288" i="7"/>
  <c r="V295" i="7"/>
  <c r="V291" i="7"/>
  <c r="V294" i="7"/>
  <c r="V289" i="7"/>
  <c r="V286" i="7"/>
  <c r="V287" i="7"/>
  <c r="V298" i="7"/>
  <c r="V297" i="7"/>
  <c r="V293" i="7"/>
  <c r="V299" i="7"/>
  <c r="V290" i="7"/>
  <c r="Y331" i="7"/>
  <c r="Y323" i="7"/>
  <c r="Y315" i="7"/>
  <c r="Y329" i="7"/>
  <c r="Y327" i="7"/>
  <c r="Y325" i="7"/>
  <c r="Y335" i="7"/>
  <c r="Y333" i="7"/>
  <c r="Y326" i="7"/>
  <c r="Y311" i="7"/>
  <c r="Y303" i="7"/>
  <c r="Y295" i="7"/>
  <c r="Y287" i="7"/>
  <c r="Y286" i="7"/>
  <c r="Y320" i="7"/>
  <c r="Y314" i="7"/>
  <c r="Y313" i="7"/>
  <c r="Y336" i="7"/>
  <c r="Y332" i="7"/>
  <c r="Y330" i="7"/>
  <c r="Y319" i="7"/>
  <c r="Y304" i="7"/>
  <c r="Y308" i="7"/>
  <c r="Y306" i="7"/>
  <c r="Y298" i="7"/>
  <c r="Y293" i="7"/>
  <c r="Y291" i="7"/>
  <c r="Y328" i="7"/>
  <c r="Y299" i="7"/>
  <c r="Y334" i="7"/>
  <c r="Y324" i="7"/>
  <c r="Y321" i="7"/>
  <c r="Y322" i="7"/>
  <c r="Y318" i="7"/>
  <c r="Y307" i="7"/>
  <c r="Y317" i="7"/>
  <c r="Y316" i="7"/>
  <c r="Y312" i="7"/>
  <c r="Y302" i="7"/>
  <c r="Y294" i="7"/>
  <c r="Y292" i="7"/>
  <c r="Y290" i="7"/>
  <c r="Y288" i="7"/>
  <c r="Y289" i="7"/>
  <c r="Y310" i="7"/>
  <c r="Y305" i="7"/>
  <c r="Y297" i="7"/>
  <c r="Y309" i="7"/>
  <c r="Y300" i="7"/>
  <c r="Y301" i="7"/>
  <c r="Y296" i="7"/>
  <c r="AA333" i="7"/>
  <c r="AA325" i="7"/>
  <c r="AA317" i="7"/>
  <c r="AA315" i="7"/>
  <c r="AA323" i="7"/>
  <c r="AA321" i="7"/>
  <c r="AA319" i="7"/>
  <c r="AA328" i="7"/>
  <c r="AA327" i="7"/>
  <c r="AA313" i="7"/>
  <c r="AA305" i="7"/>
  <c r="AA297" i="7"/>
  <c r="AA289" i="7"/>
  <c r="AA329" i="7"/>
  <c r="AA311" i="7"/>
  <c r="AA309" i="7"/>
  <c r="AA307" i="7"/>
  <c r="AA335" i="7"/>
  <c r="AA318" i="7"/>
  <c r="AA303" i="7"/>
  <c r="AA301" i="7"/>
  <c r="AA299" i="7"/>
  <c r="AA322" i="7"/>
  <c r="AA316" i="7"/>
  <c r="AA312" i="7"/>
  <c r="AA310" i="7"/>
  <c r="AA308" i="7"/>
  <c r="AA306" i="7"/>
  <c r="AA330" i="7"/>
  <c r="AA331" i="7"/>
  <c r="AA300" i="7"/>
  <c r="AA334" i="7"/>
  <c r="AA332" i="7"/>
  <c r="AA326" i="7"/>
  <c r="AA324" i="7"/>
  <c r="AA336" i="7"/>
  <c r="AA320" i="7"/>
  <c r="AA314" i="7"/>
  <c r="AA304" i="7"/>
  <c r="AA286" i="7"/>
  <c r="AA295" i="7"/>
  <c r="AA291" i="7"/>
  <c r="AA294" i="7"/>
  <c r="AA287" i="7"/>
  <c r="AA298" i="7"/>
  <c r="AA293" i="7"/>
  <c r="AA290" i="7"/>
  <c r="AA302" i="7"/>
  <c r="AA296" i="7"/>
  <c r="AA292" i="7"/>
  <c r="AA288" i="7"/>
  <c r="X330" i="7"/>
  <c r="X322" i="7"/>
  <c r="X314" i="7"/>
  <c r="X335" i="7"/>
  <c r="X333" i="7"/>
  <c r="X331" i="7"/>
  <c r="X334" i="7"/>
  <c r="X317" i="7"/>
  <c r="X316" i="7"/>
  <c r="X310" i="7"/>
  <c r="X302" i="7"/>
  <c r="X294" i="7"/>
  <c r="X336" i="7"/>
  <c r="X332" i="7"/>
  <c r="X323" i="7"/>
  <c r="X329" i="7"/>
  <c r="X326" i="7"/>
  <c r="X320" i="7"/>
  <c r="X324" i="7"/>
  <c r="X301" i="7"/>
  <c r="X299" i="7"/>
  <c r="X312" i="7"/>
  <c r="X303" i="7"/>
  <c r="X292" i="7"/>
  <c r="X290" i="7"/>
  <c r="X288" i="7"/>
  <c r="X305" i="7"/>
  <c r="X313" i="7"/>
  <c r="X308" i="7"/>
  <c r="X297" i="7"/>
  <c r="X295" i="7"/>
  <c r="X327" i="7"/>
  <c r="X311" i="7"/>
  <c r="X306" i="7"/>
  <c r="X298" i="7"/>
  <c r="X293" i="7"/>
  <c r="X291" i="7"/>
  <c r="X289" i="7"/>
  <c r="X287" i="7"/>
  <c r="X328" i="7"/>
  <c r="X325" i="7"/>
  <c r="X321" i="7"/>
  <c r="X319" i="7"/>
  <c r="X309" i="7"/>
  <c r="X318" i="7"/>
  <c r="X315" i="7"/>
  <c r="X307" i="7"/>
  <c r="X296" i="7"/>
  <c r="X304" i="7"/>
  <c r="X286" i="7"/>
  <c r="X300" i="7"/>
  <c r="M323" i="7"/>
  <c r="U323" i="7" s="1"/>
  <c r="M290" i="7"/>
  <c r="U290" i="7" s="1"/>
  <c r="M306" i="7"/>
  <c r="U306" i="7" s="1"/>
  <c r="W329" i="7"/>
  <c r="W321" i="7"/>
  <c r="W320" i="7"/>
  <c r="W318" i="7"/>
  <c r="W316" i="7"/>
  <c r="W325" i="7"/>
  <c r="W324" i="7"/>
  <c r="W309" i="7"/>
  <c r="W301" i="7"/>
  <c r="W293" i="7"/>
  <c r="W336" i="7"/>
  <c r="W334" i="7"/>
  <c r="W328" i="7"/>
  <c r="W317" i="7"/>
  <c r="W308" i="7"/>
  <c r="W306" i="7"/>
  <c r="W323" i="7"/>
  <c r="W314" i="7"/>
  <c r="W300" i="7"/>
  <c r="W298" i="7"/>
  <c r="W327" i="7"/>
  <c r="W307" i="7"/>
  <c r="W305" i="7"/>
  <c r="W303" i="7"/>
  <c r="W333" i="7"/>
  <c r="W315" i="7"/>
  <c r="W302" i="7"/>
  <c r="W296" i="7"/>
  <c r="W294" i="7"/>
  <c r="W335" i="7"/>
  <c r="W310" i="7"/>
  <c r="W331" i="7"/>
  <c r="W330" i="7"/>
  <c r="W313" i="7"/>
  <c r="W297" i="7"/>
  <c r="W295" i="7"/>
  <c r="W332" i="7"/>
  <c r="W326" i="7"/>
  <c r="W322" i="7"/>
  <c r="W319" i="7"/>
  <c r="W311" i="7"/>
  <c r="W292" i="7"/>
  <c r="W304" i="7"/>
  <c r="W291" i="7"/>
  <c r="W289" i="7"/>
  <c r="W286" i="7"/>
  <c r="W287" i="7"/>
  <c r="W312" i="7"/>
  <c r="W299" i="7"/>
  <c r="W290" i="7"/>
  <c r="W288" i="7"/>
  <c r="K239" i="7" l="1"/>
  <c r="K247" i="7"/>
  <c r="K255" i="7"/>
  <c r="K263" i="7"/>
  <c r="K271" i="7"/>
  <c r="K279" i="7"/>
  <c r="K240" i="7"/>
  <c r="K248" i="7"/>
  <c r="K256" i="7"/>
  <c r="K264" i="7"/>
  <c r="K272" i="7"/>
  <c r="K280" i="7"/>
  <c r="K241" i="7"/>
  <c r="K249" i="7"/>
  <c r="K257" i="7"/>
  <c r="K265" i="7"/>
  <c r="K273" i="7"/>
  <c r="K281" i="7"/>
  <c r="K242" i="7"/>
  <c r="K250" i="7"/>
  <c r="K258" i="7"/>
  <c r="K266" i="7"/>
  <c r="K274" i="7"/>
  <c r="K282" i="7"/>
  <c r="K246" i="7"/>
  <c r="K243" i="7"/>
  <c r="K251" i="7"/>
  <c r="K259" i="7"/>
  <c r="K267" i="7"/>
  <c r="K275" i="7"/>
  <c r="K283" i="7"/>
  <c r="K236" i="7"/>
  <c r="K252" i="7"/>
  <c r="K260" i="7"/>
  <c r="K268" i="7"/>
  <c r="K284" i="7"/>
  <c r="K262" i="7"/>
  <c r="K235" i="7"/>
  <c r="K244" i="7"/>
  <c r="K276" i="7"/>
  <c r="K238" i="7"/>
  <c r="K270" i="7"/>
  <c r="K237" i="7"/>
  <c r="K245" i="7"/>
  <c r="K253" i="7"/>
  <c r="K261" i="7"/>
  <c r="K269" i="7"/>
  <c r="K277" i="7"/>
  <c r="K285" i="7"/>
  <c r="K254" i="7"/>
  <c r="K278" i="7"/>
  <c r="L239" i="7"/>
  <c r="L247" i="7"/>
  <c r="L241" i="7"/>
  <c r="L249" i="7"/>
  <c r="L238" i="7"/>
  <c r="L250" i="7"/>
  <c r="L258" i="7"/>
  <c r="L266" i="7"/>
  <c r="L274" i="7"/>
  <c r="L282" i="7"/>
  <c r="L240" i="7"/>
  <c r="L251" i="7"/>
  <c r="L259" i="7"/>
  <c r="L267" i="7"/>
  <c r="L275" i="7"/>
  <c r="L283" i="7"/>
  <c r="L242" i="7"/>
  <c r="L252" i="7"/>
  <c r="L260" i="7"/>
  <c r="L268" i="7"/>
  <c r="L276" i="7"/>
  <c r="L284" i="7"/>
  <c r="L243" i="7"/>
  <c r="L253" i="7"/>
  <c r="L261" i="7"/>
  <c r="L269" i="7"/>
  <c r="L277" i="7"/>
  <c r="L285" i="7"/>
  <c r="L244" i="7"/>
  <c r="L254" i="7"/>
  <c r="L262" i="7"/>
  <c r="L270" i="7"/>
  <c r="L278" i="7"/>
  <c r="L235" i="7"/>
  <c r="L245" i="7"/>
  <c r="L255" i="7"/>
  <c r="L271" i="7"/>
  <c r="L279" i="7"/>
  <c r="L237" i="7"/>
  <c r="L265" i="7"/>
  <c r="L281" i="7"/>
  <c r="L263" i="7"/>
  <c r="L257" i="7"/>
  <c r="L236" i="7"/>
  <c r="L246" i="7"/>
  <c r="L256" i="7"/>
  <c r="L264" i="7"/>
  <c r="L272" i="7"/>
  <c r="L280" i="7"/>
  <c r="L248" i="7"/>
  <c r="L273" i="7"/>
  <c r="I241" i="7"/>
  <c r="X241" i="7" s="1"/>
  <c r="I249" i="7"/>
  <c r="X249" i="7" s="1"/>
  <c r="I257" i="7"/>
  <c r="X257" i="7" s="1"/>
  <c r="I265" i="7"/>
  <c r="X265" i="7" s="1"/>
  <c r="I273" i="7"/>
  <c r="X273" i="7" s="1"/>
  <c r="I281" i="7"/>
  <c r="X281" i="7" s="1"/>
  <c r="I242" i="7"/>
  <c r="X242" i="7" s="1"/>
  <c r="I250" i="7"/>
  <c r="X250" i="7" s="1"/>
  <c r="I258" i="7"/>
  <c r="X258" i="7" s="1"/>
  <c r="I266" i="7"/>
  <c r="X266" i="7" s="1"/>
  <c r="I274" i="7"/>
  <c r="X274" i="7" s="1"/>
  <c r="I282" i="7"/>
  <c r="X282" i="7" s="1"/>
  <c r="I243" i="7"/>
  <c r="X243" i="7" s="1"/>
  <c r="I251" i="7"/>
  <c r="X251" i="7" s="1"/>
  <c r="I259" i="7"/>
  <c r="X259" i="7" s="1"/>
  <c r="I267" i="7"/>
  <c r="X267" i="7" s="1"/>
  <c r="I275" i="7"/>
  <c r="X275" i="7" s="1"/>
  <c r="I283" i="7"/>
  <c r="X283" i="7" s="1"/>
  <c r="I244" i="7"/>
  <c r="X244" i="7" s="1"/>
  <c r="I255" i="7"/>
  <c r="X255" i="7" s="1"/>
  <c r="I269" i="7"/>
  <c r="X269" i="7" s="1"/>
  <c r="I280" i="7"/>
  <c r="X280" i="7" s="1"/>
  <c r="I245" i="7"/>
  <c r="X245" i="7" s="1"/>
  <c r="I256" i="7"/>
  <c r="X256" i="7" s="1"/>
  <c r="I270" i="7"/>
  <c r="X270" i="7" s="1"/>
  <c r="I284" i="7"/>
  <c r="X284" i="7" s="1"/>
  <c r="I246" i="7"/>
  <c r="X246" i="7" s="1"/>
  <c r="I260" i="7"/>
  <c r="X260" i="7" s="1"/>
  <c r="I271" i="7"/>
  <c r="X271" i="7" s="1"/>
  <c r="I285" i="7"/>
  <c r="X285" i="7" s="1"/>
  <c r="I236" i="7"/>
  <c r="X236" i="7" s="1"/>
  <c r="I247" i="7"/>
  <c r="X247" i="7" s="1"/>
  <c r="I261" i="7"/>
  <c r="X261" i="7" s="1"/>
  <c r="I272" i="7"/>
  <c r="X272" i="7" s="1"/>
  <c r="I235" i="7"/>
  <c r="X235" i="7" s="1"/>
  <c r="I237" i="7"/>
  <c r="X237" i="7" s="1"/>
  <c r="I248" i="7"/>
  <c r="X248" i="7" s="1"/>
  <c r="I262" i="7"/>
  <c r="X262" i="7" s="1"/>
  <c r="I276" i="7"/>
  <c r="X276" i="7" s="1"/>
  <c r="I252" i="7"/>
  <c r="X252" i="7" s="1"/>
  <c r="I277" i="7"/>
  <c r="X277" i="7" s="1"/>
  <c r="I240" i="7"/>
  <c r="X240" i="7" s="1"/>
  <c r="I268" i="7"/>
  <c r="X268" i="7" s="1"/>
  <c r="I238" i="7"/>
  <c r="X238" i="7" s="1"/>
  <c r="I263" i="7"/>
  <c r="X263" i="7" s="1"/>
  <c r="I279" i="7"/>
  <c r="X279" i="7" s="1"/>
  <c r="I239" i="7"/>
  <c r="X239" i="7" s="1"/>
  <c r="I253" i="7"/>
  <c r="X253" i="7" s="1"/>
  <c r="I264" i="7"/>
  <c r="X264" i="7" s="1"/>
  <c r="I278" i="7"/>
  <c r="X278" i="7" s="1"/>
  <c r="I254" i="7"/>
  <c r="X254" i="7" s="1"/>
  <c r="H237" i="7"/>
  <c r="H245" i="7"/>
  <c r="W245" i="7" s="1"/>
  <c r="H253" i="7"/>
  <c r="W253" i="7" s="1"/>
  <c r="H261" i="7"/>
  <c r="W261" i="7" s="1"/>
  <c r="H269" i="7"/>
  <c r="W269" i="7" s="1"/>
  <c r="H277" i="7"/>
  <c r="W277" i="7" s="1"/>
  <c r="H285" i="7"/>
  <c r="W285" i="7" s="1"/>
  <c r="H238" i="7"/>
  <c r="W238" i="7" s="1"/>
  <c r="H246" i="7"/>
  <c r="W246" i="7" s="1"/>
  <c r="H239" i="7"/>
  <c r="W239" i="7" s="1"/>
  <c r="H247" i="7"/>
  <c r="W247" i="7" s="1"/>
  <c r="H255" i="7"/>
  <c r="W255" i="7" s="1"/>
  <c r="H263" i="7"/>
  <c r="W263" i="7" s="1"/>
  <c r="H271" i="7"/>
  <c r="W271" i="7" s="1"/>
  <c r="H279" i="7"/>
  <c r="W279" i="7" s="1"/>
  <c r="H243" i="7"/>
  <c r="W243" i="7" s="1"/>
  <c r="H256" i="7"/>
  <c r="W256" i="7" s="1"/>
  <c r="H266" i="7"/>
  <c r="W266" i="7" s="1"/>
  <c r="H276" i="7"/>
  <c r="W276" i="7" s="1"/>
  <c r="H244" i="7"/>
  <c r="W244" i="7" s="1"/>
  <c r="H257" i="7"/>
  <c r="W257" i="7" s="1"/>
  <c r="H267" i="7"/>
  <c r="W267" i="7" s="1"/>
  <c r="H278" i="7"/>
  <c r="W278" i="7" s="1"/>
  <c r="H248" i="7"/>
  <c r="W248" i="7" s="1"/>
  <c r="H258" i="7"/>
  <c r="W258" i="7" s="1"/>
  <c r="H268" i="7"/>
  <c r="W268" i="7" s="1"/>
  <c r="H280" i="7"/>
  <c r="W280" i="7" s="1"/>
  <c r="H249" i="7"/>
  <c r="W249" i="7" s="1"/>
  <c r="H259" i="7"/>
  <c r="W259" i="7" s="1"/>
  <c r="H270" i="7"/>
  <c r="W270" i="7" s="1"/>
  <c r="H281" i="7"/>
  <c r="W281" i="7" s="1"/>
  <c r="H236" i="7"/>
  <c r="W236" i="7" s="1"/>
  <c r="H250" i="7"/>
  <c r="W250" i="7" s="1"/>
  <c r="H260" i="7"/>
  <c r="W260" i="7" s="1"/>
  <c r="H272" i="7"/>
  <c r="W272" i="7" s="1"/>
  <c r="H282" i="7"/>
  <c r="W282" i="7" s="1"/>
  <c r="H240" i="7"/>
  <c r="W240" i="7" s="1"/>
  <c r="H251" i="7"/>
  <c r="W251" i="7" s="1"/>
  <c r="H262" i="7"/>
  <c r="W262" i="7" s="1"/>
  <c r="H283" i="7"/>
  <c r="W283" i="7" s="1"/>
  <c r="H254" i="7"/>
  <c r="W254" i="7" s="1"/>
  <c r="H235" i="7"/>
  <c r="W235" i="7" s="1"/>
  <c r="H273" i="7"/>
  <c r="W273" i="7" s="1"/>
  <c r="H275" i="7"/>
  <c r="W275" i="7" s="1"/>
  <c r="H241" i="7"/>
  <c r="W241" i="7" s="1"/>
  <c r="H252" i="7"/>
  <c r="W252" i="7" s="1"/>
  <c r="H264" i="7"/>
  <c r="W264" i="7" s="1"/>
  <c r="H274" i="7"/>
  <c r="W274" i="7" s="1"/>
  <c r="H284" i="7"/>
  <c r="W284" i="7" s="1"/>
  <c r="H242" i="7"/>
  <c r="W242" i="7" s="1"/>
  <c r="H265" i="7"/>
  <c r="W265" i="7" s="1"/>
  <c r="J240" i="7"/>
  <c r="J248" i="7"/>
  <c r="J256" i="7"/>
  <c r="J264" i="7"/>
  <c r="J272" i="7"/>
  <c r="J280" i="7"/>
  <c r="J241" i="7"/>
  <c r="J249" i="7"/>
  <c r="J257" i="7"/>
  <c r="J265" i="7"/>
  <c r="J273" i="7"/>
  <c r="J281" i="7"/>
  <c r="J242" i="7"/>
  <c r="J250" i="7"/>
  <c r="J258" i="7"/>
  <c r="J266" i="7"/>
  <c r="J274" i="7"/>
  <c r="J282" i="7"/>
  <c r="J244" i="7"/>
  <c r="J255" i="7"/>
  <c r="J269" i="7"/>
  <c r="J283" i="7"/>
  <c r="J245" i="7"/>
  <c r="J259" i="7"/>
  <c r="J270" i="7"/>
  <c r="J284" i="7"/>
  <c r="J246" i="7"/>
  <c r="J260" i="7"/>
  <c r="J271" i="7"/>
  <c r="J285" i="7"/>
  <c r="J236" i="7"/>
  <c r="J247" i="7"/>
  <c r="J261" i="7"/>
  <c r="J275" i="7"/>
  <c r="J235" i="7"/>
  <c r="J237" i="7"/>
  <c r="J251" i="7"/>
  <c r="J262" i="7"/>
  <c r="J276" i="7"/>
  <c r="J238" i="7"/>
  <c r="J252" i="7"/>
  <c r="J263" i="7"/>
  <c r="J243" i="7"/>
  <c r="J279" i="7"/>
  <c r="J277" i="7"/>
  <c r="J268" i="7"/>
  <c r="J239" i="7"/>
  <c r="J253" i="7"/>
  <c r="J267" i="7"/>
  <c r="J278" i="7"/>
  <c r="J254" i="7"/>
  <c r="D235" i="7"/>
  <c r="D243" i="7"/>
  <c r="D251" i="7"/>
  <c r="D259" i="7"/>
  <c r="D267" i="7"/>
  <c r="D275" i="7"/>
  <c r="D283" i="7"/>
  <c r="D236" i="7"/>
  <c r="D244" i="7"/>
  <c r="D252" i="7"/>
  <c r="D260" i="7"/>
  <c r="D268" i="7"/>
  <c r="D276" i="7"/>
  <c r="D284" i="7"/>
  <c r="D237" i="7"/>
  <c r="D245" i="7"/>
  <c r="D253" i="7"/>
  <c r="D261" i="7"/>
  <c r="D269" i="7"/>
  <c r="D277" i="7"/>
  <c r="D285" i="7"/>
  <c r="D238" i="7"/>
  <c r="D246" i="7"/>
  <c r="D254" i="7"/>
  <c r="D262" i="7"/>
  <c r="D270" i="7"/>
  <c r="D278" i="7"/>
  <c r="D239" i="7"/>
  <c r="D247" i="7"/>
  <c r="D255" i="7"/>
  <c r="D263" i="7"/>
  <c r="D271" i="7"/>
  <c r="D279" i="7"/>
  <c r="D240" i="7"/>
  <c r="D248" i="7"/>
  <c r="D256" i="7"/>
  <c r="D264" i="7"/>
  <c r="D272" i="7"/>
  <c r="D280" i="7"/>
  <c r="D241" i="7"/>
  <c r="D249" i="7"/>
  <c r="D257" i="7"/>
  <c r="D265" i="7"/>
  <c r="D273" i="7"/>
  <c r="D281" i="7"/>
  <c r="D242" i="7"/>
  <c r="D250" i="7"/>
  <c r="D258" i="7"/>
  <c r="D266" i="7"/>
  <c r="D274" i="7"/>
  <c r="D282" i="7"/>
  <c r="G242" i="7"/>
  <c r="V242" i="7" s="1"/>
  <c r="G250" i="7"/>
  <c r="V250" i="7" s="1"/>
  <c r="G258" i="7"/>
  <c r="V258" i="7" s="1"/>
  <c r="G266" i="7"/>
  <c r="V266" i="7" s="1"/>
  <c r="G274" i="7"/>
  <c r="V274" i="7" s="1"/>
  <c r="G282" i="7"/>
  <c r="V282" i="7" s="1"/>
  <c r="G236" i="7"/>
  <c r="V236" i="7" s="1"/>
  <c r="G244" i="7"/>
  <c r="V244" i="7" s="1"/>
  <c r="G252" i="7"/>
  <c r="V252" i="7" s="1"/>
  <c r="G260" i="7"/>
  <c r="V260" i="7" s="1"/>
  <c r="G268" i="7"/>
  <c r="V268" i="7" s="1"/>
  <c r="G276" i="7"/>
  <c r="V276" i="7" s="1"/>
  <c r="G284" i="7"/>
  <c r="V284" i="7" s="1"/>
  <c r="G237" i="7"/>
  <c r="V237" i="7" s="1"/>
  <c r="G247" i="7"/>
  <c r="V247" i="7" s="1"/>
  <c r="G257" i="7"/>
  <c r="V257" i="7" s="1"/>
  <c r="G269" i="7"/>
  <c r="V269" i="7" s="1"/>
  <c r="G279" i="7"/>
  <c r="V279" i="7" s="1"/>
  <c r="G238" i="7"/>
  <c r="V238" i="7" s="1"/>
  <c r="G248" i="7"/>
  <c r="V248" i="7" s="1"/>
  <c r="G259" i="7"/>
  <c r="V259" i="7" s="1"/>
  <c r="G270" i="7"/>
  <c r="V270" i="7" s="1"/>
  <c r="G280" i="7"/>
  <c r="V280" i="7" s="1"/>
  <c r="G239" i="7"/>
  <c r="V239" i="7" s="1"/>
  <c r="G249" i="7"/>
  <c r="V249" i="7" s="1"/>
  <c r="G261" i="7"/>
  <c r="V261" i="7" s="1"/>
  <c r="G271" i="7"/>
  <c r="V271" i="7" s="1"/>
  <c r="G281" i="7"/>
  <c r="V281" i="7" s="1"/>
  <c r="G240" i="7"/>
  <c r="V240" i="7" s="1"/>
  <c r="G251" i="7"/>
  <c r="V251" i="7" s="1"/>
  <c r="G262" i="7"/>
  <c r="V262" i="7" s="1"/>
  <c r="G272" i="7"/>
  <c r="V272" i="7" s="1"/>
  <c r="G283" i="7"/>
  <c r="V283" i="7" s="1"/>
  <c r="G241" i="7"/>
  <c r="V241" i="7" s="1"/>
  <c r="G253" i="7"/>
  <c r="V253" i="7" s="1"/>
  <c r="G263" i="7"/>
  <c r="V263" i="7" s="1"/>
  <c r="G273" i="7"/>
  <c r="V273" i="7" s="1"/>
  <c r="G285" i="7"/>
  <c r="V285" i="7" s="1"/>
  <c r="G243" i="7"/>
  <c r="V243" i="7" s="1"/>
  <c r="G254" i="7"/>
  <c r="V254" i="7" s="1"/>
  <c r="G264" i="7"/>
  <c r="V264" i="7" s="1"/>
  <c r="G235" i="7"/>
  <c r="V235" i="7" s="1"/>
  <c r="G256" i="7"/>
  <c r="V256" i="7" s="1"/>
  <c r="G275" i="7"/>
  <c r="V275" i="7" s="1"/>
  <c r="G267" i="7"/>
  <c r="V267" i="7" s="1"/>
  <c r="G245" i="7"/>
  <c r="V245" i="7" s="1"/>
  <c r="G255" i="7"/>
  <c r="V255" i="7" s="1"/>
  <c r="G265" i="7"/>
  <c r="V265" i="7" s="1"/>
  <c r="G277" i="7"/>
  <c r="V277" i="7" s="1"/>
  <c r="G246" i="7"/>
  <c r="V246" i="7" s="1"/>
  <c r="G278" i="7"/>
  <c r="V278" i="7" s="1"/>
  <c r="U31" i="7"/>
  <c r="H191" i="7"/>
  <c r="H199" i="7"/>
  <c r="H207" i="7"/>
  <c r="H215" i="7"/>
  <c r="H223" i="7"/>
  <c r="H231" i="7"/>
  <c r="H190" i="7"/>
  <c r="H222" i="7"/>
  <c r="H192" i="7"/>
  <c r="H200" i="7"/>
  <c r="H208" i="7"/>
  <c r="H216" i="7"/>
  <c r="H224" i="7"/>
  <c r="H232" i="7"/>
  <c r="H206" i="7"/>
  <c r="H185" i="7"/>
  <c r="H193" i="7"/>
  <c r="H201" i="7"/>
  <c r="H209" i="7"/>
  <c r="H217" i="7"/>
  <c r="H225" i="7"/>
  <c r="H233" i="7"/>
  <c r="H230" i="7"/>
  <c r="H186" i="7"/>
  <c r="H194" i="7"/>
  <c r="H202" i="7"/>
  <c r="H210" i="7"/>
  <c r="H218" i="7"/>
  <c r="H226" i="7"/>
  <c r="H234" i="7"/>
  <c r="H228" i="7"/>
  <c r="H187" i="7"/>
  <c r="H195" i="7"/>
  <c r="H203" i="7"/>
  <c r="H211" i="7"/>
  <c r="H219" i="7"/>
  <c r="H227" i="7"/>
  <c r="H184" i="7"/>
  <c r="H188" i="7"/>
  <c r="H196" i="7"/>
  <c r="H204" i="7"/>
  <c r="H212" i="7"/>
  <c r="H220" i="7"/>
  <c r="H214" i="7"/>
  <c r="H189" i="7"/>
  <c r="H197" i="7"/>
  <c r="H205" i="7"/>
  <c r="H213" i="7"/>
  <c r="H221" i="7"/>
  <c r="H229" i="7"/>
  <c r="H198" i="7"/>
  <c r="I185" i="7"/>
  <c r="I193" i="7"/>
  <c r="I201" i="7"/>
  <c r="I209" i="7"/>
  <c r="I217" i="7"/>
  <c r="I225" i="7"/>
  <c r="I233" i="7"/>
  <c r="I200" i="7"/>
  <c r="I186" i="7"/>
  <c r="I194" i="7"/>
  <c r="I202" i="7"/>
  <c r="I210" i="7"/>
  <c r="I218" i="7"/>
  <c r="I226" i="7"/>
  <c r="I234" i="7"/>
  <c r="I222" i="7"/>
  <c r="I208" i="7"/>
  <c r="I187" i="7"/>
  <c r="I195" i="7"/>
  <c r="I203" i="7"/>
  <c r="I211" i="7"/>
  <c r="I219" i="7"/>
  <c r="I227" i="7"/>
  <c r="I184" i="7"/>
  <c r="I214" i="7"/>
  <c r="I232" i="7"/>
  <c r="I188" i="7"/>
  <c r="I196" i="7"/>
  <c r="I204" i="7"/>
  <c r="I212" i="7"/>
  <c r="I220" i="7"/>
  <c r="I228" i="7"/>
  <c r="I192" i="7"/>
  <c r="I189" i="7"/>
  <c r="I197" i="7"/>
  <c r="I205" i="7"/>
  <c r="I213" i="7"/>
  <c r="I221" i="7"/>
  <c r="I229" i="7"/>
  <c r="I190" i="7"/>
  <c r="I198" i="7"/>
  <c r="I206" i="7"/>
  <c r="I230" i="7"/>
  <c r="I216" i="7"/>
  <c r="I191" i="7"/>
  <c r="I199" i="7"/>
  <c r="I207" i="7"/>
  <c r="I215" i="7"/>
  <c r="I223" i="7"/>
  <c r="I231" i="7"/>
  <c r="I224" i="7"/>
  <c r="D222" i="7"/>
  <c r="D230" i="7"/>
  <c r="D187" i="7"/>
  <c r="D195" i="7"/>
  <c r="D203" i="7"/>
  <c r="D211" i="7"/>
  <c r="D186" i="7"/>
  <c r="D184" i="7"/>
  <c r="D223" i="7"/>
  <c r="D231" i="7"/>
  <c r="D188" i="7"/>
  <c r="D196" i="7"/>
  <c r="D204" i="7"/>
  <c r="D212" i="7"/>
  <c r="D202" i="7"/>
  <c r="D216" i="7"/>
  <c r="D224" i="7"/>
  <c r="D232" i="7"/>
  <c r="D189" i="7"/>
  <c r="D197" i="7"/>
  <c r="D205" i="7"/>
  <c r="D213" i="7"/>
  <c r="D217" i="7"/>
  <c r="D225" i="7"/>
  <c r="D233" i="7"/>
  <c r="D190" i="7"/>
  <c r="D198" i="7"/>
  <c r="D206" i="7"/>
  <c r="D214" i="7"/>
  <c r="D218" i="7"/>
  <c r="D226" i="7"/>
  <c r="D234" i="7"/>
  <c r="D191" i="7"/>
  <c r="D199" i="7"/>
  <c r="D207" i="7"/>
  <c r="D215" i="7"/>
  <c r="D219" i="7"/>
  <c r="D227" i="7"/>
  <c r="D192" i="7"/>
  <c r="D200" i="7"/>
  <c r="D208" i="7"/>
  <c r="D210" i="7"/>
  <c r="D220" i="7"/>
  <c r="D228" i="7"/>
  <c r="D185" i="7"/>
  <c r="D193" i="7"/>
  <c r="D201" i="7"/>
  <c r="D209" i="7"/>
  <c r="D194" i="7"/>
  <c r="D221" i="7"/>
  <c r="D229" i="7"/>
  <c r="J186" i="7"/>
  <c r="J194" i="7"/>
  <c r="J202" i="7"/>
  <c r="J210" i="7"/>
  <c r="J218" i="7"/>
  <c r="J226" i="7"/>
  <c r="J234" i="7"/>
  <c r="J201" i="7"/>
  <c r="J187" i="7"/>
  <c r="J195" i="7"/>
  <c r="J203" i="7"/>
  <c r="J211" i="7"/>
  <c r="J219" i="7"/>
  <c r="J227" i="7"/>
  <c r="J184" i="7"/>
  <c r="J209" i="7"/>
  <c r="J188" i="7"/>
  <c r="J196" i="7"/>
  <c r="J204" i="7"/>
  <c r="J212" i="7"/>
  <c r="J220" i="7"/>
  <c r="J228" i="7"/>
  <c r="J233" i="7"/>
  <c r="J189" i="7"/>
  <c r="J197" i="7"/>
  <c r="J205" i="7"/>
  <c r="J213" i="7"/>
  <c r="J221" i="7"/>
  <c r="J229" i="7"/>
  <c r="J217" i="7"/>
  <c r="J190" i="7"/>
  <c r="J198" i="7"/>
  <c r="J206" i="7"/>
  <c r="J214" i="7"/>
  <c r="J222" i="7"/>
  <c r="J230" i="7"/>
  <c r="J191" i="7"/>
  <c r="J199" i="7"/>
  <c r="J207" i="7"/>
  <c r="J215" i="7"/>
  <c r="J223" i="7"/>
  <c r="J231" i="7"/>
  <c r="J193" i="7"/>
  <c r="J225" i="7"/>
  <c r="J192" i="7"/>
  <c r="J200" i="7"/>
  <c r="J208" i="7"/>
  <c r="J216" i="7"/>
  <c r="J224" i="7"/>
  <c r="J232" i="7"/>
  <c r="J185" i="7"/>
  <c r="L190" i="7"/>
  <c r="AA190" i="7" s="1"/>
  <c r="L198" i="7"/>
  <c r="AA198" i="7" s="1"/>
  <c r="L206" i="7"/>
  <c r="AA206" i="7" s="1"/>
  <c r="L214" i="7"/>
  <c r="AA214" i="7" s="1"/>
  <c r="L222" i="7"/>
  <c r="AA222" i="7" s="1"/>
  <c r="L230" i="7"/>
  <c r="AA230" i="7" s="1"/>
  <c r="L189" i="7"/>
  <c r="AA189" i="7" s="1"/>
  <c r="L213" i="7"/>
  <c r="AA213" i="7" s="1"/>
  <c r="L191" i="7"/>
  <c r="AA191" i="7" s="1"/>
  <c r="L199" i="7"/>
  <c r="AA199" i="7" s="1"/>
  <c r="L207" i="7"/>
  <c r="AA207" i="7" s="1"/>
  <c r="L215" i="7"/>
  <c r="AA215" i="7" s="1"/>
  <c r="L223" i="7"/>
  <c r="AA223" i="7" s="1"/>
  <c r="L231" i="7"/>
  <c r="AA231" i="7" s="1"/>
  <c r="L219" i="7"/>
  <c r="AA219" i="7" s="1"/>
  <c r="L205" i="7"/>
  <c r="AA205" i="7" s="1"/>
  <c r="L192" i="7"/>
  <c r="AA192" i="7" s="1"/>
  <c r="L200" i="7"/>
  <c r="AA200" i="7" s="1"/>
  <c r="L208" i="7"/>
  <c r="AA208" i="7" s="1"/>
  <c r="L216" i="7"/>
  <c r="AA216" i="7" s="1"/>
  <c r="L224" i="7"/>
  <c r="AA224" i="7" s="1"/>
  <c r="L232" i="7"/>
  <c r="AA232" i="7" s="1"/>
  <c r="L211" i="7"/>
  <c r="AA211" i="7" s="1"/>
  <c r="L221" i="7"/>
  <c r="AA221" i="7" s="1"/>
  <c r="L185" i="7"/>
  <c r="AA185" i="7" s="1"/>
  <c r="L193" i="7"/>
  <c r="AA193" i="7" s="1"/>
  <c r="L201" i="7"/>
  <c r="AA201" i="7" s="1"/>
  <c r="L209" i="7"/>
  <c r="AA209" i="7" s="1"/>
  <c r="L217" i="7"/>
  <c r="AA217" i="7" s="1"/>
  <c r="L225" i="7"/>
  <c r="AA225" i="7" s="1"/>
  <c r="L233" i="7"/>
  <c r="AA233" i="7" s="1"/>
  <c r="L195" i="7"/>
  <c r="AA195" i="7" s="1"/>
  <c r="L186" i="7"/>
  <c r="AA186" i="7" s="1"/>
  <c r="L194" i="7"/>
  <c r="AA194" i="7" s="1"/>
  <c r="L202" i="7"/>
  <c r="AA202" i="7" s="1"/>
  <c r="L210" i="7"/>
  <c r="AA210" i="7" s="1"/>
  <c r="L218" i="7"/>
  <c r="AA218" i="7" s="1"/>
  <c r="L226" i="7"/>
  <c r="AA226" i="7" s="1"/>
  <c r="L234" i="7"/>
  <c r="AA234" i="7" s="1"/>
  <c r="L187" i="7"/>
  <c r="AA187" i="7" s="1"/>
  <c r="L227" i="7"/>
  <c r="AA227" i="7" s="1"/>
  <c r="L203" i="7"/>
  <c r="AA203" i="7" s="1"/>
  <c r="L184" i="7"/>
  <c r="AA184" i="7" s="1"/>
  <c r="L197" i="7"/>
  <c r="AA197" i="7" s="1"/>
  <c r="L229" i="7"/>
  <c r="AA229" i="7" s="1"/>
  <c r="L188" i="7"/>
  <c r="AA188" i="7" s="1"/>
  <c r="L196" i="7"/>
  <c r="AA196" i="7" s="1"/>
  <c r="L204" i="7"/>
  <c r="AA204" i="7" s="1"/>
  <c r="L212" i="7"/>
  <c r="AA212" i="7" s="1"/>
  <c r="L220" i="7"/>
  <c r="AA220" i="7" s="1"/>
  <c r="L228" i="7"/>
  <c r="AA228" i="7" s="1"/>
  <c r="K187" i="7"/>
  <c r="K195" i="7"/>
  <c r="K203" i="7"/>
  <c r="K211" i="7"/>
  <c r="K219" i="7"/>
  <c r="K227" i="7"/>
  <c r="K184" i="7"/>
  <c r="K194" i="7"/>
  <c r="K234" i="7"/>
  <c r="K188" i="7"/>
  <c r="K196" i="7"/>
  <c r="K204" i="7"/>
  <c r="K212" i="7"/>
  <c r="K220" i="7"/>
  <c r="K228" i="7"/>
  <c r="K200" i="7"/>
  <c r="K232" i="7"/>
  <c r="K210" i="7"/>
  <c r="K189" i="7"/>
  <c r="K197" i="7"/>
  <c r="K205" i="7"/>
  <c r="K213" i="7"/>
  <c r="K221" i="7"/>
  <c r="K229" i="7"/>
  <c r="K208" i="7"/>
  <c r="K226" i="7"/>
  <c r="K190" i="7"/>
  <c r="K198" i="7"/>
  <c r="K206" i="7"/>
  <c r="K214" i="7"/>
  <c r="K222" i="7"/>
  <c r="K230" i="7"/>
  <c r="K192" i="7"/>
  <c r="K202" i="7"/>
  <c r="K191" i="7"/>
  <c r="K199" i="7"/>
  <c r="K207" i="7"/>
  <c r="K215" i="7"/>
  <c r="K223" i="7"/>
  <c r="K231" i="7"/>
  <c r="K216" i="7"/>
  <c r="K224" i="7"/>
  <c r="K218" i="7"/>
  <c r="K185" i="7"/>
  <c r="K193" i="7"/>
  <c r="K201" i="7"/>
  <c r="K209" i="7"/>
  <c r="K217" i="7"/>
  <c r="K225" i="7"/>
  <c r="K233" i="7"/>
  <c r="K186" i="7"/>
  <c r="G188" i="7"/>
  <c r="G196" i="7"/>
  <c r="G204" i="7"/>
  <c r="G212" i="7"/>
  <c r="G220" i="7"/>
  <c r="G228" i="7"/>
  <c r="G195" i="7"/>
  <c r="G219" i="7"/>
  <c r="G189" i="7"/>
  <c r="G197" i="7"/>
  <c r="G205" i="7"/>
  <c r="G213" i="7"/>
  <c r="G221" i="7"/>
  <c r="G229" i="7"/>
  <c r="G193" i="7"/>
  <c r="G203" i="7"/>
  <c r="G190" i="7"/>
  <c r="G198" i="7"/>
  <c r="G206" i="7"/>
  <c r="G214" i="7"/>
  <c r="G222" i="7"/>
  <c r="G230" i="7"/>
  <c r="G201" i="7"/>
  <c r="G184" i="7"/>
  <c r="G191" i="7"/>
  <c r="G199" i="7"/>
  <c r="G207" i="7"/>
  <c r="G215" i="7"/>
  <c r="G223" i="7"/>
  <c r="G231" i="7"/>
  <c r="G192" i="7"/>
  <c r="G200" i="7"/>
  <c r="G208" i="7"/>
  <c r="G216" i="7"/>
  <c r="G224" i="7"/>
  <c r="G232" i="7"/>
  <c r="G185" i="7"/>
  <c r="G209" i="7"/>
  <c r="G217" i="7"/>
  <c r="G225" i="7"/>
  <c r="G233" i="7"/>
  <c r="G187" i="7"/>
  <c r="G227" i="7"/>
  <c r="G186" i="7"/>
  <c r="G194" i="7"/>
  <c r="G202" i="7"/>
  <c r="G210" i="7"/>
  <c r="G218" i="7"/>
  <c r="G226" i="7"/>
  <c r="G234" i="7"/>
  <c r="G211" i="7"/>
  <c r="G141" i="7"/>
  <c r="G149" i="7"/>
  <c r="G157" i="7"/>
  <c r="G165" i="7"/>
  <c r="G173" i="7"/>
  <c r="G181" i="7"/>
  <c r="G134" i="7"/>
  <c r="G182" i="7"/>
  <c r="G135" i="7"/>
  <c r="G143" i="7"/>
  <c r="G151" i="7"/>
  <c r="G159" i="7"/>
  <c r="G167" i="7"/>
  <c r="G175" i="7"/>
  <c r="G183" i="7"/>
  <c r="G136" i="7"/>
  <c r="G144" i="7"/>
  <c r="G152" i="7"/>
  <c r="G160" i="7"/>
  <c r="G168" i="7"/>
  <c r="G176" i="7"/>
  <c r="G133" i="7"/>
  <c r="G140" i="7"/>
  <c r="G164" i="7"/>
  <c r="G158" i="7"/>
  <c r="G174" i="7"/>
  <c r="G137" i="7"/>
  <c r="G145" i="7"/>
  <c r="G153" i="7"/>
  <c r="G161" i="7"/>
  <c r="G169" i="7"/>
  <c r="G177" i="7"/>
  <c r="G142" i="7"/>
  <c r="G138" i="7"/>
  <c r="G146" i="7"/>
  <c r="G154" i="7"/>
  <c r="G162" i="7"/>
  <c r="G170" i="7"/>
  <c r="G178" i="7"/>
  <c r="G139" i="7"/>
  <c r="G147" i="7"/>
  <c r="G155" i="7"/>
  <c r="G163" i="7"/>
  <c r="G171" i="7"/>
  <c r="G179" i="7"/>
  <c r="G148" i="7"/>
  <c r="G172" i="7"/>
  <c r="G150" i="7"/>
  <c r="G166" i="7"/>
  <c r="G156" i="7"/>
  <c r="G180" i="7"/>
  <c r="L135" i="7"/>
  <c r="L143" i="7"/>
  <c r="L151" i="7"/>
  <c r="L159" i="7"/>
  <c r="L167" i="7"/>
  <c r="L175" i="7"/>
  <c r="L183" i="7"/>
  <c r="L176" i="7"/>
  <c r="L137" i="7"/>
  <c r="L145" i="7"/>
  <c r="L153" i="7"/>
  <c r="L161" i="7"/>
  <c r="L169" i="7"/>
  <c r="L177" i="7"/>
  <c r="L138" i="7"/>
  <c r="L146" i="7"/>
  <c r="L154" i="7"/>
  <c r="L162" i="7"/>
  <c r="L170" i="7"/>
  <c r="L178" i="7"/>
  <c r="L134" i="7"/>
  <c r="L150" i="7"/>
  <c r="L182" i="7"/>
  <c r="L168" i="7"/>
  <c r="L133" i="7"/>
  <c r="L139" i="7"/>
  <c r="L147" i="7"/>
  <c r="L155" i="7"/>
  <c r="L163" i="7"/>
  <c r="L171" i="7"/>
  <c r="L179" i="7"/>
  <c r="L152" i="7"/>
  <c r="L140" i="7"/>
  <c r="L148" i="7"/>
  <c r="L156" i="7"/>
  <c r="L164" i="7"/>
  <c r="L172" i="7"/>
  <c r="L180" i="7"/>
  <c r="L174" i="7"/>
  <c r="L141" i="7"/>
  <c r="L149" i="7"/>
  <c r="L157" i="7"/>
  <c r="L165" i="7"/>
  <c r="L173" i="7"/>
  <c r="L181" i="7"/>
  <c r="L142" i="7"/>
  <c r="L158" i="7"/>
  <c r="L160" i="7"/>
  <c r="L166" i="7"/>
  <c r="L144" i="7"/>
  <c r="L136" i="7"/>
  <c r="D136" i="7"/>
  <c r="D144" i="7"/>
  <c r="D152" i="7"/>
  <c r="D160" i="7"/>
  <c r="D168" i="7"/>
  <c r="D176" i="7"/>
  <c r="D145" i="7"/>
  <c r="D161" i="7"/>
  <c r="D138" i="7"/>
  <c r="D146" i="7"/>
  <c r="D154" i="7"/>
  <c r="D162" i="7"/>
  <c r="D170" i="7"/>
  <c r="D178" i="7"/>
  <c r="D139" i="7"/>
  <c r="D147" i="7"/>
  <c r="D155" i="7"/>
  <c r="D163" i="7"/>
  <c r="D171" i="7"/>
  <c r="D179" i="7"/>
  <c r="D167" i="7"/>
  <c r="D140" i="7"/>
  <c r="D148" i="7"/>
  <c r="D156" i="7"/>
  <c r="D164" i="7"/>
  <c r="D172" i="7"/>
  <c r="D180" i="7"/>
  <c r="D137" i="7"/>
  <c r="D153" i="7"/>
  <c r="D169" i="7"/>
  <c r="D183" i="7"/>
  <c r="D141" i="7"/>
  <c r="D149" i="7"/>
  <c r="D157" i="7"/>
  <c r="D165" i="7"/>
  <c r="D173" i="7"/>
  <c r="D181" i="7"/>
  <c r="D134" i="7"/>
  <c r="D142" i="7"/>
  <c r="D150" i="7"/>
  <c r="D158" i="7"/>
  <c r="D166" i="7"/>
  <c r="D174" i="7"/>
  <c r="D182" i="7"/>
  <c r="D175" i="7"/>
  <c r="D177" i="7"/>
  <c r="D135" i="7"/>
  <c r="D143" i="7"/>
  <c r="D151" i="7"/>
  <c r="D159" i="7"/>
  <c r="D133" i="7"/>
  <c r="I138" i="7"/>
  <c r="I146" i="7"/>
  <c r="I154" i="7"/>
  <c r="I162" i="7"/>
  <c r="I170" i="7"/>
  <c r="I178" i="7"/>
  <c r="I179" i="7"/>
  <c r="I140" i="7"/>
  <c r="I148" i="7"/>
  <c r="I156" i="7"/>
  <c r="I164" i="7"/>
  <c r="I172" i="7"/>
  <c r="I180" i="7"/>
  <c r="I141" i="7"/>
  <c r="I149" i="7"/>
  <c r="I157" i="7"/>
  <c r="I165" i="7"/>
  <c r="I173" i="7"/>
  <c r="I181" i="7"/>
  <c r="I137" i="7"/>
  <c r="I153" i="7"/>
  <c r="I155" i="7"/>
  <c r="I171" i="7"/>
  <c r="I134" i="7"/>
  <c r="I142" i="7"/>
  <c r="I150" i="7"/>
  <c r="I158" i="7"/>
  <c r="I166" i="7"/>
  <c r="I174" i="7"/>
  <c r="I182" i="7"/>
  <c r="I177" i="7"/>
  <c r="I139" i="7"/>
  <c r="I135" i="7"/>
  <c r="I143" i="7"/>
  <c r="I151" i="7"/>
  <c r="I159" i="7"/>
  <c r="I167" i="7"/>
  <c r="I175" i="7"/>
  <c r="I183" i="7"/>
  <c r="I136" i="7"/>
  <c r="I144" i="7"/>
  <c r="I152" i="7"/>
  <c r="I160" i="7"/>
  <c r="I168" i="7"/>
  <c r="I176" i="7"/>
  <c r="I133" i="7"/>
  <c r="I145" i="7"/>
  <c r="I161" i="7"/>
  <c r="I147" i="7"/>
  <c r="I163" i="7"/>
  <c r="I169" i="7"/>
  <c r="H136" i="7"/>
  <c r="H144" i="7"/>
  <c r="H152" i="7"/>
  <c r="H160" i="7"/>
  <c r="H168" i="7"/>
  <c r="H176" i="7"/>
  <c r="H133" i="7"/>
  <c r="H153" i="7"/>
  <c r="H138" i="7"/>
  <c r="H146" i="7"/>
  <c r="H154" i="7"/>
  <c r="H162" i="7"/>
  <c r="H170" i="7"/>
  <c r="H178" i="7"/>
  <c r="H139" i="7"/>
  <c r="H147" i="7"/>
  <c r="H155" i="7"/>
  <c r="H163" i="7"/>
  <c r="H171" i="7"/>
  <c r="H179" i="7"/>
  <c r="H143" i="7"/>
  <c r="H159" i="7"/>
  <c r="H145" i="7"/>
  <c r="H177" i="7"/>
  <c r="H140" i="7"/>
  <c r="H148" i="7"/>
  <c r="H156" i="7"/>
  <c r="H164" i="7"/>
  <c r="H172" i="7"/>
  <c r="H180" i="7"/>
  <c r="H183" i="7"/>
  <c r="H161" i="7"/>
  <c r="H141" i="7"/>
  <c r="H149" i="7"/>
  <c r="H157" i="7"/>
  <c r="H165" i="7"/>
  <c r="H173" i="7"/>
  <c r="H181" i="7"/>
  <c r="H134" i="7"/>
  <c r="H142" i="7"/>
  <c r="H150" i="7"/>
  <c r="H158" i="7"/>
  <c r="H166" i="7"/>
  <c r="H174" i="7"/>
  <c r="H182" i="7"/>
  <c r="H151" i="7"/>
  <c r="H167" i="7"/>
  <c r="H137" i="7"/>
  <c r="H169" i="7"/>
  <c r="H135" i="7"/>
  <c r="H175" i="7"/>
  <c r="K140" i="7"/>
  <c r="K148" i="7"/>
  <c r="K156" i="7"/>
  <c r="K164" i="7"/>
  <c r="K172" i="7"/>
  <c r="K180" i="7"/>
  <c r="K134" i="7"/>
  <c r="K142" i="7"/>
  <c r="K150" i="7"/>
  <c r="K158" i="7"/>
  <c r="K166" i="7"/>
  <c r="K174" i="7"/>
  <c r="K182" i="7"/>
  <c r="K135" i="7"/>
  <c r="K143" i="7"/>
  <c r="K151" i="7"/>
  <c r="K159" i="7"/>
  <c r="K167" i="7"/>
  <c r="K175" i="7"/>
  <c r="K183" i="7"/>
  <c r="K155" i="7"/>
  <c r="K179" i="7"/>
  <c r="K136" i="7"/>
  <c r="K144" i="7"/>
  <c r="K152" i="7"/>
  <c r="K160" i="7"/>
  <c r="K168" i="7"/>
  <c r="K176" i="7"/>
  <c r="K133" i="7"/>
  <c r="K147" i="7"/>
  <c r="K137" i="7"/>
  <c r="K145" i="7"/>
  <c r="K153" i="7"/>
  <c r="K161" i="7"/>
  <c r="K169" i="7"/>
  <c r="K177" i="7"/>
  <c r="K138" i="7"/>
  <c r="K146" i="7"/>
  <c r="K154" i="7"/>
  <c r="K162" i="7"/>
  <c r="K170" i="7"/>
  <c r="K178" i="7"/>
  <c r="K139" i="7"/>
  <c r="K163" i="7"/>
  <c r="K141" i="7"/>
  <c r="K171" i="7"/>
  <c r="K149" i="7"/>
  <c r="K157" i="7"/>
  <c r="K165" i="7"/>
  <c r="K173" i="7"/>
  <c r="K181" i="7"/>
  <c r="J139" i="7"/>
  <c r="Y139" i="7" s="1"/>
  <c r="J147" i="7"/>
  <c r="Y147" i="7" s="1"/>
  <c r="J155" i="7"/>
  <c r="Y155" i="7" s="1"/>
  <c r="J163" i="7"/>
  <c r="Y163" i="7" s="1"/>
  <c r="J171" i="7"/>
  <c r="Y171" i="7" s="1"/>
  <c r="J179" i="7"/>
  <c r="Y179" i="7" s="1"/>
  <c r="J140" i="7"/>
  <c r="Y140" i="7" s="1"/>
  <c r="J172" i="7"/>
  <c r="Y172" i="7" s="1"/>
  <c r="J141" i="7"/>
  <c r="Y141" i="7" s="1"/>
  <c r="J149" i="7"/>
  <c r="Y149" i="7" s="1"/>
  <c r="J157" i="7"/>
  <c r="Y157" i="7" s="1"/>
  <c r="J165" i="7"/>
  <c r="Y165" i="7" s="1"/>
  <c r="J173" i="7"/>
  <c r="Y173" i="7" s="1"/>
  <c r="J181" i="7"/>
  <c r="Y181" i="7" s="1"/>
  <c r="J134" i="7"/>
  <c r="Y134" i="7" s="1"/>
  <c r="J142" i="7"/>
  <c r="Y142" i="7" s="1"/>
  <c r="J150" i="7"/>
  <c r="Y150" i="7" s="1"/>
  <c r="J158" i="7"/>
  <c r="Y158" i="7" s="1"/>
  <c r="J166" i="7"/>
  <c r="Y166" i="7" s="1"/>
  <c r="J174" i="7"/>
  <c r="Y174" i="7" s="1"/>
  <c r="J182" i="7"/>
  <c r="Y182" i="7" s="1"/>
  <c r="J138" i="7"/>
  <c r="Y138" i="7" s="1"/>
  <c r="J162" i="7"/>
  <c r="Y162" i="7" s="1"/>
  <c r="J164" i="7"/>
  <c r="Y164" i="7" s="1"/>
  <c r="J135" i="7"/>
  <c r="Y135" i="7" s="1"/>
  <c r="J143" i="7"/>
  <c r="Y143" i="7" s="1"/>
  <c r="J151" i="7"/>
  <c r="Y151" i="7" s="1"/>
  <c r="J159" i="7"/>
  <c r="Y159" i="7" s="1"/>
  <c r="J167" i="7"/>
  <c r="Y167" i="7" s="1"/>
  <c r="J175" i="7"/>
  <c r="Y175" i="7" s="1"/>
  <c r="J183" i="7"/>
  <c r="Y183" i="7" s="1"/>
  <c r="J148" i="7"/>
  <c r="Y148" i="7" s="1"/>
  <c r="J180" i="7"/>
  <c r="Y180" i="7" s="1"/>
  <c r="J136" i="7"/>
  <c r="Y136" i="7" s="1"/>
  <c r="J144" i="7"/>
  <c r="Y144" i="7" s="1"/>
  <c r="J152" i="7"/>
  <c r="Y152" i="7" s="1"/>
  <c r="J160" i="7"/>
  <c r="Y160" i="7" s="1"/>
  <c r="J168" i="7"/>
  <c r="Y168" i="7" s="1"/>
  <c r="J176" i="7"/>
  <c r="Y176" i="7" s="1"/>
  <c r="J133" i="7"/>
  <c r="Y133" i="7" s="1"/>
  <c r="J178" i="7"/>
  <c r="Y178" i="7" s="1"/>
  <c r="J137" i="7"/>
  <c r="Y137" i="7" s="1"/>
  <c r="J145" i="7"/>
  <c r="Y145" i="7" s="1"/>
  <c r="J153" i="7"/>
  <c r="Y153" i="7" s="1"/>
  <c r="J161" i="7"/>
  <c r="Y161" i="7" s="1"/>
  <c r="J169" i="7"/>
  <c r="Y169" i="7" s="1"/>
  <c r="J177" i="7"/>
  <c r="Y177" i="7" s="1"/>
  <c r="J146" i="7"/>
  <c r="Y146" i="7" s="1"/>
  <c r="J170" i="7"/>
  <c r="Y170" i="7" s="1"/>
  <c r="J156" i="7"/>
  <c r="Y156" i="7" s="1"/>
  <c r="J154" i="7"/>
  <c r="Y154" i="7" s="1"/>
  <c r="M332" i="7"/>
  <c r="U332" i="7" s="1"/>
  <c r="M298" i="7"/>
  <c r="U298" i="7" s="1"/>
  <c r="M329" i="7"/>
  <c r="U329" i="7" s="1"/>
  <c r="M303" i="7"/>
  <c r="U303" i="7" s="1"/>
  <c r="M311" i="7"/>
  <c r="U311" i="7" s="1"/>
  <c r="M330" i="7"/>
  <c r="U330" i="7" s="1"/>
  <c r="M318" i="7"/>
  <c r="U318" i="7" s="1"/>
  <c r="M315" i="7"/>
  <c r="U315" i="7" s="1"/>
  <c r="M334" i="7"/>
  <c r="U334" i="7" s="1"/>
  <c r="M305" i="7"/>
  <c r="U305" i="7" s="1"/>
  <c r="M321" i="7"/>
  <c r="U321" i="7" s="1"/>
  <c r="M288" i="7"/>
  <c r="U288" i="7" s="1"/>
  <c r="M310" i="7"/>
  <c r="U310" i="7" s="1"/>
  <c r="M319" i="7"/>
  <c r="U319" i="7" s="1"/>
  <c r="M301" i="7"/>
  <c r="U301" i="7" s="1"/>
  <c r="M312" i="7"/>
  <c r="U312" i="7" s="1"/>
  <c r="M328" i="7"/>
  <c r="U328" i="7" s="1"/>
  <c r="M322" i="7"/>
  <c r="U322" i="7" s="1"/>
  <c r="M287" i="7"/>
  <c r="U287" i="7" s="1"/>
  <c r="M308" i="7"/>
  <c r="U308" i="7" s="1"/>
  <c r="M320" i="7"/>
  <c r="U320" i="7" s="1"/>
  <c r="M331" i="7"/>
  <c r="U331" i="7" s="1"/>
  <c r="M307" i="7"/>
  <c r="U307" i="7" s="1"/>
  <c r="M316" i="7"/>
  <c r="U316" i="7" s="1"/>
  <c r="M302" i="7"/>
  <c r="U302" i="7" s="1"/>
  <c r="M300" i="7"/>
  <c r="U300" i="7" s="1"/>
  <c r="M335" i="7"/>
  <c r="U335" i="7" s="1"/>
  <c r="M327" i="7"/>
  <c r="U327" i="7" s="1"/>
  <c r="M336" i="7"/>
  <c r="U336" i="7" s="1"/>
  <c r="M309" i="7"/>
  <c r="U309" i="7" s="1"/>
  <c r="M326" i="7"/>
  <c r="U326" i="7" s="1"/>
  <c r="M296" i="7"/>
  <c r="U296" i="7" s="1"/>
  <c r="M299" i="7"/>
  <c r="U299" i="7" s="1"/>
  <c r="M313" i="7"/>
  <c r="U313" i="7" s="1"/>
  <c r="M333" i="7"/>
  <c r="U333" i="7" s="1"/>
  <c r="M324" i="7"/>
  <c r="U324" i="7" s="1"/>
  <c r="M291" i="7"/>
  <c r="U291" i="7" s="1"/>
  <c r="M292" i="7"/>
  <c r="U292" i="7" s="1"/>
  <c r="M293" i="7"/>
  <c r="U293" i="7" s="1"/>
  <c r="M289" i="7"/>
  <c r="U289" i="7" s="1"/>
  <c r="M286" i="7"/>
  <c r="U286" i="7" s="1"/>
  <c r="M294" i="7"/>
  <c r="U294" i="7" s="1"/>
  <c r="M295" i="7"/>
  <c r="U295" i="7" s="1"/>
  <c r="Z438" i="7"/>
  <c r="Z430" i="7"/>
  <c r="Z422" i="7"/>
  <c r="Z414" i="7"/>
  <c r="Z420" i="7"/>
  <c r="Z418" i="7"/>
  <c r="Z416" i="7"/>
  <c r="Z428" i="7"/>
  <c r="Z426" i="7"/>
  <c r="Z424" i="7"/>
  <c r="Z403" i="7"/>
  <c r="Z395" i="7"/>
  <c r="Z433" i="7"/>
  <c r="Z432" i="7"/>
  <c r="Z415" i="7"/>
  <c r="Z388" i="7"/>
  <c r="Z423" i="7"/>
  <c r="Z413" i="7"/>
  <c r="Z394" i="7"/>
  <c r="Z392" i="7"/>
  <c r="Z390" i="7"/>
  <c r="Z427" i="7"/>
  <c r="Z410" i="7"/>
  <c r="Z405" i="7"/>
  <c r="Z404" i="7"/>
  <c r="Z434" i="7"/>
  <c r="Z417" i="7"/>
  <c r="Z429" i="7"/>
  <c r="Z412" i="7"/>
  <c r="Z389" i="7"/>
  <c r="Z436" i="7"/>
  <c r="Z431" i="7"/>
  <c r="Z419" i="7"/>
  <c r="Z406" i="7"/>
  <c r="Z399" i="7"/>
  <c r="Z398" i="7"/>
  <c r="Z409" i="7"/>
  <c r="Z391" i="7"/>
  <c r="Z435" i="7"/>
  <c r="Z421" i="7"/>
  <c r="Z437" i="7"/>
  <c r="Z402" i="7"/>
  <c r="Z397" i="7"/>
  <c r="Z393" i="7"/>
  <c r="Z425" i="7"/>
  <c r="Z407" i="7"/>
  <c r="Z400" i="7"/>
  <c r="Z396" i="7"/>
  <c r="Z401" i="7"/>
  <c r="Z411" i="7"/>
  <c r="Z408" i="7"/>
  <c r="AA78" i="7"/>
  <c r="AA70" i="7"/>
  <c r="AA62" i="7"/>
  <c r="AA54" i="7"/>
  <c r="AA46" i="7"/>
  <c r="AA38" i="7"/>
  <c r="AA77" i="7"/>
  <c r="AA69" i="7"/>
  <c r="AA61" i="7"/>
  <c r="AA53" i="7"/>
  <c r="AA45" i="7"/>
  <c r="AA37" i="7"/>
  <c r="AA73" i="7"/>
  <c r="AA67" i="7"/>
  <c r="AA41" i="7"/>
  <c r="AA35" i="7"/>
  <c r="AA64" i="7"/>
  <c r="AA58" i="7"/>
  <c r="AA55" i="7"/>
  <c r="AA32" i="7"/>
  <c r="AA43" i="7"/>
  <c r="AA52" i="7"/>
  <c r="AA34" i="7"/>
  <c r="AA81" i="7"/>
  <c r="AA75" i="7"/>
  <c r="AA49" i="7"/>
  <c r="AA72" i="7"/>
  <c r="AA66" i="7"/>
  <c r="AA63" i="7"/>
  <c r="AA60" i="7"/>
  <c r="AA40" i="7"/>
  <c r="AA57" i="7"/>
  <c r="AA51" i="7"/>
  <c r="AA33" i="7"/>
  <c r="AA80" i="7"/>
  <c r="AA74" i="7"/>
  <c r="AA71" i="7"/>
  <c r="AA68" i="7"/>
  <c r="AA48" i="7"/>
  <c r="AA42" i="7"/>
  <c r="AA39" i="7"/>
  <c r="AA36" i="7"/>
  <c r="AA31" i="7"/>
  <c r="AA65" i="7"/>
  <c r="AA59" i="7"/>
  <c r="AA79" i="7"/>
  <c r="AA76" i="7"/>
  <c r="AA56" i="7"/>
  <c r="AA50" i="7"/>
  <c r="AA47" i="7"/>
  <c r="AA44" i="7"/>
  <c r="Y437" i="7"/>
  <c r="Y429" i="7"/>
  <c r="Y421" i="7"/>
  <c r="Y413" i="7"/>
  <c r="Y428" i="7"/>
  <c r="Y426" i="7"/>
  <c r="Y424" i="7"/>
  <c r="Y422" i="7"/>
  <c r="Y436" i="7"/>
  <c r="Y434" i="7"/>
  <c r="Y432" i="7"/>
  <c r="Y430" i="7"/>
  <c r="Y402" i="7"/>
  <c r="Y394" i="7"/>
  <c r="Y423" i="7"/>
  <c r="Y392" i="7"/>
  <c r="Y390" i="7"/>
  <c r="Y431" i="7"/>
  <c r="Y414" i="7"/>
  <c r="Y406" i="7"/>
  <c r="Y400" i="7"/>
  <c r="Y398" i="7"/>
  <c r="Y396" i="7"/>
  <c r="Y420" i="7"/>
  <c r="Y415" i="7"/>
  <c r="Y395" i="7"/>
  <c r="Y427" i="7"/>
  <c r="Y417" i="7"/>
  <c r="Y408" i="7"/>
  <c r="Y397" i="7"/>
  <c r="Y388" i="7"/>
  <c r="Y412" i="7"/>
  <c r="Y433" i="7"/>
  <c r="Y419" i="7"/>
  <c r="Y416" i="7"/>
  <c r="Y399" i="7"/>
  <c r="Y438" i="7"/>
  <c r="Y425" i="7"/>
  <c r="Y411" i="7"/>
  <c r="Y407" i="7"/>
  <c r="Y403" i="7"/>
  <c r="Y393" i="7"/>
  <c r="Y435" i="7"/>
  <c r="Y418" i="7"/>
  <c r="Y410" i="7"/>
  <c r="Y405" i="7"/>
  <c r="Y389" i="7"/>
  <c r="Y409" i="7"/>
  <c r="Y404" i="7"/>
  <c r="Y401" i="7"/>
  <c r="Y391" i="7"/>
  <c r="M314" i="7"/>
  <c r="U314" i="7" s="1"/>
  <c r="M325" i="7"/>
  <c r="U325" i="7" s="1"/>
  <c r="Z385" i="7"/>
  <c r="Z377" i="7"/>
  <c r="Z369" i="7"/>
  <c r="Z384" i="7"/>
  <c r="Z376" i="7"/>
  <c r="Z368" i="7"/>
  <c r="Z386" i="7"/>
  <c r="Z380" i="7"/>
  <c r="Z374" i="7"/>
  <c r="Z365" i="7"/>
  <c r="Z357" i="7"/>
  <c r="Z349" i="7"/>
  <c r="Z341" i="7"/>
  <c r="Z382" i="7"/>
  <c r="Z378" i="7"/>
  <c r="Z387" i="7"/>
  <c r="Z381" i="7"/>
  <c r="Z371" i="7"/>
  <c r="Z348" i="7"/>
  <c r="Z346" i="7"/>
  <c r="Z344" i="7"/>
  <c r="Z342" i="7"/>
  <c r="Z364" i="7"/>
  <c r="Z356" i="7"/>
  <c r="Z354" i="7"/>
  <c r="Z352" i="7"/>
  <c r="Z350" i="7"/>
  <c r="Z375" i="7"/>
  <c r="Z373" i="7"/>
  <c r="Z345" i="7"/>
  <c r="Z372" i="7"/>
  <c r="Z370" i="7"/>
  <c r="Z362" i="7"/>
  <c r="Z355" i="7"/>
  <c r="Z359" i="7"/>
  <c r="Z347" i="7"/>
  <c r="Z337" i="7"/>
  <c r="Z383" i="7"/>
  <c r="Z366" i="7"/>
  <c r="Z340" i="7"/>
  <c r="Z339" i="7"/>
  <c r="Z367" i="7"/>
  <c r="Z361" i="7"/>
  <c r="Z379" i="7"/>
  <c r="Z363" i="7"/>
  <c r="Z343" i="7"/>
  <c r="Z360" i="7"/>
  <c r="Z353" i="7"/>
  <c r="Z338" i="7"/>
  <c r="Z358" i="7"/>
  <c r="Z351" i="7"/>
  <c r="Z128" i="7"/>
  <c r="Z120" i="7"/>
  <c r="Z112" i="7"/>
  <c r="Z104" i="7"/>
  <c r="Z96" i="7"/>
  <c r="Z127" i="7"/>
  <c r="Z119" i="7"/>
  <c r="Z111" i="7"/>
  <c r="Z103" i="7"/>
  <c r="Z95" i="7"/>
  <c r="Z130" i="7"/>
  <c r="Z124" i="7"/>
  <c r="Z118" i="7"/>
  <c r="Z98" i="7"/>
  <c r="Z92" i="7"/>
  <c r="Z86" i="7"/>
  <c r="Z129" i="7"/>
  <c r="Z123" i="7"/>
  <c r="Z117" i="7"/>
  <c r="Z122" i="7"/>
  <c r="Z116" i="7"/>
  <c r="Z110" i="7"/>
  <c r="Z121" i="7"/>
  <c r="Z115" i="7"/>
  <c r="Z114" i="7"/>
  <c r="Z113" i="7"/>
  <c r="Z132" i="7"/>
  <c r="Z126" i="7"/>
  <c r="Z131" i="7"/>
  <c r="Z125" i="7"/>
  <c r="Z105" i="7"/>
  <c r="Z99" i="7"/>
  <c r="Z93" i="7"/>
  <c r="Z85" i="7"/>
  <c r="Z97" i="7"/>
  <c r="Z91" i="7"/>
  <c r="Z109" i="7"/>
  <c r="Z101" i="7"/>
  <c r="Z87" i="7"/>
  <c r="Z82" i="7"/>
  <c r="Z108" i="7"/>
  <c r="Z89" i="7"/>
  <c r="Z107" i="7"/>
  <c r="Z106" i="7"/>
  <c r="Z100" i="7"/>
  <c r="Z94" i="7"/>
  <c r="Z102" i="7"/>
  <c r="Z90" i="7"/>
  <c r="Z84" i="7"/>
  <c r="Z83" i="7"/>
  <c r="Z88" i="7"/>
  <c r="X75" i="7"/>
  <c r="X67" i="7"/>
  <c r="X59" i="7"/>
  <c r="X51" i="7"/>
  <c r="X43" i="7"/>
  <c r="X35" i="7"/>
  <c r="X74" i="7"/>
  <c r="X66" i="7"/>
  <c r="X58" i="7"/>
  <c r="X50" i="7"/>
  <c r="X42" i="7"/>
  <c r="X34" i="7"/>
  <c r="X80" i="7"/>
  <c r="X76" i="7"/>
  <c r="X71" i="7"/>
  <c r="X48" i="7"/>
  <c r="X44" i="7"/>
  <c r="X39" i="7"/>
  <c r="X31" i="7"/>
  <c r="X70" i="7"/>
  <c r="X65" i="7"/>
  <c r="X61" i="7"/>
  <c r="X33" i="7"/>
  <c r="X37" i="7"/>
  <c r="X32" i="7"/>
  <c r="X38" i="7"/>
  <c r="X56" i="7"/>
  <c r="X52" i="7"/>
  <c r="X79" i="7"/>
  <c r="X47" i="7"/>
  <c r="X41" i="7"/>
  <c r="X78" i="7"/>
  <c r="X73" i="7"/>
  <c r="X69" i="7"/>
  <c r="X46" i="7"/>
  <c r="X64" i="7"/>
  <c r="X60" i="7"/>
  <c r="X55" i="7"/>
  <c r="X81" i="7"/>
  <c r="X77" i="7"/>
  <c r="X54" i="7"/>
  <c r="X49" i="7"/>
  <c r="X45" i="7"/>
  <c r="X72" i="7"/>
  <c r="X68" i="7"/>
  <c r="X63" i="7"/>
  <c r="X40" i="7"/>
  <c r="X36" i="7"/>
  <c r="X62" i="7"/>
  <c r="X57" i="7"/>
  <c r="X53" i="7"/>
  <c r="X126" i="7"/>
  <c r="X118" i="7"/>
  <c r="X110" i="7"/>
  <c r="X102" i="7"/>
  <c r="X94" i="7"/>
  <c r="X125" i="7"/>
  <c r="X117" i="7"/>
  <c r="X109" i="7"/>
  <c r="X101" i="7"/>
  <c r="X93" i="7"/>
  <c r="X132" i="7"/>
  <c r="X112" i="7"/>
  <c r="X106" i="7"/>
  <c r="X100" i="7"/>
  <c r="X84" i="7"/>
  <c r="X99" i="7"/>
  <c r="X131" i="7"/>
  <c r="X130" i="7"/>
  <c r="X124" i="7"/>
  <c r="X129" i="7"/>
  <c r="X123" i="7"/>
  <c r="X128" i="7"/>
  <c r="X122" i="7"/>
  <c r="X116" i="7"/>
  <c r="X127" i="7"/>
  <c r="X121" i="7"/>
  <c r="X115" i="7"/>
  <c r="X120" i="7"/>
  <c r="X114" i="7"/>
  <c r="X119" i="7"/>
  <c r="X113" i="7"/>
  <c r="X107" i="7"/>
  <c r="X83" i="7"/>
  <c r="X82" i="7"/>
  <c r="X111" i="7"/>
  <c r="X105" i="7"/>
  <c r="X98" i="7"/>
  <c r="X95" i="7"/>
  <c r="X92" i="7"/>
  <c r="X88" i="7"/>
  <c r="X103" i="7"/>
  <c r="X87" i="7"/>
  <c r="X108" i="7"/>
  <c r="X97" i="7"/>
  <c r="X89" i="7"/>
  <c r="X86" i="7"/>
  <c r="X91" i="7"/>
  <c r="X85" i="7"/>
  <c r="X96" i="7"/>
  <c r="X104" i="7"/>
  <c r="X90" i="7"/>
  <c r="V81" i="7"/>
  <c r="V73" i="7"/>
  <c r="V65" i="7"/>
  <c r="V57" i="7"/>
  <c r="V49" i="7"/>
  <c r="V41" i="7"/>
  <c r="V33" i="7"/>
  <c r="V80" i="7"/>
  <c r="V72" i="7"/>
  <c r="V64" i="7"/>
  <c r="V56" i="7"/>
  <c r="V48" i="7"/>
  <c r="V40" i="7"/>
  <c r="V32" i="7"/>
  <c r="V31" i="7"/>
  <c r="V74" i="7"/>
  <c r="V68" i="7"/>
  <c r="V63" i="7"/>
  <c r="V42" i="7"/>
  <c r="V36" i="7"/>
  <c r="V62" i="7"/>
  <c r="V59" i="7"/>
  <c r="V53" i="7"/>
  <c r="V76" i="7"/>
  <c r="V71" i="7"/>
  <c r="V44" i="7"/>
  <c r="V50" i="7"/>
  <c r="V39" i="7"/>
  <c r="V38" i="7"/>
  <c r="V70" i="7"/>
  <c r="V67" i="7"/>
  <c r="V61" i="7"/>
  <c r="V35" i="7"/>
  <c r="V79" i="7"/>
  <c r="V58" i="7"/>
  <c r="V52" i="7"/>
  <c r="V47" i="7"/>
  <c r="V78" i="7"/>
  <c r="V75" i="7"/>
  <c r="V69" i="7"/>
  <c r="V46" i="7"/>
  <c r="V43" i="7"/>
  <c r="V37" i="7"/>
  <c r="V66" i="7"/>
  <c r="V60" i="7"/>
  <c r="V55" i="7"/>
  <c r="V34" i="7"/>
  <c r="V77" i="7"/>
  <c r="V54" i="7"/>
  <c r="V51" i="7"/>
  <c r="V45" i="7"/>
  <c r="X436" i="7"/>
  <c r="X428" i="7"/>
  <c r="X420" i="7"/>
  <c r="X412" i="7"/>
  <c r="X434" i="7"/>
  <c r="X432" i="7"/>
  <c r="X430" i="7"/>
  <c r="X438" i="7"/>
  <c r="X411" i="7"/>
  <c r="X409" i="7"/>
  <c r="X401" i="7"/>
  <c r="X393" i="7"/>
  <c r="X431" i="7"/>
  <c r="X414" i="7"/>
  <c r="X413" i="7"/>
  <c r="X406" i="7"/>
  <c r="X400" i="7"/>
  <c r="X398" i="7"/>
  <c r="X396" i="7"/>
  <c r="X394" i="7"/>
  <c r="X422" i="7"/>
  <c r="X421" i="7"/>
  <c r="X407" i="7"/>
  <c r="X404" i="7"/>
  <c r="X402" i="7"/>
  <c r="X437" i="7"/>
  <c r="X425" i="7"/>
  <c r="X403" i="7"/>
  <c r="X427" i="7"/>
  <c r="X424" i="7"/>
  <c r="X410" i="7"/>
  <c r="X405" i="7"/>
  <c r="X429" i="7"/>
  <c r="X417" i="7"/>
  <c r="X408" i="7"/>
  <c r="X397" i="7"/>
  <c r="X426" i="7"/>
  <c r="X390" i="7"/>
  <c r="X389" i="7"/>
  <c r="X433" i="7"/>
  <c r="X419" i="7"/>
  <c r="X416" i="7"/>
  <c r="X435" i="7"/>
  <c r="X418" i="7"/>
  <c r="X388" i="7"/>
  <c r="X391" i="7"/>
  <c r="X423" i="7"/>
  <c r="X415" i="7"/>
  <c r="X392" i="7"/>
  <c r="X399" i="7"/>
  <c r="X395" i="7"/>
  <c r="W237" i="7"/>
  <c r="V434" i="7"/>
  <c r="V426" i="7"/>
  <c r="V418" i="7"/>
  <c r="V410" i="7"/>
  <c r="V417" i="7"/>
  <c r="V415" i="7"/>
  <c r="V413" i="7"/>
  <c r="V411" i="7"/>
  <c r="V408" i="7"/>
  <c r="V425" i="7"/>
  <c r="V423" i="7"/>
  <c r="V421" i="7"/>
  <c r="V419" i="7"/>
  <c r="V407" i="7"/>
  <c r="V399" i="7"/>
  <c r="V391" i="7"/>
  <c r="V430" i="7"/>
  <c r="V429" i="7"/>
  <c r="V412" i="7"/>
  <c r="V438" i="7"/>
  <c r="V437" i="7"/>
  <c r="V420" i="7"/>
  <c r="V389" i="7"/>
  <c r="V435" i="7"/>
  <c r="V402" i="7"/>
  <c r="V401" i="7"/>
  <c r="V432" i="7"/>
  <c r="V422" i="7"/>
  <c r="V404" i="7"/>
  <c r="V403" i="7"/>
  <c r="V427" i="7"/>
  <c r="V396" i="7"/>
  <c r="V395" i="7"/>
  <c r="V436" i="7"/>
  <c r="V424" i="7"/>
  <c r="V405" i="7"/>
  <c r="V431" i="7"/>
  <c r="V433" i="7"/>
  <c r="V428" i="7"/>
  <c r="V416" i="7"/>
  <c r="V392" i="7"/>
  <c r="V409" i="7"/>
  <c r="V400" i="7"/>
  <c r="V393" i="7"/>
  <c r="V398" i="7"/>
  <c r="V390" i="7"/>
  <c r="V388" i="7"/>
  <c r="V394" i="7"/>
  <c r="V414" i="7"/>
  <c r="V397" i="7"/>
  <c r="V406" i="7"/>
  <c r="Y384" i="7"/>
  <c r="Y376" i="7"/>
  <c r="Y368" i="7"/>
  <c r="Y383" i="7"/>
  <c r="Y375" i="7"/>
  <c r="Y367" i="7"/>
  <c r="Y381" i="7"/>
  <c r="Y364" i="7"/>
  <c r="Y356" i="7"/>
  <c r="Y348" i="7"/>
  <c r="Y340" i="7"/>
  <c r="Y387" i="7"/>
  <c r="Y373" i="7"/>
  <c r="Y377" i="7"/>
  <c r="Y365" i="7"/>
  <c r="Y354" i="7"/>
  <c r="Y352" i="7"/>
  <c r="Y350" i="7"/>
  <c r="Y385" i="7"/>
  <c r="Y386" i="7"/>
  <c r="Y374" i="7"/>
  <c r="Y369" i="7"/>
  <c r="Y363" i="7"/>
  <c r="Y337" i="7"/>
  <c r="Y360" i="7"/>
  <c r="Y353" i="7"/>
  <c r="Y371" i="7"/>
  <c r="Y372" i="7"/>
  <c r="Y370" i="7"/>
  <c r="Y362" i="7"/>
  <c r="Y355" i="7"/>
  <c r="Y338" i="7"/>
  <c r="Y359" i="7"/>
  <c r="Y357" i="7"/>
  <c r="Y347" i="7"/>
  <c r="Y366" i="7"/>
  <c r="Y349" i="7"/>
  <c r="Y339" i="7"/>
  <c r="Y382" i="7"/>
  <c r="Y380" i="7"/>
  <c r="Y378" i="7"/>
  <c r="Y379" i="7"/>
  <c r="Y358" i="7"/>
  <c r="Y351" i="7"/>
  <c r="Y344" i="7"/>
  <c r="Y343" i="7"/>
  <c r="Y341" i="7"/>
  <c r="Y345" i="7"/>
  <c r="Y342" i="7"/>
  <c r="Y346" i="7"/>
  <c r="Y361" i="7"/>
  <c r="Y76" i="7"/>
  <c r="Y68" i="7"/>
  <c r="Y60" i="7"/>
  <c r="Y52" i="7"/>
  <c r="Y44" i="7"/>
  <c r="Y36" i="7"/>
  <c r="Y75" i="7"/>
  <c r="Y67" i="7"/>
  <c r="Y59" i="7"/>
  <c r="Y51" i="7"/>
  <c r="Y43" i="7"/>
  <c r="Y35" i="7"/>
  <c r="Y70" i="7"/>
  <c r="Y65" i="7"/>
  <c r="Y61" i="7"/>
  <c r="Y38" i="7"/>
  <c r="Y33" i="7"/>
  <c r="Y79" i="7"/>
  <c r="Y56" i="7"/>
  <c r="Y50" i="7"/>
  <c r="Y73" i="7"/>
  <c r="Y37" i="7"/>
  <c r="Y47" i="7"/>
  <c r="Y46" i="7"/>
  <c r="Y32" i="7"/>
  <c r="Y78" i="7"/>
  <c r="Y69" i="7"/>
  <c r="Y41" i="7"/>
  <c r="Y64" i="7"/>
  <c r="Y58" i="7"/>
  <c r="Y55" i="7"/>
  <c r="Y81" i="7"/>
  <c r="Y77" i="7"/>
  <c r="Y54" i="7"/>
  <c r="Y49" i="7"/>
  <c r="Y45" i="7"/>
  <c r="Y31" i="7"/>
  <c r="Y72" i="7"/>
  <c r="Y66" i="7"/>
  <c r="Y63" i="7"/>
  <c r="Y40" i="7"/>
  <c r="Y34" i="7"/>
  <c r="Y62" i="7"/>
  <c r="Y57" i="7"/>
  <c r="Y53" i="7"/>
  <c r="Y80" i="7"/>
  <c r="Y74" i="7"/>
  <c r="Y71" i="7"/>
  <c r="Y48" i="7"/>
  <c r="Y42" i="7"/>
  <c r="Y39" i="7"/>
  <c r="AA431" i="7"/>
  <c r="AA423" i="7"/>
  <c r="AA415" i="7"/>
  <c r="AA414" i="7"/>
  <c r="AA412" i="7"/>
  <c r="AA410" i="7"/>
  <c r="AA422" i="7"/>
  <c r="AA420" i="7"/>
  <c r="AA418" i="7"/>
  <c r="AA416" i="7"/>
  <c r="AA404" i="7"/>
  <c r="AA396" i="7"/>
  <c r="AA425" i="7"/>
  <c r="AA424" i="7"/>
  <c r="AA405" i="7"/>
  <c r="AA433" i="7"/>
  <c r="AA432" i="7"/>
  <c r="AA388" i="7"/>
  <c r="AA434" i="7"/>
  <c r="AA417" i="7"/>
  <c r="AA408" i="7"/>
  <c r="AA397" i="7"/>
  <c r="AA429" i="7"/>
  <c r="AA436" i="7"/>
  <c r="AA419" i="7"/>
  <c r="AA406" i="7"/>
  <c r="AA399" i="7"/>
  <c r="AA398" i="7"/>
  <c r="AA426" i="7"/>
  <c r="AA409" i="7"/>
  <c r="AA438" i="7"/>
  <c r="AA435" i="7"/>
  <c r="AA421" i="7"/>
  <c r="AA401" i="7"/>
  <c r="AA400" i="7"/>
  <c r="AA428" i="7"/>
  <c r="AA430" i="7"/>
  <c r="AA427" i="7"/>
  <c r="AA413" i="7"/>
  <c r="AA395" i="7"/>
  <c r="AA394" i="7"/>
  <c r="AA437" i="7"/>
  <c r="AA407" i="7"/>
  <c r="AA391" i="7"/>
  <c r="AA390" i="7"/>
  <c r="AA402" i="7"/>
  <c r="AA392" i="7"/>
  <c r="AA389" i="7"/>
  <c r="AA411" i="7"/>
  <c r="AA403" i="7"/>
  <c r="AA393" i="7"/>
  <c r="W435" i="7"/>
  <c r="W427" i="7"/>
  <c r="W419" i="7"/>
  <c r="W411" i="7"/>
  <c r="W438" i="7"/>
  <c r="W436" i="7"/>
  <c r="W409" i="7"/>
  <c r="W417" i="7"/>
  <c r="W415" i="7"/>
  <c r="W413" i="7"/>
  <c r="W408" i="7"/>
  <c r="W400" i="7"/>
  <c r="W392" i="7"/>
  <c r="W422" i="7"/>
  <c r="W421" i="7"/>
  <c r="W407" i="7"/>
  <c r="W404" i="7"/>
  <c r="W402" i="7"/>
  <c r="W430" i="7"/>
  <c r="W429" i="7"/>
  <c r="W412" i="7"/>
  <c r="W432" i="7"/>
  <c r="W418" i="7"/>
  <c r="W394" i="7"/>
  <c r="W393" i="7"/>
  <c r="W437" i="7"/>
  <c r="W425" i="7"/>
  <c r="W420" i="7"/>
  <c r="W434" i="7"/>
  <c r="W396" i="7"/>
  <c r="W395" i="7"/>
  <c r="W424" i="7"/>
  <c r="W410" i="7"/>
  <c r="W405" i="7"/>
  <c r="W431" i="7"/>
  <c r="W414" i="7"/>
  <c r="W406" i="7"/>
  <c r="W398" i="7"/>
  <c r="W397" i="7"/>
  <c r="W388" i="7"/>
  <c r="W426" i="7"/>
  <c r="W423" i="7"/>
  <c r="W401" i="7"/>
  <c r="W391" i="7"/>
  <c r="W433" i="7"/>
  <c r="W416" i="7"/>
  <c r="W428" i="7"/>
  <c r="W403" i="7"/>
  <c r="W399" i="7"/>
  <c r="W390" i="7"/>
  <c r="W389" i="7"/>
  <c r="W74" i="7"/>
  <c r="W66" i="7"/>
  <c r="W58" i="7"/>
  <c r="W50" i="7"/>
  <c r="W42" i="7"/>
  <c r="W34" i="7"/>
  <c r="W81" i="7"/>
  <c r="W73" i="7"/>
  <c r="W65" i="7"/>
  <c r="W57" i="7"/>
  <c r="W49" i="7"/>
  <c r="W41" i="7"/>
  <c r="W33" i="7"/>
  <c r="W62" i="7"/>
  <c r="W59" i="7"/>
  <c r="W53" i="7"/>
  <c r="W80" i="7"/>
  <c r="W76" i="7"/>
  <c r="W71" i="7"/>
  <c r="W48" i="7"/>
  <c r="W44" i="7"/>
  <c r="W39" i="7"/>
  <c r="W70" i="7"/>
  <c r="W61" i="7"/>
  <c r="W38" i="7"/>
  <c r="W35" i="7"/>
  <c r="W31" i="7"/>
  <c r="W67" i="7"/>
  <c r="W79" i="7"/>
  <c r="W56" i="7"/>
  <c r="W52" i="7"/>
  <c r="W47" i="7"/>
  <c r="W78" i="7"/>
  <c r="W75" i="7"/>
  <c r="W69" i="7"/>
  <c r="W46" i="7"/>
  <c r="W43" i="7"/>
  <c r="W37" i="7"/>
  <c r="W64" i="7"/>
  <c r="W60" i="7"/>
  <c r="W55" i="7"/>
  <c r="W32" i="7"/>
  <c r="W77" i="7"/>
  <c r="W54" i="7"/>
  <c r="W51" i="7"/>
  <c r="W45" i="7"/>
  <c r="W72" i="7"/>
  <c r="W68" i="7"/>
  <c r="W63" i="7"/>
  <c r="W40" i="7"/>
  <c r="W36" i="7"/>
  <c r="AA129" i="7"/>
  <c r="AA121" i="7"/>
  <c r="AA113" i="7"/>
  <c r="AA105" i="7"/>
  <c r="AA97" i="7"/>
  <c r="AA89" i="7"/>
  <c r="AA128" i="7"/>
  <c r="AA120" i="7"/>
  <c r="AA112" i="7"/>
  <c r="AA104" i="7"/>
  <c r="AA96" i="7"/>
  <c r="AA123" i="7"/>
  <c r="AA117" i="7"/>
  <c r="AA111" i="7"/>
  <c r="AA91" i="7"/>
  <c r="AA87" i="7"/>
  <c r="AA122" i="7"/>
  <c r="AA115" i="7"/>
  <c r="AA109" i="7"/>
  <c r="AA114" i="7"/>
  <c r="AA127" i="7"/>
  <c r="AA132" i="7"/>
  <c r="AA126" i="7"/>
  <c r="AA131" i="7"/>
  <c r="AA125" i="7"/>
  <c r="AA119" i="7"/>
  <c r="AA130" i="7"/>
  <c r="AA124" i="7"/>
  <c r="AA118" i="7"/>
  <c r="AA98" i="7"/>
  <c r="AA92" i="7"/>
  <c r="AA86" i="7"/>
  <c r="AA116" i="7"/>
  <c r="AA110" i="7"/>
  <c r="AA90" i="7"/>
  <c r="AA88" i="7"/>
  <c r="AA108" i="7"/>
  <c r="AA95" i="7"/>
  <c r="AA107" i="7"/>
  <c r="AA103" i="7"/>
  <c r="AA106" i="7"/>
  <c r="AA100" i="7"/>
  <c r="AA94" i="7"/>
  <c r="AA85" i="7"/>
  <c r="AA102" i="7"/>
  <c r="AA84" i="7"/>
  <c r="AA99" i="7"/>
  <c r="AA83" i="7"/>
  <c r="AA93" i="7"/>
  <c r="AA101" i="7"/>
  <c r="AA82" i="7"/>
  <c r="V132" i="7"/>
  <c r="V124" i="7"/>
  <c r="V116" i="7"/>
  <c r="V108" i="7"/>
  <c r="V100" i="7"/>
  <c r="V92" i="7"/>
  <c r="V131" i="7"/>
  <c r="V123" i="7"/>
  <c r="V115" i="7"/>
  <c r="V107" i="7"/>
  <c r="V99" i="7"/>
  <c r="V91" i="7"/>
  <c r="V126" i="7"/>
  <c r="V120" i="7"/>
  <c r="V114" i="7"/>
  <c r="V94" i="7"/>
  <c r="V125" i="7"/>
  <c r="V113" i="7"/>
  <c r="V118" i="7"/>
  <c r="V112" i="7"/>
  <c r="V106" i="7"/>
  <c r="V117" i="7"/>
  <c r="V111" i="7"/>
  <c r="V130" i="7"/>
  <c r="V129" i="7"/>
  <c r="V128" i="7"/>
  <c r="V122" i="7"/>
  <c r="V127" i="7"/>
  <c r="V121" i="7"/>
  <c r="V101" i="7"/>
  <c r="V95" i="7"/>
  <c r="V89" i="7"/>
  <c r="V119" i="7"/>
  <c r="V93" i="7"/>
  <c r="V96" i="7"/>
  <c r="V83" i="7"/>
  <c r="V104" i="7"/>
  <c r="V90" i="7"/>
  <c r="V110" i="7"/>
  <c r="V109" i="7"/>
  <c r="V98" i="7"/>
  <c r="V82" i="7"/>
  <c r="V88" i="7"/>
  <c r="V103" i="7"/>
  <c r="V87" i="7"/>
  <c r="V97" i="7"/>
  <c r="V86" i="7"/>
  <c r="V105" i="7"/>
  <c r="V85" i="7"/>
  <c r="V102" i="7"/>
  <c r="V84" i="7"/>
  <c r="Y127" i="7"/>
  <c r="Y119" i="7"/>
  <c r="Y111" i="7"/>
  <c r="Y103" i="7"/>
  <c r="Y95" i="7"/>
  <c r="Y126" i="7"/>
  <c r="Y118" i="7"/>
  <c r="Y110" i="7"/>
  <c r="Y102" i="7"/>
  <c r="Y94" i="7"/>
  <c r="Y131" i="7"/>
  <c r="Y125" i="7"/>
  <c r="Y105" i="7"/>
  <c r="Y99" i="7"/>
  <c r="Y93" i="7"/>
  <c r="Y85" i="7"/>
  <c r="Y124" i="7"/>
  <c r="Y130" i="7"/>
  <c r="Y98" i="7"/>
  <c r="Y129" i="7"/>
  <c r="Y123" i="7"/>
  <c r="Y117" i="7"/>
  <c r="Y128" i="7"/>
  <c r="Y122" i="7"/>
  <c r="Y116" i="7"/>
  <c r="Y121" i="7"/>
  <c r="Y115" i="7"/>
  <c r="Y120" i="7"/>
  <c r="Y114" i="7"/>
  <c r="Y113" i="7"/>
  <c r="Y132" i="7"/>
  <c r="Y112" i="7"/>
  <c r="Y106" i="7"/>
  <c r="Y100" i="7"/>
  <c r="Y84" i="7"/>
  <c r="Y104" i="7"/>
  <c r="Y92" i="7"/>
  <c r="Y88" i="7"/>
  <c r="Y109" i="7"/>
  <c r="Y101" i="7"/>
  <c r="Y87" i="7"/>
  <c r="Y82" i="7"/>
  <c r="Y108" i="7"/>
  <c r="Y97" i="7"/>
  <c r="Y89" i="7"/>
  <c r="Y86" i="7"/>
  <c r="Y107" i="7"/>
  <c r="Y91" i="7"/>
  <c r="Y96" i="7"/>
  <c r="Y90" i="7"/>
  <c r="Y83" i="7"/>
  <c r="W125" i="7"/>
  <c r="W117" i="7"/>
  <c r="W109" i="7"/>
  <c r="W101" i="7"/>
  <c r="W93" i="7"/>
  <c r="W132" i="7"/>
  <c r="W124" i="7"/>
  <c r="W116" i="7"/>
  <c r="W108" i="7"/>
  <c r="W100" i="7"/>
  <c r="W92" i="7"/>
  <c r="W119" i="7"/>
  <c r="W113" i="7"/>
  <c r="W107" i="7"/>
  <c r="W83" i="7"/>
  <c r="W82" i="7"/>
  <c r="W118" i="7"/>
  <c r="W131" i="7"/>
  <c r="W111" i="7"/>
  <c r="W130" i="7"/>
  <c r="W129" i="7"/>
  <c r="W123" i="7"/>
  <c r="W128" i="7"/>
  <c r="W122" i="7"/>
  <c r="W127" i="7"/>
  <c r="W121" i="7"/>
  <c r="W115" i="7"/>
  <c r="W126" i="7"/>
  <c r="W120" i="7"/>
  <c r="W114" i="7"/>
  <c r="W94" i="7"/>
  <c r="W112" i="7"/>
  <c r="W106" i="7"/>
  <c r="W104" i="7"/>
  <c r="W90" i="7"/>
  <c r="W110" i="7"/>
  <c r="W98" i="7"/>
  <c r="W95" i="7"/>
  <c r="W88" i="7"/>
  <c r="W103" i="7"/>
  <c r="W87" i="7"/>
  <c r="W97" i="7"/>
  <c r="W89" i="7"/>
  <c r="W86" i="7"/>
  <c r="W105" i="7"/>
  <c r="W91" i="7"/>
  <c r="W85" i="7"/>
  <c r="W102" i="7"/>
  <c r="W99" i="7"/>
  <c r="W84" i="7"/>
  <c r="W96" i="7"/>
  <c r="M304" i="7"/>
  <c r="U304" i="7" s="1"/>
  <c r="M297" i="7"/>
  <c r="U297" i="7" s="1"/>
  <c r="M317" i="7"/>
  <c r="U317" i="7" s="1"/>
  <c r="N122" i="43"/>
  <c r="N126" i="43"/>
  <c r="N119" i="43"/>
  <c r="N124" i="43"/>
  <c r="N121" i="43"/>
  <c r="N115" i="43"/>
  <c r="N112" i="43"/>
  <c r="N107" i="43"/>
  <c r="N105" i="43"/>
  <c r="N111" i="43"/>
  <c r="N109" i="43"/>
  <c r="N113" i="43"/>
  <c r="N102" i="43"/>
  <c r="N110" i="43"/>
  <c r="N108" i="43"/>
  <c r="N101" i="43"/>
  <c r="N100" i="43"/>
  <c r="N99" i="43"/>
  <c r="N94" i="43"/>
  <c r="N85" i="43"/>
  <c r="N81" i="43"/>
  <c r="N127" i="43"/>
  <c r="N93" i="43"/>
  <c r="N118" i="43"/>
  <c r="N128" i="43"/>
  <c r="N125" i="43"/>
  <c r="N114" i="43"/>
  <c r="N97" i="43"/>
  <c r="N89" i="43"/>
  <c r="N84" i="43"/>
  <c r="N123" i="43"/>
  <c r="N92" i="43"/>
  <c r="N88" i="43"/>
  <c r="N80" i="43"/>
  <c r="N104" i="43"/>
  <c r="N103" i="43"/>
  <c r="N83" i="43"/>
  <c r="N79" i="43"/>
  <c r="N116" i="43"/>
  <c r="N96" i="43"/>
  <c r="N91" i="43"/>
  <c r="N106" i="43"/>
  <c r="N95" i="43"/>
  <c r="N87" i="43"/>
  <c r="N82" i="43"/>
  <c r="N120" i="43"/>
  <c r="N117" i="43"/>
  <c r="N90" i="43"/>
  <c r="N86" i="43"/>
  <c r="N78" i="43"/>
  <c r="N98" i="43"/>
  <c r="Q127" i="43"/>
  <c r="Q123" i="43"/>
  <c r="Q120" i="43"/>
  <c r="Q118" i="43"/>
  <c r="Q117" i="43"/>
  <c r="Q106" i="43"/>
  <c r="Q99" i="43"/>
  <c r="Q110" i="43"/>
  <c r="Q108" i="43"/>
  <c r="Q101" i="43"/>
  <c r="Q124" i="43"/>
  <c r="Q122" i="43"/>
  <c r="Q121" i="43"/>
  <c r="Q114" i="43"/>
  <c r="Q104" i="43"/>
  <c r="Q113" i="43"/>
  <c r="Q83" i="43"/>
  <c r="Q79" i="43"/>
  <c r="Q128" i="43"/>
  <c r="Q115" i="43"/>
  <c r="Q116" i="43"/>
  <c r="Q87" i="43"/>
  <c r="Q107" i="43"/>
  <c r="Q105" i="43"/>
  <c r="Q90" i="43"/>
  <c r="Q86" i="43"/>
  <c r="Q78" i="43"/>
  <c r="Q126" i="43"/>
  <c r="Q94" i="43"/>
  <c r="Q85" i="43"/>
  <c r="Q81" i="43"/>
  <c r="Q111" i="43"/>
  <c r="Q109" i="43"/>
  <c r="Q100" i="43"/>
  <c r="Q93" i="43"/>
  <c r="Q112" i="43"/>
  <c r="Q98" i="43"/>
  <c r="Q97" i="43"/>
  <c r="Q89" i="43"/>
  <c r="Q84" i="43"/>
  <c r="Q102" i="43"/>
  <c r="Q92" i="43"/>
  <c r="Q88" i="43"/>
  <c r="Q80" i="43"/>
  <c r="Q125" i="43"/>
  <c r="Q119" i="43"/>
  <c r="Q103" i="43"/>
  <c r="Q96" i="43"/>
  <c r="Q91" i="43"/>
  <c r="Q95" i="43"/>
  <c r="Q82" i="43"/>
  <c r="P123" i="43"/>
  <c r="P124" i="43"/>
  <c r="P121" i="43"/>
  <c r="P118" i="43"/>
  <c r="P128" i="43"/>
  <c r="P126" i="43"/>
  <c r="P125" i="43"/>
  <c r="P119" i="43"/>
  <c r="P111" i="43"/>
  <c r="P109" i="43"/>
  <c r="P113" i="43"/>
  <c r="P102" i="43"/>
  <c r="P98" i="43"/>
  <c r="P114" i="43"/>
  <c r="P92" i="43"/>
  <c r="P88" i="43"/>
  <c r="P80" i="43"/>
  <c r="P79" i="43"/>
  <c r="P96" i="43"/>
  <c r="P115" i="43"/>
  <c r="P104" i="43"/>
  <c r="P103" i="43"/>
  <c r="P91" i="43"/>
  <c r="P116" i="43"/>
  <c r="P95" i="43"/>
  <c r="P87" i="43"/>
  <c r="P82" i="43"/>
  <c r="P107" i="43"/>
  <c r="P106" i="43"/>
  <c r="P105" i="43"/>
  <c r="P90" i="43"/>
  <c r="P86" i="43"/>
  <c r="P78" i="43"/>
  <c r="P120" i="43"/>
  <c r="P117" i="43"/>
  <c r="P101" i="43"/>
  <c r="P94" i="43"/>
  <c r="P85" i="43"/>
  <c r="P81" i="43"/>
  <c r="P110" i="43"/>
  <c r="P108" i="43"/>
  <c r="P100" i="43"/>
  <c r="P99" i="43"/>
  <c r="P93" i="43"/>
  <c r="P127" i="43"/>
  <c r="P112" i="43"/>
  <c r="P97" i="43"/>
  <c r="P89" i="43"/>
  <c r="P84" i="43"/>
  <c r="P122" i="43"/>
  <c r="P83" i="43"/>
  <c r="O124" i="43"/>
  <c r="O121" i="43"/>
  <c r="O118" i="43"/>
  <c r="O128" i="43"/>
  <c r="O125" i="43"/>
  <c r="O127" i="43"/>
  <c r="O122" i="43"/>
  <c r="O114" i="43"/>
  <c r="O104" i="43"/>
  <c r="O116" i="43"/>
  <c r="O103" i="43"/>
  <c r="O115" i="43"/>
  <c r="O112" i="43"/>
  <c r="O107" i="43"/>
  <c r="O105" i="43"/>
  <c r="O102" i="43"/>
  <c r="O97" i="43"/>
  <c r="O89" i="43"/>
  <c r="O84" i="43"/>
  <c r="O113" i="43"/>
  <c r="O92" i="43"/>
  <c r="O88" i="43"/>
  <c r="O79" i="43"/>
  <c r="O123" i="43"/>
  <c r="O119" i="43"/>
  <c r="O83" i="43"/>
  <c r="O96" i="43"/>
  <c r="O91" i="43"/>
  <c r="O95" i="43"/>
  <c r="O87" i="43"/>
  <c r="O82" i="43"/>
  <c r="O126" i="43"/>
  <c r="O106" i="43"/>
  <c r="O90" i="43"/>
  <c r="O86" i="43"/>
  <c r="O78" i="43"/>
  <c r="O120" i="43"/>
  <c r="O117" i="43"/>
  <c r="O111" i="43"/>
  <c r="O109" i="43"/>
  <c r="O101" i="43"/>
  <c r="O94" i="43"/>
  <c r="O85" i="43"/>
  <c r="O81" i="43"/>
  <c r="O110" i="43"/>
  <c r="O108" i="43"/>
  <c r="O100" i="43"/>
  <c r="O99" i="43"/>
  <c r="O98" i="43"/>
  <c r="O93" i="43"/>
  <c r="O80" i="43"/>
  <c r="P176" i="43"/>
  <c r="P168" i="43"/>
  <c r="P161" i="43"/>
  <c r="P154" i="43"/>
  <c r="P147" i="43"/>
  <c r="P139" i="43"/>
  <c r="P132" i="43"/>
  <c r="P177" i="43"/>
  <c r="P169" i="43"/>
  <c r="P162" i="43"/>
  <c r="P155" i="43"/>
  <c r="P148" i="43"/>
  <c r="P140" i="43"/>
  <c r="P133" i="43"/>
  <c r="P171" i="43"/>
  <c r="P163" i="43"/>
  <c r="P156" i="43"/>
  <c r="P150" i="43"/>
  <c r="P143" i="43"/>
  <c r="P136" i="43"/>
  <c r="P129" i="43"/>
  <c r="P173" i="43"/>
  <c r="P165" i="43"/>
  <c r="P164" i="43"/>
  <c r="P158" i="43"/>
  <c r="P157" i="43"/>
  <c r="P174" i="43"/>
  <c r="P160" i="43"/>
  <c r="P153" i="43"/>
  <c r="P146" i="43"/>
  <c r="P178" i="43"/>
  <c r="P170" i="43"/>
  <c r="P175" i="43"/>
  <c r="P179" i="43"/>
  <c r="P141" i="43"/>
  <c r="P134" i="43"/>
  <c r="P172" i="43"/>
  <c r="P149" i="43"/>
  <c r="P142" i="43"/>
  <c r="P130" i="43"/>
  <c r="P167" i="43"/>
  <c r="P166" i="43"/>
  <c r="P137" i="43"/>
  <c r="P135" i="43"/>
  <c r="P131" i="43"/>
  <c r="P152" i="43"/>
  <c r="P145" i="43"/>
  <c r="P138" i="43"/>
  <c r="P159" i="43"/>
  <c r="P151" i="43"/>
  <c r="P144" i="43"/>
  <c r="R78" i="43" l="1"/>
  <c r="AC115" i="42" s="1"/>
  <c r="M235" i="7"/>
  <c r="M200" i="7"/>
  <c r="M207" i="7"/>
  <c r="M189" i="7"/>
  <c r="M188" i="7"/>
  <c r="M187" i="7"/>
  <c r="M205" i="7"/>
  <c r="M208" i="7"/>
  <c r="M233" i="7"/>
  <c r="M223" i="7"/>
  <c r="M222" i="7"/>
  <c r="M192" i="7"/>
  <c r="M226" i="7"/>
  <c r="M193" i="7"/>
  <c r="M227" i="7"/>
  <c r="M212" i="7"/>
  <c r="M211" i="7"/>
  <c r="M191" i="7"/>
  <c r="M214" i="7"/>
  <c r="M201" i="7"/>
  <c r="M217" i="7"/>
  <c r="M202" i="7"/>
  <c r="M186" i="7"/>
  <c r="M224" i="7"/>
  <c r="M218" i="7"/>
  <c r="M213" i="7"/>
  <c r="M198" i="7"/>
  <c r="M232" i="7"/>
  <c r="M185" i="7"/>
  <c r="M219" i="7"/>
  <c r="M204" i="7"/>
  <c r="M203" i="7"/>
  <c r="M229" i="7"/>
  <c r="M228" i="7"/>
  <c r="M215" i="7"/>
  <c r="M206" i="7"/>
  <c r="M196" i="7"/>
  <c r="M195" i="7"/>
  <c r="M197" i="7"/>
  <c r="M220" i="7"/>
  <c r="M210" i="7"/>
  <c r="M199" i="7"/>
  <c r="M190" i="7"/>
  <c r="M231" i="7"/>
  <c r="M230" i="7"/>
  <c r="M194" i="7"/>
  <c r="M209" i="7"/>
  <c r="M234" i="7"/>
  <c r="M225" i="7"/>
  <c r="M216" i="7"/>
  <c r="M184" i="7"/>
  <c r="M221" i="7"/>
  <c r="Y241" i="44"/>
  <c r="Y286" i="44"/>
  <c r="Y271" i="44"/>
  <c r="Y263" i="44"/>
  <c r="Y255" i="44"/>
  <c r="Y240" i="44"/>
  <c r="Y284" i="44"/>
  <c r="Y269" i="44"/>
  <c r="Y253" i="44"/>
  <c r="Y239" i="44"/>
  <c r="Y256" i="44"/>
  <c r="Y285" i="44"/>
  <c r="Y278" i="44"/>
  <c r="Y270" i="44"/>
  <c r="Y262" i="44"/>
  <c r="Y254" i="44"/>
  <c r="Y247" i="44"/>
  <c r="Y277" i="44"/>
  <c r="Y261" i="44"/>
  <c r="Y246" i="44"/>
  <c r="Y283" i="44"/>
  <c r="Y276" i="44"/>
  <c r="Y268" i="44"/>
  <c r="Y260" i="44"/>
  <c r="Y252" i="44"/>
  <c r="Y245" i="44"/>
  <c r="Y257" i="44"/>
  <c r="Y264" i="44"/>
  <c r="Y282" i="44"/>
  <c r="Y275" i="44"/>
  <c r="Y267" i="44"/>
  <c r="Y259" i="44"/>
  <c r="Y251" i="44"/>
  <c r="Y244" i="44"/>
  <c r="Y238" i="44"/>
  <c r="Y280" i="44"/>
  <c r="Y279" i="44"/>
  <c r="Y281" i="44"/>
  <c r="Y274" i="44"/>
  <c r="Y266" i="44"/>
  <c r="Y258" i="44"/>
  <c r="Y250" i="44"/>
  <c r="Y243" i="44"/>
  <c r="Y287" i="44"/>
  <c r="Y273" i="44"/>
  <c r="Y265" i="44"/>
  <c r="Y249" i="44"/>
  <c r="Y242" i="44"/>
  <c r="Y272" i="44"/>
  <c r="Y248" i="44"/>
  <c r="AB286" i="7"/>
  <c r="K46" i="51" s="1"/>
  <c r="M50" i="7"/>
  <c r="U50" i="7" s="1"/>
  <c r="M39" i="7"/>
  <c r="U39" i="7" s="1"/>
  <c r="M66" i="7"/>
  <c r="U66" i="7" s="1"/>
  <c r="M53" i="7"/>
  <c r="U53" i="7" s="1"/>
  <c r="M70" i="7"/>
  <c r="U70" i="7" s="1"/>
  <c r="M94" i="7"/>
  <c r="U94" i="7" s="1"/>
  <c r="M123" i="7"/>
  <c r="U123" i="7" s="1"/>
  <c r="M132" i="7"/>
  <c r="U132" i="7" s="1"/>
  <c r="M82" i="7"/>
  <c r="U82" i="7" s="1"/>
  <c r="M98" i="7"/>
  <c r="U98" i="7" s="1"/>
  <c r="M118" i="7"/>
  <c r="U118" i="7" s="1"/>
  <c r="M107" i="7"/>
  <c r="U107" i="7" s="1"/>
  <c r="M129" i="7"/>
  <c r="U129" i="7" s="1"/>
  <c r="M86" i="7"/>
  <c r="U86" i="7" s="1"/>
  <c r="M36" i="7"/>
  <c r="U36" i="7" s="1"/>
  <c r="X181" i="7"/>
  <c r="X173" i="7"/>
  <c r="X165" i="7"/>
  <c r="X157" i="7"/>
  <c r="X180" i="7"/>
  <c r="X172" i="7"/>
  <c r="X164" i="7"/>
  <c r="X156" i="7"/>
  <c r="X174" i="7"/>
  <c r="X168" i="7"/>
  <c r="X162" i="7"/>
  <c r="X143" i="7"/>
  <c r="X135" i="7"/>
  <c r="X175" i="7"/>
  <c r="X169" i="7"/>
  <c r="X163" i="7"/>
  <c r="X150" i="7"/>
  <c r="X142" i="7"/>
  <c r="X134" i="7"/>
  <c r="X133" i="7"/>
  <c r="X182" i="7"/>
  <c r="X177" i="7"/>
  <c r="X171" i="7"/>
  <c r="X161" i="7"/>
  <c r="X137" i="7"/>
  <c r="X152" i="7"/>
  <c r="X136" i="7"/>
  <c r="X158" i="7"/>
  <c r="X149" i="7"/>
  <c r="X176" i="7"/>
  <c r="X170" i="7"/>
  <c r="X167" i="7"/>
  <c r="X160" i="7"/>
  <c r="X153" i="7"/>
  <c r="X148" i="7"/>
  <c r="X155" i="7"/>
  <c r="X147" i="7"/>
  <c r="X141" i="7"/>
  <c r="X146" i="7"/>
  <c r="X140" i="7"/>
  <c r="X183" i="7"/>
  <c r="X179" i="7"/>
  <c r="X159" i="7"/>
  <c r="X145" i="7"/>
  <c r="X139" i="7"/>
  <c r="X178" i="7"/>
  <c r="X166" i="7"/>
  <c r="X154" i="7"/>
  <c r="X151" i="7"/>
  <c r="X144" i="7"/>
  <c r="X138" i="7"/>
  <c r="V179" i="7"/>
  <c r="V171" i="7"/>
  <c r="V163" i="7"/>
  <c r="V155" i="7"/>
  <c r="V178" i="7"/>
  <c r="V170" i="7"/>
  <c r="V162" i="7"/>
  <c r="V154" i="7"/>
  <c r="V182" i="7"/>
  <c r="V176" i="7"/>
  <c r="V156" i="7"/>
  <c r="V149" i="7"/>
  <c r="V141" i="7"/>
  <c r="V183" i="7"/>
  <c r="V177" i="7"/>
  <c r="V157" i="7"/>
  <c r="V152" i="7"/>
  <c r="V148" i="7"/>
  <c r="V140" i="7"/>
  <c r="V174" i="7"/>
  <c r="V166" i="7"/>
  <c r="V158" i="7"/>
  <c r="V159" i="7"/>
  <c r="V145" i="7"/>
  <c r="V139" i="7"/>
  <c r="V173" i="7"/>
  <c r="V161" i="7"/>
  <c r="V151" i="7"/>
  <c r="V150" i="7"/>
  <c r="V144" i="7"/>
  <c r="V138" i="7"/>
  <c r="V181" i="7"/>
  <c r="V168" i="7"/>
  <c r="V143" i="7"/>
  <c r="V137" i="7"/>
  <c r="V180" i="7"/>
  <c r="V142" i="7"/>
  <c r="V136" i="7"/>
  <c r="V175" i="7"/>
  <c r="V172" i="7"/>
  <c r="V165" i="7"/>
  <c r="V135" i="7"/>
  <c r="V167" i="7"/>
  <c r="V160" i="7"/>
  <c r="V153" i="7"/>
  <c r="V134" i="7"/>
  <c r="V169" i="7"/>
  <c r="V147" i="7"/>
  <c r="V164" i="7"/>
  <c r="V146" i="7"/>
  <c r="V133" i="7"/>
  <c r="M89" i="7"/>
  <c r="U89" i="7" s="1"/>
  <c r="M84" i="7"/>
  <c r="U84" i="7" s="1"/>
  <c r="M90" i="7"/>
  <c r="U90" i="7" s="1"/>
  <c r="M124" i="7"/>
  <c r="U124" i="7" s="1"/>
  <c r="M127" i="7"/>
  <c r="U127" i="7" s="1"/>
  <c r="M112" i="7"/>
  <c r="U112" i="7" s="1"/>
  <c r="M58" i="7"/>
  <c r="U58" i="7" s="1"/>
  <c r="M56" i="7"/>
  <c r="U56" i="7" s="1"/>
  <c r="M42" i="7"/>
  <c r="U42" i="7" s="1"/>
  <c r="M72" i="7"/>
  <c r="U72" i="7" s="1"/>
  <c r="M61" i="7"/>
  <c r="U61" i="7" s="1"/>
  <c r="M78" i="7"/>
  <c r="U78" i="7" s="1"/>
  <c r="M55" i="7"/>
  <c r="U55" i="7" s="1"/>
  <c r="Z183" i="7"/>
  <c r="Z175" i="7"/>
  <c r="Z167" i="7"/>
  <c r="Z159" i="7"/>
  <c r="Z151" i="7"/>
  <c r="Z182" i="7"/>
  <c r="Z174" i="7"/>
  <c r="Z166" i="7"/>
  <c r="Z158" i="7"/>
  <c r="Z180" i="7"/>
  <c r="Z160" i="7"/>
  <c r="Z154" i="7"/>
  <c r="Z145" i="7"/>
  <c r="Z137" i="7"/>
  <c r="Z181" i="7"/>
  <c r="Z161" i="7"/>
  <c r="Z155" i="7"/>
  <c r="Z144" i="7"/>
  <c r="Z136" i="7"/>
  <c r="Z172" i="7"/>
  <c r="Z164" i="7"/>
  <c r="Z156" i="7"/>
  <c r="Z177" i="7"/>
  <c r="Z168" i="7"/>
  <c r="Z149" i="7"/>
  <c r="Z143" i="7"/>
  <c r="Z176" i="7"/>
  <c r="Z170" i="7"/>
  <c r="Z163" i="7"/>
  <c r="Z153" i="7"/>
  <c r="Z148" i="7"/>
  <c r="Z142" i="7"/>
  <c r="Z165" i="7"/>
  <c r="Z147" i="7"/>
  <c r="Z141" i="7"/>
  <c r="Z135" i="7"/>
  <c r="Z146" i="7"/>
  <c r="Z140" i="7"/>
  <c r="Z134" i="7"/>
  <c r="Z179" i="7"/>
  <c r="Z162" i="7"/>
  <c r="Z139" i="7"/>
  <c r="Z178" i="7"/>
  <c r="Z169" i="7"/>
  <c r="Z157" i="7"/>
  <c r="Z138" i="7"/>
  <c r="Z133" i="7"/>
  <c r="Z171" i="7"/>
  <c r="Z173" i="7"/>
  <c r="Z152" i="7"/>
  <c r="Z150" i="7"/>
  <c r="Z233" i="7"/>
  <c r="Z225" i="7"/>
  <c r="Z217" i="7"/>
  <c r="Z209" i="7"/>
  <c r="Z201" i="7"/>
  <c r="Z232" i="7"/>
  <c r="Z224" i="7"/>
  <c r="Z216" i="7"/>
  <c r="Z208" i="7"/>
  <c r="Z200" i="7"/>
  <c r="Z226" i="7"/>
  <c r="Z220" i="7"/>
  <c r="Z214" i="7"/>
  <c r="Z194" i="7"/>
  <c r="Z192" i="7"/>
  <c r="Z227" i="7"/>
  <c r="Z221" i="7"/>
  <c r="Z215" i="7"/>
  <c r="Z195" i="7"/>
  <c r="Z191" i="7"/>
  <c r="Z185" i="7"/>
  <c r="Z230" i="7"/>
  <c r="Z222" i="7"/>
  <c r="Z212" i="7"/>
  <c r="Z228" i="7"/>
  <c r="Z218" i="7"/>
  <c r="Z231" i="7"/>
  <c r="Z223" i="7"/>
  <c r="Z213" i="7"/>
  <c r="Z234" i="7"/>
  <c r="Z229" i="7"/>
  <c r="Z219" i="7"/>
  <c r="Z211" i="7"/>
  <c r="Z206" i="7"/>
  <c r="Z198" i="7"/>
  <c r="Z193" i="7"/>
  <c r="Z186" i="7"/>
  <c r="Z207" i="7"/>
  <c r="Z203" i="7"/>
  <c r="Z202" i="7"/>
  <c r="Z188" i="7"/>
  <c r="Z210" i="7"/>
  <c r="Z199" i="7"/>
  <c r="Z190" i="7"/>
  <c r="Z189" i="7"/>
  <c r="Z184" i="7"/>
  <c r="Z204" i="7"/>
  <c r="Z205" i="7"/>
  <c r="Z196" i="7"/>
  <c r="Z197" i="7"/>
  <c r="Z187" i="7"/>
  <c r="W230" i="7"/>
  <c r="W222" i="7"/>
  <c r="W214" i="7"/>
  <c r="W206" i="7"/>
  <c r="W198" i="7"/>
  <c r="W229" i="7"/>
  <c r="W221" i="7"/>
  <c r="W213" i="7"/>
  <c r="W205" i="7"/>
  <c r="W197" i="7"/>
  <c r="W215" i="7"/>
  <c r="W209" i="7"/>
  <c r="W203" i="7"/>
  <c r="W189" i="7"/>
  <c r="W216" i="7"/>
  <c r="W210" i="7"/>
  <c r="W204" i="7"/>
  <c r="W188" i="7"/>
  <c r="W232" i="7"/>
  <c r="W224" i="7"/>
  <c r="W227" i="7"/>
  <c r="W219" i="7"/>
  <c r="W211" i="7"/>
  <c r="W233" i="7"/>
  <c r="W225" i="7"/>
  <c r="W217" i="7"/>
  <c r="W228" i="7"/>
  <c r="W220" i="7"/>
  <c r="W212" i="7"/>
  <c r="W231" i="7"/>
  <c r="W223" i="7"/>
  <c r="W234" i="7"/>
  <c r="W226" i="7"/>
  <c r="W218" i="7"/>
  <c r="W195" i="7"/>
  <c r="W208" i="7"/>
  <c r="W194" i="7"/>
  <c r="W190" i="7"/>
  <c r="W207" i="7"/>
  <c r="W185" i="7"/>
  <c r="W191" i="7"/>
  <c r="W187" i="7"/>
  <c r="W186" i="7"/>
  <c r="W201" i="7"/>
  <c r="W199" i="7"/>
  <c r="W202" i="7"/>
  <c r="W200" i="7"/>
  <c r="W193" i="7"/>
  <c r="W184" i="7"/>
  <c r="W196" i="7"/>
  <c r="W192" i="7"/>
  <c r="M100" i="7"/>
  <c r="U100" i="7" s="1"/>
  <c r="M101" i="7"/>
  <c r="U101" i="7" s="1"/>
  <c r="M110" i="7"/>
  <c r="U110" i="7" s="1"/>
  <c r="M130" i="7"/>
  <c r="U130" i="7" s="1"/>
  <c r="M114" i="7"/>
  <c r="U114" i="7" s="1"/>
  <c r="M120" i="7"/>
  <c r="U120" i="7" s="1"/>
  <c r="M64" i="7"/>
  <c r="U64" i="7" s="1"/>
  <c r="M76" i="7"/>
  <c r="U76" i="7" s="1"/>
  <c r="M48" i="7"/>
  <c r="U48" i="7" s="1"/>
  <c r="M51" i="7"/>
  <c r="U51" i="7" s="1"/>
  <c r="M43" i="7"/>
  <c r="U43" i="7" s="1"/>
  <c r="M69" i="7"/>
  <c r="U69" i="7" s="1"/>
  <c r="AA280" i="7"/>
  <c r="AA272" i="7"/>
  <c r="AA264" i="7"/>
  <c r="AA256" i="7"/>
  <c r="AA278" i="7"/>
  <c r="AA276" i="7"/>
  <c r="AA274" i="7"/>
  <c r="AA251" i="7"/>
  <c r="AA243" i="7"/>
  <c r="AA284" i="7"/>
  <c r="AA282" i="7"/>
  <c r="AA255" i="7"/>
  <c r="AA250" i="7"/>
  <c r="AA242" i="7"/>
  <c r="AA285" i="7"/>
  <c r="AA268" i="7"/>
  <c r="AA267" i="7"/>
  <c r="AA244" i="7"/>
  <c r="AA238" i="7"/>
  <c r="AA277" i="7"/>
  <c r="AA270" i="7"/>
  <c r="AA269" i="7"/>
  <c r="AA279" i="7"/>
  <c r="AA262" i="7"/>
  <c r="AA261" i="7"/>
  <c r="AA281" i="7"/>
  <c r="AA271" i="7"/>
  <c r="AA273" i="7"/>
  <c r="AA283" i="7"/>
  <c r="AA266" i="7"/>
  <c r="AA265" i="7"/>
  <c r="AA275" i="7"/>
  <c r="AA258" i="7"/>
  <c r="AA257" i="7"/>
  <c r="AA245" i="7"/>
  <c r="AA239" i="7"/>
  <c r="AA259" i="7"/>
  <c r="AA254" i="7"/>
  <c r="AA246" i="7"/>
  <c r="AA236" i="7"/>
  <c r="AA249" i="7"/>
  <c r="AA241" i="7"/>
  <c r="AA252" i="7"/>
  <c r="AA260" i="7"/>
  <c r="AA247" i="7"/>
  <c r="AA237" i="7"/>
  <c r="AA263" i="7"/>
  <c r="AA253" i="7"/>
  <c r="AA248" i="7"/>
  <c r="AA240" i="7"/>
  <c r="AA235" i="7"/>
  <c r="X231" i="7"/>
  <c r="X223" i="7"/>
  <c r="X215" i="7"/>
  <c r="X207" i="7"/>
  <c r="X199" i="7"/>
  <c r="X230" i="7"/>
  <c r="X222" i="7"/>
  <c r="X214" i="7"/>
  <c r="X206" i="7"/>
  <c r="X198" i="7"/>
  <c r="X234" i="7"/>
  <c r="X228" i="7"/>
  <c r="X208" i="7"/>
  <c r="X202" i="7"/>
  <c r="X196" i="7"/>
  <c r="X190" i="7"/>
  <c r="X229" i="7"/>
  <c r="X209" i="7"/>
  <c r="X203" i="7"/>
  <c r="X197" i="7"/>
  <c r="X189" i="7"/>
  <c r="X227" i="7"/>
  <c r="X219" i="7"/>
  <c r="X211" i="7"/>
  <c r="X201" i="7"/>
  <c r="X187" i="7"/>
  <c r="X233" i="7"/>
  <c r="X225" i="7"/>
  <c r="X217" i="7"/>
  <c r="X220" i="7"/>
  <c r="X212" i="7"/>
  <c r="X226" i="7"/>
  <c r="X218" i="7"/>
  <c r="X210" i="7"/>
  <c r="X221" i="7"/>
  <c r="X213" i="7"/>
  <c r="X232" i="7"/>
  <c r="X224" i="7"/>
  <c r="X216" i="7"/>
  <c r="X188" i="7"/>
  <c r="X185" i="7"/>
  <c r="X193" i="7"/>
  <c r="X186" i="7"/>
  <c r="X200" i="7"/>
  <c r="X184" i="7"/>
  <c r="X204" i="7"/>
  <c r="X194" i="7"/>
  <c r="X192" i="7"/>
  <c r="X205" i="7"/>
  <c r="X195" i="7"/>
  <c r="X191" i="7"/>
  <c r="M88" i="7"/>
  <c r="U88" i="7" s="1"/>
  <c r="M85" i="7"/>
  <c r="U85" i="7" s="1"/>
  <c r="M116" i="7"/>
  <c r="U116" i="7" s="1"/>
  <c r="M119" i="7"/>
  <c r="U119" i="7" s="1"/>
  <c r="M87" i="7"/>
  <c r="U87" i="7" s="1"/>
  <c r="M128" i="7"/>
  <c r="U128" i="7" s="1"/>
  <c r="M41" i="7"/>
  <c r="U41" i="7" s="1"/>
  <c r="M79" i="7"/>
  <c r="U79" i="7" s="1"/>
  <c r="M68" i="7"/>
  <c r="U68" i="7" s="1"/>
  <c r="M57" i="7"/>
  <c r="U57" i="7" s="1"/>
  <c r="M49" i="7"/>
  <c r="U49" i="7" s="1"/>
  <c r="M77" i="7"/>
  <c r="U77" i="7" s="1"/>
  <c r="Y278" i="7"/>
  <c r="Y270" i="7"/>
  <c r="Y262" i="7"/>
  <c r="Y261" i="7"/>
  <c r="Y259" i="7"/>
  <c r="Y257" i="7"/>
  <c r="Y255" i="7"/>
  <c r="Y249" i="7"/>
  <c r="Y241" i="7"/>
  <c r="Y269" i="7"/>
  <c r="Y267" i="7"/>
  <c r="Y265" i="7"/>
  <c r="Y263" i="7"/>
  <c r="Y248" i="7"/>
  <c r="Y240" i="7"/>
  <c r="Y284" i="7"/>
  <c r="Y283" i="7"/>
  <c r="Y266" i="7"/>
  <c r="Y252" i="7"/>
  <c r="Y246" i="7"/>
  <c r="Y276" i="7"/>
  <c r="Y275" i="7"/>
  <c r="Y285" i="7"/>
  <c r="Y268" i="7"/>
  <c r="Y277" i="7"/>
  <c r="Y280" i="7"/>
  <c r="Y279" i="7"/>
  <c r="Y272" i="7"/>
  <c r="Y271" i="7"/>
  <c r="Y282" i="7"/>
  <c r="Y281" i="7"/>
  <c r="Y264" i="7"/>
  <c r="Y274" i="7"/>
  <c r="Y273" i="7"/>
  <c r="Y256" i="7"/>
  <c r="Y253" i="7"/>
  <c r="Y247" i="7"/>
  <c r="Y251" i="7"/>
  <c r="Y243" i="7"/>
  <c r="Y238" i="7"/>
  <c r="Y235" i="7"/>
  <c r="Y254" i="7"/>
  <c r="Y244" i="7"/>
  <c r="Y236" i="7"/>
  <c r="Y258" i="7"/>
  <c r="Y239" i="7"/>
  <c r="Y250" i="7"/>
  <c r="Y242" i="7"/>
  <c r="Y260" i="7"/>
  <c r="Y245" i="7"/>
  <c r="Y237" i="7"/>
  <c r="M92" i="7"/>
  <c r="U92" i="7" s="1"/>
  <c r="M93" i="7"/>
  <c r="U93" i="7" s="1"/>
  <c r="M122" i="7"/>
  <c r="U122" i="7" s="1"/>
  <c r="M125" i="7"/>
  <c r="U125" i="7" s="1"/>
  <c r="M103" i="7"/>
  <c r="U103" i="7" s="1"/>
  <c r="M97" i="7"/>
  <c r="U97" i="7" s="1"/>
  <c r="M67" i="7"/>
  <c r="U67" i="7" s="1"/>
  <c r="M32" i="7"/>
  <c r="U32" i="7" s="1"/>
  <c r="M71" i="7"/>
  <c r="U71" i="7" s="1"/>
  <c r="M34" i="7"/>
  <c r="U34" i="7" s="1"/>
  <c r="M75" i="7"/>
  <c r="U75" i="7" s="1"/>
  <c r="M38" i="7"/>
  <c r="U38" i="7" s="1"/>
  <c r="M104" i="7"/>
  <c r="U104" i="7" s="1"/>
  <c r="AA176" i="7"/>
  <c r="AA168" i="7"/>
  <c r="AA160" i="7"/>
  <c r="AA152" i="7"/>
  <c r="AA183" i="7"/>
  <c r="AA175" i="7"/>
  <c r="AA167" i="7"/>
  <c r="AA159" i="7"/>
  <c r="AA179" i="7"/>
  <c r="AA173" i="7"/>
  <c r="AA153" i="7"/>
  <c r="AA146" i="7"/>
  <c r="AA138" i="7"/>
  <c r="AA180" i="7"/>
  <c r="AA174" i="7"/>
  <c r="AA154" i="7"/>
  <c r="AA151" i="7"/>
  <c r="AA145" i="7"/>
  <c r="AA137" i="7"/>
  <c r="AA178" i="7"/>
  <c r="AA182" i="7"/>
  <c r="AA170" i="7"/>
  <c r="AA163" i="7"/>
  <c r="AA156" i="7"/>
  <c r="AA148" i="7"/>
  <c r="AA142" i="7"/>
  <c r="AA136" i="7"/>
  <c r="AA181" i="7"/>
  <c r="AA165" i="7"/>
  <c r="AA158" i="7"/>
  <c r="AA147" i="7"/>
  <c r="AA141" i="7"/>
  <c r="AA135" i="7"/>
  <c r="AA172" i="7"/>
  <c r="AA140" i="7"/>
  <c r="AA134" i="7"/>
  <c r="AA162" i="7"/>
  <c r="AA155" i="7"/>
  <c r="AA139" i="7"/>
  <c r="AA169" i="7"/>
  <c r="AA157" i="7"/>
  <c r="AA133" i="7"/>
  <c r="AA171" i="7"/>
  <c r="AA164" i="7"/>
  <c r="AA166" i="7"/>
  <c r="AA150" i="7"/>
  <c r="AA144" i="7"/>
  <c r="AA177" i="7"/>
  <c r="AA161" i="7"/>
  <c r="AA149" i="7"/>
  <c r="AA143" i="7"/>
  <c r="Y232" i="7"/>
  <c r="Y224" i="7"/>
  <c r="Y216" i="7"/>
  <c r="Y208" i="7"/>
  <c r="Y200" i="7"/>
  <c r="Y231" i="7"/>
  <c r="Y223" i="7"/>
  <c r="Y215" i="7"/>
  <c r="Y207" i="7"/>
  <c r="Y199" i="7"/>
  <c r="Y233" i="7"/>
  <c r="Y227" i="7"/>
  <c r="Y221" i="7"/>
  <c r="Y201" i="7"/>
  <c r="Y195" i="7"/>
  <c r="Y191" i="7"/>
  <c r="Y234" i="7"/>
  <c r="Y228" i="7"/>
  <c r="Y222" i="7"/>
  <c r="Y202" i="7"/>
  <c r="Y196" i="7"/>
  <c r="Y190" i="7"/>
  <c r="Y214" i="7"/>
  <c r="Y206" i="7"/>
  <c r="Y198" i="7"/>
  <c r="Y193" i="7"/>
  <c r="Y192" i="7"/>
  <c r="Y186" i="7"/>
  <c r="Y225" i="7"/>
  <c r="Y217" i="7"/>
  <c r="Y230" i="7"/>
  <c r="Y220" i="7"/>
  <c r="Y212" i="7"/>
  <c r="Y226" i="7"/>
  <c r="Y218" i="7"/>
  <c r="Y213" i="7"/>
  <c r="Y229" i="7"/>
  <c r="Y219" i="7"/>
  <c r="Y211" i="7"/>
  <c r="Y203" i="7"/>
  <c r="Y187" i="7"/>
  <c r="Y209" i="7"/>
  <c r="Y197" i="7"/>
  <c r="Y210" i="7"/>
  <c r="Y185" i="7"/>
  <c r="Y189" i="7"/>
  <c r="Y184" i="7"/>
  <c r="Y204" i="7"/>
  <c r="Y194" i="7"/>
  <c r="Y188" i="7"/>
  <c r="Y205" i="7"/>
  <c r="M106" i="7"/>
  <c r="U106" i="7" s="1"/>
  <c r="M99" i="7"/>
  <c r="U99" i="7" s="1"/>
  <c r="M111" i="7"/>
  <c r="U111" i="7" s="1"/>
  <c r="M131" i="7"/>
  <c r="U131" i="7" s="1"/>
  <c r="M109" i="7"/>
  <c r="U109" i="7" s="1"/>
  <c r="M105" i="7"/>
  <c r="U105" i="7" s="1"/>
  <c r="M73" i="7"/>
  <c r="U73" i="7" s="1"/>
  <c r="M33" i="7"/>
  <c r="U33" i="7" s="1"/>
  <c r="M74" i="7"/>
  <c r="U74" i="7" s="1"/>
  <c r="M40" i="7"/>
  <c r="U40" i="7" s="1"/>
  <c r="M81" i="7"/>
  <c r="U81" i="7" s="1"/>
  <c r="M46" i="7"/>
  <c r="U46" i="7" s="1"/>
  <c r="W180" i="7"/>
  <c r="W172" i="7"/>
  <c r="W164" i="7"/>
  <c r="W156" i="7"/>
  <c r="W179" i="7"/>
  <c r="W171" i="7"/>
  <c r="W163" i="7"/>
  <c r="W155" i="7"/>
  <c r="W181" i="7"/>
  <c r="W175" i="7"/>
  <c r="W169" i="7"/>
  <c r="W150" i="7"/>
  <c r="W142" i="7"/>
  <c r="W134" i="7"/>
  <c r="W133" i="7"/>
  <c r="W182" i="7"/>
  <c r="W176" i="7"/>
  <c r="W170" i="7"/>
  <c r="W149" i="7"/>
  <c r="W141" i="7"/>
  <c r="W161" i="7"/>
  <c r="W178" i="7"/>
  <c r="W173" i="7"/>
  <c r="W166" i="7"/>
  <c r="W154" i="7"/>
  <c r="W151" i="7"/>
  <c r="W144" i="7"/>
  <c r="W138" i="7"/>
  <c r="W177" i="7"/>
  <c r="W168" i="7"/>
  <c r="W143" i="7"/>
  <c r="W137" i="7"/>
  <c r="W152" i="7"/>
  <c r="W136" i="7"/>
  <c r="W165" i="7"/>
  <c r="W158" i="7"/>
  <c r="W135" i="7"/>
  <c r="W167" i="7"/>
  <c r="W160" i="7"/>
  <c r="W153" i="7"/>
  <c r="W148" i="7"/>
  <c r="W162" i="7"/>
  <c r="W147" i="7"/>
  <c r="W174" i="7"/>
  <c r="W157" i="7"/>
  <c r="W146" i="7"/>
  <c r="W140" i="7"/>
  <c r="W183" i="7"/>
  <c r="W159" i="7"/>
  <c r="W145" i="7"/>
  <c r="W139" i="7"/>
  <c r="M150" i="7"/>
  <c r="U150" i="7" s="1"/>
  <c r="M138" i="7"/>
  <c r="U138" i="7" s="1"/>
  <c r="M91" i="7"/>
  <c r="U91" i="7" s="1"/>
  <c r="M83" i="7"/>
  <c r="U83" i="7" s="1"/>
  <c r="M102" i="7"/>
  <c r="U102" i="7" s="1"/>
  <c r="M117" i="7"/>
  <c r="U117" i="7" s="1"/>
  <c r="M126" i="7"/>
  <c r="U126" i="7" s="1"/>
  <c r="M115" i="7"/>
  <c r="U115" i="7" s="1"/>
  <c r="M113" i="7"/>
  <c r="U113" i="7" s="1"/>
  <c r="M44" i="7"/>
  <c r="U44" i="7" s="1"/>
  <c r="M59" i="7"/>
  <c r="U59" i="7" s="1"/>
  <c r="M80" i="7"/>
  <c r="U80" i="7" s="1"/>
  <c r="M60" i="7"/>
  <c r="U60" i="7" s="1"/>
  <c r="M37" i="7"/>
  <c r="U37" i="7" s="1"/>
  <c r="M54" i="7"/>
  <c r="U54" i="7" s="1"/>
  <c r="M432" i="7"/>
  <c r="U432" i="7" s="1"/>
  <c r="M424" i="7"/>
  <c r="U424" i="7" s="1"/>
  <c r="M416" i="7"/>
  <c r="U416" i="7" s="1"/>
  <c r="M431" i="7"/>
  <c r="U431" i="7" s="1"/>
  <c r="M429" i="7"/>
  <c r="U429" i="7" s="1"/>
  <c r="M427" i="7"/>
  <c r="U427" i="7" s="1"/>
  <c r="M425" i="7"/>
  <c r="U425" i="7" s="1"/>
  <c r="M406" i="7"/>
  <c r="U406" i="7" s="1"/>
  <c r="M437" i="7"/>
  <c r="U437" i="7" s="1"/>
  <c r="M435" i="7"/>
  <c r="U435" i="7" s="1"/>
  <c r="M433" i="7"/>
  <c r="U433" i="7" s="1"/>
  <c r="M405" i="7"/>
  <c r="U405" i="7" s="1"/>
  <c r="M397" i="7"/>
  <c r="U397" i="7" s="1"/>
  <c r="M389" i="7"/>
  <c r="U389" i="7" s="1"/>
  <c r="M388" i="7"/>
  <c r="U388" i="7" s="1"/>
  <c r="M428" i="7"/>
  <c r="U428" i="7" s="1"/>
  <c r="M411" i="7"/>
  <c r="U411" i="7" s="1"/>
  <c r="M410" i="7"/>
  <c r="U410" i="7" s="1"/>
  <c r="M408" i="7"/>
  <c r="U408" i="7" s="1"/>
  <c r="M395" i="7"/>
  <c r="U395" i="7" s="1"/>
  <c r="M393" i="7"/>
  <c r="U393" i="7" s="1"/>
  <c r="M391" i="7"/>
  <c r="U391" i="7" s="1"/>
  <c r="M436" i="7"/>
  <c r="U436" i="7" s="1"/>
  <c r="M419" i="7"/>
  <c r="U419" i="7" s="1"/>
  <c r="M418" i="7"/>
  <c r="U418" i="7" s="1"/>
  <c r="M409" i="7"/>
  <c r="U409" i="7" s="1"/>
  <c r="M403" i="7"/>
  <c r="U403" i="7" s="1"/>
  <c r="M401" i="7"/>
  <c r="U401" i="7" s="1"/>
  <c r="M399" i="7"/>
  <c r="U399" i="7" s="1"/>
  <c r="M423" i="7"/>
  <c r="U423" i="7" s="1"/>
  <c r="M407" i="7"/>
  <c r="U407" i="7" s="1"/>
  <c r="M400" i="7"/>
  <c r="U400" i="7" s="1"/>
  <c r="M430" i="7"/>
  <c r="U430" i="7" s="1"/>
  <c r="M420" i="7"/>
  <c r="U420" i="7" s="1"/>
  <c r="M402" i="7"/>
  <c r="U402" i="7" s="1"/>
  <c r="M415" i="7"/>
  <c r="U415" i="7" s="1"/>
  <c r="M394" i="7"/>
  <c r="U394" i="7" s="1"/>
  <c r="M434" i="7"/>
  <c r="U434" i="7" s="1"/>
  <c r="M422" i="7"/>
  <c r="U422" i="7" s="1"/>
  <c r="M417" i="7"/>
  <c r="U417" i="7" s="1"/>
  <c r="M404" i="7"/>
  <c r="U404" i="7" s="1"/>
  <c r="M438" i="7"/>
  <c r="U438" i="7" s="1"/>
  <c r="M426" i="7"/>
  <c r="U426" i="7" s="1"/>
  <c r="M414" i="7"/>
  <c r="U414" i="7" s="1"/>
  <c r="M390" i="7"/>
  <c r="U390" i="7" s="1"/>
  <c r="M412" i="7"/>
  <c r="U412" i="7" s="1"/>
  <c r="M413" i="7"/>
  <c r="U413" i="7" s="1"/>
  <c r="M398" i="7"/>
  <c r="U398" i="7" s="1"/>
  <c r="M396" i="7"/>
  <c r="U396" i="7" s="1"/>
  <c r="M421" i="7"/>
  <c r="U421" i="7" s="1"/>
  <c r="M392" i="7"/>
  <c r="U392" i="7" s="1"/>
  <c r="Z279" i="7"/>
  <c r="Z271" i="7"/>
  <c r="Z263" i="7"/>
  <c r="Z255" i="7"/>
  <c r="Z284" i="7"/>
  <c r="Z282" i="7"/>
  <c r="Z280" i="7"/>
  <c r="Z250" i="7"/>
  <c r="Z242" i="7"/>
  <c r="Z261" i="7"/>
  <c r="Z259" i="7"/>
  <c r="Z257" i="7"/>
  <c r="Z249" i="7"/>
  <c r="Z241" i="7"/>
  <c r="Z276" i="7"/>
  <c r="Z275" i="7"/>
  <c r="Z258" i="7"/>
  <c r="Z251" i="7"/>
  <c r="Z245" i="7"/>
  <c r="Z239" i="7"/>
  <c r="Z285" i="7"/>
  <c r="Z278" i="7"/>
  <c r="Z277" i="7"/>
  <c r="Z270" i="7"/>
  <c r="Z269" i="7"/>
  <c r="Z272" i="7"/>
  <c r="Z262" i="7"/>
  <c r="Z281" i="7"/>
  <c r="Z274" i="7"/>
  <c r="Z273" i="7"/>
  <c r="Z283" i="7"/>
  <c r="Z266" i="7"/>
  <c r="Z265" i="7"/>
  <c r="Z252" i="7"/>
  <c r="Z246" i="7"/>
  <c r="Z240" i="7"/>
  <c r="Z248" i="7"/>
  <c r="Z238" i="7"/>
  <c r="Z235" i="7"/>
  <c r="Z264" i="7"/>
  <c r="Z254" i="7"/>
  <c r="Z244" i="7"/>
  <c r="Z236" i="7"/>
  <c r="Z256" i="7"/>
  <c r="Z268" i="7"/>
  <c r="Z260" i="7"/>
  <c r="Z247" i="7"/>
  <c r="Z237" i="7"/>
  <c r="Z267" i="7"/>
  <c r="Z253" i="7"/>
  <c r="Z243" i="7"/>
  <c r="V229" i="7"/>
  <c r="V221" i="7"/>
  <c r="V213" i="7"/>
  <c r="V205" i="7"/>
  <c r="V197" i="7"/>
  <c r="V228" i="7"/>
  <c r="V220" i="7"/>
  <c r="V212" i="7"/>
  <c r="V204" i="7"/>
  <c r="V196" i="7"/>
  <c r="V222" i="7"/>
  <c r="V216" i="7"/>
  <c r="V210" i="7"/>
  <c r="V188" i="7"/>
  <c r="V223" i="7"/>
  <c r="V217" i="7"/>
  <c r="V211" i="7"/>
  <c r="V187" i="7"/>
  <c r="V203" i="7"/>
  <c r="V195" i="7"/>
  <c r="V232" i="7"/>
  <c r="V224" i="7"/>
  <c r="V214" i="7"/>
  <c r="V227" i="7"/>
  <c r="V219" i="7"/>
  <c r="V230" i="7"/>
  <c r="V233" i="7"/>
  <c r="V225" i="7"/>
  <c r="V215" i="7"/>
  <c r="V231" i="7"/>
  <c r="V234" i="7"/>
  <c r="V226" i="7"/>
  <c r="V218" i="7"/>
  <c r="V208" i="7"/>
  <c r="V200" i="7"/>
  <c r="V199" i="7"/>
  <c r="V184" i="7"/>
  <c r="V198" i="7"/>
  <c r="V194" i="7"/>
  <c r="V190" i="7"/>
  <c r="V192" i="7"/>
  <c r="V209" i="7"/>
  <c r="V191" i="7"/>
  <c r="V186" i="7"/>
  <c r="V201" i="7"/>
  <c r="V185" i="7"/>
  <c r="V202" i="7"/>
  <c r="V189" i="7"/>
  <c r="V206" i="7"/>
  <c r="V193" i="7"/>
  <c r="V207" i="7"/>
  <c r="M95" i="7"/>
  <c r="U95" i="7" s="1"/>
  <c r="M108" i="7"/>
  <c r="U108" i="7" s="1"/>
  <c r="M96" i="7"/>
  <c r="U96" i="7" s="1"/>
  <c r="M121" i="7"/>
  <c r="U121" i="7" s="1"/>
  <c r="M52" i="7"/>
  <c r="U52" i="7" s="1"/>
  <c r="M47" i="7"/>
  <c r="U47" i="7" s="1"/>
  <c r="M65" i="7"/>
  <c r="U65" i="7" s="1"/>
  <c r="M35" i="7"/>
  <c r="U35" i="7" s="1"/>
  <c r="M63" i="7"/>
  <c r="U63" i="7" s="1"/>
  <c r="M45" i="7"/>
  <c r="U45" i="7" s="1"/>
  <c r="M62" i="7"/>
  <c r="U62" i="7" s="1"/>
  <c r="N223" i="43"/>
  <c r="N215" i="43"/>
  <c r="N209" i="43"/>
  <c r="N201" i="43"/>
  <c r="N194" i="43"/>
  <c r="N187" i="43"/>
  <c r="N221" i="43"/>
  <c r="N217" i="43"/>
  <c r="N216" i="43"/>
  <c r="N213" i="43"/>
  <c r="N212" i="43"/>
  <c r="N211" i="43"/>
  <c r="N210" i="43"/>
  <c r="N208" i="43"/>
  <c r="N207" i="43"/>
  <c r="N206" i="43"/>
  <c r="N205" i="43"/>
  <c r="N204" i="43"/>
  <c r="N203" i="43"/>
  <c r="N202" i="43"/>
  <c r="N197" i="43"/>
  <c r="N196" i="43"/>
  <c r="N195" i="43"/>
  <c r="N192" i="43"/>
  <c r="N191" i="43"/>
  <c r="N190" i="43"/>
  <c r="N189" i="43"/>
  <c r="N188" i="43"/>
  <c r="N186" i="43"/>
  <c r="N228" i="43"/>
  <c r="N224" i="43"/>
  <c r="N214" i="43"/>
  <c r="N200" i="43"/>
  <c r="N199" i="43"/>
  <c r="N198" i="43"/>
  <c r="N193" i="43"/>
  <c r="N180" i="43"/>
  <c r="N230" i="43"/>
  <c r="N183" i="43"/>
  <c r="N226" i="43"/>
  <c r="N220" i="43"/>
  <c r="N184" i="43"/>
  <c r="N219" i="43"/>
  <c r="N185" i="43"/>
  <c r="N229" i="43"/>
  <c r="N225" i="43"/>
  <c r="N181" i="43"/>
  <c r="N227" i="43"/>
  <c r="N182" i="43"/>
  <c r="N222" i="43"/>
  <c r="N218" i="43"/>
  <c r="O229" i="43"/>
  <c r="O221" i="43"/>
  <c r="O207" i="43"/>
  <c r="O199" i="43"/>
  <c r="O218" i="43"/>
  <c r="O184" i="43"/>
  <c r="O225" i="43"/>
  <c r="O209" i="43"/>
  <c r="O208" i="43"/>
  <c r="O185" i="43"/>
  <c r="O228" i="43"/>
  <c r="O226" i="43"/>
  <c r="O230" i="43"/>
  <c r="O216" i="43"/>
  <c r="O193" i="43"/>
  <c r="O190" i="43"/>
  <c r="O187" i="43"/>
  <c r="O205" i="43"/>
  <c r="O202" i="43"/>
  <c r="O196" i="43"/>
  <c r="O180" i="43"/>
  <c r="O219" i="43"/>
  <c r="O217" i="43"/>
  <c r="O214" i="43"/>
  <c r="O211" i="43"/>
  <c r="O181" i="43"/>
  <c r="O227" i="43"/>
  <c r="O223" i="43"/>
  <c r="O197" i="43"/>
  <c r="O194" i="43"/>
  <c r="O191" i="43"/>
  <c r="O188" i="43"/>
  <c r="O206" i="43"/>
  <c r="O203" i="43"/>
  <c r="O200" i="43"/>
  <c r="O182" i="43"/>
  <c r="O215" i="43"/>
  <c r="O212" i="43"/>
  <c r="O198" i="43"/>
  <c r="O189" i="43"/>
  <c r="O186" i="43"/>
  <c r="O222" i="43"/>
  <c r="O220" i="43"/>
  <c r="O201" i="43"/>
  <c r="O195" i="43"/>
  <c r="O192" i="43"/>
  <c r="O183" i="43"/>
  <c r="O224" i="43"/>
  <c r="O213" i="43"/>
  <c r="O210" i="43"/>
  <c r="O204" i="43"/>
  <c r="Q175" i="43"/>
  <c r="Q167" i="43"/>
  <c r="Q160" i="43"/>
  <c r="Q153" i="43"/>
  <c r="Q146" i="43"/>
  <c r="Q138" i="43"/>
  <c r="Q131" i="43"/>
  <c r="Q176" i="43"/>
  <c r="Q168" i="43"/>
  <c r="Q161" i="43"/>
  <c r="Q154" i="43"/>
  <c r="Q147" i="43"/>
  <c r="Q139" i="43"/>
  <c r="Q132" i="43"/>
  <c r="Q178" i="43"/>
  <c r="Q172" i="43"/>
  <c r="Q166" i="43"/>
  <c r="Q173" i="43"/>
  <c r="Q165" i="43"/>
  <c r="Q164" i="43"/>
  <c r="Q158" i="43"/>
  <c r="Q157" i="43"/>
  <c r="Q151" i="43"/>
  <c r="Q144" i="43"/>
  <c r="Q137" i="43"/>
  <c r="Q130" i="43"/>
  <c r="Q169" i="43"/>
  <c r="Q159" i="43"/>
  <c r="Q177" i="43"/>
  <c r="Q174" i="43"/>
  <c r="Q170" i="43"/>
  <c r="Q179" i="43"/>
  <c r="Q171" i="43"/>
  <c r="Q162" i="43"/>
  <c r="Q155" i="43"/>
  <c r="Q149" i="43"/>
  <c r="Q148" i="43"/>
  <c r="Q142" i="43"/>
  <c r="Q135" i="43"/>
  <c r="Q163" i="43"/>
  <c r="Q156" i="43"/>
  <c r="Q150" i="43"/>
  <c r="Q143" i="43"/>
  <c r="Q141" i="43"/>
  <c r="Q152" i="43"/>
  <c r="Q145" i="43"/>
  <c r="Q133" i="43"/>
  <c r="Q129" i="43"/>
  <c r="Q140" i="43"/>
  <c r="Q136" i="43"/>
  <c r="Q134" i="43"/>
  <c r="O177" i="43"/>
  <c r="O169" i="43"/>
  <c r="O162" i="43"/>
  <c r="O155" i="43"/>
  <c r="O148" i="43"/>
  <c r="O140" i="43"/>
  <c r="O133" i="43"/>
  <c r="O178" i="43"/>
  <c r="O170" i="43"/>
  <c r="O163" i="43"/>
  <c r="O156" i="43"/>
  <c r="O141" i="43"/>
  <c r="O134" i="43"/>
  <c r="O176" i="43"/>
  <c r="O172" i="43"/>
  <c r="O149" i="43"/>
  <c r="O142" i="43"/>
  <c r="O135" i="43"/>
  <c r="O173" i="43"/>
  <c r="O166" i="43"/>
  <c r="O159" i="43"/>
  <c r="O152" i="43"/>
  <c r="O145" i="43"/>
  <c r="O139" i="43"/>
  <c r="O132" i="43"/>
  <c r="O174" i="43"/>
  <c r="O167" i="43"/>
  <c r="O161" i="43"/>
  <c r="O154" i="43"/>
  <c r="O175" i="43"/>
  <c r="O171" i="43"/>
  <c r="O179" i="43"/>
  <c r="O168" i="43"/>
  <c r="O158" i="43"/>
  <c r="O151" i="43"/>
  <c r="O144" i="43"/>
  <c r="O153" i="43"/>
  <c r="O146" i="43"/>
  <c r="O157" i="43"/>
  <c r="O150" i="43"/>
  <c r="O143" i="43"/>
  <c r="O137" i="43"/>
  <c r="O165" i="43"/>
  <c r="O131" i="43"/>
  <c r="O160" i="43"/>
  <c r="O129" i="43"/>
  <c r="O164" i="43"/>
  <c r="O147" i="43"/>
  <c r="O138" i="43"/>
  <c r="O136" i="43"/>
  <c r="O130" i="43"/>
  <c r="Q227" i="43"/>
  <c r="Q219" i="43"/>
  <c r="Q212" i="43"/>
  <c r="Q205" i="43"/>
  <c r="Q191" i="43"/>
  <c r="Q218" i="43"/>
  <c r="Q217" i="43"/>
  <c r="Q226" i="43"/>
  <c r="Q225" i="43"/>
  <c r="Q224" i="43"/>
  <c r="Q223" i="43"/>
  <c r="Q222" i="43"/>
  <c r="Q221" i="43"/>
  <c r="Q220" i="43"/>
  <c r="Q230" i="43"/>
  <c r="Q182" i="43"/>
  <c r="Q183" i="43"/>
  <c r="Q213" i="43"/>
  <c r="Q209" i="43"/>
  <c r="Q185" i="43"/>
  <c r="Q214" i="43"/>
  <c r="Q211" i="43"/>
  <c r="Q184" i="43"/>
  <c r="Q181" i="43"/>
  <c r="Q208" i="43"/>
  <c r="Q194" i="43"/>
  <c r="Q188" i="43"/>
  <c r="Q203" i="43"/>
  <c r="Q200" i="43"/>
  <c r="Q197" i="43"/>
  <c r="Q229" i="43"/>
  <c r="Q215" i="43"/>
  <c r="Q206" i="43"/>
  <c r="Q186" i="43"/>
  <c r="Q198" i="43"/>
  <c r="Q195" i="43"/>
  <c r="Q189" i="43"/>
  <c r="Q210" i="43"/>
  <c r="Q204" i="43"/>
  <c r="Q201" i="43"/>
  <c r="Q192" i="43"/>
  <c r="Q216" i="43"/>
  <c r="Q207" i="43"/>
  <c r="Q190" i="43"/>
  <c r="Q187" i="43"/>
  <c r="Q228" i="43"/>
  <c r="Q202" i="43"/>
  <c r="Q199" i="43"/>
  <c r="Q196" i="43"/>
  <c r="Q193" i="43"/>
  <c r="Q180" i="43"/>
  <c r="N179" i="43"/>
  <c r="N171" i="43"/>
  <c r="N164" i="43"/>
  <c r="N157" i="43"/>
  <c r="N149" i="43"/>
  <c r="N142" i="43"/>
  <c r="N135" i="43"/>
  <c r="N172" i="43"/>
  <c r="N150" i="43"/>
  <c r="N143" i="43"/>
  <c r="N136" i="43"/>
  <c r="N129" i="43"/>
  <c r="N176" i="43"/>
  <c r="N170" i="43"/>
  <c r="N175" i="43"/>
  <c r="N162" i="43"/>
  <c r="N155" i="43"/>
  <c r="N148" i="43"/>
  <c r="N168" i="43"/>
  <c r="N163" i="43"/>
  <c r="N156" i="43"/>
  <c r="N177" i="43"/>
  <c r="N169" i="43"/>
  <c r="N173" i="43"/>
  <c r="N178" i="43"/>
  <c r="N166" i="43"/>
  <c r="N159" i="43"/>
  <c r="N174" i="43"/>
  <c r="N160" i="43"/>
  <c r="N153" i="43"/>
  <c r="N146" i="43"/>
  <c r="N140" i="43"/>
  <c r="N133" i="43"/>
  <c r="N167" i="43"/>
  <c r="N161" i="43"/>
  <c r="N154" i="43"/>
  <c r="N147" i="43"/>
  <c r="N141" i="43"/>
  <c r="N134" i="43"/>
  <c r="N132" i="43"/>
  <c r="N158" i="43"/>
  <c r="N130" i="43"/>
  <c r="N139" i="43"/>
  <c r="N137" i="43"/>
  <c r="N165" i="43"/>
  <c r="N131" i="43"/>
  <c r="N152" i="43"/>
  <c r="N145" i="43"/>
  <c r="N138" i="43"/>
  <c r="N151" i="43"/>
  <c r="N144" i="43"/>
  <c r="P228" i="43"/>
  <c r="P220" i="43"/>
  <c r="P213" i="43"/>
  <c r="P206" i="43"/>
  <c r="P198" i="43"/>
  <c r="P192" i="43"/>
  <c r="P219" i="43"/>
  <c r="P218" i="43"/>
  <c r="P217" i="43"/>
  <c r="P226" i="43"/>
  <c r="P222" i="43"/>
  <c r="P183" i="43"/>
  <c r="P229" i="43"/>
  <c r="P184" i="43"/>
  <c r="P205" i="43"/>
  <c r="P201" i="43"/>
  <c r="P197" i="43"/>
  <c r="P193" i="43"/>
  <c r="P189" i="43"/>
  <c r="P202" i="43"/>
  <c r="P199" i="43"/>
  <c r="P196" i="43"/>
  <c r="P180" i="43"/>
  <c r="P214" i="43"/>
  <c r="P211" i="43"/>
  <c r="P181" i="43"/>
  <c r="P227" i="43"/>
  <c r="P223" i="43"/>
  <c r="P208" i="43"/>
  <c r="P194" i="43"/>
  <c r="P191" i="43"/>
  <c r="P188" i="43"/>
  <c r="P185" i="43"/>
  <c r="P225" i="43"/>
  <c r="P221" i="43"/>
  <c r="P203" i="43"/>
  <c r="P200" i="43"/>
  <c r="P182" i="43"/>
  <c r="P215" i="43"/>
  <c r="P212" i="43"/>
  <c r="P209" i="43"/>
  <c r="P186" i="43"/>
  <c r="P195" i="43"/>
  <c r="P224" i="43"/>
  <c r="P210" i="43"/>
  <c r="P204" i="43"/>
  <c r="P230" i="43"/>
  <c r="P216" i="43"/>
  <c r="P207" i="43"/>
  <c r="P190" i="43"/>
  <c r="P187" i="43"/>
  <c r="AC119" i="42" l="1"/>
  <c r="AC118" i="42"/>
  <c r="Y16" i="33" s="1"/>
  <c r="AC117" i="42"/>
  <c r="AC116" i="42"/>
  <c r="K32" i="51"/>
  <c r="AB31" i="7"/>
  <c r="K45" i="51" s="1"/>
  <c r="R180" i="43"/>
  <c r="AC125" i="42" s="1"/>
  <c r="R129" i="43"/>
  <c r="AC120" i="42" s="1"/>
  <c r="AA237" i="44"/>
  <c r="M175" i="7"/>
  <c r="U175" i="7" s="1"/>
  <c r="M146" i="7"/>
  <c r="U146" i="7" s="1"/>
  <c r="M136" i="7"/>
  <c r="U136" i="7" s="1"/>
  <c r="M178" i="7"/>
  <c r="U178" i="7" s="1"/>
  <c r="M151" i="7"/>
  <c r="U151" i="7" s="1"/>
  <c r="M142" i="7"/>
  <c r="U142" i="7" s="1"/>
  <c r="M152" i="7"/>
  <c r="U152" i="7" s="1"/>
  <c r="M165" i="7"/>
  <c r="U165" i="7" s="1"/>
  <c r="M137" i="7"/>
  <c r="U137" i="7" s="1"/>
  <c r="M163" i="7"/>
  <c r="U163" i="7" s="1"/>
  <c r="M182" i="7"/>
  <c r="U182" i="7" s="1"/>
  <c r="M139" i="7"/>
  <c r="U139" i="7" s="1"/>
  <c r="M153" i="7"/>
  <c r="U153" i="7" s="1"/>
  <c r="M134" i="7"/>
  <c r="U134" i="7" s="1"/>
  <c r="M162" i="7"/>
  <c r="U162" i="7" s="1"/>
  <c r="M143" i="7"/>
  <c r="U143" i="7" s="1"/>
  <c r="M173" i="7"/>
  <c r="U173" i="7" s="1"/>
  <c r="M183" i="7"/>
  <c r="U183" i="7" s="1"/>
  <c r="M167" i="7"/>
  <c r="U167" i="7" s="1"/>
  <c r="M170" i="7"/>
  <c r="U170" i="7" s="1"/>
  <c r="M140" i="7"/>
  <c r="U140" i="7" s="1"/>
  <c r="M172" i="7"/>
  <c r="U172" i="7" s="1"/>
  <c r="M149" i="7"/>
  <c r="U149" i="7" s="1"/>
  <c r="M145" i="7"/>
  <c r="U145" i="7" s="1"/>
  <c r="M179" i="7"/>
  <c r="U179" i="7" s="1"/>
  <c r="M158" i="7"/>
  <c r="U158" i="7" s="1"/>
  <c r="M169" i="7"/>
  <c r="U169" i="7" s="1"/>
  <c r="M157" i="7"/>
  <c r="U157" i="7" s="1"/>
  <c r="M181" i="7"/>
  <c r="U181" i="7" s="1"/>
  <c r="M156" i="7"/>
  <c r="U156" i="7" s="1"/>
  <c r="M164" i="7"/>
  <c r="U164" i="7" s="1"/>
  <c r="M177" i="7"/>
  <c r="U177" i="7" s="1"/>
  <c r="M155" i="7"/>
  <c r="U155" i="7" s="1"/>
  <c r="M147" i="7"/>
  <c r="U147" i="7" s="1"/>
  <c r="AB82" i="7"/>
  <c r="K47" i="51" s="1"/>
  <c r="M161" i="7"/>
  <c r="U161" i="7" s="1"/>
  <c r="M144" i="7"/>
  <c r="U144" i="7" s="1"/>
  <c r="M166" i="7"/>
  <c r="U166" i="7" s="1"/>
  <c r="M174" i="7"/>
  <c r="U174" i="7" s="1"/>
  <c r="M133" i="7"/>
  <c r="U133" i="7" s="1"/>
  <c r="M159" i="7"/>
  <c r="U159" i="7" s="1"/>
  <c r="M160" i="7"/>
  <c r="U160" i="7" s="1"/>
  <c r="M135" i="7"/>
  <c r="U135" i="7" s="1"/>
  <c r="M148" i="7"/>
  <c r="U148" i="7" s="1"/>
  <c r="M154" i="7"/>
  <c r="U154" i="7" s="1"/>
  <c r="M168" i="7"/>
  <c r="U168" i="7" s="1"/>
  <c r="M141" i="7"/>
  <c r="U141" i="7" s="1"/>
  <c r="M180" i="7"/>
  <c r="U180" i="7" s="1"/>
  <c r="M171" i="7"/>
  <c r="U171" i="7" s="1"/>
  <c r="M176" i="7"/>
  <c r="U176" i="7" s="1"/>
  <c r="AB388" i="7"/>
  <c r="K52" i="51" s="1"/>
  <c r="U339" i="7"/>
  <c r="U347" i="7"/>
  <c r="U353" i="7"/>
  <c r="U384" i="7"/>
  <c r="U363" i="7"/>
  <c r="U366" i="7"/>
  <c r="U387" i="7"/>
  <c r="M246" i="7"/>
  <c r="U246" i="7" s="1"/>
  <c r="M253" i="7"/>
  <c r="U253" i="7" s="1"/>
  <c r="M277" i="7"/>
  <c r="U277" i="7" s="1"/>
  <c r="M263" i="7"/>
  <c r="U263" i="7" s="1"/>
  <c r="M250" i="7"/>
  <c r="U250" i="7" s="1"/>
  <c r="M270" i="7"/>
  <c r="U270" i="7" s="1"/>
  <c r="U227" i="7"/>
  <c r="U219" i="7"/>
  <c r="U211" i="7"/>
  <c r="U203" i="7"/>
  <c r="U195" i="7"/>
  <c r="U234" i="7"/>
  <c r="U226" i="7"/>
  <c r="U218" i="7"/>
  <c r="U210" i="7"/>
  <c r="U202" i="7"/>
  <c r="U194" i="7"/>
  <c r="U230" i="7"/>
  <c r="U224" i="7"/>
  <c r="U204" i="7"/>
  <c r="U198" i="7"/>
  <c r="U193" i="7"/>
  <c r="U186" i="7"/>
  <c r="U231" i="7"/>
  <c r="U225" i="7"/>
  <c r="U205" i="7"/>
  <c r="U199" i="7"/>
  <c r="U185" i="7"/>
  <c r="U184" i="7"/>
  <c r="U229" i="7"/>
  <c r="U221" i="7"/>
  <c r="U213" i="7"/>
  <c r="U189" i="7"/>
  <c r="U216" i="7"/>
  <c r="U232" i="7"/>
  <c r="U222" i="7"/>
  <c r="U217" i="7"/>
  <c r="U220" i="7"/>
  <c r="U212" i="7"/>
  <c r="U233" i="7"/>
  <c r="U223" i="7"/>
  <c r="U215" i="7"/>
  <c r="U190" i="7"/>
  <c r="U209" i="7"/>
  <c r="U187" i="7"/>
  <c r="U208" i="7"/>
  <c r="U192" i="7"/>
  <c r="U206" i="7"/>
  <c r="U196" i="7"/>
  <c r="U207" i="7"/>
  <c r="U197" i="7"/>
  <c r="U191" i="7"/>
  <c r="U200" i="7"/>
  <c r="U201" i="7"/>
  <c r="U188" i="7"/>
  <c r="U341" i="7"/>
  <c r="U364" i="7"/>
  <c r="U373" i="7"/>
  <c r="U338" i="7"/>
  <c r="U365" i="7"/>
  <c r="U371" i="7"/>
  <c r="M254" i="7"/>
  <c r="U254" i="7" s="1"/>
  <c r="M255" i="7"/>
  <c r="U255" i="7" s="1"/>
  <c r="M267" i="7"/>
  <c r="U267" i="7" s="1"/>
  <c r="M273" i="7"/>
  <c r="U273" i="7" s="1"/>
  <c r="M274" i="7"/>
  <c r="U274" i="7" s="1"/>
  <c r="M256" i="7"/>
  <c r="U256" i="7" s="1"/>
  <c r="U228" i="7"/>
  <c r="U355" i="7"/>
  <c r="U367" i="7"/>
  <c r="U343" i="7"/>
  <c r="U340" i="7"/>
  <c r="U372" i="7"/>
  <c r="U369" i="7"/>
  <c r="M244" i="7"/>
  <c r="U244" i="7" s="1"/>
  <c r="M259" i="7"/>
  <c r="U259" i="7" s="1"/>
  <c r="M260" i="7"/>
  <c r="U260" i="7" s="1"/>
  <c r="M284" i="7"/>
  <c r="U284" i="7" s="1"/>
  <c r="M281" i="7"/>
  <c r="U281" i="7" s="1"/>
  <c r="M276" i="7"/>
  <c r="U276" i="7" s="1"/>
  <c r="M264" i="7"/>
  <c r="U264" i="7" s="1"/>
  <c r="U214" i="7"/>
  <c r="U356" i="7"/>
  <c r="U383" i="7"/>
  <c r="U374" i="7"/>
  <c r="U375" i="7"/>
  <c r="U381" i="7"/>
  <c r="U377" i="7"/>
  <c r="M252" i="7"/>
  <c r="U252" i="7" s="1"/>
  <c r="U235" i="7"/>
  <c r="M239" i="7"/>
  <c r="U239" i="7" s="1"/>
  <c r="M285" i="7"/>
  <c r="U285" i="7" s="1"/>
  <c r="M236" i="7"/>
  <c r="U236" i="7" s="1"/>
  <c r="M278" i="7"/>
  <c r="U278" i="7" s="1"/>
  <c r="M272" i="7"/>
  <c r="U272" i="7" s="1"/>
  <c r="U357" i="7"/>
  <c r="U344" i="7"/>
  <c r="U376" i="7"/>
  <c r="U382" i="7"/>
  <c r="U368" i="7"/>
  <c r="U385" i="7"/>
  <c r="M258" i="7"/>
  <c r="U258" i="7" s="1"/>
  <c r="M240" i="7"/>
  <c r="U240" i="7" s="1"/>
  <c r="M247" i="7"/>
  <c r="U247" i="7" s="1"/>
  <c r="M275" i="7"/>
  <c r="U275" i="7" s="1"/>
  <c r="M261" i="7"/>
  <c r="U261" i="7" s="1"/>
  <c r="M243" i="7"/>
  <c r="U243" i="7" s="1"/>
  <c r="M280" i="7"/>
  <c r="U280" i="7" s="1"/>
  <c r="U379" i="7"/>
  <c r="U345" i="7"/>
  <c r="U348" i="7"/>
  <c r="U360" i="7"/>
  <c r="U342" i="7"/>
  <c r="U370" i="7"/>
  <c r="M241" i="7"/>
  <c r="U241" i="7" s="1"/>
  <c r="M248" i="7"/>
  <c r="U248" i="7" s="1"/>
  <c r="M271" i="7"/>
  <c r="U271" i="7" s="1"/>
  <c r="M265" i="7"/>
  <c r="U265" i="7" s="1"/>
  <c r="M262" i="7"/>
  <c r="U262" i="7" s="1"/>
  <c r="M251" i="7"/>
  <c r="U251" i="7" s="1"/>
  <c r="U351" i="7"/>
  <c r="U337" i="7"/>
  <c r="U362" i="7"/>
  <c r="U349" i="7"/>
  <c r="U359" i="7"/>
  <c r="U350" i="7"/>
  <c r="U378" i="7"/>
  <c r="M249" i="7"/>
  <c r="U249" i="7" s="1"/>
  <c r="M257" i="7"/>
  <c r="U257" i="7" s="1"/>
  <c r="M237" i="7"/>
  <c r="U237" i="7" s="1"/>
  <c r="M282" i="7"/>
  <c r="U282" i="7" s="1"/>
  <c r="M279" i="7"/>
  <c r="U279" i="7" s="1"/>
  <c r="M266" i="7"/>
  <c r="U266" i="7" s="1"/>
  <c r="U354" i="7"/>
  <c r="U346" i="7"/>
  <c r="U352" i="7"/>
  <c r="U380" i="7"/>
  <c r="U361" i="7"/>
  <c r="U358" i="7"/>
  <c r="U386" i="7"/>
  <c r="M238" i="7"/>
  <c r="U238" i="7" s="1"/>
  <c r="M245" i="7"/>
  <c r="U245" i="7" s="1"/>
  <c r="M269" i="7"/>
  <c r="U269" i="7" s="1"/>
  <c r="M283" i="7"/>
  <c r="U283" i="7" s="1"/>
  <c r="M242" i="7"/>
  <c r="U242" i="7" s="1"/>
  <c r="M268" i="7"/>
  <c r="U268" i="7" s="1"/>
  <c r="J59" i="33" l="1"/>
  <c r="J60" i="33"/>
  <c r="AC123" i="42"/>
  <c r="AC122" i="42"/>
  <c r="AC121" i="42"/>
  <c r="AC124" i="42"/>
  <c r="AC129" i="42"/>
  <c r="AC128" i="42"/>
  <c r="AC127" i="42"/>
  <c r="AC126" i="42"/>
  <c r="K34" i="51"/>
  <c r="K10" i="51"/>
  <c r="L11" i="52"/>
  <c r="K33" i="51"/>
  <c r="AB133" i="7"/>
  <c r="K49" i="51" s="1"/>
  <c r="AB235" i="7"/>
  <c r="K48" i="51" s="1"/>
  <c r="AB184" i="7"/>
  <c r="K51" i="51" s="1"/>
  <c r="AB337" i="7"/>
  <c r="K50" i="51" s="1"/>
  <c r="K66" i="33" l="1"/>
  <c r="B271" i="28" s="1"/>
  <c r="K64" i="33"/>
  <c r="B268" i="28" s="1"/>
  <c r="K62" i="33"/>
  <c r="K65" i="33"/>
  <c r="AC31" i="7"/>
  <c r="B269" i="28" l="1"/>
  <c r="B270" i="28"/>
  <c r="B266" i="28"/>
  <c r="B267" i="28"/>
  <c r="G69" i="33" s="1"/>
  <c r="K722" i="7"/>
  <c r="Z722" i="7" s="1"/>
  <c r="K731" i="7"/>
  <c r="Z731" i="7" s="1"/>
  <c r="K709" i="7"/>
  <c r="Z709" i="7" s="1"/>
  <c r="K721" i="7"/>
  <c r="Z721" i="7" s="1"/>
  <c r="K706" i="7"/>
  <c r="Z706" i="7" s="1"/>
  <c r="K703" i="7"/>
  <c r="Z703" i="7" s="1"/>
  <c r="K714" i="7"/>
  <c r="Z714" i="7" s="1"/>
  <c r="K702" i="7"/>
  <c r="Z702" i="7" s="1"/>
  <c r="K700" i="7"/>
  <c r="Z700" i="7" s="1"/>
  <c r="K723" i="7"/>
  <c r="Z723" i="7" s="1"/>
  <c r="K701" i="7"/>
  <c r="Z701" i="7" s="1"/>
  <c r="K738" i="7"/>
  <c r="Z738" i="7" s="1"/>
  <c r="K742" i="7"/>
  <c r="Z742" i="7" s="1"/>
  <c r="K711" i="7"/>
  <c r="Z711" i="7" s="1"/>
  <c r="K725" i="7"/>
  <c r="Z725" i="7" s="1"/>
  <c r="K717" i="7"/>
  <c r="Z717" i="7" s="1"/>
  <c r="K719" i="7"/>
  <c r="Z719" i="7" s="1"/>
  <c r="K744" i="7"/>
  <c r="Z744" i="7" s="1"/>
  <c r="K713" i="7"/>
  <c r="Z713" i="7" s="1"/>
  <c r="K745" i="7"/>
  <c r="Z745" i="7" s="1"/>
  <c r="K743" i="7"/>
  <c r="Z743" i="7" s="1"/>
  <c r="K728" i="7"/>
  <c r="Z728" i="7" s="1"/>
  <c r="K747" i="7"/>
  <c r="Z747" i="7" s="1"/>
  <c r="K739" i="7"/>
  <c r="Z739" i="7" s="1"/>
  <c r="K710" i="7"/>
  <c r="Z710" i="7" s="1"/>
  <c r="K734" i="7"/>
  <c r="Z734" i="7" s="1"/>
  <c r="K716" i="7"/>
  <c r="Z716" i="7" s="1"/>
  <c r="K707" i="7"/>
  <c r="Z707" i="7" s="1"/>
  <c r="K740" i="7"/>
  <c r="Z740" i="7" s="1"/>
  <c r="K737" i="7"/>
  <c r="Z737" i="7" s="1"/>
  <c r="K735" i="7"/>
  <c r="Z735" i="7" s="1"/>
  <c r="K704" i="7"/>
  <c r="Z704" i="7" s="1"/>
  <c r="K698" i="7"/>
  <c r="Z698" i="7" s="1"/>
  <c r="K705" i="7"/>
  <c r="Z705" i="7" s="1"/>
  <c r="K730" i="7"/>
  <c r="Z730" i="7" s="1"/>
  <c r="K732" i="7"/>
  <c r="Z732" i="7" s="1"/>
  <c r="K712" i="7"/>
  <c r="Z712" i="7" s="1"/>
  <c r="K729" i="7"/>
  <c r="Z729" i="7" s="1"/>
  <c r="K697" i="7"/>
  <c r="Z697" i="7" s="1"/>
  <c r="AB697" i="7" s="1"/>
  <c r="AC442" i="7" s="1"/>
  <c r="K726" i="7"/>
  <c r="Z726" i="7" s="1"/>
  <c r="K733" i="7"/>
  <c r="Z733" i="7" s="1"/>
  <c r="K708" i="7"/>
  <c r="Z708" i="7" s="1"/>
  <c r="K727" i="7"/>
  <c r="Z727" i="7" s="1"/>
  <c r="K715" i="7"/>
  <c r="Z715" i="7" s="1"/>
  <c r="K720" i="7"/>
  <c r="Z720" i="7" s="1"/>
  <c r="K746" i="7"/>
  <c r="Z746" i="7" s="1"/>
  <c r="K699" i="7"/>
  <c r="Z699" i="7" s="1"/>
  <c r="K718" i="7"/>
  <c r="Z718" i="7" s="1"/>
  <c r="K736" i="7"/>
  <c r="Z736" i="7" s="1"/>
  <c r="K724" i="7"/>
  <c r="Z724" i="7" s="1"/>
  <c r="K741" i="7"/>
  <c r="Z741" i="7" s="1"/>
  <c r="L49" i="52" l="1"/>
  <c r="K36" i="54" l="1"/>
  <c r="AC91" i="42"/>
  <c r="AC90" i="42"/>
  <c r="AC89" i="42"/>
  <c r="AC88" i="42"/>
  <c r="AC92" i="42"/>
</calcChain>
</file>

<file path=xl/sharedStrings.xml><?xml version="1.0" encoding="utf-8"?>
<sst xmlns="http://schemas.openxmlformats.org/spreadsheetml/2006/main" count="4204" uniqueCount="1927">
  <si>
    <t>Unit</t>
  </si>
  <si>
    <t>MG/Plant</t>
  </si>
  <si>
    <t>From unit Symbol</t>
  </si>
  <si>
    <t>Equals Result</t>
  </si>
  <si>
    <t>To unit Symbol</t>
  </si>
  <si>
    <t>pounds of water lb wt.</t>
  </si>
  <si>
    <t>Output</t>
  </si>
  <si>
    <t>Amount</t>
  </si>
  <si>
    <t>Digester Expansion Volume Calculation</t>
  </si>
  <si>
    <t>Waste feed rate (M)</t>
  </si>
  <si>
    <t>Value/Amount</t>
  </si>
  <si>
    <t>Ib/Day/Plant</t>
  </si>
  <si>
    <t>Energy Generated (BTU/Year)</t>
  </si>
  <si>
    <t>Waste Type</t>
  </si>
  <si>
    <t>BTU/Year</t>
  </si>
  <si>
    <t>MG/Day/Plant</t>
  </si>
  <si>
    <t>Vehicle Category</t>
  </si>
  <si>
    <t>PM10</t>
  </si>
  <si>
    <t>PM2.5</t>
  </si>
  <si>
    <t>SOx</t>
  </si>
  <si>
    <t xml:space="preserve">VOC </t>
  </si>
  <si>
    <t xml:space="preserve">CO </t>
  </si>
  <si>
    <t>Sludge feed rate (M)</t>
  </si>
  <si>
    <t>Sludge feed rate (M) (unit conversion)</t>
  </si>
  <si>
    <t>Type of Cost</t>
  </si>
  <si>
    <t>Size (MG)</t>
  </si>
  <si>
    <t>Material</t>
  </si>
  <si>
    <t>Concrete</t>
  </si>
  <si>
    <t>Category</t>
  </si>
  <si>
    <t>Information About</t>
  </si>
  <si>
    <t>Type of Information</t>
  </si>
  <si>
    <t>Height (ft) values of digesters are on the basis of Side Water Depth (SWD)</t>
  </si>
  <si>
    <t xml:space="preserve"> Digester Height</t>
  </si>
  <si>
    <t>Biogas Yield and C/N Ratio</t>
  </si>
  <si>
    <t>Maximum biogas yields and C/N ratio of various substrates used to calculate amount  of biogas generation possibility from food, yard and sewage sludge</t>
  </si>
  <si>
    <t>Bulk density of food and yard</t>
  </si>
  <si>
    <t xml:space="preserve">On an average each American generates food waste- 248 Ib/year </t>
  </si>
  <si>
    <t>Food waste generation</t>
  </si>
  <si>
    <t xml:space="preserve">MSW generated in 2015 increased to 4.48 pounds per person per day </t>
  </si>
  <si>
    <t>MSW generation</t>
  </si>
  <si>
    <t>Yard trimmings comprised the third largest material category, 
estimated at 34.7 million tons</t>
  </si>
  <si>
    <t xml:space="preserve">Food waste is 15.1% of total and yard waste is 13.2% of total </t>
  </si>
  <si>
    <t>Yard Waste</t>
  </si>
  <si>
    <t>Food and Yard waste %</t>
  </si>
  <si>
    <t>In US 22% of the waste that goes to landfills is food waste and 7.8% is yard waste</t>
  </si>
  <si>
    <t xml:space="preserve">In DFW food waste constitutes 28% of what goes to landfills and yard waste is 3.2% </t>
  </si>
  <si>
    <t>Waste % goes in landfill in USA</t>
  </si>
  <si>
    <t>Waste % goes in landfill in DFW</t>
  </si>
  <si>
    <t>(Hoover, 2017)</t>
  </si>
  <si>
    <t>Food waste as feed</t>
  </si>
  <si>
    <t xml:space="preserve">69% of yard waste is composted with 31% landfilled </t>
  </si>
  <si>
    <t>US Environmental Protection Agency (EPA)</t>
  </si>
  <si>
    <t>Composting %</t>
  </si>
  <si>
    <t>Unit Conversion</t>
  </si>
  <si>
    <t>Meter</t>
  </si>
  <si>
    <t>British Thermal Unit (BTU)</t>
  </si>
  <si>
    <t>Miles</t>
  </si>
  <si>
    <t xml:space="preserve">1 Gallon </t>
  </si>
  <si>
    <t>1 million gallon [US, liquid]</t>
  </si>
  <si>
    <t>1 Million Gallon</t>
  </si>
  <si>
    <t>1 US gallon of water gal</t>
  </si>
  <si>
    <t xml:space="preserve">1 US ton  </t>
  </si>
  <si>
    <t>Pounds (lb)</t>
  </si>
  <si>
    <t>*All the default values are either found from literature or from several treatment facility. So it will vary in real world</t>
  </si>
  <si>
    <t>Color Coding of Cells</t>
  </si>
  <si>
    <t>Default Cell</t>
  </si>
  <si>
    <t>Color</t>
  </si>
  <si>
    <t>User Instruction</t>
  </si>
  <si>
    <t>Mass of food waste as feed to hungry people (Ib waste/year)</t>
  </si>
  <si>
    <t>Mass of food waste available for fuel generation 
(Ib waste/year)</t>
  </si>
  <si>
    <t>Mass of food waste available for fuel generation 
(Ib waste/day)</t>
  </si>
  <si>
    <t>Mass of food waste generated per area
(Ib waste/year)</t>
  </si>
  <si>
    <t>Mass of yard waste per area
(Ib waste/year)</t>
  </si>
  <si>
    <t>Garbage Trucks</t>
  </si>
  <si>
    <r>
      <t>m</t>
    </r>
    <r>
      <rPr>
        <vertAlign val="superscript"/>
        <sz val="11"/>
        <color theme="1"/>
        <rFont val="Calibri"/>
        <family val="2"/>
        <scheme val="minor"/>
      </rPr>
      <t>3</t>
    </r>
    <r>
      <rPr>
        <sz val="11"/>
        <color theme="1"/>
        <rFont val="Calibri"/>
        <family val="2"/>
        <scheme val="minor"/>
      </rPr>
      <t>/Ib</t>
    </r>
  </si>
  <si>
    <t xml:space="preserve"> </t>
  </si>
  <si>
    <r>
      <t>CH</t>
    </r>
    <r>
      <rPr>
        <b/>
        <vertAlign val="subscript"/>
        <sz val="11"/>
        <color theme="1"/>
        <rFont val="Calibri"/>
        <family val="2"/>
        <scheme val="minor"/>
      </rPr>
      <t>4</t>
    </r>
  </si>
  <si>
    <r>
      <t>CO</t>
    </r>
    <r>
      <rPr>
        <b/>
        <vertAlign val="subscript"/>
        <sz val="11"/>
        <color theme="1"/>
        <rFont val="Calibri"/>
        <family val="2"/>
        <scheme val="minor"/>
      </rPr>
      <t>2</t>
    </r>
  </si>
  <si>
    <r>
      <t>N</t>
    </r>
    <r>
      <rPr>
        <b/>
        <vertAlign val="subscript"/>
        <sz val="11"/>
        <color theme="1"/>
        <rFont val="Calibri"/>
        <family val="2"/>
        <scheme val="minor"/>
      </rPr>
      <t>2</t>
    </r>
    <r>
      <rPr>
        <b/>
        <sz val="11"/>
        <color theme="1"/>
        <rFont val="Calibri"/>
        <family val="2"/>
        <scheme val="minor"/>
      </rPr>
      <t>O</t>
    </r>
  </si>
  <si>
    <t xml:space="preserve">NOx </t>
  </si>
  <si>
    <t>Volume of food waste available for fuel generation (MGD/Plant)</t>
  </si>
  <si>
    <t>Volume of food waste available for fuel generation  (MGD/Plant)</t>
  </si>
  <si>
    <r>
      <t>Volume of yard waste available for fuel generation (yd</t>
    </r>
    <r>
      <rPr>
        <b/>
        <vertAlign val="superscript"/>
        <sz val="12"/>
        <color theme="1"/>
        <rFont val="Calibri"/>
        <family val="2"/>
        <scheme val="minor"/>
      </rPr>
      <t>3</t>
    </r>
    <r>
      <rPr>
        <b/>
        <sz val="12"/>
        <color theme="1"/>
        <rFont val="Calibri"/>
        <family val="2"/>
        <scheme val="minor"/>
      </rPr>
      <t>/day)</t>
    </r>
  </si>
  <si>
    <t>Mass of yard waste available for fuel generation 
(Ib waste/day)</t>
  </si>
  <si>
    <t>No of EV Garbage Truck fueling possible</t>
  </si>
  <si>
    <t>Several Wastewater Treatment Plants in USA</t>
  </si>
  <si>
    <t>Hyperlinks</t>
  </si>
  <si>
    <t>Reference</t>
  </si>
  <si>
    <t>BIBLIOGRAPHY</t>
  </si>
  <si>
    <t xml:space="preserve">Emission of each pollutant from each type of vehicle (kg/year) </t>
  </si>
  <si>
    <t>Garbage Truck (Electric)</t>
  </si>
  <si>
    <t>Emission of pollutants from vehicles 
running by Gasoline and Diesel</t>
  </si>
  <si>
    <t>Diesel</t>
  </si>
  <si>
    <t>Electric</t>
  </si>
  <si>
    <t>N/A</t>
  </si>
  <si>
    <t>Energy for compression consumes 2% of the gas energy</t>
  </si>
  <si>
    <r>
      <t>US Department of Energy, Energy Efficiency &amp; Renewable Energy, </t>
    </r>
    <r>
      <rPr>
        <b/>
        <sz val="11"/>
        <color rgb="FF201F1E"/>
        <rFont val="Calibri"/>
        <family val="2"/>
        <scheme val="minor"/>
      </rPr>
      <t>2015</t>
    </r>
    <r>
      <rPr>
        <sz val="11"/>
        <color rgb="FF201F1E"/>
        <rFont val="Calibri"/>
        <family val="2"/>
        <scheme val="minor"/>
      </rPr>
      <t>.
 “Using Natural Gas for Vehicles: Comparing Three Technologies,” DOE/GO-102015-4685).</t>
    </r>
  </si>
  <si>
    <t>Compression Cost</t>
  </si>
  <si>
    <t>Cleaning Cost for Gas</t>
  </si>
  <si>
    <t>https://cleanleap.com/6-biogas/61-capital-costs-biogas</t>
  </si>
  <si>
    <t>Users Must Input Cell</t>
  </si>
  <si>
    <t>Vehicle Miles Traveled (Miles/Year)</t>
  </si>
  <si>
    <t>Garbage Truck (Diesel)</t>
  </si>
  <si>
    <t xml:space="preserve">About 2/3 of food waste is edible and could be used to feed hungry people </t>
  </si>
  <si>
    <r>
      <t>For small-scale biogas systems (biogas throughputs of 500 m</t>
    </r>
    <r>
      <rPr>
        <vertAlign val="superscript"/>
        <sz val="11"/>
        <color theme="1"/>
        <rFont val="Calibri"/>
        <family val="2"/>
        <scheme val="minor"/>
      </rPr>
      <t>3</t>
    </r>
    <r>
      <rPr>
        <sz val="11"/>
        <color theme="1"/>
        <rFont val="Calibri"/>
        <family val="2"/>
        <scheme val="minor"/>
      </rPr>
      <t>/hour or less), gas cleaning/upgrading runs 37%-47% of total installed costs. 
For large-scale systems (biogas throughputs ot 1 000-2 000 Nm</t>
    </r>
    <r>
      <rPr>
        <vertAlign val="superscript"/>
        <sz val="11"/>
        <color theme="1"/>
        <rFont val="Calibri"/>
        <family val="2"/>
        <scheme val="minor"/>
      </rPr>
      <t>3</t>
    </r>
    <r>
      <rPr>
        <sz val="11"/>
        <color theme="1"/>
        <rFont val="Calibri"/>
        <family val="2"/>
        <scheme val="minor"/>
      </rPr>
      <t>/hour), gas cleaning/upgrading drops to 27-30% of total installed costs</t>
    </r>
  </si>
  <si>
    <t>On an average 30 to 47%; So 38.5% or 0.385 used</t>
  </si>
  <si>
    <t>Metcalf &amp; Eddy, Inc. Wastewater Engineering: Treatment and Reuse. Fourth Edition, revised by George Tchobanoglous, Franklin L. Burton, and H. David Stensel. McGraw Hill, 2004. National Academy of Sciences (NAS). Methane Generation from Human, Animal, and Agricultural Wastes. 1977. Office of the Leading Group for the Popularisation of Biogas (OLGPB) in Sichuan Province, Peoples’ Republic of China. A Chinese Biogas Manual. 1978.</t>
  </si>
  <si>
    <r>
      <t>Urban W., et al. </t>
    </r>
    <r>
      <rPr>
        <b/>
        <sz val="11"/>
        <color rgb="FF000000"/>
        <rFont val="Calibri"/>
        <family val="2"/>
        <scheme val="minor"/>
      </rPr>
      <t>2009</t>
    </r>
    <r>
      <rPr>
        <sz val="11"/>
        <color rgb="FF000000"/>
        <rFont val="Calibri"/>
        <family val="2"/>
        <scheme val="minor"/>
      </rPr>
      <t>. Technologien und Kosten der Biogasaufbereitung 
und Einspeisung in das Erdgasnetz Ergebnisse der Markterhebung 2007-2008, Fraunhofer UMSICHT, Oberhausen.
Bauer F., et al. 2013. Biogas upgrading – Review of commercial technologies, Svenskt Gastekniskt Center AB, Malmö.</t>
    </r>
  </si>
  <si>
    <t>US Environmental Protection Agency (EPA, 2018)</t>
  </si>
  <si>
    <t>https://www.epa.gov/sites/production/files/2018-07/documents/2015_smm_msw_factsheet_07242018_fnl_508_002.pdf</t>
  </si>
  <si>
    <t>US Environmental Protection Agency  (US EPA, 2018)</t>
  </si>
  <si>
    <t>North Central Texas Council of Governments (NCTCOG, 2019)</t>
  </si>
  <si>
    <t>North Central Texas Council of Governments (NCTCOG) (2019). Presentation on Waste Characterization Survey, Resource Conservation Council Meeting, February 2019.</t>
  </si>
  <si>
    <t xml:space="preserve">U.S. Environmental Protection Agency (2018). “Advancing Sustainable Materials Management: 2015 Fact Sheet.” </t>
  </si>
  <si>
    <t xml:space="preserve">Hoover, D. (2017). “Estimating quantities and types of food waste at the city level.” Natural Resources Defense Council.  </t>
  </si>
  <si>
    <t>https://www.nrdc.org/sites/default/files/food-waste-city-level-report.pdf</t>
  </si>
  <si>
    <t>Capacity (KWh/yr)</t>
  </si>
  <si>
    <t>Landfill Methane Outreach Program by US EPA (2013)</t>
  </si>
  <si>
    <t>Cost for converting to electricity</t>
  </si>
  <si>
    <t xml:space="preserve">All the cost associted with the conversion </t>
  </si>
  <si>
    <t>1. Cost of New Garbage Truck</t>
  </si>
  <si>
    <t>Fuel Type</t>
  </si>
  <si>
    <t>Cost ($)</t>
  </si>
  <si>
    <t>1. Cost of a New AD</t>
  </si>
  <si>
    <t>Standard Reciprocating Engine-Generator set
(Installed cost of gas compression/treatment,
engine/generator,site work and housing)</t>
  </si>
  <si>
    <t>Capacity (KW)</t>
  </si>
  <si>
    <t>Capital cost involved to build a new AD</t>
  </si>
  <si>
    <t>https://money.cnn.com/2016/02/24/news/economy/trash-
workers-high-pay/</t>
  </si>
  <si>
    <t>Garbage Truck Drivers salary</t>
  </si>
  <si>
    <t>Nationwide, the annual salary for a garbage truck driver is $40,000,
 according to the Labor Department</t>
  </si>
  <si>
    <t>Garbage Truck Helper Salary</t>
  </si>
  <si>
    <t>https://www.ziprecruiter.com/Salaries/Garbage-Truck-Helper-Salary</t>
  </si>
  <si>
    <t>Nationwide, the annual salary for a garbage truck helper is $28,728
 according to the Labor Department</t>
  </si>
  <si>
    <t>Standard Turbine-Generator Set
(Installed cost of gas compression/treatment,
turbine/generator, site work and housing)</t>
  </si>
  <si>
    <t>O &amp; M Cost for 50 years</t>
  </si>
  <si>
    <t>Present worth calculation for 2% interest rate and 50 years in every O &amp; M Cost calculation</t>
  </si>
  <si>
    <t>P=A(P/A, i%,n)
Where, P is Present worth of a uniform annual series of costs
A is the Annual amount of O and M cost
i% is the interest rate (2%)
n is the years to consider (50 years)
(P/A, i%, n) is the uniform series present worth factor (31.4236)</t>
  </si>
  <si>
    <t xml:space="preserve">Fraction of food waste available for fuel generation </t>
  </si>
  <si>
    <t>Pacific (AK, AZ, CA, HI, ID, OR, WA)</t>
  </si>
  <si>
    <t>Midwest (IL, IN, IA, KS, MI, MN, MO, NE, OH, WI)</t>
  </si>
  <si>
    <t>Northeast (CT, DE, ME, MD, MA, NH, NJ, NY, PA, RI, VT, VA, WV)</t>
  </si>
  <si>
    <t>Mountains/Plains (CO, MT, ND, SD, UT, WY)</t>
  </si>
  <si>
    <t>Southeast (AL, FL, GA, KY, MS, NC, SC, TN)</t>
  </si>
  <si>
    <t>South Central (AR, LA, NM, OK, TX)</t>
  </si>
  <si>
    <t>Total cost ($/year) saved 
in terms of space saved in Landfill</t>
  </si>
  <si>
    <t>Food Waste
 (Ton/year)</t>
  </si>
  <si>
    <t>Yard Waste 
(Ton/year)</t>
  </si>
  <si>
    <t>Tipping Fee
 ($/ton)</t>
  </si>
  <si>
    <t>Area 
(States)</t>
  </si>
  <si>
    <t>Avg. Fuel Economy 
(MPDGE-Garbage Truck)
(MPGGE- All Other)</t>
  </si>
  <si>
    <t>EV</t>
  </si>
  <si>
    <t>Cost of fuel 
($/Fuel unit)</t>
  </si>
  <si>
    <t>Light Commercial Truck</t>
  </si>
  <si>
    <t>Passenger Car</t>
  </si>
  <si>
    <t>Gasoline</t>
  </si>
  <si>
    <t>Passenger Trucks</t>
  </si>
  <si>
    <t>Fleet Information</t>
  </si>
  <si>
    <t>AFLEET Tool</t>
  </si>
  <si>
    <t>https://afleet-web.es.anl.gov/afleet/</t>
  </si>
  <si>
    <t>AFLEET Tool, Energy Systems, AARGON National Laboratory</t>
  </si>
  <si>
    <t xml:space="preserve">Vehicle Fuel </t>
  </si>
  <si>
    <t>Fuel Unit</t>
  </si>
  <si>
    <t>Gallon</t>
  </si>
  <si>
    <t>Kwh</t>
  </si>
  <si>
    <t>GGE</t>
  </si>
  <si>
    <t>EV Passenger car can travel (Miles/Year)</t>
  </si>
  <si>
    <t xml:space="preserve"> EV Light Commercial Truck can travel (Miles/year)</t>
  </si>
  <si>
    <t>1a</t>
  </si>
  <si>
    <t>1b</t>
  </si>
  <si>
    <t>1c</t>
  </si>
  <si>
    <t>3a</t>
  </si>
  <si>
    <t>3b</t>
  </si>
  <si>
    <t>3c</t>
  </si>
  <si>
    <t>4a</t>
  </si>
  <si>
    <t>4b</t>
  </si>
  <si>
    <t>4c</t>
  </si>
  <si>
    <t>Type of Vehicle</t>
  </si>
  <si>
    <t>Year</t>
  </si>
  <si>
    <t>For 50 Year 
($)</t>
  </si>
  <si>
    <t>2a</t>
  </si>
  <si>
    <t>2b</t>
  </si>
  <si>
    <t>2c</t>
  </si>
  <si>
    <t>3d</t>
  </si>
  <si>
    <t>4d</t>
  </si>
  <si>
    <r>
      <t>Volume of food waste available for fuel generation (yd</t>
    </r>
    <r>
      <rPr>
        <b/>
        <vertAlign val="superscript"/>
        <sz val="12"/>
        <color theme="1"/>
        <rFont val="Calibri"/>
        <family val="2"/>
        <scheme val="minor"/>
      </rPr>
      <t>3</t>
    </r>
    <r>
      <rPr>
        <b/>
        <sz val="12"/>
        <color theme="1"/>
        <rFont val="Calibri"/>
        <family val="2"/>
        <scheme val="minor"/>
      </rPr>
      <t>/day)</t>
    </r>
  </si>
  <si>
    <t>RIN Information</t>
  </si>
  <si>
    <t>Renewable Identification Number (RIN)</t>
  </si>
  <si>
    <t>RIN calculation done in RIN calculator by American Biogas Council</t>
  </si>
  <si>
    <t>https://americanbiogascouncil.org/resources/rin-calculator/#gf_3</t>
  </si>
  <si>
    <t>RIN Calculator, American Biogas Council</t>
  </si>
  <si>
    <t>Social Cost of Carbon</t>
  </si>
  <si>
    <t>Calculating social cost of carbon per year</t>
  </si>
  <si>
    <t>Average lifetime of Fleets</t>
  </si>
  <si>
    <t>Average age of several vehicles</t>
  </si>
  <si>
    <t>The average age of light vehicles in operation (VIO) in the U.S. has risen again this year to 11.8 years, according to new research from business information provider IHS Markit (NASDAQ: INFO).
Heavy Trucks (Waste and Recycle): These vehicles have a gross vehicle weight (GVW) of at least 33,000 lbs. and a load carrying capacity of five tons. The average useful life range is from 10 to 12 years.</t>
  </si>
  <si>
    <t>https://www.energy.gov/eere/vehicles/articles/fotw-1095-august-19-2019-average-age-light-duty-vehicles-has-increased-118
(https://www.usf.edu/administrative-services/documents/asbc-resources-field-equipment-replacement.pdf)</t>
  </si>
  <si>
    <r>
      <t xml:space="preserve">Average Lifespan (Years)
</t>
    </r>
    <r>
      <rPr>
        <b/>
        <sz val="11"/>
        <color theme="5" tint="-0.499984740745262"/>
        <rFont val="Calibri"/>
        <family val="2"/>
        <scheme val="minor"/>
      </rPr>
      <t>(Ref: US DOE, USF)</t>
    </r>
  </si>
  <si>
    <t>Miles travelled per vehicle per year (Avg.)</t>
  </si>
  <si>
    <t xml:space="preserve">Type of Vehicle </t>
  </si>
  <si>
    <t>Name of Grinder</t>
  </si>
  <si>
    <t>Mobark 6600 Grinder</t>
  </si>
  <si>
    <t>Cost considering 50 Year ($)</t>
  </si>
  <si>
    <t>National Average Tipping Fee</t>
  </si>
  <si>
    <t>By considering 50 years
 with 2% interest rate ($)</t>
  </si>
  <si>
    <t>FOTW #1095, August 19, 2019: The Average Age of Light-Duty Vehicles Has Increased to 11.8 Years,  Office of energy efficiency and renewable energy, AUGUST 19, 2019,ENERGY.GOV, An office of US DOE
Vehicle Average Replacement Schedule, USF</t>
  </si>
  <si>
    <t>LFG Revenue</t>
  </si>
  <si>
    <t>LFGcost Web Model (Version 3.2), Landfill Methane Outreach Program by US EPA, May 2017,
Resources for Funding Landfill Gas Energy Projects.</t>
  </si>
  <si>
    <t>https://www.epa.gov/lmop/lfgcost-web-landfill-gas-energy-cost-model</t>
  </si>
  <si>
    <r>
      <t>Amount of CO</t>
    </r>
    <r>
      <rPr>
        <b/>
        <vertAlign val="subscript"/>
        <sz val="11"/>
        <color theme="1"/>
        <rFont val="Calibri"/>
        <family val="2"/>
        <scheme val="minor"/>
      </rPr>
      <t>2</t>
    </r>
    <r>
      <rPr>
        <b/>
        <sz val="11"/>
        <color theme="1"/>
        <rFont val="Calibri"/>
        <family val="2"/>
        <scheme val="minor"/>
      </rPr>
      <t xml:space="preserve"> Reduction from alternate fuel vehicle
 (kg/Year)</t>
    </r>
  </si>
  <si>
    <r>
      <t>Amount of CO</t>
    </r>
    <r>
      <rPr>
        <b/>
        <vertAlign val="subscript"/>
        <sz val="11"/>
        <color theme="1"/>
        <rFont val="Calibri"/>
        <family val="2"/>
        <scheme val="minor"/>
      </rPr>
      <t>2</t>
    </r>
    <r>
      <rPr>
        <b/>
        <sz val="11"/>
        <color theme="1"/>
        <rFont val="Calibri"/>
        <family val="2"/>
        <scheme val="minor"/>
      </rPr>
      <t xml:space="preserve"> 
equivalent reduction resulting
from CH</t>
    </r>
    <r>
      <rPr>
        <b/>
        <vertAlign val="subscript"/>
        <sz val="11"/>
        <color theme="1"/>
        <rFont val="Calibri"/>
        <family val="2"/>
        <scheme val="minor"/>
      </rPr>
      <t>4</t>
    </r>
    <r>
      <rPr>
        <b/>
        <sz val="11"/>
        <color theme="1"/>
        <rFont val="Calibri"/>
        <family val="2"/>
        <scheme val="minor"/>
      </rPr>
      <t xml:space="preserve"> (kg/Year)</t>
    </r>
  </si>
  <si>
    <r>
      <t>Amount of CO</t>
    </r>
    <r>
      <rPr>
        <b/>
        <vertAlign val="subscript"/>
        <sz val="11"/>
        <color theme="1"/>
        <rFont val="Calibri"/>
        <family val="2"/>
        <scheme val="minor"/>
      </rPr>
      <t>2</t>
    </r>
    <r>
      <rPr>
        <b/>
        <sz val="11"/>
        <color theme="1"/>
        <rFont val="Calibri"/>
        <family val="2"/>
        <scheme val="minor"/>
      </rPr>
      <t xml:space="preserve"> 
equivalent reduction resulting 
from N</t>
    </r>
    <r>
      <rPr>
        <b/>
        <vertAlign val="subscript"/>
        <sz val="11"/>
        <color theme="1"/>
        <rFont val="Calibri"/>
        <family val="2"/>
        <scheme val="minor"/>
      </rPr>
      <t>2</t>
    </r>
    <r>
      <rPr>
        <b/>
        <sz val="11"/>
        <color theme="1"/>
        <rFont val="Calibri"/>
        <family val="2"/>
        <scheme val="minor"/>
      </rPr>
      <t>O (kg/Year)</t>
    </r>
  </si>
  <si>
    <r>
      <t>Amount of CO</t>
    </r>
    <r>
      <rPr>
        <b/>
        <vertAlign val="subscript"/>
        <sz val="11"/>
        <color theme="1"/>
        <rFont val="Calibri"/>
        <family val="2"/>
        <scheme val="minor"/>
      </rPr>
      <t>2</t>
    </r>
    <r>
      <rPr>
        <b/>
        <sz val="11"/>
        <color theme="1"/>
        <rFont val="Calibri"/>
        <family val="2"/>
        <scheme val="minor"/>
      </rPr>
      <t>-Equivalents Reduced
(Metric Ton/Year)</t>
    </r>
  </si>
  <si>
    <t>Day</t>
  </si>
  <si>
    <t>1 GGE</t>
  </si>
  <si>
    <t xml:space="preserve"> BTU/US gal</t>
  </si>
  <si>
    <t>1 DGE</t>
  </si>
  <si>
    <t>1 BTU</t>
  </si>
  <si>
    <t>For Gasoline using vehicle: 115,000 BTU/gal of gasoline * 0.000293 kWh/BTU = 33.7 
For diesel using vehicle: 139,000 BTU/gal of diesel * 0.000293 kWh/BTU = 40.7</t>
  </si>
  <si>
    <t>Fleets energy use</t>
  </si>
  <si>
    <t>https://www.google.com/search?q=gallon+of+disel+equals+how+many+btu&amp;rlz=1C1CHBF_enUS862US862&amp;oq=gallon+of+disel+equals+how+many+btu&amp;aqs=chrome..69i57j33l3.11696j0j7&amp;sourceid=chrome&amp;ie=UTF-8</t>
  </si>
  <si>
    <t>https://www.google.com/search?rlz=1C1CHBF_enUS862US862&amp;sxsrf=ACYBGNQnGRcgfjtgJGUtlQOkxQgr7Sfzyw%3A1575410989478&amp;ei=Ld3mXYnXHMaQsAW5wZbYCQ&amp;q=btu+to+kwh&amp;oq=btu+to+kwh&amp;gs_l=psy-ab.3..0i131i273j0l2j0i333l2.359309.362717..363111...1.1..0.93.566.10......0....1..gws-wiz.....10..0i71j35i362i39j35i39j0i273j0i131j0i67j0i131i67.Mveey-bMxjI&amp;ved=0ahUKEwjJoZyjv5rmAhVGCKwKHbmgBZsQ4dUDCAs&amp;uact=5</t>
  </si>
  <si>
    <t>2d</t>
  </si>
  <si>
    <t>Total Cost
(2019 $)</t>
  </si>
  <si>
    <t>O &amp; M Cost 
(For 50 years starting in 2019 with 2% annual interest) ($)</t>
  </si>
  <si>
    <t>Cost considering 50 Years (replacement every 5 years) ($)</t>
  </si>
  <si>
    <t>No. of EV Light Commercial Trucks fueling possible</t>
  </si>
  <si>
    <t>Amount of PM10 Reduction from alternate fuel vehicle
 (kg/Year)</t>
  </si>
  <si>
    <t>Amount of PM2.5 Reduction from alternate fuel vehicle
 (kg/Year)</t>
  </si>
  <si>
    <t>Amount of NOx Reduction from alternate fuel vehicle
 (kg/Year)</t>
  </si>
  <si>
    <t>Amount of VOC Reduction from alternate fuel vehicle
 (kg/Year)</t>
  </si>
  <si>
    <r>
      <t>Specification 
(yd</t>
    </r>
    <r>
      <rPr>
        <b/>
        <vertAlign val="superscript"/>
        <sz val="11"/>
        <color theme="1"/>
        <rFont val="Calibri"/>
        <family val="2"/>
        <scheme val="minor"/>
      </rPr>
      <t>3</t>
    </r>
    <r>
      <rPr>
        <b/>
        <sz val="11"/>
        <color theme="1"/>
        <rFont val="Calibri"/>
        <family val="2"/>
        <scheme val="minor"/>
      </rPr>
      <t>)</t>
    </r>
  </si>
  <si>
    <t>Additional Cost
($)</t>
  </si>
  <si>
    <t>Notes</t>
  </si>
  <si>
    <t>Additional cost of electric over diesel vehicles</t>
  </si>
  <si>
    <t>AD Capital cost</t>
  </si>
  <si>
    <t>Single Stream Garbage Truck (Electric)</t>
  </si>
  <si>
    <t>Single Stream Garbage Truck (Diesel)</t>
  </si>
  <si>
    <t>Passenger Car 1 (Gas)</t>
  </si>
  <si>
    <t>Passenger Car 2 (Diesel)</t>
  </si>
  <si>
    <t>Passenger Car 3 (Electric)</t>
  </si>
  <si>
    <t>Light Commercial Truck 1 (Gas)</t>
  </si>
  <si>
    <t>Light Commercial Truck 2 (Diesel)</t>
  </si>
  <si>
    <t>Light Commercial Truck 4 (Electric)</t>
  </si>
  <si>
    <t>EV Garbage truck can travel (Miles/year)</t>
  </si>
  <si>
    <t>EV Passenger Truck can travel (Miles/year)</t>
  </si>
  <si>
    <t>Food Waste</t>
  </si>
  <si>
    <t>Sewage Sludge</t>
  </si>
  <si>
    <t>Milage of Different Type of Vehicle</t>
  </si>
  <si>
    <t>No of EV Passenger cars fueling possible</t>
  </si>
  <si>
    <t>No of EV Passenger Trucks fueling possible</t>
  </si>
  <si>
    <t>No of Different Vehicle fueling possible</t>
  </si>
  <si>
    <t>1d</t>
  </si>
  <si>
    <t>1e</t>
  </si>
  <si>
    <t>1f</t>
  </si>
  <si>
    <t>1g</t>
  </si>
  <si>
    <t>1h</t>
  </si>
  <si>
    <t>2e</t>
  </si>
  <si>
    <t>2f</t>
  </si>
  <si>
    <t>2g</t>
  </si>
  <si>
    <t>2h</t>
  </si>
  <si>
    <t>Additional Necessary Costs (Considering 50 Years of Operation)</t>
  </si>
  <si>
    <t>Total Cost ($)</t>
  </si>
  <si>
    <t>Passenger car fuel savings (Gasoline)</t>
  </si>
  <si>
    <t>Passenger trucks fuel savings (Gasoline)</t>
  </si>
  <si>
    <t>Light commercial trucks fuel savings (Gasoline)</t>
  </si>
  <si>
    <t>Passenger car fuel savings (Diesel)</t>
  </si>
  <si>
    <t>Garbage truck fuel savings (Diesel)</t>
  </si>
  <si>
    <t>Passenger truck fuel savings (Diesel)</t>
  </si>
  <si>
    <t>Light commercial truck fuel savings (Diesel)</t>
  </si>
  <si>
    <t>Benefit Associated with 
($/year)</t>
  </si>
  <si>
    <t>Benefits</t>
  </si>
  <si>
    <t>NOx Reduction Social Benefit
in $/Year</t>
  </si>
  <si>
    <r>
      <t>Social Benefit of CO</t>
    </r>
    <r>
      <rPr>
        <b/>
        <vertAlign val="subscript"/>
        <sz val="11"/>
        <color theme="1"/>
        <rFont val="Calibri"/>
        <family val="2"/>
        <scheme val="minor"/>
      </rPr>
      <t>2</t>
    </r>
    <r>
      <rPr>
        <b/>
        <sz val="11"/>
        <color theme="1"/>
        <rFont val="Calibri"/>
        <family val="2"/>
        <scheme val="minor"/>
      </rPr>
      <t xml:space="preserve"> for 2.5% discount rate (in 2007 $ per metric ton CO</t>
    </r>
    <r>
      <rPr>
        <b/>
        <vertAlign val="subscript"/>
        <sz val="11"/>
        <color theme="1"/>
        <rFont val="Calibri"/>
        <family val="2"/>
        <scheme val="minor"/>
      </rPr>
      <t>2</t>
    </r>
    <r>
      <rPr>
        <b/>
        <sz val="11"/>
        <color theme="1"/>
        <rFont val="Calibri"/>
        <family val="2"/>
        <scheme val="minor"/>
      </rPr>
      <t>)</t>
    </r>
  </si>
  <si>
    <t>Social Benefit of NOx as per EU28 (€2015/kg emission) with VAT  
(converted to dollars)</t>
  </si>
  <si>
    <t>Social Benefit of VOC as per EU28 (€2015/kg emission) with VAT 
(converted to dollars)</t>
  </si>
  <si>
    <r>
      <t>CO</t>
    </r>
    <r>
      <rPr>
        <b/>
        <vertAlign val="subscript"/>
        <sz val="11"/>
        <color theme="1"/>
        <rFont val="Calibri"/>
        <family val="2"/>
        <scheme val="minor"/>
      </rPr>
      <t>2</t>
    </r>
    <r>
      <rPr>
        <b/>
        <sz val="11"/>
        <color theme="1"/>
        <rFont val="Calibri"/>
        <family val="2"/>
        <scheme val="minor"/>
      </rPr>
      <t>-Eq. Reduction Social Benefit
in $/Year</t>
    </r>
  </si>
  <si>
    <t>PM10 Reduction Social Benefit
in $/Year</t>
  </si>
  <si>
    <r>
      <t>SO</t>
    </r>
    <r>
      <rPr>
        <b/>
        <vertAlign val="subscript"/>
        <sz val="11"/>
        <color theme="1"/>
        <rFont val="Calibri"/>
        <family val="2"/>
        <scheme val="minor"/>
      </rPr>
      <t>2</t>
    </r>
    <r>
      <rPr>
        <b/>
        <sz val="11"/>
        <color theme="1"/>
        <rFont val="Calibri"/>
        <family val="2"/>
        <scheme val="minor"/>
      </rPr>
      <t xml:space="preserve"> Reduction Social Benefit
in $/Year</t>
    </r>
  </si>
  <si>
    <t>VOC Reduction Social Benefit
in $/Year</t>
  </si>
  <si>
    <t xml:space="preserve"> Outputs</t>
  </si>
  <si>
    <r>
      <t xml:space="preserve">Collier, C.A.; Ledbetter, W.B. </t>
    </r>
    <r>
      <rPr>
        <i/>
        <sz val="11"/>
        <color theme="1"/>
        <rFont val="Calibri"/>
        <family val="2"/>
        <scheme val="minor"/>
      </rPr>
      <t>Engineering Cost Analysis</t>
    </r>
    <r>
      <rPr>
        <sz val="11"/>
        <color theme="1"/>
        <rFont val="Calibri"/>
        <family val="2"/>
        <scheme val="minor"/>
      </rPr>
      <t>, Harper &amp; Row Publishers, 1982.</t>
    </r>
  </si>
  <si>
    <t>Optional: Cells user can input if they want</t>
  </si>
  <si>
    <t>INPUT VALUES for Waste Mass</t>
  </si>
  <si>
    <t>Population Per Area, Millions</t>
  </si>
  <si>
    <t>EV Passenger Car</t>
  </si>
  <si>
    <t>EV Garbage Truck</t>
  </si>
  <si>
    <t>Type</t>
  </si>
  <si>
    <t>Amount of CO Reduction from alternate fuel vehicle
 (kg/Year)</t>
  </si>
  <si>
    <t>Social Benefit of CO as per EU28 (€2015/kg emission) with VAT 
(converted to dollars)</t>
  </si>
  <si>
    <t>4. Numbers in parentheses are negative costs, or benefits, e.g. ($100) is $100 worth of benefits.</t>
  </si>
  <si>
    <t xml:space="preserve">3. Each and every cost has been calculated considering 50 years lifetime. </t>
  </si>
  <si>
    <r>
      <t xml:space="preserve">Mass of food waste 
produced per person per year
(Ib waste/Year)
</t>
    </r>
    <r>
      <rPr>
        <b/>
        <sz val="12"/>
        <color rgb="FF7030A0"/>
        <rFont val="Calibri"/>
        <family val="2"/>
        <scheme val="minor"/>
      </rPr>
      <t>(Ref: US EPA, 2018)</t>
    </r>
  </si>
  <si>
    <r>
      <t xml:space="preserve">Population per area
(Millions)
</t>
    </r>
    <r>
      <rPr>
        <b/>
        <sz val="12"/>
        <color rgb="FF7030A0"/>
        <rFont val="Calibri"/>
        <family val="2"/>
        <scheme val="minor"/>
      </rPr>
      <t>(Ref: US Census Data)</t>
    </r>
  </si>
  <si>
    <r>
      <t xml:space="preserve">Fraction of food waste as feed to hungry people 
</t>
    </r>
    <r>
      <rPr>
        <b/>
        <sz val="12"/>
        <color rgb="FF7030A0"/>
        <rFont val="Calibri"/>
        <family val="2"/>
        <scheme val="minor"/>
      </rPr>
      <t>(Ref: Hoover, 2017)</t>
    </r>
  </si>
  <si>
    <r>
      <t xml:space="preserve">Mass of yard waste 
produced per person per year
(Ib waste/Year)
</t>
    </r>
    <r>
      <rPr>
        <b/>
        <sz val="12"/>
        <color rgb="FF7030A0"/>
        <rFont val="Calibri"/>
        <family val="2"/>
        <scheme val="minor"/>
      </rPr>
      <t>(Ref: US EPA)</t>
    </r>
  </si>
  <si>
    <r>
      <t xml:space="preserve">Fraction of yard waste that goes to landfill
</t>
    </r>
    <r>
      <rPr>
        <b/>
        <sz val="12"/>
        <color rgb="FF7030A0"/>
        <rFont val="Calibri"/>
        <family val="2"/>
        <scheme val="minor"/>
      </rPr>
      <t>(Ref: US EPA)</t>
    </r>
  </si>
  <si>
    <r>
      <t xml:space="preserve">Cost considering
 lifespan ($)
(For  around 50 years from 2019 at 2% interest rate, 13-year replacement  interval)
</t>
    </r>
    <r>
      <rPr>
        <b/>
        <sz val="11"/>
        <color rgb="FF7030A0"/>
        <rFont val="Calibri"/>
        <family val="2"/>
        <scheme val="minor"/>
      </rPr>
      <t>(Ref: Engineering Economics)</t>
    </r>
  </si>
  <si>
    <t xml:space="preserve">Information received from prfessional AD manufacturer, WWTP survey, Engineering economics etc., </t>
  </si>
  <si>
    <t>Operating Cost considering 50 Years  ($)</t>
  </si>
  <si>
    <t>Energy Cost ($/year)</t>
  </si>
  <si>
    <t>Total heat needed, MMBtus/yr</t>
  </si>
  <si>
    <t>Bulk Density of Food Waste 56 Ib/ft3 (1513.51 Ib/yd3) and yard waste 58 Ib/ft3 (1567.56 Ib/yd3)</t>
  </si>
  <si>
    <t xml:space="preserve">https://www.waste360.com/mag/waste_profiles_garbage_food
</t>
  </si>
  <si>
    <t>1. Waste 360 Website-Food Waste Density
2. BASIC DENSITY OF SPRUCE WOOD, WOOD WITH BARK, AND BARK OF BRANCHES IN LOCATIONS IN THE CZECH REPUBLIC- Yard Waste Density
3. Density Measurement of Grass by Toluene Displacement And Air Comparison Pycnometry-Yard Waste Density</t>
  </si>
  <si>
    <t xml:space="preserve">2. Gryc, V., Horáček, P.,  Šlezingerová, J., Vavrčík, H. 2011. BASIC DENSITY OF SPRUCE WOOD, WOOD WITH BARK, AND BARK OF BRANCHES IN LOCATIONS IN THE CZECH REPUBLIC. WOOD RESEARCH. 56 (1): 2011, 23-32.
3. McNulty, P. B. and Kennedy, S. 1982. Density Measurement of Grass by Toluene Displacement And Air Comparison Pycnometry-Yard Waste Density. Ir. J. agric. Res: 21: 75-83
</t>
  </si>
  <si>
    <t>Operating cost/year 
(Including Mixing, Pumping and Heating)</t>
  </si>
  <si>
    <t>2. Brown cells on the other sheets can be filled in by the users; otherwise, the default values provided can be used.</t>
  </si>
  <si>
    <t>Information Needed for this Model (Quick Checklist)</t>
  </si>
  <si>
    <t xml:space="preserve">4. Average annual outdoor temperature in location of digester in °F. </t>
  </si>
  <si>
    <r>
      <t xml:space="preserve">Individual Costs and Benefits
</t>
    </r>
    <r>
      <rPr>
        <b/>
        <sz val="20"/>
        <color rgb="FFFF0000"/>
        <rFont val="Calibri"/>
        <family val="2"/>
        <scheme val="minor"/>
      </rPr>
      <t>(NO USER INPUT NEEDED)</t>
    </r>
  </si>
  <si>
    <t>Change in Waste Transport Operating Costs for Taking Food/Yard Waste to Digester rather than Landfill</t>
  </si>
  <si>
    <r>
      <t xml:space="preserve">Total Additional Transport Operating Costs
(For 50 years with 2% annual interest) ($)
</t>
    </r>
    <r>
      <rPr>
        <b/>
        <sz val="11"/>
        <color theme="5" tint="-0.499984740745262"/>
        <rFont val="Calibri"/>
        <family val="2"/>
        <scheme val="minor"/>
      </rPr>
      <t>(Ref: Engineering Economics)</t>
    </r>
  </si>
  <si>
    <t>3. Volume of sludge currently treating, MG/Plant.</t>
  </si>
  <si>
    <t>2. Capacity of existing digesters, MG/Plant.</t>
  </si>
  <si>
    <t>2. Cost of Vehicles other than Garbage Truck</t>
  </si>
  <si>
    <t>CO Reduction Social Benefit
in $/Year</t>
  </si>
  <si>
    <t>Total 50-Year Social Benefit
(2019 $)</t>
  </si>
  <si>
    <t>PM2.5 Reduction Social Benefit
in $/Year</t>
  </si>
  <si>
    <t>Social Benefit of PM10 as per EU28 (€2015/kg emission) with VAT
(converted to dollars)</t>
  </si>
  <si>
    <t>Social Benefit of PM2.5 as per EU28 (€2015/kg emission) with VAT  
(converted to dollars)</t>
  </si>
  <si>
    <t>EV Light Commercial Truck</t>
  </si>
  <si>
    <t>https://www.trashtrucksonline.com/category/Cab-and-Chassis/listings/16990/NEW-2018-
Peterbilt-Cab-and-Chassis,-3-Available</t>
  </si>
  <si>
    <t>Typical Natural Gas Garbage Truck</t>
  </si>
  <si>
    <t xml:space="preserve">Typical Natural Gas Garbage Truck Cost </t>
  </si>
  <si>
    <t>https://www.waste360.com/mag/waste_greener_garbage_trucks</t>
  </si>
  <si>
    <t xml:space="preserve">1. Population Per Area (Millions) OR Mass of Food and Yard Waste (lb/year). GIS data for Mass of food waste can be found in EPA food opportunity map website: 
https://www.epa.gov/sustainable-management-food/excess-food-opportunities-map </t>
  </si>
  <si>
    <t>Total Conversion Cost ($)</t>
  </si>
  <si>
    <t xml:space="preserve">Total Transportation Cost ($) </t>
  </si>
  <si>
    <t>1. Users must input their respective values in yellow highlighted cells on the "QUICK OVERVIEW" sheet.</t>
  </si>
  <si>
    <t>VOC</t>
  </si>
  <si>
    <t>PM</t>
  </si>
  <si>
    <t>Total Generated Electricity
(Kwh/year)</t>
  </si>
  <si>
    <t>Table 6; Summary of Major Pollutant Emissions Rates from Landfill-Gas Related Sources</t>
  </si>
  <si>
    <t xml:space="preserve">Chen &amp;Greene, 2003; Is Landfill Gas Green Energy </t>
  </si>
  <si>
    <t>Emissions from LFG during electricity generation</t>
  </si>
  <si>
    <t>Emissions from electricity generation</t>
  </si>
  <si>
    <t>State Electricity Profiles</t>
  </si>
  <si>
    <t>https://www.eia.gov/electricity/state/unitedstates/</t>
  </si>
  <si>
    <t>REC Information</t>
  </si>
  <si>
    <t>Renewable Energy Credit (REC)</t>
  </si>
  <si>
    <t>$0.70/MWh in August 2018</t>
  </si>
  <si>
    <t>https://www.epa.gov/greenpower/us-renewable-electricity-market</t>
  </si>
  <si>
    <t>US EPA, U.S. Renewable Electricity Market</t>
  </si>
  <si>
    <t>Type of Credits Get</t>
  </si>
  <si>
    <t xml:space="preserve">Green Electricity Selling </t>
  </si>
  <si>
    <t>Type of Selling</t>
  </si>
  <si>
    <t>Total ($)</t>
  </si>
  <si>
    <t xml:space="preserve">Electricity Selling Price </t>
  </si>
  <si>
    <t>Average Price of Electricity to Ultimate Customers by End-Use Sector</t>
  </si>
  <si>
    <t>Type of Credit Get</t>
  </si>
  <si>
    <t>RIN/Year ($)</t>
  </si>
  <si>
    <t>Premium Price for Green Electricity Generation</t>
  </si>
  <si>
    <t>Green Power Pricing</t>
  </si>
  <si>
    <t>For Total 50-Years
($)</t>
  </si>
  <si>
    <t>Total Credit ($)</t>
  </si>
  <si>
    <t>kg/day</t>
  </si>
  <si>
    <t>Metric tons/year</t>
  </si>
  <si>
    <t xml:space="preserve">Methane Generation </t>
  </si>
  <si>
    <t>Cost considering 
50 Year ($)</t>
  </si>
  <si>
    <t>Total Transportation Cost ($)</t>
  </si>
  <si>
    <t>Additional Capital Cost for Purchase of Alternate Fuel Fleet Vehicles rather than Regular (Gasoline/Diesel) Fleet Vehicles ($)</t>
  </si>
  <si>
    <r>
      <t xml:space="preserve">Fleet Information: Vehicles to be Fueled Using Renewable Fuel (Optional user inputs in </t>
    </r>
    <r>
      <rPr>
        <b/>
        <sz val="14"/>
        <color theme="5"/>
        <rFont val="Calibri"/>
        <family val="2"/>
        <scheme val="minor"/>
      </rPr>
      <t>Brown</t>
    </r>
    <r>
      <rPr>
        <b/>
        <sz val="14"/>
        <color theme="1"/>
        <rFont val="Calibri"/>
        <family val="2"/>
        <scheme val="minor"/>
      </rPr>
      <t xml:space="preserve">)
</t>
    </r>
    <r>
      <rPr>
        <b/>
        <sz val="14"/>
        <color rgb="FF7030A0"/>
        <rFont val="Calibri"/>
        <family val="2"/>
        <scheme val="minor"/>
      </rPr>
      <t>(Ref: AFLEET Model)</t>
    </r>
  </si>
  <si>
    <t>Volume of Food Waste to be digested</t>
  </si>
  <si>
    <t>Volume of Yard Waste to be digested</t>
  </si>
  <si>
    <t>Sludge volume currently treating</t>
  </si>
  <si>
    <t>1 kWh</t>
  </si>
  <si>
    <t>1 foot</t>
  </si>
  <si>
    <t>1 Gasoline Gallon Equivalent (GGE)</t>
  </si>
  <si>
    <r>
      <t>Cubic Yard (yd</t>
    </r>
    <r>
      <rPr>
        <vertAlign val="superscript"/>
        <sz val="11"/>
        <color theme="1"/>
        <rFont val="Calibri"/>
        <family val="2"/>
        <scheme val="minor"/>
      </rPr>
      <t>3</t>
    </r>
    <r>
      <rPr>
        <sz val="11"/>
        <color theme="1"/>
        <rFont val="Calibri"/>
        <family val="2"/>
        <scheme val="minor"/>
      </rPr>
      <t>)</t>
    </r>
  </si>
  <si>
    <r>
      <t>Cubic Meter (m</t>
    </r>
    <r>
      <rPr>
        <vertAlign val="superscript"/>
        <sz val="11"/>
        <color theme="1"/>
        <rFont val="Calibri"/>
        <family val="2"/>
        <scheme val="minor"/>
      </rPr>
      <t>3</t>
    </r>
    <r>
      <rPr>
        <sz val="11"/>
        <color theme="1"/>
        <rFont val="Calibri"/>
        <family val="2"/>
        <scheme val="minor"/>
      </rPr>
      <t>)</t>
    </r>
  </si>
  <si>
    <r>
      <t>Cubic feet (ft</t>
    </r>
    <r>
      <rPr>
        <vertAlign val="superscript"/>
        <sz val="11"/>
        <color theme="1"/>
        <rFont val="Calibri"/>
        <family val="2"/>
        <scheme val="minor"/>
      </rPr>
      <t>3</t>
    </r>
    <r>
      <rPr>
        <sz val="11"/>
        <color theme="1"/>
        <rFont val="Calibri"/>
        <family val="2"/>
        <scheme val="minor"/>
      </rPr>
      <t>)</t>
    </r>
  </si>
  <si>
    <t>kWh</t>
  </si>
  <si>
    <t>Anaerobic Digester Capital Cost</t>
  </si>
  <si>
    <t>Anaerobic Digester Operating Cost</t>
  </si>
  <si>
    <r>
      <t xml:space="preserve">Food and Yard Waste Grinder Capital Cost
</t>
    </r>
    <r>
      <rPr>
        <b/>
        <sz val="16"/>
        <color rgb="FF7030A0"/>
        <rFont val="Calibri"/>
        <family val="2"/>
        <scheme val="minor"/>
      </rPr>
      <t>(Ref: Sales Quotation from DOGGETT Manufacturer)</t>
    </r>
  </si>
  <si>
    <t>Food and Yard Waste Grinder Operating Cost</t>
  </si>
  <si>
    <t xml:space="preserve">Biogas Conversion to Electricity and Refueling Station Operating Cost </t>
  </si>
  <si>
    <r>
      <t xml:space="preserve">Fuel Cost Saved
</t>
    </r>
    <r>
      <rPr>
        <b/>
        <sz val="16"/>
        <color rgb="FF7030A0"/>
        <rFont val="Calibri"/>
        <family val="2"/>
        <scheme val="minor"/>
      </rPr>
      <t>(Ref: AFLEET)</t>
    </r>
  </si>
  <si>
    <t>Renewble Energy Certificate (REC)</t>
  </si>
  <si>
    <t xml:space="preserve">Renewable Identification number (RIN) </t>
  </si>
  <si>
    <t xml:space="preserve">NOx     </t>
  </si>
  <si>
    <t>No. of 
Vehicles</t>
  </si>
  <si>
    <r>
      <t>m</t>
    </r>
    <r>
      <rPr>
        <b/>
        <vertAlign val="superscript"/>
        <sz val="12"/>
        <color theme="1"/>
        <rFont val="Calibri"/>
        <family val="2"/>
        <scheme val="minor"/>
      </rPr>
      <t>3</t>
    </r>
    <r>
      <rPr>
        <b/>
        <sz val="12"/>
        <color theme="1"/>
        <rFont val="Calibri"/>
        <family val="2"/>
        <scheme val="minor"/>
      </rPr>
      <t>/day</t>
    </r>
  </si>
  <si>
    <r>
      <t>CO</t>
    </r>
    <r>
      <rPr>
        <b/>
        <vertAlign val="subscript"/>
        <sz val="12"/>
        <color theme="1"/>
        <rFont val="Calibri"/>
        <family val="2"/>
        <scheme val="minor"/>
      </rPr>
      <t>2</t>
    </r>
    <r>
      <rPr>
        <b/>
        <sz val="12"/>
        <color theme="1"/>
        <rFont val="Calibri"/>
        <family val="2"/>
        <scheme val="minor"/>
      </rPr>
      <t>-equiv</t>
    </r>
  </si>
  <si>
    <t>Credit Unit Price
($/Ton)</t>
  </si>
  <si>
    <t>Total Credit Revenue ($/year)</t>
  </si>
  <si>
    <t>Cost considering 50 Years ($)</t>
  </si>
  <si>
    <t>Acronym</t>
  </si>
  <si>
    <t>Abbreviation</t>
  </si>
  <si>
    <t>AD</t>
  </si>
  <si>
    <t>Anaerobic Digester</t>
  </si>
  <si>
    <t>Electric Vehicle</t>
  </si>
  <si>
    <t>GHG</t>
  </si>
  <si>
    <t>Green House Gas</t>
  </si>
  <si>
    <t>CO</t>
  </si>
  <si>
    <t>VOCs</t>
  </si>
  <si>
    <r>
      <t>PM</t>
    </r>
    <r>
      <rPr>
        <vertAlign val="subscript"/>
        <sz val="11"/>
        <color theme="1"/>
        <rFont val="Calibri"/>
        <family val="2"/>
        <scheme val="minor"/>
      </rPr>
      <t>10</t>
    </r>
  </si>
  <si>
    <r>
      <t>PM</t>
    </r>
    <r>
      <rPr>
        <vertAlign val="subscript"/>
        <sz val="11"/>
        <color theme="1"/>
        <rFont val="Calibri"/>
        <family val="2"/>
        <scheme val="minor"/>
      </rPr>
      <t>2.5</t>
    </r>
  </si>
  <si>
    <r>
      <t>SO</t>
    </r>
    <r>
      <rPr>
        <vertAlign val="subscript"/>
        <sz val="11"/>
        <color theme="1"/>
        <rFont val="Calibri"/>
        <family val="2"/>
        <scheme val="minor"/>
      </rPr>
      <t>x</t>
    </r>
  </si>
  <si>
    <r>
      <t>NO</t>
    </r>
    <r>
      <rPr>
        <vertAlign val="subscript"/>
        <sz val="11"/>
        <color theme="1"/>
        <rFont val="Calibri"/>
        <family val="2"/>
        <scheme val="minor"/>
      </rPr>
      <t>x</t>
    </r>
  </si>
  <si>
    <r>
      <t>CH</t>
    </r>
    <r>
      <rPr>
        <vertAlign val="subscript"/>
        <sz val="11"/>
        <color theme="1"/>
        <rFont val="Calibri"/>
        <family val="2"/>
        <scheme val="minor"/>
      </rPr>
      <t>4</t>
    </r>
  </si>
  <si>
    <r>
      <t>N</t>
    </r>
    <r>
      <rPr>
        <vertAlign val="subscript"/>
        <sz val="11"/>
        <color theme="1"/>
        <rFont val="Calibri"/>
        <family val="2"/>
        <scheme val="minor"/>
      </rPr>
      <t>2</t>
    </r>
    <r>
      <rPr>
        <sz val="11"/>
        <color theme="1"/>
        <rFont val="Calibri"/>
        <family val="2"/>
        <scheme val="minor"/>
      </rPr>
      <t>O</t>
    </r>
  </si>
  <si>
    <r>
      <t>CO</t>
    </r>
    <r>
      <rPr>
        <vertAlign val="subscript"/>
        <sz val="11"/>
        <color theme="1"/>
        <rFont val="Calibri"/>
        <family val="2"/>
        <scheme val="minor"/>
      </rPr>
      <t>2</t>
    </r>
    <r>
      <rPr>
        <sz val="11"/>
        <color theme="1"/>
        <rFont val="Calibri"/>
        <family val="2"/>
        <scheme val="minor"/>
      </rPr>
      <t>-eq.</t>
    </r>
  </si>
  <si>
    <t>Volatile Organic Compounds</t>
  </si>
  <si>
    <t>Carbon Monoxide</t>
  </si>
  <si>
    <t>Oxides of Nitrogen</t>
  </si>
  <si>
    <r>
      <t>Inhalable Particulate Matter of 10</t>
    </r>
    <r>
      <rPr>
        <sz val="11"/>
        <color theme="1"/>
        <rFont val="Calibri"/>
        <family val="2"/>
      </rPr>
      <t>µm diameter and smaller</t>
    </r>
  </si>
  <si>
    <r>
      <t>Inhalable Particulate Matter of 2.5</t>
    </r>
    <r>
      <rPr>
        <sz val="11"/>
        <color theme="1"/>
        <rFont val="Calibri"/>
        <family val="2"/>
      </rPr>
      <t>µm diameter and smaller</t>
    </r>
  </si>
  <si>
    <t>Oxides of Sulfur</t>
  </si>
  <si>
    <t>Methane</t>
  </si>
  <si>
    <t>Nitrous Oxide</t>
  </si>
  <si>
    <r>
      <t>CO</t>
    </r>
    <r>
      <rPr>
        <vertAlign val="subscript"/>
        <sz val="11"/>
        <color theme="1"/>
        <rFont val="Calibri"/>
        <family val="2"/>
        <scheme val="minor"/>
      </rPr>
      <t>2</t>
    </r>
  </si>
  <si>
    <t>Carbon dioxide</t>
  </si>
  <si>
    <t>Equivalents of Carbon dioxide</t>
  </si>
  <si>
    <t xml:space="preserve">Avg. </t>
  </si>
  <si>
    <t>Average Value</t>
  </si>
  <si>
    <t>LFG</t>
  </si>
  <si>
    <t>Landfill Gas</t>
  </si>
  <si>
    <t>REC</t>
  </si>
  <si>
    <t>Renewable Energy Certificates</t>
  </si>
  <si>
    <t>RIN</t>
  </si>
  <si>
    <t>Renewable Identification Number</t>
  </si>
  <si>
    <t xml:space="preserve">CHP </t>
  </si>
  <si>
    <t>Combined Heat and Power</t>
  </si>
  <si>
    <t>BTU</t>
  </si>
  <si>
    <t>British Thermal Unit</t>
  </si>
  <si>
    <t>Gasoline Gallon Equivalent</t>
  </si>
  <si>
    <t>Kilo-watt Hour</t>
  </si>
  <si>
    <t>MG</t>
  </si>
  <si>
    <t>Million Gallon</t>
  </si>
  <si>
    <t>MGD</t>
  </si>
  <si>
    <t>Million Gallons per Day</t>
  </si>
  <si>
    <t>Cubic Meter</t>
  </si>
  <si>
    <t>Cubic Feet</t>
  </si>
  <si>
    <r>
      <t>m</t>
    </r>
    <r>
      <rPr>
        <vertAlign val="superscript"/>
        <sz val="11"/>
        <color theme="1"/>
        <rFont val="Calibri"/>
        <family val="2"/>
        <scheme val="minor"/>
      </rPr>
      <t>3</t>
    </r>
  </si>
  <si>
    <r>
      <t>ft</t>
    </r>
    <r>
      <rPr>
        <vertAlign val="superscript"/>
        <sz val="11"/>
        <color theme="1"/>
        <rFont val="Calibri"/>
        <family val="2"/>
        <scheme val="minor"/>
      </rPr>
      <t>3</t>
    </r>
  </si>
  <si>
    <t>GREET</t>
  </si>
  <si>
    <r>
      <rPr>
        <b/>
        <sz val="11"/>
        <color theme="1"/>
        <rFont val="Calibri"/>
        <family val="2"/>
        <scheme val="minor"/>
      </rPr>
      <t>G</t>
    </r>
    <r>
      <rPr>
        <sz val="11"/>
        <color theme="1"/>
        <rFont val="Calibri"/>
        <family val="2"/>
        <scheme val="minor"/>
      </rPr>
      <t xml:space="preserve">reenhouse gases, </t>
    </r>
    <r>
      <rPr>
        <b/>
        <sz val="11"/>
        <color theme="1"/>
        <rFont val="Calibri"/>
        <family val="2"/>
        <scheme val="minor"/>
      </rPr>
      <t>R</t>
    </r>
    <r>
      <rPr>
        <sz val="11"/>
        <color theme="1"/>
        <rFont val="Calibri"/>
        <family val="2"/>
        <scheme val="minor"/>
      </rPr>
      <t xml:space="preserve">egulated </t>
    </r>
    <r>
      <rPr>
        <b/>
        <sz val="11"/>
        <color theme="1"/>
        <rFont val="Calibri"/>
        <family val="2"/>
        <scheme val="minor"/>
      </rPr>
      <t>E</t>
    </r>
    <r>
      <rPr>
        <sz val="11"/>
        <color theme="1"/>
        <rFont val="Calibri"/>
        <family val="2"/>
        <scheme val="minor"/>
      </rPr>
      <t xml:space="preserve">missions, and </t>
    </r>
    <r>
      <rPr>
        <b/>
        <sz val="11"/>
        <color theme="1"/>
        <rFont val="Calibri"/>
        <family val="2"/>
        <scheme val="minor"/>
      </rPr>
      <t>E</t>
    </r>
    <r>
      <rPr>
        <sz val="11"/>
        <color theme="1"/>
        <rFont val="Calibri"/>
        <family val="2"/>
        <scheme val="minor"/>
      </rPr>
      <t xml:space="preserve">nergy use in </t>
    </r>
    <r>
      <rPr>
        <b/>
        <sz val="11"/>
        <color theme="1"/>
        <rFont val="Calibri"/>
        <family val="2"/>
        <scheme val="minor"/>
      </rPr>
      <t>T</t>
    </r>
    <r>
      <rPr>
        <sz val="11"/>
        <color theme="1"/>
        <rFont val="Calibri"/>
        <family val="2"/>
        <scheme val="minor"/>
      </rPr>
      <t xml:space="preserve">ransportation </t>
    </r>
  </si>
  <si>
    <r>
      <t>NO</t>
    </r>
    <r>
      <rPr>
        <b/>
        <vertAlign val="subscript"/>
        <sz val="11"/>
        <color theme="1"/>
        <rFont val="Calibri"/>
        <family val="2"/>
        <scheme val="minor"/>
      </rPr>
      <t xml:space="preserve">x </t>
    </r>
  </si>
  <si>
    <r>
      <t>PM</t>
    </r>
    <r>
      <rPr>
        <b/>
        <vertAlign val="subscript"/>
        <sz val="11"/>
        <color theme="1"/>
        <rFont val="Calibri"/>
        <family val="2"/>
        <scheme val="minor"/>
      </rPr>
      <t>10</t>
    </r>
  </si>
  <si>
    <r>
      <t>PM</t>
    </r>
    <r>
      <rPr>
        <b/>
        <vertAlign val="subscript"/>
        <sz val="11"/>
        <color theme="1"/>
        <rFont val="Calibri"/>
        <family val="2"/>
        <scheme val="minor"/>
      </rPr>
      <t>2.5</t>
    </r>
  </si>
  <si>
    <r>
      <t>SO</t>
    </r>
    <r>
      <rPr>
        <b/>
        <vertAlign val="subscript"/>
        <sz val="11"/>
        <color theme="1"/>
        <rFont val="Calibri"/>
        <family val="2"/>
        <scheme val="minor"/>
      </rPr>
      <t>x</t>
    </r>
  </si>
  <si>
    <t>Kg</t>
  </si>
  <si>
    <t>Kilograms</t>
  </si>
  <si>
    <t>LMOP</t>
  </si>
  <si>
    <t>Landfill Methane Outreach Program</t>
  </si>
  <si>
    <t>MPDGE</t>
  </si>
  <si>
    <t>Miles Per Diesel Gallon Equivalent</t>
  </si>
  <si>
    <t>AFLEET</t>
  </si>
  <si>
    <r>
      <rPr>
        <b/>
        <sz val="11"/>
        <color theme="1"/>
        <rFont val="Calibri"/>
        <family val="2"/>
        <scheme val="minor"/>
      </rPr>
      <t>A</t>
    </r>
    <r>
      <rPr>
        <sz val="11"/>
        <color theme="1"/>
        <rFont val="Calibri"/>
        <family val="2"/>
        <scheme val="minor"/>
      </rPr>
      <t xml:space="preserve">lternative </t>
    </r>
    <r>
      <rPr>
        <b/>
        <sz val="11"/>
        <color theme="1"/>
        <rFont val="Calibri"/>
        <family val="2"/>
        <scheme val="minor"/>
      </rPr>
      <t>F</t>
    </r>
    <r>
      <rPr>
        <sz val="11"/>
        <color theme="1"/>
        <rFont val="Calibri"/>
        <family val="2"/>
        <scheme val="minor"/>
      </rPr>
      <t xml:space="preserve">uel </t>
    </r>
    <r>
      <rPr>
        <b/>
        <sz val="11"/>
        <color theme="1"/>
        <rFont val="Calibri"/>
        <family val="2"/>
        <scheme val="minor"/>
      </rPr>
      <t>L</t>
    </r>
    <r>
      <rPr>
        <sz val="11"/>
        <color theme="1"/>
        <rFont val="Calibri"/>
        <family val="2"/>
        <scheme val="minor"/>
      </rPr>
      <t xml:space="preserve">ife-Cycle </t>
    </r>
    <r>
      <rPr>
        <b/>
        <sz val="11"/>
        <color theme="1"/>
        <rFont val="Calibri"/>
        <family val="2"/>
        <scheme val="minor"/>
      </rPr>
      <t>E</t>
    </r>
    <r>
      <rPr>
        <sz val="11"/>
        <color theme="1"/>
        <rFont val="Calibri"/>
        <family val="2"/>
        <scheme val="minor"/>
      </rPr>
      <t xml:space="preserve">nvironmental and </t>
    </r>
    <r>
      <rPr>
        <b/>
        <sz val="11"/>
        <color theme="1"/>
        <rFont val="Calibri"/>
        <family val="2"/>
        <scheme val="minor"/>
      </rPr>
      <t>E</t>
    </r>
    <r>
      <rPr>
        <sz val="11"/>
        <color theme="1"/>
        <rFont val="Calibri"/>
        <family val="2"/>
        <scheme val="minor"/>
      </rPr>
      <t xml:space="preserve">conomic </t>
    </r>
    <r>
      <rPr>
        <b/>
        <sz val="11"/>
        <color theme="1"/>
        <rFont val="Calibri"/>
        <family val="2"/>
        <scheme val="minor"/>
      </rPr>
      <t>T</t>
    </r>
    <r>
      <rPr>
        <sz val="11"/>
        <color theme="1"/>
        <rFont val="Calibri"/>
        <family val="2"/>
        <scheme val="minor"/>
      </rPr>
      <t xml:space="preserve">ransportation </t>
    </r>
  </si>
  <si>
    <t>O &amp; M</t>
  </si>
  <si>
    <t xml:space="preserve">Operation and Maintenance </t>
  </si>
  <si>
    <t>DGE</t>
  </si>
  <si>
    <t>Diesel Gallon Equivalent</t>
  </si>
  <si>
    <t>Amount of SOx Reduction from alternate fuel vehicle
 (kg/Year)</t>
  </si>
  <si>
    <t>Social Benefit of SOx as per EU28 (€2015/kg emission) with VAT  
(converted to dollars)</t>
  </si>
  <si>
    <t>Source of Biogas Generation</t>
  </si>
  <si>
    <t>Amount of Generated Biogas (m3/day)</t>
  </si>
  <si>
    <t>Electricity Generated (Kwh/year)</t>
  </si>
  <si>
    <t>Choosen Option</t>
  </si>
  <si>
    <t>Average annual outdoor temperature in 
location of digester in °F</t>
  </si>
  <si>
    <t>Process</t>
  </si>
  <si>
    <t>Total Cost (2015$)</t>
  </si>
  <si>
    <t xml:space="preserve">Total Cost ($) in terms of 50 years </t>
  </si>
  <si>
    <t>Residential Food Waste</t>
  </si>
  <si>
    <t>Residential Food Waste
 Generation Rate from Single Family Household (lb/ household/ week)</t>
  </si>
  <si>
    <t>Residential Food Waste
 Generation Rate (lb/ household/ day)</t>
  </si>
  <si>
    <t>Residential Food Waste
 Generation Rate (Tons/Year)</t>
  </si>
  <si>
    <t>Residential Food Waste
 Generation Rate from Multi Family Household (lb/ unit/ week)</t>
  </si>
  <si>
    <t>Residential Food Waste
 Generation Rate (lb/ Unit/ day)</t>
  </si>
  <si>
    <t>Residential Food Waste
 Generation Rate from University (lb/student/day)</t>
  </si>
  <si>
    <t>Commercial Food Waste</t>
  </si>
  <si>
    <t>Special event centers 
and recreation facilities Waste Generation Rate (Ib/Employee/Year)</t>
  </si>
  <si>
    <t xml:space="preserve">No. of employees per block group </t>
  </si>
  <si>
    <t>Food Waste
 Generation Rate (Tons/Year)</t>
  </si>
  <si>
    <t>Residential Yard Waste</t>
  </si>
  <si>
    <t>Residential Yard Waste
 Generation Rate from Single Family Household (lb/ household/ week)</t>
  </si>
  <si>
    <t>Residential Yard Waste
 Generation Rate (lb/ household/ day)</t>
  </si>
  <si>
    <t>Commercial Yard Waste</t>
  </si>
  <si>
    <t>Golf Courses (Ib/Acre/Week)</t>
  </si>
  <si>
    <t>Parks (Ib/Acre/Week)</t>
  </si>
  <si>
    <t>No. of acres per census block group</t>
  </si>
  <si>
    <t>Parks (Tons/Year)</t>
  </si>
  <si>
    <t>Commercial Lawns (Ib/Acre/Week)</t>
  </si>
  <si>
    <t>Commercial Lawns 
(Tons/Year)</t>
  </si>
  <si>
    <t>Residential Food Waste
 Generation Rate from Single family household (Tons/Year)</t>
  </si>
  <si>
    <t>Residential Food Waste
 Generation Rate from Multi family household (Tons/Year)</t>
  </si>
  <si>
    <t>Residential Food Waste
 Generation Rate from University (Tons/year)</t>
  </si>
  <si>
    <t>Commercial Food Waste
 Generation Rate from Special event centers (Tons/Year)</t>
  </si>
  <si>
    <t xml:space="preserve">Total </t>
  </si>
  <si>
    <t>FOG</t>
  </si>
  <si>
    <t>Use of fuel generated from food, yard, sewage sludge &amp; FOG</t>
  </si>
  <si>
    <t>FOG Feed Rate (M)</t>
  </si>
  <si>
    <t xml:space="preserve">1a. Residential Food Waste Generation Rate from Single family household </t>
  </si>
  <si>
    <t xml:space="preserve">1b. Residential Food Waste Generation Rate from Multi family household </t>
  </si>
  <si>
    <t xml:space="preserve">1c. Residential Food Waste Generation Rate from University </t>
  </si>
  <si>
    <t>Residential Yard Waste
 Generation Rate from Single Family Household (Tons/Year)</t>
  </si>
  <si>
    <t xml:space="preserve">2a. Residential Yard Waste Generation Rate from Single Family Household </t>
  </si>
  <si>
    <t>3. Sewage Sludge</t>
  </si>
  <si>
    <t xml:space="preserve"> Residential Food Waste Generation Rate from Single family household </t>
  </si>
  <si>
    <t xml:space="preserve">Residential Food Waste Generation Rate from Multi family household </t>
  </si>
  <si>
    <t xml:space="preserve">Residential Food Waste Generation Rate from University </t>
  </si>
  <si>
    <t xml:space="preserve">Commercial Food Waste Generation Rate from Educational Institutions </t>
  </si>
  <si>
    <t>Commercial Food Waste Generation Rate from Special Event Centers</t>
  </si>
  <si>
    <t xml:space="preserve">Residential Yard Waste Generation Rate from Single Family Household </t>
  </si>
  <si>
    <t xml:space="preserve">Residential Yard Waste: Single Family Household </t>
  </si>
  <si>
    <t xml:space="preserve">Residential Food Waste: Single family household </t>
  </si>
  <si>
    <t xml:space="preserve">Residential Food Waste: Multi family household </t>
  </si>
  <si>
    <t>Commercial Food Waste: Special Event Centers</t>
  </si>
  <si>
    <t>Nothing</t>
  </si>
  <si>
    <t xml:space="preserve"> Commercial Yard Waste Generation Rate from Golf Courses</t>
  </si>
  <si>
    <t>Commercial Yard Waste Generation Rate from Parks</t>
  </si>
  <si>
    <t xml:space="preserve">Commercial Yard Waste Generation Rate from Commercial Lawns </t>
  </si>
  <si>
    <t>Commercial Yard Waste: Golf Courses</t>
  </si>
  <si>
    <t>Commercial Yard Waste: Parks</t>
  </si>
  <si>
    <t xml:space="preserve">Commercial Yard Waste: Commercial Lawns </t>
  </si>
  <si>
    <t xml:space="preserve">Commercial Food Waste: K-12 Educational Institutions </t>
  </si>
  <si>
    <t xml:space="preserve">Commercial Food Waste Generation Rate from k-12 Educational Institutions </t>
  </si>
  <si>
    <t xml:space="preserve">Commercial Food Waste Generation Rate from University </t>
  </si>
  <si>
    <t xml:space="preserve">Commercial Food Waste: University </t>
  </si>
  <si>
    <t>User Input (Corporate Campus)</t>
  </si>
  <si>
    <t>Corporate Campus generated Food Waste (User Input)</t>
  </si>
  <si>
    <t>Corporate Campus generated Yard Waste (User Input)</t>
  </si>
  <si>
    <t>Commercial Yard Waste
 Generation Rate from Corporate Campus (Tons/Year)</t>
  </si>
  <si>
    <t xml:space="preserve">Commeraial Yard Waste Generation Rate from Commercial Lawns </t>
  </si>
  <si>
    <t>Commeraial Yard Waste Generation Rate from Golf Courses</t>
  </si>
  <si>
    <t>K-12 Educational Institutions
 (Tons/Year)</t>
  </si>
  <si>
    <t>Commercial Food Waste
 Generation Rate from K-12 Educational Institutions (Tons/Year)</t>
  </si>
  <si>
    <t>Additional Cost</t>
  </si>
  <si>
    <t>Food: Sludge=40:60
Sludge:FOG=52:48</t>
  </si>
  <si>
    <t>Information/Information Source</t>
  </si>
  <si>
    <t>https://www.researchgate.net/publication/338339959_Anaerobic_Co-Digestion_of_Wastewater_Sludge_A_Review_of_Potential_Co-Substrates_and_Operating_Factors_for_Improved_Methane_Yield</t>
  </si>
  <si>
    <t>Chow, W. L., Chong, S., Lim, J. W., Chan, Y. J., Chong, M. F., Tiong, T. J., Chin, J. K., Pan, G. 2020. Anaerobic Co-Digestion of Wastewater Sludge: A Review of Potential Co-Substrates and Operating Factors for Improved Methane Yield. 8, 39; doi:10.3390/pr8010039, www.mdpi.com/journal/processes</t>
  </si>
  <si>
    <t>Individual C:N Ratio</t>
  </si>
  <si>
    <t>Total individual Waste 
(Tons/Year)</t>
  </si>
  <si>
    <t>Total Tons Digested</t>
  </si>
  <si>
    <t>Overall C:N Ratio</t>
  </si>
  <si>
    <t>Total Additional Transport Operating Costs
(For 50 years with 2% annual interest) ($)
(Ref: Engineering Economics)</t>
  </si>
  <si>
    <t>Transportation Fuel Type</t>
  </si>
  <si>
    <t>Capital Cost ($)</t>
  </si>
  <si>
    <t>Food Waste All</t>
  </si>
  <si>
    <t>Yard Waste All</t>
  </si>
  <si>
    <t>Mass of food waste available for fuel generation 
(Ton waste/year)</t>
  </si>
  <si>
    <t>Mass of yard waste available for fuel generation 
(Ton/Year)</t>
  </si>
  <si>
    <t>Optimal Ratio for Codigestion</t>
  </si>
  <si>
    <t>C:N Ratio</t>
  </si>
  <si>
    <t>Food Waste = 20
Yard Waste = 
Sewage Sludge = 8
FOG = 22</t>
  </si>
  <si>
    <r>
      <rPr>
        <b/>
        <sz val="11"/>
        <color theme="1"/>
        <rFont val="Calibri"/>
        <family val="2"/>
        <scheme val="minor"/>
      </rPr>
      <t>Food Waste:</t>
    </r>
    <r>
      <rPr>
        <sz val="11"/>
        <color theme="1"/>
        <rFont val="Calibri"/>
        <family val="2"/>
        <scheme val="minor"/>
      </rPr>
      <t xml:space="preserve"> The United States Environmental Protection Agency (US EPA),.September 2012. Increasing Anaerobic Digester Performance with Co-digestion. Page: 3.
</t>
    </r>
    <r>
      <rPr>
        <b/>
        <sz val="11"/>
        <color theme="1"/>
        <rFont val="Calibri"/>
        <family val="2"/>
        <scheme val="minor"/>
      </rPr>
      <t>Sewage Sludge &amp; FOG:</t>
    </r>
    <r>
      <rPr>
        <sz val="11"/>
        <color theme="1"/>
        <rFont val="Calibri"/>
        <family val="2"/>
        <scheme val="minor"/>
      </rPr>
      <t xml:space="preserve"> Chow, Wei Ling,. Chong, Siewhui,. Lim, Jun Wei,. Chan, Yi Jing,. Chong, Mei Fong,. Tiong, Timm Joyce,. Chin, Jit Kai,. and Pan, Guan-Ting, 2019. Anaerobic Co-Digestion of Wastewater Sludge: A Review of Potential Co-Substrates and Operating Factors for Improved Methane Yield. Publisher Name: ReserchGate. Page 3, table 1 </t>
    </r>
  </si>
  <si>
    <r>
      <rPr>
        <b/>
        <sz val="11"/>
        <color theme="1"/>
        <rFont val="Calibri"/>
        <family val="2"/>
        <scheme val="minor"/>
      </rPr>
      <t>Food Waste:</t>
    </r>
    <r>
      <rPr>
        <sz val="11"/>
        <color theme="1"/>
        <rFont val="Calibri"/>
        <family val="2"/>
        <scheme val="minor"/>
      </rPr>
      <t xml:space="preserve"> https://www.epa.gov/sites/production/files/2014-12/documents/codigestion.pdf
</t>
    </r>
    <r>
      <rPr>
        <b/>
        <sz val="11"/>
        <color theme="1"/>
        <rFont val="Calibri"/>
        <family val="2"/>
        <scheme val="minor"/>
      </rPr>
      <t>Sewage Sludge &amp; FOG:</t>
    </r>
    <r>
      <rPr>
        <sz val="11"/>
        <color theme="1"/>
        <rFont val="Calibri"/>
        <family val="2"/>
        <scheme val="minor"/>
      </rPr>
      <t xml:space="preserve"> https://www.researchgate.net/publication/338339959_Anaerobic_Co-Digestion_of_Wastewater_Sludge_A_Review_of_Potential_Co-Substrates_and_Operating_Factors_for_Improved_Methane_Yield </t>
    </r>
  </si>
  <si>
    <t>The ideal carbon to nitrogen (C:N) ratio for anaerobic digestion ranges from approximately 20:1 to 30:1. (EPA)</t>
  </si>
  <si>
    <t>The C/N Ratio of general food waste is 20 (EPA)</t>
  </si>
  <si>
    <t>Feedstock</t>
  </si>
  <si>
    <t>C/N Ratio</t>
  </si>
  <si>
    <t>Moisture content</t>
  </si>
  <si>
    <t>Source/ Reference</t>
  </si>
  <si>
    <t>Blood wastes (slaughterhouse waste and dried blood)</t>
  </si>
  <si>
    <t>13-14</t>
  </si>
  <si>
    <t>3,-3.5</t>
  </si>
  <si>
    <t>Crab and lobster wastes</t>
  </si>
  <si>
    <t>4.0,-5.4</t>
  </si>
  <si>
    <t>35,-61</t>
  </si>
  <si>
    <t>Crab and lobster wastes (average)</t>
  </si>
  <si>
    <t>Fish-breading crumbs</t>
  </si>
  <si>
    <t>Fish-processing sludge</t>
  </si>
  <si>
    <t>Fish wastes (gurry, racks, etc.)</t>
  </si>
  <si>
    <t>2.6,-5.0</t>
  </si>
  <si>
    <t>50-81</t>
  </si>
  <si>
    <t>Fish wastes (gurry, racks, etc.) (average)</t>
  </si>
  <si>
    <t>Mixed slaughterhouse waste</t>
  </si>
  <si>
    <t>2,-4</t>
  </si>
  <si>
    <t>Mussel wastes</t>
  </si>
  <si>
    <t>Poultry carcasses</t>
  </si>
  <si>
    <t>Paunch manure</t>
  </si>
  <si>
    <t>20-30</t>
  </si>
  <si>
    <t>80,-85</t>
  </si>
  <si>
    <t>Shrimp wastes</t>
  </si>
  <si>
    <t>Refuse (mixed food, paper, etc.)</t>
  </si>
  <si>
    <t>34-80</t>
  </si>
  <si>
    <t>Paper from domestic refuse</t>
  </si>
  <si>
    <t>127-178</t>
  </si>
  <si>
    <t>18-20</t>
  </si>
  <si>
    <t>Soybean meal (protein)</t>
  </si>
  <si>
    <t>4,-6</t>
  </si>
  <si>
    <t>Dairy free stall</t>
  </si>
  <si>
    <t>Fruit wastes (range)</t>
  </si>
  <si>
    <t>20-49</t>
  </si>
  <si>
    <t>62-88</t>
  </si>
  <si>
    <t>Fruit wastes (average)</t>
  </si>
  <si>
    <t>Dairy tie stall</t>
  </si>
  <si>
    <t>Vegetable wastes</t>
  </si>
  <si>
    <t>11,-13</t>
  </si>
  <si>
    <t>Vegetable produce</t>
  </si>
  <si>
    <t>Corn cobs (Range)</t>
  </si>
  <si>
    <t>56-123</t>
  </si>
  <si>
    <t>9,-18</t>
  </si>
  <si>
    <t>Corn cobs (Average)</t>
  </si>
  <si>
    <t>Corn stalks</t>
  </si>
  <si>
    <t>60-73</t>
  </si>
  <si>
    <t>Cottonseed meal</t>
  </si>
  <si>
    <t>Sewage sludge (Range)</t>
  </si>
  <si>
    <t>5 to 16</t>
  </si>
  <si>
    <t>72,-84</t>
  </si>
  <si>
    <t>Activated sludge</t>
  </si>
  <si>
    <t>Digested sludge</t>
  </si>
  <si>
    <t>Leaves range</t>
  </si>
  <si>
    <t>40,-80</t>
  </si>
  <si>
    <t>Leaves (average)</t>
  </si>
  <si>
    <t>grass clippings range</t>
  </si>
  <si>
    <t>9,-25</t>
  </si>
  <si>
    <t>grass clippings (average)</t>
  </si>
  <si>
    <t>Newsprint</t>
  </si>
  <si>
    <t>398-852</t>
  </si>
  <si>
    <t>3,-8</t>
  </si>
  <si>
    <t>Paper pulp</t>
  </si>
  <si>
    <t>Corrugated cardboard</t>
  </si>
  <si>
    <t>Telephone books</t>
  </si>
  <si>
    <t>Fruit waste</t>
  </si>
  <si>
    <t>Vegetable Scraps</t>
  </si>
  <si>
    <t xml:space="preserve">Leaves </t>
  </si>
  <si>
    <t>Garden waste</t>
  </si>
  <si>
    <t>News Paper(Shredded)</t>
  </si>
  <si>
    <t>Sawdust</t>
  </si>
  <si>
    <t>Cardboard, shredded</t>
  </si>
  <si>
    <t>Thickened Waste Activated Sludge (TWAS)</t>
  </si>
  <si>
    <t>6 to 9</t>
  </si>
  <si>
    <t>Caned Seafood Waste (CSW)</t>
  </si>
  <si>
    <t>Paultry manure</t>
  </si>
  <si>
    <t>5 to 15</t>
  </si>
  <si>
    <t>Pig manure</t>
  </si>
  <si>
    <t>6 to 14</t>
  </si>
  <si>
    <t>Goat Manure</t>
  </si>
  <si>
    <t>10 to 17</t>
  </si>
  <si>
    <t>Grass/ Grass trimmings</t>
  </si>
  <si>
    <t>12 to 16</t>
  </si>
  <si>
    <t>Alfalfa</t>
  </si>
  <si>
    <t>12 to 17</t>
  </si>
  <si>
    <t>Food waste</t>
  </si>
  <si>
    <t>3 to 17</t>
  </si>
  <si>
    <t>Organic Fraction of MSW</t>
  </si>
  <si>
    <t>Cow Dung</t>
  </si>
  <si>
    <t>16 to 25</t>
  </si>
  <si>
    <t>Horse manure</t>
  </si>
  <si>
    <t>20 to 25</t>
  </si>
  <si>
    <t xml:space="preserve">Kitchen waste </t>
  </si>
  <si>
    <t>25 to 29</t>
  </si>
  <si>
    <t>Peanut shoots/hulls</t>
  </si>
  <si>
    <t>20 to 31</t>
  </si>
  <si>
    <t>Slaughterhouse waste</t>
  </si>
  <si>
    <t>22 to 37</t>
  </si>
  <si>
    <t>Mixed Food Waste</t>
  </si>
  <si>
    <t>15 to 32</t>
  </si>
  <si>
    <t>Waste Cereal</t>
  </si>
  <si>
    <t>16 to 40</t>
  </si>
  <si>
    <t>Sugar beet/Sugar foliage</t>
  </si>
  <si>
    <t>35 to 40</t>
  </si>
  <si>
    <t>Potatoes</t>
  </si>
  <si>
    <t>35 to 60</t>
  </si>
  <si>
    <t>Oat straw</t>
  </si>
  <si>
    <t>48 to 50</t>
  </si>
  <si>
    <t>Corn stalks/straw</t>
  </si>
  <si>
    <t>50 to 56</t>
  </si>
  <si>
    <t>Fallen leaves</t>
  </si>
  <si>
    <t>50 to 53</t>
  </si>
  <si>
    <t>Rice straw</t>
  </si>
  <si>
    <t>51 to 67</t>
  </si>
  <si>
    <t>Seaweed</t>
  </si>
  <si>
    <t>70 to 79</t>
  </si>
  <si>
    <t>Algae</t>
  </si>
  <si>
    <t>75 to 100</t>
  </si>
  <si>
    <t>Sugar cane/bagasse</t>
  </si>
  <si>
    <t>140 to 150</t>
  </si>
  <si>
    <t>200 to 500</t>
  </si>
  <si>
    <t xml:space="preserve">Sewage sludge (SS) </t>
  </si>
  <si>
    <t>6–10</t>
  </si>
  <si>
    <t>Waste activated sludge (WAS)</t>
  </si>
  <si>
    <t xml:space="preserve">Sugar cane/bagasse </t>
  </si>
  <si>
    <t>140–150</t>
  </si>
  <si>
    <t xml:space="preserve">Sugar beet </t>
  </si>
  <si>
    <t>35–40</t>
  </si>
  <si>
    <t xml:space="preserve">Crude glycerol (CG) </t>
  </si>
  <si>
    <t>Fat, oil and grease (FOG)</t>
  </si>
  <si>
    <t>Potato </t>
  </si>
  <si>
    <t>28 </t>
  </si>
  <si>
    <t>Crop residues </t>
  </si>
  <si>
    <t>48 </t>
  </si>
  <si>
    <t>Dairy manures </t>
  </si>
  <si>
    <t>9 </t>
  </si>
  <si>
    <t>Swine manure </t>
  </si>
  <si>
    <t>6 </t>
  </si>
  <si>
    <t xml:space="preserve">On-Farm Composting Handbook Appendix A: Table A.1 
Note: Data was compiled from many references listed in the suggested readings section of this handbook (pages 179-180). Where several values are available, the range and average of the values found in the literature are listed. These are representative values.
Link: http://cwmi.css.cornell.edu/AppendixATable1OFCH.pdf
 </t>
  </si>
  <si>
    <t>This C/N ratios has been taken from Planate Natural Research Center.
Link:
https://www.planetnatural.com/composting-101/making/c-n-ratio/</t>
  </si>
  <si>
    <t>Rabii, Anahita,. Aldin, Saad,. Dahman, Yaser,. and Elbeshbishy, Elsayed. 2020. A Review on Anaerobic Co-Digestion with a focus on Microbial Populations and the effect on Multi-Stage Digeste. ReserchGate. Page : 7, Table 1.
Link: https://www.researchgate.net/publication/331943044_A_Review_on_Anaerobic_Co-Digestion_with_a_Focus_on_the_Microbial_Populations_and_the_Effect_of_Multi-Stage_Digester_Configuration</t>
  </si>
  <si>
    <t>Chow, Wei Ling,. Chong, Siewhui,. Lim, Jun Wei,. Chan, Yi Jing,. Chong, Mei Fong,. Tiong, Timm Joyce,. Chin, Jit Kai,. and Pan, Guan-Ting. 2019. Anaerobic Co-Digestion of Wastewater Sludge: A Review of Potential Co-Substrates and Operating Factors for Improved Methane Yield. ReserchGate. Page 3, table 1 
Link: 
https://www.researchgate.net/publication/338339959_Anaerobic_Co-Digestion_of_Wastewater_Sludge_A_Review_of_Potential_Co-Substrates_and_Operating_Factors_for_Improved_Methane_Yield</t>
  </si>
  <si>
    <t>The United States Environmental Protection Agency (US EPA),. 2012. Increasing Anaerobic Digester Performance with Co-digestion. Page: 3. 
Link: https://www.epa.gov/sites/production/files/2014-12/documents/codigestion.pdf</t>
  </si>
  <si>
    <t>6. Fats, Oil and Grease (FOG)</t>
  </si>
  <si>
    <t>5. Crop Residue</t>
  </si>
  <si>
    <t>Residue feed rate (M)</t>
  </si>
  <si>
    <t>Cow Manure</t>
  </si>
  <si>
    <t>Crop Residue</t>
  </si>
  <si>
    <t>WWTP New AD (Concrete)</t>
  </si>
  <si>
    <t>WWTP AD</t>
  </si>
  <si>
    <t>LCFS Credit ($/MT)</t>
  </si>
  <si>
    <t>For Total 50 Years ($)</t>
  </si>
  <si>
    <t>Operation Cost ($)</t>
  </si>
  <si>
    <t>Reciprocating Engines</t>
  </si>
  <si>
    <r>
      <t>7. For traditional air pollutants (VOCs, CO, NOx, PM10, PM2.5, SO</t>
    </r>
    <r>
      <rPr>
        <vertAlign val="subscript"/>
        <sz val="12"/>
        <color theme="1"/>
        <rFont val="Calibri"/>
        <family val="2"/>
        <scheme val="minor"/>
      </rPr>
      <t>2</t>
    </r>
    <r>
      <rPr>
        <sz val="12"/>
        <color theme="1"/>
        <rFont val="Calibri"/>
        <family val="2"/>
        <scheme val="minor"/>
      </rPr>
      <t>), benefits from emission reductions include reduced damage to human health, ecosystem services, buildings and materials, resource availability, and wellbeing. For climate pollutants (CH</t>
    </r>
    <r>
      <rPr>
        <vertAlign val="subscript"/>
        <sz val="12"/>
        <color theme="1"/>
        <rFont val="Calibri"/>
        <family val="2"/>
        <scheme val="minor"/>
      </rPr>
      <t>4</t>
    </r>
    <r>
      <rPr>
        <sz val="12"/>
        <color theme="1"/>
        <rFont val="Calibri"/>
        <family val="2"/>
        <scheme val="minor"/>
      </rPr>
      <t>, CO</t>
    </r>
    <r>
      <rPr>
        <vertAlign val="subscript"/>
        <sz val="12"/>
        <color theme="1"/>
        <rFont val="Calibri"/>
        <family val="2"/>
        <scheme val="minor"/>
      </rPr>
      <t>2</t>
    </r>
    <r>
      <rPr>
        <sz val="12"/>
        <color theme="1"/>
        <rFont val="Calibri"/>
        <family val="2"/>
        <scheme val="minor"/>
      </rPr>
      <t>, N</t>
    </r>
    <r>
      <rPr>
        <vertAlign val="subscript"/>
        <sz val="12"/>
        <color theme="1"/>
        <rFont val="Calibri"/>
        <family val="2"/>
        <scheme val="minor"/>
      </rPr>
      <t>2</t>
    </r>
    <r>
      <rPr>
        <sz val="12"/>
        <color theme="1"/>
        <rFont val="Calibri"/>
        <family val="2"/>
        <scheme val="minor"/>
      </rPr>
      <t>O), benefits from emission reductions include reduced damage to agricultural productivity, human health, property (flood risk), and ecosystem services.</t>
    </r>
  </si>
  <si>
    <r>
      <t xml:space="preserve">5. Check C/N Ratio (close to 30) in </t>
    </r>
    <r>
      <rPr>
        <b/>
        <sz val="12"/>
        <color theme="1"/>
        <rFont val="Calibri"/>
        <family val="2"/>
        <scheme val="minor"/>
      </rPr>
      <t>'Waste Mass Calculations'</t>
    </r>
  </si>
  <si>
    <t xml:space="preserve">Digestate Class </t>
  </si>
  <si>
    <t xml:space="preserve">95% WRRF facilities produces Class A or B biosolids. Among them 22% produces Class A and 
78% produces Class B Biosolids. </t>
  </si>
  <si>
    <t>https://www.epa.gov/sites/production/files/2021-02/documents/2021_final_ad_report_feb_2_with_links.pdf</t>
  </si>
  <si>
    <t>United States Environmental Protection Agency (US, EPA), 2021. Anaerobic Digestion Facilities Processing Food Waste in the United States (2017 &amp; 2018). January 2021
EPA/903/S-21/001</t>
  </si>
  <si>
    <t>Total Capital Cost ($) with refueling station
(50 Years)</t>
  </si>
  <si>
    <t>Total Capital Cost ($) without refueling station
(50 Years)</t>
  </si>
  <si>
    <t>Refueling Station Cost ($)
Ref.: Susan S3 services, for fast fill
(Avg. of 750 k to 1.2 Million)</t>
  </si>
  <si>
    <t>Input Category</t>
  </si>
  <si>
    <t xml:space="preserve">Specific Input Required </t>
  </si>
  <si>
    <t xml:space="preserve">Value
</t>
  </si>
  <si>
    <t>Biogas Generation</t>
  </si>
  <si>
    <t>Golf Courses  (lb/ acre/ day)</t>
  </si>
  <si>
    <t>Manure</t>
  </si>
  <si>
    <t>Electricity-Microturbine (30-300 KW)</t>
  </si>
  <si>
    <t>Electricity-Gas Turbines (1-500 MW)</t>
  </si>
  <si>
    <t>Electricity-Reciprocating Engines</t>
  </si>
  <si>
    <t>Electricity-Fuel cells</t>
  </si>
  <si>
    <t>Electricity</t>
  </si>
  <si>
    <t>Pipeline Natural Gas</t>
  </si>
  <si>
    <t>Passenger Truck 1 (Gas)</t>
  </si>
  <si>
    <t>Passenger Truck 2 (Diesel)</t>
  </si>
  <si>
    <t>Passenger Truck 4 (Electric)</t>
  </si>
  <si>
    <t>1. Total Food Waste</t>
  </si>
  <si>
    <t>2. Total Yard Waste</t>
  </si>
  <si>
    <t>Fraction of sludge by weight that is solid (Fts) (Avg.)</t>
  </si>
  <si>
    <t>Fraction of total solids by weight that are organic (Fots)</t>
  </si>
  <si>
    <t>4. Manure</t>
  </si>
  <si>
    <t xml:space="preserve">6.  As per EPA's 3rd annual report on processing food waste, 95% of Water Resource Recovery Facilities (WRRF) facilities produce Class A or B biosolids. Among them 22% produce Class A and 78% produce Class B Biosolids. </t>
  </si>
  <si>
    <t>Amount of Waste (Tons/Year)</t>
  </si>
  <si>
    <t>Amount of selected Food Source
 (Tons/Year)</t>
  </si>
  <si>
    <t>Amount of selected Yard Source 
(Tons/Year)</t>
  </si>
  <si>
    <t>Commercial Yard Waste
 Generation Rate from Commercial Lawns (Tons/Year)</t>
  </si>
  <si>
    <t>Commercial Yard Waste
 Generation Rate from Parks (Tons/Year)</t>
  </si>
  <si>
    <t>Commercial Yard Waste
 Generation Rate from Golf Courses (Tons/Year)</t>
  </si>
  <si>
    <t>INPUT VALUES for Credit Calculation</t>
  </si>
  <si>
    <r>
      <rPr>
        <b/>
        <sz val="11"/>
        <color theme="1"/>
        <rFont val="Calibri"/>
        <family val="2"/>
        <scheme val="minor"/>
      </rPr>
      <t>Food,waste, Sludge, FOG &amp; Manure:</t>
    </r>
    <r>
      <rPr>
        <sz val="11"/>
        <color theme="1"/>
        <rFont val="Calibri"/>
        <family val="2"/>
        <scheme val="minor"/>
      </rPr>
      <t xml:space="preserve"> Bhatt, A. H. and Tao, L. 2020. Economic Perspectives of Biogas Production via Anaerobic Digestion. Bioengineering 2020, 7, 74; doi:10.3390/bioengineering7030074
</t>
    </r>
    <r>
      <rPr>
        <b/>
        <sz val="11"/>
        <color theme="1"/>
        <rFont val="Calibri"/>
        <family val="2"/>
        <scheme val="minor"/>
      </rPr>
      <t>Yard waste and Crop Residuals:</t>
    </r>
    <r>
      <rPr>
        <sz val="11"/>
        <color theme="1"/>
        <rFont val="Calibri"/>
        <family val="2"/>
        <scheme val="minor"/>
      </rPr>
      <t>Deublein and Steinhauser, 2008; OLGPB, 1976; NAS, 1977; Metcalf &amp; Eddy, 2004</t>
    </r>
  </si>
  <si>
    <t>Full</t>
  </si>
  <si>
    <t>Not Full</t>
  </si>
  <si>
    <t>Available Choices</t>
  </si>
  <si>
    <t>Operation &amp; Maintenance Cost ($)</t>
  </si>
  <si>
    <t>Grand Total Cost ($)</t>
  </si>
  <si>
    <t>5a</t>
  </si>
  <si>
    <t>Credit for Electricity Generation</t>
  </si>
  <si>
    <t>Value ($)</t>
  </si>
  <si>
    <t xml:space="preserve">LCFS Credit </t>
  </si>
  <si>
    <t>Credit for CO2 reduction</t>
  </si>
  <si>
    <t>Industrial AD</t>
  </si>
  <si>
    <t>Number of Animals</t>
  </si>
  <si>
    <t>Digester Tipping Fee ($)
(Ref.: EPA, 2021)</t>
  </si>
  <si>
    <t>On-farm Digesters</t>
  </si>
  <si>
    <t>Stand-alone/Industrial Digesters</t>
  </si>
  <si>
    <t>Average Tip Fee Rate Reported ($/ton)</t>
  </si>
  <si>
    <t>Feedstock (Ton/year)</t>
  </si>
  <si>
    <t>Total Cost ($/Year)</t>
  </si>
  <si>
    <t>For 50 Year ($)</t>
  </si>
  <si>
    <t xml:space="preserve">Cost ($) </t>
  </si>
  <si>
    <t>Garbage Truck</t>
  </si>
  <si>
    <t>Passenger Truck</t>
  </si>
  <si>
    <t>Electricity Options</t>
  </si>
  <si>
    <t>Vehicle: EV Options</t>
  </si>
  <si>
    <t>%</t>
  </si>
  <si>
    <t>Manure (Ib/day)</t>
  </si>
  <si>
    <t>Residence Time (Day)</t>
  </si>
  <si>
    <t>Mass of Manure/Number of Animals 
(Ib/1000 no. of unit/day)</t>
  </si>
  <si>
    <t>Cost in 50 Years ($)</t>
  </si>
  <si>
    <t>Number of Vehicle Refueling Possible</t>
  </si>
  <si>
    <t>Milage Covered by Biogas</t>
  </si>
  <si>
    <t>Fuel Cost Saved ($)</t>
  </si>
  <si>
    <t>Capacity of existing digesters, MG/Plant</t>
  </si>
  <si>
    <t>Existing farm digester</t>
  </si>
  <si>
    <t>New farm digester</t>
  </si>
  <si>
    <t>Acres of crops to be served by digester</t>
  </si>
  <si>
    <t>Amount of Manure Currently Treating, Ib/Day/Plant</t>
  </si>
  <si>
    <t>Amount of Crop Residue Currently Treating, Ib/Day/Plant</t>
  </si>
  <si>
    <t>New Yard Waste Source</t>
  </si>
  <si>
    <t>New Food Waste Source</t>
  </si>
  <si>
    <t>New FOG Source</t>
  </si>
  <si>
    <t>Selection of New Sources of Wastes</t>
  </si>
  <si>
    <t>Amount of selected Manure/Crop 
Residue Source (Tons/Year)</t>
  </si>
  <si>
    <t>New Manure/Crop Residue Source</t>
  </si>
  <si>
    <t>Food Waste or Mixed Organics 
 Generation Rate from Corporate Campus (Tons/Year)</t>
  </si>
  <si>
    <t>Waste Generation Rate
(Megagram/Ha/Annum)</t>
  </si>
  <si>
    <t>Waste Generation Rate
 (Gallons/week)</t>
  </si>
  <si>
    <t>100% Passenger Car</t>
  </si>
  <si>
    <t>75% Passenger Car</t>
  </si>
  <si>
    <t>50% Passenger Car</t>
  </si>
  <si>
    <t>25% Passenger Car</t>
  </si>
  <si>
    <t>0 % Passenger Car</t>
  </si>
  <si>
    <t>100% Garbage Truck</t>
  </si>
  <si>
    <t>75% Garbage Truck</t>
  </si>
  <si>
    <t>50% Garbage Truck</t>
  </si>
  <si>
    <t>25% Garbage Truck</t>
  </si>
  <si>
    <t>0% Garbage Truck</t>
  </si>
  <si>
    <t>100% Passenger Truck</t>
  </si>
  <si>
    <t>75% Passenger Truck</t>
  </si>
  <si>
    <t>50% Passenger Truck</t>
  </si>
  <si>
    <t>25% Passenger Truck</t>
  </si>
  <si>
    <t>0% Passenger Truck</t>
  </si>
  <si>
    <t>100% Light Commercial Truck</t>
  </si>
  <si>
    <t>75% Light Commercial Truck</t>
  </si>
  <si>
    <t>50% Light Commercial Truck</t>
  </si>
  <si>
    <t>25% Light Commercial Truck</t>
  </si>
  <si>
    <t>0% Light Commercial Truck</t>
  </si>
  <si>
    <t>100% Electricity-Microturbine (30-300 KW)</t>
  </si>
  <si>
    <t>75% Electricity-Microturbine (30-300 KW)</t>
  </si>
  <si>
    <t>50% Electricity-Microturbine (30-300 KW)</t>
  </si>
  <si>
    <t>25% Electricity-Microturbine (30-300 KW)</t>
  </si>
  <si>
    <t>0% Electricity-Microturbine (30-300 KW)</t>
  </si>
  <si>
    <t>100% Electricity-Gas Turbines (1-500 MW)</t>
  </si>
  <si>
    <t>75% Electricity-Gas Turbines (1-500 MW)</t>
  </si>
  <si>
    <t>50% Electricity-Gas Turbines (1-500 MW)</t>
  </si>
  <si>
    <t>25% Electricity-Gas Turbines (1-500 MW)</t>
  </si>
  <si>
    <t>0% Electricity-Gas Turbines (1-500 MW)</t>
  </si>
  <si>
    <t>100% Electricity-Reciprocating Engines</t>
  </si>
  <si>
    <t>75% Electricity-Reciprocating Engines</t>
  </si>
  <si>
    <t>50% Electricity-Reciprocating Engines</t>
  </si>
  <si>
    <t>25% Electricity-Reciprocating Engines</t>
  </si>
  <si>
    <t>0% Electricity-Reciprocating Engines</t>
  </si>
  <si>
    <t>100% Electricity-Fuel cells</t>
  </si>
  <si>
    <t>75% Electricity-Fuel cells</t>
  </si>
  <si>
    <t>50% Electricity-Fuel cells</t>
  </si>
  <si>
    <t>25% Electricity-Fuel cells</t>
  </si>
  <si>
    <t>0% Electricity-Fuel cells</t>
  </si>
  <si>
    <t>100% Pipeline Natural Gas</t>
  </si>
  <si>
    <t>75% Pipeline Natural Gas</t>
  </si>
  <si>
    <t>50% Pipeline Natural Gas</t>
  </si>
  <si>
    <t>25% Pipeline Natural Gas</t>
  </si>
  <si>
    <t>0% Pipeline Natural Gas</t>
  </si>
  <si>
    <t>Electric Vehicle Options</t>
  </si>
  <si>
    <t>FOG Generation Rate</t>
  </si>
  <si>
    <t>80% of restaurants produce yellow grease, and the average is 44 gallons per week. So: 
44 gal * 0.8 = 35.2 gal/week as an estimate for FOG.</t>
  </si>
  <si>
    <t>Final report Prepared by Moore, Travis; &amp; Myers,  Erika H;  An Assessment of the Restaurant Grease Collection and Rendering Industry in South Carolina; 
Published in December 1, 2006 and Revised: September 1, 2010; Administered for the United States Department of Energy by the Southern States Energy Board. Page 11.</t>
  </si>
  <si>
    <t>http://energy.sc.gov/files/Assessment_of_Restaurant_Grease_Report-Summer_2010%20_updated.pdf</t>
  </si>
  <si>
    <r>
      <t xml:space="preserve">Fat, Oil and Greease (FOG)
</t>
    </r>
    <r>
      <rPr>
        <b/>
        <sz val="12"/>
        <color theme="1"/>
        <rFont val="Calibri"/>
        <family val="2"/>
        <scheme val="minor"/>
      </rPr>
      <t>Waste Generation Rate:</t>
    </r>
    <r>
      <rPr>
        <sz val="12"/>
        <color theme="1"/>
        <rFont val="Calibri"/>
        <family val="2"/>
        <scheme val="minor"/>
      </rPr>
      <t xml:space="preserve"> http://energy.sc.gov/files/Assessment_of_Restaurant_Grease_Report-Summer_2010%20_updated.pdf
</t>
    </r>
    <r>
      <rPr>
        <b/>
        <sz val="12"/>
        <color theme="1"/>
        <rFont val="Calibri"/>
        <family val="2"/>
        <scheme val="minor"/>
      </rPr>
      <t>Density:</t>
    </r>
    <r>
      <rPr>
        <sz val="12"/>
        <color theme="1"/>
        <rFont val="Calibri"/>
        <family val="2"/>
        <scheme val="minor"/>
      </rPr>
      <t xml:space="preserve"> 1. https://www.dothan.org/DocumentCenter/View/3032/FOG---Science?bidId=
              2. https://www.werf.org </t>
    </r>
  </si>
  <si>
    <t>Animal Type</t>
  </si>
  <si>
    <t>Cow</t>
  </si>
  <si>
    <t>Pig</t>
  </si>
  <si>
    <t>Chicken</t>
  </si>
  <si>
    <t>Crop Residue Generation Rate</t>
  </si>
  <si>
    <t>FOG Density</t>
  </si>
  <si>
    <t>Manure Generation Rate</t>
  </si>
  <si>
    <t>Manure Density</t>
  </si>
  <si>
    <t>Lal, R; September 2004; World crop residues production and implications
 of its use as a biofuel; ELSEVIER; doi:10.1016/j.envint.2004.09.005; page: 581</t>
  </si>
  <si>
    <t xml:space="preserve">Modern agriculture, as practiced in the US Corn Belt, can produce 10 Mg/ha of crop residue per annum. </t>
  </si>
  <si>
    <t>0.91225 g/cm3</t>
  </si>
  <si>
    <t>Dairy (Lactating Cow): 150 Ib/day
Pigs/Swine (Swine-Grow finish-154 Ib): 10 Ib/day
Chicken (Poultry- Broiler): 0.229 Ib/day</t>
  </si>
  <si>
    <t>5b</t>
  </si>
  <si>
    <r>
      <t xml:space="preserve">Manure
</t>
    </r>
    <r>
      <rPr>
        <b/>
        <sz val="12"/>
        <color theme="1"/>
        <rFont val="Calibri"/>
        <family val="2"/>
        <scheme val="minor"/>
      </rPr>
      <t xml:space="preserve">Density: </t>
    </r>
    <r>
      <rPr>
        <sz val="12"/>
        <color theme="1"/>
        <rFont val="Calibri"/>
        <family val="2"/>
        <scheme val="minor"/>
      </rPr>
      <t>Lorimor, Jeff; Powers, Wendy; and Sutton, Al. Manure Characteristics,  https://www.canr.msu.edu/uploads/files/ManureCharacteristicsMWPS-18_1.pdf</t>
    </r>
    <r>
      <rPr>
        <sz val="16"/>
        <color theme="1"/>
        <rFont val="Calibri"/>
        <family val="2"/>
        <scheme val="minor"/>
      </rPr>
      <t xml:space="preserve">
</t>
    </r>
    <r>
      <rPr>
        <b/>
        <sz val="12"/>
        <color theme="1"/>
        <rFont val="Calibri"/>
        <family val="2"/>
        <scheme val="minor"/>
      </rPr>
      <t>Waste Generation Rate:</t>
    </r>
    <r>
      <rPr>
        <b/>
        <sz val="16"/>
        <color theme="1"/>
        <rFont val="Calibri"/>
        <family val="2"/>
        <scheme val="minor"/>
      </rPr>
      <t xml:space="preserve"> </t>
    </r>
    <r>
      <rPr>
        <sz val="12"/>
        <color theme="1"/>
        <rFont val="Calibri"/>
        <family val="2"/>
        <scheme val="minor"/>
      </rPr>
      <t>ASAE, 2005. Manure production and characteristics https://efotg.sc.egov.usda.gov/references/public/NE/ASABE_Standard_D384.2.pdf</t>
    </r>
  </si>
  <si>
    <t>Lorimor, Jeff., Powers, Wendy., and Sutton, Al.  Manure characteristics; 
Manure management systems series; Copyright © 2004, MidWest Plan Service, Iowa State University, Ames, Iowa. Table 6; page 13.</t>
  </si>
  <si>
    <t>https://www.canr.msu.edu/uploads/files/ManureCharacteristicsMWPS-18_1.pdf</t>
  </si>
  <si>
    <t xml:space="preserve">https://efotg.sc.egov.usda.gov/references/public/NE/ASABE_Standard_D384.2.pdf </t>
  </si>
  <si>
    <t>http://tinread.usarb.md:8888/tinread/fulltext/lal/biofuel.pdf</t>
  </si>
  <si>
    <t>1. Fats, Oils, and Grease (FOG) Science, Pg. 3. 
2. Kevin M. Keener, Ph.D., P.E., Characterization of Fat, Oil, and Grease Deposits</t>
  </si>
  <si>
    <t xml:space="preserve">1. https://www.dothan.org/DocumentCenter/View/3032/FOG---Science?bidId=
2. https://www.werf.org 
</t>
  </si>
  <si>
    <t xml:space="preserve">American Society of Agricultural Engineers (ASAE), 2005. Manure production and characteristics 
</t>
  </si>
  <si>
    <t>Type of fuel/energy output</t>
  </si>
  <si>
    <t>Not Applicable</t>
  </si>
  <si>
    <t>Storage Addition for Manure (If existing is Full)</t>
  </si>
  <si>
    <t>Waste Generation Rate
(Kg/Ha/Annum)</t>
  </si>
  <si>
    <t>Additional Digester Volume needed (MG/Plant)</t>
  </si>
  <si>
    <t>Details</t>
  </si>
  <si>
    <r>
      <t>Capcity to store Additional Waste on site, m</t>
    </r>
    <r>
      <rPr>
        <vertAlign val="superscript"/>
        <sz val="12"/>
        <color theme="1"/>
        <rFont val="Calibri"/>
        <family val="2"/>
        <scheme val="minor"/>
      </rPr>
      <t>3</t>
    </r>
  </si>
  <si>
    <t>Waste Mass
(Kg/Digester/Year)</t>
  </si>
  <si>
    <t>Waste Mass
(Tons/Year)</t>
  </si>
  <si>
    <r>
      <t>Density 
(g/cm</t>
    </r>
    <r>
      <rPr>
        <b/>
        <vertAlign val="superscript"/>
        <sz val="11"/>
        <color theme="1"/>
        <rFont val="Calibri"/>
        <family val="2"/>
        <scheme val="minor"/>
      </rPr>
      <t>3</t>
    </r>
    <r>
      <rPr>
        <b/>
        <sz val="11"/>
        <color theme="1"/>
        <rFont val="Calibri"/>
        <family val="2"/>
        <scheme val="minor"/>
      </rPr>
      <t>)</t>
    </r>
  </si>
  <si>
    <t>Waste Mass 
(Tons/Year)</t>
  </si>
  <si>
    <t>Density 
(Mg/m3)</t>
  </si>
  <si>
    <r>
      <t xml:space="preserve">Crop Residue
</t>
    </r>
    <r>
      <rPr>
        <b/>
        <sz val="11"/>
        <color theme="1"/>
        <rFont val="Calibri"/>
        <family val="2"/>
        <scheme val="minor"/>
      </rPr>
      <t xml:space="preserve">Waste Generation Rate: </t>
    </r>
    <r>
      <rPr>
        <sz val="11"/>
        <color theme="1"/>
        <rFont val="Calibri"/>
        <family val="2"/>
        <scheme val="minor"/>
      </rPr>
      <t>Lal, R; September 2004; World crop residues production and implications of its use as a biofuel; ELSEVIER; doi:10.1016/j.envint.2004.09.005; page: 581.</t>
    </r>
    <r>
      <rPr>
        <b/>
        <sz val="16"/>
        <color theme="1"/>
        <rFont val="Calibri"/>
        <family val="2"/>
        <scheme val="minor"/>
      </rPr>
      <t xml:space="preserve">
</t>
    </r>
    <r>
      <rPr>
        <b/>
        <sz val="11"/>
        <color theme="1"/>
        <rFont val="Calibri"/>
        <family val="2"/>
        <scheme val="minor"/>
      </rPr>
      <t xml:space="preserve">Density:  </t>
    </r>
    <r>
      <rPr>
        <sz val="11"/>
        <color theme="1"/>
        <rFont val="Calibri"/>
        <family val="2"/>
        <scheme val="minor"/>
      </rPr>
      <t>Deublein, D. and Steinhauser, A. Biogas from Waste and Renewable Resources. 2008. Page 409. ISBN  978 - 0 - 470 - 02674 – 8</t>
    </r>
  </si>
  <si>
    <t>Density 
(Ib/ft3)</t>
  </si>
  <si>
    <t>Density 
(Ib/gal)</t>
  </si>
  <si>
    <t>Manure feed rate (M) for Cow</t>
  </si>
  <si>
    <t>Manure feed rate (M) for Pig</t>
  </si>
  <si>
    <t>Manure feed rate (M) for Chicken</t>
  </si>
  <si>
    <t>Waste Generation Rate (Ib/Day/animal)</t>
  </si>
  <si>
    <t>Number of Cows</t>
  </si>
  <si>
    <t>Number of Pigs</t>
  </si>
  <si>
    <t>Number of Chickens</t>
  </si>
  <si>
    <t>Current Garbage Truck (Diesel)/New (Electric)</t>
  </si>
  <si>
    <t>Current Passenger Car (Diesel/New (Electric)</t>
  </si>
  <si>
    <t>Current Passenger Car (Gasoline)/ New (Electric)</t>
  </si>
  <si>
    <t>Current Passenger Truck (Diesel)/New (Electric)</t>
  </si>
  <si>
    <t>Current Passenger Truck (Gasoline)/New (Electric)</t>
  </si>
  <si>
    <t>Current Light Commercial Truck (Diesel)/New (Electric)</t>
  </si>
  <si>
    <t>Current Light Commercial Truck (Gasoline)/New (Electric)</t>
  </si>
  <si>
    <t>Current/New Vehicle fuel choices</t>
  </si>
  <si>
    <t>Existing Storage Capacity for Manure</t>
  </si>
  <si>
    <t>Existing Storage Capacity for Food &amp; Yard Waste</t>
  </si>
  <si>
    <t>Food and yard Waste (Ib/day)</t>
  </si>
  <si>
    <t>Density of Manure (Ib/m3)</t>
  </si>
  <si>
    <t>Density of Food and Yard Waste (Ib/m3)
(Average of Food Waste and Yard Waste Density: (515+375) Ib/yd3 =(445 Ib/yd3)*(1yd3/0.764m3)= 583 Ib/m3
Ref: Worrell, W. A., Vesilind, P. A. 2012. Solid Waste Engineering, Second Edition.</t>
  </si>
  <si>
    <t>NA</t>
  </si>
  <si>
    <t>Storage Addition for Food and Yard Waste (If existing is full)</t>
  </si>
  <si>
    <t xml:space="preserve"> Final Capital Cost ($)</t>
  </si>
  <si>
    <t>Yes</t>
  </si>
  <si>
    <t>No</t>
  </si>
  <si>
    <t>Number of Restaurants</t>
  </si>
  <si>
    <t>Volume of Sludge currently treating, MG/Plant</t>
  </si>
  <si>
    <t>Volume of Cow Manure currently treating</t>
  </si>
  <si>
    <t>Volume of Crop Residue currently treating</t>
  </si>
  <si>
    <t>Volume of FOG currently treating</t>
  </si>
  <si>
    <t>Residence Time of waste in digester for WWTP</t>
  </si>
  <si>
    <t>Residence Time of waste in digester for Farms</t>
  </si>
  <si>
    <t>Residence Time of waste in digester for Industrial</t>
  </si>
  <si>
    <t>Additional Digester Volume needed WWTP</t>
  </si>
  <si>
    <t>Additional Digester Volume needed Farm</t>
  </si>
  <si>
    <t>Additional Digester Volume needed Industrial</t>
  </si>
  <si>
    <t>Farm New AD (Manure)</t>
  </si>
  <si>
    <t>Farm New AD (Crop Residue)</t>
  </si>
  <si>
    <t>Farm AD (Manure)</t>
  </si>
  <si>
    <t>Farm AD (Crop Residue)</t>
  </si>
  <si>
    <t>Numbers of AD needed /Cost ($)</t>
  </si>
  <si>
    <t>PTC Credit ($) 
($/Kwh)</t>
  </si>
  <si>
    <t>Renewble Electricity Credit + Production Tax Credit + Electricity Sales</t>
  </si>
  <si>
    <t>Existing Digesters Volume for WWTP</t>
  </si>
  <si>
    <t>Existing Digesters Volume for Farm</t>
  </si>
  <si>
    <t>Capacity Needed (kWh/yr)</t>
  </si>
  <si>
    <t>New Industrial digester</t>
  </si>
  <si>
    <t>Please Input 'Waste Mass Values' in 'Waste Mass Calculations Tab'</t>
  </si>
  <si>
    <t>Size (MG)/Amount (Tons/year)</t>
  </si>
  <si>
    <t>Existing Water resource recovery facility digester</t>
  </si>
  <si>
    <t>Additional cost of Electric over diesel vehicles</t>
  </si>
  <si>
    <t>Additional cost of Electric  over diesel vehicles</t>
  </si>
  <si>
    <t>Total</t>
  </si>
  <si>
    <t>10’ Trailer (1895 Ib)</t>
  </si>
  <si>
    <t>12-16’ Trailer (5115-5335 Ib)</t>
  </si>
  <si>
    <t>18’ Trailer (5065 Ib)</t>
  </si>
  <si>
    <t>Feedstock (Ib/year)</t>
  </si>
  <si>
    <t xml:space="preserve"> (kWh/Year)</t>
  </si>
  <si>
    <t>Total Gas, Energy and Electricity production from chosen options</t>
  </si>
  <si>
    <t>Waste</t>
  </si>
  <si>
    <t>Vehicle Capacity (tons)</t>
  </si>
  <si>
    <t>Vehicle Fuel Economy (mi/fuel unit)</t>
  </si>
  <si>
    <t>Per-sonnel</t>
  </si>
  <si>
    <t>Driver salary ($/hour)</t>
  </si>
  <si>
    <t>Helper salary ($/hour)</t>
  </si>
  <si>
    <t>Velocity (mph)</t>
  </si>
  <si>
    <t>Residential – all kinds (food, yard, mixed)</t>
  </si>
  <si>
    <t>Driver &amp; helper</t>
  </si>
  <si>
    <t>Commercial food waste, FOG</t>
  </si>
  <si>
    <t>Roll Off Trucks</t>
  </si>
  <si>
    <t>Driver only</t>
  </si>
  <si>
    <t>Commercial yard waste</t>
  </si>
  <si>
    <t>Pick-up truck towing 16’ trailer</t>
  </si>
  <si>
    <t>Manure, crop residuals</t>
  </si>
  <si>
    <t>Cost of fuel
($/fuel unit)</t>
  </si>
  <si>
    <t xml:space="preserve">Waste transport vehicle operating costs ($/year) </t>
  </si>
  <si>
    <t>Existing Water Resource Recovery Facility and Existing farm digester</t>
  </si>
  <si>
    <t>Treatment of Liquid Phase &amp; PFAS removal cost</t>
  </si>
  <si>
    <t>Manure/Crop Residue</t>
  </si>
  <si>
    <t>Numbers of Credit</t>
  </si>
  <si>
    <t>https://greenliving.lovetoknow.com/How_to_Measure_and_Price_Carbon_Credits</t>
  </si>
  <si>
    <t>Choice of Type of Digester and Pre-processing</t>
  </si>
  <si>
    <t>Choice of Current Garbage Truck</t>
  </si>
  <si>
    <t>AD Capital Cost ($)</t>
  </si>
  <si>
    <t>AD O&amp;M Cost ($)</t>
  </si>
  <si>
    <t>AD Total Cost ($)</t>
  </si>
  <si>
    <t>Total Digester Tipping Fee Benefit ($)</t>
  </si>
  <si>
    <t>Total Cost or Benefit for Composting($)</t>
  </si>
  <si>
    <t>Capital Cost Calculation</t>
  </si>
  <si>
    <t>Operation Cost Calculation</t>
  </si>
  <si>
    <t>Capacity</t>
  </si>
  <si>
    <t>Price 
($)</t>
  </si>
  <si>
    <t>Capacity 
(tons/year)</t>
  </si>
  <si>
    <t>Density of Food Waste 
(Ib/yd3)</t>
  </si>
  <si>
    <t>Power Requirements</t>
  </si>
  <si>
    <t>Power Requirements (kw)</t>
  </si>
  <si>
    <t>Kwh/year</t>
  </si>
  <si>
    <t xml:space="preserve">Electricity Price ($/kwh) </t>
  </si>
  <si>
    <t>Operation Cost ($/year)</t>
  </si>
  <si>
    <t>Operation Cost ($/Ton)</t>
  </si>
  <si>
    <t>tons/hour</t>
  </si>
  <si>
    <t>74.7 KW by 380 or 400 volt</t>
  </si>
  <si>
    <t>ft3/hr</t>
  </si>
  <si>
    <t>230 V/460 V/3ph/60 Hz</t>
  </si>
  <si>
    <t>NA (no ampire mentioned)</t>
  </si>
  <si>
    <t>25 to 75 HP</t>
  </si>
  <si>
    <t>up to 28</t>
  </si>
  <si>
    <t>yd3/hour</t>
  </si>
  <si>
    <t>up to 30</t>
  </si>
  <si>
    <t>30 HP, 230/460 V, 3 PH</t>
  </si>
  <si>
    <t>up to 10</t>
  </si>
  <si>
    <t xml:space="preserve">7.5 KW (10 HP), 460 V, 3 PH </t>
  </si>
  <si>
    <t>Average Operation Cost ($/Ton)</t>
  </si>
  <si>
    <t>Depackaging Cost of Food Waste 
Ref.: Summary of Depackaging Technologies, Recycling works Massachusetts, https://recyclingworksma.com/wp-content/uploads/2014/11/Depackaging_Combined_2014.pdf</t>
  </si>
  <si>
    <t>Capital Cost ($/year)</t>
  </si>
  <si>
    <t>Operation Cost ($) in terms of 50 years</t>
  </si>
  <si>
    <t>Cost of Shredder/Storage of manure/Storage of Food/yard waste/Depackaging of Food Waste</t>
  </si>
  <si>
    <t>Ginder/Storage/Depackaging for Manure and Food/Yard Waste Choice</t>
  </si>
  <si>
    <t>Capacity (MW &amp; KW)</t>
  </si>
  <si>
    <t>Microturbine</t>
  </si>
  <si>
    <t>Fuel Cells</t>
  </si>
  <si>
    <t>6a</t>
  </si>
  <si>
    <t>6b</t>
  </si>
  <si>
    <t xml:space="preserve">Grinder </t>
  </si>
  <si>
    <t>Grinder +  Storage for manure</t>
  </si>
  <si>
    <t>Grinder  +  Storage for manure+ Storage for food &amp; yard waste</t>
  </si>
  <si>
    <t>Depackaging</t>
  </si>
  <si>
    <t>Depackaging + Grinder</t>
  </si>
  <si>
    <t>Depackaging + Grinder+Storage for Food &amp; Yard Waste</t>
  </si>
  <si>
    <t xml:space="preserve"> Cost Associated With Energy
 Conversion (Electricity)</t>
  </si>
  <si>
    <t>Capital Cost ($) 
(2015$)</t>
  </si>
  <si>
    <t xml:space="preserve"> Cost Associated With Pipeline Natural Gas
 Conversion </t>
  </si>
  <si>
    <t xml:space="preserve">Installed cost of onsite Pipeline NG conversion </t>
  </si>
  <si>
    <t>Biogas Conversion to Pipeline NG  Operating Cost</t>
  </si>
  <si>
    <t xml:space="preserve"> Biogas Conversion to Pipeline NG Capital Cost</t>
  </si>
  <si>
    <t>Without Refueling Station (Biogas to Pipeline NG)</t>
  </si>
  <si>
    <t>With Refueling Station (Biogas to Pipeline NG)</t>
  </si>
  <si>
    <t>Without Charging Station (Biogas to Electricity Standard Turbine-Generator Set)</t>
  </si>
  <si>
    <t>With Charging Station (Biogas to Electricity Standard Turbine-Generator Set)</t>
  </si>
  <si>
    <t>Without Charging Station (Biogas to Electricity Standard Reciprocating Engine-Generator Set)</t>
  </si>
  <si>
    <t>With Charging Station (Biogas to Electricity Standard Reciprocating Engine-Generator Set)</t>
  </si>
  <si>
    <t>Without Charging Station (Biogas to Microturbine)</t>
  </si>
  <si>
    <t>With Charging Station (Biogas to Microturbine)</t>
  </si>
  <si>
    <t>Without Charging Station (Biogas to Fuel Cells)</t>
  </si>
  <si>
    <t>With Charging Station (Biogas to Fuel Cells)</t>
  </si>
  <si>
    <r>
      <t xml:space="preserve">Annual O &amp; M Cost ($) for 
Compression/Treatment and 
</t>
    </r>
    <r>
      <rPr>
        <b/>
        <sz val="12"/>
        <color rgb="FFFF0000"/>
        <rFont val="Calibri"/>
        <family val="2"/>
        <scheme val="minor"/>
      </rPr>
      <t xml:space="preserve">Turbine/generator or Engine or Generator </t>
    </r>
    <r>
      <rPr>
        <b/>
        <sz val="12"/>
        <color theme="1"/>
        <rFont val="Calibri"/>
        <family val="2"/>
        <scheme val="minor"/>
      </rPr>
      <t>or Microturbine or Fuel cells</t>
    </r>
    <r>
      <rPr>
        <b/>
        <sz val="12"/>
        <color rgb="FFFF0000"/>
        <rFont val="Calibri"/>
        <family val="2"/>
        <scheme val="minor"/>
      </rPr>
      <t xml:space="preserve">
(excluding energy)</t>
    </r>
  </si>
  <si>
    <t>Charging Station Cost ($)
Ref.: NCTCOG</t>
  </si>
  <si>
    <t>Total Capital Cost ($) without charging station
(50 Years)</t>
  </si>
  <si>
    <t>Total Capital Cost ($) with charging station
(50 Years)</t>
  </si>
  <si>
    <t>Profuct Methane (MMBtu/Hr)</t>
  </si>
  <si>
    <t>Generated Total Energy (BTU/Year)</t>
  </si>
  <si>
    <t>Capital Cost (2015)
($) converted to 2019 ($)</t>
  </si>
  <si>
    <t>Charging Station Cost ($)</t>
  </si>
  <si>
    <t>Annual O &amp; M cost ($)</t>
  </si>
  <si>
    <t>Type of Conversion</t>
  </si>
  <si>
    <t>NOx</t>
  </si>
  <si>
    <t>SO2</t>
  </si>
  <si>
    <t>Fuel Cells (Ib/MWh)</t>
  </si>
  <si>
    <t>Reciprocating Engines (Ib/MWh)</t>
  </si>
  <si>
    <t>Turbines (1-500 MW) (Ib/MWh)</t>
  </si>
  <si>
    <t>Microturbine (30-330 KW) (Ib/MWh)</t>
  </si>
  <si>
    <t>Energy 
(Mwh/year) or (MMBTU/year)</t>
  </si>
  <si>
    <t>Volume (Gallon)</t>
  </si>
  <si>
    <r>
      <t>SO</t>
    </r>
    <r>
      <rPr>
        <b/>
        <vertAlign val="subscript"/>
        <sz val="11"/>
        <color theme="1"/>
        <rFont val="Calibri"/>
        <family val="2"/>
        <scheme val="minor"/>
      </rPr>
      <t>2</t>
    </r>
  </si>
  <si>
    <t>INPUT VALUES for Waste Transport Emissions</t>
  </si>
  <si>
    <t>Energy (MMBtu/Hr)</t>
  </si>
  <si>
    <t>Annual O &amp; M cost (2015 $) to (2019 $)</t>
  </si>
  <si>
    <t>Annual O &amp; M cost (2019 $)</t>
  </si>
  <si>
    <t>Stages</t>
  </si>
  <si>
    <t>CO2 eq.  (kg CO2-eq./ton digestate)</t>
  </si>
  <si>
    <t>Storage (Prior-Digestion)</t>
  </si>
  <si>
    <t>Storage of Digestate</t>
  </si>
  <si>
    <t>Storage of digestate</t>
  </si>
  <si>
    <t>1.5 m3 CH4/ton</t>
  </si>
  <si>
    <t>https://www.sciencedirect.com/science/article/pii/B9780128183533000171</t>
  </si>
  <si>
    <t>Emissions from energy consumption for treatment</t>
  </si>
  <si>
    <t>Digestate use as fertilizer</t>
  </si>
  <si>
    <t>Digestate Replaces Mineral Fertilizer</t>
  </si>
  <si>
    <t xml:space="preserve">13 kg CO2eq/ton </t>
  </si>
  <si>
    <t>https://www.pollutionsolutions-online.com/article/water-wastewater/17/european-biogas-association/the-use-of-digestate-as-an-organic-fertiliser/1593</t>
  </si>
  <si>
    <t>CO2eq [kg CO2eq/t Digestate]</t>
  </si>
  <si>
    <t>https://www.mdpi.com/2227-9717/8/2/142</t>
  </si>
  <si>
    <t>Grinder</t>
  </si>
  <si>
    <t>Kwh/Ton</t>
  </si>
  <si>
    <t xml:space="preserve">1. Diesel garbage truck </t>
  </si>
  <si>
    <t xml:space="preserve">Clean Fuel Standard (CFS) Credit for Digester </t>
  </si>
  <si>
    <t>Credit Unit Price
($/Metric Ton CO2 eq.)</t>
  </si>
  <si>
    <t>Carbon Credit</t>
  </si>
  <si>
    <t>Location of Selling Biogas</t>
  </si>
  <si>
    <t>Oregon</t>
  </si>
  <si>
    <t>Not Oregon</t>
  </si>
  <si>
    <t>CFS Credit ($)</t>
  </si>
  <si>
    <t xml:space="preserve">Location of Selling Biogas </t>
  </si>
  <si>
    <t>California, Connecticut, Delaware, Maine, Maryland, Massachusetts, New Hampshire, New Jersey, New York, Rhode Island, Vermont, and Virginia</t>
  </si>
  <si>
    <t>Outside the list above</t>
  </si>
  <si>
    <t>Carbon Credit ($)</t>
  </si>
  <si>
    <t>https://www.mdpi.com/2071-1050/10/1/286</t>
  </si>
  <si>
    <t>Storage digestate (no cover)</t>
  </si>
  <si>
    <t>CH4 kg/ton dry manure</t>
  </si>
  <si>
    <t>Solid-Liquid Separation</t>
  </si>
  <si>
    <t>Turbine (1-500 MW)</t>
  </si>
  <si>
    <t>MicroTurbine (30-330 KW)</t>
  </si>
  <si>
    <t>PM Reduction Social Benefit
in $/Year</t>
  </si>
  <si>
    <t>Social Benefit of PM as per EU28 (€2015/kg emission) with VAT
(converted to dollars)</t>
  </si>
  <si>
    <t xml:space="preserve">Summary of Stages </t>
  </si>
  <si>
    <t>CO2eq (kg/year)</t>
  </si>
  <si>
    <t>Solid-liquid Separation</t>
  </si>
  <si>
    <t>Summary Table for Transportation (Capital and Operation Cost) ($)</t>
  </si>
  <si>
    <t xml:space="preserve">Summary Table for Anaerobic Digester Cost (Capital and Operation) ($) </t>
  </si>
  <si>
    <t xml:space="preserve">Summary Table for Biogas Choice </t>
  </si>
  <si>
    <t>Vehicle Miles Traveled 
(Miles/Year)</t>
  </si>
  <si>
    <t xml:space="preserve"> kg CO2 tonne–1 ww</t>
  </si>
  <si>
    <t>Average</t>
  </si>
  <si>
    <t>MMTCO2e</t>
  </si>
  <si>
    <t xml:space="preserve">https://www.epa.gov/lmop/frequent-questions-about-landfill-gas </t>
  </si>
  <si>
    <t xml:space="preserve">https://www.epa.gov/ghgreporting/ghgrp-waste </t>
  </si>
  <si>
    <t>Overall emission</t>
  </si>
  <si>
    <t>Type of Emission</t>
  </si>
  <si>
    <t>Diesel Garbage Truck</t>
  </si>
  <si>
    <t>Gasoline Pickup Truck</t>
  </si>
  <si>
    <t>Gasoline Roll Off Truck</t>
  </si>
  <si>
    <t>Summary of Benefit for 50 Years</t>
  </si>
  <si>
    <t xml:space="preserve">EV Passenger Truck </t>
  </si>
  <si>
    <t>Total Sum for all vehicles altogether ($)</t>
  </si>
  <si>
    <t>Sector of Emission</t>
  </si>
  <si>
    <t>Amount of CO Reduction 
 (kg/Year)</t>
  </si>
  <si>
    <t>Amount of PM Reduction 
 (kg/Year)</t>
  </si>
  <si>
    <t>Amount of NOx Reduction 
 (kg/Year)</t>
  </si>
  <si>
    <t>Amount of SOx Reduction  (kg/Year)</t>
  </si>
  <si>
    <t>Amount of VOC Reduction
 (kg/Year)</t>
  </si>
  <si>
    <t xml:space="preserve">Type of Pollutant and Emission </t>
  </si>
  <si>
    <t>CO2-Eq. Reduction Social Benefit
in $/Year
(Storage of Digestate)</t>
  </si>
  <si>
    <t>CO2-Eq. Reduction Social Benefit
in $/Year 
(Digestate use as fertilizer)</t>
  </si>
  <si>
    <t>Emissions during electricity generation from regular power mix (Kg/year)</t>
  </si>
  <si>
    <t>https://recyclingworksma.com/wp-content/uploads/2014/11/Depackaging_Combined_2014.pdf</t>
  </si>
  <si>
    <t xml:space="preserve">4. Gasoline Pickup Truck </t>
  </si>
  <si>
    <t xml:space="preserve">5. Gasoline Roll off truck </t>
  </si>
  <si>
    <t>3. EV garbage truck</t>
  </si>
  <si>
    <t>Type of Preprocessing</t>
  </si>
  <si>
    <t>Amount of PM Reduction from alternate fuel vehicle
 (kg/Year)</t>
  </si>
  <si>
    <t>CO2 Reduction Social Benefit
in $/Year</t>
  </si>
  <si>
    <t>https://www.epa.gov/facts-and-figures-about-materials-waste-and-recycling/national-overview-facts-and-figures-materials</t>
  </si>
  <si>
    <t>Waste Generated (million tons)</t>
  </si>
  <si>
    <t>Direct Emission</t>
  </si>
  <si>
    <t>Overall Emission</t>
  </si>
  <si>
    <t>CO2e</t>
  </si>
  <si>
    <t>Amount of selected FOG Source (Tons/year)</t>
  </si>
  <si>
    <t>Total Waste Disposed (Tons/year)</t>
  </si>
  <si>
    <t>Emission (Kg/year)</t>
  </si>
  <si>
    <t>Indirect Emission</t>
  </si>
  <si>
    <t xml:space="preserve">Total Energy
(BTU/Year) </t>
  </si>
  <si>
    <t>Energy used for 
impurities removal
(BTU/Year)</t>
  </si>
  <si>
    <t>Impurities Removal</t>
  </si>
  <si>
    <t>Type of Method</t>
  </si>
  <si>
    <t xml:space="preserve">Indirect Emission </t>
  </si>
  <si>
    <t>Type of Pollutants</t>
  </si>
  <si>
    <t>Total Waste (Tons/Year)</t>
  </si>
  <si>
    <t>Type of Process</t>
  </si>
  <si>
    <t>Composting</t>
  </si>
  <si>
    <t>Direct &amp; Indirect Emission</t>
  </si>
  <si>
    <t>Source of Emission</t>
  </si>
  <si>
    <r>
      <t xml:space="preserve">Volume of Biogas generation from Food, Yard, Sludge, Manure, Crop Residue &amp; FOG
</t>
    </r>
    <r>
      <rPr>
        <b/>
        <sz val="14"/>
        <color rgb="FF7030A0"/>
        <rFont val="Calibri"/>
        <family val="2"/>
        <scheme val="minor"/>
      </rPr>
      <t>(Max. Specific Yield Ref: Food, Sludge, Animal Manure &amp; FOG: Bhatt &amp;Tao, 2020; Yard &amp; Crop Residuals: : Deublein and Steinhauser, 2008)</t>
    </r>
  </si>
  <si>
    <r>
      <t xml:space="preserve">Energy generated by Food, Yard, Sludge, Manure, Crop Residue &amp; FOG
</t>
    </r>
    <r>
      <rPr>
        <b/>
        <sz val="14"/>
        <color rgb="FF7030A0"/>
        <rFont val="Calibri"/>
        <family val="2"/>
        <scheme val="minor"/>
      </rPr>
      <t>(Ref: Deublein and Steinhauser, 2008; FOG: Bhatt &amp;Tao, 2020)</t>
    </r>
  </si>
  <si>
    <t>Electricity generated by Food, Yard, Sludge, Manure, Crop Residue &amp; FOG</t>
  </si>
  <si>
    <t>Choosen Option for 
AD</t>
  </si>
  <si>
    <t>Choosen Option for 
Landfill</t>
  </si>
  <si>
    <t>Emission from Waste Transport Vehicle_Landfill</t>
  </si>
  <si>
    <t>Emission from Waste Transport Vehicle_Composting</t>
  </si>
  <si>
    <t>Waste transport vehicle</t>
  </si>
  <si>
    <t>Indirect Emission-Landfill</t>
  </si>
  <si>
    <r>
      <rPr>
        <b/>
        <sz val="14"/>
        <color theme="1"/>
        <rFont val="Calibri"/>
        <family val="2"/>
        <scheme val="minor"/>
      </rPr>
      <t xml:space="preserve">Cost of Digestate Processing ($) </t>
    </r>
    <r>
      <rPr>
        <b/>
        <sz val="11"/>
        <color theme="1"/>
        <rFont val="Calibri"/>
        <family val="2"/>
        <scheme val="minor"/>
      </rPr>
      <t xml:space="preserve">
Process Cost: (Ref: </t>
    </r>
    <r>
      <rPr>
        <b/>
        <sz val="11"/>
        <color rgb="FF8C3FC5"/>
        <rFont val="Calibri"/>
        <family val="2"/>
        <scheme val="minor"/>
      </rPr>
      <t>Drosg, B., Fuchs, W., Al Seadi, T., Madsen, M., Linke, B. 2015. Nutrient Recovery by Biogas Digestate Processing, IEA Bioenergy</t>
    </r>
    <r>
      <rPr>
        <b/>
        <sz val="11"/>
        <color theme="1"/>
        <rFont val="Calibri"/>
        <family val="2"/>
        <scheme val="minor"/>
      </rPr>
      <t>)
PFAS removal cost: 37% (Ref:</t>
    </r>
    <r>
      <rPr>
        <b/>
        <sz val="11"/>
        <color rgb="FF8C3FC5"/>
        <rFont val="Calibri"/>
        <family val="2"/>
        <scheme val="minor"/>
      </rPr>
      <t xml:space="preserve"> Cost Analysis of the Impacts on Municipal
Utilities and Biosolids Management to Address PFAS Contamination,CDM Smith</t>
    </r>
    <r>
      <rPr>
        <b/>
        <sz val="11"/>
        <color theme="1"/>
        <rFont val="Calibri"/>
        <family val="2"/>
        <scheme val="minor"/>
      </rPr>
      <t>)
Digestate amount: The volume of digestate will be around 90-95% of what was fed into the digester
 (Ref.:</t>
    </r>
    <r>
      <rPr>
        <b/>
        <sz val="11"/>
        <color rgb="FF8C3FC5"/>
        <rFont val="Calibri"/>
        <family val="2"/>
        <scheme val="minor"/>
      </rPr>
      <t xml:space="preserve"> https://www.biogas-info.co.uk/about/digestate/ </t>
    </r>
    <r>
      <rPr>
        <b/>
        <sz val="11"/>
        <color theme="1"/>
        <rFont val="Calibri"/>
        <family val="2"/>
        <scheme val="minor"/>
      </rPr>
      <t>)</t>
    </r>
  </si>
  <si>
    <t>Indirect Emission-Anaerobic digester</t>
  </si>
  <si>
    <t>5.Total Gas conversion Capacity (Electricity) in kWh</t>
  </si>
  <si>
    <t>6. Gas conversion capacity already used (Electricity) in kWh</t>
  </si>
  <si>
    <t>9. Capacity of existing digesters, MG/Plant</t>
  </si>
  <si>
    <t>10. Amount of Manure Currently Treating, Ib/Day/Plant</t>
  </si>
  <si>
    <t>11. Amount of Crop Residue Currently Treating, Ib/Day/Plant</t>
  </si>
  <si>
    <t>13. Acres of crops to be served by digester</t>
  </si>
  <si>
    <t>14. Number of Cows</t>
  </si>
  <si>
    <t>15. Number of Pigs</t>
  </si>
  <si>
    <t>16. Number of Chickens</t>
  </si>
  <si>
    <t>For Existing Water resource recovery facility digester</t>
  </si>
  <si>
    <t>Other Information</t>
  </si>
  <si>
    <r>
      <t>12. Capcity to store Additional Waste on site, m</t>
    </r>
    <r>
      <rPr>
        <vertAlign val="superscript"/>
        <sz val="11"/>
        <color theme="1"/>
        <rFont val="Calibri"/>
        <family val="2"/>
        <scheme val="minor"/>
      </rPr>
      <t>3</t>
    </r>
  </si>
  <si>
    <t>Acronyms Used in POWER Tool</t>
  </si>
  <si>
    <t>Mandatory Inputs and Outputs of POWER Tool</t>
  </si>
  <si>
    <r>
      <t xml:space="preserve">Emission from Waste Transport Vehicle_Anaerobic Digester
</t>
    </r>
    <r>
      <rPr>
        <b/>
        <sz val="14"/>
        <color rgb="FFFF0000"/>
        <rFont val="Calibri"/>
        <family val="2"/>
        <scheme val="minor"/>
      </rPr>
      <t>(NO USER INPUT NEEDED)</t>
    </r>
  </si>
  <si>
    <t>Type of AD</t>
  </si>
  <si>
    <t>WWTP New AD</t>
  </si>
  <si>
    <t>Average Cost of Electricity ($/Kwh)</t>
  </si>
  <si>
    <t>Required Electricity (Kwh/Year)</t>
  </si>
  <si>
    <t>Industrial New AD</t>
  </si>
  <si>
    <t>Value (kg/ton dry manure)</t>
  </si>
  <si>
    <t>Waste Storage</t>
  </si>
  <si>
    <t>Storage Untreated Manure (CH4)</t>
  </si>
  <si>
    <t>Storage Untreated Manure (N2O)</t>
  </si>
  <si>
    <t>Emissions  (Kg/year)</t>
  </si>
  <si>
    <t xml:space="preserve">N2O    </t>
  </si>
  <si>
    <t>Energy (MMBTU/Year)</t>
  </si>
  <si>
    <t xml:space="preserve">Upgrading and Pipeline injections </t>
  </si>
  <si>
    <t>Upgrading and Pipeline Injection</t>
  </si>
  <si>
    <r>
      <t xml:space="preserve">Calculation of Methane generation from the Food, Yard, Sludge, Manure, Crop Residue &amp; FOG
</t>
    </r>
    <r>
      <rPr>
        <b/>
        <sz val="16"/>
        <color rgb="FFFF0000"/>
        <rFont val="Calibri"/>
        <family val="2"/>
        <scheme val="minor"/>
      </rPr>
      <t>(NO USER INPUT NEEDED)</t>
    </r>
  </si>
  <si>
    <r>
      <t>Digester Size and Cost Calculations 
(Optional user input in</t>
    </r>
    <r>
      <rPr>
        <b/>
        <sz val="16"/>
        <color theme="5"/>
        <rFont val="Calibri"/>
        <family val="2"/>
        <scheme val="minor"/>
      </rPr>
      <t xml:space="preserve"> Brown</t>
    </r>
    <r>
      <rPr>
        <b/>
        <sz val="16"/>
        <color theme="1"/>
        <rFont val="Calibri"/>
        <family val="2"/>
        <scheme val="minor"/>
      </rPr>
      <t xml:space="preserve">) </t>
    </r>
  </si>
  <si>
    <r>
      <t xml:space="preserve">Social Cost Saving_Landfill
(Changes in net agricultural productivity, human health, property damages from increased flood risk, and the value of ecosystem services due to climate change)
</t>
    </r>
    <r>
      <rPr>
        <b/>
        <sz val="14"/>
        <color rgb="FF7030A0"/>
        <rFont val="Calibri"/>
        <family val="2"/>
        <scheme val="minor"/>
      </rPr>
      <t>(Ref: US EPA and Environmental Prices Handbook EU28 version)</t>
    </r>
  </si>
  <si>
    <r>
      <t xml:space="preserve">Social Cost Saving - Composting
(Changes in net agricultural productivity, human health, property damages from increased flood risk, and the value of ecosystem services due to climate change)
</t>
    </r>
    <r>
      <rPr>
        <b/>
        <sz val="14"/>
        <color rgb="FF7030A0"/>
        <rFont val="Calibri"/>
        <family val="2"/>
        <scheme val="minor"/>
      </rPr>
      <t>(Ref: US EPA and Environmental Prices Handbook EU28 version)</t>
    </r>
  </si>
  <si>
    <r>
      <t xml:space="preserve">Social Cost Saving- Anaerobic Digester
(Changes in net agricultural productivity, human health, property damages from increased flood risk, and the value of ecosystem services due to climate change)
</t>
    </r>
    <r>
      <rPr>
        <b/>
        <sz val="14"/>
        <color rgb="FF7030A0"/>
        <rFont val="Calibri"/>
        <family val="2"/>
        <scheme val="minor"/>
      </rPr>
      <t>(Ref: US EPA and Environmental Prices Handbook EU28 version)</t>
    </r>
  </si>
  <si>
    <r>
      <t xml:space="preserve">Social Cost Saving for Reduced Vehicle Emissions due to Renewable Fuel-Anaerobic Digester
(Changes in net agricultural productivity, human health, property damages from increased flood risk, and the value of ecosystem services due to climate change)
</t>
    </r>
    <r>
      <rPr>
        <b/>
        <sz val="14"/>
        <color rgb="FF7030A0"/>
        <rFont val="Calibri"/>
        <family val="2"/>
        <scheme val="minor"/>
      </rPr>
      <t>(Ref: US EPA and Environmental Prices Handbook EU28 version)</t>
    </r>
  </si>
  <si>
    <r>
      <t xml:space="preserve">Social Cost Saving for Reduced Vehicle Emissions due to Renewable Fuel- Landfill
(Changes in net agricultural productivity, human health, property damages from increased flood risk, and the value of ecosystem services due to climate change)
</t>
    </r>
    <r>
      <rPr>
        <b/>
        <sz val="14"/>
        <color rgb="FF7030A0"/>
        <rFont val="Calibri"/>
        <family val="2"/>
        <scheme val="minor"/>
      </rPr>
      <t>(Ref: US EPA and Environmental Prices Handbook EU28 version)</t>
    </r>
  </si>
  <si>
    <t>MG/Year</t>
  </si>
  <si>
    <t>Total tons/year of digestate</t>
  </si>
  <si>
    <t>CH4</t>
  </si>
  <si>
    <t xml:space="preserve">N2O   </t>
  </si>
  <si>
    <t>Amount of CO2 
equivalent reduction resulting
from CH4 (kg/Year)</t>
  </si>
  <si>
    <t>Amount of CO2 
equivalent reduction resulting
from N2O (kg/Year)</t>
  </si>
  <si>
    <t>SOx Reduction Social Benefit
in $/Year</t>
  </si>
  <si>
    <t>CO2</t>
  </si>
  <si>
    <t>Amount of CO2 Reduction 
 (kg/Year)</t>
  </si>
  <si>
    <t>Social Benefit of CO2 for 2.5% discount rate (in 2007 $ per metric ton CO2)</t>
  </si>
  <si>
    <t>Direct Emission-Aneraobic Digester</t>
  </si>
  <si>
    <t xml:space="preserve">Direct Emission-Landfills </t>
  </si>
  <si>
    <t xml:space="preserve">Diesel garbage truck </t>
  </si>
  <si>
    <t xml:space="preserve">EV garbage truck </t>
  </si>
  <si>
    <t xml:space="preserve">Gasoline Pickup Truck </t>
  </si>
  <si>
    <t xml:space="preserve"> Gasoline Roll off truck </t>
  </si>
  <si>
    <t>Waste transport vehicle (Kg/year)</t>
  </si>
  <si>
    <t>Preprocessing (Kg/year)</t>
  </si>
  <si>
    <t>Emissions during electricity generation from regular power mix (kg/year)</t>
  </si>
  <si>
    <t xml:space="preserve">Microturbine (30-330 KW) </t>
  </si>
  <si>
    <t xml:space="preserve">Turbines (1-500 MW) </t>
  </si>
  <si>
    <t>Solid-Liquid Residual (Kg/year)</t>
  </si>
  <si>
    <t>Microturbine (30-330 KW)</t>
  </si>
  <si>
    <t xml:space="preserve">Reciprocating Engines </t>
  </si>
  <si>
    <t xml:space="preserve">Fuel Cells </t>
  </si>
  <si>
    <t>GHG Emissions (Kg/Year)</t>
  </si>
  <si>
    <t>CO2 eq. (Kg/Year)</t>
  </si>
  <si>
    <t xml:space="preserve">EV Light Commercial Truck </t>
  </si>
  <si>
    <t>Vehicles to be Refueled (Kg/year)</t>
  </si>
  <si>
    <t>Combustion Pipeline Natural Gas GHG Emission (Kg/Year)</t>
  </si>
  <si>
    <t>Direct Emission (Kg/Year)</t>
  </si>
  <si>
    <t>EV garbage truck</t>
  </si>
  <si>
    <t>Waste transport vehicle (Kg/Year)</t>
  </si>
  <si>
    <t>Biogas Conversion (Kg/Year)</t>
  </si>
  <si>
    <t>Impurities (Kg/year)</t>
  </si>
  <si>
    <t xml:space="preserve">EV Passenger Car </t>
  </si>
  <si>
    <t xml:space="preserve">EV Garbage Truck </t>
  </si>
  <si>
    <t xml:space="preserve"> Vehicles to be refueled (Kg/Year)</t>
  </si>
  <si>
    <t>Combustion of Pipeline Natural Gas  (Kg/Year)</t>
  </si>
  <si>
    <t xml:space="preserve"> Gasoline Roll off truck</t>
  </si>
  <si>
    <t>Anaerobic Digestion (Kg/year)</t>
  </si>
  <si>
    <t>Total GHG</t>
  </si>
  <si>
    <r>
      <t>Total GHG (Amount of CO</t>
    </r>
    <r>
      <rPr>
        <b/>
        <vertAlign val="subscript"/>
        <sz val="11"/>
        <color theme="1"/>
        <rFont val="Calibri"/>
        <family val="2"/>
        <scheme val="minor"/>
      </rPr>
      <t>2</t>
    </r>
    <r>
      <rPr>
        <b/>
        <sz val="11"/>
        <color theme="1"/>
        <rFont val="Calibri"/>
        <family val="2"/>
        <scheme val="minor"/>
      </rPr>
      <t>-Equivalents Reduced)
(Metric Ton/Year)</t>
    </r>
  </si>
  <si>
    <r>
      <t>Total GHG (CO</t>
    </r>
    <r>
      <rPr>
        <b/>
        <vertAlign val="subscript"/>
        <sz val="11"/>
        <color theme="1"/>
        <rFont val="Calibri"/>
        <family val="2"/>
        <scheme val="minor"/>
      </rPr>
      <t>2</t>
    </r>
    <r>
      <rPr>
        <b/>
        <sz val="11"/>
        <color theme="1"/>
        <rFont val="Calibri"/>
        <family val="2"/>
        <scheme val="minor"/>
      </rPr>
      <t>-Eq.) Reduction Social Benefit
in $/Year</t>
    </r>
  </si>
  <si>
    <r>
      <t>Total GHG (Amount of CO</t>
    </r>
    <r>
      <rPr>
        <b/>
        <vertAlign val="subscript"/>
        <sz val="11"/>
        <color theme="1"/>
        <rFont val="Calibri"/>
        <family val="2"/>
        <scheme val="minor"/>
      </rPr>
      <t>2</t>
    </r>
    <r>
      <rPr>
        <b/>
        <sz val="11"/>
        <color theme="1"/>
        <rFont val="Calibri"/>
        <family val="2"/>
        <scheme val="minor"/>
      </rPr>
      <t>-Equivalents) Reduced
(Metric Ton/Year)</t>
    </r>
  </si>
  <si>
    <t>Total GHG (CO2eq.) 
[kg CO2eq/t Digestate]</t>
  </si>
  <si>
    <t>Total GHG 
CO2eq (kg/year)</t>
  </si>
  <si>
    <t>Total GHG 
CO2eq [kg CO2eq/t Digestate]</t>
  </si>
  <si>
    <t>Total GHG 
CO2 eq. Reduction Social Benefit
in $/Year</t>
  </si>
  <si>
    <t xml:space="preserve">Total GHG </t>
  </si>
  <si>
    <t xml:space="preserve">Distance Travelled
</t>
  </si>
  <si>
    <t>Grinder+ Depackaging + Storage for manure+ Storage for food &amp; yard waste</t>
  </si>
  <si>
    <t>Type of Revenue Get</t>
  </si>
  <si>
    <t>SUMMARY of CREDITS ($)</t>
  </si>
  <si>
    <t>Total GHG Credit Revenue ($/year)</t>
  </si>
  <si>
    <t>Total LCFS Credit ($/Year)</t>
  </si>
  <si>
    <t>Amount of SOx Reduction
 (kg/Year)</t>
  </si>
  <si>
    <t>Amount of VOC Reduction 
 (kg/Year)</t>
  </si>
  <si>
    <t>Amount of SOx Reduction 
 (kg/Year)</t>
  </si>
  <si>
    <r>
      <t>Amount of CO</t>
    </r>
    <r>
      <rPr>
        <b/>
        <vertAlign val="subscript"/>
        <sz val="11"/>
        <color theme="1"/>
        <rFont val="Calibri"/>
        <family val="2"/>
        <scheme val="minor"/>
      </rPr>
      <t>2</t>
    </r>
    <r>
      <rPr>
        <b/>
        <sz val="11"/>
        <color theme="1"/>
        <rFont val="Calibri"/>
        <family val="2"/>
        <scheme val="minor"/>
      </rPr>
      <t xml:space="preserve"> Reduction 
 (kg/Year)</t>
    </r>
  </si>
  <si>
    <t>Amount of PM10 Reduction 
 (kg/Year)</t>
  </si>
  <si>
    <t>Amount of PM2.5 Reduction
 (kg/Year)</t>
  </si>
  <si>
    <t>Amount of NOx Reduction
 (kg/Year)</t>
  </si>
  <si>
    <t>Amount of CO Reduction
 (kg/Year)</t>
  </si>
  <si>
    <t>Amount of PM10 Reduction
 (kg/Year)</t>
  </si>
  <si>
    <r>
      <t>Amount of CO</t>
    </r>
    <r>
      <rPr>
        <b/>
        <vertAlign val="subscript"/>
        <sz val="11"/>
        <color theme="1"/>
        <rFont val="Calibri"/>
        <family val="2"/>
        <scheme val="minor"/>
      </rPr>
      <t>2</t>
    </r>
    <r>
      <rPr>
        <b/>
        <sz val="11"/>
        <color theme="1"/>
        <rFont val="Calibri"/>
        <family val="2"/>
        <scheme val="minor"/>
      </rPr>
      <t xml:space="preserve"> Reduction
 (kg/Year)</t>
    </r>
  </si>
  <si>
    <t>Amount of PM2.5 Reduction 
 (kg/Year)</t>
  </si>
  <si>
    <t>Amount of PM Reduction
 (kg/Year)</t>
  </si>
  <si>
    <t>Electricity used for Depackaging (Kwh/Ton)</t>
  </si>
  <si>
    <t>Total GHG
CO2-Eq. Reduction Social Benefit
in $/Year
(Storage (Prior-Digestion))</t>
  </si>
  <si>
    <r>
      <t xml:space="preserve">Individual Costs and Benefits
</t>
    </r>
    <r>
      <rPr>
        <b/>
        <sz val="16"/>
        <color rgb="FFFF0000"/>
        <rFont val="Calibri"/>
        <family val="2"/>
        <scheme val="minor"/>
      </rPr>
      <t>(NO USER INPUT NEEDED)</t>
    </r>
  </si>
  <si>
    <t>Change in Waste Transport Operating Costs for Taking Food/Yard Waste to Landfill</t>
  </si>
  <si>
    <t>Total Ton of digestate/year</t>
  </si>
  <si>
    <t xml:space="preserve">Energy consumption for digestate treatment </t>
  </si>
  <si>
    <t xml:space="preserve">Anaerobic Digester </t>
  </si>
  <si>
    <t xml:space="preserve">Landfill </t>
  </si>
  <si>
    <t xml:space="preserve">Composting </t>
  </si>
  <si>
    <t>AD: Manure/Crop Residue</t>
  </si>
  <si>
    <t>Landfill: Manure/Crop Residue</t>
  </si>
  <si>
    <t>Operating Cost/Benefit of Transporting Waste ($)</t>
  </si>
  <si>
    <t>AD: Garbage Truck (Diesel): Residential – all kinds (food, yard, mixed)</t>
  </si>
  <si>
    <t>AD: Garbage Truck (Electric): Residential – all kinds (food, yard, mixed)</t>
  </si>
  <si>
    <t>Landfill: Garbage Truck (Diesel): Residential – all kinds (food, yard, mixed)</t>
  </si>
  <si>
    <t>Landfill: Garbage Truck (Electric): Residential – all kinds (food, yard, mixed)</t>
  </si>
  <si>
    <t>Composting: Garbage Truck (Diesel): Residential – all kinds (food, yard, mixed)</t>
  </si>
  <si>
    <t>Composting: Garbage Truck (Electric): Residential – all kinds (food, yard, mixed)</t>
  </si>
  <si>
    <t>AD: Roll Off Trucks: Commercial food waste, FOG</t>
  </si>
  <si>
    <t>Landfill: Roll Off Trucks: Commercial food waste, FOG</t>
  </si>
  <si>
    <t>Composting: Roll Off Trucks: Commercial food waste, FOG</t>
  </si>
  <si>
    <t>AD: Pick-up truck towing 16’ trailer: Commercial yard waste</t>
  </si>
  <si>
    <t>Landfill: Pick-up truck towing 16’ trailer: Commercial yard waste</t>
  </si>
  <si>
    <t>Composting: Pick-up truck towing 16’ trailer: Commercial yard waste</t>
  </si>
  <si>
    <t>POWER</t>
  </si>
  <si>
    <t>Prioritizing Organic Waste to Energy- Renewable: POWER Tool</t>
  </si>
  <si>
    <t>LCFS for Digester</t>
  </si>
  <si>
    <t xml:space="preserve">Type of Preprocessing </t>
  </si>
  <si>
    <t>Direct Emission-Depackaging (Kg/year)</t>
  </si>
  <si>
    <t xml:space="preserve">Source of Cost </t>
  </si>
  <si>
    <t>Post-processing (Kwh/Ton)</t>
  </si>
  <si>
    <r>
      <t xml:space="preserve">Biogas Conversion to Electricity and Refueling Station Capital Cost 
</t>
    </r>
    <r>
      <rPr>
        <b/>
        <sz val="16"/>
        <color rgb="FF7030A0"/>
        <rFont val="Calibri"/>
        <family val="2"/>
        <scheme val="minor"/>
      </rPr>
      <t>(Ref: EPA (2016))</t>
    </r>
  </si>
  <si>
    <r>
      <t xml:space="preserve">Calculation of Carbon Credits, LCFS Credit  generated from food and yard waste 
GHG: https://greenliving.lovetoknow.com/How_to_Measure_and_Price_Carbon_Credits 
LCFS: Monthly LCFS Credit Transfer Activity Report; January 2021; Publisher: California Air Resources Board. Page: 1. 
https://ww2.arb.ca.gov/sites/default/files/classic//fuels/lcfs/credit/January%202021%20-%20Monthly%20Credit%20Transfer%20Activity.pdf
</t>
    </r>
    <r>
      <rPr>
        <b/>
        <sz val="14"/>
        <color rgb="FFFF0000"/>
        <rFont val="Calibri"/>
        <family val="2"/>
        <scheme val="minor"/>
      </rPr>
      <t>(NO USER INPUT NEEDED)</t>
    </r>
  </si>
  <si>
    <t>Indirect Emission-Leachate Pumping</t>
  </si>
  <si>
    <t>Solid-Liquid Residual (Kg/Year)</t>
  </si>
  <si>
    <t>Indirect Emission from Leachate Pumping</t>
  </si>
  <si>
    <t xml:space="preserve"> Revenue Benefits for MSW going to Anaerobic Digester</t>
  </si>
  <si>
    <r>
      <t xml:space="preserve">Electricity Sales from AD Generated Biogas
</t>
    </r>
    <r>
      <rPr>
        <b/>
        <sz val="16"/>
        <color rgb="FF7030A0"/>
        <rFont val="Calibri"/>
        <family val="2"/>
        <scheme val="minor"/>
      </rPr>
      <t>(Ref: US EPA)</t>
    </r>
  </si>
  <si>
    <t>AFTC Credit ($/gallon)</t>
  </si>
  <si>
    <r>
      <t>Methane (m</t>
    </r>
    <r>
      <rPr>
        <b/>
        <vertAlign val="superscript"/>
        <sz val="14"/>
        <color theme="1"/>
        <rFont val="Calibri"/>
        <family val="2"/>
        <scheme val="minor"/>
      </rPr>
      <t>3</t>
    </r>
    <r>
      <rPr>
        <b/>
        <sz val="14"/>
        <color theme="1"/>
        <rFont val="Calibri"/>
        <family val="2"/>
        <scheme val="minor"/>
      </rPr>
      <t>/day)</t>
    </r>
  </si>
  <si>
    <t>Leachate Pumping</t>
  </si>
  <si>
    <t>kg CO2-eq./ton digestate</t>
  </si>
  <si>
    <t>Digestate (Tons/Year)</t>
  </si>
  <si>
    <t>CO2-eq. (Kg/Year)</t>
  </si>
  <si>
    <t>Total GHG
CO2-Eq. Reduction Social Benefit
in $/Year (Direct Emission-Solid-liquid separation AD)</t>
  </si>
  <si>
    <t>Direct Emission (Solid-Liquid Separation)</t>
  </si>
  <si>
    <t>CO2 eq. 
(Kg/Year)</t>
  </si>
  <si>
    <t>Total Waste 
(Tons/Year)</t>
  </si>
  <si>
    <t>CO2 eq. Kg/Ton</t>
  </si>
  <si>
    <t>Indirect (Downstream)</t>
  </si>
  <si>
    <t>CO2 eq.</t>
  </si>
  <si>
    <t>Downstream</t>
  </si>
  <si>
    <t>Electricity Sales from Biogas, REC Credit, PTC Credit</t>
  </si>
  <si>
    <t>For Anaerobic Digester</t>
  </si>
  <si>
    <t>Existing Water Resource Recovery Facility and/or Existing farm digester</t>
  </si>
  <si>
    <t>Energy (MWh/Year)</t>
  </si>
  <si>
    <t>CO2 eq.  
(kg CO2-eq./ton digestate)</t>
  </si>
  <si>
    <r>
      <t xml:space="preserve">Compost Tipping Fee ($)
</t>
    </r>
    <r>
      <rPr>
        <b/>
        <sz val="16"/>
        <color rgb="FF8C3FC5"/>
        <rFont val="Calibri"/>
        <family val="2"/>
        <scheme val="minor"/>
      </rPr>
      <t>(Ref.: Living Earth, Houston)</t>
    </r>
  </si>
  <si>
    <r>
      <t xml:space="preserve">Summary Table
</t>
    </r>
    <r>
      <rPr>
        <b/>
        <sz val="18"/>
        <color rgb="FFFF0000"/>
        <rFont val="Calibri Light"/>
        <family val="2"/>
        <scheme val="major"/>
      </rPr>
      <t xml:space="preserve"> (NO USER INPUT NEEDED)</t>
    </r>
  </si>
  <si>
    <r>
      <t xml:space="preserve">Emission from each category  (g/mi)
</t>
    </r>
    <r>
      <rPr>
        <b/>
        <sz val="11"/>
        <color rgb="FF8C3FC5"/>
        <rFont val="Calibri"/>
        <family val="2"/>
        <scheme val="minor"/>
      </rPr>
      <t>Ref: GREET Model, 2020</t>
    </r>
  </si>
  <si>
    <r>
      <t xml:space="preserve">Emission from Preprocessing
</t>
    </r>
    <r>
      <rPr>
        <b/>
        <sz val="11"/>
        <color rgb="FFFF0000"/>
        <rFont val="Calibri"/>
        <family val="2"/>
        <scheme val="minor"/>
      </rPr>
      <t>(NO USER INPUT NEEDED)</t>
    </r>
  </si>
  <si>
    <r>
      <t xml:space="preserve">Social Cost Saving-Depackaging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</si>
  <si>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Saving-Preprocessing (Grinder-Direct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</si>
  <si>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Indirect Emission-AD and Composting
</t>
    </r>
    <r>
      <rPr>
        <b/>
        <sz val="11"/>
        <color rgb="FF8C3FC5"/>
        <rFont val="Calibri"/>
        <family val="2"/>
        <scheme val="minor"/>
      </rPr>
      <t>Ref: Recycling Works, 2014 
(https://recyclingworksma.com/wp-content/uploads/2014/11/Depackaging_Combined_2014.pdf)</t>
    </r>
  </si>
  <si>
    <r>
      <t xml:space="preserve">Waste Storage
</t>
    </r>
    <r>
      <rPr>
        <b/>
        <sz val="11"/>
        <color rgb="FF8C3FC5"/>
        <rFont val="Calibri"/>
        <family val="2"/>
        <scheme val="minor"/>
      </rPr>
      <t>Ref: Lyng et al, 2018</t>
    </r>
    <r>
      <rPr>
        <b/>
        <sz val="11"/>
        <color theme="1"/>
        <rFont val="Calibri"/>
        <family val="2"/>
        <scheme val="minor"/>
      </rPr>
      <t xml:space="preserve">
</t>
    </r>
    <r>
      <rPr>
        <b/>
        <sz val="11"/>
        <color rgb="FF8C3FC5"/>
        <rFont val="Calibri"/>
        <family val="2"/>
        <scheme val="minor"/>
      </rPr>
      <t>(https://www.mdpi.com/2071-1050/10/1/286)</t>
    </r>
  </si>
  <si>
    <t>Grinding</t>
  </si>
  <si>
    <r>
      <t xml:space="preserve">Social Cost Saving-Waste Storage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</si>
  <si>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Emission from Anaerobic Digester
</t>
    </r>
    <r>
      <rPr>
        <b/>
        <sz val="11"/>
        <color rgb="FFFF0000"/>
        <rFont val="Calibri"/>
        <family val="2"/>
        <scheme val="minor"/>
      </rPr>
      <t>(NO USER INPUT NEEDED)</t>
    </r>
  </si>
  <si>
    <r>
      <t xml:space="preserve">Social Cost Saving-Anaerobic Digester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</si>
  <si>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Emission  for Solid-Liquid Residual
</t>
    </r>
    <r>
      <rPr>
        <b/>
        <sz val="11"/>
        <color rgb="FFFF0000"/>
        <rFont val="Calibri"/>
        <family val="2"/>
        <scheme val="minor"/>
      </rPr>
      <t>(NO USER INPUT NEEDED)</t>
    </r>
  </si>
  <si>
    <r>
      <t xml:space="preserve">Indirect Emission
</t>
    </r>
    <r>
      <rPr>
        <b/>
        <sz val="11"/>
        <color rgb="FF8C3FC5"/>
        <rFont val="Calibri"/>
        <family val="2"/>
        <scheme val="minor"/>
      </rPr>
      <t>Ref: Lyons et al, 2021</t>
    </r>
    <r>
      <rPr>
        <b/>
        <sz val="11"/>
        <color theme="1"/>
        <rFont val="Calibri"/>
        <family val="2"/>
        <scheme val="minor"/>
      </rPr>
      <t xml:space="preserve">
</t>
    </r>
    <r>
      <rPr>
        <b/>
        <sz val="11"/>
        <color rgb="FF8C3FC5"/>
        <rFont val="Calibri"/>
        <family val="2"/>
        <scheme val="minor"/>
      </rPr>
      <t xml:space="preserve">https://www.mdpi.com/2073-4395/11/5/836 </t>
    </r>
  </si>
  <si>
    <r>
      <t xml:space="preserve">Emissions during electricity generation from LFG (Ib/Mwh)
</t>
    </r>
    <r>
      <rPr>
        <b/>
        <sz val="11"/>
        <color rgb="FF8C3FC5"/>
        <rFont val="Calibri"/>
        <family val="2"/>
        <scheme val="minor"/>
      </rPr>
      <t>Ref: Chen &amp;Greene, 2003; Is Landfill Gas Green Energy</t>
    </r>
  </si>
  <si>
    <r>
      <t xml:space="preserve">Direct Emissions from solid-liquid separation for AD
</t>
    </r>
    <r>
      <rPr>
        <b/>
        <sz val="11"/>
        <color rgb="FF8C3FC5"/>
        <rFont val="Calibri"/>
        <family val="2"/>
        <scheme val="minor"/>
      </rPr>
      <t>Ref: Aguirre-Villegas, Larson, Sharara, 2019</t>
    </r>
  </si>
  <si>
    <r>
      <t xml:space="preserve">Social Cost Saving-Before Digestate Processing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</si>
  <si>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Saving-During Digestate Processing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</si>
  <si>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Saving-Energy consumption for treatment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</si>
  <si>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Saving-Leachate Pumping (Indirect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</si>
  <si>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Saving-Direct Emission (AD)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</si>
  <si>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t>Specific Reference</t>
  </si>
  <si>
    <r>
      <t>Social Benefit of CO</t>
    </r>
    <r>
      <rPr>
        <b/>
        <vertAlign val="subscript"/>
        <sz val="11"/>
        <color theme="1"/>
        <rFont val="Calibri"/>
        <family val="2"/>
        <scheme val="minor"/>
      </rPr>
      <t>2</t>
    </r>
    <r>
      <rPr>
        <b/>
        <sz val="11"/>
        <color theme="1"/>
        <rFont val="Calibri"/>
        <family val="2"/>
        <scheme val="minor"/>
      </rPr>
      <t xml:space="preserve"> for 2.5% discount rate 
(in 2007 $ per metric ton CO</t>
    </r>
    <r>
      <rPr>
        <b/>
        <vertAlign val="subscript"/>
        <sz val="11"/>
        <color theme="1"/>
        <rFont val="Calibri"/>
        <family val="2"/>
        <scheme val="minor"/>
      </rPr>
      <t>2</t>
    </r>
    <r>
      <rPr>
        <b/>
        <sz val="11"/>
        <color theme="1"/>
        <rFont val="Calibri"/>
        <family val="2"/>
        <scheme val="minor"/>
      </rPr>
      <t>)</t>
    </r>
  </si>
  <si>
    <r>
      <t xml:space="preserve">Emissions for impurities removal
</t>
    </r>
    <r>
      <rPr>
        <b/>
        <sz val="11"/>
        <color rgb="FFFF0000"/>
        <rFont val="Calibri"/>
        <family val="2"/>
        <scheme val="minor"/>
      </rPr>
      <t>(NO USER INPUT NEEDED)</t>
    </r>
  </si>
  <si>
    <r>
      <t xml:space="preserve">Social Cost Saving-Landfill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</si>
  <si>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CO</t>
    </r>
    <r>
      <rPr>
        <b/>
        <vertAlign val="subscript"/>
        <sz val="11"/>
        <color theme="1"/>
        <rFont val="Calibri"/>
        <family val="2"/>
        <scheme val="minor"/>
      </rPr>
      <t xml:space="preserve"> </t>
    </r>
    <r>
      <rPr>
        <b/>
        <sz val="11"/>
        <color theme="1"/>
        <rFont val="Calibri"/>
        <family val="2"/>
        <scheme val="minor"/>
      </rPr>
      <t>Reduction Social Benefit
in $/Year</t>
    </r>
  </si>
  <si>
    <r>
      <t>CO2</t>
    </r>
    <r>
      <rPr>
        <b/>
        <vertAlign val="subscript"/>
        <sz val="11"/>
        <color theme="1"/>
        <rFont val="Calibri"/>
        <family val="2"/>
        <scheme val="minor"/>
      </rPr>
      <t xml:space="preserve"> 
</t>
    </r>
    <r>
      <rPr>
        <b/>
        <sz val="11"/>
        <color theme="1"/>
        <rFont val="Calibri"/>
        <family val="2"/>
        <scheme val="minor"/>
      </rPr>
      <t>Reduction Social Benefit
in $/Year</t>
    </r>
  </si>
  <si>
    <r>
      <t>Total GHG 
Amount of CO</t>
    </r>
    <r>
      <rPr>
        <b/>
        <vertAlign val="subscript"/>
        <sz val="11"/>
        <color theme="1"/>
        <rFont val="Calibri"/>
        <family val="2"/>
        <scheme val="minor"/>
      </rPr>
      <t>2</t>
    </r>
    <r>
      <rPr>
        <b/>
        <sz val="11"/>
        <color theme="1"/>
        <rFont val="Calibri"/>
        <family val="2"/>
        <scheme val="minor"/>
      </rPr>
      <t>-Equivalents Reduced
(Metric Ton/Year)</t>
    </r>
  </si>
  <si>
    <t>Direct Emission from Landfills</t>
  </si>
  <si>
    <r>
      <t>Total GHG 
(CO</t>
    </r>
    <r>
      <rPr>
        <b/>
        <vertAlign val="subscript"/>
        <sz val="11"/>
        <color theme="1"/>
        <rFont val="Calibri"/>
        <family val="2"/>
        <scheme val="minor"/>
      </rPr>
      <t>2</t>
    </r>
    <r>
      <rPr>
        <b/>
        <sz val="11"/>
        <color theme="1"/>
        <rFont val="Calibri"/>
        <family val="2"/>
        <scheme val="minor"/>
      </rPr>
      <t>-Eq.) Reduction Social Benefit
in $/Year</t>
    </r>
  </si>
  <si>
    <r>
      <t xml:space="preserve">Emission from Composting
</t>
    </r>
    <r>
      <rPr>
        <b/>
        <sz val="11"/>
        <color rgb="FFFF0000"/>
        <rFont val="Calibri"/>
        <family val="2"/>
        <scheme val="minor"/>
      </rPr>
      <t>(NO USER INPUT NEEDED)</t>
    </r>
  </si>
  <si>
    <r>
      <t xml:space="preserve">Direct Emission
</t>
    </r>
    <r>
      <rPr>
        <b/>
        <sz val="11"/>
        <color rgb="FF8C3FC5"/>
        <rFont val="Calibri"/>
        <family val="2"/>
        <scheme val="minor"/>
      </rPr>
      <t>Ref: Boldrin et al, 2009
https://journals-sagepub-com.ezproxy.uta.edu/doi/pdf/10.1177/0734242X09345275</t>
    </r>
  </si>
  <si>
    <r>
      <t xml:space="preserve">Social Cost Saving (Direct Emission -Composting)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</si>
  <si>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 (Composting-Downstream)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</si>
  <si>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Total Emission from Composting
</t>
    </r>
    <r>
      <rPr>
        <b/>
        <sz val="11"/>
        <color rgb="FFFF0000"/>
        <rFont val="Calibri"/>
        <family val="2"/>
        <scheme val="minor"/>
      </rPr>
      <t>(NO USER INPUT NEEDED)</t>
    </r>
  </si>
  <si>
    <r>
      <t xml:space="preserve">Total Emission from Landfill
</t>
    </r>
    <r>
      <rPr>
        <b/>
        <sz val="11"/>
        <color rgb="FFFF0000"/>
        <rFont val="Calibri"/>
        <family val="2"/>
        <scheme val="minor"/>
      </rPr>
      <t>(NO USER INPUT NEEDED)</t>
    </r>
  </si>
  <si>
    <r>
      <t xml:space="preserve">Total Emission from AD
</t>
    </r>
    <r>
      <rPr>
        <b/>
        <sz val="11"/>
        <color rgb="FFFF0000"/>
        <rFont val="Calibri"/>
        <family val="2"/>
        <scheme val="minor"/>
      </rPr>
      <t>(NO USER INPUT NEEDED)</t>
    </r>
  </si>
  <si>
    <r>
      <t xml:space="preserve">Comparison of Emission
</t>
    </r>
    <r>
      <rPr>
        <b/>
        <sz val="11"/>
        <color rgb="FFFF0000"/>
        <rFont val="Calibri"/>
        <family val="2"/>
        <scheme val="minor"/>
      </rPr>
      <t>(NO USER INPUT NEEDED)</t>
    </r>
  </si>
  <si>
    <t>Emission Factors for Waste Transport Vehicle</t>
  </si>
  <si>
    <t>Emission factors used to calculate emission from waste transporting vehicle</t>
  </si>
  <si>
    <t>GREET Model, 2020</t>
  </si>
  <si>
    <t>https://greet.es.anl.gov/</t>
  </si>
  <si>
    <t xml:space="preserve">Recycling Works, 2014 </t>
  </si>
  <si>
    <t>Emission (Depackaging) -AD and Composting (Indirect )</t>
  </si>
  <si>
    <t>Emission factors used to calculate indirect emission from depackaging process used in Anaerobic Digestion 
and Composting</t>
  </si>
  <si>
    <t>Emission (Waste Storage)</t>
  </si>
  <si>
    <t>Lyng et al, 2018</t>
  </si>
  <si>
    <t>Emission factors used to calculate emission from Waste Storage</t>
  </si>
  <si>
    <t>Indirect Emission (Grinding)</t>
  </si>
  <si>
    <t xml:space="preserve">https://www.mdpi.com/2071-1050/10/1/286 </t>
  </si>
  <si>
    <t>Emission factors used to calculate emission from Grinding</t>
  </si>
  <si>
    <t xml:space="preserve">	Liquid manure: 63 Ib/ft3 (Using for Cow, Pig)</t>
  </si>
  <si>
    <t xml:space="preserve">Emissions during electricity generation from regular power mix </t>
  </si>
  <si>
    <t>EIA, 2016</t>
  </si>
  <si>
    <t>WV DEP, 2017</t>
  </si>
  <si>
    <t xml:space="preserve">Emission factors used to calculate emission from electricity generation </t>
  </si>
  <si>
    <t>Emission  Before Digestate Processing</t>
  </si>
  <si>
    <t>Emission (Solid-liquid separation)</t>
  </si>
  <si>
    <t>Emission factors used to calculate emission from Solid-liquid separation</t>
  </si>
  <si>
    <t>Lyons et al, 2021</t>
  </si>
  <si>
    <t xml:space="preserve">https://www.mdpi.com/2073-4395/11/5/836 </t>
  </si>
  <si>
    <t>Total GHG (Kg/year)</t>
  </si>
  <si>
    <t>SUMMARY Table</t>
  </si>
  <si>
    <t>Direct Emission (Solid liquid separation)</t>
  </si>
  <si>
    <t>kg CO2/ton wet waste</t>
  </si>
  <si>
    <t>kg/ton wet waste</t>
  </si>
  <si>
    <t>Emission- Anaerobic Digester</t>
  </si>
  <si>
    <t>Emission-Landfill</t>
  </si>
  <si>
    <t>Indirect Emission factor for electricity production from landfill gas, lb/MWh</t>
  </si>
  <si>
    <t>Indirect GHG Emissions (lb CO2-e/MWh output) &amp; (lb CO2-e/MMBTU output)</t>
  </si>
  <si>
    <t>Emission- Landfill</t>
  </si>
  <si>
    <t>Direct GHG Emissions (lb CO2-e/MWh output) &amp; (lb CO2-e/MMBTU output)</t>
  </si>
  <si>
    <t>Direct Emission factor for electricity production from landfill gas, lb/Year</t>
  </si>
  <si>
    <r>
      <rPr>
        <b/>
        <sz val="11"/>
        <rFont val="Calibri"/>
        <family val="2"/>
        <scheme val="minor"/>
      </rPr>
      <t>Emissions (Ib/MMBTU)</t>
    </r>
    <r>
      <rPr>
        <b/>
        <sz val="11"/>
        <color rgb="FF8C3FC5"/>
        <rFont val="Calibri"/>
        <family val="2"/>
        <scheme val="minor"/>
      </rPr>
      <t xml:space="preserve">
Ref: Emission Factors (AP-42)</t>
    </r>
    <r>
      <rPr>
        <b/>
        <sz val="11"/>
        <color theme="1"/>
        <rFont val="Calibri"/>
        <family val="2"/>
        <scheme val="minor"/>
      </rPr>
      <t xml:space="preserve">
</t>
    </r>
    <r>
      <rPr>
        <b/>
        <sz val="11"/>
        <color rgb="FF8C3FC5"/>
        <rFont val="Calibri"/>
        <family val="2"/>
        <scheme val="minor"/>
      </rPr>
      <t xml:space="preserve">https://www.epa.gov/sites/default/files/2020-09/documents/1.4_natural_gas_combustion.pdf </t>
    </r>
  </si>
  <si>
    <t>Gasoline Passenger Car</t>
  </si>
  <si>
    <t>Gasoline Passenger Truck</t>
  </si>
  <si>
    <t>Gasoline Light Commercial Truck</t>
  </si>
  <si>
    <r>
      <t>CH</t>
    </r>
    <r>
      <rPr>
        <b/>
        <vertAlign val="subscript"/>
        <sz val="12"/>
        <color theme="1"/>
        <rFont val="Calibri"/>
        <family val="2"/>
        <scheme val="minor"/>
      </rPr>
      <t>4</t>
    </r>
  </si>
  <si>
    <r>
      <t>CO</t>
    </r>
    <r>
      <rPr>
        <b/>
        <vertAlign val="subscript"/>
        <sz val="12"/>
        <color theme="1"/>
        <rFont val="Calibri"/>
        <family val="2"/>
        <scheme val="minor"/>
      </rPr>
      <t>2</t>
    </r>
  </si>
  <si>
    <r>
      <t>N</t>
    </r>
    <r>
      <rPr>
        <b/>
        <vertAlign val="subscript"/>
        <sz val="12"/>
        <color theme="1"/>
        <rFont val="Calibri"/>
        <family val="2"/>
        <scheme val="minor"/>
      </rPr>
      <t>2</t>
    </r>
    <r>
      <rPr>
        <b/>
        <sz val="12"/>
        <color theme="1"/>
        <rFont val="Calibri"/>
        <family val="2"/>
        <scheme val="minor"/>
      </rPr>
      <t>O</t>
    </r>
  </si>
  <si>
    <t>Composting Digestate (Kg/year)</t>
  </si>
  <si>
    <r>
      <t xml:space="preserve">Indirect Emission-Composting (Downstream)
</t>
    </r>
    <r>
      <rPr>
        <b/>
        <sz val="11"/>
        <color rgb="FF7030A0"/>
        <rFont val="Calibri"/>
        <family val="2"/>
        <scheme val="minor"/>
      </rPr>
      <t>Ref.: https://journals-sagepub-com.ezproxy.uta.edu/doi/pdf/10.1177/0734242X09345275</t>
    </r>
  </si>
  <si>
    <t>Summary Table of Emission Factors</t>
  </si>
  <si>
    <t>Indirect Emission-Leachate Treatment</t>
  </si>
  <si>
    <r>
      <t xml:space="preserve">Energy Consumption for Leachate Treatment
(Kwh/Gallon)
Ref: </t>
    </r>
    <r>
      <rPr>
        <b/>
        <sz val="11"/>
        <color rgb="FF8C3FC5"/>
        <rFont val="Calibri"/>
        <family val="2"/>
        <scheme val="minor"/>
      </rPr>
      <t>https://www.researchgate.net/publication/265601830_INVESTIGATING_THE_TREATMENT_EFFICIENCY_AND_ENERGY_CONSUMPTION_DURING_THE_OPERATION_OF_A_LEACHATE_TREATMENT_PLANT_A_CASE-STUDY_FROM_MAVRORACHI_WWTP_THESSALONIKI_GREECE</t>
    </r>
  </si>
  <si>
    <t>Leachate Treatment</t>
  </si>
  <si>
    <r>
      <t xml:space="preserve">Social Cost Saving-Leachate Treatment (Indirect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</si>
  <si>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t>Indirect Emission from Leachate Treatment</t>
  </si>
  <si>
    <t xml:space="preserve"> kWh/Year</t>
  </si>
  <si>
    <t>Direct Emission from Composting Digestate</t>
  </si>
  <si>
    <t>Total  Emissions (Kg/Year)</t>
  </si>
  <si>
    <t>Total Emissions (Kg/Year)</t>
  </si>
  <si>
    <r>
      <t xml:space="preserve">Social Cost Saving -Anaerobic Digester (Total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</si>
  <si>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 - Landfill (Total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</si>
  <si>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Emission Factors for Natural Gas Combustion (Ib/MMBTU)
</t>
    </r>
    <r>
      <rPr>
        <b/>
        <sz val="11"/>
        <color rgb="FF8C3FC5"/>
        <rFont val="Calibri"/>
        <family val="2"/>
        <scheme val="minor"/>
      </rPr>
      <t>Ref: Simapro</t>
    </r>
  </si>
  <si>
    <t>Average Electricity generated by Food, Yard, Sludge, Manure, Crop Residue &amp; FOG</t>
  </si>
  <si>
    <t>Biogas Conversion (Kg/year) (Total)</t>
  </si>
  <si>
    <t>Anaerobic Digestion (AD)</t>
  </si>
  <si>
    <t>Total Energy from AD (BTU/Year)</t>
  </si>
  <si>
    <t>Total Energy from Landfill (BTU/Year)</t>
  </si>
  <si>
    <t>Energy from AD (BTU/Year)</t>
  </si>
  <si>
    <t>Energy from Landfill  (BTU/Year)</t>
  </si>
  <si>
    <t xml:space="preserve">Methane from AD (m3/day) </t>
  </si>
  <si>
    <t xml:space="preserve">Methane from Landfill  (m3/day) </t>
  </si>
  <si>
    <t>Energy from Landfill (BTU/Year)</t>
  </si>
  <si>
    <t xml:space="preserve">Methane from Landfill (m3/day) </t>
  </si>
  <si>
    <t>Methane from Landfill (m3/day)</t>
  </si>
  <si>
    <t>Total Methane from AD (m3/day)</t>
  </si>
  <si>
    <t xml:space="preserve">Total Methane from Landfill (m3/day) </t>
  </si>
  <si>
    <r>
      <t xml:space="preserve">Emission for US electricity, (lb CO2-e/MWh output) low voltage
</t>
    </r>
    <r>
      <rPr>
        <b/>
        <sz val="11"/>
        <color rgb="FF8C3FC5"/>
        <rFont val="Calibri"/>
        <family val="2"/>
        <scheme val="minor"/>
      </rPr>
      <t>Ref:- Simapro</t>
    </r>
  </si>
  <si>
    <r>
      <t xml:space="preserve">Social Cost Saving- Anaerobic Digester (Total)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</si>
  <si>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r>
      <t xml:space="preserve">Social Cost Saving-Landfill (Total Emission)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</si>
  <si>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t>GHG  Emission from Biogas Conversion (Kg/year) (Total)</t>
  </si>
  <si>
    <t>GHG  Emission from Biogas Conversion (Kg/Year) (Total)</t>
  </si>
  <si>
    <r>
      <t xml:space="preserve">Leachate Pumping (Kwh/Ton)
</t>
    </r>
    <r>
      <rPr>
        <b/>
        <sz val="11"/>
        <color rgb="FF8C3FC5"/>
        <rFont val="Calibri"/>
        <family val="2"/>
        <scheme val="minor"/>
      </rPr>
      <t>Ref: Broun (2016)</t>
    </r>
  </si>
  <si>
    <t>Broun (2016)</t>
  </si>
  <si>
    <t>Emission (Solid-liquid separation)-Leachate Pumping</t>
  </si>
  <si>
    <t>Average leachate pumps efficiency</t>
  </si>
  <si>
    <t>https://www.researchgate.net/publication/265601830_INVESTIGATING_THE_TREATMENT_EFFICIENCY_AND_ENERGY_CONSUMPTION_DURING_THE_OPERATION_OF_A_LEACHATE_TREATMENT_PLANT_A_CASE-STUDY_FROM_MAVRORACHI_WWTP_THESSALONIKI_GREECE</t>
  </si>
  <si>
    <t>Emission (Solid-liquid separation)-Leachate Treatment</t>
  </si>
  <si>
    <t xml:space="preserve">Energy Consumption for Leachate Treatment </t>
  </si>
  <si>
    <t>Emission (Digestate Storage)</t>
  </si>
  <si>
    <t xml:space="preserve">Emission (Digestate use as fertilizer) </t>
  </si>
  <si>
    <t>Emission factor for storage of digestate</t>
  </si>
  <si>
    <t>Emission from use of digestate as fertilizer</t>
  </si>
  <si>
    <t>EPA (2016) &amp; AP-42</t>
  </si>
  <si>
    <t>Emission (Biogas Conversion)</t>
  </si>
  <si>
    <r>
      <t xml:space="preserve"> Emission for US electricity, low voltage  (Ib/Mwh)
</t>
    </r>
    <r>
      <rPr>
        <b/>
        <sz val="11"/>
        <color rgb="FF8C3FC5"/>
        <rFont val="Calibri"/>
        <family val="2"/>
        <scheme val="minor"/>
      </rPr>
      <t>Ref: Simapro</t>
    </r>
  </si>
  <si>
    <t>Emission factors for Microturbine, turbines, reciprocating eng, fuel cell, compressed RNG, pipeline natural gas</t>
  </si>
  <si>
    <t xml:space="preserve"> Emission for US electricity, low voltage  (Ib/Mwh)</t>
  </si>
  <si>
    <t>Simapro</t>
  </si>
  <si>
    <t xml:space="preserve">https://www.epa.gov/sites/default/files/2020-09/documents/1.4_natural_gas_combustion.pdf </t>
  </si>
  <si>
    <t>Emission factors for upgrading &amp; pipeline injections</t>
  </si>
  <si>
    <t>Emission (Combustion Pipeline NG)</t>
  </si>
  <si>
    <t>Emission (Landfill)</t>
  </si>
  <si>
    <t>Direct emission values for landfill</t>
  </si>
  <si>
    <t>Waste generated in a landfill</t>
  </si>
  <si>
    <t xml:space="preserve"> Boldrin et al, 2009</t>
  </si>
  <si>
    <t xml:space="preserve">https://journals-sagepub-com.ezproxy.uta.edu/doi/pdf/10.1177/0734242X09345275 </t>
  </si>
  <si>
    <t>Emission (Composting)</t>
  </si>
  <si>
    <t>Direct emission factors for composting process</t>
  </si>
  <si>
    <t>Indirect emission from composting process (upstream)</t>
  </si>
  <si>
    <t>Indirect emission from composting process (downstream)</t>
  </si>
  <si>
    <t>Ordinary fertilizer emission from composting</t>
  </si>
  <si>
    <t>Mass of Yard  Waste Generated Per Area</t>
  </si>
  <si>
    <t>Cost of Electricity ($/kwh)
https://www.chooseenergy.com/electricity-rates-by-state/</t>
  </si>
  <si>
    <t>Average of all sector: 14.19 Cents per Kwh</t>
  </si>
  <si>
    <t>https://www.chooseenergy.com/electricity-rates-by-state/</t>
  </si>
  <si>
    <t>https://www.c2es.org/document/green-pricing-programs/</t>
  </si>
  <si>
    <t>1 to 2 cents per kwh</t>
  </si>
  <si>
    <r>
      <t xml:space="preserve">Direct Emissions (Ib/Hr)
</t>
    </r>
    <r>
      <rPr>
        <b/>
        <sz val="11"/>
        <color rgb="FF8C3FC5"/>
        <rFont val="Calibri"/>
        <family val="2"/>
        <scheme val="minor"/>
      </rPr>
      <t>Ref: WV DEP (2017)</t>
    </r>
  </si>
  <si>
    <t>Direct Emission-AD (Ib/Hr)</t>
  </si>
  <si>
    <t>Energy used for Impurities removal
(Kwh/year)</t>
  </si>
  <si>
    <r>
      <t xml:space="preserve">Direct Emissions  (Ib/Mwh) Or (Ib/MMBTU)
</t>
    </r>
    <r>
      <rPr>
        <b/>
        <sz val="11"/>
        <color rgb="FF8C3FC5"/>
        <rFont val="Calibri"/>
        <family val="2"/>
        <scheme val="minor"/>
      </rPr>
      <t>Ref: Emission: EPA (2016)</t>
    </r>
  </si>
  <si>
    <r>
      <t xml:space="preserve">Direct GHG Emissions (lb CO2-e/MWh output) &amp; (lb CO2-e/MMBTU output) 
</t>
    </r>
    <r>
      <rPr>
        <b/>
        <sz val="11"/>
        <color rgb="FF8C3FC5"/>
        <rFont val="Calibri"/>
        <family val="2"/>
        <scheme val="minor"/>
      </rPr>
      <t>Ref: Emission: EPA (2016)</t>
    </r>
  </si>
  <si>
    <t xml:space="preserve">Emission of pollutants from vehicles 
running by Gasoline &amp; Diesel (baseline vehicles to subtract) </t>
  </si>
  <si>
    <r>
      <t>SO</t>
    </r>
    <r>
      <rPr>
        <b/>
        <vertAlign val="subscript"/>
        <sz val="11"/>
        <color rgb="FF000000"/>
        <rFont val="Calibri"/>
        <family val="2"/>
        <scheme val="minor"/>
      </rPr>
      <t>2</t>
    </r>
  </si>
  <si>
    <r>
      <t>CH</t>
    </r>
    <r>
      <rPr>
        <b/>
        <vertAlign val="subscript"/>
        <sz val="11"/>
        <color rgb="FF000000"/>
        <rFont val="Calibri"/>
        <family val="2"/>
        <scheme val="minor"/>
      </rPr>
      <t>4</t>
    </r>
  </si>
  <si>
    <r>
      <t>CO</t>
    </r>
    <r>
      <rPr>
        <b/>
        <vertAlign val="subscript"/>
        <sz val="11"/>
        <color rgb="FF000000"/>
        <rFont val="Calibri"/>
        <family val="2"/>
        <scheme val="minor"/>
      </rPr>
      <t>2</t>
    </r>
  </si>
  <si>
    <r>
      <t>N</t>
    </r>
    <r>
      <rPr>
        <b/>
        <vertAlign val="subscript"/>
        <sz val="11"/>
        <color rgb="FF000000"/>
        <rFont val="Calibri"/>
        <family val="2"/>
        <scheme val="minor"/>
      </rPr>
      <t>2</t>
    </r>
    <r>
      <rPr>
        <b/>
        <sz val="11"/>
        <color rgb="FF000000"/>
        <rFont val="Calibri"/>
        <family val="2"/>
        <scheme val="minor"/>
      </rPr>
      <t>O</t>
    </r>
  </si>
  <si>
    <r>
      <rPr>
        <b/>
        <sz val="11"/>
        <color theme="1"/>
        <rFont val="Calibri"/>
        <family val="2"/>
        <scheme val="minor"/>
      </rPr>
      <t>Emissions from each category (g/mi)</t>
    </r>
    <r>
      <rPr>
        <sz val="11"/>
        <color theme="1"/>
        <rFont val="Calibri"/>
        <family val="2"/>
        <scheme val="minor"/>
      </rPr>
      <t xml:space="preserve">
</t>
    </r>
    <r>
      <rPr>
        <sz val="11"/>
        <color rgb="FF8C3FC5"/>
        <rFont val="Calibri"/>
        <family val="2"/>
        <scheme val="minor"/>
      </rPr>
      <t>Ref: GREET</t>
    </r>
  </si>
  <si>
    <t>Indirect emissions from solid-liquid separation</t>
  </si>
  <si>
    <t>CH4 emissions in CO2e (MMT)</t>
  </si>
  <si>
    <t>N2O emissions in CO2e (MMT)</t>
  </si>
  <si>
    <t>CH4 emissions in CO2e</t>
  </si>
  <si>
    <t xml:space="preserve">N2O emissions in CO2e </t>
  </si>
  <si>
    <t>Open</t>
  </si>
  <si>
    <t>Enclosed</t>
  </si>
  <si>
    <r>
      <t>Amount of CO</t>
    </r>
    <r>
      <rPr>
        <b/>
        <vertAlign val="subscript"/>
        <sz val="11"/>
        <color theme="1"/>
        <rFont val="Calibri"/>
        <family val="2"/>
        <scheme val="minor"/>
      </rPr>
      <t>2</t>
    </r>
    <r>
      <rPr>
        <b/>
        <sz val="11"/>
        <color theme="1"/>
        <rFont val="Calibri"/>
        <family val="2"/>
        <scheme val="minor"/>
      </rPr>
      <t>-Reduced
(Metric Ton/Year)</t>
    </r>
  </si>
  <si>
    <t>Composting Digestate</t>
  </si>
  <si>
    <r>
      <t xml:space="preserve">Social Cost Saving (Solid-Liquid Residual-Composting Digestate)
(Changes in net agricultural productivity, human health, property damages from increased flood risk, and the value of ecosystem services due to climate change)
</t>
    </r>
    <r>
      <rPr>
        <b/>
        <sz val="11"/>
        <color rgb="FF7030A0"/>
        <rFont val="Calibri"/>
        <family val="2"/>
        <scheme val="minor"/>
      </rPr>
      <t>(Ref: US EPA and Environmental Prices Handbook EU28 version)</t>
    </r>
  </si>
  <si>
    <t xml:space="preserve">CO2 or CO2-eq. </t>
  </si>
  <si>
    <t>Landfill (Kg/Year)</t>
  </si>
  <si>
    <t>AD Emission (Kg/Year)</t>
  </si>
  <si>
    <r>
      <t xml:space="preserve">Emissions during electricity generation from regular power mix (Ib/Mwh)
</t>
    </r>
    <r>
      <rPr>
        <b/>
        <sz val="11"/>
        <color rgb="FF8C3FC5"/>
        <rFont val="Calibri"/>
        <family val="2"/>
        <scheme val="minor"/>
      </rPr>
      <t>Ref: Simapro</t>
    </r>
  </si>
  <si>
    <t>Emissions (kg/year)</t>
  </si>
  <si>
    <t>Emissions (Kg/year)</t>
  </si>
  <si>
    <t>Type of Equipment</t>
  </si>
  <si>
    <t>HC (g/gal)</t>
  </si>
  <si>
    <t>CO (g/gal)</t>
  </si>
  <si>
    <t>CO2 (g/gal)</t>
  </si>
  <si>
    <t>NOX (g/gal)</t>
  </si>
  <si>
    <t>Dozer</t>
  </si>
  <si>
    <t>HC</t>
  </si>
  <si>
    <t xml:space="preserve">CO2 </t>
  </si>
  <si>
    <t>NOX</t>
  </si>
  <si>
    <t>Amount of HC Reduction 
 (kg/Year)</t>
  </si>
  <si>
    <t>Social Benefit of HC (VOC) as per EU28 (€2015/kg emission) with VAT 
(converted to dollars)</t>
  </si>
  <si>
    <t>HC Reduction Social Benefit
in $/Year</t>
  </si>
  <si>
    <t>Emission from Landfill Equipments (Kg/Year)</t>
  </si>
  <si>
    <t>FOG
(Tons/Year)</t>
  </si>
  <si>
    <t>Manure/Crop Residue
(Ton/Year)</t>
  </si>
  <si>
    <t>Indirect Emission (Solid/Liquid Separation)</t>
  </si>
  <si>
    <t>All Equipment</t>
  </si>
  <si>
    <t xml:space="preserve">Depackaging </t>
  </si>
  <si>
    <t xml:space="preserve">Direct Emission-Grinder </t>
  </si>
  <si>
    <t>Waste Transport vehicle (Diesel Garbage Truck)</t>
  </si>
  <si>
    <t>Waste Transport vehicle (CNG Garbage Truck)</t>
  </si>
  <si>
    <t>Waste Transport vehicle (EV Garbage Truck)</t>
  </si>
  <si>
    <t>Waste Transport vehicle (Gasoline Pickup Truck)</t>
  </si>
  <si>
    <t>Waste Transport vehicle (Gasoline Roll Off Truck)</t>
  </si>
  <si>
    <t>Preprocessing (Depackaging)</t>
  </si>
  <si>
    <t>Preprocessing (Direct Emission-Grinding)</t>
  </si>
  <si>
    <t>Preprocessing (Storage-Prior Digestion)</t>
  </si>
  <si>
    <t>Anaerobic Digestion (WWTP AD)</t>
  </si>
  <si>
    <t>Anaerobic Digestion (Farm-New AD-Manure)</t>
  </si>
  <si>
    <t>Anaerobic Digestion (Farm-New AD-Crop Residue)</t>
  </si>
  <si>
    <t>Anaerobic Digestion (Industrial AD)</t>
  </si>
  <si>
    <t>Indirect Emission from Impurities</t>
  </si>
  <si>
    <t>Vehicles to be refueled (EV Passenger Car)</t>
  </si>
  <si>
    <t>Vehicles to be refueled (EV Garbage Truck)</t>
  </si>
  <si>
    <t>Vehicles to be refueled (EV Passenger Truck)</t>
  </si>
  <si>
    <t>Vehicles to be refueled (EV light commercial Truck)</t>
  </si>
  <si>
    <t>Landfill</t>
  </si>
  <si>
    <t>Combustion of Pipeline Natural gas</t>
  </si>
  <si>
    <t>Indirect Emission (Downstream)</t>
  </si>
  <si>
    <t xml:space="preserve">Direct Emission-Depackaging </t>
  </si>
  <si>
    <t xml:space="preserve">Emission from Landfill Equipments </t>
  </si>
  <si>
    <t>SUMMARY OF EMISSIONS FROM AD, LANDFILL AND COMPOSTING</t>
  </si>
  <si>
    <t>N2O</t>
  </si>
  <si>
    <t>Emission from AD, Landfill and Composting</t>
  </si>
  <si>
    <t>Source of emission</t>
  </si>
  <si>
    <r>
      <t xml:space="preserve">Indirect Emissions  (Ib/Mwh) Or (Ib/MMBTU)
</t>
    </r>
    <r>
      <rPr>
        <b/>
        <sz val="11"/>
        <color rgb="FF8C3FC5"/>
        <rFont val="Calibri"/>
        <family val="2"/>
        <scheme val="minor"/>
      </rPr>
      <t>Ref: Simapro</t>
    </r>
  </si>
  <si>
    <r>
      <t xml:space="preserve">Indirect GHG Emissions (lb CO2-e/MWh output) &amp; (lb CO2-e/MMBTU output)
</t>
    </r>
    <r>
      <rPr>
        <b/>
        <sz val="11"/>
        <color rgb="FF8C3FC5"/>
        <rFont val="Calibri"/>
        <family val="2"/>
        <scheme val="minor"/>
      </rPr>
      <t>Ref: Simapro</t>
    </r>
  </si>
  <si>
    <t>Specific yield of methane per lb wet food waste (q)</t>
  </si>
  <si>
    <t>Specific yield of biogas per lb wet food waste (q)</t>
  </si>
  <si>
    <t>Specific yield of methane per lb wet yard waste (q)</t>
  </si>
  <si>
    <t>Specific yield of methane for sewage sludge per lb of raw material (q)</t>
  </si>
  <si>
    <t>Specific yield of methane for manure per lb (Cow) (q)</t>
  </si>
  <si>
    <t>Specific yield of methane for manure per lb (Pig) (q)</t>
  </si>
  <si>
    <t>Specific yield of methane for manure per lb (Chicken) (q)</t>
  </si>
  <si>
    <t>Specific yield of methane for crop residue per lb of raw material (q)</t>
  </si>
  <si>
    <t>Specific yield of methane per lb wet FOG waste (q)</t>
  </si>
  <si>
    <t>Emissions from energy consumption for treatment of liquid</t>
  </si>
  <si>
    <t>Volume Produced/Sold (m3/day)</t>
  </si>
  <si>
    <t>Average Price for Pipeline Natural Gas in the US from 2008-2020 ($/1000 ft3)</t>
  </si>
  <si>
    <t>Benefit ($/year)</t>
  </si>
  <si>
    <t>Benefit in terms of 50 years ($)</t>
  </si>
  <si>
    <t>Fuel Cost Saved ($)/Benefit of producing Electricity/Pipeline NG ($)</t>
  </si>
  <si>
    <t>Benefit of producing Electricity ($)</t>
  </si>
  <si>
    <t>Benefit of producing Pipeline NG ($)</t>
  </si>
  <si>
    <t>Electricity Consumption (Kwh/Ton)</t>
  </si>
  <si>
    <t>Roll off trucks Manure/Crop Residue</t>
  </si>
  <si>
    <t>Composting: Roll Off Trucks: Manure/Crop Residue</t>
  </si>
  <si>
    <t>Roll off Trucks (Manure/Crop Residue)</t>
  </si>
  <si>
    <t>Roll Off Trucks (Commercial food waste, FOG)</t>
  </si>
  <si>
    <t>Pick-up truck towing 16’ trailer (Commercial yard waste)</t>
  </si>
  <si>
    <r>
      <t xml:space="preserve">Emissions from each category (g/mi)
</t>
    </r>
    <r>
      <rPr>
        <b/>
        <sz val="11"/>
        <color rgb="FF8C3FC5"/>
        <rFont val="Calibri"/>
        <family val="2"/>
        <scheme val="minor"/>
      </rPr>
      <t>Ref: AFLEET</t>
    </r>
  </si>
  <si>
    <t xml:space="preserve"> Electricity Used
(Kwh/year)</t>
  </si>
  <si>
    <t>Land Application and PFAS removal cost (Solids)</t>
  </si>
  <si>
    <r>
      <t>Benefit for NG production from Biogas 
(Commercial)
Ref:</t>
    </r>
    <r>
      <rPr>
        <b/>
        <sz val="14"/>
        <color rgb="FF7030A0"/>
        <rFont val="Calibri"/>
        <family val="2"/>
        <scheme val="minor"/>
      </rPr>
      <t xml:space="preserve"> https://www.statista.com/statistics/187308/average-price-for-natural-gas-in-the-us-by-sector-since-2005/#:~:text=Natural%20gas%20prices%20are%20the,five%20U.S.%20dollars%20on%20average</t>
    </r>
  </si>
  <si>
    <t>Cost (2008$/m3)
Composting ($/Ib)</t>
  </si>
  <si>
    <t>Digestate (m3/Plant) or (Ib/Plant)</t>
  </si>
  <si>
    <t>Change in Waste Transport Operating Costs for Taking Food/Yard Waste to Compost Facility</t>
  </si>
  <si>
    <t>User Input Value</t>
  </si>
  <si>
    <t>User Input Value ($/Ib)</t>
  </si>
  <si>
    <r>
      <t xml:space="preserve">Approximate Cost Saved ($) by Digesting Food/Yard Waste in terms of Landfill Space
</t>
    </r>
    <r>
      <rPr>
        <b/>
        <sz val="16"/>
        <color rgb="FF7030A0"/>
        <rFont val="Calibri"/>
        <family val="2"/>
        <scheme val="minor"/>
      </rPr>
      <t>(Ref: Weighed Landfill Tipping Fee, EREF, 2021)</t>
    </r>
  </si>
  <si>
    <t>Analysis of MSW landfill tipping fees, 2021, Data &amp; Policy Program: 
Data-driven analysis to guide sustainable materials management, The Environmental Research &amp; Education Foundation (EREF)</t>
  </si>
  <si>
    <t>For 2021, the national MSW landfill tip fee average was 
$54.03/ton and varies by region to region</t>
  </si>
  <si>
    <t>Average MSW Landfill Tip Fees, by region (2021)</t>
  </si>
  <si>
    <t>Landfill Tipping Fee Information</t>
  </si>
  <si>
    <t>Tab Name</t>
  </si>
  <si>
    <t>Description</t>
  </si>
  <si>
    <t>User Guide</t>
  </si>
  <si>
    <t>Read Me</t>
  </si>
  <si>
    <t>Necessary Information</t>
  </si>
  <si>
    <t>Acronyms Used</t>
  </si>
  <si>
    <t>All the acronyms used and their meanings are listed here.</t>
  </si>
  <si>
    <t>Quick Overview – Inputs &amp; Outputs</t>
  </si>
  <si>
    <t>Waste Mass Calculations</t>
  </si>
  <si>
    <t>AD Calculations</t>
  </si>
  <si>
    <t>Used units and their conversions.</t>
  </si>
  <si>
    <t>Bibliography</t>
  </si>
  <si>
    <t>List of references used.</t>
  </si>
  <si>
    <t>Help</t>
  </si>
  <si>
    <t>A quick checklist of information that user must input to use the spreadsheet.</t>
  </si>
  <si>
    <t>All information about Fleets (fuel economy, mileage, cost of fuel, average lifespan, etc.) that can be refueled by generated biogas.</t>
  </si>
  <si>
    <t>Calculation for Anaerobic Digester (AD), including remaining capacity, volume, number of new digesters to be installed, etc.</t>
  </si>
  <si>
    <r>
      <t xml:space="preserve">Mandatory Inputs
</t>
    </r>
    <r>
      <rPr>
        <b/>
        <sz val="16"/>
        <rFont val="Calibri"/>
        <family val="2"/>
        <scheme val="minor"/>
      </rPr>
      <t>(User needs to INPUT value in</t>
    </r>
    <r>
      <rPr>
        <b/>
        <sz val="16"/>
        <color rgb="FFFF0000"/>
        <rFont val="Calibri"/>
        <family val="2"/>
        <scheme val="minor"/>
      </rPr>
      <t xml:space="preserve"> </t>
    </r>
    <r>
      <rPr>
        <b/>
        <sz val="16"/>
        <color rgb="FFFFFF00"/>
        <rFont val="Calibri"/>
        <family val="2"/>
        <scheme val="minor"/>
      </rPr>
      <t>Yellow</t>
    </r>
    <r>
      <rPr>
        <b/>
        <sz val="16"/>
        <color rgb="FFFF0000"/>
        <rFont val="Calibri"/>
        <family val="2"/>
        <scheme val="minor"/>
      </rPr>
      <t xml:space="preserve"> </t>
    </r>
    <r>
      <rPr>
        <b/>
        <sz val="16"/>
        <rFont val="Calibri"/>
        <family val="2"/>
        <scheme val="minor"/>
      </rPr>
      <t xml:space="preserve">cells only)
</t>
    </r>
    <r>
      <rPr>
        <b/>
        <sz val="16"/>
        <color rgb="FFFF0000"/>
        <rFont val="Calibri"/>
        <family val="2"/>
        <scheme val="minor"/>
      </rPr>
      <t>If any cell is not applicable for you, put zero</t>
    </r>
    <r>
      <rPr>
        <b/>
        <sz val="16"/>
        <color theme="1"/>
        <rFont val="Calibri"/>
        <family val="2"/>
        <scheme val="minor"/>
      </rPr>
      <t xml:space="preserve">
</t>
    </r>
    <r>
      <rPr>
        <b/>
        <sz val="16"/>
        <color rgb="FFFF0000"/>
        <rFont val="Calibri"/>
        <family val="2"/>
        <scheme val="minor"/>
      </rPr>
      <t>Please Input 'Waste Mass' in 'Waste Mass Calculations Tab'</t>
    </r>
  </si>
  <si>
    <r>
      <t xml:space="preserve">Baseline Scenario Information
</t>
    </r>
    <r>
      <rPr>
        <b/>
        <sz val="14"/>
        <color rgb="FFFF0000"/>
        <rFont val="Calibri"/>
        <family val="2"/>
        <scheme val="minor"/>
      </rPr>
      <t>(INPUT information to your chosen baseline cells only; choose NA for others)</t>
    </r>
  </si>
  <si>
    <t>Total Residential Food Waste</t>
  </si>
  <si>
    <t>Total Commercial Food Waste</t>
  </si>
  <si>
    <t>Total Residential Yard Waste</t>
  </si>
  <si>
    <t>Total Commercial Yard Waste</t>
  </si>
  <si>
    <t>1d. Total Residential Food Waste</t>
  </si>
  <si>
    <t xml:space="preserve">1e. Commercial Food Waste Generation Rate from K-12 Educational Institutions </t>
  </si>
  <si>
    <t>1f. Commercial Food Waste Generation Rate from Special Event Centers</t>
  </si>
  <si>
    <t>1h. User Input (Corporate Campus)</t>
  </si>
  <si>
    <t>1g. Total Commercial Food Waste</t>
  </si>
  <si>
    <t>2b. Total Residential Yard Waste</t>
  </si>
  <si>
    <t>2c. Commercial Yard Waste Generation Rate from Golf Courses</t>
  </si>
  <si>
    <t>2d. Commercial Yard Waste Generation Rate from Parks</t>
  </si>
  <si>
    <t xml:space="preserve">2e. Commercial Yard Waste Generation Rate from Commercial Lawns </t>
  </si>
  <si>
    <t>2f. Total Commercial Yard Waste</t>
  </si>
  <si>
    <t>2g. User Input (Corporate Campus)</t>
  </si>
  <si>
    <t xml:space="preserve">Residential  Food Waste Generation Rate from University </t>
  </si>
  <si>
    <t>User Input (Commercial Campus)</t>
  </si>
  <si>
    <t>Total Residential 
Yard Waste</t>
  </si>
  <si>
    <t>Total Residential 
Food Waste</t>
  </si>
  <si>
    <t>Mass of Food  Waste Generated Per Area 
(Useful link: https://www.epa.gov/sustainable-management-food/excess-food-opportunities-map)</t>
  </si>
  <si>
    <r>
      <t xml:space="preserve">Waste Mass Calculations 
</t>
    </r>
    <r>
      <rPr>
        <b/>
        <sz val="16"/>
        <rFont val="Calibri"/>
        <family val="2"/>
        <scheme val="minor"/>
      </rPr>
      <t>(IF USER have GIS INPUT, then Fill</t>
    </r>
    <r>
      <rPr>
        <b/>
        <sz val="16"/>
        <color rgb="FFFF0000"/>
        <rFont val="Calibri"/>
        <family val="2"/>
        <scheme val="minor"/>
      </rPr>
      <t xml:space="preserve"> </t>
    </r>
    <r>
      <rPr>
        <b/>
        <sz val="16"/>
        <color rgb="FF8C3FC5"/>
        <rFont val="Calibri"/>
        <family val="2"/>
        <scheme val="minor"/>
      </rPr>
      <t>Purple</t>
    </r>
    <r>
      <rPr>
        <b/>
        <sz val="16"/>
        <color rgb="FFFF0000"/>
        <rFont val="Calibri"/>
        <family val="2"/>
        <scheme val="minor"/>
      </rPr>
      <t xml:space="preserve"> </t>
    </r>
    <r>
      <rPr>
        <b/>
        <sz val="16"/>
        <rFont val="Calibri"/>
        <family val="2"/>
        <scheme val="minor"/>
      </rPr>
      <t>and</t>
    </r>
    <r>
      <rPr>
        <b/>
        <sz val="16"/>
        <color rgb="FFFF0000"/>
        <rFont val="Calibri"/>
        <family val="2"/>
        <scheme val="minor"/>
      </rPr>
      <t xml:space="preserve"> red dotted </t>
    </r>
    <r>
      <rPr>
        <b/>
        <sz val="16"/>
        <rFont val="Calibri"/>
        <family val="2"/>
        <scheme val="minor"/>
      </rPr>
      <t>cell; Otherwise Fill</t>
    </r>
    <r>
      <rPr>
        <b/>
        <sz val="16"/>
        <color rgb="FFFF0000"/>
        <rFont val="Calibri"/>
        <family val="2"/>
        <scheme val="minor"/>
      </rPr>
      <t xml:space="preserve"> </t>
    </r>
    <r>
      <rPr>
        <b/>
        <sz val="16"/>
        <color rgb="FFFFFF00"/>
        <rFont val="Calibri"/>
        <family val="2"/>
        <scheme val="minor"/>
      </rPr>
      <t>Yellow</t>
    </r>
    <r>
      <rPr>
        <b/>
        <sz val="16"/>
        <color rgb="FFFF0000"/>
        <rFont val="Calibri"/>
        <family val="2"/>
        <scheme val="minor"/>
      </rPr>
      <t xml:space="preserve"> </t>
    </r>
    <r>
      <rPr>
        <b/>
        <sz val="16"/>
        <rFont val="Calibri"/>
        <family val="2"/>
        <scheme val="minor"/>
      </rPr>
      <t xml:space="preserve">and </t>
    </r>
    <r>
      <rPr>
        <b/>
        <sz val="16"/>
        <color rgb="FFFF0000"/>
        <rFont val="Calibri"/>
        <family val="2"/>
        <scheme val="minor"/>
      </rPr>
      <t xml:space="preserve">red dotted </t>
    </r>
    <r>
      <rPr>
        <b/>
        <sz val="16"/>
        <rFont val="Calibri"/>
        <family val="2"/>
        <scheme val="minor"/>
      </rPr>
      <t>cells)</t>
    </r>
    <r>
      <rPr>
        <b/>
        <sz val="16"/>
        <color theme="1"/>
        <rFont val="Calibri"/>
        <family val="2"/>
        <scheme val="minor"/>
      </rPr>
      <t xml:space="preserve">
(Optional user inputs in </t>
    </r>
    <r>
      <rPr>
        <b/>
        <sz val="16"/>
        <color theme="5"/>
        <rFont val="Calibri"/>
        <family val="2"/>
        <scheme val="minor"/>
      </rPr>
      <t>Brown</t>
    </r>
    <r>
      <rPr>
        <b/>
        <sz val="16"/>
        <color theme="1"/>
        <rFont val="Calibri"/>
        <family val="2"/>
        <scheme val="minor"/>
      </rPr>
      <t>)</t>
    </r>
  </si>
  <si>
    <t>CFS Credit ($) 
(Sold in Oregon)</t>
  </si>
  <si>
    <t>CFS Credit ($) 
(Not Sold in Oregon)</t>
  </si>
  <si>
    <t>Carbon Credit ($)
(Sold in California, Connecticut, Delaware, Maine, Maryland, Massachusetts, New Hampshire, New Jersey, New York, Rhode Island, Vermont, and Virginia)</t>
  </si>
  <si>
    <t>Carbon Credit ($)
(Not Sold in California, Connecticut, Delaware, Maine, Maryland, Massachusetts, New Hampshire, New Jersey, New York, Rhode Island, Vermont, and Virginia)</t>
  </si>
  <si>
    <t>Renewble Energy Credit (REC) ($)</t>
  </si>
  <si>
    <t>Production Tax Credit (PTC) ($)</t>
  </si>
  <si>
    <t>Credits for Biogas Conversion to Fleet Fuel/Electricity/Pipeline Natural Gas</t>
  </si>
  <si>
    <t>Cost of  Anaerobic Digester (AD) &amp; Digestate Treatment, Shredder and Storage ($)</t>
  </si>
  <si>
    <t>LCFS Credit ($)
(If Transportation fuel (RNG,EV) produced from generated Biogas is sold in California and Washington)</t>
  </si>
  <si>
    <t>CFS Credit ($) 
(If Transportation fuel (RNG, EV) produced from generated Biogas is Sold in Oregon)</t>
  </si>
  <si>
    <t>Carbon Credit ($)
(If Transportation fuel (RNG, EV)/Electricity/Pipeline Natural Gas is Sold in California, Connecticut, Delaware, Maine, Maryland, Massachusetts, New Hampshire, New Jersey, New York, Rhode Island, Vermont, and Virginia)</t>
  </si>
  <si>
    <t>Production Tax Credit (PTC) ($)
(Applied to EV and Electricity produced from Biogas Only)</t>
  </si>
  <si>
    <t>Renewble Energy Credit (REC) ($)
(Applied to Electricity produced from Biogas Only)</t>
  </si>
  <si>
    <t xml:space="preserve">Final Baseline Choice Table </t>
  </si>
  <si>
    <t>Current (Diesel)/New (EV) Vehicle 
fuel choices ($)</t>
  </si>
  <si>
    <t>Current (Gasoline)/New (EV) Vehicle 
fuel choices ($)</t>
  </si>
  <si>
    <t>Additional Capital Cost for Purchase of Alternate Fuel Fleet Vehicles rather than Regular (Diesel) Fleet Vehicles ($)</t>
  </si>
  <si>
    <t>Additional Capital Cost for Purchase of Alternate Fuel Fleet Vehicles rather than Regular (Gasoline) Fleet Vehicles ($)</t>
  </si>
  <si>
    <t>New Industrial Digesters</t>
  </si>
  <si>
    <t>17. Waste Mass</t>
  </si>
  <si>
    <t>18. Distance from waste to Digester (Miles)</t>
  </si>
  <si>
    <t>19. Distance from waste to Landfill (Miles)</t>
  </si>
  <si>
    <t>20. Distance from waste to Composting facility (Miles)</t>
  </si>
  <si>
    <t>Fraction of Individual 
Waste</t>
  </si>
  <si>
    <r>
      <t xml:space="preserve">Emission from Landfilling
</t>
    </r>
    <r>
      <rPr>
        <b/>
        <sz val="12"/>
        <color rgb="FFFF0000"/>
        <rFont val="Calibri"/>
        <family val="2"/>
        <scheme val="minor"/>
      </rPr>
      <t>(NO USER INPUT NEEDED)</t>
    </r>
  </si>
  <si>
    <r>
      <t xml:space="preserve">Emission from Landfill Equipments
</t>
    </r>
    <r>
      <rPr>
        <b/>
        <sz val="12"/>
        <color rgb="FF7030A0"/>
        <rFont val="Calibri"/>
        <family val="2"/>
        <scheme val="minor"/>
      </rPr>
      <t>Ref.:  https://www.epa.gov/moves/latest-version-motor-vehicle-emission-simulator-moves</t>
    </r>
    <r>
      <rPr>
        <b/>
        <sz val="12"/>
        <color rgb="FF8C3FC5"/>
        <rFont val="Calibri"/>
        <family val="2"/>
        <scheme val="minor"/>
      </rPr>
      <t xml:space="preserve"> </t>
    </r>
  </si>
  <si>
    <r>
      <rPr>
        <b/>
        <sz val="12"/>
        <color theme="1"/>
        <rFont val="Calibri"/>
        <family val="2"/>
        <scheme val="minor"/>
      </rPr>
      <t>Amount of Diesel used (L/Ton of waste)</t>
    </r>
    <r>
      <rPr>
        <sz val="12"/>
        <color theme="1"/>
        <rFont val="Calibri"/>
        <family val="2"/>
        <scheme val="minor"/>
      </rPr>
      <t xml:space="preserve">
</t>
    </r>
    <r>
      <rPr>
        <sz val="12"/>
        <color rgb="FF8C3FC5"/>
        <rFont val="Calibri"/>
        <family val="2"/>
        <scheme val="minor"/>
      </rPr>
      <t>Ref: Broun (2016)</t>
    </r>
  </si>
  <si>
    <r>
      <t xml:space="preserve">Social Cost Saving (Direct Emission)
(Changes in net agricultural productivity, human health, property damages from increased flood risk, and the value of ecosystem services due to climate change)
</t>
    </r>
    <r>
      <rPr>
        <b/>
        <sz val="12"/>
        <color rgb="FF7030A0"/>
        <rFont val="Calibri"/>
        <family val="2"/>
        <scheme val="minor"/>
      </rPr>
      <t>(Ref: US EPA and Environmental Prices Handbook EU28 version)</t>
    </r>
  </si>
  <si>
    <r>
      <t>Amount of CO</t>
    </r>
    <r>
      <rPr>
        <b/>
        <vertAlign val="subscript"/>
        <sz val="12"/>
        <color theme="1"/>
        <rFont val="Calibri"/>
        <family val="2"/>
        <scheme val="minor"/>
      </rPr>
      <t>2</t>
    </r>
    <r>
      <rPr>
        <b/>
        <sz val="12"/>
        <color theme="1"/>
        <rFont val="Calibri"/>
        <family val="2"/>
        <scheme val="minor"/>
      </rPr>
      <t xml:space="preserve"> Reduction from alternate fuel vehicle
 (kg/Year)</t>
    </r>
  </si>
  <si>
    <r>
      <t>Amount of CO</t>
    </r>
    <r>
      <rPr>
        <b/>
        <vertAlign val="subscript"/>
        <sz val="12"/>
        <color theme="1"/>
        <rFont val="Calibri"/>
        <family val="2"/>
        <scheme val="minor"/>
      </rPr>
      <t>2</t>
    </r>
    <r>
      <rPr>
        <b/>
        <sz val="12"/>
        <color theme="1"/>
        <rFont val="Calibri"/>
        <family val="2"/>
        <scheme val="minor"/>
      </rPr>
      <t xml:space="preserve"> 
equivalent reduction resulting
from CH</t>
    </r>
    <r>
      <rPr>
        <b/>
        <vertAlign val="subscript"/>
        <sz val="12"/>
        <color theme="1"/>
        <rFont val="Calibri"/>
        <family val="2"/>
        <scheme val="minor"/>
      </rPr>
      <t>4</t>
    </r>
    <r>
      <rPr>
        <b/>
        <sz val="12"/>
        <color theme="1"/>
        <rFont val="Calibri"/>
        <family val="2"/>
        <scheme val="minor"/>
      </rPr>
      <t xml:space="preserve"> (kg/Year)</t>
    </r>
  </si>
  <si>
    <r>
      <t>Amount of CO</t>
    </r>
    <r>
      <rPr>
        <b/>
        <vertAlign val="subscript"/>
        <sz val="12"/>
        <color theme="1"/>
        <rFont val="Calibri"/>
        <family val="2"/>
        <scheme val="minor"/>
      </rPr>
      <t>2</t>
    </r>
    <r>
      <rPr>
        <b/>
        <sz val="12"/>
        <color theme="1"/>
        <rFont val="Calibri"/>
        <family val="2"/>
        <scheme val="minor"/>
      </rPr>
      <t xml:space="preserve"> 
equivalent reduction resulting 
from N</t>
    </r>
    <r>
      <rPr>
        <b/>
        <vertAlign val="subscript"/>
        <sz val="12"/>
        <color theme="1"/>
        <rFont val="Calibri"/>
        <family val="2"/>
        <scheme val="minor"/>
      </rPr>
      <t>2</t>
    </r>
    <r>
      <rPr>
        <b/>
        <sz val="12"/>
        <color theme="1"/>
        <rFont val="Calibri"/>
        <family val="2"/>
        <scheme val="minor"/>
      </rPr>
      <t>O (kg/Year)</t>
    </r>
  </si>
  <si>
    <r>
      <t>Amount of CO</t>
    </r>
    <r>
      <rPr>
        <b/>
        <vertAlign val="subscript"/>
        <sz val="12"/>
        <color theme="1"/>
        <rFont val="Calibri"/>
        <family val="2"/>
        <scheme val="minor"/>
      </rPr>
      <t>2</t>
    </r>
    <r>
      <rPr>
        <b/>
        <sz val="12"/>
        <color theme="1"/>
        <rFont val="Calibri"/>
        <family val="2"/>
        <scheme val="minor"/>
      </rPr>
      <t>-Equivalents Reduced
(Metric Ton/Year)</t>
    </r>
  </si>
  <si>
    <r>
      <t>Social Benefit of CO</t>
    </r>
    <r>
      <rPr>
        <b/>
        <vertAlign val="subscript"/>
        <sz val="12"/>
        <color theme="1"/>
        <rFont val="Calibri"/>
        <family val="2"/>
        <scheme val="minor"/>
      </rPr>
      <t>2</t>
    </r>
    <r>
      <rPr>
        <b/>
        <sz val="12"/>
        <color theme="1"/>
        <rFont val="Calibri"/>
        <family val="2"/>
        <scheme val="minor"/>
      </rPr>
      <t xml:space="preserve"> for 2.5% discount rate (in 2007 $ per metric ton CO</t>
    </r>
    <r>
      <rPr>
        <b/>
        <vertAlign val="subscript"/>
        <sz val="12"/>
        <color theme="1"/>
        <rFont val="Calibri"/>
        <family val="2"/>
        <scheme val="minor"/>
      </rPr>
      <t>2</t>
    </r>
    <r>
      <rPr>
        <b/>
        <sz val="12"/>
        <color theme="1"/>
        <rFont val="Calibri"/>
        <family val="2"/>
        <scheme val="minor"/>
      </rPr>
      <t>)</t>
    </r>
  </si>
  <si>
    <r>
      <t>Total GHG 
(CO</t>
    </r>
    <r>
      <rPr>
        <b/>
        <vertAlign val="subscript"/>
        <sz val="12"/>
        <color theme="1"/>
        <rFont val="Calibri"/>
        <family val="2"/>
        <scheme val="minor"/>
      </rPr>
      <t>2</t>
    </r>
    <r>
      <rPr>
        <b/>
        <sz val="12"/>
        <color theme="1"/>
        <rFont val="Calibri"/>
        <family val="2"/>
        <scheme val="minor"/>
      </rPr>
      <t>-Eq.) Reduction Social Benefit
in $/Year</t>
    </r>
  </si>
  <si>
    <r>
      <t>Amount of CO</t>
    </r>
    <r>
      <rPr>
        <b/>
        <vertAlign val="subscript"/>
        <sz val="12"/>
        <color theme="1"/>
        <rFont val="Calibri"/>
        <family val="2"/>
        <scheme val="minor"/>
      </rPr>
      <t>2</t>
    </r>
    <r>
      <rPr>
        <b/>
        <sz val="12"/>
        <color theme="1"/>
        <rFont val="Calibri"/>
        <family val="2"/>
        <scheme val="minor"/>
      </rPr>
      <t xml:space="preserve"> Reduction
 (kg/Year)</t>
    </r>
  </si>
  <si>
    <r>
      <t>Amount of CO</t>
    </r>
    <r>
      <rPr>
        <b/>
        <vertAlign val="subscript"/>
        <sz val="12"/>
        <color theme="1"/>
        <rFont val="Calibri"/>
        <family val="2"/>
        <scheme val="minor"/>
      </rPr>
      <t>2</t>
    </r>
    <r>
      <rPr>
        <b/>
        <sz val="12"/>
        <color theme="1"/>
        <rFont val="Calibri"/>
        <family val="2"/>
        <scheme val="minor"/>
      </rPr>
      <t xml:space="preserve"> Reduced
(Metric Ton/Year)</t>
    </r>
  </si>
  <si>
    <r>
      <t>CO</t>
    </r>
    <r>
      <rPr>
        <b/>
        <vertAlign val="subscript"/>
        <sz val="12"/>
        <color theme="1"/>
        <rFont val="Calibri"/>
        <family val="2"/>
        <scheme val="minor"/>
      </rPr>
      <t xml:space="preserve">2 </t>
    </r>
    <r>
      <rPr>
        <b/>
        <sz val="12"/>
        <color theme="1"/>
        <rFont val="Calibri"/>
        <family val="2"/>
        <scheme val="minor"/>
      </rPr>
      <t>Reduction Social Benefit
in $/Year</t>
    </r>
  </si>
  <si>
    <t>Contact information for questions regarding POWER Tool.</t>
  </si>
  <si>
    <t>General information about the POWER tool as well as the meaning of color-coded cells used in the spreadsheet.</t>
  </si>
  <si>
    <t>A table showing what tabs contain which information.</t>
  </si>
  <si>
    <t>The only tab where user must INPUT values. Overall user INPUT, OUTPUT, benefits, revenues, losses, net benefit/cost, etc. are arranged here. It is the most important part of the POWER tool. With very limited INPUTs, the user can have an overview of all the OUTPUTS with overall benefit/cost information in terms of 50 years with 2% interest rate.</t>
  </si>
  <si>
    <t>Digester Methane Calculations</t>
  </si>
  <si>
    <t>Landfill Methane Calculations</t>
  </si>
  <si>
    <t>Detailed calculations about the amount of biogas generated from Anaerobic digestion of food waste, residential and commercial food waste, yard waste, residential and commercial yard waste, corporate campus (food and yard), Fats,oil and grease (FOG), Crop residue, Manure; conversion of biogas to energy, electricity; miles per year different vehicles can travel on biogas produced; number of vehicles that can be refueled by generated biogas; etc.</t>
  </si>
  <si>
    <t>Detailed calculations about the amount of biogas generated from Landfilling of food waste, residential and commercial food waste, yard waste, residential and commercial yard waste, corporate campus (food and yard), Fats,oil and grease (FOG), Crop residue, Manure; conversion of biogas to energy, electricity; miles per year different vehicles can travel on biogas produced; number of vehicles that can be refueled by generated biogas; etc.</t>
  </si>
  <si>
    <t>Cost-Benefit Tab_Digester</t>
  </si>
  <si>
    <t>Cost-Benefit Tab_Landfilling</t>
  </si>
  <si>
    <t>Cost-Benefit Tab_Composting</t>
  </si>
  <si>
    <t xml:space="preserve">Detailed calculations for all individual cost and benefits in terms of Landfilling including vehicles cost, tipping fee etc. </t>
  </si>
  <si>
    <t xml:space="preserve">Detailed calculations for all individual cost and benefits in terms of Anaerobic Digestion including vehicles cost, credits and tipping fee etc. </t>
  </si>
  <si>
    <t xml:space="preserve">Detailed calculations for all individual cost and benefits in terms of Composting including vehicles cost, tipping fees etc. </t>
  </si>
  <si>
    <t>Multichoice Vehicle</t>
  </si>
  <si>
    <t>Calculations about all type of vehicles, credits, benefit of using biogas etc.</t>
  </si>
  <si>
    <t>Emission-Waste Transport Vehicle</t>
  </si>
  <si>
    <t>Emission-Preprocessing</t>
  </si>
  <si>
    <t>Emission-AD</t>
  </si>
  <si>
    <t>Emission-Impurities</t>
  </si>
  <si>
    <t>Emission-Biogas Conversion</t>
  </si>
  <si>
    <t>Emission-GHG from Biogas Conversion</t>
  </si>
  <si>
    <t>Emission-Vehicles to be refueled</t>
  </si>
  <si>
    <t>Emission-Combustion Pipeline NG</t>
  </si>
  <si>
    <t>Total AD Emission</t>
  </si>
  <si>
    <t>Emission-Landfilling</t>
  </si>
  <si>
    <t>Total Emission_Landfill</t>
  </si>
  <si>
    <t>Emission_Composting</t>
  </si>
  <si>
    <t>Total Emission_Composting</t>
  </si>
  <si>
    <t>Comparison Emission</t>
  </si>
  <si>
    <t>CN Table</t>
  </si>
  <si>
    <t>Emission-Solid-Liquid Residual</t>
  </si>
  <si>
    <t>Emission from Waste Transporting Vehicle and calculation of social cost.</t>
  </si>
  <si>
    <t>Emission from Preprocessing steps and calculation of social cost.</t>
  </si>
  <si>
    <t>Emission during Anaerobic Digestion and calculation of social cost.</t>
  </si>
  <si>
    <t>Emission from Anaerobic Digestion and baselines (landfill and composting) byproducts and calculation of social cost.</t>
  </si>
  <si>
    <t>Emission from impurities removal step and social cost.</t>
  </si>
  <si>
    <t>Emission from Biogas conversion processes and calculation of social cost.</t>
  </si>
  <si>
    <t>Emission of Green House Gases (GHG) during Biogas conversion processes and calculation of social cost.</t>
  </si>
  <si>
    <t>Emission from Biogas refuled vehicles and social cost calculation.</t>
  </si>
  <si>
    <t>Emission from pipeline NG combustion and associated social cost calculation.</t>
  </si>
  <si>
    <t>Total emission from Anaerobic Digestion and associated social cost.</t>
  </si>
  <si>
    <t>Emission from Landfilling process and calculation of social cost.</t>
  </si>
  <si>
    <t>Total emission from Landfill and associated social cost.</t>
  </si>
  <si>
    <t xml:space="preserve">Emission from Composting process and associated cost. </t>
  </si>
  <si>
    <t>Total emission from Composting and associated social cost.</t>
  </si>
  <si>
    <t>Mass Calculations for food waste, residential and commercial food waste, yard waste, residential and commercial yard waste, corporate campus (food and yard), 
Fats,oil and grease (FOG), Crop residue, Manure. C/N ratio check for selected waste type.</t>
  </si>
  <si>
    <t>Comparison of emission from Anerobic digestion with baselines (landfilling and composting).</t>
  </si>
  <si>
    <t>C/N table for different feedstock.</t>
  </si>
  <si>
    <t>Total Gas conversion Capacity (Electricity) in kWh/yr</t>
  </si>
  <si>
    <t xml:space="preserve">Operation Cost ($/year)
Total cost ($/year) for Farm and Industrial AD </t>
  </si>
  <si>
    <t xml:space="preserve">Landfill area in Acres </t>
  </si>
  <si>
    <t>Annual Precipitation in Inches</t>
  </si>
  <si>
    <t>Annual Evapotranspiration in Inches</t>
  </si>
  <si>
    <t>INPUT VALUES for calculating Indirect Emission 
from Leachate Treatment and Leachate Pumping</t>
  </si>
  <si>
    <t>Amount of leachate generated (ft3)</t>
  </si>
  <si>
    <t>100% Electricity from AD (kWh/Year)</t>
  </si>
  <si>
    <t>100% Electricity from Landfill (kWh/Year)</t>
  </si>
  <si>
    <t>Total Electricity from AD (100%) (kWh/year)</t>
  </si>
  <si>
    <t>Total Electricity from Landfill (100%) (kWh/year)</t>
  </si>
  <si>
    <t>Amount of Electricity Generated</t>
  </si>
  <si>
    <t>Amount of Pipeline NG Generated</t>
  </si>
  <si>
    <t>Amount of Electricity Generated (KwH/Year)</t>
  </si>
  <si>
    <t>Amount of Pipeline NG Generated (m3/day)</t>
  </si>
  <si>
    <t>Total Amount of Electricity Generated 
(KWh/Year)</t>
  </si>
  <si>
    <t>Milage Covered by Biogas
(Miles/Year)</t>
  </si>
  <si>
    <t>Total Amount of Pipeline Natural Gas Generated
(m3/Day)</t>
  </si>
  <si>
    <t>PM(PM10)</t>
  </si>
  <si>
    <t>PM(PM2.5)</t>
  </si>
  <si>
    <t>Emission from Chosen Biogas Conversion (SOx) 
(Kg/Year)</t>
  </si>
  <si>
    <t>Emission from Chosen Biogas Conversion (GHG) 
(Kg/Year)</t>
  </si>
  <si>
    <t>Preprocessing Cost ($)</t>
  </si>
  <si>
    <t>7. Total Gas conversion Capacity (RNG) in m3</t>
  </si>
  <si>
    <t>8. Gas conversion capacity already used (RNG) in m3</t>
  </si>
  <si>
    <t>RNG</t>
  </si>
  <si>
    <t>RNG Vehicle Options</t>
  </si>
  <si>
    <t>Total Gas conversion Capacity (RNG) in m3</t>
  </si>
  <si>
    <t>Gas conversion capacity already used (RNG) in m3</t>
  </si>
  <si>
    <t>Loss in RNG Sales+Credit Obtained from RIN+
Credits obtained from AFTC credit
(Applied to Transportation fuel (RNG/RNG) produced from Biogas only)</t>
  </si>
  <si>
    <t xml:space="preserve">RNG Passenger car can travel (Miles/Year) </t>
  </si>
  <si>
    <t>RNG Garbage truck can travel (Miles/year)</t>
  </si>
  <si>
    <t>RNG Passenger Truck can travel (Miles/year)</t>
  </si>
  <si>
    <t xml:space="preserve"> RNG Light Commercial Truck can travel (Miles/year)</t>
  </si>
  <si>
    <t>No of RNG Passenger cars fueling possible</t>
  </si>
  <si>
    <t>No of RNG Garbage Truck fueling possible</t>
  </si>
  <si>
    <t>No of RNG Passenger Trucks fueling possible</t>
  </si>
  <si>
    <t>No. of RNG Light Commercial Trucks fueling possible</t>
  </si>
  <si>
    <t>Additional Capital Cost for Purchase of Alternate Fuel Fleet Vehicles rather than Regular (Gasoline/Diesel) Fleet Vehicles ($)
(Ref: AFLEET Model for All type except EV Passenger Car, truck, light commercial truck, Fleet managers, Truck manufacturers, Google for Natural gas garbage truck, EV Passenger Car, truck, light commercial truck)
(Electric and RNG Garbage Truck Price is the average of AFLEET (https://afleet-web.es.anl.gov/afleet/) +Natural Gas Vehicles For America (https://www.ngvamerica.org/wp-content/uploads/2020/11/NGVAmerica-NJ-RNG-Refuse-Impact.pdf)</t>
  </si>
  <si>
    <t>Single Stream Garbage Truck (RNG)</t>
  </si>
  <si>
    <t>Benefit of RNG over Natural Gas Vehicle</t>
  </si>
  <si>
    <t>Additional cost of RNG over gasoline vehicles</t>
  </si>
  <si>
    <t>Passenger Car 4 (RNG)</t>
  </si>
  <si>
    <t>Passenger Truck 3 (RNG)</t>
  </si>
  <si>
    <t>Light Commercial Truck 3 (RNG)</t>
  </si>
  <si>
    <t>Current Garbage Truck (Diesel)/New (RNG)</t>
  </si>
  <si>
    <t>Garbage Truck (RNG)</t>
  </si>
  <si>
    <t>Current Passenger Car (Diesel)/New (RNG)</t>
  </si>
  <si>
    <t>Current Passenger Car (Gasoline)/New (RNG)</t>
  </si>
  <si>
    <t>Current Passenger Truck (Diesel)/New (RNG)</t>
  </si>
  <si>
    <t>Current-Passenger Truck (Gasoline)/New (RNG)</t>
  </si>
  <si>
    <t>Current Light Commercial Truck (Diesel)/New (RNG)</t>
  </si>
  <si>
    <t>Current Light Commercial Truck (Gasoline)/New (RNG)</t>
  </si>
  <si>
    <t xml:space="preserve"> Biogas Conversion to RNG and Refueling Station Capital Cost
(Ref: EPA (2016))</t>
  </si>
  <si>
    <t>Biogas Conversion to RNG and Refueling Station Operating Cost</t>
  </si>
  <si>
    <t xml:space="preserve"> Cost Associated With RNG
 Conversion </t>
  </si>
  <si>
    <t>Installed cost of onsite RNG conversion (cleaning and compression)</t>
  </si>
  <si>
    <t>Biogas Conversion to Electricity or RNG (Capital and Operation Cost) ($)</t>
  </si>
  <si>
    <t>Without Refueling Station (Biogas to RNG)</t>
  </si>
  <si>
    <t>With Refueling Station (Biogas to RNG)</t>
  </si>
  <si>
    <t>Summary Table for Biogas Conversion to Electricity or RNG with associated credits ($)</t>
  </si>
  <si>
    <t>Credit for RNG Generation</t>
  </si>
  <si>
    <t>RNG Use in California</t>
  </si>
  <si>
    <t>AD: Garbage Truck (RNG): Residential – all kinds (food, yard, mixed)</t>
  </si>
  <si>
    <t>Landfill: Garbage Truck (RNG): Residential – all kinds (food, yard, mixed)</t>
  </si>
  <si>
    <t>Composting: Garbage Truck (RNG):Residential – all kinds (food, yard, mixed)</t>
  </si>
  <si>
    <t>RNG Sales
(Ref: LFGCost Model, LMOP, Energy.gov, US EPA, https://web.archive.org/web/20140714234954/http:/apps3.eere.energy.gov/greenpower/markets/certificates.shtml?page=1)</t>
  </si>
  <si>
    <t>RNG Sales</t>
  </si>
  <si>
    <t>RNG Sales + Renewble Identification Number+ AFTC credit</t>
  </si>
  <si>
    <t>Loss in RNG Sales+Credit Obtained from RIN+Credits obtained from AFTC credit</t>
  </si>
  <si>
    <t>Vehicle: RNG Options</t>
  </si>
  <si>
    <t>Loss in RNG Sales+Credit Obtained from RIN+
Credits obtained from AFTC credit</t>
  </si>
  <si>
    <t>LCFS Credit ($)
(If RNG sold in California and Washington)</t>
  </si>
  <si>
    <t>LCFS Credit ($)
(If RNG is not sold in California and Washington)</t>
  </si>
  <si>
    <t>Current (Diesel)/New (RNG) Vehicle 
fuel choices ($)</t>
  </si>
  <si>
    <t>Current (Gasoline)/New (RNG) Vehicle 
fuel choices ($)</t>
  </si>
  <si>
    <t>2. RNG garbage truck</t>
  </si>
  <si>
    <t>RNG Garbage Truck</t>
  </si>
  <si>
    <t>Emission of pollutants from vehicles 
running by electricity and RNG</t>
  </si>
  <si>
    <t>RNG Passenger car</t>
  </si>
  <si>
    <t xml:space="preserve">RNG Garbage truck 
</t>
  </si>
  <si>
    <t>RNG Passenger Truck</t>
  </si>
  <si>
    <t xml:space="preserve"> RNG Light Commercial Truck</t>
  </si>
  <si>
    <t>Emisson benefits Garbage truck (RNG)</t>
  </si>
  <si>
    <t xml:space="preserve">RNG garbage truck </t>
  </si>
  <si>
    <t xml:space="preserve">RNG </t>
  </si>
  <si>
    <t xml:space="preserve">RNG Passenger car </t>
  </si>
  <si>
    <t xml:space="preserve">RNG Garbage truck </t>
  </si>
  <si>
    <t xml:space="preserve">RNG Passenger Truck </t>
  </si>
  <si>
    <t xml:space="preserve"> RNG Light Commercial Truck </t>
  </si>
  <si>
    <t>RNG garbage truck</t>
  </si>
  <si>
    <t>RNG Garbage Truck Cost</t>
  </si>
  <si>
    <t>The renewable electricity production tax credit, direct use or high Btu gas sales, CHP hot water and steam production, RNG sales</t>
  </si>
  <si>
    <t>Amount of NOx Reduction 
(Kg/year)</t>
  </si>
  <si>
    <t>Anaerobic Digestion (Farm/Industrial Digester only)</t>
  </si>
  <si>
    <t xml:space="preserve">WWTP Anaerobic Digester </t>
  </si>
  <si>
    <t>Cost of WWTP Anerobic Digester (AD)</t>
  </si>
  <si>
    <t>WWTP AD Total Cost ($)</t>
  </si>
  <si>
    <t>Landfill (Comparing with Farm/Industrial AD)</t>
  </si>
  <si>
    <t>Choosing Baseline to compare overall cost and Emission Cost ($)</t>
  </si>
  <si>
    <t>Emission Costs passenger car (Electric)</t>
  </si>
  <si>
    <t>Emission Costs Garbage truck (Electric)</t>
  </si>
  <si>
    <t>Emission Costs Passenger truck (Electric)</t>
  </si>
  <si>
    <t>Emission Costs Light Commercial truck (Electric)</t>
  </si>
  <si>
    <t xml:space="preserve"> Emission Costs Passenger car (RNG)</t>
  </si>
  <si>
    <t xml:space="preserve"> Emission Costs Passenger truck (RNG)</t>
  </si>
  <si>
    <t xml:space="preserve"> Emission Cost Light Commercial truck (RNG)</t>
  </si>
  <si>
    <t>Sub-Total Emission Cost ($)</t>
  </si>
  <si>
    <t>Calculation for Emission Cost for Landfill Equipment
(Changes in net agricultural productivity, human health, property damages from increased flood risk, and the value of ecosystem services due to climate change)
(Ref: US EPA and Environmental Prices Handbook EU28 version)</t>
  </si>
  <si>
    <t>Cost of Energy Conversion ($)</t>
  </si>
  <si>
    <t>Landfill Tipping Fee (Based on Location of landfill)</t>
  </si>
  <si>
    <t>Composting Tipping Fee (Based on Size of compost trailer)</t>
  </si>
  <si>
    <t>Total Costs of AD and Baselines with Emission Cost for each option</t>
  </si>
  <si>
    <t>Total Cost (not including emission costs)</t>
  </si>
  <si>
    <t>Cost of landfill tipping fee</t>
  </si>
  <si>
    <t>Cost of tipping fee for farm or industrial digester</t>
  </si>
  <si>
    <t>Cost of composting tipping fee</t>
  </si>
  <si>
    <t>Total Cost (not including emission costs) of AD – Baseline</t>
  </si>
  <si>
    <t>Total Emission Cost ($)</t>
  </si>
  <si>
    <t>Total Emission Cost for AD – Baseline</t>
  </si>
  <si>
    <t>Emission from Pipeline Natural Gas-Anaerobic Digester</t>
  </si>
  <si>
    <t>Emission from Pipeline Natural Gas-Landfill</t>
  </si>
  <si>
    <r>
      <t xml:space="preserve">Emissions (Ib/MMBTU)
</t>
    </r>
    <r>
      <rPr>
        <b/>
        <sz val="11"/>
        <color rgb="FF8C3FC5"/>
        <rFont val="Calibri"/>
        <family val="2"/>
        <scheme val="minor"/>
      </rPr>
      <t xml:space="preserve">Ref: Emission Factors (AP-42)
https://www.epa.gov/sites/default/files/2020-09/documents/1.4_natural_gas_combustion.pdf </t>
    </r>
  </si>
  <si>
    <r>
      <t xml:space="preserve">Cost saved for not using regular fertilizer ($/plant)
Ref: </t>
    </r>
    <r>
      <rPr>
        <b/>
        <sz val="11"/>
        <color rgb="FFAC75D5"/>
        <rFont val="Calibri"/>
        <family val="2"/>
        <scheme val="minor"/>
      </rPr>
      <t>https://farmpolicynews.illinois.edu/2021/12/fertilizer-prices-continue-to-climb-2022-planted-acreage-analysis-continues/#:~:text=The%20nitrogen%20fertilizer's%20average%20price,%2C%20an%20all%2Dtime%20high.</t>
    </r>
  </si>
  <si>
    <t>Waste Transport vehicle (RNG Garbage Truck)</t>
  </si>
  <si>
    <t>Indirect Emission-Solid-liquid separation (Before Digestate Processing)</t>
  </si>
  <si>
    <t>Emissions for Energy Consumption from Digestate Treatment</t>
  </si>
  <si>
    <t>Impurities removal</t>
  </si>
  <si>
    <t>Total for Solid-liquid resudal -AD</t>
  </si>
  <si>
    <t>Vehicle RNG (Ib/MMBTU)</t>
  </si>
  <si>
    <t>Pipeline RNG (Ib/MMBTU)</t>
  </si>
  <si>
    <t xml:space="preserve">Emission Cost ($) </t>
  </si>
  <si>
    <t>Anaerobic Digestion (WWTP)</t>
  </si>
  <si>
    <t>Anaerobic Digestion (Farm &amp; Industrial)</t>
  </si>
  <si>
    <t>Vehicle RNG</t>
  </si>
  <si>
    <t>Pipeline RNG</t>
  </si>
  <si>
    <t>Emission from Biogas Conversion (Microturbine 30-330KW) Process &amp; GHG Emission from that</t>
  </si>
  <si>
    <t>Emission from Biogas Conversion (Turbine 1-500 MW)  Process &amp; GHG Emission from that</t>
  </si>
  <si>
    <t>Emission from Biogas Conversion (Reciprocating Engines) Process &amp; GHG Emission from that</t>
  </si>
  <si>
    <t>Emission from Biogas Conversion (Fuel cells) Process &amp; GHG Emission from that</t>
  </si>
  <si>
    <t>Emission from Biogas Conversion (Vehicle RNG)  Process &amp; GHG Emission from that</t>
  </si>
  <si>
    <t>Emission from Biogas Conversion (Pipeline RNG) &amp; GHG Emission from that</t>
  </si>
  <si>
    <t>Emission Cost AD ($)</t>
  </si>
  <si>
    <t>Vehicles to be refueled (RNG Garbage Truck)</t>
  </si>
  <si>
    <t>Vehicles to be refueled (RNG Passenger Truck)</t>
  </si>
  <si>
    <t>Vehicles to be refueled (RNG Passenger Car)</t>
  </si>
  <si>
    <t>Vehicles to be refueled (RNG light commercial Truck)</t>
  </si>
  <si>
    <t>Total Emission from Leachate Pumping, Leachate Treatment and Impurities</t>
  </si>
  <si>
    <t>Emission cost AD ($)</t>
  </si>
  <si>
    <t xml:space="preserve">Unit </t>
  </si>
  <si>
    <t>Composting (Comparing with Farm/Industrial AD)</t>
  </si>
  <si>
    <t>Total Cost/Benefit with Emission Cost/Benefit ($)</t>
  </si>
  <si>
    <t>Choice of Baseline (Overall Cost with Emission cost)</t>
  </si>
  <si>
    <t xml:space="preserve">Total Emission from Each Selected Category </t>
  </si>
  <si>
    <t>Choose Process for AD Emissions and Emission Costs</t>
  </si>
  <si>
    <t>Choose Process for Landfill Emissions and Emission Costs</t>
  </si>
  <si>
    <t>Choose Process for Composting Emissions and Emission Costs</t>
  </si>
  <si>
    <t>VOC (Kg/year)</t>
  </si>
  <si>
    <t>CO (Kg/year)</t>
  </si>
  <si>
    <t>NOx (Kg/year)</t>
  </si>
  <si>
    <t>PM10 (Kg/year)</t>
  </si>
  <si>
    <t>PM2.5 (Kg/year)</t>
  </si>
  <si>
    <t>Sox (Kg/year)</t>
  </si>
  <si>
    <r>
      <t xml:space="preserve">Carbon Credit ($)
(If Transportation fuel (RNG, EV)/Electricity/Pipeline Natural Gas is </t>
    </r>
    <r>
      <rPr>
        <b/>
        <sz val="14"/>
        <color rgb="FFFF0000"/>
        <rFont val="Calibri"/>
        <family val="2"/>
        <scheme val="minor"/>
      </rPr>
      <t>Not</t>
    </r>
    <r>
      <rPr>
        <b/>
        <sz val="14"/>
        <color theme="1"/>
        <rFont val="Calibri"/>
        <family val="2"/>
        <scheme val="minor"/>
      </rPr>
      <t xml:space="preserve"> Sold in California, Connecticut, Delaware, Maine, Maryland, Massachusetts, New Hampshire, New Jersey, New York, Rhode Island, Vermont, and Virginia)</t>
    </r>
  </si>
  <si>
    <r>
      <t>CFS Credit ($) 
(If Transportation fuel (RNG, EV) produced from generated Biogas is</t>
    </r>
    <r>
      <rPr>
        <b/>
        <sz val="14"/>
        <color rgb="FFFF0000"/>
        <rFont val="Calibri"/>
        <family val="2"/>
        <scheme val="minor"/>
      </rPr>
      <t xml:space="preserve"> Not</t>
    </r>
    <r>
      <rPr>
        <b/>
        <sz val="14"/>
        <color theme="1"/>
        <rFont val="Calibri"/>
        <family val="2"/>
        <scheme val="minor"/>
      </rPr>
      <t xml:space="preserve"> Sold in Oregon)</t>
    </r>
  </si>
  <si>
    <r>
      <t xml:space="preserve">LCFS Credit ($)
(If Transportation fuel (RNG, EV) produced from generated Biogas is  </t>
    </r>
    <r>
      <rPr>
        <b/>
        <sz val="14"/>
        <color rgb="FFFF0000"/>
        <rFont val="Calibri"/>
        <family val="2"/>
        <scheme val="minor"/>
      </rPr>
      <t>Not</t>
    </r>
    <r>
      <rPr>
        <b/>
        <sz val="14"/>
        <color theme="1"/>
        <rFont val="Calibri"/>
        <family val="2"/>
        <scheme val="minor"/>
      </rPr>
      <t xml:space="preserve"> sold in California and Washington)</t>
    </r>
  </si>
  <si>
    <t>Total Cost and Emission Cost ($) for WWTP AD while Considering Biogas 
is eligible for credits like, LCFS, CFS &amp; Carbon Credit and Current Vehicle is Diesel</t>
  </si>
  <si>
    <t>Total Cost and Emission Cost ($) for Farm and Industrial AD</t>
  </si>
  <si>
    <t>Total Cost and Emission Cost ($) for WWTP AD-Landfill Baseline</t>
  </si>
  <si>
    <t>Total Cost and Emission Cost ($) for Farm/Industrial AD-Landfill Baseline</t>
  </si>
  <si>
    <t>Total Cost and Emission Cost ($) for WWTP AD-Composting Baseline</t>
  </si>
  <si>
    <t>Landfill (Comparing with WWTP AD and Current vehicle is Diesel)</t>
  </si>
  <si>
    <t>Landfill (Comparing with WWTP AD and Current vehicle is Gasoline)</t>
  </si>
  <si>
    <t>Composting (Comparing with WWTP AD  and Current vehicle is Diesel)</t>
  </si>
  <si>
    <t>Composting (Comparing with WWTP AD and Current vehicle is Gasoline)</t>
  </si>
  <si>
    <t xml:space="preserve">INPUT Landfill Tipping Fee </t>
  </si>
  <si>
    <t>Landfill tipping fee in $/ton of waste</t>
  </si>
  <si>
    <t>INPUT Compost Tipping Fee</t>
  </si>
  <si>
    <t>Composting Tipping Fee in $/Trailer size</t>
  </si>
  <si>
    <t xml:space="preserve">Total Landfill Tipping Fee Benefit ($) </t>
  </si>
  <si>
    <t>NOx (Kg/Year)</t>
  </si>
  <si>
    <t>VOC (Kg/Year)</t>
  </si>
  <si>
    <t>CO (Kg/Year)</t>
  </si>
  <si>
    <r>
      <t>PM(PM</t>
    </r>
    <r>
      <rPr>
        <b/>
        <vertAlign val="subscript"/>
        <sz val="11"/>
        <color theme="1"/>
        <rFont val="Calibri"/>
        <family val="2"/>
        <scheme val="minor"/>
      </rPr>
      <t>10</t>
    </r>
    <r>
      <rPr>
        <b/>
        <sz val="11"/>
        <color theme="1"/>
        <rFont val="Calibri"/>
        <family val="2"/>
        <scheme val="minor"/>
      </rPr>
      <t>) (Kg/Year)</t>
    </r>
  </si>
  <si>
    <r>
      <t>PM(PM</t>
    </r>
    <r>
      <rPr>
        <b/>
        <vertAlign val="subscript"/>
        <sz val="11"/>
        <color theme="1"/>
        <rFont val="Calibri"/>
        <family val="2"/>
        <scheme val="minor"/>
      </rPr>
      <t>2.5</t>
    </r>
    <r>
      <rPr>
        <b/>
        <sz val="11"/>
        <color theme="1"/>
        <rFont val="Calibri"/>
        <family val="2"/>
        <scheme val="minor"/>
      </rPr>
      <t>) (Kg/Year)</t>
    </r>
  </si>
  <si>
    <t>Sox (Kg/Year)</t>
  </si>
  <si>
    <r>
      <t>CH</t>
    </r>
    <r>
      <rPr>
        <b/>
        <vertAlign val="subscript"/>
        <sz val="11"/>
        <color theme="1"/>
        <rFont val="Calibri"/>
        <family val="2"/>
        <scheme val="minor"/>
      </rPr>
      <t>4</t>
    </r>
    <r>
      <rPr>
        <b/>
        <sz val="11"/>
        <color theme="1"/>
        <rFont val="Calibri"/>
        <family val="2"/>
        <scheme val="minor"/>
      </rPr>
      <t xml:space="preserve"> (Kg/Year)</t>
    </r>
  </si>
  <si>
    <r>
      <t>CO</t>
    </r>
    <r>
      <rPr>
        <b/>
        <vertAlign val="subscript"/>
        <sz val="11"/>
        <color theme="1"/>
        <rFont val="Calibri"/>
        <family val="2"/>
        <scheme val="minor"/>
      </rPr>
      <t>2</t>
    </r>
    <r>
      <rPr>
        <b/>
        <sz val="11"/>
        <color theme="1"/>
        <rFont val="Calibri"/>
        <family val="2"/>
        <scheme val="minor"/>
      </rPr>
      <t xml:space="preserve"> (Kg/Year)</t>
    </r>
  </si>
  <si>
    <r>
      <t>N</t>
    </r>
    <r>
      <rPr>
        <b/>
        <vertAlign val="subscript"/>
        <sz val="11"/>
        <color theme="1"/>
        <rFont val="Calibri"/>
        <family val="2"/>
        <scheme val="minor"/>
      </rPr>
      <t>2</t>
    </r>
    <r>
      <rPr>
        <b/>
        <sz val="11"/>
        <color theme="1"/>
        <rFont val="Calibri"/>
        <family val="2"/>
        <scheme val="minor"/>
      </rPr>
      <t>O (Kg/Year)</t>
    </r>
  </si>
  <si>
    <t>CO2 eq./GHG (Kg/Year)</t>
  </si>
  <si>
    <t>Emission Cost Composting ($)</t>
  </si>
  <si>
    <t>Cost of AD with Digestate Treatment, Pre-Treatment cost and 
Cost of tipping fee for farm or industrial digester</t>
  </si>
  <si>
    <r>
      <t>Mandatory Decisions/Outputs 
(</t>
    </r>
    <r>
      <rPr>
        <b/>
        <sz val="14"/>
        <rFont val="Calibri"/>
        <family val="2"/>
        <scheme val="minor"/>
      </rPr>
      <t>User needs to MAKE DECISIONS in</t>
    </r>
    <r>
      <rPr>
        <b/>
        <sz val="14"/>
        <color rgb="FFFFFF00"/>
        <rFont val="Calibri"/>
        <family val="2"/>
        <scheme val="minor"/>
      </rPr>
      <t xml:space="preserve"> Yellow</t>
    </r>
    <r>
      <rPr>
        <b/>
        <sz val="14"/>
        <color rgb="FFFF0000"/>
        <rFont val="Calibri"/>
        <family val="2"/>
        <scheme val="minor"/>
      </rPr>
      <t xml:space="preserve"> </t>
    </r>
    <r>
      <rPr>
        <b/>
        <sz val="14"/>
        <rFont val="Calibri"/>
        <family val="2"/>
        <scheme val="minor"/>
      </rPr>
      <t>cells only</t>
    </r>
    <r>
      <rPr>
        <b/>
        <sz val="14"/>
        <color theme="1"/>
        <rFont val="Calibri"/>
        <family val="2"/>
        <scheme val="minor"/>
      </rPr>
      <t>; Outputs highlighted in</t>
    </r>
    <r>
      <rPr>
        <b/>
        <sz val="14"/>
        <color rgb="FF00B050"/>
        <rFont val="Calibri"/>
        <family val="2"/>
        <scheme val="minor"/>
      </rPr>
      <t xml:space="preserve"> Green</t>
    </r>
    <r>
      <rPr>
        <b/>
        <sz val="14"/>
        <color theme="1"/>
        <rFont val="Calibri"/>
        <family val="2"/>
        <scheme val="minor"/>
      </rPr>
      <t>)</t>
    </r>
  </si>
  <si>
    <r>
      <t>CH</t>
    </r>
    <r>
      <rPr>
        <b/>
        <vertAlign val="subscript"/>
        <sz val="14"/>
        <color theme="1"/>
        <rFont val="Calibri"/>
        <family val="2"/>
        <scheme val="minor"/>
      </rPr>
      <t>4</t>
    </r>
    <r>
      <rPr>
        <b/>
        <sz val="14"/>
        <color theme="1"/>
        <rFont val="Calibri"/>
        <family val="2"/>
        <scheme val="minor"/>
      </rPr>
      <t xml:space="preserve"> (Kg/year)</t>
    </r>
  </si>
  <si>
    <r>
      <t>CO</t>
    </r>
    <r>
      <rPr>
        <b/>
        <vertAlign val="subscript"/>
        <sz val="14"/>
        <color theme="1"/>
        <rFont val="Calibri"/>
        <family val="2"/>
        <scheme val="minor"/>
      </rPr>
      <t>2</t>
    </r>
    <r>
      <rPr>
        <b/>
        <sz val="14"/>
        <color theme="1"/>
        <rFont val="Calibri"/>
        <family val="2"/>
        <scheme val="minor"/>
      </rPr>
      <t xml:space="preserve"> (Kg/year)</t>
    </r>
  </si>
  <si>
    <r>
      <t>N</t>
    </r>
    <r>
      <rPr>
        <b/>
        <vertAlign val="subscript"/>
        <sz val="14"/>
        <color theme="1"/>
        <rFont val="Calibri"/>
        <family val="2"/>
        <scheme val="minor"/>
      </rPr>
      <t>2</t>
    </r>
    <r>
      <rPr>
        <b/>
        <sz val="14"/>
        <color theme="1"/>
        <rFont val="Calibri"/>
        <family val="2"/>
        <scheme val="minor"/>
      </rPr>
      <t>O (Kg/year)</t>
    </r>
  </si>
  <si>
    <r>
      <t>CO</t>
    </r>
    <r>
      <rPr>
        <b/>
        <vertAlign val="subscript"/>
        <sz val="14"/>
        <color theme="1"/>
        <rFont val="Calibri"/>
        <family val="2"/>
        <scheme val="minor"/>
      </rPr>
      <t>2</t>
    </r>
    <r>
      <rPr>
        <b/>
        <sz val="14"/>
        <color theme="1"/>
        <rFont val="Calibri"/>
        <family val="2"/>
        <scheme val="minor"/>
      </rPr>
      <t xml:space="preserve"> eq./GHG (Kg/year)</t>
    </r>
  </si>
  <si>
    <r>
      <t>Total Cost and Emission Cost ($) for WWTP AD while Considering Biogas 
is</t>
    </r>
    <r>
      <rPr>
        <sz val="14"/>
        <color rgb="FFFF0000"/>
        <rFont val="Calibri"/>
        <family val="2"/>
        <scheme val="minor"/>
      </rPr>
      <t xml:space="preserve"> not</t>
    </r>
    <r>
      <rPr>
        <sz val="14"/>
        <color theme="1"/>
        <rFont val="Calibri"/>
        <family val="2"/>
        <scheme val="minor"/>
      </rPr>
      <t xml:space="preserve"> eligible for credits like, LCFS, CFS &amp; Carbon Credit and Current Vehicle is Gasoline</t>
    </r>
  </si>
  <si>
    <t>INPUT VALUES for Anaerobic Digester, 
Farm and Industrial Digester</t>
  </si>
  <si>
    <t>Fuel Cost Saved ($) from using alternate vehicle fuel/Benefit of producing electricity/pipeline Natural gas ($)</t>
  </si>
  <si>
    <t>Emission from Chosen Biogas Conversion (VOC)(Kg/Year)</t>
  </si>
  <si>
    <t>Emission from Chosen Biogas Conversion (CO) (Kg/Year)</t>
  </si>
  <si>
    <t>Emission from Chosen Biogas Conversion (NOx) (Kg/Year)</t>
  </si>
  <si>
    <r>
      <t>Emission from Chosen Biogas Conversion (PM</t>
    </r>
    <r>
      <rPr>
        <b/>
        <vertAlign val="subscript"/>
        <sz val="14"/>
        <color theme="1"/>
        <rFont val="Calibri"/>
        <family val="2"/>
        <scheme val="minor"/>
      </rPr>
      <t>10</t>
    </r>
    <r>
      <rPr>
        <b/>
        <sz val="14"/>
        <color theme="1"/>
        <rFont val="Calibri"/>
        <family val="2"/>
        <scheme val="minor"/>
      </rPr>
      <t>) (Kg/Year)</t>
    </r>
  </si>
  <si>
    <r>
      <t>Emission from Chosen Biogas Conversion (PM</t>
    </r>
    <r>
      <rPr>
        <b/>
        <vertAlign val="subscript"/>
        <sz val="14"/>
        <color theme="1"/>
        <rFont val="Calibri"/>
        <family val="2"/>
        <scheme val="minor"/>
      </rPr>
      <t>2.5</t>
    </r>
    <r>
      <rPr>
        <b/>
        <sz val="14"/>
        <color theme="1"/>
        <rFont val="Calibri"/>
        <family val="2"/>
        <scheme val="minor"/>
      </rPr>
      <t>)  (Kg/Year)</t>
    </r>
  </si>
  <si>
    <r>
      <t>Emission from Chosen Biogas Conversion (CH</t>
    </r>
    <r>
      <rPr>
        <b/>
        <vertAlign val="subscript"/>
        <sz val="14"/>
        <color theme="1"/>
        <rFont val="Calibri"/>
        <family val="2"/>
        <scheme val="minor"/>
      </rPr>
      <t>4</t>
    </r>
    <r>
      <rPr>
        <b/>
        <sz val="14"/>
        <color theme="1"/>
        <rFont val="Calibri"/>
        <family val="2"/>
        <scheme val="minor"/>
      </rPr>
      <t>) (Kg/Year)</t>
    </r>
  </si>
  <si>
    <r>
      <t>Emission from Chosen Biogas Conversion (CO</t>
    </r>
    <r>
      <rPr>
        <b/>
        <vertAlign val="subscript"/>
        <sz val="14"/>
        <color theme="1"/>
        <rFont val="Calibri"/>
        <family val="2"/>
        <scheme val="minor"/>
      </rPr>
      <t>2</t>
    </r>
    <r>
      <rPr>
        <b/>
        <sz val="14"/>
        <color theme="1"/>
        <rFont val="Calibri"/>
        <family val="2"/>
        <scheme val="minor"/>
      </rPr>
      <t>) (Kg/Year)</t>
    </r>
  </si>
  <si>
    <r>
      <t>Emission from Chosen Biogas Conversion (N</t>
    </r>
    <r>
      <rPr>
        <b/>
        <vertAlign val="subscript"/>
        <sz val="14"/>
        <color theme="1"/>
        <rFont val="Calibri"/>
        <family val="2"/>
        <scheme val="minor"/>
      </rPr>
      <t>2</t>
    </r>
    <r>
      <rPr>
        <b/>
        <sz val="14"/>
        <color theme="1"/>
        <rFont val="Calibri"/>
        <family val="2"/>
        <scheme val="minor"/>
      </rPr>
      <t>O) (Kg/Year)</t>
    </r>
  </si>
  <si>
    <t>Anaerobic Digestion (WWTP only) 
(Considering Biogas is eligible for credits like, LCFS, CFS &amp; Carbon Credit and Current Vehicle is Diesel)</t>
  </si>
  <si>
    <r>
      <t>Anaerobic Digestion (WWTP only) 
(Considering Biogas is</t>
    </r>
    <r>
      <rPr>
        <sz val="14"/>
        <color rgb="FFFF0000"/>
        <rFont val="Calibri"/>
        <family val="2"/>
        <scheme val="minor"/>
      </rPr>
      <t xml:space="preserve"> not</t>
    </r>
    <r>
      <rPr>
        <sz val="14"/>
        <color theme="1"/>
        <rFont val="Calibri"/>
        <family val="2"/>
        <scheme val="minor"/>
      </rPr>
      <t xml:space="preserve"> eligible for credits like, LCFS, CFS &amp; Carbon Credit and Current vehicle is Gasoline)</t>
    </r>
  </si>
  <si>
    <t>Total Cost and Emission Cost ($) for 
Farm/Industrial AD-Composting Baseline</t>
  </si>
  <si>
    <t>Prioritizing Organic Waste to Energy- Renewable: POWER Framework Tool</t>
  </si>
  <si>
    <t>Renewable Natural Gas</t>
  </si>
  <si>
    <t>Gas conversion capacity already used 
(Electricity) in kWh/yr</t>
  </si>
  <si>
    <r>
      <t xml:space="preserve">Emission Cost Calculations in terms of Biogas Conversion
</t>
    </r>
    <r>
      <rPr>
        <b/>
        <sz val="11"/>
        <color rgb="FFFF0000"/>
        <rFont val="Calibri"/>
        <family val="2"/>
        <scheme val="minor"/>
      </rPr>
      <t>(NO USER INPUT NEEDED)</t>
    </r>
  </si>
  <si>
    <r>
      <t xml:space="preserve">GHG Emission Cost Calculations in terms of Biogas Conversion
</t>
    </r>
    <r>
      <rPr>
        <b/>
        <sz val="11"/>
        <color rgb="FFFF0000"/>
        <rFont val="Calibri"/>
        <family val="2"/>
        <scheme val="minor"/>
      </rPr>
      <t>(NO USER INPUT NEEDED)</t>
    </r>
  </si>
  <si>
    <r>
      <t xml:space="preserve">Vehicle Emission Cost Calculations and Comparisons 
</t>
    </r>
    <r>
      <rPr>
        <b/>
        <sz val="12"/>
        <color rgb="FFFF0000"/>
        <rFont val="Calibri"/>
        <family val="2"/>
        <scheme val="minor"/>
      </rPr>
      <t>(NO USER INPUT NEEDED)</t>
    </r>
  </si>
  <si>
    <r>
      <t xml:space="preserve">Emission from Pipeline Natural Gas Combustion
</t>
    </r>
    <r>
      <rPr>
        <b/>
        <sz val="11"/>
        <color rgb="FFFF0000"/>
        <rFont val="Calibri"/>
        <family val="2"/>
        <scheme val="minor"/>
      </rPr>
      <t>(NO USER INPUT NEEDED)</t>
    </r>
  </si>
  <si>
    <r>
      <t xml:space="preserve">C/N Ratio Check
</t>
    </r>
    <r>
      <rPr>
        <b/>
        <sz val="16"/>
        <color rgb="FFFF0000"/>
        <rFont val="Calibri"/>
        <family val="2"/>
        <scheme val="minor"/>
      </rPr>
      <t>(C/N overall should be close to 30)</t>
    </r>
    <r>
      <rPr>
        <b/>
        <sz val="16"/>
        <color theme="1"/>
        <rFont val="Calibri"/>
        <family val="2"/>
        <scheme val="minor"/>
      </rPr>
      <t xml:space="preserve"> </t>
    </r>
    <r>
      <rPr>
        <b/>
        <sz val="16"/>
        <color rgb="FFFFFF00"/>
        <rFont val="Calibri"/>
        <family val="2"/>
        <scheme val="minor"/>
      </rPr>
      <t>(User Input in Yellow highlighted cells)</t>
    </r>
    <r>
      <rPr>
        <b/>
        <sz val="16"/>
        <color theme="1"/>
        <rFont val="Calibri"/>
        <family val="2"/>
        <scheme val="minor"/>
      </rPr>
      <t xml:space="preserve">
</t>
    </r>
    <r>
      <rPr>
        <b/>
        <sz val="16"/>
        <color rgb="FFFF0000"/>
        <rFont val="Calibri"/>
        <family val="2"/>
        <scheme val="minor"/>
      </rPr>
      <t xml:space="preserve"> (These would apply for food/yard/FOG but not necessarily agricultural)</t>
    </r>
  </si>
  <si>
    <r>
      <t xml:space="preserve">Cost saved for not using regular fertilizer ($/year)
</t>
    </r>
    <r>
      <rPr>
        <b/>
        <sz val="11"/>
        <color rgb="FF8C3FC5"/>
        <rFont val="Calibri"/>
        <family val="2"/>
        <scheme val="minor"/>
      </rPr>
      <t>Ref: https://farmpolicynews.illinois.edu/2021/12/fertilizer-prices-continue-to-climb-2022-planted-acreage-analysis-continues/#:~:text=The%20nitrogen%20fertilizer's%20average%20price,%2C%20an%20all%2Dtime%20high.</t>
    </r>
    <r>
      <rPr>
        <b/>
        <sz val="11"/>
        <color theme="1"/>
        <rFont val="Calibri"/>
        <family val="2"/>
        <scheme val="minor"/>
      </rPr>
      <t xml:space="preserve"> 
</t>
    </r>
    <r>
      <rPr>
        <b/>
        <sz val="11"/>
        <color rgb="FF8C3FC5"/>
        <rFont val="Calibri"/>
        <family val="2"/>
        <scheme val="minor"/>
      </rPr>
      <t>https://www2.calrecycle.ca.gov/Publications/Details/1652</t>
    </r>
  </si>
  <si>
    <t>Average distance from waste generation to digester (Miles)</t>
  </si>
  <si>
    <t>Average distance from waste generation to Landfill (Miles)</t>
  </si>
  <si>
    <t>Average distance from waste generation to composting facility (Miles)</t>
  </si>
  <si>
    <t xml:space="preserve">No. of single-family
 residences </t>
  </si>
  <si>
    <t xml:space="preserve">No. of multi-family
 residences </t>
  </si>
  <si>
    <t xml:space="preserve">No. of Students </t>
  </si>
  <si>
    <t>No. of acres</t>
  </si>
  <si>
    <t>Specific Velocity (mph) for waste transport to Digester</t>
  </si>
  <si>
    <t>Specific Velocity (mph) for waste transport to Landfill</t>
  </si>
  <si>
    <t>Specific Velocity (mph) for waste transport to Composting facility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</si>
</sst>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5" formatCode="&quot;$&quot;#,##0_);\(&quot;$&quot;#,##0\)"/>
    <numFmt numFmtId="6" formatCode="&quot;$&quot;#,##0_);[Red]\(&quot;$&quot;#,##0\)"/>
    <numFmt numFmtId="7" formatCode="&quot;$&quot;#,##0.00_);\(&quot;$&quot;#,##0.00\)"/>
    <numFmt numFmtId="8" formatCode="&quot;$&quot;#,##0.00_);[Red]\(&quot;$&quot;#,##0.00\)"/>
    <numFmt numFmtId="43" formatCode="_(* #,##0.00_);_(* \(#,##0.00\);_(* &quot;-&quot;??_);_(@_)"/>
    <numFmt numFmtId="164" formatCode="0.0"/>
    <numFmt numFmtId="165" formatCode="0.0E+00"/>
    <numFmt numFmtId="166" formatCode="0.000E+00"/>
    <numFmt numFmtId="167" formatCode="&quot;$&quot;#,##0"/>
    <numFmt numFmtId="168" formatCode="&quot;$&quot;#,##0.00"/>
    <numFmt numFmtId="169" formatCode="0_);\(0\)"/>
    <numFmt numFmtId="170" formatCode="0.E+00"/>
    <numFmt numFmtId="171" formatCode="0.000"/>
    <numFmt numFmtId="172" formatCode="&quot;$&quot;#,##0.0"/>
    <numFmt numFmtId="173" formatCode="#,##0.0_);\(#,##0.0\)"/>
    <numFmt numFmtId="174" formatCode="0.0000"/>
    <numFmt numFmtId="175" formatCode="#,##0.000"/>
    <numFmt numFmtId="176" formatCode="0.0.E+00"/>
    <numFmt numFmtId="177" formatCode="#,##0.000_);[Red]\(#,##0.000\)"/>
    <numFmt numFmtId="178" formatCode="0.00_);\(0.00\)"/>
    <numFmt numFmtId="179" formatCode="0.0_);\(0.0\)"/>
  </numFmts>
  <fonts count="74" x14ac:knownFonts="1">
    <font>
      <sz val="11"/>
      <color theme="1"/>
      <name val="Calibri"/>
      <family val="2"/>
      <scheme val="minor"/>
    </font>
    <font>
      <b/>
      <sz val="11"/>
      <color theme="1"/>
      <name val="Calibri"/>
      <family val="2"/>
      <scheme val="minor"/>
    </font>
    <font>
      <b/>
      <sz val="14"/>
      <color theme="1"/>
      <name val="Calibri"/>
      <family val="2"/>
      <scheme val="minor"/>
    </font>
    <font>
      <sz val="8"/>
      <name val="Calibri"/>
      <family val="2"/>
      <scheme val="minor"/>
    </font>
    <font>
      <b/>
      <sz val="12"/>
      <color theme="1"/>
      <name val="Calibri"/>
      <family val="2"/>
      <scheme val="minor"/>
    </font>
    <font>
      <sz val="12"/>
      <color theme="1"/>
      <name val="Calibri"/>
      <family val="2"/>
      <scheme val="minor"/>
    </font>
    <font>
      <b/>
      <sz val="12"/>
      <color rgb="FFFF0000"/>
      <name val="Calibri"/>
      <family val="2"/>
      <scheme val="minor"/>
    </font>
    <font>
      <b/>
      <sz val="12"/>
      <name val="Calibri"/>
      <family val="2"/>
      <scheme val="minor"/>
    </font>
    <font>
      <sz val="14"/>
      <color theme="1"/>
      <name val="Calibri"/>
      <family val="2"/>
      <scheme val="minor"/>
    </font>
    <font>
      <b/>
      <sz val="16"/>
      <color theme="1"/>
      <name val="Calibri"/>
      <family val="2"/>
      <scheme val="minor"/>
    </font>
    <font>
      <u/>
      <sz val="11"/>
      <color theme="10"/>
      <name val="Calibri"/>
      <family val="2"/>
      <scheme val="minor"/>
    </font>
    <font>
      <b/>
      <vertAlign val="superscript"/>
      <sz val="12"/>
      <color theme="1"/>
      <name val="Calibri"/>
      <family val="2"/>
      <scheme val="minor"/>
    </font>
    <font>
      <vertAlign val="superscript"/>
      <sz val="11"/>
      <color theme="1"/>
      <name val="Calibri"/>
      <family val="2"/>
      <scheme val="minor"/>
    </font>
    <font>
      <sz val="11"/>
      <color theme="1"/>
      <name val="Calibri"/>
      <family val="2"/>
    </font>
    <font>
      <b/>
      <vertAlign val="subscript"/>
      <sz val="11"/>
      <color theme="1"/>
      <name val="Calibri"/>
      <family val="2"/>
      <scheme val="minor"/>
    </font>
    <font>
      <b/>
      <vertAlign val="superscript"/>
      <sz val="14"/>
      <color theme="1"/>
      <name val="Calibri"/>
      <family val="2"/>
      <scheme val="minor"/>
    </font>
    <font>
      <b/>
      <sz val="24"/>
      <color theme="1"/>
      <name val="Calibri"/>
      <family val="2"/>
      <scheme val="minor"/>
    </font>
    <font>
      <b/>
      <sz val="18"/>
      <color theme="1"/>
      <name val="Calibri"/>
      <family val="2"/>
      <scheme val="minor"/>
    </font>
    <font>
      <sz val="11"/>
      <color rgb="FF201F1E"/>
      <name val="Calibri"/>
      <family val="2"/>
      <scheme val="minor"/>
    </font>
    <font>
      <b/>
      <sz val="11"/>
      <color rgb="FF201F1E"/>
      <name val="Calibri"/>
      <family val="2"/>
      <scheme val="minor"/>
    </font>
    <font>
      <sz val="12"/>
      <color rgb="FF000000"/>
      <name val="Times New Roman"/>
      <family val="1"/>
    </font>
    <font>
      <sz val="11"/>
      <color rgb="FF000000"/>
      <name val="Calibri"/>
      <family val="2"/>
      <scheme val="minor"/>
    </font>
    <font>
      <b/>
      <sz val="11"/>
      <color rgb="FF000000"/>
      <name val="Calibri"/>
      <family val="2"/>
      <scheme val="minor"/>
    </font>
    <font>
      <i/>
      <sz val="11"/>
      <color theme="1"/>
      <name val="Calibri"/>
      <family val="2"/>
      <scheme val="minor"/>
    </font>
    <font>
      <b/>
      <vertAlign val="superscript"/>
      <sz val="11"/>
      <color theme="1"/>
      <name val="Calibri"/>
      <family val="2"/>
      <scheme val="minor"/>
    </font>
    <font>
      <b/>
      <sz val="14"/>
      <color rgb="FFFF0000"/>
      <name val="Calibri"/>
      <family val="2"/>
      <scheme val="minor"/>
    </font>
    <font>
      <b/>
      <sz val="11"/>
      <color theme="5" tint="-0.499984740745262"/>
      <name val="Calibri"/>
      <family val="2"/>
      <scheme val="minor"/>
    </font>
    <font>
      <sz val="11"/>
      <name val="Calibri"/>
      <family val="2"/>
      <scheme val="minor"/>
    </font>
    <font>
      <b/>
      <sz val="16"/>
      <color rgb="FFFF0000"/>
      <name val="Calibri"/>
      <family val="2"/>
      <scheme val="minor"/>
    </font>
    <font>
      <b/>
      <sz val="16"/>
      <color rgb="FFFFFF00"/>
      <name val="Calibri"/>
      <family val="2"/>
      <scheme val="minor"/>
    </font>
    <font>
      <b/>
      <sz val="16"/>
      <name val="Calibri"/>
      <family val="2"/>
      <scheme val="minor"/>
    </font>
    <font>
      <b/>
      <sz val="14"/>
      <color theme="5"/>
      <name val="Calibri"/>
      <family val="2"/>
      <scheme val="minor"/>
    </font>
    <font>
      <b/>
      <sz val="12"/>
      <color rgb="FF7030A0"/>
      <name val="Calibri"/>
      <family val="2"/>
      <scheme val="minor"/>
    </font>
    <font>
      <b/>
      <sz val="14"/>
      <color rgb="FF7030A0"/>
      <name val="Calibri"/>
      <family val="2"/>
      <scheme val="minor"/>
    </font>
    <font>
      <b/>
      <sz val="16"/>
      <color rgb="FF7030A0"/>
      <name val="Calibri"/>
      <family val="2"/>
      <scheme val="minor"/>
    </font>
    <font>
      <b/>
      <sz val="11"/>
      <color rgb="FF7030A0"/>
      <name val="Calibri"/>
      <family val="2"/>
      <scheme val="minor"/>
    </font>
    <font>
      <b/>
      <sz val="20"/>
      <color theme="1"/>
      <name val="Calibri"/>
      <family val="2"/>
      <scheme val="minor"/>
    </font>
    <font>
      <b/>
      <sz val="20"/>
      <color rgb="FFFF0000"/>
      <name val="Calibri"/>
      <family val="2"/>
      <scheme val="minor"/>
    </font>
    <font>
      <vertAlign val="subscript"/>
      <sz val="12"/>
      <color theme="1"/>
      <name val="Calibri"/>
      <family val="2"/>
      <scheme val="minor"/>
    </font>
    <font>
      <b/>
      <vertAlign val="subscript"/>
      <sz val="12"/>
      <color theme="1"/>
      <name val="Calibri"/>
      <family val="2"/>
      <scheme val="minor"/>
    </font>
    <font>
      <sz val="14"/>
      <color theme="1"/>
      <name val="Calibri"/>
      <family val="2"/>
    </font>
    <font>
      <sz val="14"/>
      <name val="Calibri"/>
      <family val="2"/>
      <scheme val="minor"/>
    </font>
    <font>
      <vertAlign val="subscript"/>
      <sz val="11"/>
      <color theme="1"/>
      <name val="Calibri"/>
      <family val="2"/>
      <scheme val="minor"/>
    </font>
    <font>
      <b/>
      <sz val="12"/>
      <color rgb="FF000000"/>
      <name val="Calibri"/>
      <family val="2"/>
      <scheme val="minor"/>
    </font>
    <font>
      <b/>
      <sz val="16"/>
      <color theme="5"/>
      <name val="Calibri"/>
      <family val="2"/>
      <scheme val="minor"/>
    </font>
    <font>
      <b/>
      <sz val="12"/>
      <color rgb="FFFFFFFF"/>
      <name val="Times New Roman"/>
      <family val="1"/>
    </font>
    <font>
      <sz val="12"/>
      <name val="Times New Roman"/>
      <family val="1"/>
    </font>
    <font>
      <vertAlign val="superscript"/>
      <sz val="12"/>
      <color theme="1"/>
      <name val="Calibri"/>
      <family val="2"/>
      <scheme val="minor"/>
    </font>
    <font>
      <sz val="16"/>
      <color theme="1"/>
      <name val="Calibri"/>
      <family val="2"/>
      <scheme val="minor"/>
    </font>
    <font>
      <sz val="14"/>
      <color rgb="FF000000"/>
      <name val="Calibri"/>
      <family val="2"/>
      <scheme val="minor"/>
    </font>
    <font>
      <b/>
      <sz val="11"/>
      <color rgb="FF8C3FC5"/>
      <name val="Calibri"/>
      <family val="2"/>
      <scheme val="minor"/>
    </font>
    <font>
      <sz val="11"/>
      <color theme="1"/>
      <name val="Calibri"/>
      <family val="2"/>
      <scheme val="minor"/>
    </font>
    <font>
      <b/>
      <sz val="11"/>
      <color rgb="FFFF0000"/>
      <name val="Calibri"/>
      <family val="2"/>
      <scheme val="minor"/>
    </font>
    <font>
      <b/>
      <sz val="11"/>
      <name val="Calibri"/>
      <family val="2"/>
      <scheme val="minor"/>
    </font>
    <font>
      <sz val="12"/>
      <color rgb="FF000000"/>
      <name val="Calibri"/>
      <family val="2"/>
      <scheme val="minor"/>
    </font>
    <font>
      <b/>
      <sz val="16"/>
      <color rgb="FF8C3FC5"/>
      <name val="Calibri"/>
      <family val="2"/>
      <scheme val="minor"/>
    </font>
    <font>
      <b/>
      <sz val="18"/>
      <color theme="1"/>
      <name val="Calibri Light"/>
      <family val="2"/>
      <scheme val="major"/>
    </font>
    <font>
      <b/>
      <sz val="18"/>
      <color rgb="FFFF0000"/>
      <name val="Calibri Light"/>
      <family val="2"/>
      <scheme val="major"/>
    </font>
    <font>
      <u/>
      <sz val="11"/>
      <color rgb="FF8C3FC5"/>
      <name val="Calibri"/>
      <family val="2"/>
      <scheme val="minor"/>
    </font>
    <font>
      <sz val="11"/>
      <color rgb="FF8C3FC5"/>
      <name val="Calibri"/>
      <family val="2"/>
      <scheme val="minor"/>
    </font>
    <font>
      <u/>
      <sz val="11"/>
      <color theme="4"/>
      <name val="Calibri"/>
      <family val="2"/>
      <scheme val="minor"/>
    </font>
    <font>
      <b/>
      <vertAlign val="subscript"/>
      <sz val="11"/>
      <color rgb="FF000000"/>
      <name val="Calibri"/>
      <family val="2"/>
      <scheme val="minor"/>
    </font>
    <font>
      <sz val="12"/>
      <color theme="1"/>
      <name val="Times New Roman"/>
      <family val="1"/>
    </font>
    <font>
      <b/>
      <sz val="14"/>
      <color theme="1"/>
      <name val="Times New Roman"/>
      <family val="1"/>
    </font>
    <font>
      <u/>
      <sz val="12"/>
      <color theme="10"/>
      <name val="Calibri"/>
      <family val="2"/>
      <scheme val="minor"/>
    </font>
    <font>
      <b/>
      <sz val="12"/>
      <color rgb="FF8C3FC5"/>
      <name val="Calibri"/>
      <family val="2"/>
      <scheme val="minor"/>
    </font>
    <font>
      <sz val="12"/>
      <color rgb="FF8C3FC5"/>
      <name val="Calibri"/>
      <family val="2"/>
      <scheme val="minor"/>
    </font>
    <font>
      <sz val="12"/>
      <name val="Calibri"/>
      <family val="2"/>
      <scheme val="minor"/>
    </font>
    <font>
      <b/>
      <sz val="11"/>
      <color rgb="FFAC75D5"/>
      <name val="Calibri"/>
      <family val="2"/>
      <scheme val="minor"/>
    </font>
    <font>
      <sz val="14"/>
      <color rgb="FFFF0000"/>
      <name val="Calibri"/>
      <family val="2"/>
      <scheme val="minor"/>
    </font>
    <font>
      <b/>
      <sz val="14"/>
      <name val="Calibri"/>
      <family val="2"/>
      <scheme val="minor"/>
    </font>
    <font>
      <b/>
      <sz val="14"/>
      <color rgb="FFFFFF00"/>
      <name val="Calibri"/>
      <family val="2"/>
      <scheme val="minor"/>
    </font>
    <font>
      <b/>
      <sz val="14"/>
      <color rgb="FF00B050"/>
      <name val="Calibri"/>
      <family val="2"/>
      <scheme val="minor"/>
    </font>
    <font>
      <b/>
      <vertAlign val="subscript"/>
      <sz val="14"/>
      <color theme="1"/>
      <name val="Calibri"/>
      <family val="2"/>
      <scheme val="minor"/>
    </font>
  </fonts>
  <fills count="2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rgb="FF00B050"/>
        <bgColor indexed="64"/>
      </patternFill>
    </fill>
    <fill>
      <patternFill patternType="solid">
        <fgColor rgb="FF00CCFF"/>
        <bgColor indexed="64"/>
      </patternFill>
    </fill>
    <fill>
      <patternFill patternType="solid">
        <fgColor rgb="FFFF0000"/>
        <bgColor indexed="64"/>
      </patternFill>
    </fill>
    <fill>
      <patternFill patternType="solid">
        <fgColor rgb="FF66CCFF"/>
        <bgColor indexed="64"/>
      </patternFill>
    </fill>
    <fill>
      <patternFill patternType="solid">
        <fgColor theme="5"/>
        <bgColor indexed="64"/>
      </patternFill>
    </fill>
    <fill>
      <patternFill patternType="solid">
        <fgColor rgb="FFFFFFFF"/>
        <bgColor rgb="FF000000"/>
      </patternFill>
    </fill>
    <fill>
      <patternFill patternType="solid">
        <fgColor rgb="FFFFFF00"/>
        <bgColor rgb="FF000000"/>
      </patternFill>
    </fill>
    <fill>
      <patternFill patternType="solid">
        <fgColor rgb="FF4472C4"/>
        <bgColor rgb="FF4472C4"/>
      </patternFill>
    </fill>
    <fill>
      <patternFill patternType="solid">
        <fgColor rgb="FFD9E1F2"/>
        <bgColor rgb="FFD9E1F2"/>
      </patternFill>
    </fill>
    <fill>
      <patternFill patternType="solid">
        <fgColor rgb="FFD9E1F2"/>
        <bgColor rgb="FF000000"/>
      </patternFill>
    </fill>
    <fill>
      <patternFill patternType="solid">
        <fgColor rgb="FFFFC000"/>
        <bgColor indexed="64"/>
      </patternFill>
    </fill>
    <fill>
      <patternFill patternType="solid">
        <fgColor theme="2"/>
        <bgColor indexed="64"/>
      </patternFill>
    </fill>
    <fill>
      <patternFill patternType="solid">
        <fgColor theme="5" tint="-0.249977111117893"/>
        <bgColor indexed="64"/>
      </patternFill>
    </fill>
    <fill>
      <patternFill patternType="solid">
        <fgColor rgb="FF92D050"/>
        <bgColor indexed="64"/>
      </patternFill>
    </fill>
    <fill>
      <patternFill patternType="solid">
        <fgColor theme="6"/>
        <bgColor indexed="64"/>
      </patternFill>
    </fill>
    <fill>
      <patternFill patternType="solid">
        <fgColor theme="4"/>
        <bgColor indexed="64"/>
      </patternFill>
    </fill>
    <fill>
      <patternFill patternType="solid">
        <fgColor theme="2" tint="-0.249977111117893"/>
        <bgColor indexed="64"/>
      </patternFill>
    </fill>
    <fill>
      <patternFill patternType="solid">
        <fgColor theme="8" tint="-0.249977111117893"/>
        <bgColor indexed="64"/>
      </patternFill>
    </fill>
    <fill>
      <patternFill patternType="solid">
        <fgColor theme="5" tint="0.79998168889431442"/>
        <bgColor indexed="64"/>
      </patternFill>
    </fill>
    <fill>
      <patternFill patternType="solid">
        <fgColor rgb="FF8C3FC5"/>
        <bgColor indexed="64"/>
      </patternFill>
    </fill>
    <fill>
      <patternFill patternType="gray0625">
        <fgColor rgb="FFFF0000"/>
        <bgColor auto="1"/>
      </patternFill>
    </fill>
    <fill>
      <patternFill patternType="gray0625">
        <fgColor rgb="FFFF0000"/>
      </patternFill>
    </fill>
    <fill>
      <patternFill patternType="solid">
        <fgColor theme="3" tint="0.79998168889431442"/>
        <bgColor indexed="64"/>
      </patternFill>
    </fill>
    <fill>
      <patternFill patternType="solid">
        <fgColor rgb="FFFF0000"/>
        <bgColor rgb="FF000000"/>
      </patternFill>
    </fill>
    <fill>
      <patternFill patternType="solid">
        <fgColor theme="2" tint="-9.9978637043366805E-2"/>
        <bgColor indexed="64"/>
      </patternFill>
    </fill>
  </fills>
  <borders count="81">
    <border>
      <left/>
      <right/>
      <top/>
      <bottom/>
      <diagonal/>
    </border>
    <border>
      <left style="thin">
        <color indexed="64"/>
      </left>
      <right style="thin">
        <color indexed="64"/>
      </right>
      <top style="thin">
        <color indexed="64"/>
      </top>
      <bottom style="thin">
        <color indexed="64"/>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
      <left/>
      <right style="medium">
        <color indexed="64"/>
      </right>
      <top style="medium">
        <color indexed="64"/>
      </top>
      <bottom/>
      <diagonal/>
    </border>
    <border>
      <left/>
      <right style="thin">
        <color indexed="64"/>
      </right>
      <top style="thin">
        <color indexed="64"/>
      </top>
      <bottom style="medium">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top style="medium">
        <color indexed="64"/>
      </top>
      <bottom/>
      <diagonal/>
    </border>
    <border>
      <left/>
      <right style="thin">
        <color indexed="64"/>
      </right>
      <top/>
      <bottom style="thin">
        <color indexed="64"/>
      </bottom>
      <diagonal/>
    </border>
    <border>
      <left style="medium">
        <color indexed="64"/>
      </left>
      <right style="thin">
        <color indexed="64"/>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style="thin">
        <color indexed="64"/>
      </left>
      <right/>
      <top style="thin">
        <color indexed="64"/>
      </top>
      <bottom style="medium">
        <color indexed="64"/>
      </bottom>
      <diagonal/>
    </border>
    <border>
      <left style="thin">
        <color indexed="64"/>
      </left>
      <right/>
      <top style="medium">
        <color indexed="64"/>
      </top>
      <bottom style="thin">
        <color indexed="64"/>
      </bottom>
      <diagonal/>
    </border>
    <border>
      <left style="thin">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style="thin">
        <color indexed="64"/>
      </top>
      <bottom/>
      <diagonal/>
    </border>
    <border>
      <left/>
      <right/>
      <top style="thin">
        <color indexed="64"/>
      </top>
      <bottom style="medium">
        <color indexed="64"/>
      </bottom>
      <diagonal/>
    </border>
    <border>
      <left style="thin">
        <color indexed="64"/>
      </left>
      <right/>
      <top style="medium">
        <color indexed="64"/>
      </top>
      <bottom style="medium">
        <color indexed="64"/>
      </bottom>
      <diagonal/>
    </border>
    <border>
      <left/>
      <right style="medium">
        <color indexed="64"/>
      </right>
      <top style="thin">
        <color indexed="64"/>
      </top>
      <bottom style="medium">
        <color indexed="64"/>
      </bottom>
      <diagonal/>
    </border>
    <border>
      <left style="thin">
        <color indexed="64"/>
      </left>
      <right/>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style="medium">
        <color indexed="64"/>
      </left>
      <right/>
      <top style="thin">
        <color indexed="64"/>
      </top>
      <bottom/>
      <diagonal/>
    </border>
    <border>
      <left style="medium">
        <color indexed="64"/>
      </left>
      <right style="medium">
        <color indexed="64"/>
      </right>
      <top/>
      <bottom/>
      <diagonal/>
    </border>
    <border>
      <left style="thin">
        <color indexed="64"/>
      </left>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style="thin">
        <color indexed="64"/>
      </right>
      <top/>
      <bottom style="medium">
        <color indexed="64"/>
      </bottom>
      <diagonal/>
    </border>
    <border>
      <left/>
      <right style="medium">
        <color indexed="64"/>
      </right>
      <top style="thin">
        <color indexed="64"/>
      </top>
      <bottom/>
      <diagonal/>
    </border>
  </borders>
  <cellStyleXfs count="3">
    <xf numFmtId="0" fontId="0" fillId="0" borderId="0"/>
    <xf numFmtId="0" fontId="10" fillId="0" borderId="0" applyNumberFormat="0" applyFill="0" applyBorder="0" applyAlignment="0" applyProtection="0"/>
    <xf numFmtId="43" fontId="51" fillId="0" borderId="0"/>
  </cellStyleXfs>
  <cellXfs count="3286">
    <xf numFmtId="0" fontId="0" fillId="0" borderId="0" xfId="0"/>
    <xf numFmtId="0" fontId="1" fillId="0" borderId="0" xfId="0" applyFont="1" applyAlignment="1">
      <alignment vertical="center"/>
    </xf>
    <xf numFmtId="0" fontId="1" fillId="0" borderId="0" xfId="0" applyFont="1" applyAlignment="1">
      <alignment vertical="center" wrapText="1"/>
    </xf>
    <xf numFmtId="0" fontId="0" fillId="0" borderId="0" xfId="0" applyBorder="1"/>
    <xf numFmtId="0" fontId="0" fillId="0" borderId="0" xfId="0" applyBorder="1" applyAlignment="1">
      <alignment horizontal="center" vertical="center"/>
    </xf>
    <xf numFmtId="2" fontId="0" fillId="0" borderId="0" xfId="0" applyNumberFormat="1" applyBorder="1" applyAlignment="1">
      <alignment horizontal="center" vertical="center"/>
    </xf>
    <xf numFmtId="0" fontId="5" fillId="0" borderId="0" xfId="0" applyFont="1" applyBorder="1" applyAlignment="1">
      <alignment horizontal="center" vertical="center"/>
    </xf>
    <xf numFmtId="0" fontId="5" fillId="0" borderId="0" xfId="0" applyFont="1" applyBorder="1" applyAlignment="1">
      <alignment horizontal="center"/>
    </xf>
    <xf numFmtId="2" fontId="5" fillId="0" borderId="0" xfId="0" applyNumberFormat="1" applyFont="1" applyBorder="1" applyAlignment="1">
      <alignment horizontal="center"/>
    </xf>
    <xf numFmtId="3" fontId="5" fillId="0" borderId="0" xfId="0" applyNumberFormat="1" applyFont="1" applyBorder="1" applyAlignment="1">
      <alignment horizontal="center"/>
    </xf>
    <xf numFmtId="0" fontId="4" fillId="0" borderId="0" xfId="0" applyFont="1" applyBorder="1" applyAlignment="1">
      <alignment horizontal="center" vertical="center"/>
    </xf>
    <xf numFmtId="0" fontId="0" fillId="0" borderId="0" xfId="0" applyAlignment="1">
      <alignment horizontal="center" vertical="center"/>
    </xf>
    <xf numFmtId="0" fontId="2" fillId="0" borderId="0" xfId="0" applyFont="1" applyBorder="1" applyAlignment="1">
      <alignment vertical="center"/>
    </xf>
    <xf numFmtId="0" fontId="2" fillId="0" borderId="0" xfId="0" applyFont="1" applyBorder="1" applyAlignment="1">
      <alignment horizontal="center" vertical="center" wrapText="1"/>
    </xf>
    <xf numFmtId="2" fontId="0" fillId="0" borderId="0" xfId="0" applyNumberFormat="1" applyBorder="1" applyAlignment="1">
      <alignment horizontal="center"/>
    </xf>
    <xf numFmtId="0" fontId="2" fillId="0" borderId="0" xfId="0" applyFont="1" applyBorder="1" applyAlignment="1">
      <alignment horizontal="center" vertical="center"/>
    </xf>
    <xf numFmtId="0" fontId="0" fillId="0" borderId="14" xfId="0" applyBorder="1" applyAlignment="1">
      <alignment horizontal="center"/>
    </xf>
    <xf numFmtId="0" fontId="0" fillId="0" borderId="0" xfId="0" applyAlignment="1"/>
    <xf numFmtId="0" fontId="0" fillId="0" borderId="0" xfId="0" applyBorder="1" applyAlignment="1"/>
    <xf numFmtId="0" fontId="4" fillId="0" borderId="0" xfId="0" applyFont="1" applyBorder="1" applyAlignment="1">
      <alignment horizontal="center" vertical="center" wrapText="1"/>
    </xf>
    <xf numFmtId="0" fontId="4" fillId="0" borderId="0" xfId="0" applyFont="1" applyFill="1" applyBorder="1" applyAlignment="1">
      <alignment horizontal="center" vertical="center" wrapText="1"/>
    </xf>
    <xf numFmtId="0" fontId="2" fillId="0" borderId="10" xfId="0" applyFont="1" applyBorder="1" applyAlignment="1">
      <alignment horizontal="center" vertical="center"/>
    </xf>
    <xf numFmtId="164" fontId="13" fillId="0" borderId="1" xfId="0" applyNumberFormat="1" applyFont="1" applyFill="1" applyBorder="1" applyAlignment="1">
      <alignment horizontal="center"/>
    </xf>
    <xf numFmtId="0" fontId="1" fillId="0" borderId="1" xfId="0" applyFont="1" applyFill="1" applyBorder="1" applyAlignment="1">
      <alignment horizontal="center" vertical="center" wrapText="1"/>
    </xf>
    <xf numFmtId="167" fontId="0" fillId="0" borderId="0" xfId="0" applyNumberFormat="1" applyBorder="1" applyAlignment="1">
      <alignment horizontal="center"/>
    </xf>
    <xf numFmtId="0" fontId="0" fillId="0" borderId="1" xfId="0" applyFill="1" applyBorder="1" applyAlignment="1">
      <alignment horizontal="center"/>
    </xf>
    <xf numFmtId="0" fontId="0" fillId="0" borderId="0" xfId="0" applyBorder="1" applyAlignment="1">
      <alignment horizontal="center"/>
    </xf>
    <xf numFmtId="0" fontId="0" fillId="0" borderId="0" xfId="0" applyBorder="1" applyAlignment="1">
      <alignment horizontal="center"/>
    </xf>
    <xf numFmtId="0" fontId="0" fillId="0" borderId="1" xfId="0" applyBorder="1" applyAlignment="1">
      <alignment horizontal="center"/>
    </xf>
    <xf numFmtId="167" fontId="0" fillId="0" borderId="0" xfId="0" applyNumberFormat="1" applyBorder="1" applyAlignment="1">
      <alignment horizontal="center"/>
    </xf>
    <xf numFmtId="168" fontId="0" fillId="0" borderId="0" xfId="0" applyNumberFormat="1" applyBorder="1" applyAlignment="1">
      <alignment horizontal="center"/>
    </xf>
    <xf numFmtId="0" fontId="5" fillId="0" borderId="1" xfId="0" applyFont="1" applyBorder="1" applyAlignment="1">
      <alignment horizontal="center"/>
    </xf>
    <xf numFmtId="0" fontId="5" fillId="0" borderId="16" xfId="0" applyFont="1" applyBorder="1" applyAlignment="1">
      <alignment horizontal="center"/>
    </xf>
    <xf numFmtId="0" fontId="0" fillId="0" borderId="0" xfId="0" applyFill="1" applyBorder="1" applyAlignment="1">
      <alignment horizontal="center"/>
    </xf>
    <xf numFmtId="164" fontId="0" fillId="0" borderId="0" xfId="0" applyNumberFormat="1" applyBorder="1" applyAlignment="1">
      <alignment horizontal="center"/>
    </xf>
    <xf numFmtId="0" fontId="0" fillId="3" borderId="0" xfId="0" applyFill="1" applyBorder="1" applyAlignment="1">
      <alignment horizontal="center"/>
    </xf>
    <xf numFmtId="2" fontId="0" fillId="0" borderId="0" xfId="0" applyNumberFormat="1" applyBorder="1" applyAlignment="1">
      <alignment horizontal="center" vertical="center"/>
    </xf>
    <xf numFmtId="0" fontId="8" fillId="0" borderId="0" xfId="0" applyFont="1" applyBorder="1"/>
    <xf numFmtId="0" fontId="1" fillId="0" borderId="0" xfId="0" applyFont="1" applyBorder="1" applyAlignment="1">
      <alignment vertical="center"/>
    </xf>
    <xf numFmtId="0" fontId="2" fillId="0" borderId="0" xfId="0" applyFont="1" applyBorder="1" applyAlignment="1">
      <alignment vertical="center" wrapText="1"/>
    </xf>
    <xf numFmtId="0" fontId="2" fillId="0" borderId="0" xfId="0" applyFont="1" applyBorder="1" applyAlignment="1"/>
    <xf numFmtId="0" fontId="0" fillId="0" borderId="0" xfId="0" applyBorder="1" applyAlignment="1">
      <alignment vertical="center"/>
    </xf>
    <xf numFmtId="0" fontId="9" fillId="0" borderId="0" xfId="0" applyFont="1" applyFill="1" applyBorder="1" applyAlignment="1">
      <alignment vertical="center"/>
    </xf>
    <xf numFmtId="0" fontId="1" fillId="0" borderId="9" xfId="0" applyFont="1" applyBorder="1" applyAlignment="1">
      <alignment horizontal="center" vertical="center"/>
    </xf>
    <xf numFmtId="0" fontId="1" fillId="0" borderId="27" xfId="0" applyFont="1" applyBorder="1" applyAlignment="1">
      <alignment horizontal="center" vertical="center"/>
    </xf>
    <xf numFmtId="0" fontId="1" fillId="0" borderId="9" xfId="0" applyFont="1" applyFill="1" applyBorder="1" applyAlignment="1">
      <alignment horizontal="center" vertical="center" wrapText="1"/>
    </xf>
    <xf numFmtId="0" fontId="0" fillId="0" borderId="0" xfId="0" applyBorder="1" applyAlignment="1">
      <alignment horizontal="center"/>
    </xf>
    <xf numFmtId="0" fontId="1" fillId="0" borderId="35" xfId="0" applyFont="1" applyFill="1" applyBorder="1" applyAlignment="1">
      <alignment horizontal="center" vertical="center" wrapText="1"/>
    </xf>
    <xf numFmtId="0" fontId="0" fillId="0" borderId="12" xfId="0" applyBorder="1" applyAlignment="1">
      <alignment horizontal="center"/>
    </xf>
    <xf numFmtId="39" fontId="27" fillId="0" borderId="0" xfId="0" applyNumberFormat="1" applyFont="1" applyFill="1" applyBorder="1" applyAlignment="1">
      <alignment horizontal="center"/>
    </xf>
    <xf numFmtId="0" fontId="0" fillId="0" borderId="16" xfId="0" applyFill="1" applyBorder="1" applyAlignment="1">
      <alignment horizontal="center" vertical="center"/>
    </xf>
    <xf numFmtId="0" fontId="9" fillId="0" borderId="0" xfId="0" applyFont="1" applyFill="1" applyBorder="1" applyAlignment="1">
      <alignment horizontal="center" vertical="center"/>
    </xf>
    <xf numFmtId="0" fontId="0" fillId="3" borderId="1" xfId="0" applyFont="1" applyFill="1" applyBorder="1" applyAlignment="1">
      <alignment horizontal="center" vertical="center"/>
    </xf>
    <xf numFmtId="0" fontId="0" fillId="0" borderId="11" xfId="0" applyBorder="1" applyAlignment="1">
      <alignment horizontal="center"/>
    </xf>
    <xf numFmtId="0" fontId="0" fillId="0" borderId="15" xfId="0" applyBorder="1" applyAlignment="1">
      <alignment horizontal="center"/>
    </xf>
    <xf numFmtId="0" fontId="0" fillId="0" borderId="16" xfId="0" applyFont="1" applyFill="1" applyBorder="1" applyAlignment="1">
      <alignment horizontal="center" vertical="center"/>
    </xf>
    <xf numFmtId="0" fontId="0" fillId="0" borderId="0" xfId="0" applyFill="1" applyBorder="1"/>
    <xf numFmtId="0" fontId="1" fillId="0" borderId="0" xfId="0" applyFont="1" applyFill="1" applyBorder="1" applyAlignment="1">
      <alignment horizontal="center" vertical="center"/>
    </xf>
    <xf numFmtId="167" fontId="0" fillId="0" borderId="0" xfId="0" applyNumberFormat="1" applyFill="1" applyBorder="1" applyAlignment="1">
      <alignment horizontal="center" vertical="center"/>
    </xf>
    <xf numFmtId="0" fontId="0" fillId="0" borderId="0" xfId="0" applyFill="1" applyBorder="1" applyAlignment="1">
      <alignment vertical="top"/>
    </xf>
    <xf numFmtId="0" fontId="1" fillId="0" borderId="14" xfId="0" applyFont="1" applyBorder="1" applyAlignment="1">
      <alignment horizontal="center" vertical="center"/>
    </xf>
    <xf numFmtId="0" fontId="1" fillId="0" borderId="1" xfId="0" applyFont="1" applyBorder="1" applyAlignment="1">
      <alignment horizontal="center" vertical="center"/>
    </xf>
    <xf numFmtId="0" fontId="1" fillId="0" borderId="10" xfId="0" applyFont="1" applyBorder="1" applyAlignment="1">
      <alignment horizontal="center" vertical="center"/>
    </xf>
    <xf numFmtId="0" fontId="0" fillId="0" borderId="1" xfId="0" applyBorder="1" applyAlignment="1">
      <alignment horizontal="center" vertical="center"/>
    </xf>
    <xf numFmtId="0" fontId="0" fillId="0" borderId="14" xfId="0" applyBorder="1" applyAlignment="1">
      <alignment horizontal="center" vertical="center"/>
    </xf>
    <xf numFmtId="0" fontId="0" fillId="0" borderId="10" xfId="0" applyBorder="1" applyAlignment="1">
      <alignment horizontal="center" vertical="center"/>
    </xf>
    <xf numFmtId="2" fontId="0" fillId="0" borderId="0" xfId="0" applyNumberFormat="1" applyBorder="1" applyAlignment="1">
      <alignment horizontal="center"/>
    </xf>
    <xf numFmtId="0" fontId="0" fillId="0" borderId="0" xfId="0" applyFill="1" applyBorder="1" applyAlignment="1">
      <alignment horizontal="center" vertical="center"/>
    </xf>
    <xf numFmtId="169" fontId="0" fillId="0" borderId="0" xfId="0" applyNumberFormat="1" applyFill="1" applyBorder="1" applyAlignment="1">
      <alignment horizontal="center" vertical="center"/>
    </xf>
    <xf numFmtId="5" fontId="0" fillId="0" borderId="0" xfId="0" applyNumberFormat="1" applyFill="1" applyBorder="1" applyAlignment="1">
      <alignment horizontal="center"/>
    </xf>
    <xf numFmtId="5" fontId="0" fillId="0" borderId="0" xfId="0" applyNumberFormat="1" applyBorder="1" applyAlignment="1">
      <alignment horizontal="center" vertical="center"/>
    </xf>
    <xf numFmtId="3" fontId="0" fillId="0" borderId="1" xfId="0" applyNumberFormat="1" applyFill="1" applyBorder="1" applyAlignment="1">
      <alignment horizontal="center" vertical="center"/>
    </xf>
    <xf numFmtId="0" fontId="0" fillId="0" borderId="0" xfId="0" applyBorder="1" applyAlignment="1">
      <alignment wrapText="1"/>
    </xf>
    <xf numFmtId="0" fontId="0" fillId="0" borderId="14" xfId="0" applyFill="1" applyBorder="1" applyAlignment="1">
      <alignment horizontal="center" vertical="center"/>
    </xf>
    <xf numFmtId="0" fontId="0" fillId="0" borderId="10" xfId="0" applyFill="1" applyBorder="1" applyAlignment="1">
      <alignment horizontal="center" vertical="center"/>
    </xf>
    <xf numFmtId="0" fontId="0" fillId="0" borderId="15" xfId="0" applyFill="1" applyBorder="1" applyAlignment="1">
      <alignment horizontal="center" vertical="center"/>
    </xf>
    <xf numFmtId="0" fontId="0" fillId="0" borderId="17" xfId="0" applyFill="1" applyBorder="1" applyAlignment="1">
      <alignment horizontal="center" vertical="center"/>
    </xf>
    <xf numFmtId="0" fontId="0" fillId="0" borderId="0" xfId="0" applyBorder="1" applyAlignment="1">
      <alignment horizontal="center"/>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vertical="center"/>
    </xf>
    <xf numFmtId="0" fontId="1" fillId="0" borderId="42" xfId="0" applyFont="1" applyBorder="1" applyAlignment="1">
      <alignment horizontal="center" vertical="center" wrapText="1"/>
    </xf>
    <xf numFmtId="0" fontId="1" fillId="0" borderId="44" xfId="0" applyFont="1" applyBorder="1" applyAlignment="1">
      <alignment horizontal="center" vertical="center" wrapText="1"/>
    </xf>
    <xf numFmtId="0" fontId="0" fillId="0" borderId="51" xfId="0" applyBorder="1" applyAlignment="1">
      <alignment horizontal="center"/>
    </xf>
    <xf numFmtId="0" fontId="0" fillId="0" borderId="7" xfId="0" applyFont="1" applyFill="1" applyBorder="1" applyAlignment="1">
      <alignment horizontal="center" vertical="center"/>
    </xf>
    <xf numFmtId="0" fontId="0" fillId="0" borderId="1" xfId="0" applyBorder="1" applyAlignment="1">
      <alignment horizontal="center"/>
    </xf>
    <xf numFmtId="0" fontId="0" fillId="0" borderId="1" xfId="0" applyFont="1" applyBorder="1" applyAlignment="1">
      <alignment horizontal="center" vertical="center"/>
    </xf>
    <xf numFmtId="0" fontId="0" fillId="0" borderId="7" xfId="0"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0" fontId="0" fillId="0" borderId="8" xfId="0" applyBorder="1" applyAlignment="1">
      <alignment horizontal="center" vertical="center"/>
    </xf>
    <xf numFmtId="2" fontId="0" fillId="0" borderId="0" xfId="0" applyNumberFormat="1" applyBorder="1" applyAlignment="1">
      <alignment horizontal="center"/>
    </xf>
    <xf numFmtId="167" fontId="0" fillId="0" borderId="0" xfId="0" applyNumberFormat="1" applyBorder="1" applyAlignment="1">
      <alignment horizontal="center"/>
    </xf>
    <xf numFmtId="0" fontId="0" fillId="0" borderId="11" xfId="0" applyFill="1" applyBorder="1" applyAlignment="1">
      <alignment horizontal="center" vertical="center"/>
    </xf>
    <xf numFmtId="0" fontId="0" fillId="0" borderId="16" xfId="0" applyBorder="1" applyAlignment="1">
      <alignment horizontal="center" vertical="center" wrapText="1"/>
    </xf>
    <xf numFmtId="0" fontId="2" fillId="0" borderId="0" xfId="0" applyFont="1" applyFill="1" applyBorder="1" applyAlignment="1">
      <alignment vertical="center" wrapText="1"/>
    </xf>
    <xf numFmtId="0" fontId="2" fillId="0" borderId="0" xfId="0" applyFont="1" applyFill="1" applyBorder="1" applyAlignment="1">
      <alignment vertical="center"/>
    </xf>
    <xf numFmtId="0" fontId="1" fillId="0" borderId="0" xfId="0" applyFont="1" applyFill="1" applyBorder="1" applyAlignment="1">
      <alignment horizontal="center" vertical="center" wrapText="1"/>
    </xf>
    <xf numFmtId="3" fontId="0" fillId="0" borderId="0" xfId="0" applyNumberFormat="1" applyFill="1" applyBorder="1" applyAlignment="1">
      <alignment horizontal="center" vertical="center"/>
    </xf>
    <xf numFmtId="0" fontId="0" fillId="0" borderId="0" xfId="0" applyFill="1"/>
    <xf numFmtId="0" fontId="17" fillId="0" borderId="0" xfId="0" applyFont="1" applyFill="1" applyBorder="1" applyAlignment="1">
      <alignment vertical="center"/>
    </xf>
    <xf numFmtId="167" fontId="0" fillId="0" borderId="17" xfId="0" applyNumberFormat="1" applyBorder="1" applyAlignment="1">
      <alignment horizontal="center"/>
    </xf>
    <xf numFmtId="0" fontId="4" fillId="0" borderId="14" xfId="0" applyFont="1" applyFill="1" applyBorder="1" applyAlignment="1">
      <alignment horizontal="center" vertical="center"/>
    </xf>
    <xf numFmtId="167" fontId="0" fillId="0" borderId="16" xfId="0" applyNumberFormat="1" applyFont="1" applyFill="1" applyBorder="1" applyAlignment="1">
      <alignment horizontal="center" vertical="center"/>
    </xf>
    <xf numFmtId="0" fontId="4" fillId="0" borderId="0" xfId="0" applyFont="1" applyFill="1" applyBorder="1" applyAlignment="1">
      <alignment horizontal="center" wrapText="1"/>
    </xf>
    <xf numFmtId="167" fontId="0" fillId="0" borderId="0" xfId="0" applyNumberFormat="1" applyFill="1" applyBorder="1" applyAlignment="1">
      <alignment horizontal="center"/>
    </xf>
    <xf numFmtId="0" fontId="1" fillId="0" borderId="0" xfId="0" applyFont="1" applyBorder="1" applyAlignment="1">
      <alignment vertical="center" wrapText="1"/>
    </xf>
    <xf numFmtId="0" fontId="0" fillId="0" borderId="16" xfId="0" applyFont="1" applyBorder="1" applyAlignment="1">
      <alignment horizontal="center" vertical="center" wrapText="1"/>
    </xf>
    <xf numFmtId="3" fontId="0" fillId="0" borderId="0" xfId="0" applyNumberFormat="1" applyFill="1" applyBorder="1" applyAlignment="1">
      <alignment vertical="center"/>
    </xf>
    <xf numFmtId="0" fontId="0" fillId="0" borderId="0" xfId="0" applyBorder="1" applyAlignment="1">
      <alignment horizontal="center"/>
    </xf>
    <xf numFmtId="168" fontId="0" fillId="0" borderId="0" xfId="0" applyNumberFormat="1" applyBorder="1" applyAlignment="1">
      <alignment horizontal="center"/>
    </xf>
    <xf numFmtId="167" fontId="0" fillId="0" borderId="0" xfId="0" applyNumberFormat="1" applyBorder="1" applyAlignment="1">
      <alignment horizontal="center"/>
    </xf>
    <xf numFmtId="2" fontId="0" fillId="0" borderId="0" xfId="0" applyNumberFormat="1" applyBorder="1" applyAlignment="1">
      <alignment horizontal="center"/>
    </xf>
    <xf numFmtId="0" fontId="0" fillId="0" borderId="16" xfId="0" applyBorder="1" applyAlignment="1">
      <alignment horizontal="center"/>
    </xf>
    <xf numFmtId="0" fontId="0" fillId="0" borderId="0" xfId="0" applyFont="1" applyBorder="1" applyAlignment="1">
      <alignment horizontal="center"/>
    </xf>
    <xf numFmtId="0" fontId="0" fillId="0" borderId="15" xfId="0" applyBorder="1" applyAlignment="1">
      <alignment horizontal="center"/>
    </xf>
    <xf numFmtId="0" fontId="0" fillId="0" borderId="24" xfId="0" applyBorder="1" applyAlignment="1">
      <alignment horizontal="center" vertical="center"/>
    </xf>
    <xf numFmtId="0" fontId="1" fillId="0" borderId="11" xfId="0" applyFont="1" applyFill="1" applyBorder="1" applyAlignment="1">
      <alignment horizontal="center" vertical="center"/>
    </xf>
    <xf numFmtId="0" fontId="1" fillId="0" borderId="12" xfId="0" applyFont="1" applyFill="1" applyBorder="1" applyAlignment="1">
      <alignment horizontal="center"/>
    </xf>
    <xf numFmtId="167" fontId="0" fillId="0" borderId="0" xfId="0" applyNumberFormat="1" applyFill="1" applyBorder="1" applyAlignment="1">
      <alignment horizontal="center"/>
    </xf>
    <xf numFmtId="0" fontId="9" fillId="0" borderId="0" xfId="0" applyFont="1" applyFill="1" applyBorder="1" applyAlignment="1">
      <alignment vertical="center" wrapText="1"/>
    </xf>
    <xf numFmtId="0" fontId="0" fillId="0" borderId="0" xfId="0" applyBorder="1" applyAlignment="1">
      <alignment horizontal="center"/>
    </xf>
    <xf numFmtId="0" fontId="0" fillId="0" borderId="0" xfId="0" applyFill="1" applyBorder="1" applyAlignment="1">
      <alignment horizontal="center"/>
    </xf>
    <xf numFmtId="0" fontId="0" fillId="0" borderId="0" xfId="0" applyFont="1" applyFill="1" applyBorder="1" applyAlignment="1">
      <alignment horizontal="center" vertical="center"/>
    </xf>
    <xf numFmtId="0" fontId="4" fillId="0" borderId="11" xfId="0" applyFont="1" applyBorder="1" applyAlignment="1">
      <alignment horizontal="center"/>
    </xf>
    <xf numFmtId="0" fontId="5" fillId="2" borderId="14" xfId="0" applyFont="1" applyFill="1" applyBorder="1" applyAlignment="1">
      <alignment horizontal="center"/>
    </xf>
    <xf numFmtId="0" fontId="5" fillId="3" borderId="14" xfId="0" applyFont="1" applyFill="1" applyBorder="1" applyAlignment="1">
      <alignment horizontal="center"/>
    </xf>
    <xf numFmtId="0" fontId="1" fillId="0" borderId="43" xfId="0" applyFont="1" applyBorder="1" applyAlignment="1">
      <alignment horizontal="center" vertical="center" wrapText="1"/>
    </xf>
    <xf numFmtId="0" fontId="4" fillId="0" borderId="12" xfId="0" applyFont="1" applyBorder="1" applyAlignment="1">
      <alignment horizontal="center" vertical="top" wrapText="1"/>
    </xf>
    <xf numFmtId="0" fontId="4" fillId="0" borderId="13" xfId="0" applyFont="1" applyBorder="1" applyAlignment="1">
      <alignment horizontal="center" vertical="top" wrapText="1"/>
    </xf>
    <xf numFmtId="0" fontId="0" fillId="0" borderId="0" xfId="0" applyBorder="1" applyAlignment="1">
      <alignment horizontal="center"/>
    </xf>
    <xf numFmtId="167" fontId="0" fillId="0" borderId="0" xfId="0" applyNumberFormat="1" applyBorder="1" applyAlignment="1">
      <alignment horizontal="center" vertical="center"/>
    </xf>
    <xf numFmtId="0" fontId="2" fillId="0" borderId="0" xfId="0" applyFont="1" applyFill="1" applyBorder="1" applyAlignment="1">
      <alignment horizontal="center" vertical="center" wrapText="1"/>
    </xf>
    <xf numFmtId="0" fontId="4" fillId="0" borderId="9" xfId="0" applyFont="1" applyFill="1" applyBorder="1" applyAlignment="1">
      <alignment horizontal="center" vertical="center"/>
    </xf>
    <xf numFmtId="0" fontId="5" fillId="8" borderId="14" xfId="0" applyFont="1" applyFill="1" applyBorder="1" applyAlignment="1">
      <alignment horizontal="center"/>
    </xf>
    <xf numFmtId="0" fontId="5" fillId="4" borderId="15" xfId="0" applyFont="1" applyFill="1" applyBorder="1" applyAlignment="1">
      <alignment horizontal="center"/>
    </xf>
    <xf numFmtId="0" fontId="5" fillId="0" borderId="24" xfId="0" applyFont="1" applyBorder="1" applyAlignment="1">
      <alignment horizontal="left"/>
    </xf>
    <xf numFmtId="0" fontId="0" fillId="0" borderId="0" xfId="0" applyFill="1" applyBorder="1" applyAlignment="1">
      <alignment horizontal="center" vertical="center"/>
    </xf>
    <xf numFmtId="0" fontId="1" fillId="0" borderId="1" xfId="0" applyFont="1" applyBorder="1" applyAlignment="1">
      <alignment horizontal="center" wrapText="1"/>
    </xf>
    <xf numFmtId="3" fontId="0" fillId="0" borderId="0" xfId="0" applyNumberFormat="1" applyFill="1" applyBorder="1" applyAlignment="1">
      <alignment horizontal="center"/>
    </xf>
    <xf numFmtId="168" fontId="0" fillId="0" borderId="0" xfId="0" applyNumberFormat="1" applyFill="1" applyBorder="1" applyAlignment="1">
      <alignment horizontal="center"/>
    </xf>
    <xf numFmtId="164" fontId="0" fillId="0" borderId="0" xfId="0" applyNumberFormat="1" applyFill="1" applyBorder="1" applyAlignment="1">
      <alignment horizontal="center"/>
    </xf>
    <xf numFmtId="8" fontId="0" fillId="0" borderId="0" xfId="0" applyNumberFormat="1" applyFill="1" applyBorder="1" applyAlignment="1">
      <alignment horizontal="center"/>
    </xf>
    <xf numFmtId="0" fontId="0" fillId="0" borderId="0" xfId="0" applyBorder="1" applyAlignment="1">
      <alignment horizontal="center"/>
    </xf>
    <xf numFmtId="0" fontId="36" fillId="0" borderId="0" xfId="0" applyFont="1" applyFill="1" applyBorder="1" applyAlignment="1">
      <alignment vertical="center"/>
    </xf>
    <xf numFmtId="0" fontId="0" fillId="0" borderId="15" xfId="0" applyBorder="1" applyAlignment="1">
      <alignment horizontal="center"/>
    </xf>
    <xf numFmtId="0" fontId="0" fillId="0" borderId="16" xfId="0" applyFont="1" applyBorder="1" applyAlignment="1">
      <alignment horizontal="center"/>
    </xf>
    <xf numFmtId="0" fontId="1" fillId="0" borderId="0" xfId="0" applyFont="1" applyBorder="1" applyAlignment="1">
      <alignment horizontal="center" vertical="center"/>
    </xf>
    <xf numFmtId="4" fontId="0" fillId="0" borderId="0" xfId="0" applyNumberFormat="1" applyFont="1" applyBorder="1" applyAlignment="1">
      <alignment horizontal="center" vertical="center"/>
    </xf>
    <xf numFmtId="0" fontId="1" fillId="0" borderId="1" xfId="0" applyFont="1" applyFill="1" applyBorder="1" applyAlignment="1">
      <alignment horizontal="center" vertical="center"/>
    </xf>
    <xf numFmtId="0" fontId="2" fillId="0" borderId="0" xfId="0" applyFont="1" applyFill="1" applyBorder="1" applyAlignment="1">
      <alignment wrapText="1"/>
    </xf>
    <xf numFmtId="0" fontId="0" fillId="0" borderId="1" xfId="0" applyBorder="1" applyAlignment="1">
      <alignment horizontal="center" vertical="center"/>
    </xf>
    <xf numFmtId="0" fontId="0" fillId="0" borderId="7" xfId="0" applyBorder="1" applyAlignment="1">
      <alignment horizontal="center" vertical="center"/>
    </xf>
    <xf numFmtId="167" fontId="0" fillId="0" borderId="0" xfId="0" applyNumberFormat="1" applyBorder="1" applyAlignment="1">
      <alignment horizontal="center" vertical="center"/>
    </xf>
    <xf numFmtId="0" fontId="0" fillId="0" borderId="0" xfId="0" applyBorder="1" applyAlignment="1">
      <alignment horizontal="center" vertical="center"/>
    </xf>
    <xf numFmtId="167" fontId="0" fillId="0" borderId="16" xfId="0" applyNumberFormat="1" applyBorder="1" applyAlignment="1">
      <alignment horizontal="center"/>
    </xf>
    <xf numFmtId="1" fontId="0" fillId="0" borderId="1" xfId="0" applyNumberFormat="1" applyBorder="1" applyAlignment="1">
      <alignment horizontal="center" vertical="center"/>
    </xf>
    <xf numFmtId="0" fontId="0" fillId="0" borderId="12" xfId="0" applyFill="1" applyBorder="1" applyAlignment="1">
      <alignment horizontal="center" vertical="center"/>
    </xf>
    <xf numFmtId="0" fontId="0" fillId="0" borderId="1" xfId="0" applyFill="1" applyBorder="1" applyAlignment="1">
      <alignment horizontal="center" vertical="center"/>
    </xf>
    <xf numFmtId="0" fontId="0" fillId="0" borderId="16" xfId="0" applyFill="1" applyBorder="1" applyAlignment="1">
      <alignment horizontal="center" vertical="center"/>
    </xf>
    <xf numFmtId="0" fontId="0" fillId="0" borderId="12" xfId="0" applyBorder="1" applyAlignment="1">
      <alignment horizontal="center" vertical="center"/>
    </xf>
    <xf numFmtId="0" fontId="4" fillId="0" borderId="27" xfId="0" applyFont="1" applyFill="1" applyBorder="1" applyAlignment="1">
      <alignment horizontal="center" vertical="center"/>
    </xf>
    <xf numFmtId="0" fontId="36" fillId="0" borderId="0" xfId="0" applyFont="1" applyFill="1" applyBorder="1" applyAlignment="1">
      <alignment horizontal="center" vertical="center"/>
    </xf>
    <xf numFmtId="0" fontId="4" fillId="0" borderId="0" xfId="0" applyFont="1" applyBorder="1" applyAlignment="1">
      <alignment vertical="center" wrapText="1"/>
    </xf>
    <xf numFmtId="0" fontId="7" fillId="0" borderId="16" xfId="0" applyFont="1" applyFill="1" applyBorder="1" applyAlignment="1">
      <alignment horizontal="center" vertical="center"/>
    </xf>
    <xf numFmtId="0" fontId="4" fillId="0" borderId="12" xfId="0" applyFont="1" applyBorder="1" applyAlignment="1">
      <alignment horizontal="center" vertical="center"/>
    </xf>
    <xf numFmtId="0" fontId="1" fillId="0" borderId="69" xfId="0" applyFont="1" applyBorder="1" applyAlignment="1">
      <alignment horizontal="center" vertical="center"/>
    </xf>
    <xf numFmtId="0" fontId="0" fillId="0" borderId="51" xfId="0" applyFill="1" applyBorder="1" applyAlignment="1">
      <alignment horizontal="center" vertical="center"/>
    </xf>
    <xf numFmtId="3" fontId="0" fillId="0" borderId="1" xfId="0" applyNumberFormat="1" applyBorder="1" applyAlignment="1">
      <alignment horizontal="center" vertical="center"/>
    </xf>
    <xf numFmtId="0" fontId="0" fillId="0" borderId="16" xfId="0" applyBorder="1" applyAlignment="1">
      <alignment horizontal="center" vertical="center"/>
    </xf>
    <xf numFmtId="0" fontId="0" fillId="0" borderId="1" xfId="0" applyBorder="1" applyAlignment="1">
      <alignment horizontal="center" vertical="center"/>
    </xf>
    <xf numFmtId="0" fontId="8" fillId="2" borderId="10" xfId="0" applyFont="1" applyFill="1" applyBorder="1" applyAlignment="1">
      <alignment horizontal="center" vertical="center"/>
    </xf>
    <xf numFmtId="167" fontId="8" fillId="0" borderId="16" xfId="0" applyNumberFormat="1" applyFont="1" applyBorder="1" applyAlignment="1">
      <alignment horizontal="center" vertical="center"/>
    </xf>
    <xf numFmtId="5" fontId="8" fillId="0" borderId="1" xfId="0" applyNumberFormat="1" applyFont="1" applyFill="1" applyBorder="1" applyAlignment="1">
      <alignment horizontal="center" vertical="center"/>
    </xf>
    <xf numFmtId="5" fontId="8" fillId="0" borderId="16" xfId="0" applyNumberFormat="1" applyFont="1" applyBorder="1" applyAlignment="1">
      <alignment horizontal="center" vertical="center"/>
    </xf>
    <xf numFmtId="0" fontId="8" fillId="8" borderId="15" xfId="0" applyFont="1" applyFill="1" applyBorder="1" applyAlignment="1">
      <alignment horizontal="center" vertical="center"/>
    </xf>
    <xf numFmtId="2" fontId="8" fillId="0" borderId="17" xfId="0" applyNumberFormat="1" applyFont="1" applyBorder="1" applyAlignment="1">
      <alignment horizontal="center" vertical="center"/>
    </xf>
    <xf numFmtId="3" fontId="8" fillId="8" borderId="16" xfId="0" applyNumberFormat="1" applyFont="1" applyFill="1" applyBorder="1" applyAlignment="1">
      <alignment horizontal="center" vertical="center"/>
    </xf>
    <xf numFmtId="0" fontId="8" fillId="8" borderId="16" xfId="0" applyFont="1" applyFill="1" applyBorder="1" applyAlignment="1">
      <alignment horizontal="center" vertical="center"/>
    </xf>
    <xf numFmtId="164" fontId="40" fillId="0" borderId="1" xfId="0" applyNumberFormat="1" applyFont="1" applyFill="1" applyBorder="1" applyAlignment="1">
      <alignment horizontal="center"/>
    </xf>
    <xf numFmtId="0" fontId="8" fillId="0" borderId="1" xfId="0" applyFont="1" applyBorder="1" applyAlignment="1">
      <alignment horizontal="center"/>
    </xf>
    <xf numFmtId="0" fontId="8" fillId="0" borderId="16" xfId="0" applyFont="1" applyBorder="1" applyAlignment="1">
      <alignment horizontal="center"/>
    </xf>
    <xf numFmtId="168" fontId="40" fillId="8" borderId="1" xfId="0" applyNumberFormat="1" applyFont="1" applyFill="1" applyBorder="1" applyAlignment="1">
      <alignment horizontal="center"/>
    </xf>
    <xf numFmtId="168" fontId="8" fillId="8" borderId="1" xfId="0" applyNumberFormat="1" applyFont="1" applyFill="1" applyBorder="1" applyAlignment="1">
      <alignment horizontal="center"/>
    </xf>
    <xf numFmtId="168" fontId="8" fillId="8" borderId="16" xfId="0" applyNumberFormat="1" applyFont="1" applyFill="1" applyBorder="1" applyAlignment="1">
      <alignment horizontal="center"/>
    </xf>
    <xf numFmtId="2" fontId="8" fillId="0" borderId="1" xfId="0" applyNumberFormat="1" applyFont="1" applyBorder="1" applyAlignment="1">
      <alignment horizontal="center"/>
    </xf>
    <xf numFmtId="3" fontId="8" fillId="0" borderId="10" xfId="0" applyNumberFormat="1" applyFont="1" applyBorder="1" applyAlignment="1">
      <alignment horizontal="center"/>
    </xf>
    <xf numFmtId="1" fontId="8" fillId="0" borderId="16" xfId="0" applyNumberFormat="1" applyFont="1" applyBorder="1" applyAlignment="1">
      <alignment horizontal="center" vertical="center"/>
    </xf>
    <xf numFmtId="3" fontId="8" fillId="0" borderId="37" xfId="0" applyNumberFormat="1" applyFont="1" applyBorder="1" applyAlignment="1">
      <alignment horizontal="center" vertical="center"/>
    </xf>
    <xf numFmtId="0" fontId="5" fillId="0" borderId="14" xfId="0" applyFont="1" applyBorder="1" applyAlignment="1">
      <alignment horizontal="center"/>
    </xf>
    <xf numFmtId="0" fontId="8" fillId="0" borderId="1" xfId="0" applyFont="1" applyBorder="1" applyAlignment="1">
      <alignment horizontal="center" vertical="center"/>
    </xf>
    <xf numFmtId="169" fontId="8" fillId="0" borderId="1" xfId="0" applyNumberFormat="1" applyFont="1" applyBorder="1" applyAlignment="1">
      <alignment horizontal="center" vertical="center"/>
    </xf>
    <xf numFmtId="0" fontId="8" fillId="0" borderId="16" xfId="0" applyFont="1" applyBorder="1" applyAlignment="1">
      <alignment horizontal="center" vertical="center"/>
    </xf>
    <xf numFmtId="3" fontId="8" fillId="0" borderId="1" xfId="0" applyNumberFormat="1" applyFont="1" applyFill="1" applyBorder="1" applyAlignment="1">
      <alignment horizontal="center" vertical="center"/>
    </xf>
    <xf numFmtId="167" fontId="8" fillId="0" borderId="1" xfId="0" applyNumberFormat="1" applyFont="1" applyBorder="1" applyAlignment="1">
      <alignment horizontal="center" vertical="center"/>
    </xf>
    <xf numFmtId="3" fontId="8" fillId="0" borderId="16" xfId="0" applyNumberFormat="1" applyFont="1" applyFill="1" applyBorder="1" applyAlignment="1">
      <alignment horizontal="center" vertical="center"/>
    </xf>
    <xf numFmtId="0" fontId="8" fillId="0" borderId="34" xfId="0" applyFont="1" applyBorder="1" applyAlignment="1">
      <alignment horizontal="center" vertical="center"/>
    </xf>
    <xf numFmtId="3" fontId="8" fillId="0" borderId="8" xfId="0" applyNumberFormat="1" applyFont="1" applyFill="1" applyBorder="1" applyAlignment="1">
      <alignment horizontal="center" vertical="center"/>
    </xf>
    <xf numFmtId="167" fontId="8" fillId="0" borderId="8" xfId="0" applyNumberFormat="1" applyFont="1" applyBorder="1" applyAlignment="1">
      <alignment horizontal="center" vertical="center"/>
    </xf>
    <xf numFmtId="0" fontId="8" fillId="0" borderId="12" xfId="0" applyFont="1" applyBorder="1" applyAlignment="1">
      <alignment horizontal="center" vertical="center"/>
    </xf>
    <xf numFmtId="3" fontId="8" fillId="0" borderId="12" xfId="0" applyNumberFormat="1" applyFont="1" applyFill="1" applyBorder="1" applyAlignment="1">
      <alignment horizontal="center" vertical="center"/>
    </xf>
    <xf numFmtId="167" fontId="8" fillId="0" borderId="12" xfId="0" applyNumberFormat="1" applyFont="1" applyBorder="1" applyAlignment="1">
      <alignment horizontal="center" vertical="center"/>
    </xf>
    <xf numFmtId="0" fontId="8" fillId="0" borderId="7" xfId="0" applyFont="1" applyBorder="1" applyAlignment="1">
      <alignment horizontal="center" vertical="center"/>
    </xf>
    <xf numFmtId="3" fontId="8" fillId="0" borderId="7" xfId="0" applyNumberFormat="1" applyFont="1" applyFill="1" applyBorder="1" applyAlignment="1">
      <alignment horizontal="center" vertical="center"/>
    </xf>
    <xf numFmtId="167" fontId="8" fillId="0" borderId="7" xfId="0" applyNumberFormat="1" applyFont="1" applyBorder="1" applyAlignment="1">
      <alignment horizontal="center" vertical="center"/>
    </xf>
    <xf numFmtId="167" fontId="8" fillId="0" borderId="16" xfId="0" applyNumberFormat="1" applyFont="1" applyBorder="1" applyAlignment="1">
      <alignment horizontal="center"/>
    </xf>
    <xf numFmtId="0" fontId="8" fillId="0" borderId="8" xfId="0" applyFont="1" applyBorder="1" applyAlignment="1">
      <alignment horizontal="center" vertical="center"/>
    </xf>
    <xf numFmtId="0" fontId="8" fillId="0" borderId="32" xfId="0" applyFont="1" applyBorder="1" applyAlignment="1">
      <alignment horizontal="center"/>
    </xf>
    <xf numFmtId="167" fontId="8" fillId="0" borderId="10" xfId="0" applyNumberFormat="1" applyFont="1" applyBorder="1" applyAlignment="1">
      <alignment horizontal="center" vertical="center"/>
    </xf>
    <xf numFmtId="167" fontId="8" fillId="0" borderId="17" xfId="0" applyNumberFormat="1" applyFont="1" applyBorder="1" applyAlignment="1">
      <alignment horizontal="center" vertical="center"/>
    </xf>
    <xf numFmtId="168" fontId="8" fillId="0" borderId="1" xfId="0" applyNumberFormat="1" applyFont="1" applyBorder="1" applyAlignment="1">
      <alignment horizontal="center" vertical="center"/>
    </xf>
    <xf numFmtId="167" fontId="8" fillId="0" borderId="12" xfId="0" applyNumberFormat="1" applyFont="1" applyBorder="1" applyAlignment="1">
      <alignment horizontal="center"/>
    </xf>
    <xf numFmtId="167" fontId="8" fillId="0" borderId="13" xfId="0" applyNumberFormat="1" applyFont="1" applyBorder="1" applyAlignment="1">
      <alignment horizontal="center" vertical="center"/>
    </xf>
    <xf numFmtId="167" fontId="8" fillId="0" borderId="57" xfId="0" applyNumberFormat="1" applyFont="1" applyBorder="1" applyAlignment="1">
      <alignment horizontal="center" vertical="center"/>
    </xf>
    <xf numFmtId="167" fontId="8" fillId="0" borderId="1" xfId="0" applyNumberFormat="1" applyFont="1" applyFill="1" applyBorder="1" applyAlignment="1">
      <alignment horizontal="center" vertical="center"/>
    </xf>
    <xf numFmtId="39" fontId="41" fillId="0" borderId="12" xfId="0" applyNumberFormat="1" applyFont="1" applyFill="1" applyBorder="1" applyAlignment="1">
      <alignment horizontal="center" vertical="center"/>
    </xf>
    <xf numFmtId="169" fontId="8" fillId="0" borderId="12" xfId="0" applyNumberFormat="1" applyFont="1" applyBorder="1" applyAlignment="1">
      <alignment horizontal="center" vertical="center"/>
    </xf>
    <xf numFmtId="39" fontId="41" fillId="0" borderId="1" xfId="0" applyNumberFormat="1" applyFont="1" applyFill="1" applyBorder="1" applyAlignment="1">
      <alignment horizontal="center" vertical="center"/>
    </xf>
    <xf numFmtId="169" fontId="8" fillId="0" borderId="7" xfId="0" applyNumberFormat="1" applyFont="1" applyBorder="1" applyAlignment="1">
      <alignment horizontal="center" vertical="center"/>
    </xf>
    <xf numFmtId="169" fontId="8" fillId="0" borderId="16" xfId="0" applyNumberFormat="1" applyFont="1" applyBorder="1" applyAlignment="1">
      <alignment horizontal="center" vertical="center"/>
    </xf>
    <xf numFmtId="39" fontId="41" fillId="0" borderId="9" xfId="0" applyNumberFormat="1" applyFont="1" applyFill="1" applyBorder="1" applyAlignment="1">
      <alignment horizontal="center" vertical="center"/>
    </xf>
    <xf numFmtId="39" fontId="41" fillId="0" borderId="16" xfId="0" applyNumberFormat="1" applyFont="1" applyFill="1" applyBorder="1" applyAlignment="1">
      <alignment horizontal="center" vertical="center"/>
    </xf>
    <xf numFmtId="167" fontId="8" fillId="0" borderId="16" xfId="0" applyNumberFormat="1" applyFont="1" applyFill="1" applyBorder="1" applyAlignment="1">
      <alignment horizontal="center" vertical="center"/>
    </xf>
    <xf numFmtId="167" fontId="8" fillId="0" borderId="17" xfId="0" applyNumberFormat="1" applyFont="1" applyBorder="1" applyAlignment="1">
      <alignment horizontal="center"/>
    </xf>
    <xf numFmtId="6" fontId="8" fillId="0" borderId="1" xfId="0" applyNumberFormat="1" applyFont="1" applyBorder="1" applyAlignment="1">
      <alignment horizontal="center" vertical="center"/>
    </xf>
    <xf numFmtId="167" fontId="8" fillId="3" borderId="16" xfId="0" applyNumberFormat="1" applyFont="1" applyFill="1" applyBorder="1" applyAlignment="1">
      <alignment horizontal="center" vertical="center"/>
    </xf>
    <xf numFmtId="3" fontId="8" fillId="0" borderId="17" xfId="0" applyNumberFormat="1" applyFont="1" applyBorder="1" applyAlignment="1">
      <alignment horizontal="center"/>
    </xf>
    <xf numFmtId="167" fontId="0" fillId="0" borderId="1" xfId="0" applyNumberFormat="1" applyBorder="1" applyAlignment="1">
      <alignment horizontal="center"/>
    </xf>
    <xf numFmtId="167" fontId="0" fillId="0" borderId="10" xfId="0" applyNumberFormat="1" applyBorder="1" applyAlignment="1">
      <alignment horizontal="center"/>
    </xf>
    <xf numFmtId="0" fontId="0" fillId="0" borderId="0" xfId="0"/>
    <xf numFmtId="2" fontId="8" fillId="0" borderId="1" xfId="0" applyNumberFormat="1" applyFont="1" applyBorder="1" applyAlignment="1">
      <alignment horizontal="center" vertical="center"/>
    </xf>
    <xf numFmtId="2" fontId="8" fillId="0" borderId="16" xfId="0" applyNumberFormat="1" applyFont="1" applyBorder="1" applyAlignment="1">
      <alignment horizontal="center" vertical="center"/>
    </xf>
    <xf numFmtId="3" fontId="8" fillId="0" borderId="16" xfId="0" applyNumberFormat="1" applyFont="1" applyBorder="1" applyAlignment="1">
      <alignment horizontal="center" vertical="center"/>
    </xf>
    <xf numFmtId="0" fontId="4" fillId="0" borderId="14" xfId="0" applyFont="1" applyBorder="1" applyAlignment="1">
      <alignment horizontal="center" vertical="center" wrapText="1"/>
    </xf>
    <xf numFmtId="3" fontId="8" fillId="0" borderId="14" xfId="0" applyNumberFormat="1" applyFont="1" applyBorder="1" applyAlignment="1">
      <alignment horizontal="center" vertical="center"/>
    </xf>
    <xf numFmtId="0" fontId="2" fillId="0" borderId="15" xfId="0" applyFont="1" applyFill="1" applyBorder="1" applyAlignment="1">
      <alignment horizontal="center" vertical="center"/>
    </xf>
    <xf numFmtId="0" fontId="8" fillId="0" borderId="13" xfId="0" applyFont="1" applyBorder="1" applyAlignment="1">
      <alignment horizontal="center"/>
    </xf>
    <xf numFmtId="0" fontId="4" fillId="0" borderId="11" xfId="0" applyFont="1" applyBorder="1" applyAlignment="1">
      <alignment horizontal="center" vertical="center" wrapText="1"/>
    </xf>
    <xf numFmtId="1" fontId="8" fillId="0" borderId="10" xfId="0" applyNumberFormat="1" applyFont="1" applyBorder="1" applyAlignment="1">
      <alignment horizontal="center" vertical="center"/>
    </xf>
    <xf numFmtId="0" fontId="43" fillId="0" borderId="12" xfId="0" applyFont="1" applyBorder="1" applyAlignment="1">
      <alignment horizontal="center" vertical="center" wrapText="1"/>
    </xf>
    <xf numFmtId="0" fontId="8" fillId="8" borderId="14" xfId="0" applyFont="1" applyFill="1" applyBorder="1" applyAlignment="1">
      <alignment horizontal="center" vertical="center"/>
    </xf>
    <xf numFmtId="0" fontId="43" fillId="0" borderId="1" xfId="0" applyFont="1" applyBorder="1" applyAlignment="1">
      <alignment horizontal="center" vertical="center" wrapText="1"/>
    </xf>
    <xf numFmtId="3" fontId="0" fillId="0" borderId="0" xfId="0" applyNumberFormat="1" applyAlignment="1">
      <alignment vertical="center"/>
    </xf>
    <xf numFmtId="1" fontId="0" fillId="0" borderId="0" xfId="0" applyNumberFormat="1" applyAlignment="1">
      <alignment vertical="center"/>
    </xf>
    <xf numFmtId="11" fontId="8" fillId="0" borderId="1" xfId="0" applyNumberFormat="1" applyFont="1" applyBorder="1" applyAlignment="1">
      <alignment horizontal="center" vertical="center"/>
    </xf>
    <xf numFmtId="0" fontId="2" fillId="0" borderId="0" xfId="0" applyFont="1" applyAlignment="1">
      <alignment vertical="center"/>
    </xf>
    <xf numFmtId="0" fontId="8" fillId="0" borderId="0" xfId="0" applyFont="1" applyBorder="1" applyAlignment="1">
      <alignment horizontal="center"/>
    </xf>
    <xf numFmtId="0" fontId="5" fillId="0" borderId="14" xfId="0" applyFont="1" applyBorder="1" applyAlignment="1">
      <alignment horizontal="center" vertical="center" wrapText="1"/>
    </xf>
    <xf numFmtId="0" fontId="0" fillId="0" borderId="14" xfId="0" applyFont="1" applyBorder="1" applyAlignment="1">
      <alignment horizontal="center" vertical="center"/>
    </xf>
    <xf numFmtId="0" fontId="4" fillId="0" borderId="0" xfId="0" applyFont="1" applyFill="1" applyBorder="1" applyAlignment="1">
      <alignment vertical="center" wrapText="1"/>
    </xf>
    <xf numFmtId="0" fontId="1" fillId="0" borderId="0" xfId="0" applyFont="1" applyFill="1" applyBorder="1" applyAlignment="1">
      <alignment vertical="center"/>
    </xf>
    <xf numFmtId="5" fontId="8" fillId="0" borderId="0" xfId="0" applyNumberFormat="1" applyFont="1" applyFill="1" applyBorder="1" applyAlignment="1">
      <alignment vertical="center"/>
    </xf>
    <xf numFmtId="0" fontId="0" fillId="0" borderId="18" xfId="0" applyBorder="1" applyAlignment="1">
      <alignment horizontal="center" vertical="center"/>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4" fillId="0" borderId="1" xfId="0" applyFont="1" applyBorder="1" applyAlignment="1">
      <alignment horizontal="center" vertical="center" wrapText="1"/>
    </xf>
    <xf numFmtId="0" fontId="4" fillId="0" borderId="0" xfId="0" applyFont="1" applyBorder="1" applyAlignment="1">
      <alignment horizontal="center" vertical="center" wrapText="1"/>
    </xf>
    <xf numFmtId="0" fontId="8" fillId="0" borderId="10" xfId="0" applyFont="1" applyBorder="1" applyAlignment="1">
      <alignment horizontal="center" vertical="center"/>
    </xf>
    <xf numFmtId="0" fontId="8" fillId="0" borderId="1" xfId="0" applyFont="1" applyBorder="1" applyAlignment="1">
      <alignment horizontal="center" vertical="center"/>
    </xf>
    <xf numFmtId="165" fontId="8" fillId="0" borderId="10" xfId="0" applyNumberFormat="1" applyFont="1" applyBorder="1" applyAlignment="1">
      <alignment horizontal="center"/>
    </xf>
    <xf numFmtId="0" fontId="2" fillId="0" borderId="1" xfId="0" applyFont="1" applyBorder="1" applyAlignment="1">
      <alignment horizontal="center" vertical="center" wrapText="1"/>
    </xf>
    <xf numFmtId="0" fontId="1" fillId="0" borderId="70" xfId="0" applyFont="1" applyBorder="1" applyAlignment="1">
      <alignment horizontal="center" vertical="center" wrapText="1"/>
    </xf>
    <xf numFmtId="0" fontId="0" fillId="0" borderId="0" xfId="0" applyBorder="1" applyAlignment="1">
      <alignment horizontal="center"/>
    </xf>
    <xf numFmtId="0" fontId="0" fillId="0" borderId="0" xfId="0" applyBorder="1" applyAlignment="1">
      <alignment horizontal="center" vertical="center"/>
    </xf>
    <xf numFmtId="0" fontId="0" fillId="0" borderId="0" xfId="0" applyFill="1" applyBorder="1" applyAlignment="1">
      <alignment horizontal="center" vertical="center"/>
    </xf>
    <xf numFmtId="168" fontId="0" fillId="0" borderId="0" xfId="0" applyNumberFormat="1" applyBorder="1" applyAlignment="1">
      <alignment horizontal="center"/>
    </xf>
    <xf numFmtId="167" fontId="0" fillId="0" borderId="0" xfId="0" applyNumberFormat="1" applyBorder="1" applyAlignment="1">
      <alignment horizontal="center"/>
    </xf>
    <xf numFmtId="3" fontId="0" fillId="0" borderId="0" xfId="0" applyNumberFormat="1" applyFill="1" applyBorder="1" applyAlignment="1">
      <alignment horizontal="center" vertical="center"/>
    </xf>
    <xf numFmtId="164" fontId="0" fillId="0" borderId="0" xfId="0" applyNumberFormat="1" applyBorder="1" applyAlignment="1">
      <alignment horizontal="center"/>
    </xf>
    <xf numFmtId="0" fontId="8" fillId="0" borderId="0" xfId="0" applyFont="1" applyBorder="1" applyAlignment="1">
      <alignment vertical="center"/>
    </xf>
    <xf numFmtId="1" fontId="8" fillId="0" borderId="0" xfId="0" applyNumberFormat="1" applyFont="1" applyBorder="1" applyAlignment="1">
      <alignment horizontal="center" vertical="center"/>
    </xf>
    <xf numFmtId="3" fontId="8" fillId="0" borderId="0" xfId="0" applyNumberFormat="1" applyFont="1" applyFill="1" applyBorder="1" applyAlignment="1">
      <alignment horizontal="center" vertical="center"/>
    </xf>
    <xf numFmtId="167" fontId="8" fillId="0" borderId="0" xfId="0" applyNumberFormat="1" applyFont="1" applyBorder="1" applyAlignment="1">
      <alignment horizontal="center"/>
    </xf>
    <xf numFmtId="167" fontId="8" fillId="0" borderId="0" xfId="0" applyNumberFormat="1" applyFont="1" applyBorder="1" applyAlignment="1">
      <alignment horizontal="center" vertical="center"/>
    </xf>
    <xf numFmtId="0" fontId="4" fillId="0" borderId="0" xfId="0" applyFont="1" applyBorder="1" applyAlignment="1">
      <alignment horizontal="center" vertical="center" wrapText="1"/>
    </xf>
    <xf numFmtId="0" fontId="0" fillId="0" borderId="0" xfId="0" applyBorder="1" applyAlignment="1">
      <alignment horizontal="center" vertical="center"/>
    </xf>
    <xf numFmtId="5" fontId="0" fillId="0" borderId="0" xfId="0" applyNumberFormat="1" applyFill="1" applyBorder="1" applyAlignment="1">
      <alignment horizontal="center" vertical="center"/>
    </xf>
    <xf numFmtId="0" fontId="0" fillId="0" borderId="0" xfId="0" applyFill="1" applyBorder="1" applyAlignment="1">
      <alignment horizontal="center" vertical="center"/>
    </xf>
    <xf numFmtId="5" fontId="8" fillId="0" borderId="0" xfId="0" applyNumberFormat="1" applyFont="1" applyFill="1" applyBorder="1" applyAlignment="1">
      <alignment horizontal="center" vertical="center"/>
    </xf>
    <xf numFmtId="0" fontId="4" fillId="0" borderId="12" xfId="0" applyFont="1" applyBorder="1" applyAlignment="1">
      <alignment horizontal="center" vertical="center" wrapText="1"/>
    </xf>
    <xf numFmtId="0" fontId="1" fillId="0" borderId="10" xfId="0" applyFont="1" applyBorder="1" applyAlignment="1">
      <alignment horizontal="center" vertical="center"/>
    </xf>
    <xf numFmtId="0" fontId="9" fillId="0" borderId="33" xfId="0" applyFont="1" applyFill="1" applyBorder="1" applyAlignment="1"/>
    <xf numFmtId="0" fontId="0" fillId="0" borderId="14" xfId="0" applyFont="1" applyFill="1" applyBorder="1" applyAlignment="1">
      <alignment horizontal="center" vertical="center" wrapText="1"/>
    </xf>
    <xf numFmtId="0" fontId="1" fillId="0" borderId="0" xfId="0" applyFont="1" applyFill="1" applyBorder="1" applyAlignment="1">
      <alignment horizontal="center"/>
    </xf>
    <xf numFmtId="167" fontId="8" fillId="0" borderId="0" xfId="0" applyNumberFormat="1" applyFont="1" applyFill="1" applyBorder="1" applyAlignment="1">
      <alignment horizontal="center" vertical="center"/>
    </xf>
    <xf numFmtId="0" fontId="5" fillId="0" borderId="0" xfId="0" applyFont="1" applyFill="1" applyBorder="1" applyAlignment="1">
      <alignment horizontal="center" vertical="center"/>
    </xf>
    <xf numFmtId="0" fontId="4" fillId="0" borderId="11" xfId="0" applyFont="1" applyBorder="1" applyAlignment="1">
      <alignment horizontal="center" vertical="center" wrapText="1"/>
    </xf>
    <xf numFmtId="0" fontId="4" fillId="0" borderId="13" xfId="0" applyFont="1" applyBorder="1" applyAlignment="1">
      <alignment horizontal="center" vertical="center" wrapText="1"/>
    </xf>
    <xf numFmtId="0" fontId="8" fillId="0" borderId="10" xfId="0" applyFont="1" applyBorder="1" applyAlignment="1">
      <alignment horizontal="center" vertical="center"/>
    </xf>
    <xf numFmtId="0" fontId="8" fillId="0" borderId="16" xfId="0" applyFont="1" applyFill="1" applyBorder="1" applyAlignment="1">
      <alignment horizontal="center" vertical="center"/>
    </xf>
    <xf numFmtId="2" fontId="8" fillId="0" borderId="0" xfId="0" applyNumberFormat="1" applyFont="1" applyBorder="1" applyAlignment="1">
      <alignment horizontal="center" vertical="center"/>
    </xf>
    <xf numFmtId="2" fontId="8" fillId="8" borderId="16" xfId="0" applyNumberFormat="1" applyFont="1" applyFill="1" applyBorder="1" applyAlignment="1">
      <alignment horizontal="center" vertical="center"/>
    </xf>
    <xf numFmtId="0" fontId="0" fillId="2" borderId="14" xfId="0" applyFill="1" applyBorder="1" applyAlignment="1">
      <alignment horizontal="center" vertical="center"/>
    </xf>
    <xf numFmtId="0" fontId="0" fillId="2" borderId="7" xfId="0" applyFill="1" applyBorder="1" applyAlignment="1">
      <alignment horizontal="center" vertical="center"/>
    </xf>
    <xf numFmtId="0" fontId="8" fillId="0" borderId="57" xfId="0" applyFont="1" applyBorder="1" applyAlignment="1">
      <alignment horizontal="center" vertical="center"/>
    </xf>
    <xf numFmtId="0" fontId="0" fillId="2" borderId="1" xfId="0" applyFill="1" applyBorder="1" applyAlignment="1">
      <alignment horizontal="center" vertical="center"/>
    </xf>
    <xf numFmtId="0" fontId="1" fillId="0" borderId="0" xfId="0" applyFont="1" applyFill="1" applyBorder="1" applyAlignment="1">
      <alignment horizontal="center"/>
    </xf>
    <xf numFmtId="0" fontId="20" fillId="0" borderId="1" xfId="0" applyFont="1" applyBorder="1" applyAlignment="1">
      <alignment horizontal="center"/>
    </xf>
    <xf numFmtId="0" fontId="1" fillId="0" borderId="0" xfId="0" applyFont="1" applyFill="1" applyBorder="1"/>
    <xf numFmtId="168" fontId="1" fillId="0" borderId="0" xfId="0" applyNumberFormat="1" applyFont="1" applyFill="1" applyBorder="1" applyAlignment="1">
      <alignment horizontal="center"/>
    </xf>
    <xf numFmtId="0" fontId="45" fillId="11" borderId="1" xfId="0" applyFont="1" applyFill="1" applyBorder="1" applyAlignment="1">
      <alignment horizontal="center"/>
    </xf>
    <xf numFmtId="0" fontId="20" fillId="12" borderId="1" xfId="0" applyFont="1" applyFill="1" applyBorder="1" applyAlignment="1">
      <alignment horizontal="center"/>
    </xf>
    <xf numFmtId="0" fontId="20" fillId="13" borderId="1" xfId="0" applyFont="1" applyFill="1" applyBorder="1" applyAlignment="1">
      <alignment horizontal="center"/>
    </xf>
    <xf numFmtId="0" fontId="20" fillId="10" borderId="1" xfId="0" applyFont="1" applyFill="1" applyBorder="1" applyAlignment="1">
      <alignment horizontal="center"/>
    </xf>
    <xf numFmtId="0" fontId="46" fillId="13" borderId="1" xfId="0" applyFont="1" applyFill="1" applyBorder="1" applyAlignment="1">
      <alignment horizontal="center" vertical="center" wrapText="1"/>
    </xf>
    <xf numFmtId="0" fontId="46" fillId="0" borderId="1" xfId="0" applyFont="1" applyBorder="1" applyAlignment="1">
      <alignment horizontal="center" vertical="center" wrapText="1"/>
    </xf>
    <xf numFmtId="0" fontId="0" fillId="0" borderId="9" xfId="0"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167" fontId="0" fillId="0" borderId="0" xfId="0" applyNumberFormat="1" applyBorder="1" applyAlignment="1">
      <alignment horizontal="center"/>
    </xf>
    <xf numFmtId="2" fontId="0" fillId="0" borderId="0" xfId="0" applyNumberFormat="1" applyBorder="1" applyAlignment="1">
      <alignment horizontal="center"/>
    </xf>
    <xf numFmtId="1" fontId="0" fillId="0" borderId="0" xfId="0" applyNumberFormat="1" applyBorder="1" applyAlignment="1">
      <alignment horizontal="center"/>
    </xf>
    <xf numFmtId="165" fontId="8" fillId="0" borderId="9" xfId="0" applyNumberFormat="1" applyFont="1" applyBorder="1" applyAlignment="1">
      <alignment horizontal="center" vertical="center"/>
    </xf>
    <xf numFmtId="2" fontId="0" fillId="0" borderId="0" xfId="0" applyNumberFormat="1" applyBorder="1" applyAlignment="1"/>
    <xf numFmtId="1" fontId="8" fillId="0" borderId="1" xfId="0" applyNumberFormat="1" applyFont="1" applyFill="1" applyBorder="1" applyAlignment="1">
      <alignment horizontal="center"/>
    </xf>
    <xf numFmtId="167" fontId="8" fillId="0" borderId="1" xfId="0" applyNumberFormat="1" applyFont="1" applyFill="1" applyBorder="1" applyAlignment="1">
      <alignment horizontal="center"/>
    </xf>
    <xf numFmtId="0" fontId="0" fillId="2" borderId="10" xfId="0" applyFill="1" applyBorder="1" applyAlignment="1">
      <alignment vertical="center"/>
    </xf>
    <xf numFmtId="0" fontId="1" fillId="0" borderId="14" xfId="0" applyFont="1" applyBorder="1" applyAlignment="1">
      <alignment horizontal="center"/>
    </xf>
    <xf numFmtId="0" fontId="0" fillId="0" borderId="14" xfId="0" applyBorder="1" applyAlignment="1">
      <alignment horizontal="center"/>
    </xf>
    <xf numFmtId="6" fontId="8" fillId="0" borderId="1" xfId="0" applyNumberFormat="1" applyFont="1" applyBorder="1" applyAlignment="1">
      <alignment horizontal="center"/>
    </xf>
    <xf numFmtId="0" fontId="1" fillId="0" borderId="14" xfId="0" applyFont="1" applyFill="1" applyBorder="1" applyAlignment="1">
      <alignment horizontal="center" vertical="center"/>
    </xf>
    <xf numFmtId="3" fontId="8" fillId="0" borderId="15" xfId="0" applyNumberFormat="1" applyFont="1" applyBorder="1" applyAlignment="1">
      <alignment horizontal="center" vertical="center"/>
    </xf>
    <xf numFmtId="170" fontId="8" fillId="0" borderId="36" xfId="0" applyNumberFormat="1" applyFont="1" applyBorder="1" applyAlignment="1">
      <alignment horizontal="center" vertical="center"/>
    </xf>
    <xf numFmtId="2" fontId="8" fillId="0" borderId="10" xfId="0" applyNumberFormat="1" applyFont="1" applyBorder="1" applyAlignment="1">
      <alignment horizontal="center" vertical="center"/>
    </xf>
    <xf numFmtId="2" fontId="8" fillId="0" borderId="15" xfId="0" applyNumberFormat="1" applyFont="1" applyBorder="1" applyAlignment="1">
      <alignment horizontal="center" vertical="center"/>
    </xf>
    <xf numFmtId="2" fontId="0" fillId="0" borderId="0" xfId="0" applyNumberFormat="1" applyBorder="1" applyAlignment="1">
      <alignment horizontal="center"/>
    </xf>
    <xf numFmtId="39" fontId="41" fillId="0" borderId="7" xfId="0" applyNumberFormat="1" applyFont="1" applyFill="1" applyBorder="1" applyAlignment="1">
      <alignment horizontal="center" vertical="center"/>
    </xf>
    <xf numFmtId="39" fontId="41" fillId="0" borderId="53" xfId="0" applyNumberFormat="1" applyFont="1" applyFill="1" applyBorder="1" applyAlignment="1">
      <alignment horizontal="center" vertical="center"/>
    </xf>
    <xf numFmtId="0" fontId="0" fillId="0" borderId="14" xfId="0" applyFill="1" applyBorder="1" applyAlignment="1">
      <alignment horizontal="center"/>
    </xf>
    <xf numFmtId="2" fontId="8" fillId="0" borderId="10" xfId="0" applyNumberFormat="1" applyFont="1" applyBorder="1" applyAlignment="1">
      <alignment horizontal="center"/>
    </xf>
    <xf numFmtId="1" fontId="8" fillId="8" borderId="10" xfId="0" applyNumberFormat="1" applyFont="1" applyFill="1" applyBorder="1" applyAlignment="1">
      <alignment horizontal="center" vertical="center"/>
    </xf>
    <xf numFmtId="0" fontId="0" fillId="0" borderId="0" xfId="0" applyBorder="1" applyAlignment="1">
      <alignment horizontal="center" vertical="center"/>
    </xf>
    <xf numFmtId="167" fontId="0" fillId="0" borderId="10" xfId="0" applyNumberFormat="1" applyBorder="1" applyAlignment="1">
      <alignment horizontal="center" vertical="center"/>
    </xf>
    <xf numFmtId="0" fontId="0" fillId="0" borderId="0" xfId="0" applyBorder="1" applyAlignment="1">
      <alignment horizontal="center" vertical="center"/>
    </xf>
    <xf numFmtId="167" fontId="0" fillId="0" borderId="12" xfId="0" applyNumberFormat="1" applyBorder="1" applyAlignment="1">
      <alignment horizontal="center" vertical="center"/>
    </xf>
    <xf numFmtId="167" fontId="0" fillId="0" borderId="1" xfId="0" applyNumberFormat="1" applyBorder="1" applyAlignment="1">
      <alignment horizontal="center" vertical="center"/>
    </xf>
    <xf numFmtId="167" fontId="0" fillId="0" borderId="16" xfId="0" applyNumberFormat="1" applyBorder="1" applyAlignment="1">
      <alignment horizontal="center" vertical="center"/>
    </xf>
    <xf numFmtId="0" fontId="1" fillId="0" borderId="14" xfId="0" applyFont="1" applyBorder="1" applyAlignment="1">
      <alignment horizontal="center" vertical="center"/>
    </xf>
    <xf numFmtId="0" fontId="1" fillId="0" borderId="1" xfId="0" applyFont="1" applyBorder="1" applyAlignment="1">
      <alignment horizontal="center" vertical="center" wrapText="1"/>
    </xf>
    <xf numFmtId="0" fontId="1" fillId="0" borderId="10" xfId="0" applyFont="1" applyFill="1" applyBorder="1" applyAlignment="1">
      <alignment horizontal="center" vertical="center" wrapText="1"/>
    </xf>
    <xf numFmtId="167" fontId="8" fillId="0" borderId="16" xfId="0" applyNumberFormat="1" applyFont="1" applyBorder="1" applyAlignment="1">
      <alignment horizontal="center" vertical="center"/>
    </xf>
    <xf numFmtId="0" fontId="5" fillId="0" borderId="14" xfId="0" applyFont="1" applyBorder="1" applyAlignment="1">
      <alignment horizontal="center" vertical="center"/>
    </xf>
    <xf numFmtId="167" fontId="0" fillId="0" borderId="11" xfId="0" applyNumberFormat="1" applyBorder="1" applyAlignment="1">
      <alignment horizontal="center" vertical="center"/>
    </xf>
    <xf numFmtId="167" fontId="0" fillId="0" borderId="14" xfId="0" applyNumberFormat="1" applyBorder="1" applyAlignment="1">
      <alignment horizontal="center" vertical="center"/>
    </xf>
    <xf numFmtId="167" fontId="0" fillId="0" borderId="15" xfId="0" applyNumberFormat="1" applyBorder="1" applyAlignment="1">
      <alignment horizontal="center" vertical="center"/>
    </xf>
    <xf numFmtId="167" fontId="0" fillId="0" borderId="17" xfId="0" applyNumberFormat="1" applyBorder="1" applyAlignment="1">
      <alignment horizontal="center" vertical="center"/>
    </xf>
    <xf numFmtId="0" fontId="0" fillId="0" borderId="45" xfId="0" applyBorder="1" applyAlignment="1">
      <alignment horizontal="center" vertical="center"/>
    </xf>
    <xf numFmtId="165" fontId="8" fillId="0" borderId="0" xfId="0" applyNumberFormat="1" applyFont="1" applyBorder="1" applyAlignment="1">
      <alignment vertical="center"/>
    </xf>
    <xf numFmtId="0" fontId="0" fillId="0" borderId="8" xfId="0" applyBorder="1" applyAlignment="1">
      <alignment horizontal="center"/>
    </xf>
    <xf numFmtId="0" fontId="2" fillId="0" borderId="45" xfId="0" applyFont="1" applyBorder="1" applyAlignment="1">
      <alignment horizontal="center" vertical="center"/>
    </xf>
    <xf numFmtId="3" fontId="2" fillId="0" borderId="47" xfId="0" applyNumberFormat="1" applyFont="1" applyBorder="1" applyAlignment="1">
      <alignment horizontal="center" vertical="center"/>
    </xf>
    <xf numFmtId="0" fontId="8" fillId="0" borderId="0" xfId="0" applyFont="1" applyBorder="1" applyAlignment="1">
      <alignment horizontal="center" vertical="center"/>
    </xf>
    <xf numFmtId="1" fontId="0" fillId="0" borderId="16" xfId="0" applyNumberFormat="1" applyBorder="1" applyAlignment="1">
      <alignment horizontal="center" vertical="center"/>
    </xf>
    <xf numFmtId="169" fontId="8" fillId="0" borderId="9" xfId="0" applyNumberFormat="1" applyFont="1" applyBorder="1" applyAlignment="1">
      <alignment horizontal="center" vertical="center"/>
    </xf>
    <xf numFmtId="0" fontId="0" fillId="2" borderId="10" xfId="0" applyFill="1" applyBorder="1"/>
    <xf numFmtId="0" fontId="0" fillId="0" borderId="0" xfId="0" applyBorder="1" applyAlignment="1">
      <alignment horizontal="center" vertical="center"/>
    </xf>
    <xf numFmtId="0" fontId="1" fillId="0" borderId="42" xfId="0" applyFont="1" applyBorder="1" applyAlignment="1">
      <alignment horizontal="center" vertical="center"/>
    </xf>
    <xf numFmtId="5" fontId="8" fillId="0" borderId="1" xfId="0" applyNumberFormat="1" applyFont="1" applyBorder="1" applyAlignment="1">
      <alignment horizontal="center" vertical="center"/>
    </xf>
    <xf numFmtId="0" fontId="1" fillId="0" borderId="45" xfId="0" applyFont="1" applyFill="1" applyBorder="1" applyAlignment="1">
      <alignment horizontal="center" vertical="center"/>
    </xf>
    <xf numFmtId="167" fontId="8" fillId="0" borderId="0" xfId="0" applyNumberFormat="1" applyFont="1" applyFill="1" applyBorder="1" applyAlignment="1">
      <alignment horizontal="center"/>
    </xf>
    <xf numFmtId="0" fontId="0" fillId="0" borderId="27" xfId="0" applyBorder="1" applyAlignment="1">
      <alignment horizontal="center"/>
    </xf>
    <xf numFmtId="168" fontId="0" fillId="0" borderId="1" xfId="0" applyNumberFormat="1" applyBorder="1" applyAlignment="1">
      <alignment horizontal="center"/>
    </xf>
    <xf numFmtId="0" fontId="0" fillId="0" borderId="53" xfId="0" applyBorder="1" applyAlignment="1">
      <alignment horizontal="center"/>
    </xf>
    <xf numFmtId="0" fontId="1" fillId="0" borderId="76" xfId="0" applyFont="1" applyBorder="1" applyAlignment="1">
      <alignment horizontal="center"/>
    </xf>
    <xf numFmtId="0" fontId="1" fillId="0" borderId="70" xfId="0" applyFont="1" applyBorder="1" applyAlignment="1">
      <alignment horizontal="center" vertical="center"/>
    </xf>
    <xf numFmtId="167" fontId="0" fillId="0" borderId="37" xfId="0" applyNumberFormat="1" applyBorder="1" applyAlignment="1">
      <alignment horizontal="center" vertical="center"/>
    </xf>
    <xf numFmtId="167" fontId="0" fillId="0" borderId="3" xfId="0" applyNumberFormat="1" applyBorder="1" applyAlignment="1">
      <alignment horizontal="center" vertical="center"/>
    </xf>
    <xf numFmtId="0" fontId="0" fillId="0" borderId="71" xfId="0" applyBorder="1" applyAlignment="1">
      <alignment horizontal="center"/>
    </xf>
    <xf numFmtId="0" fontId="0" fillId="0" borderId="72" xfId="0" applyBorder="1" applyAlignment="1">
      <alignment horizontal="center"/>
    </xf>
    <xf numFmtId="0" fontId="1" fillId="0" borderId="28" xfId="0" applyFont="1" applyBorder="1" applyAlignment="1">
      <alignment horizontal="center"/>
    </xf>
    <xf numFmtId="0" fontId="0" fillId="0" borderId="39" xfId="0" applyBorder="1" applyAlignment="1">
      <alignment horizontal="center"/>
    </xf>
    <xf numFmtId="167" fontId="0" fillId="0" borderId="49" xfId="0" applyNumberFormat="1" applyBorder="1" applyAlignment="1">
      <alignment horizontal="center"/>
    </xf>
    <xf numFmtId="0" fontId="0" fillId="0" borderId="0" xfId="0" applyBorder="1" applyAlignment="1">
      <alignment horizontal="center"/>
    </xf>
    <xf numFmtId="0" fontId="1" fillId="0" borderId="0" xfId="0" applyFont="1" applyBorder="1" applyAlignment="1">
      <alignment horizontal="center"/>
    </xf>
    <xf numFmtId="2" fontId="0" fillId="0" borderId="0" xfId="0" applyNumberFormat="1" applyBorder="1" applyAlignment="1">
      <alignment horizontal="center"/>
    </xf>
    <xf numFmtId="1" fontId="0" fillId="0" borderId="0" xfId="0" applyNumberFormat="1" applyBorder="1" applyAlignment="1">
      <alignment horizontal="center"/>
    </xf>
    <xf numFmtId="167" fontId="0" fillId="0" borderId="0" xfId="0" applyNumberFormat="1" applyBorder="1" applyAlignment="1">
      <alignment horizontal="center"/>
    </xf>
    <xf numFmtId="0" fontId="0" fillId="0" borderId="0" xfId="0" applyBorder="1" applyAlignment="1">
      <alignment horizontal="center"/>
    </xf>
    <xf numFmtId="0" fontId="0" fillId="0" borderId="0" xfId="0" applyBorder="1" applyAlignment="1">
      <alignment horizontal="center"/>
    </xf>
    <xf numFmtId="0" fontId="0" fillId="2" borderId="17" xfId="0" applyFill="1" applyBorder="1"/>
    <xf numFmtId="168" fontId="0" fillId="0" borderId="10" xfId="0" applyNumberFormat="1" applyBorder="1" applyAlignment="1">
      <alignment horizontal="center"/>
    </xf>
    <xf numFmtId="6" fontId="0" fillId="0" borderId="1" xfId="0" applyNumberFormat="1" applyBorder="1" applyAlignment="1">
      <alignment horizontal="center" wrapText="1"/>
    </xf>
    <xf numFmtId="6" fontId="0" fillId="0" borderId="16" xfId="0" applyNumberFormat="1" applyBorder="1" applyAlignment="1">
      <alignment horizontal="center" wrapText="1"/>
    </xf>
    <xf numFmtId="1" fontId="0" fillId="0" borderId="1" xfId="0" applyNumberFormat="1" applyBorder="1" applyAlignment="1">
      <alignment horizontal="center" wrapText="1"/>
    </xf>
    <xf numFmtId="0" fontId="9" fillId="0" borderId="0" xfId="0" applyFont="1" applyFill="1" applyBorder="1" applyAlignment="1"/>
    <xf numFmtId="3" fontId="8" fillId="0" borderId="0" xfId="0" applyNumberFormat="1" applyFont="1" applyFill="1" applyBorder="1" applyAlignment="1">
      <alignment horizontal="center"/>
    </xf>
    <xf numFmtId="0" fontId="2" fillId="0" borderId="10" xfId="0" applyFont="1" applyBorder="1" applyAlignment="1">
      <alignment horizontal="center"/>
    </xf>
    <xf numFmtId="1" fontId="0" fillId="0" borderId="16" xfId="0" applyNumberFormat="1" applyBorder="1" applyAlignment="1">
      <alignment horizontal="center" wrapText="1"/>
    </xf>
    <xf numFmtId="0" fontId="0" fillId="0" borderId="0" xfId="0" applyBorder="1" applyAlignment="1">
      <alignment horizontal="center" vertical="center"/>
    </xf>
    <xf numFmtId="0" fontId="0" fillId="0" borderId="0" xfId="0" applyBorder="1" applyAlignment="1">
      <alignment horizontal="center"/>
    </xf>
    <xf numFmtId="6" fontId="0" fillId="0" borderId="0" xfId="0" applyNumberFormat="1" applyBorder="1" applyAlignment="1">
      <alignment horizontal="center" wrapText="1"/>
    </xf>
    <xf numFmtId="1" fontId="0" fillId="0" borderId="0" xfId="0" applyNumberFormat="1" applyBorder="1" applyAlignment="1">
      <alignment horizontal="center" wrapText="1"/>
    </xf>
    <xf numFmtId="8" fontId="0" fillId="0" borderId="0" xfId="0" applyNumberFormat="1" applyBorder="1" applyAlignment="1">
      <alignment horizontal="center" wrapText="1"/>
    </xf>
    <xf numFmtId="8" fontId="8" fillId="0" borderId="0" xfId="0" applyNumberFormat="1" applyFont="1" applyBorder="1" applyAlignment="1">
      <alignment horizontal="center"/>
    </xf>
    <xf numFmtId="0" fontId="0" fillId="0" borderId="0" xfId="0" applyBorder="1" applyAlignment="1">
      <alignment horizontal="center"/>
    </xf>
    <xf numFmtId="168" fontId="8" fillId="0" borderId="0" xfId="0" applyNumberFormat="1" applyFont="1" applyBorder="1" applyAlignment="1">
      <alignment horizontal="center"/>
    </xf>
    <xf numFmtId="168" fontId="8" fillId="0" borderId="0" xfId="0" applyNumberFormat="1" applyFont="1" applyBorder="1"/>
    <xf numFmtId="168" fontId="8" fillId="0" borderId="0" xfId="0" applyNumberFormat="1" applyFont="1" applyFill="1" applyBorder="1" applyAlignment="1">
      <alignment horizontal="center"/>
    </xf>
    <xf numFmtId="0" fontId="0" fillId="0" borderId="0" xfId="0" applyBorder="1" applyAlignment="1">
      <alignment horizontal="center"/>
    </xf>
    <xf numFmtId="0" fontId="0" fillId="0" borderId="0" xfId="0" applyBorder="1" applyAlignment="1">
      <alignment horizontal="center" vertical="center"/>
    </xf>
    <xf numFmtId="0" fontId="0" fillId="0" borderId="32" xfId="0" applyBorder="1" applyAlignment="1">
      <alignment horizontal="center"/>
    </xf>
    <xf numFmtId="0" fontId="0" fillId="0" borderId="0" xfId="0" applyBorder="1" applyAlignment="1">
      <alignment horizontal="center"/>
    </xf>
    <xf numFmtId="0" fontId="0" fillId="0" borderId="32" xfId="0" applyBorder="1" applyAlignment="1">
      <alignment horizontal="center"/>
    </xf>
    <xf numFmtId="0" fontId="0" fillId="0" borderId="34" xfId="0" applyBorder="1" applyAlignment="1">
      <alignment horizontal="center" vertical="center"/>
    </xf>
    <xf numFmtId="0" fontId="1" fillId="0" borderId="44" xfId="0" applyFont="1" applyFill="1" applyBorder="1" applyAlignment="1">
      <alignment horizontal="center" wrapText="1"/>
    </xf>
    <xf numFmtId="0" fontId="1" fillId="0" borderId="42" xfId="0" applyFont="1" applyBorder="1" applyAlignment="1">
      <alignment horizontal="center"/>
    </xf>
    <xf numFmtId="0" fontId="1" fillId="0" borderId="42" xfId="0" applyFont="1" applyFill="1" applyBorder="1" applyAlignment="1">
      <alignment horizontal="center"/>
    </xf>
    <xf numFmtId="0" fontId="1" fillId="0" borderId="45" xfId="0" applyFont="1" applyBorder="1" applyAlignment="1">
      <alignment horizontal="center"/>
    </xf>
    <xf numFmtId="0" fontId="1" fillId="0" borderId="46" xfId="0" applyFont="1" applyBorder="1" applyAlignment="1">
      <alignment horizontal="center"/>
    </xf>
    <xf numFmtId="3" fontId="0" fillId="0" borderId="12" xfId="0" applyNumberFormat="1" applyBorder="1" applyAlignment="1">
      <alignment horizontal="center"/>
    </xf>
    <xf numFmtId="3" fontId="0" fillId="0" borderId="13" xfId="0" applyNumberFormat="1" applyBorder="1" applyAlignment="1">
      <alignment horizontal="center"/>
    </xf>
    <xf numFmtId="0" fontId="0" fillId="0" borderId="10" xfId="0" applyBorder="1"/>
    <xf numFmtId="3" fontId="0" fillId="0" borderId="37" xfId="0" applyNumberFormat="1" applyBorder="1" applyAlignment="1">
      <alignment horizontal="center"/>
    </xf>
    <xf numFmtId="0" fontId="5" fillId="0" borderId="1" xfId="0" applyFont="1" applyFill="1" applyBorder="1" applyAlignment="1">
      <alignment horizontal="center" vertical="center"/>
    </xf>
    <xf numFmtId="167" fontId="8" fillId="2" borderId="16" xfId="0" applyNumberFormat="1" applyFont="1" applyFill="1" applyBorder="1" applyAlignment="1">
      <alignment horizontal="center" vertical="center"/>
    </xf>
    <xf numFmtId="168" fontId="8" fillId="0" borderId="16" xfId="0" applyNumberFormat="1" applyFont="1" applyBorder="1" applyAlignment="1">
      <alignment horizontal="center" vertical="center"/>
    </xf>
    <xf numFmtId="0" fontId="1" fillId="0" borderId="10" xfId="0" applyFont="1" applyFill="1" applyBorder="1" applyAlignment="1">
      <alignment horizontal="center" vertical="center"/>
    </xf>
    <xf numFmtId="0" fontId="0" fillId="0" borderId="77" xfId="0" applyBorder="1" applyAlignment="1">
      <alignment horizontal="center"/>
    </xf>
    <xf numFmtId="167" fontId="0" fillId="0" borderId="39" xfId="0" applyNumberFormat="1" applyBorder="1" applyAlignment="1">
      <alignment horizontal="center"/>
    </xf>
    <xf numFmtId="0" fontId="0" fillId="0" borderId="14" xfId="0" applyFont="1" applyBorder="1" applyAlignment="1">
      <alignment horizontal="center"/>
    </xf>
    <xf numFmtId="0" fontId="0" fillId="0" borderId="15" xfId="0" applyFont="1" applyBorder="1" applyAlignment="1">
      <alignment horizontal="center"/>
    </xf>
    <xf numFmtId="0" fontId="0" fillId="0" borderId="15" xfId="0" applyFill="1" applyBorder="1" applyAlignment="1">
      <alignment horizontal="center"/>
    </xf>
    <xf numFmtId="0" fontId="0" fillId="0" borderId="25" xfId="0" applyBorder="1" applyAlignment="1">
      <alignment horizontal="center"/>
    </xf>
    <xf numFmtId="0" fontId="0" fillId="0" borderId="62" xfId="0" applyBorder="1" applyAlignment="1">
      <alignment horizontal="center"/>
    </xf>
    <xf numFmtId="0" fontId="0" fillId="0" borderId="37" xfId="0" applyBorder="1" applyAlignment="1">
      <alignment horizontal="center"/>
    </xf>
    <xf numFmtId="167" fontId="0" fillId="0" borderId="36" xfId="0" applyNumberFormat="1" applyBorder="1" applyAlignment="1">
      <alignment horizontal="center" vertical="center"/>
    </xf>
    <xf numFmtId="167" fontId="0" fillId="0" borderId="62" xfId="0" applyNumberFormat="1" applyBorder="1" applyAlignment="1">
      <alignment horizontal="center"/>
    </xf>
    <xf numFmtId="0" fontId="5" fillId="0" borderId="11" xfId="0" applyFont="1" applyFill="1" applyBorder="1" applyAlignment="1">
      <alignment horizontal="center" vertical="center"/>
    </xf>
    <xf numFmtId="0" fontId="0" fillId="2" borderId="13" xfId="0" applyFill="1" applyBorder="1"/>
    <xf numFmtId="0" fontId="5" fillId="0" borderId="15" xfId="0" applyFont="1" applyBorder="1" applyAlignment="1">
      <alignment horizontal="center" vertical="center"/>
    </xf>
    <xf numFmtId="0" fontId="0" fillId="0" borderId="1" xfId="0" applyFill="1" applyBorder="1"/>
    <xf numFmtId="0" fontId="4" fillId="0" borderId="10" xfId="0" applyFont="1" applyBorder="1" applyAlignment="1">
      <alignment horizontal="center" vertical="center" wrapText="1"/>
    </xf>
    <xf numFmtId="0" fontId="4" fillId="0" borderId="1" xfId="0" applyFont="1" applyBorder="1" applyAlignment="1">
      <alignment horizontal="center" vertical="center"/>
    </xf>
    <xf numFmtId="0" fontId="1" fillId="0" borderId="10" xfId="0" applyFont="1" applyFill="1" applyBorder="1" applyAlignment="1">
      <alignment horizontal="center" wrapText="1"/>
    </xf>
    <xf numFmtId="0" fontId="0" fillId="0" borderId="14" xfId="0" applyFont="1" applyBorder="1" applyAlignment="1">
      <alignment horizontal="center" vertical="center" wrapText="1"/>
    </xf>
    <xf numFmtId="1" fontId="0" fillId="0" borderId="0" xfId="0" applyNumberFormat="1" applyFill="1" applyBorder="1" applyAlignment="1">
      <alignment horizontal="center" vertical="center"/>
    </xf>
    <xf numFmtId="0" fontId="1" fillId="0" borderId="76" xfId="0" applyFont="1" applyFill="1" applyBorder="1" applyAlignment="1">
      <alignment horizontal="center"/>
    </xf>
    <xf numFmtId="0" fontId="5" fillId="0" borderId="14" xfId="0" applyFont="1" applyFill="1" applyBorder="1" applyAlignment="1">
      <alignment horizontal="center" vertical="center"/>
    </xf>
    <xf numFmtId="0" fontId="0" fillId="2" borderId="1" xfId="0" applyFill="1" applyBorder="1"/>
    <xf numFmtId="6" fontId="0" fillId="0" borderId="0" xfId="0" applyNumberFormat="1" applyFill="1" applyBorder="1" applyAlignment="1">
      <alignment horizontal="center"/>
    </xf>
    <xf numFmtId="0" fontId="8" fillId="0" borderId="0" xfId="0" applyFont="1" applyBorder="1" applyAlignment="1">
      <alignment horizontal="center" vertical="center"/>
    </xf>
    <xf numFmtId="2" fontId="0" fillId="0" borderId="0" xfId="0" applyNumberFormat="1" applyBorder="1" applyAlignment="1">
      <alignment horizontal="center"/>
    </xf>
    <xf numFmtId="0" fontId="0" fillId="0" borderId="24" xfId="0" applyFill="1" applyBorder="1" applyAlignment="1">
      <alignment horizontal="center" vertical="center"/>
    </xf>
    <xf numFmtId="6" fontId="0" fillId="0" borderId="6" xfId="0" applyNumberFormat="1" applyFill="1" applyBorder="1" applyAlignment="1">
      <alignment horizontal="center" vertical="center"/>
    </xf>
    <xf numFmtId="0" fontId="1" fillId="0" borderId="14" xfId="0" applyFont="1" applyFill="1" applyBorder="1" applyAlignment="1">
      <alignment horizontal="center" vertical="center" wrapText="1"/>
    </xf>
    <xf numFmtId="0" fontId="0" fillId="0" borderId="16" xfId="0" applyFill="1" applyBorder="1" applyAlignment="1">
      <alignment horizontal="center"/>
    </xf>
    <xf numFmtId="0" fontId="0" fillId="0" borderId="17" xfId="0" applyFill="1" applyBorder="1" applyAlignment="1">
      <alignment horizontal="center"/>
    </xf>
    <xf numFmtId="0" fontId="0" fillId="2" borderId="16" xfId="0" applyFill="1" applyBorder="1" applyAlignment="1">
      <alignment horizontal="center"/>
    </xf>
    <xf numFmtId="2" fontId="0" fillId="0" borderId="0" xfId="0" applyNumberFormat="1" applyBorder="1" applyAlignment="1">
      <alignment horizontal="center" vertical="center"/>
    </xf>
    <xf numFmtId="2" fontId="0" fillId="0" borderId="0" xfId="0" applyNumberFormat="1" applyBorder="1" applyAlignment="1">
      <alignment horizontal="center"/>
    </xf>
    <xf numFmtId="0" fontId="0" fillId="0" borderId="1" xfId="0" applyBorder="1" applyAlignment="1">
      <alignment horizontal="center"/>
    </xf>
    <xf numFmtId="0" fontId="0" fillId="0" borderId="0" xfId="0" applyBorder="1" applyAlignment="1">
      <alignment horizontal="center"/>
    </xf>
    <xf numFmtId="3" fontId="8" fillId="0" borderId="10" xfId="0" applyNumberFormat="1" applyFont="1" applyBorder="1" applyAlignment="1">
      <alignment horizontal="center" vertical="center"/>
    </xf>
    <xf numFmtId="0" fontId="1" fillId="0" borderId="0" xfId="0" applyFont="1" applyBorder="1" applyAlignment="1">
      <alignment horizontal="center"/>
    </xf>
    <xf numFmtId="167" fontId="0" fillId="0" borderId="0" xfId="0" applyNumberFormat="1" applyBorder="1" applyAlignment="1">
      <alignment horizontal="center"/>
    </xf>
    <xf numFmtId="2" fontId="0" fillId="0" borderId="0" xfId="0" applyNumberFormat="1" applyBorder="1" applyAlignment="1">
      <alignment horizontal="center"/>
    </xf>
    <xf numFmtId="1" fontId="0" fillId="0" borderId="0" xfId="0" applyNumberFormat="1" applyBorder="1" applyAlignment="1">
      <alignment horizontal="center"/>
    </xf>
    <xf numFmtId="0" fontId="0" fillId="0" borderId="16" xfId="0" applyBorder="1" applyAlignment="1">
      <alignment horizontal="center"/>
    </xf>
    <xf numFmtId="0" fontId="0" fillId="0" borderId="1" xfId="0" applyBorder="1" applyAlignment="1">
      <alignment horizontal="center"/>
    </xf>
    <xf numFmtId="2" fontId="0" fillId="0" borderId="0" xfId="0" applyNumberFormat="1" applyBorder="1" applyAlignment="1">
      <alignment horizontal="center"/>
    </xf>
    <xf numFmtId="1" fontId="0" fillId="0" borderId="10" xfId="0" applyNumberFormat="1" applyFill="1" applyBorder="1" applyAlignment="1">
      <alignment horizontal="center"/>
    </xf>
    <xf numFmtId="0" fontId="0" fillId="0" borderId="0" xfId="0" applyFill="1" applyBorder="1" applyAlignment="1">
      <alignment horizontal="center"/>
    </xf>
    <xf numFmtId="0" fontId="1" fillId="0" borderId="10" xfId="0" applyFont="1" applyFill="1" applyBorder="1" applyAlignment="1">
      <alignment horizontal="center" vertical="center" wrapText="1"/>
    </xf>
    <xf numFmtId="1" fontId="0" fillId="0" borderId="0" xfId="0" applyNumberFormat="1" applyFill="1" applyBorder="1" applyAlignment="1">
      <alignment horizontal="center"/>
    </xf>
    <xf numFmtId="1" fontId="0" fillId="0" borderId="17" xfId="0" applyNumberFormat="1" applyFill="1" applyBorder="1" applyAlignment="1">
      <alignment horizontal="center"/>
    </xf>
    <xf numFmtId="4" fontId="8" fillId="0" borderId="1" xfId="0" applyNumberFormat="1" applyFont="1" applyBorder="1" applyAlignment="1">
      <alignment horizontal="center"/>
    </xf>
    <xf numFmtId="4" fontId="8" fillId="0" borderId="12" xfId="0" applyNumberFormat="1" applyFont="1" applyBorder="1" applyAlignment="1">
      <alignment horizontal="center"/>
    </xf>
    <xf numFmtId="4" fontId="8" fillId="0" borderId="16" xfId="0" applyNumberFormat="1" applyFont="1" applyBorder="1" applyAlignment="1">
      <alignment horizontal="center"/>
    </xf>
    <xf numFmtId="4" fontId="8" fillId="0" borderId="9" xfId="0" applyNumberFormat="1" applyFont="1" applyBorder="1" applyAlignment="1">
      <alignment horizontal="center"/>
    </xf>
    <xf numFmtId="0" fontId="5" fillId="0" borderId="28" xfId="0" applyFont="1" applyBorder="1" applyAlignment="1">
      <alignment horizontal="center" vertical="center"/>
    </xf>
    <xf numFmtId="0" fontId="8" fillId="2" borderId="47" xfId="0" applyFont="1" applyFill="1" applyBorder="1" applyAlignment="1">
      <alignment horizontal="center" vertical="center"/>
    </xf>
    <xf numFmtId="0" fontId="0" fillId="0" borderId="1" xfId="0" applyBorder="1" applyAlignment="1">
      <alignment horizontal="center"/>
    </xf>
    <xf numFmtId="0" fontId="0" fillId="0" borderId="0" xfId="0" applyBorder="1" applyAlignment="1">
      <alignment horizontal="center"/>
    </xf>
    <xf numFmtId="0" fontId="2" fillId="0" borderId="0" xfId="0" applyFont="1" applyBorder="1" applyAlignment="1">
      <alignment horizontal="center" vertical="center"/>
    </xf>
    <xf numFmtId="0" fontId="0" fillId="0" borderId="12" xfId="0" applyBorder="1" applyAlignment="1">
      <alignment horizontal="center"/>
    </xf>
    <xf numFmtId="0" fontId="0" fillId="0" borderId="13" xfId="0" applyBorder="1" applyAlignment="1">
      <alignment horizontal="center"/>
    </xf>
    <xf numFmtId="0" fontId="2" fillId="0" borderId="11" xfId="0" applyFont="1" applyBorder="1" applyAlignment="1">
      <alignment horizontal="center"/>
    </xf>
    <xf numFmtId="0" fontId="2" fillId="0" borderId="11" xfId="0" applyFont="1" applyBorder="1" applyAlignment="1">
      <alignment horizontal="center" vertical="center" wrapText="1"/>
    </xf>
    <xf numFmtId="3" fontId="0" fillId="0" borderId="1" xfId="0" applyNumberFormat="1" applyBorder="1" applyAlignment="1">
      <alignment horizontal="center"/>
    </xf>
    <xf numFmtId="0" fontId="0" fillId="0" borderId="16" xfId="0" applyBorder="1" applyAlignment="1">
      <alignment horizontal="center"/>
    </xf>
    <xf numFmtId="0" fontId="4" fillId="0" borderId="12" xfId="0" applyFont="1" applyFill="1" applyBorder="1" applyAlignment="1">
      <alignment horizontal="center" vertical="center" wrapText="1"/>
    </xf>
    <xf numFmtId="6" fontId="8" fillId="0" borderId="10" xfId="0" applyNumberFormat="1" applyFont="1" applyBorder="1" applyAlignment="1">
      <alignment horizontal="center"/>
    </xf>
    <xf numFmtId="6" fontId="8" fillId="0" borderId="17" xfId="0" applyNumberFormat="1" applyFont="1" applyBorder="1" applyAlignment="1">
      <alignment horizontal="center"/>
    </xf>
    <xf numFmtId="1" fontId="8" fillId="0" borderId="12" xfId="0" applyNumberFormat="1" applyFont="1" applyBorder="1" applyAlignment="1">
      <alignment horizontal="center" vertical="center"/>
    </xf>
    <xf numFmtId="3" fontId="8" fillId="0" borderId="13" xfId="0" applyNumberFormat="1" applyFont="1" applyBorder="1" applyAlignment="1">
      <alignment horizontal="center" vertical="center"/>
    </xf>
    <xf numFmtId="165" fontId="8" fillId="0" borderId="0" xfId="0" applyNumberFormat="1" applyFont="1" applyBorder="1" applyAlignment="1">
      <alignment horizontal="center" vertical="center"/>
    </xf>
    <xf numFmtId="0" fontId="2" fillId="0" borderId="21" xfId="0" applyFont="1" applyBorder="1" applyAlignment="1">
      <alignment horizontal="center" vertical="center"/>
    </xf>
    <xf numFmtId="3" fontId="0" fillId="0" borderId="25" xfId="0" applyNumberFormat="1" applyBorder="1" applyAlignment="1">
      <alignment horizontal="center"/>
    </xf>
    <xf numFmtId="165" fontId="8" fillId="0" borderId="13" xfId="0" applyNumberFormat="1" applyFont="1" applyBorder="1" applyAlignment="1">
      <alignment horizontal="center" vertical="center"/>
    </xf>
    <xf numFmtId="165" fontId="8" fillId="0" borderId="24" xfId="0" applyNumberFormat="1" applyFont="1" applyBorder="1" applyAlignment="1">
      <alignment horizontal="center" vertical="center"/>
    </xf>
    <xf numFmtId="0" fontId="8" fillId="0" borderId="46" xfId="0" applyFont="1" applyBorder="1" applyAlignment="1">
      <alignment horizontal="center" vertical="center"/>
    </xf>
    <xf numFmtId="0" fontId="2" fillId="0" borderId="46" xfId="0" applyFont="1" applyBorder="1" applyAlignment="1">
      <alignment horizontal="center" vertical="center"/>
    </xf>
    <xf numFmtId="166" fontId="2" fillId="0" borderId="28" xfId="0" applyNumberFormat="1" applyFont="1" applyBorder="1" applyAlignment="1">
      <alignment horizontal="center" vertical="center"/>
    </xf>
    <xf numFmtId="165" fontId="2" fillId="0" borderId="47" xfId="0" applyNumberFormat="1" applyFont="1" applyBorder="1" applyAlignment="1">
      <alignment horizontal="center" vertical="center"/>
    </xf>
    <xf numFmtId="165" fontId="8" fillId="0" borderId="44" xfId="0" applyNumberFormat="1" applyFont="1" applyBorder="1" applyAlignment="1">
      <alignment horizontal="center" vertical="center"/>
    </xf>
    <xf numFmtId="165" fontId="8" fillId="0" borderId="24" xfId="0" applyNumberFormat="1" applyFont="1" applyBorder="1" applyAlignment="1">
      <alignment vertical="center"/>
    </xf>
    <xf numFmtId="0" fontId="0" fillId="0" borderId="15" xfId="0" applyFont="1" applyBorder="1" applyAlignment="1">
      <alignment horizontal="center" vertical="center"/>
    </xf>
    <xf numFmtId="0" fontId="0" fillId="0" borderId="0" xfId="0" applyFont="1"/>
    <xf numFmtId="0" fontId="5" fillId="0" borderId="0" xfId="0" applyFont="1" applyBorder="1" applyAlignment="1">
      <alignment horizontal="center" vertical="center"/>
    </xf>
    <xf numFmtId="0" fontId="0" fillId="0" borderId="0" xfId="0" applyBorder="1" applyAlignment="1">
      <alignment horizontal="center"/>
    </xf>
    <xf numFmtId="0" fontId="0" fillId="0" borderId="0" xfId="0" applyBorder="1" applyAlignment="1">
      <alignment horizontal="center"/>
    </xf>
    <xf numFmtId="1" fontId="8" fillId="0" borderId="1" xfId="0" applyNumberFormat="1" applyFont="1" applyBorder="1" applyAlignment="1">
      <alignment horizontal="center" vertical="center"/>
    </xf>
    <xf numFmtId="0" fontId="8" fillId="0" borderId="16" xfId="0" applyFont="1" applyBorder="1" applyAlignment="1">
      <alignment horizontal="center" vertical="center"/>
    </xf>
    <xf numFmtId="0" fontId="0" fillId="0" borderId="0" xfId="0" applyBorder="1" applyAlignment="1">
      <alignment horizontal="center" vertical="center"/>
    </xf>
    <xf numFmtId="0" fontId="2" fillId="0" borderId="1" xfId="0" applyFont="1" applyBorder="1" applyAlignment="1">
      <alignment horizontal="center" vertical="center"/>
    </xf>
    <xf numFmtId="0" fontId="1" fillId="0" borderId="11" xfId="0" applyFont="1" applyBorder="1" applyAlignment="1">
      <alignment horizontal="center" vertical="center"/>
    </xf>
    <xf numFmtId="0" fontId="8" fillId="0" borderId="1" xfId="0" applyFont="1" applyFill="1" applyBorder="1" applyAlignment="1">
      <alignment horizontal="center" vertical="center"/>
    </xf>
    <xf numFmtId="167" fontId="8" fillId="0" borderId="1" xfId="0" applyNumberFormat="1" applyFont="1" applyBorder="1" applyAlignment="1">
      <alignment horizontal="center" vertical="center"/>
    </xf>
    <xf numFmtId="167" fontId="8" fillId="0" borderId="16" xfId="0" applyNumberFormat="1" applyFont="1" applyBorder="1" applyAlignment="1">
      <alignment horizontal="center" vertical="center"/>
    </xf>
    <xf numFmtId="164" fontId="0" fillId="0" borderId="1" xfId="0" applyNumberFormat="1" applyBorder="1" applyAlignment="1">
      <alignment horizontal="center"/>
    </xf>
    <xf numFmtId="164" fontId="0" fillId="0" borderId="16" xfId="0" applyNumberFormat="1" applyBorder="1" applyAlignment="1">
      <alignment horizontal="center"/>
    </xf>
    <xf numFmtId="6" fontId="0" fillId="0" borderId="1" xfId="0" applyNumberFormat="1" applyBorder="1" applyAlignment="1">
      <alignment horizontal="center" vertical="center"/>
    </xf>
    <xf numFmtId="0" fontId="49" fillId="0" borderId="1" xfId="0" applyFont="1" applyFill="1" applyBorder="1" applyAlignment="1">
      <alignment horizontal="center" vertical="center" wrapText="1"/>
    </xf>
    <xf numFmtId="6" fontId="8" fillId="0" borderId="1" xfId="0" applyNumberFormat="1" applyFont="1" applyBorder="1" applyAlignment="1">
      <alignment horizontal="center" vertical="center" wrapText="1"/>
    </xf>
    <xf numFmtId="6" fontId="8" fillId="0" borderId="16" xfId="0" applyNumberFormat="1" applyFont="1" applyBorder="1" applyAlignment="1">
      <alignment horizontal="center" vertical="center"/>
    </xf>
    <xf numFmtId="0" fontId="2" fillId="0" borderId="1" xfId="0" applyFont="1" applyBorder="1" applyAlignment="1">
      <alignment vertical="center" wrapText="1"/>
    </xf>
    <xf numFmtId="1" fontId="5" fillId="0" borderId="10" xfId="0" applyNumberFormat="1" applyFont="1" applyBorder="1" applyAlignment="1">
      <alignment horizontal="center" vertical="center" wrapText="1"/>
    </xf>
    <xf numFmtId="1" fontId="0" fillId="0" borderId="17" xfId="0" applyNumberFormat="1" applyBorder="1" applyAlignment="1">
      <alignment horizontal="center" vertical="center"/>
    </xf>
    <xf numFmtId="1" fontId="0" fillId="0" borderId="0" xfId="0" applyNumberFormat="1" applyBorder="1" applyAlignment="1">
      <alignment horizontal="center" vertical="center"/>
    </xf>
    <xf numFmtId="0" fontId="1" fillId="0" borderId="0" xfId="0" applyFont="1" applyBorder="1" applyAlignment="1">
      <alignment horizontal="center" vertical="center" wrapText="1"/>
    </xf>
    <xf numFmtId="0" fontId="8" fillId="3" borderId="0" xfId="0" applyFont="1" applyFill="1" applyBorder="1" applyAlignment="1">
      <alignment horizontal="center"/>
    </xf>
    <xf numFmtId="0" fontId="1" fillId="0" borderId="1" xfId="0" applyFont="1" applyBorder="1" applyAlignment="1">
      <alignment horizontal="center" vertical="center" wrapText="1"/>
    </xf>
    <xf numFmtId="167" fontId="8" fillId="0" borderId="16" xfId="0" applyNumberFormat="1" applyFont="1" applyBorder="1" applyAlignment="1">
      <alignment horizontal="center" vertical="center"/>
    </xf>
    <xf numFmtId="1" fontId="0" fillId="0" borderId="16" xfId="0" applyNumberFormat="1" applyBorder="1" applyAlignment="1">
      <alignment horizontal="center"/>
    </xf>
    <xf numFmtId="0" fontId="1" fillId="0" borderId="49" xfId="0" applyFont="1" applyBorder="1" applyAlignment="1">
      <alignment horizontal="center" vertical="center"/>
    </xf>
    <xf numFmtId="167" fontId="8" fillId="0" borderId="62" xfId="0" applyNumberFormat="1" applyFont="1" applyFill="1" applyBorder="1" applyAlignment="1">
      <alignment horizontal="center"/>
    </xf>
    <xf numFmtId="167" fontId="8" fillId="0" borderId="0" xfId="0" applyNumberFormat="1" applyFont="1" applyBorder="1" applyAlignment="1"/>
    <xf numFmtId="168" fontId="0" fillId="0" borderId="0" xfId="0" applyNumberFormat="1" applyBorder="1" applyAlignment="1">
      <alignment horizontal="center"/>
    </xf>
    <xf numFmtId="0" fontId="5" fillId="0" borderId="0" xfId="0" applyFont="1" applyFill="1" applyBorder="1" applyAlignment="1">
      <alignment horizontal="center"/>
    </xf>
    <xf numFmtId="3" fontId="8" fillId="0" borderId="1" xfId="0" applyNumberFormat="1" applyFont="1" applyBorder="1" applyAlignment="1">
      <alignment horizontal="center" vertical="center"/>
    </xf>
    <xf numFmtId="3" fontId="8" fillId="0" borderId="16" xfId="0" applyNumberFormat="1"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xf>
    <xf numFmtId="167" fontId="0" fillId="0" borderId="0" xfId="0" applyNumberFormat="1" applyBorder="1" applyAlignment="1">
      <alignment horizontal="center"/>
    </xf>
    <xf numFmtId="167" fontId="8" fillId="0" borderId="1" xfId="0" applyNumberFormat="1" applyFont="1" applyBorder="1" applyAlignment="1">
      <alignment horizontal="center" vertical="center"/>
    </xf>
    <xf numFmtId="167" fontId="8" fillId="0" borderId="16" xfId="0" applyNumberFormat="1" applyFont="1" applyBorder="1" applyAlignment="1">
      <alignment horizontal="center" vertical="center"/>
    </xf>
    <xf numFmtId="0" fontId="0" fillId="0" borderId="10" xfId="0" applyBorder="1" applyAlignment="1">
      <alignment horizontal="center" vertical="center"/>
    </xf>
    <xf numFmtId="0" fontId="0" fillId="0" borderId="27" xfId="0" applyBorder="1" applyAlignment="1">
      <alignment horizontal="center" vertical="center"/>
    </xf>
    <xf numFmtId="0" fontId="1" fillId="0" borderId="1" xfId="0" applyFont="1" applyBorder="1" applyAlignment="1">
      <alignment horizontal="center" vertical="center" wrapText="1"/>
    </xf>
    <xf numFmtId="0" fontId="1" fillId="0" borderId="1" xfId="0" applyFont="1" applyBorder="1" applyAlignment="1">
      <alignment horizontal="center" vertical="center"/>
    </xf>
    <xf numFmtId="0" fontId="1" fillId="0" borderId="10" xfId="0" applyFont="1" applyFill="1" applyBorder="1" applyAlignment="1">
      <alignment horizontal="center" vertical="center" wrapText="1"/>
    </xf>
    <xf numFmtId="0" fontId="0" fillId="0" borderId="38" xfId="0" applyBorder="1" applyAlignment="1">
      <alignment horizontal="center" vertical="center"/>
    </xf>
    <xf numFmtId="0" fontId="1" fillId="0" borderId="14" xfId="0" applyFont="1" applyBorder="1" applyAlignment="1">
      <alignment horizontal="center" vertical="center"/>
    </xf>
    <xf numFmtId="0" fontId="0" fillId="0" borderId="17" xfId="0" applyBorder="1" applyAlignment="1">
      <alignment horizontal="center" vertical="center"/>
    </xf>
    <xf numFmtId="0" fontId="0" fillId="0" borderId="49" xfId="0" applyBorder="1" applyAlignment="1">
      <alignment horizont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1" xfId="0" applyBorder="1" applyAlignment="1">
      <alignment horizontal="center" vertical="center"/>
    </xf>
    <xf numFmtId="0" fontId="0" fillId="0" borderId="1" xfId="0" applyFont="1" applyBorder="1" applyAlignment="1">
      <alignment horizontal="center" vertical="center" wrapText="1"/>
    </xf>
    <xf numFmtId="168" fontId="0" fillId="0" borderId="16" xfId="0" applyNumberFormat="1" applyBorder="1" applyAlignment="1">
      <alignment horizontal="center"/>
    </xf>
    <xf numFmtId="167" fontId="0" fillId="0" borderId="5" xfId="0" applyNumberFormat="1" applyBorder="1" applyAlignment="1">
      <alignment horizontal="center" vertical="center"/>
    </xf>
    <xf numFmtId="167" fontId="0" fillId="0" borderId="20" xfId="0" applyNumberFormat="1" applyBorder="1" applyAlignment="1">
      <alignment horizontal="center" vertical="center"/>
    </xf>
    <xf numFmtId="167" fontId="0" fillId="0" borderId="26" xfId="0" applyNumberFormat="1" applyBorder="1" applyAlignment="1">
      <alignment horizontal="center" vertical="center"/>
    </xf>
    <xf numFmtId="167" fontId="0" fillId="0" borderId="9" xfId="0" applyNumberFormat="1" applyBorder="1" applyAlignment="1">
      <alignment horizontal="center" vertical="center"/>
    </xf>
    <xf numFmtId="167" fontId="0" fillId="0" borderId="38" xfId="0" applyNumberFormat="1" applyBorder="1" applyAlignment="1">
      <alignment horizontal="center" vertical="center"/>
    </xf>
    <xf numFmtId="167" fontId="0" fillId="0" borderId="12" xfId="0" applyNumberFormat="1" applyBorder="1" applyAlignment="1">
      <alignment horizontal="center"/>
    </xf>
    <xf numFmtId="0" fontId="0" fillId="0" borderId="18" xfId="0" applyBorder="1" applyAlignment="1">
      <alignment horizontal="center"/>
    </xf>
    <xf numFmtId="6" fontId="0" fillId="0" borderId="72" xfId="0" applyNumberFormat="1" applyBorder="1" applyAlignment="1">
      <alignment horizontal="center"/>
    </xf>
    <xf numFmtId="6" fontId="0" fillId="0" borderId="71" xfId="0" applyNumberFormat="1" applyBorder="1" applyAlignment="1">
      <alignment horizontal="center"/>
    </xf>
    <xf numFmtId="167" fontId="0" fillId="0" borderId="11" xfId="0" applyNumberFormat="1" applyBorder="1" applyAlignment="1">
      <alignment horizontal="center"/>
    </xf>
    <xf numFmtId="167" fontId="0" fillId="0" borderId="15" xfId="0" applyNumberFormat="1" applyBorder="1" applyAlignment="1">
      <alignment horizontal="center"/>
    </xf>
    <xf numFmtId="6" fontId="0" fillId="0" borderId="77" xfId="0" applyNumberFormat="1" applyBorder="1" applyAlignment="1">
      <alignment horizontal="center"/>
    </xf>
    <xf numFmtId="0" fontId="0" fillId="0" borderId="36" xfId="0" applyBorder="1" applyAlignment="1">
      <alignment horizontal="center" vertical="center"/>
    </xf>
    <xf numFmtId="167" fontId="0" fillId="0" borderId="25" xfId="0" applyNumberFormat="1" applyBorder="1" applyAlignment="1">
      <alignment horizontal="center"/>
    </xf>
    <xf numFmtId="6" fontId="0" fillId="0" borderId="78" xfId="0" applyNumberFormat="1" applyBorder="1" applyAlignment="1">
      <alignment horizontal="center"/>
    </xf>
    <xf numFmtId="0" fontId="1" fillId="0" borderId="11" xfId="0" applyFont="1" applyFill="1" applyBorder="1" applyAlignment="1">
      <alignment horizontal="center"/>
    </xf>
    <xf numFmtId="0" fontId="4" fillId="0" borderId="12" xfId="0" applyFont="1" applyFill="1" applyBorder="1" applyAlignment="1">
      <alignment horizontal="center"/>
    </xf>
    <xf numFmtId="0" fontId="4" fillId="0" borderId="13" xfId="0" applyFont="1" applyFill="1" applyBorder="1" applyAlignment="1">
      <alignment horizontal="center"/>
    </xf>
    <xf numFmtId="0" fontId="5" fillId="0" borderId="14" xfId="0" applyFont="1" applyFill="1" applyBorder="1" applyAlignment="1">
      <alignment horizontal="center"/>
    </xf>
    <xf numFmtId="167" fontId="5" fillId="0" borderId="1" xfId="0" applyNumberFormat="1" applyFont="1" applyFill="1" applyBorder="1" applyAlignment="1">
      <alignment horizontal="center"/>
    </xf>
    <xf numFmtId="167" fontId="5" fillId="0" borderId="10" xfId="0" applyNumberFormat="1" applyFont="1" applyFill="1" applyBorder="1" applyAlignment="1">
      <alignment horizontal="center"/>
    </xf>
    <xf numFmtId="0" fontId="5" fillId="0" borderId="15" xfId="0" applyFont="1" applyFill="1" applyBorder="1" applyAlignment="1">
      <alignment horizontal="center"/>
    </xf>
    <xf numFmtId="167" fontId="5" fillId="0" borderId="17" xfId="0" applyNumberFormat="1" applyFont="1" applyFill="1" applyBorder="1" applyAlignment="1">
      <alignment horizontal="center"/>
    </xf>
    <xf numFmtId="0" fontId="1" fillId="0" borderId="0" xfId="0" applyFont="1" applyFill="1" applyAlignment="1">
      <alignment horizontal="center" vertical="center"/>
    </xf>
    <xf numFmtId="0" fontId="4" fillId="0" borderId="10" xfId="0" applyFont="1" applyFill="1" applyBorder="1" applyAlignment="1">
      <alignment horizontal="center" vertical="center" wrapText="1"/>
    </xf>
    <xf numFmtId="0" fontId="0" fillId="0" borderId="16" xfId="0" applyFill="1" applyBorder="1" applyAlignment="1">
      <alignment horizontal="center" vertical="center" wrapText="1"/>
    </xf>
    <xf numFmtId="167" fontId="8" fillId="0" borderId="17" xfId="0" applyNumberFormat="1" applyFont="1" applyFill="1" applyBorder="1" applyAlignment="1">
      <alignment horizontal="center" vertical="center" wrapText="1"/>
    </xf>
    <xf numFmtId="167" fontId="8" fillId="0" borderId="15" xfId="0" applyNumberFormat="1" applyFont="1" applyFill="1" applyBorder="1" applyAlignment="1">
      <alignment horizontal="center" vertical="center"/>
    </xf>
    <xf numFmtId="167" fontId="8" fillId="0" borderId="17" xfId="0" applyNumberFormat="1" applyFont="1" applyFill="1" applyBorder="1" applyAlignment="1">
      <alignment horizontal="center" vertical="center"/>
    </xf>
    <xf numFmtId="0" fontId="1" fillId="0" borderId="47" xfId="0" applyFont="1" applyFill="1" applyBorder="1" applyAlignment="1">
      <alignment horizontal="center" vertical="center"/>
    </xf>
    <xf numFmtId="0" fontId="1" fillId="0" borderId="48" xfId="0" applyFont="1" applyFill="1" applyBorder="1" applyAlignment="1">
      <alignment horizontal="center" vertical="center"/>
    </xf>
    <xf numFmtId="0" fontId="1" fillId="0" borderId="46" xfId="0" applyFont="1" applyFill="1" applyBorder="1" applyAlignment="1">
      <alignment horizontal="center" vertical="center"/>
    </xf>
    <xf numFmtId="0" fontId="0" fillId="0" borderId="16" xfId="0" applyFont="1" applyBorder="1" applyAlignment="1">
      <alignment horizontal="center" vertical="center"/>
    </xf>
    <xf numFmtId="3" fontId="0" fillId="0" borderId="15" xfId="0" applyNumberFormat="1" applyFont="1" applyBorder="1" applyAlignment="1">
      <alignment horizontal="center" vertical="center"/>
    </xf>
    <xf numFmtId="3" fontId="0" fillId="0" borderId="16" xfId="0" applyNumberFormat="1" applyFont="1" applyBorder="1" applyAlignment="1">
      <alignment horizontal="center" vertical="center"/>
    </xf>
    <xf numFmtId="3" fontId="0" fillId="0" borderId="17" xfId="0" applyNumberFormat="1" applyFont="1" applyBorder="1" applyAlignment="1">
      <alignment horizontal="center" vertical="center"/>
    </xf>
    <xf numFmtId="3" fontId="0" fillId="0" borderId="1" xfId="0" applyNumberFormat="1" applyFont="1" applyBorder="1" applyAlignment="1">
      <alignment horizontal="center" vertical="center"/>
    </xf>
    <xf numFmtId="3" fontId="0" fillId="0" borderId="14" xfId="0" applyNumberFormat="1" applyFont="1" applyBorder="1" applyAlignment="1">
      <alignment horizontal="center" vertical="center"/>
    </xf>
    <xf numFmtId="170" fontId="0" fillId="3" borderId="73" xfId="0" applyNumberFormat="1" applyFont="1" applyFill="1" applyBorder="1" applyAlignment="1">
      <alignment horizontal="center" vertical="center"/>
    </xf>
    <xf numFmtId="171" fontId="0" fillId="0" borderId="1" xfId="0" applyNumberFormat="1" applyFont="1" applyBorder="1" applyAlignment="1">
      <alignment horizontal="center" vertical="center"/>
    </xf>
    <xf numFmtId="171" fontId="0" fillId="0" borderId="10" xfId="0" applyNumberFormat="1" applyFont="1" applyBorder="1" applyAlignment="1">
      <alignment horizontal="center" vertical="center"/>
    </xf>
    <xf numFmtId="0" fontId="1" fillId="0" borderId="1" xfId="0" applyFont="1" applyBorder="1" applyAlignment="1">
      <alignment horizontal="center" vertical="center" wrapText="1"/>
    </xf>
    <xf numFmtId="167" fontId="8" fillId="0" borderId="17" xfId="0" applyNumberFormat="1" applyFont="1" applyBorder="1" applyAlignment="1">
      <alignment horizontal="center" vertical="center" wrapText="1"/>
    </xf>
    <xf numFmtId="0" fontId="1" fillId="0" borderId="27" xfId="0" applyFont="1" applyBorder="1" applyAlignment="1">
      <alignment horizontal="center" vertical="center" wrapText="1"/>
    </xf>
    <xf numFmtId="0" fontId="5" fillId="0" borderId="0" xfId="0" applyFont="1" applyBorder="1" applyAlignment="1">
      <alignment horizontal="center" vertical="center"/>
    </xf>
    <xf numFmtId="0" fontId="4" fillId="0" borderId="14" xfId="0" applyFont="1" applyBorder="1" applyAlignment="1">
      <alignment horizontal="center" vertical="center"/>
    </xf>
    <xf numFmtId="1" fontId="8" fillId="0" borderId="1" xfId="0" applyNumberFormat="1" applyFont="1" applyBorder="1" applyAlignment="1">
      <alignment horizontal="center" vertical="center"/>
    </xf>
    <xf numFmtId="0" fontId="0" fillId="0" borderId="0" xfId="0" applyBorder="1" applyAlignment="1">
      <alignment horizontal="center"/>
    </xf>
    <xf numFmtId="0" fontId="0" fillId="0" borderId="0" xfId="0" applyFill="1" applyBorder="1" applyAlignment="1">
      <alignment horizontal="center"/>
    </xf>
    <xf numFmtId="0" fontId="1" fillId="0" borderId="11" xfId="0" applyFont="1" applyBorder="1" applyAlignment="1">
      <alignment horizontal="center" vertical="center"/>
    </xf>
    <xf numFmtId="0" fontId="1" fillId="0" borderId="12" xfId="0" applyFont="1" applyBorder="1" applyAlignment="1">
      <alignment horizontal="center" vertical="center"/>
    </xf>
    <xf numFmtId="1" fontId="8" fillId="0" borderId="14" xfId="0" applyNumberFormat="1" applyFont="1" applyBorder="1" applyAlignment="1">
      <alignment horizontal="center" vertical="center"/>
    </xf>
    <xf numFmtId="167" fontId="8" fillId="0" borderId="1" xfId="0" applyNumberFormat="1" applyFont="1" applyBorder="1" applyAlignment="1">
      <alignment horizontal="center" vertical="center"/>
    </xf>
    <xf numFmtId="170" fontId="0" fillId="3" borderId="67" xfId="0" applyNumberFormat="1" applyFont="1" applyFill="1" applyBorder="1" applyAlignment="1">
      <alignment horizontal="center" vertical="center"/>
    </xf>
    <xf numFmtId="0" fontId="0" fillId="0" borderId="73" xfId="0" applyFont="1" applyBorder="1" applyAlignment="1">
      <alignment horizontal="center" vertical="center" wrapText="1"/>
    </xf>
    <xf numFmtId="0" fontId="0" fillId="0" borderId="73" xfId="0" applyFont="1" applyBorder="1" applyAlignment="1">
      <alignment horizontal="center" vertical="center"/>
    </xf>
    <xf numFmtId="0" fontId="0" fillId="0" borderId="74" xfId="0" applyFont="1" applyBorder="1" applyAlignment="1">
      <alignment horizontal="center" vertical="center"/>
    </xf>
    <xf numFmtId="170" fontId="0" fillId="3" borderId="74" xfId="0" applyNumberFormat="1" applyFont="1" applyFill="1" applyBorder="1" applyAlignment="1">
      <alignment horizontal="center" vertical="center"/>
    </xf>
    <xf numFmtId="0" fontId="7" fillId="0" borderId="15" xfId="0" applyFont="1" applyFill="1" applyBorder="1" applyAlignment="1">
      <alignment horizontal="center" vertical="center"/>
    </xf>
    <xf numFmtId="0" fontId="7" fillId="0" borderId="0" xfId="0" applyFont="1" applyFill="1" applyBorder="1" applyAlignment="1">
      <alignment horizontal="center" vertical="center"/>
    </xf>
    <xf numFmtId="0" fontId="27" fillId="0" borderId="0" xfId="0" applyFont="1" applyFill="1" applyBorder="1" applyAlignment="1">
      <alignment horizontal="center" vertical="center"/>
    </xf>
    <xf numFmtId="0" fontId="27" fillId="0" borderId="14" xfId="0" applyFont="1" applyFill="1" applyBorder="1" applyAlignment="1">
      <alignment horizontal="center" vertical="center"/>
    </xf>
    <xf numFmtId="167" fontId="27" fillId="0" borderId="10" xfId="0" applyNumberFormat="1" applyFont="1" applyFill="1" applyBorder="1" applyAlignment="1">
      <alignment horizontal="center" vertical="center"/>
    </xf>
    <xf numFmtId="0" fontId="27" fillId="0" borderId="15" xfId="0" applyFont="1" applyFill="1" applyBorder="1" applyAlignment="1">
      <alignment horizontal="center" vertical="center"/>
    </xf>
    <xf numFmtId="168" fontId="27" fillId="0" borderId="17" xfId="0" applyNumberFormat="1" applyFont="1" applyFill="1" applyBorder="1" applyAlignment="1">
      <alignment horizontal="center" vertical="center"/>
    </xf>
    <xf numFmtId="6" fontId="0" fillId="0" borderId="1" xfId="0" applyNumberFormat="1" applyFill="1" applyBorder="1" applyAlignment="1">
      <alignment horizontal="center"/>
    </xf>
    <xf numFmtId="5" fontId="8" fillId="0" borderId="0" xfId="0" applyNumberFormat="1" applyFont="1" applyBorder="1" applyAlignment="1">
      <alignment horizontal="center"/>
    </xf>
    <xf numFmtId="0" fontId="5" fillId="0" borderId="12" xfId="0" applyFont="1" applyBorder="1" applyAlignment="1">
      <alignment horizontal="center" vertical="center"/>
    </xf>
    <xf numFmtId="0" fontId="5" fillId="0" borderId="16" xfId="0" applyFont="1" applyBorder="1" applyAlignment="1">
      <alignment horizontal="center" vertical="center"/>
    </xf>
    <xf numFmtId="0" fontId="5" fillId="0" borderId="0" xfId="0" applyFont="1" applyFill="1" applyBorder="1" applyAlignment="1">
      <alignment horizontal="center"/>
    </xf>
    <xf numFmtId="0" fontId="0" fillId="0" borderId="0" xfId="0" applyBorder="1" applyAlignment="1">
      <alignment horizontal="center"/>
    </xf>
    <xf numFmtId="0" fontId="1" fillId="0" borderId="0" xfId="0" applyFont="1"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1" fillId="0" borderId="0" xfId="0" applyFont="1" applyBorder="1" applyAlignment="1">
      <alignment horizontal="center" vertical="center"/>
    </xf>
    <xf numFmtId="0" fontId="1" fillId="0" borderId="0" xfId="0" applyFont="1" applyBorder="1" applyAlignment="1">
      <alignment horizontal="center"/>
    </xf>
    <xf numFmtId="0" fontId="0" fillId="0" borderId="0" xfId="0" applyFill="1" applyBorder="1" applyAlignment="1">
      <alignment horizontal="center"/>
    </xf>
    <xf numFmtId="1" fontId="0" fillId="0" borderId="0" xfId="0" applyNumberFormat="1" applyBorder="1" applyAlignment="1">
      <alignment horizontal="center"/>
    </xf>
    <xf numFmtId="0" fontId="8" fillId="0" borderId="1" xfId="0" applyFont="1" applyFill="1" applyBorder="1" applyAlignment="1">
      <alignment horizontal="center" vertical="center"/>
    </xf>
    <xf numFmtId="0" fontId="5" fillId="0" borderId="1" xfId="0" applyFont="1" applyFill="1" applyBorder="1" applyAlignment="1">
      <alignment horizontal="center"/>
    </xf>
    <xf numFmtId="168" fontId="0" fillId="0" borderId="0" xfId="0" applyNumberFormat="1" applyBorder="1" applyAlignment="1">
      <alignment horizontal="center"/>
    </xf>
    <xf numFmtId="167" fontId="0" fillId="0" borderId="0" xfId="0" applyNumberFormat="1" applyBorder="1" applyAlignment="1">
      <alignment horizontal="center"/>
    </xf>
    <xf numFmtId="2" fontId="0" fillId="0" borderId="0" xfId="0" applyNumberFormat="1" applyBorder="1" applyAlignment="1">
      <alignment horizontal="center"/>
    </xf>
    <xf numFmtId="0" fontId="1" fillId="0" borderId="14" xfId="0" applyFont="1" applyBorder="1" applyAlignment="1">
      <alignment horizontal="center" vertical="center"/>
    </xf>
    <xf numFmtId="0" fontId="1" fillId="0" borderId="13" xfId="0" applyFont="1" applyFill="1" applyBorder="1" applyAlignment="1">
      <alignment horizontal="center" vertical="center" wrapText="1"/>
    </xf>
    <xf numFmtId="0" fontId="0" fillId="0" borderId="1" xfId="0" applyFill="1" applyBorder="1" applyAlignment="1">
      <alignment horizontal="center"/>
    </xf>
    <xf numFmtId="0" fontId="0" fillId="0" borderId="14" xfId="0" applyFill="1" applyBorder="1" applyAlignment="1">
      <alignment horizontal="center"/>
    </xf>
    <xf numFmtId="164" fontId="0" fillId="0" borderId="0" xfId="0" applyNumberFormat="1" applyBorder="1" applyAlignment="1">
      <alignment horizontal="center"/>
    </xf>
    <xf numFmtId="0" fontId="1" fillId="0" borderId="11" xfId="0" applyFont="1" applyBorder="1" applyAlignment="1">
      <alignment horizontal="center"/>
    </xf>
    <xf numFmtId="3" fontId="0" fillId="0" borderId="0" xfId="0" applyNumberFormat="1" applyFill="1" applyBorder="1" applyAlignment="1">
      <alignment horizontal="center" vertical="center"/>
    </xf>
    <xf numFmtId="0" fontId="0" fillId="0" borderId="0" xfId="0" applyAlignment="1">
      <alignment horizontal="center"/>
    </xf>
    <xf numFmtId="168" fontId="8" fillId="0" borderId="12" xfId="0" applyNumberFormat="1" applyFont="1" applyBorder="1" applyAlignment="1">
      <alignment horizontal="center" vertical="center"/>
    </xf>
    <xf numFmtId="5" fontId="8" fillId="0" borderId="12" xfId="0" applyNumberFormat="1" applyFont="1" applyBorder="1" applyAlignment="1">
      <alignment horizontal="center" vertical="center"/>
    </xf>
    <xf numFmtId="5" fontId="8" fillId="0" borderId="12" xfId="0" applyNumberFormat="1" applyFont="1" applyFill="1" applyBorder="1" applyAlignment="1">
      <alignment horizontal="center" vertical="center"/>
    </xf>
    <xf numFmtId="168" fontId="8" fillId="0" borderId="7" xfId="0" applyNumberFormat="1" applyFont="1" applyBorder="1" applyAlignment="1">
      <alignment horizontal="center" vertical="center"/>
    </xf>
    <xf numFmtId="5" fontId="8" fillId="0" borderId="16" xfId="0" applyNumberFormat="1" applyFont="1" applyFill="1" applyBorder="1" applyAlignment="1">
      <alignment horizontal="center" vertical="center"/>
    </xf>
    <xf numFmtId="39" fontId="41" fillId="0" borderId="8" xfId="0" applyNumberFormat="1" applyFont="1" applyFill="1" applyBorder="1" applyAlignment="1">
      <alignment horizontal="center" vertical="center"/>
    </xf>
    <xf numFmtId="0" fontId="0" fillId="0" borderId="0" xfId="0" applyAlignment="1">
      <alignment vertical="center"/>
    </xf>
    <xf numFmtId="0" fontId="22" fillId="0" borderId="39" xfId="0" applyFont="1" applyFill="1" applyBorder="1" applyAlignment="1">
      <alignment horizontal="center" vertical="center" wrapText="1"/>
    </xf>
    <xf numFmtId="0" fontId="22" fillId="0" borderId="11" xfId="0" applyFont="1" applyFill="1" applyBorder="1" applyAlignment="1">
      <alignment horizontal="center" vertical="center"/>
    </xf>
    <xf numFmtId="0" fontId="22" fillId="0" borderId="12" xfId="0" applyFont="1" applyFill="1" applyBorder="1" applyAlignment="1">
      <alignment horizontal="center" vertical="center" wrapText="1"/>
    </xf>
    <xf numFmtId="0" fontId="22" fillId="0" borderId="12" xfId="0" applyFont="1" applyFill="1" applyBorder="1" applyAlignment="1">
      <alignment horizontal="center" vertical="center"/>
    </xf>
    <xf numFmtId="0" fontId="22" fillId="0" borderId="42" xfId="0" applyFont="1" applyFill="1" applyBorder="1" applyAlignment="1">
      <alignment horizontal="center" vertical="center" wrapText="1"/>
    </xf>
    <xf numFmtId="0" fontId="21" fillId="0" borderId="1" xfId="0" applyFont="1" applyFill="1" applyBorder="1" applyAlignment="1">
      <alignment horizontal="center" vertical="center"/>
    </xf>
    <xf numFmtId="8" fontId="21" fillId="0" borderId="1" xfId="0" applyNumberFormat="1" applyFont="1" applyFill="1" applyBorder="1" applyAlignment="1">
      <alignment horizontal="center" vertical="center"/>
    </xf>
    <xf numFmtId="0" fontId="21" fillId="0" borderId="1" xfId="0" applyFont="1" applyFill="1" applyBorder="1" applyAlignment="1">
      <alignment horizontal="center" vertical="center" wrapText="1"/>
    </xf>
    <xf numFmtId="6" fontId="0" fillId="0" borderId="10" xfId="0" applyNumberFormat="1" applyFill="1" applyBorder="1" applyAlignment="1">
      <alignment horizontal="center" vertical="center"/>
    </xf>
    <xf numFmtId="0" fontId="22" fillId="0" borderId="49" xfId="0" applyFont="1" applyFill="1" applyBorder="1" applyAlignment="1">
      <alignment horizontal="center" vertical="center" wrapText="1"/>
    </xf>
    <xf numFmtId="0" fontId="21" fillId="0" borderId="14" xfId="0" applyFont="1" applyFill="1" applyBorder="1" applyAlignment="1">
      <alignment horizontal="center" vertical="center" wrapText="1"/>
    </xf>
    <xf numFmtId="6" fontId="21" fillId="0" borderId="1" xfId="0" applyNumberFormat="1" applyFont="1" applyFill="1" applyBorder="1" applyAlignment="1">
      <alignment horizontal="center" vertical="center" wrapText="1"/>
    </xf>
    <xf numFmtId="8" fontId="21" fillId="0" borderId="1" xfId="0" applyNumberFormat="1" applyFont="1" applyFill="1" applyBorder="1" applyAlignment="1">
      <alignment horizontal="center" vertical="center" wrapText="1"/>
    </xf>
    <xf numFmtId="0" fontId="22" fillId="0" borderId="62" xfId="0" applyFont="1" applyFill="1" applyBorder="1" applyAlignment="1">
      <alignment horizontal="center" vertical="center" wrapText="1"/>
    </xf>
    <xf numFmtId="0" fontId="21" fillId="0" borderId="15" xfId="0" applyFont="1" applyFill="1" applyBorder="1" applyAlignment="1">
      <alignment horizontal="center" vertical="center" wrapText="1"/>
    </xf>
    <xf numFmtId="0" fontId="21" fillId="0" borderId="16" xfId="0" applyFont="1" applyFill="1" applyBorder="1" applyAlignment="1">
      <alignment horizontal="center" vertical="center" wrapText="1"/>
    </xf>
    <xf numFmtId="0" fontId="21" fillId="0" borderId="16" xfId="0" applyFont="1" applyFill="1" applyBorder="1" applyAlignment="1">
      <alignment horizontal="center" vertical="center"/>
    </xf>
    <xf numFmtId="0" fontId="1" fillId="0" borderId="1" xfId="0" applyFont="1" applyFill="1" applyBorder="1" applyAlignment="1">
      <alignment horizontal="center" wrapText="1"/>
    </xf>
    <xf numFmtId="168" fontId="0" fillId="0" borderId="1" xfId="0" applyNumberFormat="1" applyFill="1" applyBorder="1" applyAlignment="1">
      <alignment horizontal="center"/>
    </xf>
    <xf numFmtId="168" fontId="0" fillId="0" borderId="10" xfId="0" applyNumberFormat="1" applyFill="1" applyBorder="1" applyAlignment="1">
      <alignment horizontal="center"/>
    </xf>
    <xf numFmtId="0" fontId="0" fillId="0" borderId="16" xfId="0" applyFill="1" applyBorder="1"/>
    <xf numFmtId="6" fontId="0" fillId="0" borderId="16" xfId="0" applyNumberFormat="1" applyFill="1" applyBorder="1" applyAlignment="1">
      <alignment horizontal="center"/>
    </xf>
    <xf numFmtId="6" fontId="0" fillId="0" borderId="17" xfId="0" applyNumberFormat="1" applyFill="1" applyBorder="1" applyAlignment="1">
      <alignment horizontal="center" vertical="center"/>
    </xf>
    <xf numFmtId="0" fontId="0" fillId="0" borderId="10" xfId="0" applyFill="1" applyBorder="1"/>
    <xf numFmtId="1" fontId="0" fillId="0" borderId="1" xfId="0" applyNumberFormat="1" applyFill="1" applyBorder="1" applyAlignment="1">
      <alignment horizontal="center"/>
    </xf>
    <xf numFmtId="167" fontId="0" fillId="0" borderId="1" xfId="0" applyNumberFormat="1" applyFill="1" applyBorder="1" applyAlignment="1">
      <alignment horizontal="center"/>
    </xf>
    <xf numFmtId="6" fontId="0" fillId="0" borderId="16" xfId="0" applyNumberFormat="1" applyFill="1" applyBorder="1" applyAlignment="1">
      <alignment horizontal="center" vertical="center"/>
    </xf>
    <xf numFmtId="0" fontId="0" fillId="0" borderId="17" xfId="0" applyFill="1" applyBorder="1"/>
    <xf numFmtId="0" fontId="5" fillId="0" borderId="10" xfId="0" applyFont="1" applyFill="1" applyBorder="1" applyAlignment="1">
      <alignment horizontal="center"/>
    </xf>
    <xf numFmtId="0" fontId="4" fillId="0" borderId="11" xfId="0" applyFont="1" applyFill="1" applyBorder="1" applyAlignment="1">
      <alignment horizontal="center"/>
    </xf>
    <xf numFmtId="0" fontId="4" fillId="0" borderId="63" xfId="0" applyFont="1" applyFill="1" applyBorder="1" applyAlignment="1">
      <alignment horizontal="center"/>
    </xf>
    <xf numFmtId="0" fontId="5" fillId="0" borderId="5" xfId="0" applyFont="1" applyFill="1" applyBorder="1" applyAlignment="1">
      <alignment horizontal="center"/>
    </xf>
    <xf numFmtId="1" fontId="5" fillId="0" borderId="10" xfId="0" applyNumberFormat="1" applyFont="1" applyFill="1" applyBorder="1" applyAlignment="1">
      <alignment horizontal="center"/>
    </xf>
    <xf numFmtId="11" fontId="5" fillId="0" borderId="5" xfId="0" applyNumberFormat="1" applyFont="1" applyFill="1" applyBorder="1" applyAlignment="1">
      <alignment horizontal="center"/>
    </xf>
    <xf numFmtId="11" fontId="5" fillId="0" borderId="10" xfId="0" applyNumberFormat="1" applyFont="1" applyFill="1" applyBorder="1" applyAlignment="1">
      <alignment horizontal="center"/>
    </xf>
    <xf numFmtId="0" fontId="5" fillId="0" borderId="14" xfId="0" applyFont="1" applyFill="1" applyBorder="1" applyAlignment="1">
      <alignment horizontal="center" vertical="center" wrapText="1"/>
    </xf>
    <xf numFmtId="0" fontId="5" fillId="0" borderId="51" xfId="0" applyFont="1" applyFill="1" applyBorder="1" applyAlignment="1">
      <alignment horizontal="center" vertical="center" wrapText="1"/>
    </xf>
    <xf numFmtId="0" fontId="0" fillId="0" borderId="7" xfId="0" applyFill="1" applyBorder="1" applyAlignment="1">
      <alignment horizontal="center"/>
    </xf>
    <xf numFmtId="1" fontId="5" fillId="0" borderId="57" xfId="0" applyNumberFormat="1" applyFont="1" applyFill="1" applyBorder="1" applyAlignment="1">
      <alignment horizontal="center"/>
    </xf>
    <xf numFmtId="11" fontId="5" fillId="0" borderId="33" xfId="0" applyNumberFormat="1" applyFont="1" applyFill="1" applyBorder="1" applyAlignment="1">
      <alignment horizontal="center"/>
    </xf>
    <xf numFmtId="0" fontId="5" fillId="0" borderId="57" xfId="0" applyFont="1" applyFill="1" applyBorder="1" applyAlignment="1">
      <alignment horizontal="center"/>
    </xf>
    <xf numFmtId="1" fontId="0" fillId="0" borderId="10" xfId="0" applyNumberFormat="1" applyFont="1" applyFill="1" applyBorder="1" applyAlignment="1">
      <alignment horizontal="center"/>
    </xf>
    <xf numFmtId="11" fontId="0" fillId="0" borderId="5" xfId="0" applyNumberFormat="1" applyFont="1" applyFill="1" applyBorder="1" applyAlignment="1">
      <alignment horizontal="center"/>
    </xf>
    <xf numFmtId="0" fontId="0" fillId="0" borderId="10" xfId="0" applyFont="1" applyFill="1" applyBorder="1" applyAlignment="1">
      <alignment horizontal="center"/>
    </xf>
    <xf numFmtId="11" fontId="0" fillId="0" borderId="5" xfId="0" applyNumberFormat="1" applyFill="1" applyBorder="1" applyAlignment="1">
      <alignment horizontal="center"/>
    </xf>
    <xf numFmtId="0" fontId="0" fillId="0" borderId="10" xfId="0" applyFill="1" applyBorder="1" applyAlignment="1">
      <alignment horizontal="center"/>
    </xf>
    <xf numFmtId="0" fontId="5" fillId="0" borderId="15" xfId="0" applyFont="1" applyFill="1" applyBorder="1" applyAlignment="1">
      <alignment horizontal="center" vertical="center" wrapText="1"/>
    </xf>
    <xf numFmtId="11" fontId="0" fillId="0" borderId="20" xfId="0" applyNumberFormat="1" applyFill="1" applyBorder="1" applyAlignment="1">
      <alignment horizontal="center"/>
    </xf>
    <xf numFmtId="1" fontId="5" fillId="0" borderId="1" xfId="0" applyNumberFormat="1" applyFont="1" applyFill="1" applyBorder="1" applyAlignment="1">
      <alignment horizontal="center"/>
    </xf>
    <xf numFmtId="1" fontId="0" fillId="0" borderId="16" xfId="0" applyNumberFormat="1" applyFill="1" applyBorder="1" applyAlignment="1">
      <alignment horizontal="center"/>
    </xf>
    <xf numFmtId="0" fontId="5" fillId="0" borderId="52" xfId="0" applyFont="1" applyFill="1" applyBorder="1" applyAlignment="1">
      <alignment horizontal="center" vertical="center" wrapText="1"/>
    </xf>
    <xf numFmtId="3" fontId="0" fillId="0" borderId="16" xfId="0" applyNumberFormat="1" applyFill="1" applyBorder="1" applyAlignment="1">
      <alignment horizontal="center"/>
    </xf>
    <xf numFmtId="2" fontId="8" fillId="0" borderId="1" xfId="0" applyNumberFormat="1" applyFont="1" applyFill="1" applyBorder="1" applyAlignment="1">
      <alignment horizontal="center"/>
    </xf>
    <xf numFmtId="167" fontId="8" fillId="0" borderId="10" xfId="0" applyNumberFormat="1" applyFont="1" applyFill="1" applyBorder="1" applyAlignment="1">
      <alignment horizontal="center"/>
    </xf>
    <xf numFmtId="2" fontId="0" fillId="0" borderId="0" xfId="0" applyNumberFormat="1" applyFill="1" applyBorder="1" applyAlignment="1"/>
    <xf numFmtId="2" fontId="0" fillId="0" borderId="0" xfId="0" applyNumberFormat="1" applyFill="1" applyBorder="1" applyAlignment="1">
      <alignment horizontal="center"/>
    </xf>
    <xf numFmtId="0" fontId="0" fillId="0" borderId="1" xfId="0" applyFont="1" applyFill="1" applyBorder="1" applyAlignment="1">
      <alignment horizontal="center" vertical="center"/>
    </xf>
    <xf numFmtId="0" fontId="1" fillId="0" borderId="38" xfId="0" applyFont="1" applyFill="1" applyBorder="1" applyAlignment="1">
      <alignment horizontal="center"/>
    </xf>
    <xf numFmtId="0" fontId="0" fillId="0" borderId="16" xfId="0" applyFont="1" applyFill="1" applyBorder="1" applyAlignment="1">
      <alignment horizontal="center"/>
    </xf>
    <xf numFmtId="6" fontId="0" fillId="0" borderId="0" xfId="0" applyNumberFormat="1" applyFill="1" applyBorder="1" applyAlignment="1">
      <alignment horizontal="center" vertical="center"/>
    </xf>
    <xf numFmtId="0" fontId="1" fillId="0" borderId="41" xfId="0" applyFont="1" applyFill="1" applyBorder="1" applyAlignment="1">
      <alignment horizontal="center"/>
    </xf>
    <xf numFmtId="167" fontId="0" fillId="0" borderId="50" xfId="0" applyNumberFormat="1" applyBorder="1" applyAlignment="1">
      <alignment horizontal="center" vertical="center"/>
    </xf>
    <xf numFmtId="168" fontId="0" fillId="0" borderId="50" xfId="0" applyNumberFormat="1" applyBorder="1" applyAlignment="1">
      <alignment horizontal="center"/>
    </xf>
    <xf numFmtId="168" fontId="0" fillId="0" borderId="17" xfId="0" applyNumberFormat="1" applyBorder="1" applyAlignment="1">
      <alignment horizontal="center"/>
    </xf>
    <xf numFmtId="0" fontId="1" fillId="0" borderId="1" xfId="0" applyFont="1" applyBorder="1" applyAlignment="1">
      <alignment horizontal="center" vertical="center"/>
    </xf>
    <xf numFmtId="0" fontId="5" fillId="0" borderId="0" xfId="0" applyFont="1"/>
    <xf numFmtId="171" fontId="0" fillId="0" borderId="16" xfId="0" applyNumberFormat="1" applyFont="1" applyBorder="1" applyAlignment="1">
      <alignment horizontal="center" vertical="center"/>
    </xf>
    <xf numFmtId="171" fontId="0" fillId="0" borderId="17" xfId="0" applyNumberFormat="1" applyFont="1" applyBorder="1" applyAlignment="1">
      <alignment horizontal="center" vertical="center"/>
    </xf>
    <xf numFmtId="0" fontId="1" fillId="0" borderId="0" xfId="0" applyFont="1" applyBorder="1" applyAlignment="1">
      <alignment horizontal="center" vertical="center"/>
    </xf>
    <xf numFmtId="0" fontId="8" fillId="0" borderId="7" xfId="0" applyFont="1" applyBorder="1" applyAlignment="1">
      <alignment horizontal="center" vertical="center"/>
    </xf>
    <xf numFmtId="0" fontId="8" fillId="0" borderId="1" xfId="0" applyFont="1" applyBorder="1" applyAlignment="1">
      <alignment horizontal="center" vertical="center"/>
    </xf>
    <xf numFmtId="5" fontId="8" fillId="0" borderId="7" xfId="0" applyNumberFormat="1" applyFont="1" applyBorder="1" applyAlignment="1">
      <alignment horizontal="center" vertical="center"/>
    </xf>
    <xf numFmtId="2" fontId="0" fillId="0" borderId="14" xfId="0" applyNumberFormat="1" applyFont="1" applyBorder="1" applyAlignment="1">
      <alignment horizontal="center" vertical="center"/>
    </xf>
    <xf numFmtId="2" fontId="0" fillId="0" borderId="1" xfId="0" applyNumberFormat="1" applyFont="1" applyBorder="1" applyAlignment="1">
      <alignment horizontal="center" vertical="center"/>
    </xf>
    <xf numFmtId="2" fontId="0" fillId="0" borderId="10" xfId="0" applyNumberFormat="1" applyFont="1" applyBorder="1" applyAlignment="1">
      <alignment horizontal="center" vertical="center"/>
    </xf>
    <xf numFmtId="0" fontId="8" fillId="0" borderId="9" xfId="0" applyFont="1" applyBorder="1" applyAlignment="1">
      <alignment horizontal="center" vertical="center"/>
    </xf>
    <xf numFmtId="168" fontId="8" fillId="0" borderId="9" xfId="0" applyNumberFormat="1" applyFont="1" applyBorder="1" applyAlignment="1">
      <alignment horizontal="center" vertical="center"/>
    </xf>
    <xf numFmtId="5" fontId="8" fillId="0" borderId="9" xfId="0" applyNumberFormat="1" applyFont="1" applyBorder="1" applyAlignment="1">
      <alignment horizontal="center" vertical="center"/>
    </xf>
    <xf numFmtId="164" fontId="0" fillId="0" borderId="14" xfId="0" applyNumberFormat="1" applyFont="1" applyBorder="1" applyAlignment="1">
      <alignment horizontal="center" vertical="center"/>
    </xf>
    <xf numFmtId="164" fontId="0" fillId="0" borderId="1" xfId="0" applyNumberFormat="1" applyFont="1" applyBorder="1" applyAlignment="1">
      <alignment horizontal="center" vertical="center"/>
    </xf>
    <xf numFmtId="164" fontId="0" fillId="0" borderId="10" xfId="0" applyNumberFormat="1" applyFont="1" applyBorder="1" applyAlignment="1">
      <alignment horizontal="center" vertical="center"/>
    </xf>
    <xf numFmtId="5" fontId="0" fillId="0" borderId="0" xfId="0" applyNumberFormat="1"/>
    <xf numFmtId="0" fontId="0" fillId="0" borderId="9" xfId="0" applyFont="1" applyBorder="1" applyAlignment="1">
      <alignment horizontal="center" vertical="center"/>
    </xf>
    <xf numFmtId="167" fontId="5" fillId="0" borderId="10" xfId="0" applyNumberFormat="1" applyFont="1" applyBorder="1" applyAlignment="1">
      <alignment horizontal="center"/>
    </xf>
    <xf numFmtId="167" fontId="5" fillId="0" borderId="57" xfId="0" applyNumberFormat="1" applyFont="1" applyBorder="1" applyAlignment="1">
      <alignment horizontal="center"/>
    </xf>
    <xf numFmtId="0" fontId="0" fillId="0" borderId="1" xfId="0" applyFont="1" applyBorder="1" applyAlignment="1">
      <alignment horizontal="center" vertical="center"/>
    </xf>
    <xf numFmtId="0" fontId="0" fillId="0" borderId="16" xfId="0" applyFont="1" applyBorder="1" applyAlignment="1">
      <alignment horizontal="center" vertical="center"/>
    </xf>
    <xf numFmtId="0" fontId="5" fillId="0" borderId="15" xfId="0" applyFont="1" applyBorder="1" applyAlignment="1">
      <alignment horizontal="center" vertical="center"/>
    </xf>
    <xf numFmtId="0" fontId="0" fillId="0" borderId="0" xfId="0" applyFont="1" applyBorder="1" applyAlignment="1">
      <alignment horizontal="center" vertical="center"/>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1" fillId="0" borderId="42" xfId="0" applyFont="1" applyBorder="1" applyAlignment="1">
      <alignment horizontal="center" vertical="center" wrapText="1"/>
    </xf>
    <xf numFmtId="0" fontId="0" fillId="0" borderId="15" xfId="0" applyBorder="1" applyAlignment="1">
      <alignment horizontal="center"/>
    </xf>
    <xf numFmtId="0" fontId="8" fillId="0" borderId="1" xfId="0" applyFont="1" applyBorder="1" applyAlignment="1">
      <alignment horizontal="center" vertical="center"/>
    </xf>
    <xf numFmtId="0" fontId="1" fillId="0" borderId="42" xfId="0" applyFont="1" applyBorder="1" applyAlignment="1">
      <alignment horizontal="center" vertical="center"/>
    </xf>
    <xf numFmtId="0" fontId="1" fillId="0" borderId="42" xfId="0" applyFont="1" applyBorder="1" applyAlignment="1">
      <alignment horizontal="center" vertical="center" wrapText="1"/>
    </xf>
    <xf numFmtId="0" fontId="8" fillId="0" borderId="1" xfId="0" applyFont="1" applyFill="1" applyBorder="1" applyAlignment="1">
      <alignment horizontal="center" vertical="center"/>
    </xf>
    <xf numFmtId="0" fontId="1" fillId="0" borderId="14" xfId="0" applyFont="1" applyBorder="1" applyAlignment="1">
      <alignment horizontal="center" vertical="center"/>
    </xf>
    <xf numFmtId="0" fontId="1" fillId="0" borderId="1" xfId="0" applyFont="1" applyBorder="1" applyAlignment="1">
      <alignment horizontal="center" vertical="center"/>
    </xf>
    <xf numFmtId="0" fontId="1" fillId="0" borderId="3" xfId="0" applyFont="1" applyBorder="1" applyAlignment="1">
      <alignment horizontal="center" vertical="center"/>
    </xf>
    <xf numFmtId="170" fontId="8" fillId="0" borderId="0" xfId="0" applyNumberFormat="1" applyFont="1" applyFill="1" applyBorder="1" applyAlignment="1">
      <alignment horizontal="center" vertical="center"/>
    </xf>
    <xf numFmtId="2" fontId="8" fillId="0" borderId="0" xfId="0" applyNumberFormat="1" applyFont="1" applyFill="1" applyBorder="1" applyAlignment="1">
      <alignment horizontal="center" vertical="center"/>
    </xf>
    <xf numFmtId="171" fontId="8" fillId="0" borderId="0" xfId="0" applyNumberFormat="1" applyFont="1" applyFill="1" applyBorder="1" applyAlignment="1">
      <alignment horizontal="center" vertical="center"/>
    </xf>
    <xf numFmtId="11" fontId="0" fillId="0" borderId="1" xfId="0" applyNumberFormat="1" applyBorder="1" applyAlignment="1">
      <alignment horizontal="center"/>
    </xf>
    <xf numFmtId="11" fontId="0" fillId="0" borderId="16" xfId="0" applyNumberFormat="1" applyBorder="1" applyAlignment="1">
      <alignment horizontal="center"/>
    </xf>
    <xf numFmtId="0" fontId="1" fillId="0" borderId="78" xfId="0" applyFont="1" applyFill="1" applyBorder="1" applyAlignment="1">
      <alignment horizontal="center" vertical="center" wrapText="1"/>
    </xf>
    <xf numFmtId="1" fontId="0" fillId="0" borderId="12" xfId="0" applyNumberFormat="1" applyBorder="1" applyAlignment="1">
      <alignment horizontal="center"/>
    </xf>
    <xf numFmtId="5" fontId="8" fillId="0" borderId="9" xfId="0" applyNumberFormat="1" applyFont="1" applyFill="1" applyBorder="1" applyAlignment="1">
      <alignment horizontal="center" vertical="center"/>
    </xf>
    <xf numFmtId="5" fontId="8" fillId="0" borderId="7" xfId="0" applyNumberFormat="1" applyFont="1" applyFill="1" applyBorder="1" applyAlignment="1">
      <alignment horizontal="center" vertical="center"/>
    </xf>
    <xf numFmtId="169" fontId="8" fillId="0" borderId="16" xfId="0" applyNumberFormat="1" applyFont="1" applyFill="1" applyBorder="1" applyAlignment="1">
      <alignment horizontal="center" vertical="center"/>
    </xf>
    <xf numFmtId="168" fontId="8" fillId="0" borderId="9" xfId="0" applyNumberFormat="1" applyFont="1" applyFill="1" applyBorder="1" applyAlignment="1">
      <alignment horizontal="center" vertical="center"/>
    </xf>
    <xf numFmtId="168" fontId="8" fillId="0" borderId="1" xfId="0" applyNumberFormat="1" applyFont="1" applyFill="1" applyBorder="1" applyAlignment="1">
      <alignment horizontal="center" vertical="center"/>
    </xf>
    <xf numFmtId="169" fontId="8" fillId="0" borderId="7" xfId="0" applyNumberFormat="1" applyFont="1" applyFill="1" applyBorder="1" applyAlignment="1">
      <alignment horizontal="center" vertical="center"/>
    </xf>
    <xf numFmtId="168" fontId="8" fillId="0" borderId="7" xfId="0" applyNumberFormat="1" applyFont="1" applyFill="1" applyBorder="1" applyAlignment="1">
      <alignment horizontal="center" vertical="center"/>
    </xf>
    <xf numFmtId="169" fontId="8" fillId="0" borderId="1" xfId="0" applyNumberFormat="1" applyFont="1" applyFill="1" applyBorder="1" applyAlignment="1">
      <alignment horizontal="center" vertical="center"/>
    </xf>
    <xf numFmtId="169" fontId="8" fillId="0" borderId="12" xfId="0" applyNumberFormat="1" applyFont="1" applyFill="1" applyBorder="1" applyAlignment="1">
      <alignment horizontal="center" vertical="center"/>
    </xf>
    <xf numFmtId="168" fontId="8" fillId="0" borderId="12" xfId="0" applyNumberFormat="1" applyFont="1" applyFill="1" applyBorder="1" applyAlignment="1">
      <alignment horizontal="center" vertical="center"/>
    </xf>
    <xf numFmtId="168" fontId="8" fillId="0" borderId="16" xfId="0" applyNumberFormat="1" applyFont="1" applyFill="1" applyBorder="1" applyAlignment="1">
      <alignment horizontal="center" vertical="center"/>
    </xf>
    <xf numFmtId="169" fontId="8" fillId="0" borderId="9" xfId="0" applyNumberFormat="1" applyFont="1" applyFill="1" applyBorder="1" applyAlignment="1">
      <alignment horizontal="center" vertical="center"/>
    </xf>
    <xf numFmtId="0" fontId="0" fillId="0" borderId="0" xfId="0" applyFill="1" applyBorder="1" applyAlignment="1">
      <alignment horizontal="center" vertical="center"/>
    </xf>
    <xf numFmtId="0" fontId="1" fillId="5" borderId="45" xfId="0" applyFont="1" applyFill="1" applyBorder="1" applyAlignment="1">
      <alignment horizontal="center" vertical="center"/>
    </xf>
    <xf numFmtId="0" fontId="1" fillId="5" borderId="53" xfId="0" applyFont="1" applyFill="1" applyBorder="1" applyAlignment="1">
      <alignment horizontal="center" vertical="center"/>
    </xf>
    <xf numFmtId="0" fontId="1" fillId="0" borderId="0" xfId="0" applyFont="1" applyBorder="1" applyAlignment="1">
      <alignment horizontal="center" vertical="center"/>
    </xf>
    <xf numFmtId="1" fontId="0" fillId="0" borderId="7" xfId="0" applyNumberFormat="1" applyBorder="1" applyAlignment="1">
      <alignment horizontal="center"/>
    </xf>
    <xf numFmtId="167" fontId="0" fillId="0" borderId="13" xfId="0" applyNumberFormat="1" applyBorder="1" applyAlignment="1">
      <alignment horizontal="center"/>
    </xf>
    <xf numFmtId="0" fontId="0" fillId="0" borderId="1" xfId="0" applyFont="1" applyBorder="1" applyAlignment="1">
      <alignment horizontal="center" vertical="center"/>
    </xf>
    <xf numFmtId="0" fontId="0" fillId="0" borderId="16" xfId="0" applyFont="1" applyBorder="1" applyAlignment="1">
      <alignment horizontal="center" vertical="center"/>
    </xf>
    <xf numFmtId="0" fontId="4" fillId="0" borderId="45" xfId="0" applyFont="1" applyBorder="1" applyAlignment="1">
      <alignment horizontal="center" vertical="center"/>
    </xf>
    <xf numFmtId="0" fontId="0" fillId="0" borderId="72" xfId="0" applyFont="1" applyBorder="1" applyAlignment="1">
      <alignment horizontal="center" vertical="center" wrapText="1"/>
    </xf>
    <xf numFmtId="171" fontId="0" fillId="0" borderId="12" xfId="0" applyNumberFormat="1" applyFont="1" applyBorder="1" applyAlignment="1">
      <alignment horizontal="center" vertical="center"/>
    </xf>
    <xf numFmtId="171" fontId="0" fillId="0" borderId="13" xfId="0" applyNumberFormat="1" applyFont="1" applyBorder="1" applyAlignment="1">
      <alignment horizontal="center" vertical="center"/>
    </xf>
    <xf numFmtId="0" fontId="2" fillId="5" borderId="45" xfId="0" applyFont="1" applyFill="1" applyBorder="1" applyAlignment="1">
      <alignment horizontal="center" vertical="center"/>
    </xf>
    <xf numFmtId="0" fontId="5" fillId="0" borderId="43" xfId="0" applyFont="1" applyBorder="1" applyAlignment="1">
      <alignment horizontal="center" vertical="center"/>
    </xf>
    <xf numFmtId="0" fontId="5" fillId="0" borderId="0" xfId="0" applyFont="1" applyBorder="1" applyAlignment="1">
      <alignment horizontal="center" vertical="center"/>
    </xf>
    <xf numFmtId="0" fontId="0" fillId="0" borderId="1" xfId="0" applyFill="1" applyBorder="1" applyAlignment="1">
      <alignment horizontal="center"/>
    </xf>
    <xf numFmtId="170" fontId="0" fillId="3" borderId="0" xfId="0" applyNumberFormat="1" applyFont="1" applyFill="1" applyBorder="1" applyAlignment="1">
      <alignment horizontal="center" vertical="center"/>
    </xf>
    <xf numFmtId="171" fontId="0" fillId="0" borderId="0" xfId="0" applyNumberFormat="1" applyFont="1" applyBorder="1" applyAlignment="1">
      <alignment horizontal="center" vertical="center"/>
    </xf>
    <xf numFmtId="3" fontId="0" fillId="0" borderId="0" xfId="0" applyNumberFormat="1" applyFont="1" applyBorder="1" applyAlignment="1">
      <alignment horizontal="center" vertical="center"/>
    </xf>
    <xf numFmtId="11" fontId="0" fillId="0" borderId="0" xfId="0" applyNumberFormat="1" applyFont="1" applyBorder="1" applyAlignment="1">
      <alignment horizontal="center" vertical="center" wrapText="1"/>
    </xf>
    <xf numFmtId="170" fontId="8" fillId="0" borderId="0" xfId="0" applyNumberFormat="1" applyFont="1" applyBorder="1" applyAlignment="1">
      <alignment horizontal="center" vertical="center"/>
    </xf>
    <xf numFmtId="2" fontId="8" fillId="0" borderId="52" xfId="0" applyNumberFormat="1" applyFont="1" applyBorder="1" applyAlignment="1">
      <alignment horizontal="center" vertical="center"/>
    </xf>
    <xf numFmtId="2" fontId="8" fillId="0" borderId="8" xfId="0" applyNumberFormat="1" applyFont="1" applyBorder="1" applyAlignment="1">
      <alignment horizontal="center" vertical="center"/>
    </xf>
    <xf numFmtId="171" fontId="8" fillId="0" borderId="8" xfId="0" applyNumberFormat="1" applyFont="1" applyBorder="1" applyAlignment="1">
      <alignment horizontal="center" vertical="center"/>
    </xf>
    <xf numFmtId="2" fontId="8" fillId="0" borderId="32" xfId="0" applyNumberFormat="1" applyFont="1" applyBorder="1" applyAlignment="1">
      <alignment horizontal="center" vertical="center"/>
    </xf>
    <xf numFmtId="3" fontId="8" fillId="0" borderId="0" xfId="0" applyNumberFormat="1" applyFont="1" applyBorder="1" applyAlignment="1">
      <alignment horizontal="center" vertical="center"/>
    </xf>
    <xf numFmtId="0" fontId="5" fillId="0" borderId="42" xfId="0" applyFont="1" applyFill="1" applyBorder="1" applyAlignment="1">
      <alignment horizontal="center" vertical="center" wrapText="1"/>
    </xf>
    <xf numFmtId="0" fontId="8" fillId="8" borderId="44" xfId="0" applyFont="1" applyFill="1" applyBorder="1" applyAlignment="1">
      <alignment horizontal="center" vertical="center"/>
    </xf>
    <xf numFmtId="4" fontId="0" fillId="0" borderId="14" xfId="0" applyNumberFormat="1" applyFont="1" applyBorder="1" applyAlignment="1">
      <alignment horizontal="center" vertical="center"/>
    </xf>
    <xf numFmtId="4" fontId="0" fillId="0" borderId="1" xfId="0" applyNumberFormat="1" applyFont="1" applyBorder="1" applyAlignment="1">
      <alignment horizontal="center" vertical="center"/>
    </xf>
    <xf numFmtId="4" fontId="0" fillId="0" borderId="10" xfId="0" applyNumberFormat="1" applyFont="1" applyBorder="1" applyAlignment="1">
      <alignment horizontal="center" vertical="center"/>
    </xf>
    <xf numFmtId="4" fontId="0" fillId="0" borderId="15" xfId="0" applyNumberFormat="1" applyFont="1" applyBorder="1" applyAlignment="1">
      <alignment horizontal="center" vertical="center"/>
    </xf>
    <xf numFmtId="4" fontId="0" fillId="0" borderId="16" xfId="0" applyNumberFormat="1" applyFont="1" applyBorder="1" applyAlignment="1">
      <alignment horizontal="center" vertical="center"/>
    </xf>
    <xf numFmtId="4" fontId="0" fillId="0" borderId="17" xfId="0" applyNumberFormat="1" applyFont="1" applyBorder="1" applyAlignment="1">
      <alignment horizontal="center" vertical="center"/>
    </xf>
    <xf numFmtId="3" fontId="0" fillId="0" borderId="11" xfId="0" applyNumberFormat="1" applyFont="1" applyBorder="1" applyAlignment="1">
      <alignment horizontal="center" vertical="center"/>
    </xf>
    <xf numFmtId="3" fontId="0" fillId="0" borderId="12" xfId="0" applyNumberFormat="1" applyFont="1" applyBorder="1" applyAlignment="1">
      <alignment horizontal="center" vertical="center"/>
    </xf>
    <xf numFmtId="0" fontId="1" fillId="0" borderId="14" xfId="0" applyFont="1" applyBorder="1" applyAlignment="1">
      <alignment horizontal="center" vertical="center"/>
    </xf>
    <xf numFmtId="0" fontId="4" fillId="0" borderId="1" xfId="0" applyFont="1" applyBorder="1" applyAlignment="1">
      <alignment horizontal="center" vertical="center" wrapText="1"/>
    </xf>
    <xf numFmtId="0" fontId="4" fillId="0" borderId="12" xfId="0" applyFont="1" applyBorder="1" applyAlignment="1">
      <alignment horizontal="center" vertical="center" wrapText="1"/>
    </xf>
    <xf numFmtId="0" fontId="4" fillId="0" borderId="13" xfId="0" applyFont="1" applyBorder="1" applyAlignment="1">
      <alignment horizontal="center" vertical="center" wrapText="1"/>
    </xf>
    <xf numFmtId="0" fontId="5" fillId="0" borderId="1" xfId="0" applyFont="1" applyBorder="1" applyAlignment="1">
      <alignment horizontal="center" vertical="center"/>
    </xf>
    <xf numFmtId="3" fontId="0" fillId="0" borderId="3" xfId="0" applyNumberFormat="1" applyFont="1" applyBorder="1" applyAlignment="1">
      <alignment horizontal="center" vertical="center"/>
    </xf>
    <xf numFmtId="3" fontId="0" fillId="0" borderId="36" xfId="0" applyNumberFormat="1" applyFont="1" applyBorder="1" applyAlignment="1">
      <alignment horizontal="center" vertical="center"/>
    </xf>
    <xf numFmtId="0" fontId="1" fillId="0" borderId="72" xfId="0" applyFont="1" applyFill="1" applyBorder="1" applyAlignment="1">
      <alignment horizontal="center" vertical="center"/>
    </xf>
    <xf numFmtId="3" fontId="0" fillId="0" borderId="73" xfId="0" applyNumberFormat="1" applyFont="1" applyFill="1" applyBorder="1" applyAlignment="1">
      <alignment horizontal="center" vertical="center"/>
    </xf>
    <xf numFmtId="3" fontId="0" fillId="0" borderId="74" xfId="0" applyNumberFormat="1" applyFont="1" applyFill="1" applyBorder="1" applyAlignment="1">
      <alignment horizontal="center" vertical="center"/>
    </xf>
    <xf numFmtId="4" fontId="0" fillId="0" borderId="3" xfId="0" applyNumberFormat="1" applyFont="1" applyBorder="1" applyAlignment="1">
      <alignment horizontal="center" vertical="center"/>
    </xf>
    <xf numFmtId="4" fontId="0" fillId="0" borderId="36" xfId="0" applyNumberFormat="1" applyFont="1" applyBorder="1" applyAlignment="1">
      <alignment horizontal="center" vertical="center"/>
    </xf>
    <xf numFmtId="1" fontId="0" fillId="0" borderId="16" xfId="0" applyNumberFormat="1" applyFont="1" applyBorder="1" applyAlignment="1">
      <alignment horizontal="center"/>
    </xf>
    <xf numFmtId="0" fontId="5" fillId="0" borderId="1" xfId="0" applyFont="1" applyBorder="1" applyAlignment="1">
      <alignment horizontal="center" vertical="center" wrapText="1"/>
    </xf>
    <xf numFmtId="3" fontId="5" fillId="0" borderId="1" xfId="0" applyNumberFormat="1" applyFont="1" applyBorder="1" applyAlignment="1">
      <alignment horizontal="center" vertical="center"/>
    </xf>
    <xf numFmtId="0" fontId="5" fillId="0" borderId="16" xfId="0" applyFont="1" applyBorder="1" applyAlignment="1">
      <alignment horizontal="center" vertical="center" wrapText="1"/>
    </xf>
    <xf numFmtId="0" fontId="1" fillId="0" borderId="46" xfId="0" applyFont="1" applyBorder="1" applyAlignment="1">
      <alignment horizontal="center" vertical="center" wrapText="1"/>
    </xf>
    <xf numFmtId="167" fontId="5" fillId="0" borderId="16" xfId="0" applyNumberFormat="1" applyFont="1" applyBorder="1" applyAlignment="1">
      <alignment horizontal="center" vertical="center"/>
    </xf>
    <xf numFmtId="167" fontId="5" fillId="0" borderId="1" xfId="0" applyNumberFormat="1" applyFont="1" applyBorder="1" applyAlignment="1">
      <alignment horizontal="center" vertical="center"/>
    </xf>
    <xf numFmtId="167" fontId="5" fillId="0" borderId="10" xfId="0" applyNumberFormat="1" applyFont="1" applyBorder="1" applyAlignment="1">
      <alignment horizontal="center" vertical="center"/>
    </xf>
    <xf numFmtId="167" fontId="5" fillId="0" borderId="17" xfId="0" applyNumberFormat="1" applyFont="1" applyBorder="1" applyAlignment="1">
      <alignment horizontal="center" vertical="center"/>
    </xf>
    <xf numFmtId="167" fontId="0" fillId="0" borderId="16" xfId="0" applyNumberFormat="1" applyFont="1" applyBorder="1" applyAlignment="1">
      <alignment horizontal="center"/>
    </xf>
    <xf numFmtId="168" fontId="0" fillId="0" borderId="1" xfId="0" applyNumberFormat="1" applyFont="1" applyBorder="1" applyAlignment="1">
      <alignment horizontal="center" vertical="center"/>
    </xf>
    <xf numFmtId="167" fontId="0" fillId="0" borderId="1" xfId="0" applyNumberFormat="1" applyFont="1" applyBorder="1" applyAlignment="1">
      <alignment horizontal="center" vertical="center"/>
    </xf>
    <xf numFmtId="167" fontId="0" fillId="0" borderId="17" xfId="0" applyNumberFormat="1" applyFont="1" applyBorder="1" applyAlignment="1">
      <alignment horizontal="center" vertical="center"/>
    </xf>
    <xf numFmtId="5" fontId="0" fillId="0" borderId="1" xfId="0" applyNumberFormat="1" applyFont="1" applyBorder="1" applyAlignment="1">
      <alignment horizontal="center" vertical="center"/>
    </xf>
    <xf numFmtId="0" fontId="7" fillId="4" borderId="11" xfId="0" applyFont="1" applyFill="1" applyBorder="1" applyAlignment="1">
      <alignment horizontal="center" vertical="center"/>
    </xf>
    <xf numFmtId="0" fontId="7" fillId="4" borderId="13" xfId="0" applyFont="1" applyFill="1" applyBorder="1" applyAlignment="1">
      <alignment horizontal="center" vertical="center"/>
    </xf>
    <xf numFmtId="3" fontId="0" fillId="0" borderId="54" xfId="0" applyNumberFormat="1" applyFont="1" applyBorder="1" applyAlignment="1">
      <alignment horizontal="center" vertical="center"/>
    </xf>
    <xf numFmtId="3" fontId="0" fillId="0" borderId="53" xfId="0" applyNumberFormat="1" applyFont="1" applyBorder="1" applyAlignment="1">
      <alignment horizontal="center" vertical="center"/>
    </xf>
    <xf numFmtId="3" fontId="0" fillId="0" borderId="56" xfId="0" applyNumberFormat="1" applyFont="1" applyBorder="1" applyAlignment="1">
      <alignment horizontal="center" vertical="center"/>
    </xf>
    <xf numFmtId="0" fontId="1" fillId="0" borderId="47" xfId="0" applyFont="1" applyBorder="1" applyAlignment="1">
      <alignment horizontal="center" vertical="center" wrapText="1"/>
    </xf>
    <xf numFmtId="0" fontId="0" fillId="0" borderId="1" xfId="0" applyBorder="1" applyAlignment="1">
      <alignment horizontal="center"/>
    </xf>
    <xf numFmtId="0" fontId="0" fillId="0" borderId="0" xfId="0" applyBorder="1" applyAlignment="1">
      <alignment horizontal="center"/>
    </xf>
    <xf numFmtId="0" fontId="0" fillId="0" borderId="0" xfId="0" applyFill="1"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xf>
    <xf numFmtId="2" fontId="0" fillId="0" borderId="0" xfId="0" applyNumberFormat="1" applyBorder="1" applyAlignment="1">
      <alignment horizontal="center" vertical="center"/>
    </xf>
    <xf numFmtId="167" fontId="0" fillId="0" borderId="0" xfId="0" applyNumberFormat="1" applyBorder="1" applyAlignment="1">
      <alignment horizontal="center"/>
    </xf>
    <xf numFmtId="3" fontId="0" fillId="0" borderId="0" xfId="0" applyNumberFormat="1" applyFill="1" applyBorder="1" applyAlignment="1">
      <alignment horizontal="center" vertical="center"/>
    </xf>
    <xf numFmtId="0" fontId="1" fillId="0" borderId="12"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3" fontId="0" fillId="0" borderId="1" xfId="0" applyNumberFormat="1" applyBorder="1" applyAlignment="1">
      <alignment horizontal="center" vertical="center"/>
    </xf>
    <xf numFmtId="0" fontId="0" fillId="0" borderId="16" xfId="0" applyBorder="1" applyAlignment="1">
      <alignment horizontal="center" vertical="center"/>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5" fillId="0" borderId="11" xfId="0" applyFont="1" applyFill="1" applyBorder="1" applyAlignment="1">
      <alignment horizontal="center" vertical="center"/>
    </xf>
    <xf numFmtId="0" fontId="5" fillId="0" borderId="14" xfId="0" applyFont="1" applyFill="1" applyBorder="1" applyAlignment="1">
      <alignment horizontal="center" vertical="center"/>
    </xf>
    <xf numFmtId="0" fontId="5" fillId="0" borderId="15"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69" xfId="0" applyFont="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1" fillId="0" borderId="45" xfId="0" applyFont="1" applyBorder="1" applyAlignment="1">
      <alignment horizontal="center" vertical="center"/>
    </xf>
    <xf numFmtId="1" fontId="0" fillId="0" borderId="1" xfId="0" applyNumberFormat="1" applyBorder="1" applyAlignment="1">
      <alignment horizontal="center"/>
    </xf>
    <xf numFmtId="0" fontId="5" fillId="0" borderId="51" xfId="0" applyFont="1" applyBorder="1" applyAlignment="1">
      <alignment horizontal="center" vertical="center"/>
    </xf>
    <xf numFmtId="0" fontId="0" fillId="0" borderId="16" xfId="0" applyBorder="1" applyAlignment="1">
      <alignment horizontal="center"/>
    </xf>
    <xf numFmtId="0" fontId="0" fillId="0" borderId="15" xfId="0" applyBorder="1" applyAlignment="1">
      <alignment horizontal="center"/>
    </xf>
    <xf numFmtId="0" fontId="1" fillId="0" borderId="14" xfId="0" applyFont="1" applyBorder="1" applyAlignment="1">
      <alignment horizontal="center" vertical="center"/>
    </xf>
    <xf numFmtId="0" fontId="0" fillId="0" borderId="0" xfId="0" applyAlignment="1">
      <alignment horizontal="center"/>
    </xf>
    <xf numFmtId="0" fontId="0" fillId="0" borderId="8" xfId="0" applyFont="1" applyBorder="1" applyAlignment="1">
      <alignment horizontal="center" vertical="center"/>
    </xf>
    <xf numFmtId="3" fontId="0" fillId="0" borderId="16" xfId="0" applyNumberFormat="1" applyBorder="1" applyAlignment="1">
      <alignment horizontal="center" vertical="center"/>
    </xf>
    <xf numFmtId="6" fontId="5" fillId="0" borderId="1" xfId="0" applyNumberFormat="1" applyFont="1" applyBorder="1" applyAlignment="1">
      <alignment horizontal="center" wrapText="1"/>
    </xf>
    <xf numFmtId="6" fontId="5" fillId="0" borderId="16" xfId="0" applyNumberFormat="1" applyFont="1" applyBorder="1" applyAlignment="1">
      <alignment horizontal="center" wrapText="1"/>
    </xf>
    <xf numFmtId="3" fontId="0" fillId="0" borderId="1" xfId="0" applyNumberFormat="1" applyFont="1" applyFill="1" applyBorder="1" applyAlignment="1">
      <alignment horizontal="center" vertical="center"/>
    </xf>
    <xf numFmtId="3" fontId="0" fillId="0" borderId="16" xfId="0" applyNumberFormat="1" applyFont="1" applyFill="1" applyBorder="1" applyAlignment="1">
      <alignment horizontal="center" vertical="center"/>
    </xf>
    <xf numFmtId="167" fontId="0" fillId="0" borderId="16" xfId="0" applyNumberFormat="1" applyFont="1" applyBorder="1" applyAlignment="1">
      <alignment horizontal="center" vertical="center"/>
    </xf>
    <xf numFmtId="0" fontId="0" fillId="0" borderId="24" xfId="0" applyFont="1" applyBorder="1" applyAlignment="1">
      <alignment horizontal="center" vertical="center"/>
    </xf>
    <xf numFmtId="0" fontId="0" fillId="0" borderId="34" xfId="0" applyFont="1" applyBorder="1" applyAlignment="1">
      <alignment horizontal="center" vertical="center"/>
    </xf>
    <xf numFmtId="3" fontId="0" fillId="0" borderId="8" xfId="0" applyNumberFormat="1" applyFont="1" applyFill="1" applyBorder="1" applyAlignment="1">
      <alignment horizontal="center" vertical="center"/>
    </xf>
    <xf numFmtId="167" fontId="0" fillId="0" borderId="8" xfId="0" applyNumberFormat="1" applyFont="1" applyBorder="1" applyAlignment="1">
      <alignment horizontal="center" vertical="center"/>
    </xf>
    <xf numFmtId="0" fontId="0" fillId="0" borderId="32" xfId="0" applyFont="1" applyBorder="1" applyAlignment="1">
      <alignment horizontal="center"/>
    </xf>
    <xf numFmtId="0" fontId="0" fillId="0" borderId="11" xfId="0" applyFont="1" applyFill="1" applyBorder="1" applyAlignment="1">
      <alignment horizontal="center" vertical="center"/>
    </xf>
    <xf numFmtId="0" fontId="0" fillId="0" borderId="12" xfId="0" applyFont="1" applyBorder="1" applyAlignment="1">
      <alignment horizontal="center" vertical="center"/>
    </xf>
    <xf numFmtId="3" fontId="0" fillId="0" borderId="12" xfId="0" applyNumberFormat="1" applyFont="1" applyFill="1" applyBorder="1" applyAlignment="1">
      <alignment horizontal="center" vertical="center"/>
    </xf>
    <xf numFmtId="167" fontId="0" fillId="0" borderId="12" xfId="0" applyNumberFormat="1" applyFont="1" applyBorder="1" applyAlignment="1">
      <alignment horizontal="center" vertical="center"/>
    </xf>
    <xf numFmtId="0" fontId="0" fillId="0" borderId="51" xfId="0" applyFont="1" applyFill="1" applyBorder="1" applyAlignment="1">
      <alignment horizontal="center" vertical="center"/>
    </xf>
    <xf numFmtId="0" fontId="0" fillId="0" borderId="7" xfId="0" applyFont="1" applyBorder="1" applyAlignment="1">
      <alignment horizontal="center" vertical="center"/>
    </xf>
    <xf numFmtId="3" fontId="0" fillId="0" borderId="7" xfId="0" applyNumberFormat="1" applyFont="1" applyFill="1" applyBorder="1" applyAlignment="1">
      <alignment horizontal="center" vertical="center"/>
    </xf>
    <xf numFmtId="167" fontId="0" fillId="0" borderId="7" xfId="0" applyNumberFormat="1" applyFont="1" applyBorder="1" applyAlignment="1">
      <alignment horizontal="center" vertical="center"/>
    </xf>
    <xf numFmtId="0" fontId="0" fillId="0" borderId="12" xfId="0" applyFont="1" applyFill="1" applyBorder="1" applyAlignment="1">
      <alignment horizontal="center" vertical="center"/>
    </xf>
    <xf numFmtId="4" fontId="0" fillId="0" borderId="74" xfId="0" applyNumberFormat="1" applyFont="1" applyBorder="1" applyAlignment="1">
      <alignment horizontal="center" vertical="center"/>
    </xf>
    <xf numFmtId="0" fontId="0" fillId="0" borderId="53" xfId="0" applyFont="1" applyBorder="1" applyAlignment="1">
      <alignment horizontal="center" vertical="center"/>
    </xf>
    <xf numFmtId="0" fontId="0" fillId="0" borderId="61" xfId="0" applyFont="1" applyBorder="1" applyAlignment="1">
      <alignment horizontal="center" vertical="center"/>
    </xf>
    <xf numFmtId="0" fontId="4" fillId="0" borderId="45" xfId="0" applyFont="1" applyFill="1" applyBorder="1" applyAlignment="1">
      <alignment horizontal="center" vertical="center"/>
    </xf>
    <xf numFmtId="0" fontId="5" fillId="0" borderId="39" xfId="0" applyFont="1" applyFill="1" applyBorder="1" applyAlignment="1">
      <alignment horizontal="center" vertical="center"/>
    </xf>
    <xf numFmtId="167" fontId="5" fillId="0" borderId="72" xfId="0" applyNumberFormat="1" applyFont="1" applyBorder="1" applyAlignment="1">
      <alignment horizontal="center"/>
    </xf>
    <xf numFmtId="0" fontId="5" fillId="0" borderId="49" xfId="0" applyFont="1" applyFill="1" applyBorder="1" applyAlignment="1">
      <alignment horizontal="center" vertical="center"/>
    </xf>
    <xf numFmtId="167" fontId="5" fillId="0" borderId="73" xfId="0" applyNumberFormat="1" applyFont="1" applyBorder="1" applyAlignment="1">
      <alignment horizontal="center"/>
    </xf>
    <xf numFmtId="0" fontId="5" fillId="0" borderId="68" xfId="0" applyFont="1" applyFill="1" applyBorder="1" applyAlignment="1">
      <alignment horizontal="center" vertical="center"/>
    </xf>
    <xf numFmtId="167" fontId="5" fillId="0" borderId="74" xfId="0" applyNumberFormat="1" applyFont="1" applyBorder="1" applyAlignment="1">
      <alignment horizontal="center"/>
    </xf>
    <xf numFmtId="167" fontId="5" fillId="0" borderId="13" xfId="0" applyNumberFormat="1" applyFont="1" applyBorder="1" applyAlignment="1">
      <alignment horizontal="center"/>
    </xf>
    <xf numFmtId="0" fontId="5" fillId="0" borderId="45" xfId="0" applyFont="1" applyBorder="1" applyAlignment="1">
      <alignment horizontal="center" vertical="center"/>
    </xf>
    <xf numFmtId="167" fontId="5" fillId="0" borderId="47" xfId="0" applyNumberFormat="1" applyFont="1" applyBorder="1" applyAlignment="1">
      <alignment horizontal="center"/>
    </xf>
    <xf numFmtId="0" fontId="4" fillId="0" borderId="59" xfId="0" applyFont="1" applyBorder="1" applyAlignment="1">
      <alignment horizontal="center" vertical="center"/>
    </xf>
    <xf numFmtId="0" fontId="4" fillId="0" borderId="47" xfId="0" applyFont="1" applyFill="1" applyBorder="1" applyAlignment="1">
      <alignment horizontal="center" vertical="center" wrapText="1"/>
    </xf>
    <xf numFmtId="6" fontId="5" fillId="0" borderId="13" xfId="0" applyNumberFormat="1" applyFont="1" applyBorder="1" applyAlignment="1">
      <alignment horizontal="center" vertical="center"/>
    </xf>
    <xf numFmtId="6" fontId="5" fillId="0" borderId="10" xfId="0" applyNumberFormat="1" applyFont="1" applyBorder="1" applyAlignment="1">
      <alignment horizontal="center" vertical="center"/>
    </xf>
    <xf numFmtId="0" fontId="54" fillId="0" borderId="14" xfId="0" applyFont="1" applyFill="1" applyBorder="1" applyAlignment="1">
      <alignment horizontal="center" vertical="center" wrapText="1"/>
    </xf>
    <xf numFmtId="6" fontId="5" fillId="0" borderId="17" xfId="0" applyNumberFormat="1" applyFont="1" applyBorder="1" applyAlignment="1">
      <alignment horizontal="center" vertical="center"/>
    </xf>
    <xf numFmtId="0" fontId="1" fillId="0" borderId="12" xfId="0" applyFont="1" applyFill="1" applyBorder="1" applyAlignment="1">
      <alignment horizontal="center" vertical="center"/>
    </xf>
    <xf numFmtId="0" fontId="5" fillId="0" borderId="25" xfId="0" applyFont="1" applyBorder="1" applyAlignment="1">
      <alignment horizontal="center" vertical="center"/>
    </xf>
    <xf numFmtId="167" fontId="5" fillId="0" borderId="18" xfId="0" applyNumberFormat="1" applyFont="1" applyBorder="1" applyAlignment="1">
      <alignment horizontal="center"/>
    </xf>
    <xf numFmtId="0" fontId="0" fillId="0" borderId="0" xfId="0" applyBorder="1" applyAlignment="1">
      <alignment horizontal="center" wrapText="1"/>
    </xf>
    <xf numFmtId="0" fontId="2" fillId="0" borderId="0"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0" fontId="4" fillId="0" borderId="9" xfId="0" applyFont="1" applyBorder="1" applyAlignment="1">
      <alignment horizontal="center" vertical="center" wrapText="1"/>
    </xf>
    <xf numFmtId="0" fontId="0" fillId="0" borderId="0" xfId="0" applyAlignment="1">
      <alignment horizontal="center"/>
    </xf>
    <xf numFmtId="0" fontId="9" fillId="0" borderId="0" xfId="0" applyFont="1" applyFill="1" applyBorder="1" applyAlignment="1">
      <alignment horizontal="center" vertical="center" wrapText="1"/>
    </xf>
    <xf numFmtId="0" fontId="4" fillId="0" borderId="0" xfId="0" applyFont="1" applyFill="1" applyBorder="1" applyAlignment="1">
      <alignment vertical="center"/>
    </xf>
    <xf numFmtId="6" fontId="0" fillId="0" borderId="13" xfId="0" applyNumberFormat="1" applyBorder="1" applyAlignment="1">
      <alignment horizontal="center" vertical="center"/>
    </xf>
    <xf numFmtId="6" fontId="0" fillId="0" borderId="10" xfId="0" applyNumberFormat="1" applyBorder="1" applyAlignment="1">
      <alignment horizontal="center" vertical="center"/>
    </xf>
    <xf numFmtId="0" fontId="49" fillId="0" borderId="14" xfId="0" applyFont="1" applyFill="1" applyBorder="1" applyAlignment="1">
      <alignment horizontal="center" vertical="center" wrapText="1"/>
    </xf>
    <xf numFmtId="6" fontId="0" fillId="0" borderId="17" xfId="0" applyNumberFormat="1" applyBorder="1" applyAlignment="1">
      <alignment horizontal="center" vertical="center"/>
    </xf>
    <xf numFmtId="0" fontId="8" fillId="0" borderId="11" xfId="0" applyFont="1" applyBorder="1" applyAlignment="1">
      <alignment horizontal="center"/>
    </xf>
    <xf numFmtId="6" fontId="0" fillId="0" borderId="13" xfId="0" applyNumberFormat="1" applyBorder="1" applyAlignment="1">
      <alignment horizontal="center"/>
    </xf>
    <xf numFmtId="0" fontId="8" fillId="0" borderId="14" xfId="0" applyFont="1" applyBorder="1" applyAlignment="1">
      <alignment horizontal="center"/>
    </xf>
    <xf numFmtId="6" fontId="0" fillId="0" borderId="10" xfId="0" applyNumberFormat="1" applyBorder="1" applyAlignment="1">
      <alignment horizontal="center"/>
    </xf>
    <xf numFmtId="0" fontId="8" fillId="0" borderId="15" xfId="0" applyFont="1" applyBorder="1" applyAlignment="1">
      <alignment horizontal="center"/>
    </xf>
    <xf numFmtId="6" fontId="0" fillId="0" borderId="17" xfId="0" applyNumberFormat="1" applyBorder="1" applyAlignment="1">
      <alignment horizontal="center"/>
    </xf>
    <xf numFmtId="0" fontId="2" fillId="5" borderId="76" xfId="0" applyFont="1" applyFill="1" applyBorder="1" applyAlignment="1">
      <alignment horizontal="center" vertical="center"/>
    </xf>
    <xf numFmtId="0" fontId="2" fillId="5" borderId="76" xfId="0" applyFont="1" applyFill="1" applyBorder="1" applyAlignment="1">
      <alignment horizontal="center" wrapText="1"/>
    </xf>
    <xf numFmtId="0" fontId="2" fillId="5" borderId="46" xfId="0" applyFont="1" applyFill="1" applyBorder="1" applyAlignment="1">
      <alignment horizontal="center" vertical="center"/>
    </xf>
    <xf numFmtId="0" fontId="2" fillId="5" borderId="47" xfId="0" applyFont="1" applyFill="1" applyBorder="1" applyAlignment="1">
      <alignment horizontal="center" vertical="center"/>
    </xf>
    <xf numFmtId="0" fontId="0" fillId="0" borderId="1" xfId="0" applyFill="1" applyBorder="1" applyAlignment="1">
      <alignment horizontal="center" vertical="center"/>
    </xf>
    <xf numFmtId="0" fontId="0" fillId="0" borderId="1" xfId="0" applyBorder="1" applyAlignment="1">
      <alignment horizontal="center" vertical="center"/>
    </xf>
    <xf numFmtId="0" fontId="0" fillId="0" borderId="27" xfId="0" applyFill="1" applyBorder="1" applyAlignment="1">
      <alignment horizontal="center"/>
    </xf>
    <xf numFmtId="0" fontId="0" fillId="0" borderId="9" xfId="0" applyFill="1" applyBorder="1" applyAlignment="1">
      <alignment horizontal="center"/>
    </xf>
    <xf numFmtId="2" fontId="8" fillId="0" borderId="38" xfId="0" applyNumberFormat="1" applyFont="1" applyBorder="1" applyAlignment="1">
      <alignment horizontal="center"/>
    </xf>
    <xf numFmtId="0" fontId="2" fillId="0" borderId="54" xfId="0" applyFont="1" applyBorder="1" applyAlignment="1">
      <alignment horizontal="center" vertical="center"/>
    </xf>
    <xf numFmtId="0" fontId="2" fillId="0" borderId="53" xfId="0" applyFont="1" applyBorder="1" applyAlignment="1">
      <alignment horizontal="center" vertical="center"/>
    </xf>
    <xf numFmtId="0" fontId="2" fillId="0" borderId="56" xfId="0" applyFont="1" applyBorder="1" applyAlignment="1">
      <alignment horizontal="center" vertical="center"/>
    </xf>
    <xf numFmtId="0" fontId="2" fillId="5" borderId="76" xfId="0" applyFont="1" applyFill="1" applyBorder="1" applyAlignment="1">
      <alignment horizontal="center" vertical="center" wrapText="1"/>
    </xf>
    <xf numFmtId="5" fontId="8" fillId="4" borderId="16" xfId="0" applyNumberFormat="1" applyFont="1" applyFill="1" applyBorder="1" applyAlignment="1">
      <alignment horizontal="center" vertical="center"/>
    </xf>
    <xf numFmtId="168" fontId="8" fillId="4" borderId="16" xfId="0" applyNumberFormat="1" applyFont="1" applyFill="1" applyBorder="1" applyAlignment="1">
      <alignment horizontal="center" vertical="center"/>
    </xf>
    <xf numFmtId="0" fontId="0" fillId="0" borderId="14" xfId="0" applyFill="1" applyBorder="1" applyAlignment="1">
      <alignment horizontal="center" vertical="center"/>
    </xf>
    <xf numFmtId="0" fontId="0" fillId="0" borderId="15" xfId="0" applyFill="1" applyBorder="1" applyAlignment="1">
      <alignment horizontal="center" vertical="center"/>
    </xf>
    <xf numFmtId="168" fontId="0" fillId="0" borderId="17" xfId="0" applyNumberFormat="1" applyFill="1" applyBorder="1" applyAlignment="1">
      <alignment horizontal="center"/>
    </xf>
    <xf numFmtId="8" fontId="0" fillId="0" borderId="10" xfId="0" applyNumberFormat="1" applyFill="1" applyBorder="1" applyAlignment="1">
      <alignment horizontal="center"/>
    </xf>
    <xf numFmtId="5" fontId="8" fillId="0" borderId="0" xfId="0" applyNumberFormat="1" applyFont="1" applyFill="1" applyBorder="1" applyAlignment="1">
      <alignment horizontal="center" vertical="center"/>
    </xf>
    <xf numFmtId="0" fontId="0" fillId="0" borderId="0" xfId="0" applyBorder="1" applyAlignment="1">
      <alignment horizontal="center"/>
    </xf>
    <xf numFmtId="0" fontId="4" fillId="0" borderId="0" xfId="0" applyFont="1" applyFill="1" applyBorder="1" applyAlignment="1">
      <alignment horizontal="center" vertical="center"/>
    </xf>
    <xf numFmtId="0" fontId="1" fillId="0" borderId="0" xfId="0" applyFont="1" applyFill="1" applyBorder="1" applyAlignment="1">
      <alignment horizontal="center" vertical="center"/>
    </xf>
    <xf numFmtId="0" fontId="0" fillId="0" borderId="15" xfId="0" applyFont="1" applyFill="1" applyBorder="1" applyAlignment="1">
      <alignment horizontal="center" vertical="center"/>
    </xf>
    <xf numFmtId="0" fontId="4" fillId="0" borderId="11" xfId="0" applyFont="1" applyBorder="1" applyAlignment="1">
      <alignment horizontal="center" vertical="center"/>
    </xf>
    <xf numFmtId="0" fontId="4" fillId="0" borderId="12" xfId="0" applyFont="1" applyBorder="1" applyAlignment="1">
      <alignment horizontal="center" vertical="center"/>
    </xf>
    <xf numFmtId="0" fontId="5" fillId="0" borderId="15" xfId="0" applyFont="1" applyBorder="1" applyAlignment="1">
      <alignment horizontal="center" vertical="center"/>
    </xf>
    <xf numFmtId="5" fontId="5" fillId="0" borderId="0" xfId="0" applyNumberFormat="1" applyFont="1" applyFill="1" applyBorder="1" applyAlignment="1">
      <alignment horizontal="center" vertical="center"/>
    </xf>
    <xf numFmtId="0" fontId="1" fillId="0" borderId="12" xfId="0" applyFont="1" applyBorder="1" applyAlignment="1">
      <alignment horizontal="center"/>
    </xf>
    <xf numFmtId="0" fontId="1" fillId="0" borderId="13" xfId="0" applyFont="1" applyBorder="1" applyAlignment="1">
      <alignment horizontal="center"/>
    </xf>
    <xf numFmtId="0" fontId="0" fillId="0" borderId="15" xfId="0" applyBorder="1" applyAlignment="1">
      <alignment horizontal="center"/>
    </xf>
    <xf numFmtId="0" fontId="1" fillId="0" borderId="10" xfId="0" applyFont="1" applyBorder="1" applyAlignment="1">
      <alignment horizontal="center" vertical="center"/>
    </xf>
    <xf numFmtId="0" fontId="4" fillId="0" borderId="9" xfId="0" applyFont="1" applyBorder="1" applyAlignment="1">
      <alignment horizontal="center" vertical="center"/>
    </xf>
    <xf numFmtId="0" fontId="0" fillId="0" borderId="71" xfId="0" applyFont="1" applyBorder="1" applyAlignment="1">
      <alignment horizontal="center" vertical="center" wrapText="1"/>
    </xf>
    <xf numFmtId="4" fontId="0" fillId="0" borderId="27" xfId="0" applyNumberFormat="1" applyFont="1" applyBorder="1" applyAlignment="1">
      <alignment horizontal="center" vertical="center"/>
    </xf>
    <xf numFmtId="4" fontId="0" fillId="0" borderId="9" xfId="0" applyNumberFormat="1" applyFont="1" applyBorder="1" applyAlignment="1">
      <alignment horizontal="center" vertical="center"/>
    </xf>
    <xf numFmtId="171" fontId="0" fillId="0" borderId="9" xfId="0" applyNumberFormat="1" applyFont="1" applyBorder="1" applyAlignment="1">
      <alignment horizontal="center" vertical="center"/>
    </xf>
    <xf numFmtId="0" fontId="1" fillId="0" borderId="1" xfId="0" applyFont="1" applyBorder="1" applyAlignment="1">
      <alignment horizontal="center" vertical="center"/>
    </xf>
    <xf numFmtId="0" fontId="1"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3" fontId="0" fillId="0" borderId="16" xfId="0" applyNumberFormat="1" applyBorder="1" applyAlignment="1">
      <alignment horizontal="center"/>
    </xf>
    <xf numFmtId="0" fontId="1" fillId="0" borderId="14" xfId="0" applyFont="1" applyBorder="1" applyAlignment="1">
      <alignment horizontal="center" vertical="center"/>
    </xf>
    <xf numFmtId="0" fontId="0" fillId="0" borderId="0" xfId="0" applyFont="1" applyBorder="1"/>
    <xf numFmtId="0" fontId="4" fillId="0" borderId="37" xfId="0" applyFont="1" applyFill="1" applyBorder="1" applyAlignment="1">
      <alignment horizontal="center" vertical="center"/>
    </xf>
    <xf numFmtId="167" fontId="5" fillId="0" borderId="53" xfId="0" applyNumberFormat="1" applyFont="1" applyBorder="1" applyAlignment="1">
      <alignment horizontal="center" vertical="center"/>
    </xf>
    <xf numFmtId="0" fontId="4" fillId="0" borderId="76" xfId="0" applyFont="1" applyBorder="1" applyAlignment="1">
      <alignment horizontal="center" vertical="center"/>
    </xf>
    <xf numFmtId="0" fontId="1" fillId="0" borderId="27" xfId="0" applyFont="1" applyFill="1" applyBorder="1" applyAlignment="1">
      <alignment horizontal="center" vertical="center"/>
    </xf>
    <xf numFmtId="0" fontId="1" fillId="0" borderId="9" xfId="0" applyFont="1" applyFill="1" applyBorder="1" applyAlignment="1">
      <alignment horizontal="center" vertical="center"/>
    </xf>
    <xf numFmtId="0" fontId="4" fillId="0" borderId="35" xfId="0" applyFont="1" applyBorder="1" applyAlignment="1">
      <alignment horizontal="center"/>
    </xf>
    <xf numFmtId="167" fontId="0" fillId="0" borderId="36" xfId="0" applyNumberFormat="1" applyFont="1" applyFill="1" applyBorder="1" applyAlignment="1">
      <alignment horizontal="center" vertical="center"/>
    </xf>
    <xf numFmtId="0" fontId="4" fillId="0" borderId="63" xfId="0" applyFont="1" applyFill="1" applyBorder="1" applyAlignment="1">
      <alignment horizontal="center" vertical="center" wrapText="1"/>
    </xf>
    <xf numFmtId="0" fontId="4" fillId="0" borderId="13" xfId="0" applyFont="1" applyFill="1" applyBorder="1" applyAlignment="1">
      <alignment horizontal="center" vertical="center"/>
    </xf>
    <xf numFmtId="0" fontId="7" fillId="0" borderId="0" xfId="0" applyFont="1" applyFill="1" applyBorder="1" applyAlignment="1">
      <alignment vertical="center"/>
    </xf>
    <xf numFmtId="0" fontId="0" fillId="0" borderId="0" xfId="0" applyFont="1" applyFill="1" applyBorder="1" applyAlignment="1">
      <alignment horizontal="center" vertical="center" wrapText="1"/>
    </xf>
    <xf numFmtId="5" fontId="0" fillId="0" borderId="0" xfId="0" applyNumberFormat="1" applyFont="1" applyFill="1" applyBorder="1" applyAlignment="1">
      <alignment horizontal="center" vertical="center"/>
    </xf>
    <xf numFmtId="0" fontId="1" fillId="0" borderId="14" xfId="0" applyFont="1" applyBorder="1" applyAlignment="1">
      <alignment horizontal="center" vertical="center"/>
    </xf>
    <xf numFmtId="0" fontId="0" fillId="0" borderId="0" xfId="0" applyFill="1" applyBorder="1" applyAlignment="1">
      <alignment vertical="center"/>
    </xf>
    <xf numFmtId="1" fontId="0" fillId="0" borderId="1" xfId="0" applyNumberFormat="1" applyFont="1" applyBorder="1" applyAlignment="1">
      <alignment horizontal="center"/>
    </xf>
    <xf numFmtId="3" fontId="5" fillId="0" borderId="0" xfId="0" applyNumberFormat="1" applyFont="1" applyFill="1" applyBorder="1" applyAlignment="1">
      <alignment horizontal="center" vertical="center"/>
    </xf>
    <xf numFmtId="0" fontId="0" fillId="0" borderId="22" xfId="0" applyFont="1" applyBorder="1" applyAlignment="1">
      <alignment horizontal="center"/>
    </xf>
    <xf numFmtId="167" fontId="0" fillId="0" borderId="34" xfId="0" applyNumberFormat="1" applyFont="1" applyFill="1" applyBorder="1" applyAlignment="1">
      <alignment horizontal="center" vertical="center"/>
    </xf>
    <xf numFmtId="0" fontId="1" fillId="5" borderId="76" xfId="0" applyFont="1" applyFill="1" applyBorder="1" applyAlignment="1">
      <alignment vertical="center"/>
    </xf>
    <xf numFmtId="1" fontId="0" fillId="0" borderId="0" xfId="0" applyNumberFormat="1" applyFont="1" applyBorder="1" applyAlignment="1">
      <alignment horizontal="center" vertical="center"/>
    </xf>
    <xf numFmtId="1" fontId="0" fillId="0" borderId="0" xfId="0" applyNumberFormat="1" applyFont="1" applyBorder="1" applyAlignment="1">
      <alignment horizontal="center"/>
    </xf>
    <xf numFmtId="0" fontId="0" fillId="0" borderId="58" xfId="0" applyBorder="1" applyAlignment="1">
      <alignment horizontal="center"/>
    </xf>
    <xf numFmtId="0" fontId="0" fillId="0" borderId="10" xfId="0" applyBorder="1" applyAlignment="1">
      <alignment horizontal="center" vertical="center"/>
    </xf>
    <xf numFmtId="0" fontId="0" fillId="0" borderId="13" xfId="0" applyBorder="1" applyAlignment="1">
      <alignment horizontal="center" vertical="center"/>
    </xf>
    <xf numFmtId="0" fontId="0" fillId="0" borderId="17" xfId="0" applyBorder="1" applyAlignment="1">
      <alignment horizontal="center" vertical="center"/>
    </xf>
    <xf numFmtId="0" fontId="0" fillId="0" borderId="38" xfId="0" applyBorder="1" applyAlignment="1">
      <alignment horizontal="center" vertical="center"/>
    </xf>
    <xf numFmtId="0" fontId="1" fillId="0" borderId="25" xfId="0" applyFont="1" applyBorder="1" applyAlignment="1">
      <alignment horizontal="center" vertical="center"/>
    </xf>
    <xf numFmtId="0" fontId="0" fillId="0" borderId="16" xfId="0" applyBorder="1" applyAlignment="1">
      <alignment horizontal="center"/>
    </xf>
    <xf numFmtId="0" fontId="1" fillId="0" borderId="11" xfId="0" applyFont="1" applyBorder="1" applyAlignment="1">
      <alignment horizontal="center" vertical="center"/>
    </xf>
    <xf numFmtId="0" fontId="1" fillId="0" borderId="15" xfId="0" applyFont="1" applyBorder="1" applyAlignment="1">
      <alignment horizontal="center" vertical="center"/>
    </xf>
    <xf numFmtId="0" fontId="1" fillId="0" borderId="76" xfId="0" applyFont="1" applyBorder="1" applyAlignment="1">
      <alignment horizontal="center" vertical="center"/>
    </xf>
    <xf numFmtId="0" fontId="4" fillId="0" borderId="38" xfId="0" applyFont="1" applyBorder="1" applyAlignment="1">
      <alignment horizontal="center" vertical="center"/>
    </xf>
    <xf numFmtId="0" fontId="1" fillId="0" borderId="1" xfId="0" applyFont="1" applyBorder="1" applyAlignment="1">
      <alignment horizontal="center" vertical="center"/>
    </xf>
    <xf numFmtId="0" fontId="1" fillId="0" borderId="0" xfId="0" applyFont="1" applyFill="1" applyBorder="1" applyAlignment="1">
      <alignment horizontal="center" vertical="center"/>
    </xf>
    <xf numFmtId="0" fontId="1" fillId="0" borderId="43" xfId="0" applyFont="1" applyBorder="1" applyAlignment="1">
      <alignment horizontal="center" vertical="center"/>
    </xf>
    <xf numFmtId="0" fontId="1" fillId="0" borderId="42" xfId="0" applyFont="1" applyBorder="1" applyAlignment="1">
      <alignment horizontal="center" vertical="center" wrapText="1"/>
    </xf>
    <xf numFmtId="0" fontId="1" fillId="0" borderId="9" xfId="0" applyFont="1" applyBorder="1" applyAlignment="1">
      <alignment horizontal="center" vertical="center" wrapText="1"/>
    </xf>
    <xf numFmtId="0" fontId="0" fillId="0" borderId="14" xfId="0" applyFont="1" applyFill="1" applyBorder="1" applyAlignment="1">
      <alignment horizontal="center" vertical="center"/>
    </xf>
    <xf numFmtId="0" fontId="0" fillId="0" borderId="15" xfId="0" applyFont="1" applyFill="1" applyBorder="1" applyAlignment="1">
      <alignment horizontal="center" vertical="center"/>
    </xf>
    <xf numFmtId="0" fontId="1" fillId="5" borderId="43" xfId="0" applyFont="1" applyFill="1" applyBorder="1" applyAlignment="1">
      <alignment horizontal="center" vertical="center"/>
    </xf>
    <xf numFmtId="0" fontId="1" fillId="5" borderId="42" xfId="0" applyFont="1" applyFill="1" applyBorder="1" applyAlignment="1">
      <alignment horizontal="center" vertical="center"/>
    </xf>
    <xf numFmtId="0" fontId="1" fillId="5" borderId="46" xfId="0" applyFont="1" applyFill="1" applyBorder="1" applyAlignment="1">
      <alignment horizontal="center" vertical="center"/>
    </xf>
    <xf numFmtId="0" fontId="1" fillId="5" borderId="47" xfId="0" applyFont="1" applyFill="1" applyBorder="1" applyAlignment="1">
      <alignment horizontal="center" vertical="center"/>
    </xf>
    <xf numFmtId="0" fontId="0" fillId="0" borderId="1" xfId="0" applyFont="1" applyFill="1" applyBorder="1" applyAlignment="1">
      <alignment horizontal="center"/>
    </xf>
    <xf numFmtId="0" fontId="0" fillId="0" borderId="17" xfId="0" applyFont="1" applyBorder="1" applyAlignment="1">
      <alignment horizontal="center" vertical="center"/>
    </xf>
    <xf numFmtId="0" fontId="0" fillId="0" borderId="51" xfId="0" applyFont="1" applyBorder="1" applyAlignment="1">
      <alignment horizontal="center" vertical="center"/>
    </xf>
    <xf numFmtId="0" fontId="0" fillId="0" borderId="54" xfId="0" applyFont="1" applyBorder="1" applyAlignment="1">
      <alignment horizontal="center" vertical="center"/>
    </xf>
    <xf numFmtId="0" fontId="1" fillId="0" borderId="18" xfId="0" applyFont="1" applyBorder="1" applyAlignment="1">
      <alignment horizontal="center" vertical="center"/>
    </xf>
    <xf numFmtId="0" fontId="1" fillId="5" borderId="11" xfId="0" applyFont="1" applyFill="1" applyBorder="1" applyAlignment="1">
      <alignment horizontal="center" vertical="center" wrapText="1"/>
    </xf>
    <xf numFmtId="0" fontId="1" fillId="5" borderId="13" xfId="0" applyFont="1" applyFill="1" applyBorder="1" applyAlignment="1">
      <alignment horizontal="center" vertical="center" wrapText="1"/>
    </xf>
    <xf numFmtId="0" fontId="1" fillId="5" borderId="12" xfId="0" applyFont="1" applyFill="1" applyBorder="1" applyAlignment="1">
      <alignment horizontal="center" vertical="center"/>
    </xf>
    <xf numFmtId="0" fontId="1" fillId="0" borderId="1" xfId="0" applyFont="1" applyBorder="1" applyAlignment="1">
      <alignment horizontal="center" vertical="center" wrapText="1"/>
    </xf>
    <xf numFmtId="0" fontId="1" fillId="0" borderId="10" xfId="0" applyFont="1" applyBorder="1" applyAlignment="1">
      <alignment horizontal="center" vertical="center" wrapText="1"/>
    </xf>
    <xf numFmtId="0" fontId="1" fillId="0" borderId="45" xfId="0" applyFont="1" applyBorder="1" applyAlignment="1">
      <alignment horizontal="center" vertical="center" wrapText="1"/>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12" xfId="0" applyFont="1" applyBorder="1" applyAlignment="1">
      <alignment horizontal="center"/>
    </xf>
    <xf numFmtId="0" fontId="1" fillId="0" borderId="13" xfId="0" applyFont="1" applyBorder="1" applyAlignment="1">
      <alignment horizontal="center"/>
    </xf>
    <xf numFmtId="0" fontId="1" fillId="0" borderId="12" xfId="0" applyFont="1" applyBorder="1" applyAlignment="1">
      <alignment horizontal="center" vertical="center" wrapText="1"/>
    </xf>
    <xf numFmtId="0" fontId="1" fillId="0" borderId="13" xfId="0" applyFont="1" applyBorder="1" applyAlignment="1">
      <alignment horizontal="center" vertical="center" wrapText="1"/>
    </xf>
    <xf numFmtId="0" fontId="1" fillId="5" borderId="11" xfId="0" applyFont="1" applyFill="1" applyBorder="1" applyAlignment="1">
      <alignment horizontal="center" vertical="center"/>
    </xf>
    <xf numFmtId="0" fontId="1" fillId="5" borderId="13" xfId="0" applyFont="1" applyFill="1" applyBorder="1" applyAlignment="1">
      <alignment horizontal="center" vertical="center"/>
    </xf>
    <xf numFmtId="1" fontId="0" fillId="0" borderId="1" xfId="0" applyNumberFormat="1" applyFont="1" applyBorder="1" applyAlignment="1">
      <alignment horizontal="center" vertical="center"/>
    </xf>
    <xf numFmtId="1" fontId="0" fillId="0" borderId="16" xfId="0" applyNumberFormat="1" applyFont="1" applyBorder="1" applyAlignment="1">
      <alignment horizontal="center" vertical="center"/>
    </xf>
    <xf numFmtId="0" fontId="1" fillId="5" borderId="28" xfId="0" applyFont="1" applyFill="1" applyBorder="1" applyAlignment="1">
      <alignment horizontal="center"/>
    </xf>
    <xf numFmtId="0" fontId="1" fillId="5" borderId="48" xfId="0" applyFont="1" applyFill="1" applyBorder="1" applyAlignment="1">
      <alignment horizontal="center" vertical="center"/>
    </xf>
    <xf numFmtId="0" fontId="1" fillId="0" borderId="45" xfId="0" applyFont="1" applyBorder="1" applyAlignment="1">
      <alignment horizontal="center" vertical="center"/>
    </xf>
    <xf numFmtId="0" fontId="0" fillId="0" borderId="52" xfId="0" applyFont="1" applyBorder="1" applyAlignment="1">
      <alignment horizontal="center"/>
    </xf>
    <xf numFmtId="0" fontId="0" fillId="0" borderId="8" xfId="0" applyFont="1" applyBorder="1" applyAlignment="1">
      <alignment horizontal="center"/>
    </xf>
    <xf numFmtId="0" fontId="10" fillId="0" borderId="0" xfId="1" applyFont="1" applyBorder="1"/>
    <xf numFmtId="0" fontId="0" fillId="0" borderId="24" xfId="0" applyFont="1" applyBorder="1" applyAlignment="1">
      <alignment horizontal="center"/>
    </xf>
    <xf numFmtId="1" fontId="0" fillId="0" borderId="22" xfId="0" applyNumberFormat="1" applyFont="1" applyBorder="1" applyAlignment="1">
      <alignment horizontal="center" vertical="center"/>
    </xf>
    <xf numFmtId="164" fontId="0" fillId="0" borderId="22" xfId="0" applyNumberFormat="1" applyFont="1" applyBorder="1" applyAlignment="1">
      <alignment horizontal="center"/>
    </xf>
    <xf numFmtId="165" fontId="0" fillId="0" borderId="22" xfId="0" applyNumberFormat="1" applyFont="1" applyBorder="1" applyAlignment="1">
      <alignment horizontal="center"/>
    </xf>
    <xf numFmtId="40" fontId="0" fillId="0" borderId="62" xfId="0" applyNumberFormat="1" applyFont="1" applyBorder="1" applyAlignment="1">
      <alignment horizontal="center"/>
    </xf>
    <xf numFmtId="0" fontId="0" fillId="0" borderId="17" xfId="0" applyFont="1" applyBorder="1" applyAlignment="1">
      <alignment horizontal="center"/>
    </xf>
    <xf numFmtId="40" fontId="0" fillId="0" borderId="0" xfId="0" applyNumberFormat="1" applyFont="1" applyBorder="1" applyAlignment="1">
      <alignment horizontal="center"/>
    </xf>
    <xf numFmtId="0" fontId="1" fillId="5" borderId="12" xfId="0" applyFont="1" applyFill="1" applyBorder="1" applyAlignment="1">
      <alignment horizontal="center" wrapText="1"/>
    </xf>
    <xf numFmtId="165" fontId="0" fillId="0" borderId="17" xfId="0" applyNumberFormat="1" applyFont="1" applyBorder="1" applyAlignment="1">
      <alignment horizontal="center"/>
    </xf>
    <xf numFmtId="165" fontId="0" fillId="0" borderId="0" xfId="0" applyNumberFormat="1" applyFont="1" applyBorder="1" applyAlignment="1">
      <alignment horizontal="center"/>
    </xf>
    <xf numFmtId="39" fontId="27" fillId="0" borderId="12" xfId="0" applyNumberFormat="1" applyFont="1" applyFill="1" applyBorder="1" applyAlignment="1">
      <alignment horizontal="center" vertical="center"/>
    </xf>
    <xf numFmtId="168" fontId="0" fillId="0" borderId="12" xfId="0" applyNumberFormat="1" applyFont="1" applyBorder="1" applyAlignment="1">
      <alignment horizontal="center" vertical="center"/>
    </xf>
    <xf numFmtId="5" fontId="0" fillId="0" borderId="12" xfId="0" applyNumberFormat="1" applyFont="1" applyBorder="1" applyAlignment="1">
      <alignment horizontal="center" vertical="center"/>
    </xf>
    <xf numFmtId="39" fontId="27" fillId="0" borderId="1" xfId="0" applyNumberFormat="1" applyFont="1" applyFill="1" applyBorder="1" applyAlignment="1">
      <alignment horizontal="center" vertical="center"/>
    </xf>
    <xf numFmtId="39" fontId="27" fillId="0" borderId="9" xfId="0" applyNumberFormat="1" applyFont="1" applyFill="1" applyBorder="1" applyAlignment="1">
      <alignment horizontal="center" vertical="center"/>
    </xf>
    <xf numFmtId="39" fontId="27" fillId="0" borderId="16" xfId="0" applyNumberFormat="1" applyFont="1" applyFill="1" applyBorder="1" applyAlignment="1">
      <alignment horizontal="center" vertical="center"/>
    </xf>
    <xf numFmtId="39" fontId="27" fillId="0" borderId="53" xfId="0" applyNumberFormat="1" applyFont="1" applyFill="1" applyBorder="1" applyAlignment="1">
      <alignment horizontal="center" vertical="center"/>
    </xf>
    <xf numFmtId="168" fontId="0" fillId="0" borderId="16" xfId="0" applyNumberFormat="1" applyFont="1" applyBorder="1" applyAlignment="1">
      <alignment horizontal="center" vertical="center"/>
    </xf>
    <xf numFmtId="5" fontId="0" fillId="0" borderId="16" xfId="0" applyNumberFormat="1" applyFont="1" applyBorder="1" applyAlignment="1">
      <alignment horizontal="center" vertical="center"/>
    </xf>
    <xf numFmtId="0" fontId="0" fillId="0" borderId="21" xfId="0" applyFont="1" applyFill="1" applyBorder="1" applyAlignment="1">
      <alignment horizontal="center" vertical="center"/>
    </xf>
    <xf numFmtId="0" fontId="0" fillId="0" borderId="22" xfId="0" applyFont="1" applyFill="1" applyBorder="1" applyAlignment="1">
      <alignment horizontal="center" vertical="center"/>
    </xf>
    <xf numFmtId="39" fontId="27" fillId="0" borderId="22" xfId="0" applyNumberFormat="1" applyFont="1" applyFill="1" applyBorder="1" applyAlignment="1">
      <alignment horizontal="center" vertical="center"/>
    </xf>
    <xf numFmtId="168" fontId="0" fillId="0" borderId="0" xfId="0" applyNumberFormat="1" applyFont="1" applyBorder="1" applyAlignment="1">
      <alignment horizontal="center" vertical="center"/>
    </xf>
    <xf numFmtId="168" fontId="0" fillId="0" borderId="22" xfId="0" applyNumberFormat="1" applyFont="1" applyBorder="1" applyAlignment="1">
      <alignment horizontal="center" vertical="center"/>
    </xf>
    <xf numFmtId="5" fontId="0" fillId="0" borderId="22" xfId="0" applyNumberFormat="1" applyFont="1" applyBorder="1" applyAlignment="1">
      <alignment horizontal="center" vertical="center"/>
    </xf>
    <xf numFmtId="5" fontId="0" fillId="0" borderId="23" xfId="0" applyNumberFormat="1" applyFont="1" applyBorder="1" applyAlignment="1">
      <alignment horizontal="center" vertical="center"/>
    </xf>
    <xf numFmtId="0" fontId="0" fillId="0" borderId="29" xfId="0" applyFont="1" applyBorder="1" applyAlignment="1">
      <alignment horizontal="center" vertical="center"/>
    </xf>
    <xf numFmtId="168" fontId="0" fillId="0" borderId="9" xfId="0" applyNumberFormat="1" applyFont="1" applyBorder="1" applyAlignment="1">
      <alignment horizontal="center" vertical="center"/>
    </xf>
    <xf numFmtId="168" fontId="0" fillId="0" borderId="7" xfId="0" applyNumberFormat="1" applyFont="1" applyBorder="1" applyAlignment="1">
      <alignment horizontal="center" vertical="center"/>
    </xf>
    <xf numFmtId="0" fontId="0" fillId="0" borderId="21" xfId="0" applyFont="1" applyBorder="1" applyAlignment="1">
      <alignment horizontal="center"/>
    </xf>
    <xf numFmtId="8" fontId="0" fillId="0" borderId="22" xfId="0" applyNumberFormat="1" applyFont="1" applyBorder="1" applyAlignment="1">
      <alignment horizontal="center"/>
    </xf>
    <xf numFmtId="40" fontId="0" fillId="0" borderId="22" xfId="0" applyNumberFormat="1" applyFont="1" applyBorder="1" applyAlignment="1">
      <alignment horizontal="center"/>
    </xf>
    <xf numFmtId="0" fontId="10" fillId="0" borderId="22" xfId="1" applyFont="1" applyBorder="1"/>
    <xf numFmtId="0" fontId="1" fillId="0" borderId="0" xfId="0" applyFont="1" applyFill="1" applyBorder="1" applyAlignment="1">
      <alignment vertical="center" wrapText="1"/>
    </xf>
    <xf numFmtId="0" fontId="0" fillId="0" borderId="11" xfId="0" applyFont="1" applyBorder="1" applyAlignment="1">
      <alignment horizontal="center" vertical="center"/>
    </xf>
    <xf numFmtId="172" fontId="0" fillId="0" borderId="10" xfId="0" applyNumberFormat="1" applyFont="1" applyBorder="1" applyAlignment="1">
      <alignment horizontal="center" vertical="center"/>
    </xf>
    <xf numFmtId="167" fontId="0" fillId="0" borderId="0" xfId="0" applyNumberFormat="1" applyFont="1" applyFill="1" applyBorder="1" applyAlignment="1">
      <alignment horizontal="center"/>
    </xf>
    <xf numFmtId="172" fontId="0" fillId="0" borderId="10" xfId="0" applyNumberFormat="1" applyFont="1" applyBorder="1" applyAlignment="1">
      <alignment horizontal="center"/>
    </xf>
    <xf numFmtId="172" fontId="0" fillId="0" borderId="57" xfId="0" applyNumberFormat="1" applyFont="1" applyBorder="1" applyAlignment="1">
      <alignment horizontal="center"/>
    </xf>
    <xf numFmtId="167" fontId="1" fillId="0" borderId="47" xfId="0" applyNumberFormat="1" applyFont="1" applyBorder="1" applyAlignment="1">
      <alignment horizontal="center"/>
    </xf>
    <xf numFmtId="167" fontId="1" fillId="0" borderId="0" xfId="0" applyNumberFormat="1" applyFont="1" applyFill="1" applyBorder="1" applyAlignment="1">
      <alignment horizontal="center"/>
    </xf>
    <xf numFmtId="0" fontId="10" fillId="0" borderId="0" xfId="1" applyFont="1" applyFill="1" applyBorder="1"/>
    <xf numFmtId="40" fontId="0" fillId="0" borderId="17" xfId="0" applyNumberFormat="1" applyFont="1" applyBorder="1" applyAlignment="1">
      <alignment horizontal="center"/>
    </xf>
    <xf numFmtId="0" fontId="0" fillId="0" borderId="0" xfId="0" applyFont="1" applyFill="1" applyBorder="1"/>
    <xf numFmtId="1" fontId="0" fillId="0" borderId="16" xfId="0" applyNumberFormat="1" applyFont="1" applyFill="1" applyBorder="1" applyAlignment="1">
      <alignment horizontal="center"/>
    </xf>
    <xf numFmtId="1" fontId="0" fillId="0" borderId="17" xfId="0" applyNumberFormat="1" applyFont="1" applyFill="1" applyBorder="1" applyAlignment="1">
      <alignment horizontal="center"/>
    </xf>
    <xf numFmtId="0" fontId="52" fillId="0" borderId="0" xfId="0" applyFont="1" applyFill="1" applyBorder="1" applyAlignment="1">
      <alignment vertical="center"/>
    </xf>
    <xf numFmtId="167" fontId="0" fillId="0" borderId="1" xfId="0" applyNumberFormat="1" applyFont="1" applyBorder="1" applyAlignment="1">
      <alignment horizontal="center"/>
    </xf>
    <xf numFmtId="11" fontId="0" fillId="0" borderId="10" xfId="0" applyNumberFormat="1" applyFont="1" applyBorder="1" applyAlignment="1">
      <alignment horizontal="center"/>
    </xf>
    <xf numFmtId="11" fontId="0" fillId="0" borderId="17" xfId="0" applyNumberFormat="1" applyFont="1" applyBorder="1" applyAlignment="1">
      <alignment horizontal="center"/>
    </xf>
    <xf numFmtId="167" fontId="0" fillId="0" borderId="0" xfId="0" applyNumberFormat="1" applyFont="1" applyBorder="1" applyAlignment="1">
      <alignment horizontal="center"/>
    </xf>
    <xf numFmtId="11" fontId="0" fillId="0" borderId="0" xfId="0" applyNumberFormat="1" applyFont="1" applyBorder="1" applyAlignment="1">
      <alignment horizontal="center"/>
    </xf>
    <xf numFmtId="0" fontId="0" fillId="0" borderId="73" xfId="0" applyFont="1" applyBorder="1" applyAlignment="1">
      <alignment horizontal="center"/>
    </xf>
    <xf numFmtId="1" fontId="0" fillId="0" borderId="10" xfId="0" applyNumberFormat="1" applyFont="1" applyBorder="1" applyAlignment="1">
      <alignment horizontal="center"/>
    </xf>
    <xf numFmtId="0" fontId="0" fillId="0" borderId="74" xfId="0" applyFont="1" applyBorder="1" applyAlignment="1">
      <alignment horizontal="center"/>
    </xf>
    <xf numFmtId="1" fontId="0" fillId="0" borderId="15" xfId="0" applyNumberFormat="1" applyFont="1" applyBorder="1" applyAlignment="1">
      <alignment horizontal="center"/>
    </xf>
    <xf numFmtId="1" fontId="0" fillId="0" borderId="17" xfId="0" applyNumberFormat="1" applyFont="1" applyBorder="1" applyAlignment="1">
      <alignment horizontal="center"/>
    </xf>
    <xf numFmtId="0" fontId="0" fillId="0" borderId="18" xfId="0" applyFont="1" applyBorder="1" applyAlignment="1">
      <alignment horizontal="center" vertical="center"/>
    </xf>
    <xf numFmtId="0" fontId="1" fillId="0" borderId="5" xfId="0" applyFont="1" applyBorder="1" applyAlignment="1">
      <alignment horizontal="center" vertical="center"/>
    </xf>
    <xf numFmtId="0" fontId="0" fillId="0" borderId="20" xfId="0" applyFont="1" applyBorder="1" applyAlignment="1">
      <alignment horizontal="center" vertical="center"/>
    </xf>
    <xf numFmtId="0" fontId="0" fillId="0" borderId="34" xfId="0" applyFont="1" applyBorder="1" applyAlignment="1">
      <alignment horizontal="center"/>
    </xf>
    <xf numFmtId="0" fontId="10" fillId="0" borderId="32" xfId="1" applyFont="1" applyFill="1" applyBorder="1" applyAlignment="1">
      <alignment horizontal="center" vertical="center"/>
    </xf>
    <xf numFmtId="0" fontId="10" fillId="0" borderId="0" xfId="1" applyFont="1" applyFill="1" applyBorder="1" applyAlignment="1">
      <alignment horizontal="center" vertical="center"/>
    </xf>
    <xf numFmtId="1" fontId="0" fillId="0" borderId="32" xfId="0" applyNumberFormat="1" applyFont="1" applyBorder="1" applyAlignment="1">
      <alignment horizontal="center" vertical="center"/>
    </xf>
    <xf numFmtId="0" fontId="0" fillId="0" borderId="33" xfId="0" applyFont="1" applyBorder="1" applyAlignment="1">
      <alignment horizontal="center"/>
    </xf>
    <xf numFmtId="1" fontId="0" fillId="0" borderId="31" xfId="0" applyNumberFormat="1" applyFont="1" applyBorder="1" applyAlignment="1">
      <alignment horizontal="center"/>
    </xf>
    <xf numFmtId="0" fontId="0" fillId="0" borderId="73" xfId="0" applyFont="1" applyBorder="1" applyAlignment="1">
      <alignment horizontal="center" vertical="center"/>
    </xf>
    <xf numFmtId="167" fontId="0" fillId="0" borderId="10" xfId="0" applyNumberFormat="1" applyFont="1" applyBorder="1" applyAlignment="1">
      <alignment horizontal="center"/>
    </xf>
    <xf numFmtId="167" fontId="0" fillId="0" borderId="7" xfId="0" applyNumberFormat="1" applyFont="1" applyBorder="1" applyAlignment="1">
      <alignment horizontal="center"/>
    </xf>
    <xf numFmtId="167" fontId="0" fillId="0" borderId="57" xfId="0" applyNumberFormat="1" applyFont="1" applyBorder="1" applyAlignment="1">
      <alignment horizontal="center"/>
    </xf>
    <xf numFmtId="0" fontId="0" fillId="0" borderId="46" xfId="0" applyFont="1" applyBorder="1"/>
    <xf numFmtId="167" fontId="1" fillId="0" borderId="46" xfId="0" applyNumberFormat="1" applyFont="1" applyBorder="1" applyAlignment="1">
      <alignment horizontal="center"/>
    </xf>
    <xf numFmtId="0" fontId="0" fillId="0" borderId="9" xfId="0" applyFont="1" applyFill="1" applyBorder="1" applyAlignment="1">
      <alignment horizontal="center" vertical="center"/>
    </xf>
    <xf numFmtId="5" fontId="0" fillId="0" borderId="9" xfId="0" applyNumberFormat="1" applyFont="1" applyBorder="1" applyAlignment="1">
      <alignment horizontal="center" vertical="center"/>
    </xf>
    <xf numFmtId="0" fontId="27" fillId="0" borderId="1" xfId="0" applyFont="1" applyFill="1" applyBorder="1" applyAlignment="1">
      <alignment horizontal="center" vertical="center"/>
    </xf>
    <xf numFmtId="2" fontId="27" fillId="0" borderId="1" xfId="0" applyNumberFormat="1" applyFont="1" applyFill="1" applyBorder="1" applyAlignment="1">
      <alignment horizontal="center" vertical="center"/>
    </xf>
    <xf numFmtId="0" fontId="27" fillId="0" borderId="7" xfId="0" applyFont="1" applyFill="1" applyBorder="1" applyAlignment="1">
      <alignment horizontal="center" vertical="center"/>
    </xf>
    <xf numFmtId="0" fontId="0" fillId="0" borderId="24" xfId="0" applyFont="1" applyBorder="1" applyAlignment="1">
      <alignment vertical="center"/>
    </xf>
    <xf numFmtId="0" fontId="0" fillId="0" borderId="0" xfId="0" applyFont="1" applyBorder="1" applyAlignment="1">
      <alignment vertical="center"/>
    </xf>
    <xf numFmtId="0" fontId="0" fillId="0" borderId="27" xfId="0" applyFont="1" applyBorder="1" applyAlignment="1">
      <alignment horizontal="center"/>
    </xf>
    <xf numFmtId="164" fontId="0" fillId="0" borderId="9" xfId="0" applyNumberFormat="1" applyFont="1" applyBorder="1" applyAlignment="1">
      <alignment horizontal="center"/>
    </xf>
    <xf numFmtId="1" fontId="0" fillId="0" borderId="38" xfId="0" applyNumberFormat="1" applyFont="1" applyBorder="1" applyAlignment="1">
      <alignment horizontal="center"/>
    </xf>
    <xf numFmtId="0" fontId="1" fillId="5" borderId="46" xfId="0" applyFont="1" applyFill="1" applyBorder="1" applyAlignment="1">
      <alignment horizontal="center" vertical="center" wrapText="1"/>
    </xf>
    <xf numFmtId="0" fontId="1" fillId="5" borderId="47" xfId="0" applyFont="1" applyFill="1" applyBorder="1" applyAlignment="1">
      <alignment horizontal="center" vertical="center" wrapText="1"/>
    </xf>
    <xf numFmtId="167" fontId="0" fillId="0" borderId="9" xfId="0" applyNumberFormat="1" applyFont="1" applyBorder="1" applyAlignment="1">
      <alignment horizontal="center"/>
    </xf>
    <xf numFmtId="167" fontId="0" fillId="0" borderId="38" xfId="0" applyNumberFormat="1" applyFont="1" applyBorder="1" applyAlignment="1">
      <alignment horizontal="center"/>
    </xf>
    <xf numFmtId="0" fontId="0" fillId="0" borderId="45" xfId="0" applyFont="1" applyBorder="1" applyAlignment="1">
      <alignment horizontal="center" vertical="center"/>
    </xf>
    <xf numFmtId="11" fontId="0" fillId="0" borderId="0" xfId="0" applyNumberFormat="1" applyFont="1" applyBorder="1" applyAlignment="1">
      <alignment horizontal="center" vertical="center"/>
    </xf>
    <xf numFmtId="37" fontId="27" fillId="0" borderId="12" xfId="0" applyNumberFormat="1" applyFont="1" applyFill="1" applyBorder="1" applyAlignment="1">
      <alignment horizontal="center" vertical="center"/>
    </xf>
    <xf numFmtId="37" fontId="27" fillId="0" borderId="1" xfId="0" applyNumberFormat="1" applyFont="1" applyFill="1" applyBorder="1" applyAlignment="1">
      <alignment horizontal="center" vertical="center"/>
    </xf>
    <xf numFmtId="37" fontId="27" fillId="0" borderId="16" xfId="0" applyNumberFormat="1" applyFont="1" applyFill="1" applyBorder="1" applyAlignment="1">
      <alignment horizontal="center" vertical="center"/>
    </xf>
    <xf numFmtId="171" fontId="0" fillId="0" borderId="14" xfId="0" applyNumberFormat="1" applyFont="1" applyBorder="1" applyAlignment="1">
      <alignment horizontal="center"/>
    </xf>
    <xf numFmtId="171" fontId="0" fillId="0" borderId="1" xfId="0" applyNumberFormat="1" applyFont="1" applyBorder="1" applyAlignment="1">
      <alignment horizontal="center"/>
    </xf>
    <xf numFmtId="171" fontId="0" fillId="0" borderId="3" xfId="0" applyNumberFormat="1" applyFont="1" applyBorder="1" applyAlignment="1">
      <alignment horizontal="center"/>
    </xf>
    <xf numFmtId="171" fontId="0" fillId="0" borderId="14" xfId="0" applyNumberFormat="1" applyFont="1" applyBorder="1" applyAlignment="1">
      <alignment horizontal="center" wrapText="1"/>
    </xf>
    <xf numFmtId="171" fontId="0" fillId="0" borderId="1" xfId="0" applyNumberFormat="1" applyFont="1" applyBorder="1" applyAlignment="1">
      <alignment horizontal="center" wrapText="1"/>
    </xf>
    <xf numFmtId="171" fontId="0" fillId="0" borderId="3" xfId="0" applyNumberFormat="1" applyFont="1" applyBorder="1" applyAlignment="1">
      <alignment horizontal="center" wrapText="1"/>
    </xf>
    <xf numFmtId="0" fontId="0" fillId="0" borderId="67" xfId="0" applyFont="1" applyBorder="1" applyAlignment="1">
      <alignment horizontal="center"/>
    </xf>
    <xf numFmtId="171" fontId="0" fillId="0" borderId="51" xfId="0" applyNumberFormat="1" applyFont="1" applyBorder="1" applyAlignment="1">
      <alignment horizontal="center" wrapText="1"/>
    </xf>
    <xf numFmtId="171" fontId="0" fillId="0" borderId="7" xfId="0" applyNumberFormat="1" applyFont="1" applyBorder="1" applyAlignment="1">
      <alignment horizontal="center" wrapText="1"/>
    </xf>
    <xf numFmtId="171" fontId="0" fillId="0" borderId="31" xfId="0" applyNumberFormat="1" applyFont="1" applyBorder="1" applyAlignment="1">
      <alignment horizontal="center" wrapText="1"/>
    </xf>
    <xf numFmtId="1" fontId="0" fillId="0" borderId="7" xfId="0" applyNumberFormat="1" applyFont="1" applyBorder="1" applyAlignment="1">
      <alignment horizontal="center"/>
    </xf>
    <xf numFmtId="0" fontId="0" fillId="0" borderId="12" xfId="0" applyFont="1" applyBorder="1" applyAlignment="1">
      <alignment horizontal="center" wrapText="1"/>
    </xf>
    <xf numFmtId="1" fontId="0" fillId="0" borderId="12" xfId="0" applyNumberFormat="1" applyFont="1" applyBorder="1" applyAlignment="1">
      <alignment horizontal="center"/>
    </xf>
    <xf numFmtId="171" fontId="0" fillId="0" borderId="16" xfId="0" applyNumberFormat="1" applyFont="1" applyBorder="1" applyAlignment="1">
      <alignment horizontal="center" wrapText="1"/>
    </xf>
    <xf numFmtId="171" fontId="0" fillId="0" borderId="0" xfId="0" applyNumberFormat="1" applyFont="1" applyBorder="1" applyAlignment="1">
      <alignment horizontal="center" wrapText="1"/>
    </xf>
    <xf numFmtId="2" fontId="0" fillId="0" borderId="1" xfId="0" applyNumberFormat="1" applyFont="1" applyBorder="1" applyAlignment="1">
      <alignment horizontal="center"/>
    </xf>
    <xf numFmtId="2" fontId="0" fillId="0" borderId="7" xfId="0" applyNumberFormat="1" applyFont="1" applyBorder="1" applyAlignment="1">
      <alignment horizontal="center"/>
    </xf>
    <xf numFmtId="37" fontId="27" fillId="0" borderId="12" xfId="0" applyNumberFormat="1" applyFont="1" applyFill="1" applyBorder="1" applyAlignment="1">
      <alignment horizontal="center"/>
    </xf>
    <xf numFmtId="168" fontId="0" fillId="0" borderId="12" xfId="0" applyNumberFormat="1" applyFont="1" applyBorder="1" applyAlignment="1">
      <alignment horizontal="center"/>
    </xf>
    <xf numFmtId="5" fontId="0" fillId="0" borderId="12" xfId="0" applyNumberFormat="1" applyFont="1" applyBorder="1" applyAlignment="1">
      <alignment horizontal="center"/>
    </xf>
    <xf numFmtId="37" fontId="27" fillId="0" borderId="1" xfId="0" applyNumberFormat="1" applyFont="1" applyFill="1" applyBorder="1" applyAlignment="1">
      <alignment horizontal="center"/>
    </xf>
    <xf numFmtId="168" fontId="0" fillId="0" borderId="1" xfId="0" applyNumberFormat="1" applyFont="1" applyBorder="1" applyAlignment="1">
      <alignment horizontal="center"/>
    </xf>
    <xf numFmtId="5" fontId="0" fillId="0" borderId="9" xfId="0" applyNumberFormat="1" applyFont="1" applyBorder="1" applyAlignment="1">
      <alignment horizontal="center"/>
    </xf>
    <xf numFmtId="5" fontId="0" fillId="0" borderId="1" xfId="0" applyNumberFormat="1" applyFont="1" applyBorder="1" applyAlignment="1">
      <alignment horizontal="center"/>
    </xf>
    <xf numFmtId="37" fontId="27" fillId="0" borderId="16" xfId="0" applyNumberFormat="1" applyFont="1" applyFill="1" applyBorder="1" applyAlignment="1">
      <alignment horizontal="center"/>
    </xf>
    <xf numFmtId="168" fontId="0" fillId="0" borderId="16" xfId="0" applyNumberFormat="1" applyFont="1" applyBorder="1" applyAlignment="1">
      <alignment horizontal="center"/>
    </xf>
    <xf numFmtId="5" fontId="0" fillId="0" borderId="53" xfId="0" applyNumberFormat="1" applyFont="1" applyBorder="1" applyAlignment="1">
      <alignment horizontal="center"/>
    </xf>
    <xf numFmtId="5" fontId="0" fillId="0" borderId="16" xfId="0" applyNumberFormat="1" applyFont="1" applyBorder="1" applyAlignment="1">
      <alignment horizontal="center"/>
    </xf>
    <xf numFmtId="37" fontId="27" fillId="0" borderId="9" xfId="0" applyNumberFormat="1" applyFont="1" applyFill="1" applyBorder="1" applyAlignment="1">
      <alignment horizontal="center"/>
    </xf>
    <xf numFmtId="37" fontId="27" fillId="0" borderId="53" xfId="0" applyNumberFormat="1" applyFont="1" applyFill="1" applyBorder="1" applyAlignment="1">
      <alignment horizontal="center"/>
    </xf>
    <xf numFmtId="39" fontId="27" fillId="0" borderId="12" xfId="0" applyNumberFormat="1" applyFont="1" applyFill="1" applyBorder="1" applyAlignment="1">
      <alignment horizontal="center"/>
    </xf>
    <xf numFmtId="39" fontId="27" fillId="0" borderId="1" xfId="0" applyNumberFormat="1" applyFont="1" applyFill="1" applyBorder="1" applyAlignment="1">
      <alignment horizontal="center"/>
    </xf>
    <xf numFmtId="39" fontId="27" fillId="0" borderId="16" xfId="0" applyNumberFormat="1" applyFont="1" applyFill="1" applyBorder="1" applyAlignment="1">
      <alignment horizontal="center"/>
    </xf>
    <xf numFmtId="39" fontId="27" fillId="0" borderId="37" xfId="0" applyNumberFormat="1" applyFont="1" applyFill="1" applyBorder="1" applyAlignment="1">
      <alignment horizontal="center"/>
    </xf>
    <xf numFmtId="39" fontId="27" fillId="0" borderId="35" xfId="0" applyNumberFormat="1" applyFont="1" applyFill="1" applyBorder="1" applyAlignment="1">
      <alignment horizontal="center"/>
    </xf>
    <xf numFmtId="39" fontId="27" fillId="0" borderId="61" xfId="0" applyNumberFormat="1" applyFont="1" applyFill="1" applyBorder="1" applyAlignment="1">
      <alignment horizontal="center"/>
    </xf>
    <xf numFmtId="173" fontId="27" fillId="0" borderId="12" xfId="0" applyNumberFormat="1" applyFont="1" applyFill="1" applyBorder="1" applyAlignment="1">
      <alignment horizontal="center"/>
    </xf>
    <xf numFmtId="173" fontId="27" fillId="0" borderId="1" xfId="0" applyNumberFormat="1" applyFont="1" applyFill="1" applyBorder="1" applyAlignment="1">
      <alignment horizontal="center"/>
    </xf>
    <xf numFmtId="39" fontId="27" fillId="0" borderId="9" xfId="0" applyNumberFormat="1" applyFont="1" applyFill="1" applyBorder="1" applyAlignment="1">
      <alignment horizontal="center"/>
    </xf>
    <xf numFmtId="173" fontId="27" fillId="0" borderId="16" xfId="0" applyNumberFormat="1" applyFont="1" applyFill="1" applyBorder="1" applyAlignment="1">
      <alignment horizontal="center"/>
    </xf>
    <xf numFmtId="39" fontId="27" fillId="0" borderId="53" xfId="0" applyNumberFormat="1" applyFont="1" applyFill="1" applyBorder="1" applyAlignment="1">
      <alignment horizontal="center"/>
    </xf>
    <xf numFmtId="0" fontId="0" fillId="0" borderId="21" xfId="0" applyFont="1" applyBorder="1" applyAlignment="1">
      <alignment horizontal="center" vertical="center"/>
    </xf>
    <xf numFmtId="37" fontId="27" fillId="0" borderId="22" xfId="0" applyNumberFormat="1" applyFont="1" applyFill="1" applyBorder="1" applyAlignment="1">
      <alignment horizontal="center"/>
    </xf>
    <xf numFmtId="39" fontId="27" fillId="0" borderId="22" xfId="0" applyNumberFormat="1" applyFont="1" applyFill="1" applyBorder="1" applyAlignment="1">
      <alignment horizontal="center"/>
    </xf>
    <xf numFmtId="168" fontId="0" fillId="0" borderId="22" xfId="0" applyNumberFormat="1" applyFont="1" applyBorder="1" applyAlignment="1">
      <alignment horizontal="center"/>
    </xf>
    <xf numFmtId="5" fontId="0" fillId="0" borderId="22" xfId="0" applyNumberFormat="1" applyFont="1" applyBorder="1" applyAlignment="1">
      <alignment horizontal="center"/>
    </xf>
    <xf numFmtId="37" fontId="27" fillId="0" borderId="7" xfId="0" applyNumberFormat="1" applyFont="1" applyFill="1" applyBorder="1" applyAlignment="1">
      <alignment horizontal="center"/>
    </xf>
    <xf numFmtId="5" fontId="0" fillId="0" borderId="7" xfId="0" applyNumberFormat="1" applyFont="1" applyBorder="1" applyAlignment="1">
      <alignment horizontal="center"/>
    </xf>
    <xf numFmtId="1" fontId="0" fillId="0" borderId="0" xfId="0" applyNumberFormat="1" applyFont="1" applyBorder="1" applyAlignment="1">
      <alignment horizontal="center" wrapText="1"/>
    </xf>
    <xf numFmtId="0" fontId="0" fillId="0" borderId="72" xfId="0" applyFont="1" applyBorder="1" applyAlignment="1">
      <alignment horizontal="center"/>
    </xf>
    <xf numFmtId="0" fontId="1" fillId="0" borderId="0" xfId="0" applyFont="1" applyFill="1" applyBorder="1" applyAlignment="1">
      <alignment wrapText="1"/>
    </xf>
    <xf numFmtId="0" fontId="1" fillId="0" borderId="76" xfId="0" applyFont="1" applyBorder="1" applyAlignment="1">
      <alignment horizontal="center" vertical="center" wrapText="1"/>
    </xf>
    <xf numFmtId="37" fontId="27" fillId="0" borderId="0" xfId="0" applyNumberFormat="1" applyFont="1" applyFill="1" applyBorder="1" applyAlignment="1">
      <alignment horizontal="center"/>
    </xf>
    <xf numFmtId="168" fontId="0" fillId="0" borderId="0" xfId="0" applyNumberFormat="1" applyFont="1" applyFill="1" applyBorder="1" applyAlignment="1">
      <alignment horizontal="center" vertical="center"/>
    </xf>
    <xf numFmtId="168" fontId="0" fillId="0" borderId="0" xfId="0" applyNumberFormat="1" applyFont="1" applyFill="1" applyBorder="1" applyAlignment="1">
      <alignment horizontal="center"/>
    </xf>
    <xf numFmtId="5" fontId="0" fillId="0" borderId="0" xfId="0" applyNumberFormat="1" applyFont="1" applyFill="1" applyBorder="1" applyAlignment="1">
      <alignment horizontal="center"/>
    </xf>
    <xf numFmtId="168" fontId="0" fillId="0" borderId="0" xfId="0" applyNumberFormat="1" applyFont="1" applyBorder="1" applyAlignment="1">
      <alignment horizontal="center"/>
    </xf>
    <xf numFmtId="5" fontId="0" fillId="0" borderId="0" xfId="0" applyNumberFormat="1" applyFont="1" applyBorder="1" applyAlignment="1">
      <alignment horizontal="center"/>
    </xf>
    <xf numFmtId="0" fontId="0" fillId="0" borderId="37" xfId="0" applyFont="1" applyBorder="1" applyAlignment="1">
      <alignment horizontal="center" vertical="center"/>
    </xf>
    <xf numFmtId="168" fontId="0" fillId="0" borderId="63" xfId="0" applyNumberFormat="1" applyFont="1" applyBorder="1" applyAlignment="1">
      <alignment horizontal="center" vertical="center"/>
    </xf>
    <xf numFmtId="0" fontId="0" fillId="0" borderId="3" xfId="0" applyFont="1" applyBorder="1" applyAlignment="1">
      <alignment horizontal="center" vertical="center"/>
    </xf>
    <xf numFmtId="168" fontId="0" fillId="0" borderId="5" xfId="0" applyNumberFormat="1" applyFont="1" applyBorder="1" applyAlignment="1">
      <alignment horizontal="center" vertical="center"/>
    </xf>
    <xf numFmtId="0" fontId="0" fillId="0" borderId="36" xfId="0" applyFont="1" applyBorder="1" applyAlignment="1">
      <alignment horizontal="center" vertical="center"/>
    </xf>
    <xf numFmtId="168" fontId="0" fillId="0" borderId="20" xfId="0" applyNumberFormat="1" applyFont="1" applyBorder="1" applyAlignment="1">
      <alignment horizontal="center" vertical="center"/>
    </xf>
    <xf numFmtId="37" fontId="27" fillId="0" borderId="9" xfId="0" applyNumberFormat="1" applyFont="1" applyFill="1" applyBorder="1" applyAlignment="1">
      <alignment horizontal="center" vertical="center"/>
    </xf>
    <xf numFmtId="37" fontId="27" fillId="0" borderId="8" xfId="0" applyNumberFormat="1" applyFont="1" applyFill="1" applyBorder="1" applyAlignment="1">
      <alignment horizontal="center" vertical="center"/>
    </xf>
    <xf numFmtId="37" fontId="27" fillId="0" borderId="42" xfId="0" applyNumberFormat="1" applyFont="1" applyFill="1" applyBorder="1" applyAlignment="1">
      <alignment horizontal="center"/>
    </xf>
    <xf numFmtId="174" fontId="0" fillId="0" borderId="15" xfId="0" applyNumberFormat="1" applyFont="1" applyBorder="1" applyAlignment="1">
      <alignment horizontal="center"/>
    </xf>
    <xf numFmtId="174" fontId="0" fillId="0" borderId="16" xfId="0" applyNumberFormat="1" applyFont="1" applyBorder="1" applyAlignment="1">
      <alignment horizontal="center"/>
    </xf>
    <xf numFmtId="0" fontId="0" fillId="0" borderId="36" xfId="0" applyFont="1" applyBorder="1" applyAlignment="1">
      <alignment horizontal="center"/>
    </xf>
    <xf numFmtId="174" fontId="0" fillId="0" borderId="0" xfId="0" applyNumberFormat="1" applyFont="1" applyBorder="1" applyAlignment="1">
      <alignment horizontal="center"/>
    </xf>
    <xf numFmtId="3" fontId="0" fillId="0" borderId="12" xfId="0" applyNumberFormat="1" applyFont="1" applyBorder="1" applyAlignment="1">
      <alignment horizontal="center"/>
    </xf>
    <xf numFmtId="3" fontId="0" fillId="0" borderId="1" xfId="0" applyNumberFormat="1" applyFont="1" applyBorder="1" applyAlignment="1">
      <alignment horizontal="center"/>
    </xf>
    <xf numFmtId="3" fontId="0" fillId="0" borderId="16" xfId="0" applyNumberFormat="1" applyFont="1" applyBorder="1" applyAlignment="1">
      <alignment horizontal="center"/>
    </xf>
    <xf numFmtId="169" fontId="0" fillId="0" borderId="12" xfId="0" applyNumberFormat="1" applyFont="1" applyBorder="1" applyAlignment="1">
      <alignment horizontal="center" vertical="center"/>
    </xf>
    <xf numFmtId="0" fontId="0" fillId="0" borderId="12" xfId="0" applyFont="1" applyBorder="1" applyAlignment="1">
      <alignment horizontal="center"/>
    </xf>
    <xf numFmtId="169" fontId="0" fillId="0" borderId="1" xfId="0" applyNumberFormat="1" applyFont="1" applyBorder="1" applyAlignment="1">
      <alignment horizontal="center" vertical="center"/>
    </xf>
    <xf numFmtId="0" fontId="0" fillId="0" borderId="1" xfId="0" applyFont="1" applyBorder="1" applyAlignment="1">
      <alignment horizontal="center"/>
    </xf>
    <xf numFmtId="169" fontId="0" fillId="0" borderId="16" xfId="0" applyNumberFormat="1" applyFont="1" applyBorder="1" applyAlignment="1">
      <alignment horizontal="center" vertical="center"/>
    </xf>
    <xf numFmtId="0" fontId="0" fillId="0" borderId="9" xfId="0" applyFont="1" applyBorder="1" applyAlignment="1">
      <alignment horizontal="center"/>
    </xf>
    <xf numFmtId="0" fontId="10" fillId="0" borderId="0" xfId="1" applyFont="1" applyBorder="1" applyAlignment="1">
      <alignment vertical="center"/>
    </xf>
    <xf numFmtId="0" fontId="0" fillId="0" borderId="46" xfId="0" applyFont="1" applyBorder="1" applyAlignment="1">
      <alignment horizontal="center"/>
    </xf>
    <xf numFmtId="1" fontId="0" fillId="0" borderId="46" xfId="0" applyNumberFormat="1" applyFont="1" applyBorder="1" applyAlignment="1">
      <alignment horizontal="center"/>
    </xf>
    <xf numFmtId="5" fontId="0" fillId="0" borderId="46" xfId="0" applyNumberFormat="1" applyFont="1" applyBorder="1" applyAlignment="1">
      <alignment horizontal="center"/>
    </xf>
    <xf numFmtId="2" fontId="0" fillId="0" borderId="9" xfId="0" applyNumberFormat="1" applyFont="1" applyBorder="1" applyAlignment="1">
      <alignment horizontal="center"/>
    </xf>
    <xf numFmtId="0" fontId="1" fillId="5" borderId="45" xfId="0" applyFont="1" applyFill="1" applyBorder="1" applyAlignment="1">
      <alignment horizontal="center"/>
    </xf>
    <xf numFmtId="0" fontId="0" fillId="5" borderId="46" xfId="0" applyFont="1" applyFill="1" applyBorder="1"/>
    <xf numFmtId="0" fontId="0" fillId="0" borderId="54" xfId="0" applyFont="1" applyBorder="1" applyAlignment="1">
      <alignment horizontal="center"/>
    </xf>
    <xf numFmtId="0" fontId="0" fillId="0" borderId="53" xfId="0" applyFont="1" applyBorder="1" applyAlignment="1">
      <alignment horizontal="center"/>
    </xf>
    <xf numFmtId="0" fontId="0" fillId="0" borderId="64" xfId="0" applyFont="1" applyBorder="1" applyAlignment="1">
      <alignment horizontal="center"/>
    </xf>
    <xf numFmtId="0" fontId="0" fillId="0" borderId="49" xfId="0" applyFont="1" applyBorder="1" applyAlignment="1">
      <alignment horizontal="center"/>
    </xf>
    <xf numFmtId="0" fontId="0" fillId="0" borderId="68" xfId="0" applyFont="1" applyBorder="1" applyAlignment="1">
      <alignment horizontal="center"/>
    </xf>
    <xf numFmtId="0" fontId="0" fillId="0" borderId="62" xfId="0" applyFont="1" applyBorder="1" applyAlignment="1">
      <alignment horizontal="center"/>
    </xf>
    <xf numFmtId="1" fontId="0" fillId="0" borderId="8" xfId="0" applyNumberFormat="1" applyFont="1" applyBorder="1" applyAlignment="1">
      <alignment horizontal="center"/>
    </xf>
    <xf numFmtId="5" fontId="0" fillId="5" borderId="46" xfId="0" applyNumberFormat="1" applyFont="1" applyFill="1" applyBorder="1"/>
    <xf numFmtId="0" fontId="1" fillId="7" borderId="45" xfId="0" applyFont="1" applyFill="1" applyBorder="1" applyAlignment="1">
      <alignment horizontal="center" vertical="center"/>
    </xf>
    <xf numFmtId="1" fontId="0" fillId="0" borderId="9" xfId="0" applyNumberFormat="1" applyFont="1" applyBorder="1" applyAlignment="1">
      <alignment horizontal="center" vertical="center"/>
    </xf>
    <xf numFmtId="0" fontId="0" fillId="0" borderId="51" xfId="0" applyFont="1" applyBorder="1" applyAlignment="1">
      <alignment horizontal="center"/>
    </xf>
    <xf numFmtId="0" fontId="0" fillId="0" borderId="45" xfId="0" applyFont="1" applyBorder="1" applyAlignment="1">
      <alignment horizontal="center"/>
    </xf>
    <xf numFmtId="3" fontId="0" fillId="0" borderId="46" xfId="0" applyNumberFormat="1" applyFont="1" applyBorder="1" applyAlignment="1">
      <alignment horizontal="center"/>
    </xf>
    <xf numFmtId="0" fontId="1" fillId="5" borderId="43" xfId="0" applyFont="1" applyFill="1" applyBorder="1" applyAlignment="1">
      <alignment horizontal="center"/>
    </xf>
    <xf numFmtId="0" fontId="0" fillId="5" borderId="70" xfId="0" applyFont="1" applyFill="1" applyBorder="1"/>
    <xf numFmtId="0" fontId="0" fillId="0" borderId="39" xfId="0" applyFont="1" applyBorder="1" applyAlignment="1">
      <alignment horizontal="center"/>
    </xf>
    <xf numFmtId="0" fontId="1" fillId="5" borderId="52" xfId="0" applyFont="1" applyFill="1" applyBorder="1" applyAlignment="1">
      <alignment horizontal="center"/>
    </xf>
    <xf numFmtId="0" fontId="0" fillId="5" borderId="32" xfId="0" applyFont="1" applyFill="1" applyBorder="1"/>
    <xf numFmtId="0" fontId="0" fillId="5" borderId="12" xfId="0" applyFont="1" applyFill="1" applyBorder="1" applyAlignment="1">
      <alignment horizontal="center"/>
    </xf>
    <xf numFmtId="0" fontId="1" fillId="0" borderId="45" xfId="0" applyFont="1" applyFill="1" applyBorder="1" applyAlignment="1">
      <alignment horizontal="center" vertical="center" wrapText="1"/>
    </xf>
    <xf numFmtId="0" fontId="0" fillId="0" borderId="0" xfId="0" applyFont="1" applyFill="1"/>
    <xf numFmtId="2" fontId="0" fillId="0" borderId="0" xfId="0" applyNumberFormat="1" applyFont="1" applyBorder="1" applyAlignment="1">
      <alignment horizontal="center"/>
    </xf>
    <xf numFmtId="0" fontId="0" fillId="0" borderId="7" xfId="0" applyFont="1" applyFill="1" applyBorder="1" applyAlignment="1">
      <alignment horizontal="center"/>
    </xf>
    <xf numFmtId="1" fontId="0" fillId="0" borderId="6" xfId="0" applyNumberFormat="1" applyFont="1" applyBorder="1" applyAlignment="1">
      <alignment horizontal="center"/>
    </xf>
    <xf numFmtId="3" fontId="0" fillId="0" borderId="8" xfId="0" applyNumberFormat="1" applyFont="1" applyBorder="1" applyAlignment="1">
      <alignment horizontal="center" vertical="center"/>
    </xf>
    <xf numFmtId="4" fontId="0" fillId="0" borderId="11" xfId="0" applyNumberFormat="1" applyFont="1" applyBorder="1" applyAlignment="1">
      <alignment horizontal="center" vertical="center"/>
    </xf>
    <xf numFmtId="4" fontId="0" fillId="0" borderId="12" xfId="0" applyNumberFormat="1" applyFont="1" applyBorder="1" applyAlignment="1">
      <alignment horizontal="center" vertical="center"/>
    </xf>
    <xf numFmtId="169" fontId="0" fillId="0" borderId="17" xfId="0" applyNumberFormat="1" applyFont="1" applyBorder="1" applyAlignment="1">
      <alignment horizontal="center"/>
    </xf>
    <xf numFmtId="5" fontId="0" fillId="0" borderId="0" xfId="0" applyNumberFormat="1" applyFont="1" applyFill="1" applyBorder="1" applyAlignment="1">
      <alignment horizontal="center" vertical="center"/>
    </xf>
    <xf numFmtId="0" fontId="1" fillId="17" borderId="11" xfId="0" applyFont="1" applyFill="1" applyBorder="1" applyAlignment="1">
      <alignment horizontal="center"/>
    </xf>
    <xf numFmtId="0" fontId="1" fillId="17" borderId="12" xfId="0" applyFont="1" applyFill="1" applyBorder="1" applyAlignment="1">
      <alignment horizontal="center"/>
    </xf>
    <xf numFmtId="0" fontId="1" fillId="17" borderId="13" xfId="0" applyFont="1" applyFill="1" applyBorder="1" applyAlignment="1">
      <alignment horizontal="center"/>
    </xf>
    <xf numFmtId="0" fontId="1" fillId="17" borderId="43" xfId="0" applyFont="1" applyFill="1" applyBorder="1" applyAlignment="1">
      <alignment horizontal="center" vertical="center"/>
    </xf>
    <xf numFmtId="0" fontId="1" fillId="17" borderId="48" xfId="0" applyFont="1" applyFill="1" applyBorder="1" applyAlignment="1">
      <alignment horizontal="center" vertical="center"/>
    </xf>
    <xf numFmtId="3" fontId="0" fillId="0" borderId="9" xfId="0" applyNumberFormat="1" applyFont="1" applyBorder="1" applyAlignment="1">
      <alignment horizontal="center" vertical="center"/>
    </xf>
    <xf numFmtId="3" fontId="0" fillId="0" borderId="38" xfId="0" applyNumberFormat="1" applyFont="1" applyBorder="1" applyAlignment="1">
      <alignment horizontal="center" vertical="center"/>
    </xf>
    <xf numFmtId="1" fontId="0" fillId="0" borderId="20" xfId="0" applyNumberFormat="1" applyFont="1" applyBorder="1" applyAlignment="1">
      <alignment horizontal="center"/>
    </xf>
    <xf numFmtId="171" fontId="0" fillId="0" borderId="0" xfId="0" applyNumberFormat="1" applyFont="1" applyBorder="1" applyAlignment="1">
      <alignment horizontal="center"/>
    </xf>
    <xf numFmtId="1" fontId="0" fillId="0" borderId="11" xfId="0" applyNumberFormat="1" applyBorder="1" applyAlignment="1">
      <alignment horizontal="center"/>
    </xf>
    <xf numFmtId="1" fontId="0" fillId="0" borderId="14" xfId="0" applyNumberFormat="1" applyBorder="1" applyAlignment="1">
      <alignment horizontal="center"/>
    </xf>
    <xf numFmtId="1" fontId="0" fillId="0" borderId="51" xfId="0" applyNumberFormat="1" applyBorder="1" applyAlignment="1">
      <alignment horizontal="center"/>
    </xf>
    <xf numFmtId="1" fontId="0" fillId="0" borderId="13" xfId="0" applyNumberFormat="1" applyBorder="1" applyAlignment="1">
      <alignment horizontal="center"/>
    </xf>
    <xf numFmtId="1" fontId="0" fillId="0" borderId="17" xfId="0" applyNumberFormat="1" applyBorder="1" applyAlignment="1">
      <alignment horizontal="center"/>
    </xf>
    <xf numFmtId="1" fontId="0" fillId="0" borderId="37" xfId="0" applyNumberFormat="1" applyBorder="1" applyAlignment="1">
      <alignment horizontal="center"/>
    </xf>
    <xf numFmtId="1" fontId="0" fillId="0" borderId="3" xfId="0" applyNumberFormat="1" applyBorder="1" applyAlignment="1">
      <alignment horizontal="center"/>
    </xf>
    <xf numFmtId="1" fontId="0" fillId="0" borderId="31" xfId="0" applyNumberFormat="1" applyBorder="1" applyAlignment="1">
      <alignment horizontal="center"/>
    </xf>
    <xf numFmtId="1" fontId="0" fillId="0" borderId="54" xfId="0" applyNumberFormat="1" applyFont="1" applyBorder="1" applyAlignment="1">
      <alignment horizontal="center"/>
    </xf>
    <xf numFmtId="0" fontId="0" fillId="0" borderId="71" xfId="0" applyFont="1" applyBorder="1" applyAlignment="1">
      <alignment horizontal="center"/>
    </xf>
    <xf numFmtId="171" fontId="0" fillId="0" borderId="27" xfId="0" applyNumberFormat="1" applyFont="1" applyBorder="1" applyAlignment="1">
      <alignment horizontal="center"/>
    </xf>
    <xf numFmtId="171" fontId="0" fillId="0" borderId="9" xfId="0" applyNumberFormat="1" applyFont="1" applyBorder="1" applyAlignment="1">
      <alignment horizontal="center"/>
    </xf>
    <xf numFmtId="171" fontId="0" fillId="0" borderId="35" xfId="0" applyNumberFormat="1" applyFont="1" applyBorder="1" applyAlignment="1">
      <alignment horizontal="center"/>
    </xf>
    <xf numFmtId="0" fontId="1" fillId="0" borderId="0" xfId="0" applyFont="1" applyFill="1" applyBorder="1" applyAlignment="1">
      <alignment horizontal="center" vertical="center"/>
    </xf>
    <xf numFmtId="0" fontId="1" fillId="0" borderId="9" xfId="0" applyFont="1" applyBorder="1" applyAlignment="1">
      <alignment horizontal="center" vertical="center"/>
    </xf>
    <xf numFmtId="0" fontId="1" fillId="0" borderId="12" xfId="0" applyFont="1" applyBorder="1" applyAlignment="1">
      <alignment horizontal="center" vertical="center"/>
    </xf>
    <xf numFmtId="0" fontId="1" fillId="0" borderId="13" xfId="0" applyFont="1" applyBorder="1" applyAlignment="1">
      <alignment horizontal="center" vertical="center"/>
    </xf>
    <xf numFmtId="0" fontId="10" fillId="0" borderId="0" xfId="1" applyFont="1" applyFill="1" applyBorder="1" applyAlignment="1">
      <alignment horizontal="center" vertical="center"/>
    </xf>
    <xf numFmtId="1" fontId="0" fillId="0" borderId="16" xfId="0" applyNumberFormat="1" applyFont="1" applyBorder="1" applyAlignment="1">
      <alignment horizontal="center"/>
    </xf>
    <xf numFmtId="1" fontId="0" fillId="0" borderId="17" xfId="0" applyNumberFormat="1" applyFont="1" applyBorder="1" applyAlignment="1">
      <alignment horizontal="center"/>
    </xf>
    <xf numFmtId="0" fontId="0" fillId="0" borderId="1" xfId="0" applyFont="1" applyBorder="1" applyAlignment="1">
      <alignment horizontal="center" vertical="center"/>
    </xf>
    <xf numFmtId="1" fontId="0" fillId="0" borderId="53" xfId="0" applyNumberFormat="1" applyFont="1" applyBorder="1" applyAlignment="1">
      <alignment horizontal="center"/>
    </xf>
    <xf numFmtId="3" fontId="0" fillId="0" borderId="15" xfId="0" applyNumberFormat="1" applyFont="1" applyBorder="1" applyAlignment="1">
      <alignment horizontal="center" vertical="center"/>
    </xf>
    <xf numFmtId="1" fontId="0" fillId="0" borderId="16" xfId="0" applyNumberFormat="1" applyFont="1" applyBorder="1" applyAlignment="1">
      <alignment horizontal="center" vertical="center"/>
    </xf>
    <xf numFmtId="0" fontId="0" fillId="0" borderId="79" xfId="0" applyFont="1" applyBorder="1" applyAlignment="1">
      <alignment horizontal="center"/>
    </xf>
    <xf numFmtId="0" fontId="1" fillId="17" borderId="11" xfId="0" applyFont="1" applyFill="1" applyBorder="1" applyAlignment="1">
      <alignment horizontal="center" vertical="center" wrapText="1"/>
    </xf>
    <xf numFmtId="0" fontId="1" fillId="17" borderId="12" xfId="0" applyFont="1" applyFill="1" applyBorder="1" applyAlignment="1">
      <alignment horizontal="center" vertical="center"/>
    </xf>
    <xf numFmtId="0" fontId="1" fillId="17" borderId="12" xfId="0" applyFont="1" applyFill="1" applyBorder="1" applyAlignment="1">
      <alignment horizontal="center" vertical="center" wrapText="1"/>
    </xf>
    <xf numFmtId="0" fontId="1" fillId="17" borderId="13" xfId="0" applyFont="1" applyFill="1" applyBorder="1" applyAlignment="1">
      <alignment horizontal="center" vertical="center" wrapText="1"/>
    </xf>
    <xf numFmtId="1" fontId="0" fillId="0" borderId="10" xfId="0" applyNumberFormat="1" applyBorder="1" applyAlignment="1">
      <alignment horizontal="center"/>
    </xf>
    <xf numFmtId="1" fontId="0" fillId="0" borderId="57" xfId="0" applyNumberFormat="1" applyBorder="1" applyAlignment="1">
      <alignment horizontal="center"/>
    </xf>
    <xf numFmtId="0" fontId="0" fillId="0" borderId="1" xfId="0" applyBorder="1" applyAlignment="1">
      <alignment horizontal="center"/>
    </xf>
    <xf numFmtId="0" fontId="1" fillId="0" borderId="1" xfId="0" applyFont="1" applyBorder="1" applyAlignment="1">
      <alignment horizontal="center" vertical="center"/>
    </xf>
    <xf numFmtId="0" fontId="2" fillId="0" borderId="0" xfId="0" applyFont="1" applyBorder="1" applyAlignment="1">
      <alignment horizontal="center" vertical="center"/>
    </xf>
    <xf numFmtId="0" fontId="0" fillId="0" borderId="0" xfId="0" applyBorder="1" applyAlignment="1">
      <alignment horizontal="center"/>
    </xf>
    <xf numFmtId="165" fontId="8" fillId="0" borderId="44" xfId="0" applyNumberFormat="1" applyFont="1" applyBorder="1" applyAlignment="1">
      <alignment horizontal="center" vertical="center"/>
    </xf>
    <xf numFmtId="165" fontId="8" fillId="0" borderId="24" xfId="0" applyNumberFormat="1" applyFont="1" applyBorder="1" applyAlignment="1">
      <alignment horizontal="center" vertical="center"/>
    </xf>
    <xf numFmtId="3" fontId="8" fillId="0" borderId="13" xfId="0" applyNumberFormat="1" applyFont="1" applyBorder="1" applyAlignment="1">
      <alignment horizontal="center" vertical="center"/>
    </xf>
    <xf numFmtId="0" fontId="0" fillId="0" borderId="17" xfId="0" applyFont="1" applyBorder="1" applyAlignment="1">
      <alignment horizontal="center" vertical="center"/>
    </xf>
    <xf numFmtId="168" fontId="0" fillId="0" borderId="1" xfId="0" applyNumberFormat="1" applyFont="1" applyBorder="1" applyAlignment="1">
      <alignment horizontal="center" vertical="center"/>
    </xf>
    <xf numFmtId="168" fontId="0" fillId="0" borderId="16" xfId="0" applyNumberFormat="1" applyFont="1" applyBorder="1" applyAlignment="1">
      <alignment horizontal="center" vertical="center"/>
    </xf>
    <xf numFmtId="0" fontId="0" fillId="0" borderId="11" xfId="0" applyFont="1" applyBorder="1" applyAlignment="1">
      <alignment horizontal="center" vertical="center"/>
    </xf>
    <xf numFmtId="0" fontId="0" fillId="0" borderId="14" xfId="0" applyFont="1" applyBorder="1" applyAlignment="1">
      <alignment horizontal="center" vertical="center"/>
    </xf>
    <xf numFmtId="1" fontId="0" fillId="0" borderId="15" xfId="0" applyNumberFormat="1" applyFont="1" applyBorder="1" applyAlignment="1">
      <alignment horizontal="center"/>
    </xf>
    <xf numFmtId="1" fontId="0" fillId="0" borderId="16" xfId="0" applyNumberFormat="1" applyFont="1" applyBorder="1" applyAlignment="1">
      <alignment horizontal="center"/>
    </xf>
    <xf numFmtId="1" fontId="0" fillId="0" borderId="17" xfId="0" applyNumberFormat="1" applyFont="1" applyBorder="1" applyAlignment="1">
      <alignment horizontal="center"/>
    </xf>
    <xf numFmtId="5" fontId="0" fillId="0" borderId="0" xfId="0" applyNumberFormat="1" applyFont="1" applyBorder="1" applyAlignment="1">
      <alignment horizontal="center" vertical="center"/>
    </xf>
    <xf numFmtId="0" fontId="1" fillId="0" borderId="14" xfId="0" applyFont="1" applyBorder="1" applyAlignment="1">
      <alignment horizontal="center" vertical="center"/>
    </xf>
    <xf numFmtId="0" fontId="1" fillId="0" borderId="38" xfId="0" applyFont="1" applyFill="1" applyBorder="1" applyAlignment="1">
      <alignment horizontal="center" vertical="center"/>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35" xfId="0" applyFont="1" applyFill="1" applyBorder="1" applyAlignment="1">
      <alignment horizontal="center" vertical="center"/>
    </xf>
    <xf numFmtId="171" fontId="0" fillId="0" borderId="15" xfId="0" applyNumberFormat="1" applyBorder="1" applyAlignment="1">
      <alignment horizontal="center"/>
    </xf>
    <xf numFmtId="2" fontId="0" fillId="0" borderId="16" xfId="0" applyNumberFormat="1" applyBorder="1" applyAlignment="1">
      <alignment horizontal="center"/>
    </xf>
    <xf numFmtId="171" fontId="0" fillId="0" borderId="16" xfId="0" applyNumberFormat="1" applyBorder="1" applyAlignment="1">
      <alignment horizontal="center"/>
    </xf>
    <xf numFmtId="11" fontId="0" fillId="0" borderId="9" xfId="0" applyNumberFormat="1" applyBorder="1" applyAlignment="1">
      <alignment horizontal="center"/>
    </xf>
    <xf numFmtId="0" fontId="0" fillId="0" borderId="9" xfId="0" applyFont="1" applyFill="1" applyBorder="1" applyAlignment="1">
      <alignment horizontal="center"/>
    </xf>
    <xf numFmtId="5" fontId="0" fillId="0" borderId="56" xfId="0" applyNumberFormat="1" applyFont="1" applyBorder="1" applyAlignment="1">
      <alignment horizontal="center"/>
    </xf>
    <xf numFmtId="2" fontId="0" fillId="0" borderId="16" xfId="0" applyNumberFormat="1" applyFont="1" applyBorder="1" applyAlignment="1">
      <alignment horizontal="center"/>
    </xf>
    <xf numFmtId="0" fontId="1" fillId="0" borderId="24" xfId="0" applyFont="1" applyFill="1" applyBorder="1" applyAlignment="1">
      <alignment horizontal="center" vertical="center" wrapText="1"/>
    </xf>
    <xf numFmtId="3" fontId="1" fillId="0" borderId="0" xfId="0" applyNumberFormat="1" applyFont="1" applyFill="1" applyBorder="1" applyAlignment="1">
      <alignment vertical="center"/>
    </xf>
    <xf numFmtId="1" fontId="0" fillId="0" borderId="27" xfId="0" applyNumberFormat="1" applyFont="1" applyBorder="1" applyAlignment="1">
      <alignment horizontal="center"/>
    </xf>
    <xf numFmtId="1" fontId="0" fillId="0" borderId="1" xfId="0" applyNumberFormat="1" applyFont="1" applyBorder="1" applyAlignment="1">
      <alignment horizontal="center"/>
    </xf>
    <xf numFmtId="1" fontId="0" fillId="0" borderId="10" xfId="0" applyNumberFormat="1" applyFont="1" applyBorder="1" applyAlignment="1">
      <alignment horizontal="center"/>
    </xf>
    <xf numFmtId="1" fontId="0" fillId="0" borderId="11" xfId="0" applyNumberFormat="1" applyFont="1" applyBorder="1" applyAlignment="1">
      <alignment horizontal="center"/>
    </xf>
    <xf numFmtId="1" fontId="0" fillId="0" borderId="12" xfId="0" applyNumberFormat="1" applyFont="1" applyBorder="1" applyAlignment="1">
      <alignment horizontal="center"/>
    </xf>
    <xf numFmtId="1" fontId="0" fillId="0" borderId="13" xfId="0" applyNumberFormat="1" applyFont="1" applyBorder="1" applyAlignment="1">
      <alignment horizontal="center"/>
    </xf>
    <xf numFmtId="3" fontId="0" fillId="0" borderId="15" xfId="0" applyNumberFormat="1" applyFont="1" applyBorder="1" applyAlignment="1">
      <alignment horizontal="center" vertical="center"/>
    </xf>
    <xf numFmtId="177" fontId="0" fillId="0" borderId="15" xfId="0" applyNumberFormat="1" applyFont="1" applyBorder="1" applyAlignment="1">
      <alignment horizontal="center"/>
    </xf>
    <xf numFmtId="39" fontId="27" fillId="0" borderId="0" xfId="0" applyNumberFormat="1" applyFont="1" applyFill="1" applyBorder="1" applyAlignment="1">
      <alignment horizontal="center" vertical="center"/>
    </xf>
    <xf numFmtId="1" fontId="0" fillId="0" borderId="0" xfId="0" applyNumberFormat="1" applyFont="1" applyFill="1" applyBorder="1" applyAlignment="1">
      <alignment horizontal="center"/>
    </xf>
    <xf numFmtId="164" fontId="0" fillId="0" borderId="0" xfId="0" applyNumberFormat="1" applyFont="1" applyFill="1" applyBorder="1" applyAlignment="1">
      <alignment horizontal="center"/>
    </xf>
    <xf numFmtId="0" fontId="0" fillId="0" borderId="1" xfId="0" applyBorder="1" applyAlignment="1">
      <alignment horizontal="center"/>
    </xf>
    <xf numFmtId="0" fontId="1" fillId="0" borderId="1" xfId="0" applyFont="1" applyBorder="1" applyAlignment="1">
      <alignment horizontal="center" vertical="center"/>
    </xf>
    <xf numFmtId="0" fontId="1" fillId="0" borderId="52" xfId="0" applyFont="1" applyBorder="1" applyAlignment="1">
      <alignment horizontal="center" vertical="center"/>
    </xf>
    <xf numFmtId="0" fontId="2" fillId="5" borderId="24" xfId="0" applyFont="1" applyFill="1" applyBorder="1" applyAlignment="1">
      <alignment horizontal="center" vertical="center"/>
    </xf>
    <xf numFmtId="0" fontId="2" fillId="5" borderId="0" xfId="0" applyFont="1" applyFill="1" applyBorder="1" applyAlignment="1">
      <alignment horizontal="center" vertical="center"/>
    </xf>
    <xf numFmtId="0" fontId="1" fillId="0" borderId="8" xfId="0" applyFont="1" applyBorder="1" applyAlignment="1">
      <alignment horizontal="center" vertical="center"/>
    </xf>
    <xf numFmtId="3" fontId="8" fillId="0" borderId="13" xfId="0" applyNumberFormat="1" applyFont="1" applyBorder="1" applyAlignment="1">
      <alignment horizontal="center" vertical="center"/>
    </xf>
    <xf numFmtId="165" fontId="8" fillId="0" borderId="55" xfId="0" applyNumberFormat="1" applyFont="1" applyBorder="1" applyAlignment="1">
      <alignment horizontal="center" vertical="center"/>
    </xf>
    <xf numFmtId="0" fontId="0" fillId="0" borderId="14" xfId="0" applyFont="1" applyFill="1" applyBorder="1" applyAlignment="1">
      <alignment horizontal="center" vertical="center"/>
    </xf>
    <xf numFmtId="1" fontId="0" fillId="0" borderId="1" xfId="0" applyNumberFormat="1" applyFont="1" applyFill="1" applyBorder="1" applyAlignment="1">
      <alignment horizontal="center"/>
    </xf>
    <xf numFmtId="0" fontId="1" fillId="0" borderId="8" xfId="0" applyFont="1" applyBorder="1" applyAlignment="1">
      <alignment horizontal="center" vertical="center" wrapText="1"/>
    </xf>
    <xf numFmtId="0" fontId="5" fillId="0" borderId="1" xfId="0" applyFont="1" applyFill="1" applyBorder="1" applyAlignment="1">
      <alignment horizontal="center"/>
    </xf>
    <xf numFmtId="0" fontId="0" fillId="0" borderId="1" xfId="0" applyFill="1" applyBorder="1" applyAlignment="1">
      <alignment horizontal="center"/>
    </xf>
    <xf numFmtId="0" fontId="0" fillId="0" borderId="1" xfId="0" applyFont="1" applyBorder="1" applyAlignment="1">
      <alignment horizontal="center" vertical="center"/>
    </xf>
    <xf numFmtId="0" fontId="2" fillId="0" borderId="27" xfId="0" applyFont="1" applyBorder="1" applyAlignment="1">
      <alignment horizontal="center" vertical="center" wrapText="1"/>
    </xf>
    <xf numFmtId="0" fontId="0" fillId="0" borderId="12" xfId="0" applyFont="1" applyBorder="1" applyAlignment="1">
      <alignment horizontal="center" vertical="center"/>
    </xf>
    <xf numFmtId="0" fontId="1" fillId="0" borderId="14" xfId="0" applyFont="1" applyBorder="1" applyAlignment="1">
      <alignment horizontal="center" vertical="center"/>
    </xf>
    <xf numFmtId="0" fontId="0" fillId="0" borderId="1" xfId="0" applyBorder="1" applyAlignment="1">
      <alignment horizontal="center"/>
    </xf>
    <xf numFmtId="0" fontId="1" fillId="0" borderId="0" xfId="0" applyFont="1" applyFill="1" applyBorder="1" applyAlignment="1">
      <alignment horizontal="center" vertical="center"/>
    </xf>
    <xf numFmtId="0" fontId="0" fillId="0" borderId="0" xfId="0" applyBorder="1" applyAlignment="1">
      <alignment horizontal="center"/>
    </xf>
    <xf numFmtId="1" fontId="0" fillId="0" borderId="0" xfId="0" applyNumberFormat="1" applyBorder="1" applyAlignment="1">
      <alignment horizontal="center"/>
    </xf>
    <xf numFmtId="0" fontId="0" fillId="0" borderId="1" xfId="0" applyBorder="1" applyAlignment="1">
      <alignment horizontal="center" vertical="center"/>
    </xf>
    <xf numFmtId="0" fontId="0" fillId="0" borderId="11" xfId="0" applyBorder="1" applyAlignment="1">
      <alignment horizontal="center" vertical="center"/>
    </xf>
    <xf numFmtId="168" fontId="0" fillId="0" borderId="1" xfId="0" applyNumberFormat="1" applyFont="1" applyBorder="1" applyAlignment="1">
      <alignment horizontal="center" vertical="center"/>
    </xf>
    <xf numFmtId="5" fontId="0" fillId="0" borderId="0" xfId="0" applyNumberFormat="1" applyFont="1" applyFill="1" applyBorder="1" applyAlignment="1">
      <alignment horizontal="center" vertical="center"/>
    </xf>
    <xf numFmtId="0" fontId="10" fillId="0" borderId="1" xfId="1" applyBorder="1" applyAlignment="1">
      <alignment horizontal="center" vertical="center"/>
    </xf>
    <xf numFmtId="0" fontId="2" fillId="19" borderId="76" xfId="0" applyFont="1" applyFill="1" applyBorder="1" applyAlignment="1">
      <alignment horizontal="center" vertical="center" wrapText="1"/>
    </xf>
    <xf numFmtId="0" fontId="1" fillId="0" borderId="59" xfId="0" applyFont="1" applyFill="1" applyBorder="1" applyAlignment="1">
      <alignment horizontal="center" vertical="center"/>
    </xf>
    <xf numFmtId="0" fontId="1" fillId="0" borderId="46" xfId="0" applyFont="1" applyFill="1" applyBorder="1" applyAlignment="1">
      <alignment horizontal="center" vertical="center" wrapText="1"/>
    </xf>
    <xf numFmtId="0" fontId="1" fillId="0" borderId="47" xfId="0" applyFont="1" applyFill="1" applyBorder="1" applyAlignment="1">
      <alignment horizontal="center" vertical="center" wrapText="1"/>
    </xf>
    <xf numFmtId="0" fontId="1" fillId="0" borderId="52" xfId="0" applyFont="1" applyFill="1" applyBorder="1" applyAlignment="1">
      <alignment horizontal="center" vertical="center" wrapText="1"/>
    </xf>
    <xf numFmtId="0" fontId="1" fillId="0" borderId="8" xfId="0" applyFont="1" applyFill="1" applyBorder="1" applyAlignment="1">
      <alignment horizontal="center" vertical="center" wrapText="1"/>
    </xf>
    <xf numFmtId="0" fontId="1" fillId="0" borderId="32" xfId="0" applyFont="1" applyFill="1" applyBorder="1" applyAlignment="1">
      <alignment horizontal="center" vertical="center" wrapText="1"/>
    </xf>
    <xf numFmtId="0" fontId="0" fillId="0" borderId="72" xfId="0" applyFont="1" applyFill="1" applyBorder="1" applyAlignment="1">
      <alignment horizontal="center"/>
    </xf>
    <xf numFmtId="1" fontId="0" fillId="0" borderId="27" xfId="0" applyNumberFormat="1" applyFont="1" applyFill="1" applyBorder="1" applyAlignment="1">
      <alignment horizontal="center"/>
    </xf>
    <xf numFmtId="1" fontId="0" fillId="0" borderId="9" xfId="0" applyNumberFormat="1" applyFont="1" applyFill="1" applyBorder="1" applyAlignment="1">
      <alignment horizontal="center"/>
    </xf>
    <xf numFmtId="1" fontId="0" fillId="0" borderId="38" xfId="0" applyNumberFormat="1" applyFont="1" applyFill="1" applyBorder="1" applyAlignment="1">
      <alignment horizontal="center"/>
    </xf>
    <xf numFmtId="1" fontId="0" fillId="0" borderId="11" xfId="0" applyNumberFormat="1" applyFill="1" applyBorder="1" applyAlignment="1">
      <alignment horizontal="center"/>
    </xf>
    <xf numFmtId="1" fontId="0" fillId="0" borderId="12" xfId="0" applyNumberFormat="1" applyFill="1" applyBorder="1" applyAlignment="1">
      <alignment horizontal="center"/>
    </xf>
    <xf numFmtId="164" fontId="0" fillId="0" borderId="12" xfId="0" applyNumberFormat="1" applyFill="1" applyBorder="1" applyAlignment="1">
      <alignment horizontal="center"/>
    </xf>
    <xf numFmtId="1" fontId="0" fillId="0" borderId="13" xfId="0" applyNumberFormat="1" applyFill="1" applyBorder="1" applyAlignment="1">
      <alignment horizontal="center"/>
    </xf>
    <xf numFmtId="164" fontId="0" fillId="0" borderId="9" xfId="0" applyNumberFormat="1" applyFont="1" applyFill="1" applyBorder="1" applyAlignment="1">
      <alignment horizontal="center"/>
    </xf>
    <xf numFmtId="0" fontId="0" fillId="0" borderId="73" xfId="0" applyFont="1" applyFill="1" applyBorder="1" applyAlignment="1">
      <alignment horizontal="center"/>
    </xf>
    <xf numFmtId="1" fontId="0" fillId="0" borderId="14" xfId="0" applyNumberFormat="1" applyFont="1" applyFill="1" applyBorder="1" applyAlignment="1">
      <alignment horizontal="center"/>
    </xf>
    <xf numFmtId="1" fontId="0" fillId="0" borderId="14" xfId="0" applyNumberFormat="1" applyFill="1" applyBorder="1" applyAlignment="1">
      <alignment horizontal="center"/>
    </xf>
    <xf numFmtId="164" fontId="0" fillId="0" borderId="1" xfId="0" applyNumberFormat="1" applyFill="1" applyBorder="1" applyAlignment="1">
      <alignment horizontal="center"/>
    </xf>
    <xf numFmtId="164" fontId="0" fillId="0" borderId="1" xfId="0" applyNumberFormat="1" applyFont="1" applyFill="1" applyBorder="1" applyAlignment="1">
      <alignment horizontal="center"/>
    </xf>
    <xf numFmtId="0" fontId="0" fillId="0" borderId="74" xfId="0" applyFont="1" applyFill="1" applyBorder="1" applyAlignment="1">
      <alignment horizontal="center"/>
    </xf>
    <xf numFmtId="1" fontId="0" fillId="0" borderId="51" xfId="0" applyNumberFormat="1" applyFont="1" applyFill="1" applyBorder="1" applyAlignment="1">
      <alignment horizontal="center"/>
    </xf>
    <xf numFmtId="1" fontId="0" fillId="0" borderId="7" xfId="0" applyNumberFormat="1" applyFont="1" applyFill="1" applyBorder="1" applyAlignment="1">
      <alignment horizontal="center"/>
    </xf>
    <xf numFmtId="1" fontId="0" fillId="0" borderId="57" xfId="0" applyNumberFormat="1" applyFont="1" applyFill="1" applyBorder="1" applyAlignment="1">
      <alignment horizontal="center"/>
    </xf>
    <xf numFmtId="1" fontId="0" fillId="0" borderId="15" xfId="0" applyNumberFormat="1" applyFont="1" applyFill="1" applyBorder="1" applyAlignment="1">
      <alignment horizontal="center"/>
    </xf>
    <xf numFmtId="1" fontId="0" fillId="0" borderId="51" xfId="0" applyNumberFormat="1" applyFill="1" applyBorder="1" applyAlignment="1">
      <alignment horizontal="center"/>
    </xf>
    <xf numFmtId="1" fontId="0" fillId="0" borderId="7" xfId="0" applyNumberFormat="1" applyFill="1" applyBorder="1" applyAlignment="1">
      <alignment horizontal="center"/>
    </xf>
    <xf numFmtId="164" fontId="0" fillId="0" borderId="7" xfId="0" applyNumberFormat="1" applyFill="1" applyBorder="1" applyAlignment="1">
      <alignment horizontal="center"/>
    </xf>
    <xf numFmtId="1" fontId="0" fillId="0" borderId="57" xfId="0" applyNumberFormat="1" applyFill="1" applyBorder="1" applyAlignment="1">
      <alignment horizontal="center"/>
    </xf>
    <xf numFmtId="164" fontId="0" fillId="0" borderId="7" xfId="0" applyNumberFormat="1" applyFont="1" applyFill="1" applyBorder="1" applyAlignment="1">
      <alignment horizontal="center"/>
    </xf>
    <xf numFmtId="1" fontId="0" fillId="0" borderId="11" xfId="0" applyNumberFormat="1" applyFont="1" applyFill="1" applyBorder="1" applyAlignment="1">
      <alignment horizontal="center"/>
    </xf>
    <xf numFmtId="1" fontId="0" fillId="0" borderId="12" xfId="0" applyNumberFormat="1" applyFont="1" applyFill="1" applyBorder="1" applyAlignment="1">
      <alignment horizontal="center"/>
    </xf>
    <xf numFmtId="1" fontId="0" fillId="0" borderId="13" xfId="0" applyNumberFormat="1" applyFont="1" applyFill="1" applyBorder="1" applyAlignment="1">
      <alignment horizontal="center"/>
    </xf>
    <xf numFmtId="164" fontId="0" fillId="0" borderId="12" xfId="0" applyNumberFormat="1" applyFont="1" applyFill="1" applyBorder="1" applyAlignment="1">
      <alignment horizontal="center"/>
    </xf>
    <xf numFmtId="1" fontId="0" fillId="0" borderId="15" xfId="0" applyNumberFormat="1" applyFill="1" applyBorder="1" applyAlignment="1">
      <alignment horizontal="center"/>
    </xf>
    <xf numFmtId="164" fontId="0" fillId="0" borderId="16" xfId="0" applyNumberFormat="1" applyFont="1" applyFill="1" applyBorder="1" applyAlignment="1">
      <alignment horizontal="center"/>
    </xf>
    <xf numFmtId="0" fontId="1" fillId="0" borderId="26" xfId="0" applyFont="1" applyFill="1" applyBorder="1" applyAlignment="1">
      <alignment horizontal="center"/>
    </xf>
    <xf numFmtId="0" fontId="1" fillId="0" borderId="27" xfId="0" applyFont="1" applyFill="1" applyBorder="1" applyAlignment="1">
      <alignment horizontal="center" vertical="center" wrapText="1"/>
    </xf>
    <xf numFmtId="0" fontId="1" fillId="19" borderId="45" xfId="0" applyFont="1" applyFill="1" applyBorder="1" applyAlignment="1">
      <alignment horizontal="center"/>
    </xf>
    <xf numFmtId="0" fontId="1" fillId="19" borderId="46" xfId="0" applyFont="1" applyFill="1" applyBorder="1" applyAlignment="1">
      <alignment horizontal="center" vertical="center"/>
    </xf>
    <xf numFmtId="0" fontId="1" fillId="19" borderId="45" xfId="0" applyFont="1" applyFill="1" applyBorder="1" applyAlignment="1">
      <alignment horizontal="center" vertical="center"/>
    </xf>
    <xf numFmtId="0" fontId="1" fillId="0" borderId="55" xfId="0" applyFont="1" applyBorder="1" applyAlignment="1">
      <alignment horizontal="center" vertical="center" wrapText="1"/>
    </xf>
    <xf numFmtId="168" fontId="0" fillId="0" borderId="50" xfId="0" applyNumberFormat="1" applyFill="1" applyBorder="1" applyAlignment="1">
      <alignment horizontal="center"/>
    </xf>
    <xf numFmtId="0" fontId="0" fillId="0" borderId="50" xfId="0" applyFill="1" applyBorder="1" applyAlignment="1">
      <alignment horizontal="center"/>
    </xf>
    <xf numFmtId="0" fontId="0" fillId="0" borderId="50" xfId="0" applyFill="1" applyBorder="1"/>
    <xf numFmtId="0" fontId="2" fillId="5" borderId="78" xfId="0" applyFont="1" applyFill="1" applyBorder="1" applyAlignment="1">
      <alignment horizontal="center" vertical="center" wrapText="1"/>
    </xf>
    <xf numFmtId="0" fontId="2" fillId="0" borderId="76" xfId="0" applyFont="1" applyBorder="1" applyAlignment="1">
      <alignment horizontal="center" vertical="center"/>
    </xf>
    <xf numFmtId="3" fontId="8" fillId="0" borderId="38" xfId="0" applyNumberFormat="1" applyFont="1" applyBorder="1" applyAlignment="1">
      <alignment horizontal="center" vertical="center"/>
    </xf>
    <xf numFmtId="3" fontId="0" fillId="0" borderId="24" xfId="0" applyNumberFormat="1" applyBorder="1" applyAlignment="1">
      <alignment horizontal="center"/>
    </xf>
    <xf numFmtId="0" fontId="0" fillId="0" borderId="9" xfId="0" applyBorder="1" applyAlignment="1">
      <alignment horizontal="center" vertical="center" wrapText="1"/>
    </xf>
    <xf numFmtId="165" fontId="8" fillId="0" borderId="38" xfId="0" applyNumberFormat="1" applyFont="1" applyBorder="1" applyAlignment="1">
      <alignment horizontal="center" vertical="center"/>
    </xf>
    <xf numFmtId="0" fontId="2" fillId="0" borderId="46" xfId="0" applyFont="1" applyBorder="1" applyAlignment="1">
      <alignment horizontal="center" vertical="center" wrapText="1"/>
    </xf>
    <xf numFmtId="0" fontId="2" fillId="0" borderId="46" xfId="0" applyFont="1" applyFill="1" applyBorder="1" applyAlignment="1">
      <alignment horizontal="center" vertical="center" wrapText="1"/>
    </xf>
    <xf numFmtId="0" fontId="2" fillId="0" borderId="47" xfId="0" applyFont="1" applyBorder="1" applyAlignment="1">
      <alignment horizontal="center" vertical="center"/>
    </xf>
    <xf numFmtId="0" fontId="8" fillId="4" borderId="77" xfId="0" applyFont="1" applyFill="1" applyBorder="1" applyAlignment="1">
      <alignment horizontal="center" vertical="center"/>
    </xf>
    <xf numFmtId="3" fontId="8" fillId="4" borderId="73" xfId="0" applyNumberFormat="1" applyFont="1" applyFill="1" applyBorder="1" applyAlignment="1">
      <alignment horizontal="center" vertical="center"/>
    </xf>
    <xf numFmtId="165" fontId="8" fillId="4" borderId="73" xfId="0" applyNumberFormat="1" applyFont="1" applyFill="1" applyBorder="1" applyAlignment="1">
      <alignment horizontal="center" vertical="center"/>
    </xf>
    <xf numFmtId="11" fontId="8" fillId="4" borderId="69" xfId="0" applyNumberFormat="1" applyFont="1" applyFill="1" applyBorder="1" applyAlignment="1">
      <alignment horizontal="center" vertical="center"/>
    </xf>
    <xf numFmtId="176" fontId="8" fillId="4" borderId="74" xfId="0" applyNumberFormat="1" applyFont="1" applyFill="1" applyBorder="1" applyAlignment="1">
      <alignment horizontal="center" vertical="center"/>
    </xf>
    <xf numFmtId="1" fontId="8" fillId="4" borderId="69" xfId="0" applyNumberFormat="1" applyFont="1" applyFill="1" applyBorder="1" applyAlignment="1">
      <alignment horizontal="center" vertical="center"/>
    </xf>
    <xf numFmtId="2" fontId="8" fillId="4" borderId="32" xfId="0" applyNumberFormat="1" applyFont="1" applyFill="1" applyBorder="1" applyAlignment="1">
      <alignment horizontal="center" vertical="center"/>
    </xf>
    <xf numFmtId="5" fontId="27" fillId="0" borderId="22" xfId="0" applyNumberFormat="1" applyFont="1" applyFill="1" applyBorder="1" applyAlignment="1">
      <alignment horizontal="center" vertical="center"/>
    </xf>
    <xf numFmtId="0" fontId="2" fillId="0" borderId="77" xfId="0" applyFont="1" applyBorder="1" applyAlignment="1">
      <alignment horizontal="center" vertical="center"/>
    </xf>
    <xf numFmtId="0" fontId="1" fillId="0" borderId="70" xfId="0" applyFont="1" applyFill="1" applyBorder="1" applyAlignment="1">
      <alignment horizontal="center"/>
    </xf>
    <xf numFmtId="0" fontId="0" fillId="0" borderId="43" xfId="0" applyBorder="1" applyAlignment="1">
      <alignment horizontal="center"/>
    </xf>
    <xf numFmtId="0" fontId="0" fillId="0" borderId="0" xfId="0" applyFill="1" applyBorder="1" applyAlignment="1">
      <alignment horizontal="center"/>
    </xf>
    <xf numFmtId="0" fontId="0" fillId="0" borderId="1" xfId="0" applyFill="1" applyBorder="1" applyAlignment="1">
      <alignment horizontal="center" vertical="center"/>
    </xf>
    <xf numFmtId="168" fontId="21" fillId="0" borderId="16" xfId="0" applyNumberFormat="1" applyFont="1" applyFill="1" applyBorder="1" applyAlignment="1">
      <alignment horizontal="center" vertical="center"/>
    </xf>
    <xf numFmtId="0" fontId="21" fillId="0" borderId="0" xfId="0" applyFont="1" applyFill="1" applyBorder="1" applyAlignment="1">
      <alignment vertical="center" wrapText="1"/>
    </xf>
    <xf numFmtId="8" fontId="21" fillId="0" borderId="16" xfId="0" applyNumberFormat="1" applyFont="1" applyFill="1" applyBorder="1" applyAlignment="1">
      <alignment horizontal="center" vertical="center" wrapText="1"/>
    </xf>
    <xf numFmtId="6" fontId="21" fillId="0" borderId="16" xfId="0" applyNumberFormat="1" applyFont="1" applyFill="1" applyBorder="1" applyAlignment="1">
      <alignment horizontal="center" vertical="center" wrapText="1"/>
    </xf>
    <xf numFmtId="167" fontId="0" fillId="0" borderId="17" xfId="0" applyNumberFormat="1" applyFill="1" applyBorder="1" applyAlignment="1">
      <alignment horizontal="center" vertical="center"/>
    </xf>
    <xf numFmtId="8" fontId="21" fillId="0" borderId="16" xfId="0" applyNumberFormat="1" applyFont="1" applyFill="1" applyBorder="1" applyAlignment="1">
      <alignment horizontal="center" vertical="center"/>
    </xf>
    <xf numFmtId="0" fontId="1" fillId="0" borderId="0" xfId="0" applyFont="1" applyFill="1" applyBorder="1" applyAlignment="1">
      <alignment horizontal="center" vertical="center"/>
    </xf>
    <xf numFmtId="0" fontId="8" fillId="0" borderId="16" xfId="0" applyFont="1" applyBorder="1" applyAlignment="1">
      <alignment horizontal="center" vertical="center"/>
    </xf>
    <xf numFmtId="3" fontId="8" fillId="0" borderId="56" xfId="0" applyNumberFormat="1" applyFont="1" applyBorder="1" applyAlignment="1">
      <alignment horizontal="center" vertical="center"/>
    </xf>
    <xf numFmtId="3" fontId="8" fillId="0" borderId="13" xfId="0" applyNumberFormat="1" applyFont="1" applyBorder="1" applyAlignment="1">
      <alignment horizontal="center" vertical="center"/>
    </xf>
    <xf numFmtId="3" fontId="8" fillId="0" borderId="1" xfId="0" applyNumberFormat="1" applyFont="1" applyBorder="1" applyAlignment="1">
      <alignment horizontal="center" vertical="center"/>
    </xf>
    <xf numFmtId="0" fontId="1" fillId="0" borderId="9" xfId="0" applyFont="1" applyFill="1" applyBorder="1" applyAlignment="1">
      <alignment horizontal="center"/>
    </xf>
    <xf numFmtId="0" fontId="8" fillId="0" borderId="11" xfId="0" applyFont="1" applyBorder="1" applyAlignment="1">
      <alignment horizontal="center" vertical="center"/>
    </xf>
    <xf numFmtId="0" fontId="8" fillId="0" borderId="15" xfId="0" applyFont="1" applyBorder="1" applyAlignment="1">
      <alignment horizontal="center" vertical="center"/>
    </xf>
    <xf numFmtId="2" fontId="8" fillId="0" borderId="38" xfId="0" applyNumberFormat="1" applyFont="1" applyBorder="1" applyAlignment="1">
      <alignment horizontal="center" vertical="center"/>
    </xf>
    <xf numFmtId="2" fontId="8" fillId="0" borderId="27" xfId="0" applyNumberFormat="1" applyFont="1" applyBorder="1" applyAlignment="1">
      <alignment horizontal="center" vertical="center"/>
    </xf>
    <xf numFmtId="2" fontId="8" fillId="0" borderId="9" xfId="0" applyNumberFormat="1" applyFont="1" applyBorder="1" applyAlignment="1">
      <alignment horizontal="center" vertical="center"/>
    </xf>
    <xf numFmtId="0" fontId="8" fillId="0" borderId="12" xfId="0" applyFont="1" applyBorder="1" applyAlignment="1">
      <alignment horizontal="center" vertical="center"/>
    </xf>
    <xf numFmtId="1" fontId="1" fillId="18" borderId="46" xfId="0" applyNumberFormat="1" applyFont="1" applyFill="1" applyBorder="1" applyAlignment="1">
      <alignment horizontal="center" vertical="center"/>
    </xf>
    <xf numFmtId="0" fontId="22" fillId="0" borderId="45" xfId="0" applyFont="1" applyBorder="1" applyAlignment="1">
      <alignment horizontal="center" vertical="center"/>
    </xf>
    <xf numFmtId="0" fontId="22" fillId="0" borderId="46" xfId="0" applyFont="1" applyBorder="1" applyAlignment="1">
      <alignment horizontal="center" vertical="center"/>
    </xf>
    <xf numFmtId="0" fontId="22" fillId="0" borderId="47" xfId="0" applyFont="1" applyBorder="1" applyAlignment="1">
      <alignment horizontal="center" vertical="center"/>
    </xf>
    <xf numFmtId="3" fontId="8" fillId="0" borderId="9" xfId="0" applyNumberFormat="1" applyFont="1" applyBorder="1" applyAlignment="1">
      <alignment horizontal="center" vertical="center"/>
    </xf>
    <xf numFmtId="0" fontId="4" fillId="0" borderId="46" xfId="0" applyFont="1" applyBorder="1" applyAlignment="1">
      <alignment horizontal="center" vertical="center"/>
    </xf>
    <xf numFmtId="0" fontId="4" fillId="0" borderId="47" xfId="0" applyFont="1" applyBorder="1" applyAlignment="1">
      <alignment horizontal="center" vertical="center"/>
    </xf>
    <xf numFmtId="0" fontId="22" fillId="0" borderId="48" xfId="0" applyFont="1" applyBorder="1" applyAlignment="1">
      <alignment horizontal="center" vertical="center" wrapText="1"/>
    </xf>
    <xf numFmtId="170" fontId="8" fillId="0" borderId="35" xfId="0" applyNumberFormat="1" applyFont="1" applyBorder="1" applyAlignment="1">
      <alignment horizontal="center" vertical="center"/>
    </xf>
    <xf numFmtId="0" fontId="5" fillId="0" borderId="27" xfId="0" applyFont="1" applyBorder="1" applyAlignment="1">
      <alignment horizontal="center" vertical="center"/>
    </xf>
    <xf numFmtId="3" fontId="8" fillId="0" borderId="11" xfId="0" applyNumberFormat="1" applyFont="1" applyBorder="1" applyAlignment="1">
      <alignment horizontal="center" vertical="center"/>
    </xf>
    <xf numFmtId="3" fontId="8" fillId="0" borderId="12" xfId="0" applyNumberFormat="1" applyFont="1" applyBorder="1" applyAlignment="1">
      <alignment horizontal="center" vertical="center"/>
    </xf>
    <xf numFmtId="3" fontId="8" fillId="0" borderId="53" xfId="0" applyNumberFormat="1" applyFont="1" applyBorder="1" applyAlignment="1">
      <alignment horizontal="center" vertical="center"/>
    </xf>
    <xf numFmtId="3" fontId="8" fillId="0" borderId="79" xfId="0" applyNumberFormat="1" applyFont="1" applyBorder="1" applyAlignment="1">
      <alignment horizontal="center" vertical="center"/>
    </xf>
    <xf numFmtId="170" fontId="8" fillId="0" borderId="37" xfId="0" applyNumberFormat="1" applyFont="1" applyBorder="1" applyAlignment="1">
      <alignment horizontal="center" vertical="center"/>
    </xf>
    <xf numFmtId="2" fontId="8" fillId="0" borderId="11" xfId="0" applyNumberFormat="1" applyFont="1" applyBorder="1" applyAlignment="1">
      <alignment horizontal="center" vertical="center"/>
    </xf>
    <xf numFmtId="2" fontId="8" fillId="0" borderId="12" xfId="0" applyNumberFormat="1" applyFont="1" applyBorder="1" applyAlignment="1">
      <alignment horizontal="center" vertical="center"/>
    </xf>
    <xf numFmtId="2" fontId="8" fillId="0" borderId="13" xfId="0" applyNumberFormat="1" applyFont="1" applyBorder="1" applyAlignment="1">
      <alignment horizontal="center" vertical="center"/>
    </xf>
    <xf numFmtId="0" fontId="8" fillId="0" borderId="17" xfId="0" applyFont="1" applyBorder="1" applyAlignment="1">
      <alignment horizontal="center" vertical="center"/>
    </xf>
    <xf numFmtId="3" fontId="8" fillId="0" borderId="63" xfId="0" applyNumberFormat="1" applyFont="1" applyBorder="1" applyAlignment="1">
      <alignment horizontal="center" vertical="center"/>
    </xf>
    <xf numFmtId="0" fontId="5" fillId="0" borderId="11" xfId="0" applyFont="1" applyBorder="1" applyAlignment="1">
      <alignment horizontal="center" vertical="center" wrapText="1"/>
    </xf>
    <xf numFmtId="0" fontId="8" fillId="0" borderId="13" xfId="0" applyFont="1" applyBorder="1" applyAlignment="1">
      <alignment horizontal="center" vertical="center"/>
    </xf>
    <xf numFmtId="0" fontId="5" fillId="0" borderId="15" xfId="0" applyFont="1" applyBorder="1" applyAlignment="1">
      <alignment horizontal="center" vertical="center" wrapText="1"/>
    </xf>
    <xf numFmtId="170" fontId="8" fillId="3" borderId="36" xfId="0" applyNumberFormat="1" applyFont="1" applyFill="1" applyBorder="1" applyAlignment="1">
      <alignment horizontal="center" vertical="center"/>
    </xf>
    <xf numFmtId="0" fontId="1" fillId="0" borderId="34" xfId="0" applyFont="1" applyFill="1" applyBorder="1" applyAlignment="1">
      <alignment horizontal="center"/>
    </xf>
    <xf numFmtId="0" fontId="1" fillId="0" borderId="8" xfId="0" applyFont="1" applyFill="1" applyBorder="1" applyAlignment="1">
      <alignment horizontal="center"/>
    </xf>
    <xf numFmtId="0" fontId="1" fillId="0" borderId="55" xfId="0" applyFont="1" applyFill="1" applyBorder="1" applyAlignment="1">
      <alignment horizontal="center"/>
    </xf>
    <xf numFmtId="3" fontId="8" fillId="0" borderId="72" xfId="0" applyNumberFormat="1" applyFont="1" applyBorder="1" applyAlignment="1">
      <alignment horizontal="center" vertical="center"/>
    </xf>
    <xf numFmtId="3" fontId="8" fillId="0" borderId="74" xfId="0" applyNumberFormat="1" applyFont="1" applyBorder="1" applyAlignment="1">
      <alignment horizontal="center" vertical="center"/>
    </xf>
    <xf numFmtId="40" fontId="1" fillId="0" borderId="0" xfId="0" applyNumberFormat="1" applyFont="1" applyFill="1" applyBorder="1" applyAlignment="1">
      <alignment vertical="center" wrapText="1"/>
    </xf>
    <xf numFmtId="0" fontId="1" fillId="0" borderId="0" xfId="0" applyFont="1" applyFill="1" applyBorder="1" applyAlignment="1">
      <alignment horizontal="center" vertical="center"/>
    </xf>
    <xf numFmtId="0" fontId="1" fillId="5" borderId="46" xfId="0" applyFont="1" applyFill="1" applyBorder="1" applyAlignment="1">
      <alignment horizontal="center" vertical="center"/>
    </xf>
    <xf numFmtId="0" fontId="1" fillId="5" borderId="47" xfId="0" applyFont="1" applyFill="1" applyBorder="1" applyAlignment="1">
      <alignment horizontal="center" vertical="center"/>
    </xf>
    <xf numFmtId="0" fontId="0" fillId="0" borderId="51" xfId="0" applyFont="1" applyBorder="1" applyAlignment="1">
      <alignment horizontal="center" vertical="center"/>
    </xf>
    <xf numFmtId="0" fontId="0" fillId="0" borderId="27" xfId="0" applyFont="1" applyBorder="1" applyAlignment="1">
      <alignment horizontal="center" vertical="center"/>
    </xf>
    <xf numFmtId="0" fontId="0" fillId="0" borderId="38" xfId="0" applyFont="1" applyBorder="1" applyAlignment="1">
      <alignment horizontal="center" vertical="center"/>
    </xf>
    <xf numFmtId="0" fontId="0" fillId="0" borderId="54" xfId="0" applyFont="1" applyBorder="1" applyAlignment="1">
      <alignment horizontal="center" vertical="center"/>
    </xf>
    <xf numFmtId="0" fontId="0" fillId="0" borderId="56" xfId="0" applyFont="1" applyBorder="1" applyAlignment="1">
      <alignment horizontal="center" vertical="center"/>
    </xf>
    <xf numFmtId="0" fontId="0" fillId="0" borderId="10" xfId="0" applyFont="1" applyBorder="1" applyAlignment="1">
      <alignment horizontal="center" vertical="center"/>
    </xf>
    <xf numFmtId="0" fontId="0" fillId="0" borderId="17" xfId="0" applyFont="1" applyBorder="1" applyAlignment="1">
      <alignment horizontal="center" vertical="center"/>
    </xf>
    <xf numFmtId="0" fontId="1" fillId="0" borderId="25"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1" fontId="0" fillId="0" borderId="1" xfId="0" applyNumberFormat="1" applyFont="1" applyBorder="1" applyAlignment="1">
      <alignment horizontal="center" vertical="center"/>
    </xf>
    <xf numFmtId="0" fontId="0" fillId="0" borderId="27" xfId="0" applyFont="1" applyFill="1" applyBorder="1" applyAlignment="1">
      <alignment horizontal="center" vertical="center"/>
    </xf>
    <xf numFmtId="0" fontId="0" fillId="0" borderId="1" xfId="0" applyFont="1" applyBorder="1" applyAlignment="1">
      <alignment horizontal="center" vertical="center"/>
    </xf>
    <xf numFmtId="1" fontId="0" fillId="0" borderId="9" xfId="0" applyNumberFormat="1" applyFont="1" applyBorder="1" applyAlignment="1">
      <alignment horizontal="center"/>
    </xf>
    <xf numFmtId="1" fontId="0" fillId="0" borderId="5" xfId="0" applyNumberFormat="1" applyFont="1" applyBorder="1" applyAlignment="1">
      <alignment horizontal="center"/>
    </xf>
    <xf numFmtId="1" fontId="0" fillId="0" borderId="1" xfId="0" applyNumberFormat="1" applyFont="1" applyBorder="1" applyAlignment="1">
      <alignment horizontal="center"/>
    </xf>
    <xf numFmtId="1" fontId="0" fillId="0" borderId="16" xfId="0" applyNumberFormat="1" applyFont="1" applyBorder="1" applyAlignment="1">
      <alignment horizontal="center"/>
    </xf>
    <xf numFmtId="1" fontId="0" fillId="0" borderId="10" xfId="0" applyNumberFormat="1" applyFont="1" applyBorder="1" applyAlignment="1">
      <alignment horizontal="center"/>
    </xf>
    <xf numFmtId="0" fontId="0" fillId="0" borderId="32" xfId="0" applyFont="1" applyBorder="1" applyAlignment="1">
      <alignment horizontal="center" vertical="center"/>
    </xf>
    <xf numFmtId="1" fontId="0" fillId="0" borderId="7" xfId="0" applyNumberFormat="1" applyFont="1" applyBorder="1" applyAlignment="1">
      <alignment horizontal="center" vertical="center"/>
    </xf>
    <xf numFmtId="0" fontId="1" fillId="5" borderId="45" xfId="0" applyFont="1" applyFill="1" applyBorder="1" applyAlignment="1">
      <alignment horizontal="center" vertical="center"/>
    </xf>
    <xf numFmtId="0" fontId="0" fillId="0" borderId="15" xfId="0" applyFont="1" applyBorder="1" applyAlignment="1">
      <alignment horizontal="center"/>
    </xf>
    <xf numFmtId="1" fontId="0" fillId="0" borderId="10" xfId="0" applyNumberFormat="1" applyFont="1" applyBorder="1" applyAlignment="1">
      <alignment horizontal="center" vertical="center"/>
    </xf>
    <xf numFmtId="1" fontId="0" fillId="0" borderId="17" xfId="0" applyNumberFormat="1" applyFont="1" applyBorder="1" applyAlignment="1">
      <alignment horizontal="center" vertical="center"/>
    </xf>
    <xf numFmtId="1" fontId="0" fillId="0" borderId="16" xfId="0" applyNumberFormat="1" applyFont="1" applyBorder="1" applyAlignment="1">
      <alignment horizontal="center" vertical="center"/>
    </xf>
    <xf numFmtId="1" fontId="0" fillId="0" borderId="26" xfId="0" applyNumberFormat="1" applyFont="1" applyBorder="1" applyAlignment="1">
      <alignment horizontal="center"/>
    </xf>
    <xf numFmtId="0" fontId="4" fillId="0" borderId="12" xfId="0" applyFont="1" applyBorder="1" applyAlignment="1">
      <alignment horizontal="center" vertical="center"/>
    </xf>
    <xf numFmtId="1" fontId="0" fillId="0" borderId="57" xfId="0" applyNumberFormat="1" applyFont="1" applyBorder="1" applyAlignment="1">
      <alignment horizontal="center" vertical="center"/>
    </xf>
    <xf numFmtId="0" fontId="1" fillId="0" borderId="78" xfId="0" applyFont="1" applyBorder="1" applyAlignment="1">
      <alignment horizontal="center"/>
    </xf>
    <xf numFmtId="0" fontId="0" fillId="17" borderId="78" xfId="0" applyFont="1" applyFill="1" applyBorder="1"/>
    <xf numFmtId="0" fontId="1" fillId="17" borderId="52" xfId="0" applyFont="1" applyFill="1" applyBorder="1" applyAlignment="1">
      <alignment horizontal="center"/>
    </xf>
    <xf numFmtId="0" fontId="1" fillId="17" borderId="8" xfId="0" applyFont="1" applyFill="1" applyBorder="1" applyAlignment="1">
      <alignment horizontal="center" vertical="center"/>
    </xf>
    <xf numFmtId="5" fontId="0" fillId="0" borderId="17" xfId="0" applyNumberFormat="1" applyFont="1" applyBorder="1" applyAlignment="1">
      <alignment horizontal="center"/>
    </xf>
    <xf numFmtId="0" fontId="0" fillId="5" borderId="45" xfId="0" applyFont="1" applyFill="1" applyBorder="1"/>
    <xf numFmtId="3" fontId="0" fillId="0" borderId="79" xfId="0" applyNumberFormat="1" applyFont="1" applyBorder="1" applyAlignment="1">
      <alignment horizontal="center" vertical="center"/>
    </xf>
    <xf numFmtId="0" fontId="1" fillId="5" borderId="42" xfId="0" applyFont="1" applyFill="1" applyBorder="1" applyAlignment="1">
      <alignment horizontal="center"/>
    </xf>
    <xf numFmtId="1" fontId="1" fillId="5" borderId="42" xfId="0" applyNumberFormat="1" applyFont="1" applyFill="1" applyBorder="1" applyAlignment="1">
      <alignment horizontal="center"/>
    </xf>
    <xf numFmtId="0" fontId="0" fillId="0" borderId="0" xfId="0" applyFont="1" applyFill="1" applyBorder="1" applyAlignment="1">
      <alignment horizontal="center"/>
    </xf>
    <xf numFmtId="1" fontId="0" fillId="0" borderId="0" xfId="0" applyNumberFormat="1" applyFont="1" applyFill="1" applyBorder="1" applyAlignment="1">
      <alignment horizontal="center" vertical="center"/>
    </xf>
    <xf numFmtId="3" fontId="0" fillId="0" borderId="0" xfId="0" applyNumberFormat="1" applyFont="1" applyFill="1" applyBorder="1" applyAlignment="1">
      <alignment horizontal="center" vertical="center"/>
    </xf>
    <xf numFmtId="11" fontId="0" fillId="0" borderId="8" xfId="0" applyNumberFormat="1" applyFont="1" applyBorder="1" applyAlignment="1">
      <alignment horizontal="center" vertical="center" wrapText="1"/>
    </xf>
    <xf numFmtId="1" fontId="1" fillId="0" borderId="0" xfId="0" applyNumberFormat="1" applyFont="1" applyFill="1" applyBorder="1" applyAlignment="1">
      <alignment horizontal="center" vertical="center"/>
    </xf>
    <xf numFmtId="3" fontId="1" fillId="0" borderId="0" xfId="0" applyNumberFormat="1" applyFont="1" applyFill="1" applyBorder="1" applyAlignment="1">
      <alignment horizontal="center" vertical="center"/>
    </xf>
    <xf numFmtId="1" fontId="0" fillId="0" borderId="10" xfId="0" applyNumberFormat="1" applyFont="1" applyFill="1" applyBorder="1" applyAlignment="1">
      <alignment horizontal="center" vertical="center"/>
    </xf>
    <xf numFmtId="0" fontId="1" fillId="18" borderId="45" xfId="0" applyFont="1" applyFill="1" applyBorder="1" applyAlignment="1">
      <alignment horizontal="center" vertical="center"/>
    </xf>
    <xf numFmtId="0" fontId="1" fillId="18" borderId="46" xfId="0" applyFont="1" applyFill="1" applyBorder="1" applyAlignment="1">
      <alignment horizontal="center" vertical="center"/>
    </xf>
    <xf numFmtId="0" fontId="1" fillId="20" borderId="47" xfId="0" applyFont="1" applyFill="1" applyBorder="1" applyAlignment="1">
      <alignment horizontal="center" vertical="center" wrapText="1"/>
    </xf>
    <xf numFmtId="8" fontId="0" fillId="0" borderId="0" xfId="0" applyNumberFormat="1" applyFont="1" applyBorder="1" applyAlignment="1">
      <alignment horizontal="center"/>
    </xf>
    <xf numFmtId="0" fontId="1" fillId="0" borderId="44" xfId="0" applyFont="1" applyBorder="1" applyAlignment="1">
      <alignment horizontal="center" vertical="center"/>
    </xf>
    <xf numFmtId="0" fontId="4" fillId="0" borderId="13" xfId="0" applyFont="1" applyBorder="1" applyAlignment="1">
      <alignment horizontal="center" vertical="center"/>
    </xf>
    <xf numFmtId="0" fontId="4" fillId="0" borderId="26" xfId="0" applyFont="1" applyBorder="1" applyAlignment="1">
      <alignment horizontal="center" vertical="center"/>
    </xf>
    <xf numFmtId="0" fontId="0" fillId="0" borderId="1" xfId="0" applyFont="1" applyFill="1" applyBorder="1" applyAlignment="1">
      <alignment horizontal="center"/>
    </xf>
    <xf numFmtId="0" fontId="0" fillId="0" borderId="15" xfId="0" applyFont="1" applyFill="1" applyBorder="1" applyAlignment="1">
      <alignment horizontal="center" vertical="center"/>
    </xf>
    <xf numFmtId="0" fontId="0" fillId="0" borderId="27" xfId="0" applyFont="1" applyBorder="1" applyAlignment="1">
      <alignment horizontal="center" vertical="center"/>
    </xf>
    <xf numFmtId="0" fontId="0" fillId="0" borderId="14" xfId="0" applyFont="1" applyBorder="1" applyAlignment="1">
      <alignment horizontal="center" vertical="center"/>
    </xf>
    <xf numFmtId="0" fontId="0" fillId="0" borderId="15" xfId="0" applyFont="1" applyBorder="1" applyAlignment="1">
      <alignment horizontal="center" vertical="center"/>
    </xf>
    <xf numFmtId="1" fontId="0" fillId="0" borderId="1" xfId="0" applyNumberFormat="1" applyFont="1" applyBorder="1" applyAlignment="1">
      <alignment horizontal="center"/>
    </xf>
    <xf numFmtId="1" fontId="0" fillId="0" borderId="7" xfId="0" applyNumberFormat="1" applyFont="1" applyBorder="1" applyAlignment="1">
      <alignment horizontal="center"/>
    </xf>
    <xf numFmtId="1" fontId="0" fillId="0" borderId="12" xfId="0" applyNumberFormat="1" applyFont="1" applyBorder="1" applyAlignment="1">
      <alignment horizontal="center"/>
    </xf>
    <xf numFmtId="1" fontId="0" fillId="0" borderId="16" xfId="0" applyNumberFormat="1" applyFont="1" applyBorder="1" applyAlignment="1">
      <alignment horizontal="center"/>
    </xf>
    <xf numFmtId="0" fontId="0" fillId="0" borderId="16" xfId="0" applyFont="1" applyBorder="1" applyAlignment="1">
      <alignment horizontal="center"/>
    </xf>
    <xf numFmtId="0" fontId="1" fillId="5" borderId="78" xfId="0" applyFont="1" applyFill="1" applyBorder="1" applyAlignment="1">
      <alignment horizontal="center" vertical="center"/>
    </xf>
    <xf numFmtId="0" fontId="1" fillId="19" borderId="46" xfId="0" applyFont="1" applyFill="1" applyBorder="1" applyAlignment="1">
      <alignment horizontal="center" vertical="center"/>
    </xf>
    <xf numFmtId="3" fontId="0" fillId="0" borderId="53" xfId="0" applyNumberFormat="1" applyFont="1" applyBorder="1" applyAlignment="1">
      <alignment horizontal="center"/>
    </xf>
    <xf numFmtId="0" fontId="0" fillId="0" borderId="53" xfId="0" applyFont="1" applyBorder="1" applyAlignment="1">
      <alignment horizontal="center"/>
    </xf>
    <xf numFmtId="0" fontId="1" fillId="19" borderId="45" xfId="0" applyFont="1" applyFill="1" applyBorder="1" applyAlignment="1">
      <alignment horizontal="center" vertical="center"/>
    </xf>
    <xf numFmtId="1" fontId="0" fillId="0" borderId="9" xfId="0" applyNumberFormat="1" applyFont="1" applyBorder="1" applyAlignment="1">
      <alignment horizontal="center"/>
    </xf>
    <xf numFmtId="3" fontId="0" fillId="0" borderId="8" xfId="0" applyNumberFormat="1" applyFont="1" applyBorder="1" applyAlignment="1">
      <alignment horizontal="center"/>
    </xf>
    <xf numFmtId="0" fontId="1" fillId="5" borderId="76" xfId="0" applyFont="1" applyFill="1" applyBorder="1" applyAlignment="1">
      <alignment horizontal="center" vertical="center"/>
    </xf>
    <xf numFmtId="0" fontId="1" fillId="0" borderId="9" xfId="0" applyFont="1" applyBorder="1" applyAlignment="1">
      <alignment horizontal="center" wrapText="1"/>
    </xf>
    <xf numFmtId="0" fontId="1" fillId="21" borderId="43" xfId="0" applyFont="1" applyFill="1" applyBorder="1" applyAlignment="1">
      <alignment horizontal="center" vertical="center"/>
    </xf>
    <xf numFmtId="0" fontId="1" fillId="21" borderId="42" xfId="0" applyFont="1" applyFill="1" applyBorder="1" applyAlignment="1">
      <alignment horizontal="center" vertical="center"/>
    </xf>
    <xf numFmtId="37" fontId="0" fillId="0" borderId="1" xfId="0" applyNumberFormat="1" applyFont="1" applyBorder="1" applyAlignment="1">
      <alignment horizontal="center"/>
    </xf>
    <xf numFmtId="1" fontId="0" fillId="0" borderId="0" xfId="0" applyNumberFormat="1"/>
    <xf numFmtId="37" fontId="0" fillId="0" borderId="14" xfId="0" applyNumberFormat="1" applyBorder="1" applyAlignment="1">
      <alignment horizontal="center"/>
    </xf>
    <xf numFmtId="37" fontId="0" fillId="0" borderId="14" xfId="0" applyNumberFormat="1" applyFont="1" applyBorder="1" applyAlignment="1">
      <alignment horizontal="center"/>
    </xf>
    <xf numFmtId="1" fontId="0" fillId="0" borderId="56" xfId="0" applyNumberFormat="1" applyFont="1" applyBorder="1" applyAlignment="1">
      <alignment horizontal="center"/>
    </xf>
    <xf numFmtId="0" fontId="1" fillId="5" borderId="42" xfId="0" applyFont="1" applyFill="1" applyBorder="1" applyAlignment="1">
      <alignment horizontal="center" vertical="center"/>
    </xf>
    <xf numFmtId="0" fontId="1" fillId="5" borderId="44" xfId="0" applyFont="1" applyFill="1" applyBorder="1" applyAlignment="1">
      <alignment horizontal="center" vertical="center"/>
    </xf>
    <xf numFmtId="37" fontId="0" fillId="0" borderId="7" xfId="0" applyNumberFormat="1" applyBorder="1" applyAlignment="1">
      <alignment horizontal="center"/>
    </xf>
    <xf numFmtId="37" fontId="0" fillId="0" borderId="51" xfId="0" applyNumberFormat="1" applyFont="1" applyBorder="1" applyAlignment="1">
      <alignment horizontal="center"/>
    </xf>
    <xf numFmtId="0" fontId="0" fillId="0" borderId="1" xfId="0" applyBorder="1" applyAlignment="1">
      <alignment horizontal="center"/>
    </xf>
    <xf numFmtId="0" fontId="0" fillId="0" borderId="0" xfId="0" applyFill="1" applyBorder="1" applyAlignment="1">
      <alignment horizontal="center" vertical="center"/>
    </xf>
    <xf numFmtId="0" fontId="0" fillId="0" borderId="27"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0" fillId="0" borderId="16" xfId="0" applyBorder="1" applyAlignment="1">
      <alignment horizontal="center" vertical="center"/>
    </xf>
    <xf numFmtId="0" fontId="0" fillId="0" borderId="1" xfId="0" applyBorder="1" applyAlignment="1">
      <alignment horizontal="center" vertical="center"/>
    </xf>
    <xf numFmtId="0" fontId="0" fillId="0" borderId="15" xfId="0" applyFont="1" applyFill="1" applyBorder="1" applyAlignment="1">
      <alignment horizontal="center"/>
    </xf>
    <xf numFmtId="1" fontId="0" fillId="0" borderId="16" xfId="0" applyNumberFormat="1" applyFont="1" applyFill="1" applyBorder="1" applyAlignment="1">
      <alignment horizontal="center" vertical="center"/>
    </xf>
    <xf numFmtId="1" fontId="0" fillId="0" borderId="17" xfId="0" applyNumberFormat="1" applyFont="1" applyFill="1" applyBorder="1" applyAlignment="1">
      <alignment horizontal="center" vertical="center"/>
    </xf>
    <xf numFmtId="0" fontId="1" fillId="0" borderId="13" xfId="0" applyFont="1" applyBorder="1" applyAlignment="1">
      <alignment horizontal="center" vertical="center"/>
    </xf>
    <xf numFmtId="0" fontId="1" fillId="0" borderId="46" xfId="0" applyFont="1" applyBorder="1" applyAlignment="1">
      <alignment horizontal="center" vertical="center"/>
    </xf>
    <xf numFmtId="0" fontId="1" fillId="0" borderId="47" xfId="0" applyFont="1" applyBorder="1" applyAlignment="1">
      <alignment horizontal="center" vertical="center"/>
    </xf>
    <xf numFmtId="1" fontId="0" fillId="0" borderId="53" xfId="0" applyNumberFormat="1" applyFont="1" applyBorder="1" applyAlignment="1">
      <alignment horizontal="center"/>
    </xf>
    <xf numFmtId="0" fontId="0" fillId="0" borderId="15" xfId="0" applyFont="1" applyBorder="1" applyAlignment="1">
      <alignment horizontal="center"/>
    </xf>
    <xf numFmtId="0" fontId="1" fillId="0" borderId="13" xfId="0" applyFont="1" applyFill="1" applyBorder="1" applyAlignment="1">
      <alignment horizontal="center"/>
    </xf>
    <xf numFmtId="0" fontId="0" fillId="0" borderId="46" xfId="0" applyBorder="1" applyAlignment="1">
      <alignment horizontal="center"/>
    </xf>
    <xf numFmtId="0" fontId="0" fillId="0" borderId="47" xfId="0" applyBorder="1" applyAlignment="1">
      <alignment horizontal="center"/>
    </xf>
    <xf numFmtId="0" fontId="0" fillId="0" borderId="52" xfId="0" applyBorder="1" applyAlignment="1">
      <alignment horizontal="center"/>
    </xf>
    <xf numFmtId="167" fontId="0" fillId="0" borderId="38" xfId="0" applyNumberFormat="1" applyBorder="1" applyAlignment="1">
      <alignment horizontal="center"/>
    </xf>
    <xf numFmtId="0" fontId="17" fillId="0" borderId="0" xfId="0" applyFont="1" applyFill="1" applyBorder="1" applyAlignment="1">
      <alignment vertical="center" wrapText="1"/>
    </xf>
    <xf numFmtId="0" fontId="0" fillId="0" borderId="28" xfId="0" applyBorder="1" applyAlignment="1">
      <alignment horizontal="center"/>
    </xf>
    <xf numFmtId="0" fontId="0" fillId="0" borderId="45" xfId="0" applyBorder="1" applyAlignment="1">
      <alignment horizontal="center"/>
    </xf>
    <xf numFmtId="6" fontId="0" fillId="0" borderId="0" xfId="0" applyNumberFormat="1" applyFont="1" applyBorder="1" applyAlignment="1">
      <alignment horizontal="center"/>
    </xf>
    <xf numFmtId="40" fontId="0" fillId="0" borderId="21" xfId="0" applyNumberFormat="1" applyFont="1" applyBorder="1" applyAlignment="1">
      <alignment horizontal="center"/>
    </xf>
    <xf numFmtId="0" fontId="1" fillId="0" borderId="16" xfId="0" applyFont="1" applyBorder="1" applyAlignment="1">
      <alignment horizontal="center" vertical="center"/>
    </xf>
    <xf numFmtId="0" fontId="1" fillId="0" borderId="17" xfId="0" applyFont="1" applyBorder="1" applyAlignment="1">
      <alignment horizontal="center" vertical="center"/>
    </xf>
    <xf numFmtId="0" fontId="0" fillId="0" borderId="14" xfId="0" applyBorder="1" applyAlignment="1">
      <alignment horizontal="center" vertical="center"/>
    </xf>
    <xf numFmtId="0" fontId="1" fillId="5" borderId="11" xfId="0" applyFont="1" applyFill="1" applyBorder="1" applyAlignment="1">
      <alignment horizontal="center" vertical="center"/>
    </xf>
    <xf numFmtId="0" fontId="0" fillId="0" borderId="1" xfId="0" applyBorder="1" applyAlignment="1">
      <alignment horizontal="center"/>
    </xf>
    <xf numFmtId="168" fontId="0" fillId="0" borderId="60" xfId="0" applyNumberFormat="1" applyBorder="1" applyAlignment="1">
      <alignment horizontal="center"/>
    </xf>
    <xf numFmtId="2" fontId="0" fillId="0" borderId="16" xfId="0" applyNumberFormat="1" applyBorder="1" applyAlignment="1">
      <alignment horizontal="center" vertical="center"/>
    </xf>
    <xf numFmtId="0" fontId="0" fillId="0" borderId="0" xfId="0" applyFill="1" applyBorder="1" applyAlignment="1">
      <alignment horizontal="center" vertical="center"/>
    </xf>
    <xf numFmtId="167" fontId="0" fillId="0" borderId="0" xfId="0" applyNumberFormat="1" applyFill="1" applyBorder="1" applyAlignment="1">
      <alignment horizontal="center" vertical="center"/>
    </xf>
    <xf numFmtId="0" fontId="4" fillId="0" borderId="11" xfId="0" applyFont="1" applyBorder="1" applyAlignment="1">
      <alignment horizontal="center" vertical="center"/>
    </xf>
    <xf numFmtId="1" fontId="0" fillId="0" borderId="1" xfId="0" applyNumberFormat="1" applyFont="1" applyBorder="1" applyAlignment="1">
      <alignment horizontal="center" vertical="center"/>
    </xf>
    <xf numFmtId="1" fontId="0" fillId="0" borderId="9" xfId="0" applyNumberFormat="1" applyFont="1" applyBorder="1" applyAlignment="1">
      <alignment horizontal="center" vertical="center"/>
    </xf>
    <xf numFmtId="0" fontId="0" fillId="0" borderId="1" xfId="0" applyBorder="1" applyAlignment="1">
      <alignment horizontal="center"/>
    </xf>
    <xf numFmtId="0" fontId="0" fillId="0" borderId="1" xfId="0" applyBorder="1" applyAlignment="1">
      <alignment horizontal="center"/>
    </xf>
    <xf numFmtId="0" fontId="8" fillId="0" borderId="1" xfId="0" applyFont="1" applyBorder="1" applyAlignment="1">
      <alignment horizontal="center" vertical="center"/>
    </xf>
    <xf numFmtId="1" fontId="8" fillId="0" borderId="0" xfId="0" applyNumberFormat="1" applyFont="1" applyBorder="1" applyAlignment="1">
      <alignment horizontal="center" vertical="center"/>
    </xf>
    <xf numFmtId="0" fontId="8" fillId="0" borderId="0" xfId="0" applyFont="1" applyBorder="1" applyAlignment="1">
      <alignment horizontal="center" vertical="center"/>
    </xf>
    <xf numFmtId="0" fontId="8" fillId="0" borderId="51" xfId="0" applyFont="1" applyBorder="1" applyAlignment="1">
      <alignment horizontal="center" vertical="center"/>
    </xf>
    <xf numFmtId="0" fontId="0" fillId="0" borderId="0" xfId="0" applyBorder="1" applyAlignment="1">
      <alignment horizontal="center"/>
    </xf>
    <xf numFmtId="165" fontId="8" fillId="0" borderId="44" xfId="0" applyNumberFormat="1" applyFont="1" applyBorder="1" applyAlignment="1">
      <alignment horizontal="center" vertical="center"/>
    </xf>
    <xf numFmtId="165" fontId="8" fillId="0" borderId="25" xfId="0" applyNumberFormat="1" applyFont="1" applyBorder="1" applyAlignment="1">
      <alignment horizontal="center" vertical="center"/>
    </xf>
    <xf numFmtId="165" fontId="8" fillId="0" borderId="1" xfId="0" applyNumberFormat="1" applyFont="1" applyBorder="1" applyAlignment="1">
      <alignment horizontal="center" vertical="center"/>
    </xf>
    <xf numFmtId="3" fontId="8" fillId="0" borderId="44" xfId="0" applyNumberFormat="1" applyFont="1" applyBorder="1" applyAlignment="1">
      <alignment horizontal="center" vertical="center"/>
    </xf>
    <xf numFmtId="3" fontId="8" fillId="0" borderId="1" xfId="0" applyNumberFormat="1" applyFont="1" applyBorder="1" applyAlignment="1">
      <alignment horizontal="center" vertical="center"/>
    </xf>
    <xf numFmtId="3" fontId="8" fillId="0" borderId="16" xfId="0" applyNumberFormat="1" applyFont="1" applyBorder="1" applyAlignment="1">
      <alignment horizontal="center" vertical="center"/>
    </xf>
    <xf numFmtId="0" fontId="0" fillId="0" borderId="1" xfId="0" applyBorder="1" applyAlignment="1">
      <alignment horizontal="center" vertical="center"/>
    </xf>
    <xf numFmtId="0" fontId="0" fillId="0" borderId="27" xfId="0"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1" fillId="0" borderId="46" xfId="0" applyFont="1" applyFill="1" applyBorder="1" applyAlignment="1">
      <alignment horizontal="center" vertical="center"/>
    </xf>
    <xf numFmtId="0" fontId="0" fillId="0" borderId="1" xfId="0" applyBorder="1" applyAlignment="1">
      <alignment horizontal="center" vertical="center" wrapText="1"/>
    </xf>
    <xf numFmtId="0" fontId="4" fillId="0" borderId="27" xfId="0" applyFont="1" applyBorder="1" applyAlignment="1">
      <alignment horizontal="center" vertical="center" wrapText="1"/>
    </xf>
    <xf numFmtId="0" fontId="4" fillId="0" borderId="38"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5" fillId="0" borderId="21" xfId="0" applyFont="1" applyBorder="1" applyAlignment="1">
      <alignment horizontal="center" vertical="center" wrapText="1"/>
    </xf>
    <xf numFmtId="0" fontId="5" fillId="0" borderId="22" xfId="0" applyFont="1" applyBorder="1" applyAlignment="1">
      <alignment horizontal="center" vertical="center"/>
    </xf>
    <xf numFmtId="3" fontId="5" fillId="0" borderId="16" xfId="0" applyNumberFormat="1" applyFont="1" applyBorder="1" applyAlignment="1">
      <alignment horizontal="center" vertical="center"/>
    </xf>
    <xf numFmtId="5" fontId="8" fillId="4" borderId="12" xfId="0" applyNumberFormat="1" applyFont="1" applyFill="1" applyBorder="1" applyAlignment="1">
      <alignment horizontal="center" vertical="center"/>
    </xf>
    <xf numFmtId="0" fontId="0" fillId="0" borderId="1" xfId="0" applyBorder="1" applyAlignment="1">
      <alignment horizontal="center"/>
    </xf>
    <xf numFmtId="168" fontId="0" fillId="0" borderId="0" xfId="0" applyNumberFormat="1" applyBorder="1" applyAlignment="1">
      <alignment horizontal="center"/>
    </xf>
    <xf numFmtId="0" fontId="0" fillId="0" borderId="0" xfId="0" applyAlignment="1">
      <alignment horizontal="left"/>
    </xf>
    <xf numFmtId="0" fontId="8" fillId="0" borderId="8" xfId="0" applyFont="1" applyFill="1" applyBorder="1" applyAlignment="1">
      <alignment horizontal="center" vertical="center"/>
    </xf>
    <xf numFmtId="0" fontId="0" fillId="0" borderId="8" xfId="0" applyFill="1" applyBorder="1" applyAlignment="1">
      <alignment horizontal="center" vertical="center"/>
    </xf>
    <xf numFmtId="0" fontId="2" fillId="0" borderId="52" xfId="0" applyFont="1" applyFill="1" applyBorder="1" applyAlignment="1">
      <alignment horizontal="center" vertical="center"/>
    </xf>
    <xf numFmtId="1" fontId="2" fillId="0" borderId="55" xfId="0" applyNumberFormat="1" applyFont="1" applyFill="1" applyBorder="1" applyAlignment="1">
      <alignment horizontal="center" vertical="center"/>
    </xf>
    <xf numFmtId="0" fontId="8" fillId="8" borderId="51" xfId="0" applyFont="1" applyFill="1" applyBorder="1" applyAlignment="1">
      <alignment horizontal="center" vertical="center"/>
    </xf>
    <xf numFmtId="0" fontId="8" fillId="0" borderId="57" xfId="0" applyFont="1" applyBorder="1" applyAlignment="1">
      <alignment horizontal="center"/>
    </xf>
    <xf numFmtId="0" fontId="2" fillId="0" borderId="45" xfId="0" applyFont="1" applyFill="1" applyBorder="1" applyAlignment="1">
      <alignment horizontal="center" vertical="center"/>
    </xf>
    <xf numFmtId="0" fontId="0" fillId="0" borderId="46" xfId="0" applyFill="1" applyBorder="1" applyAlignment="1">
      <alignment horizontal="center" vertical="center"/>
    </xf>
    <xf numFmtId="0" fontId="8" fillId="0" borderId="46" xfId="0" applyFont="1" applyFill="1" applyBorder="1" applyAlignment="1">
      <alignment horizontal="center" vertical="center"/>
    </xf>
    <xf numFmtId="0" fontId="8" fillId="0" borderId="47" xfId="0" applyFont="1" applyFill="1" applyBorder="1" applyAlignment="1">
      <alignment horizontal="center"/>
    </xf>
    <xf numFmtId="1" fontId="2" fillId="0" borderId="47" xfId="0" applyNumberFormat="1" applyFont="1" applyFill="1" applyBorder="1" applyAlignment="1">
      <alignment horizontal="center" vertical="center"/>
    </xf>
    <xf numFmtId="0" fontId="8" fillId="0" borderId="21" xfId="0" applyFont="1" applyFill="1" applyBorder="1" applyAlignment="1">
      <alignment horizontal="center" vertical="center"/>
    </xf>
    <xf numFmtId="2" fontId="8" fillId="0" borderId="22" xfId="0" applyNumberFormat="1" applyFont="1" applyFill="1" applyBorder="1" applyAlignment="1">
      <alignment horizontal="center" vertical="center"/>
    </xf>
    <xf numFmtId="0" fontId="0" fillId="0" borderId="22" xfId="0" applyFill="1" applyBorder="1" applyAlignment="1">
      <alignment horizontal="center" vertical="center"/>
    </xf>
    <xf numFmtId="1" fontId="8" fillId="0" borderId="22" xfId="0" applyNumberFormat="1" applyFont="1" applyFill="1" applyBorder="1" applyAlignment="1">
      <alignment horizontal="center" vertical="center"/>
    </xf>
    <xf numFmtId="0" fontId="4" fillId="8" borderId="51" xfId="0" applyFont="1" applyFill="1" applyBorder="1" applyAlignment="1">
      <alignment horizontal="center" vertical="center" wrapText="1"/>
    </xf>
    <xf numFmtId="0" fontId="43" fillId="2" borderId="7" xfId="0" applyFont="1" applyFill="1" applyBorder="1" applyAlignment="1">
      <alignment horizontal="center" vertical="center" wrapText="1"/>
    </xf>
    <xf numFmtId="0" fontId="4" fillId="0" borderId="7" xfId="0" applyFont="1" applyBorder="1" applyAlignment="1">
      <alignment horizontal="center" vertical="center" wrapText="1"/>
    </xf>
    <xf numFmtId="0" fontId="4" fillId="0" borderId="45" xfId="0" applyFont="1" applyFill="1" applyBorder="1" applyAlignment="1">
      <alignment horizontal="center" vertical="center" wrapText="1"/>
    </xf>
    <xf numFmtId="0" fontId="43" fillId="0" borderId="46" xfId="0" applyFont="1" applyFill="1" applyBorder="1" applyAlignment="1">
      <alignment horizontal="center" vertical="center" wrapText="1"/>
    </xf>
    <xf numFmtId="0" fontId="4" fillId="0" borderId="46" xfId="0" applyFont="1" applyFill="1" applyBorder="1" applyAlignment="1">
      <alignment horizontal="center" vertical="center" wrapText="1"/>
    </xf>
    <xf numFmtId="2" fontId="8" fillId="0" borderId="7" xfId="0" applyNumberFormat="1" applyFont="1" applyBorder="1" applyAlignment="1">
      <alignment horizontal="center" vertical="center"/>
    </xf>
    <xf numFmtId="1" fontId="8" fillId="0" borderId="57" xfId="0" applyNumberFormat="1" applyFont="1" applyBorder="1" applyAlignment="1">
      <alignment horizontal="center" vertical="center"/>
    </xf>
    <xf numFmtId="2" fontId="2" fillId="0" borderId="46" xfId="0" applyNumberFormat="1" applyFont="1" applyFill="1" applyBorder="1" applyAlignment="1">
      <alignment horizontal="center" vertical="center"/>
    </xf>
    <xf numFmtId="0" fontId="2" fillId="0" borderId="47" xfId="0" applyFont="1" applyFill="1" applyBorder="1" applyAlignment="1">
      <alignment horizontal="center"/>
    </xf>
    <xf numFmtId="11" fontId="0" fillId="0" borderId="33" xfId="0" applyNumberFormat="1" applyFill="1" applyBorder="1" applyAlignment="1">
      <alignment horizontal="center"/>
    </xf>
    <xf numFmtId="0" fontId="2" fillId="0" borderId="43" xfId="0" applyFont="1" applyBorder="1" applyAlignment="1">
      <alignment horizontal="center"/>
    </xf>
    <xf numFmtId="0" fontId="0" fillId="0" borderId="42" xfId="0" applyBorder="1" applyAlignment="1">
      <alignment horizontal="center"/>
    </xf>
    <xf numFmtId="4" fontId="8" fillId="0" borderId="42" xfId="0" applyNumberFormat="1" applyFont="1" applyBorder="1" applyAlignment="1">
      <alignment horizontal="center"/>
    </xf>
    <xf numFmtId="165" fontId="8" fillId="0" borderId="1" xfId="0" applyNumberFormat="1" applyFont="1" applyBorder="1" applyAlignment="1">
      <alignment horizontal="center"/>
    </xf>
    <xf numFmtId="1" fontId="8" fillId="0" borderId="1" xfId="0" applyNumberFormat="1" applyFont="1" applyBorder="1" applyAlignment="1">
      <alignment horizontal="center"/>
    </xf>
    <xf numFmtId="0" fontId="2" fillId="0" borderId="8" xfId="0" applyFont="1" applyFill="1" applyBorder="1" applyAlignment="1">
      <alignment horizontal="center" vertical="center" wrapText="1"/>
    </xf>
    <xf numFmtId="1" fontId="8" fillId="0" borderId="9" xfId="0" applyNumberFormat="1" applyFont="1" applyBorder="1" applyAlignment="1">
      <alignment horizontal="center"/>
    </xf>
    <xf numFmtId="1" fontId="0" fillId="0" borderId="9" xfId="0" applyNumberFormat="1" applyBorder="1" applyAlignment="1">
      <alignment horizontal="center"/>
    </xf>
    <xf numFmtId="3" fontId="8" fillId="0" borderId="38" xfId="0" applyNumberFormat="1" applyFont="1" applyBorder="1" applyAlignment="1">
      <alignment horizontal="center"/>
    </xf>
    <xf numFmtId="1" fontId="8" fillId="0" borderId="16" xfId="0" applyNumberFormat="1" applyFont="1" applyBorder="1" applyAlignment="1">
      <alignment horizontal="center"/>
    </xf>
    <xf numFmtId="165" fontId="8" fillId="0" borderId="16" xfId="0" applyNumberFormat="1" applyFont="1" applyBorder="1" applyAlignment="1">
      <alignment horizontal="center" vertical="center"/>
    </xf>
    <xf numFmtId="0" fontId="2" fillId="0" borderId="8" xfId="0" applyFont="1" applyBorder="1" applyAlignment="1">
      <alignment horizontal="center" vertical="center" wrapText="1"/>
    </xf>
    <xf numFmtId="0" fontId="2" fillId="0" borderId="53" xfId="0" applyFont="1" applyBorder="1" applyAlignment="1">
      <alignment horizontal="center" vertical="center" wrapText="1"/>
    </xf>
    <xf numFmtId="0" fontId="2" fillId="0" borderId="53" xfId="0" applyFont="1" applyFill="1" applyBorder="1" applyAlignment="1">
      <alignment horizontal="center" vertical="center" wrapText="1"/>
    </xf>
    <xf numFmtId="0" fontId="0" fillId="0" borderId="12" xfId="0" applyBorder="1" applyAlignment="1">
      <alignment horizontal="center" vertical="center" wrapText="1"/>
    </xf>
    <xf numFmtId="165" fontId="8" fillId="0" borderId="12" xfId="0" applyNumberFormat="1" applyFont="1" applyBorder="1" applyAlignment="1">
      <alignment horizontal="center" vertical="center"/>
    </xf>
    <xf numFmtId="165" fontId="8" fillId="0" borderId="12" xfId="0" applyNumberFormat="1" applyFont="1" applyBorder="1" applyAlignment="1">
      <alignment horizontal="center"/>
    </xf>
    <xf numFmtId="165" fontId="8" fillId="0" borderId="13" xfId="0" applyNumberFormat="1" applyFont="1" applyBorder="1" applyAlignment="1">
      <alignment horizontal="center"/>
    </xf>
    <xf numFmtId="165" fontId="8" fillId="0" borderId="16" xfId="0" applyNumberFormat="1" applyFont="1" applyBorder="1" applyAlignment="1">
      <alignment horizontal="center"/>
    </xf>
    <xf numFmtId="165" fontId="8" fillId="0" borderId="17" xfId="0" applyNumberFormat="1" applyFont="1" applyBorder="1" applyAlignment="1">
      <alignment horizontal="center"/>
    </xf>
    <xf numFmtId="0" fontId="2" fillId="0" borderId="52" xfId="0" applyFont="1" applyBorder="1" applyAlignment="1">
      <alignment horizontal="center" vertical="center"/>
    </xf>
    <xf numFmtId="0" fontId="2" fillId="0" borderId="8" xfId="0" applyFont="1" applyBorder="1" applyAlignment="1">
      <alignment horizontal="center" vertical="center"/>
    </xf>
    <xf numFmtId="0" fontId="2" fillId="0" borderId="55" xfId="0" applyFont="1" applyBorder="1" applyAlignment="1">
      <alignment horizontal="center" vertical="center"/>
    </xf>
    <xf numFmtId="0" fontId="2" fillId="0" borderId="34" xfId="0" applyFont="1" applyBorder="1" applyAlignment="1">
      <alignment horizontal="center" vertical="center"/>
    </xf>
    <xf numFmtId="1" fontId="8" fillId="0" borderId="12" xfId="0" applyNumberFormat="1" applyFont="1" applyBorder="1" applyAlignment="1">
      <alignment horizontal="center"/>
    </xf>
    <xf numFmtId="3" fontId="8" fillId="0" borderId="13" xfId="0" applyNumberFormat="1" applyFont="1" applyBorder="1" applyAlignment="1">
      <alignment horizontal="center"/>
    </xf>
    <xf numFmtId="6" fontId="0" fillId="0" borderId="1" xfId="0" applyNumberFormat="1" applyFill="1" applyBorder="1" applyAlignment="1">
      <alignment horizontal="center" vertical="center"/>
    </xf>
    <xf numFmtId="0" fontId="2" fillId="0" borderId="43" xfId="0" applyFont="1" applyBorder="1" applyAlignment="1">
      <alignment horizontal="center" vertical="center"/>
    </xf>
    <xf numFmtId="0" fontId="2" fillId="0" borderId="42" xfId="0" applyFont="1" applyBorder="1" applyAlignment="1">
      <alignment horizontal="center" vertical="center"/>
    </xf>
    <xf numFmtId="0" fontId="2" fillId="0" borderId="42" xfId="0" applyFont="1" applyBorder="1" applyAlignment="1">
      <alignment horizontal="center" vertical="center" wrapText="1"/>
    </xf>
    <xf numFmtId="0" fontId="2" fillId="0" borderId="42" xfId="0" applyFont="1" applyFill="1" applyBorder="1" applyAlignment="1">
      <alignment horizontal="center" vertical="center"/>
    </xf>
    <xf numFmtId="0" fontId="2" fillId="0" borderId="42" xfId="0" applyFont="1" applyFill="1" applyBorder="1" applyAlignment="1">
      <alignment horizontal="center" vertical="center" wrapText="1"/>
    </xf>
    <xf numFmtId="0" fontId="2" fillId="0" borderId="70" xfId="0" applyFont="1" applyBorder="1" applyAlignment="1">
      <alignment horizontal="center" vertical="center"/>
    </xf>
    <xf numFmtId="0" fontId="2" fillId="0" borderId="43" xfId="0" applyFont="1" applyFill="1" applyBorder="1" applyAlignment="1">
      <alignment horizontal="center" vertical="center" wrapText="1"/>
    </xf>
    <xf numFmtId="0" fontId="2" fillId="0" borderId="44" xfId="0" applyFont="1" applyFill="1" applyBorder="1" applyAlignment="1">
      <alignment horizontal="center" vertical="center" wrapText="1"/>
    </xf>
    <xf numFmtId="0" fontId="2" fillId="0" borderId="19" xfId="0" applyFont="1" applyBorder="1" applyAlignment="1">
      <alignment horizontal="center" vertical="center"/>
    </xf>
    <xf numFmtId="0" fontId="2" fillId="0" borderId="75" xfId="0" applyFont="1" applyBorder="1" applyAlignment="1">
      <alignment horizontal="center" vertical="center" wrapText="1"/>
    </xf>
    <xf numFmtId="0" fontId="2" fillId="0" borderId="44" xfId="0" applyFont="1" applyBorder="1" applyAlignment="1">
      <alignment horizontal="center" vertical="center"/>
    </xf>
    <xf numFmtId="0" fontId="2" fillId="0" borderId="53" xfId="0" applyFont="1" applyFill="1" applyBorder="1" applyAlignment="1">
      <alignment horizontal="center" vertical="center"/>
    </xf>
    <xf numFmtId="0" fontId="5" fillId="0" borderId="0" xfId="0" applyFont="1" applyBorder="1" applyAlignment="1">
      <alignment horizontal="center" vertical="center"/>
    </xf>
    <xf numFmtId="0" fontId="1" fillId="0" borderId="9" xfId="0" applyFont="1" applyBorder="1" applyAlignment="1">
      <alignment horizontal="center" vertical="center"/>
    </xf>
    <xf numFmtId="0" fontId="0" fillId="0" borderId="0" xfId="0" applyBorder="1" applyAlignment="1">
      <alignment horizontal="center"/>
    </xf>
    <xf numFmtId="167" fontId="0" fillId="0" borderId="0" xfId="0" applyNumberFormat="1" applyBorder="1" applyAlignment="1">
      <alignment horizontal="center"/>
    </xf>
    <xf numFmtId="0" fontId="1" fillId="0" borderId="27" xfId="0" applyFont="1" applyBorder="1" applyAlignment="1">
      <alignment horizontal="center" vertical="center"/>
    </xf>
    <xf numFmtId="5" fontId="0" fillId="0" borderId="10" xfId="0" applyNumberFormat="1" applyFont="1" applyBorder="1" applyAlignment="1">
      <alignment horizontal="center" vertical="center"/>
    </xf>
    <xf numFmtId="0" fontId="1" fillId="0" borderId="38" xfId="0" applyFont="1" applyBorder="1" applyAlignment="1">
      <alignment horizontal="center" vertical="center" wrapText="1"/>
    </xf>
    <xf numFmtId="0" fontId="0" fillId="0" borderId="1" xfId="0" applyFont="1" applyBorder="1" applyAlignment="1">
      <alignment horizontal="center" vertical="center" wrapText="1"/>
    </xf>
    <xf numFmtId="1" fontId="8" fillId="23" borderId="16" xfId="0" applyNumberFormat="1" applyFont="1" applyFill="1" applyBorder="1" applyAlignment="1">
      <alignment horizontal="center" vertical="center"/>
    </xf>
    <xf numFmtId="3" fontId="8" fillId="23" borderId="22" xfId="0" applyNumberFormat="1" applyFont="1" applyFill="1" applyBorder="1" applyAlignment="1">
      <alignment horizontal="center" vertical="center"/>
    </xf>
    <xf numFmtId="1" fontId="0" fillId="24" borderId="10" xfId="0" applyNumberFormat="1" applyFill="1" applyBorder="1" applyAlignment="1">
      <alignment horizontal="center"/>
    </xf>
    <xf numFmtId="1" fontId="0" fillId="24" borderId="17" xfId="0" applyNumberFormat="1" applyFill="1" applyBorder="1" applyAlignment="1">
      <alignment horizontal="center"/>
    </xf>
    <xf numFmtId="0" fontId="0" fillId="25" borderId="17" xfId="0" applyFill="1" applyBorder="1" applyAlignment="1">
      <alignment horizontal="center"/>
    </xf>
    <xf numFmtId="0" fontId="0" fillId="24" borderId="17" xfId="0" applyFill="1" applyBorder="1" applyAlignment="1">
      <alignment horizontal="center"/>
    </xf>
    <xf numFmtId="6" fontId="0" fillId="0" borderId="0" xfId="0" applyNumberFormat="1" applyAlignment="1">
      <alignment horizontal="center"/>
    </xf>
    <xf numFmtId="6" fontId="0" fillId="0" borderId="1" xfId="0" applyNumberFormat="1" applyBorder="1" applyAlignment="1">
      <alignment horizontal="center"/>
    </xf>
    <xf numFmtId="6" fontId="0" fillId="0" borderId="12" xfId="0" applyNumberFormat="1" applyBorder="1" applyAlignment="1">
      <alignment horizontal="center"/>
    </xf>
    <xf numFmtId="6" fontId="0" fillId="0" borderId="16" xfId="0" applyNumberFormat="1" applyBorder="1" applyAlignment="1">
      <alignment horizontal="center"/>
    </xf>
    <xf numFmtId="0" fontId="0" fillId="0" borderId="54" xfId="0" applyFill="1" applyBorder="1" applyAlignment="1">
      <alignment horizontal="center" vertical="center"/>
    </xf>
    <xf numFmtId="0" fontId="0" fillId="0" borderId="47" xfId="0" applyFill="1" applyBorder="1" applyAlignment="1">
      <alignment horizontal="center" vertical="center"/>
    </xf>
    <xf numFmtId="0" fontId="5" fillId="0" borderId="1" xfId="0" applyFont="1" applyBorder="1" applyAlignment="1">
      <alignment horizontal="center"/>
    </xf>
    <xf numFmtId="0" fontId="5" fillId="0" borderId="0" xfId="0" applyFont="1" applyBorder="1" applyAlignment="1">
      <alignment horizontal="center" vertical="center"/>
    </xf>
    <xf numFmtId="0" fontId="2" fillId="0" borderId="14" xfId="0" applyFont="1" applyBorder="1" applyAlignment="1">
      <alignment horizontal="center" vertical="center"/>
    </xf>
    <xf numFmtId="0" fontId="1" fillId="0" borderId="0" xfId="0" applyFont="1" applyBorder="1" applyAlignment="1">
      <alignment horizontal="center" vertical="center"/>
    </xf>
    <xf numFmtId="167" fontId="8" fillId="0" borderId="60" xfId="0" applyNumberFormat="1" applyFont="1" applyBorder="1" applyAlignment="1">
      <alignment horizontal="center"/>
    </xf>
    <xf numFmtId="0" fontId="0" fillId="0" borderId="14" xfId="0" applyBorder="1" applyAlignment="1">
      <alignment horizontal="center" vertical="center"/>
    </xf>
    <xf numFmtId="0" fontId="0" fillId="0" borderId="1" xfId="0" applyBorder="1" applyAlignment="1">
      <alignment horizontal="center" vertical="center"/>
    </xf>
    <xf numFmtId="0" fontId="0" fillId="0" borderId="60" xfId="0" applyBorder="1" applyAlignment="1">
      <alignment horizontal="center" vertical="center"/>
    </xf>
    <xf numFmtId="0" fontId="2" fillId="0" borderId="1" xfId="0" applyFont="1" applyBorder="1" applyAlignment="1">
      <alignment horizontal="center" vertical="center"/>
    </xf>
    <xf numFmtId="0" fontId="2" fillId="7" borderId="76" xfId="0" applyFont="1" applyFill="1" applyBorder="1" applyAlignment="1">
      <alignment horizontal="center" vertical="center" wrapText="1"/>
    </xf>
    <xf numFmtId="5" fontId="0" fillId="0" borderId="1" xfId="0" applyNumberFormat="1" applyBorder="1" applyAlignment="1">
      <alignment horizontal="center"/>
    </xf>
    <xf numFmtId="0" fontId="0" fillId="0" borderId="15" xfId="0" applyFont="1" applyBorder="1" applyAlignment="1">
      <alignment horizontal="center" vertical="center" wrapText="1"/>
    </xf>
    <xf numFmtId="0" fontId="8" fillId="2" borderId="76" xfId="0" applyFont="1" applyFill="1" applyBorder="1" applyAlignment="1">
      <alignment horizontal="center" vertical="center"/>
    </xf>
    <xf numFmtId="0" fontId="62" fillId="0" borderId="1" xfId="0" applyFont="1" applyBorder="1" applyAlignment="1">
      <alignment vertical="center"/>
    </xf>
    <xf numFmtId="0" fontId="63" fillId="22" borderId="1" xfId="0" applyFont="1" applyFill="1" applyBorder="1" applyAlignment="1">
      <alignment vertical="center"/>
    </xf>
    <xf numFmtId="0" fontId="0" fillId="0" borderId="16" xfId="0" applyFont="1" applyBorder="1" applyAlignment="1">
      <alignment horizontal="center"/>
    </xf>
    <xf numFmtId="0" fontId="2" fillId="0" borderId="29" xfId="0" applyFont="1" applyBorder="1" applyAlignment="1">
      <alignment horizontal="center"/>
    </xf>
    <xf numFmtId="167" fontId="8" fillId="0" borderId="41" xfId="0" applyNumberFormat="1" applyFont="1" applyBorder="1" applyAlignment="1">
      <alignment horizontal="center"/>
    </xf>
    <xf numFmtId="167" fontId="8" fillId="0" borderId="50" xfId="0" applyNumberFormat="1" applyFont="1" applyBorder="1" applyAlignment="1">
      <alignment horizontal="center"/>
    </xf>
    <xf numFmtId="0" fontId="1" fillId="0" borderId="76" xfId="0" applyFont="1" applyFill="1" applyBorder="1" applyAlignment="1">
      <alignment horizontal="center" vertical="center"/>
    </xf>
    <xf numFmtId="0" fontId="0" fillId="0" borderId="72" xfId="0" applyFont="1" applyFill="1" applyBorder="1" applyAlignment="1">
      <alignment horizontal="center" vertical="center"/>
    </xf>
    <xf numFmtId="0" fontId="0" fillId="0" borderId="73" xfId="0" applyFont="1" applyFill="1" applyBorder="1" applyAlignment="1">
      <alignment horizontal="center" vertical="center"/>
    </xf>
    <xf numFmtId="0" fontId="0" fillId="0" borderId="74" xfId="0" applyFont="1" applyFill="1" applyBorder="1" applyAlignment="1">
      <alignment horizontal="center" vertical="center"/>
    </xf>
    <xf numFmtId="1" fontId="0" fillId="2" borderId="1" xfId="0" applyNumberFormat="1" applyFill="1" applyBorder="1" applyAlignment="1">
      <alignment horizontal="center" vertical="center"/>
    </xf>
    <xf numFmtId="0" fontId="0" fillId="0" borderId="58" xfId="0" applyBorder="1" applyAlignment="1">
      <alignment horizontal="center" vertical="center"/>
    </xf>
    <xf numFmtId="171" fontId="0" fillId="0" borderId="1" xfId="0" applyNumberFormat="1" applyBorder="1" applyAlignment="1">
      <alignment horizontal="center" vertical="center"/>
    </xf>
    <xf numFmtId="0" fontId="4" fillId="0" borderId="27" xfId="0" applyFont="1" applyBorder="1" applyAlignment="1">
      <alignment horizontal="center"/>
    </xf>
    <xf numFmtId="0" fontId="4" fillId="0" borderId="9" xfId="0" applyFont="1" applyBorder="1" applyAlignment="1">
      <alignment horizontal="center"/>
    </xf>
    <xf numFmtId="0" fontId="64" fillId="0" borderId="10" xfId="1" applyFont="1" applyBorder="1" applyAlignment="1">
      <alignment horizontal="center" vertical="center"/>
    </xf>
    <xf numFmtId="0" fontId="5" fillId="0" borderId="10" xfId="0" applyFont="1" applyBorder="1" applyAlignment="1">
      <alignment horizontal="center" vertical="center"/>
    </xf>
    <xf numFmtId="0" fontId="64" fillId="0" borderId="17" xfId="1" applyFont="1" applyBorder="1" applyAlignment="1">
      <alignment horizontal="center" vertical="center"/>
    </xf>
    <xf numFmtId="0" fontId="4" fillId="19" borderId="72" xfId="0" applyFont="1" applyFill="1" applyBorder="1" applyAlignment="1">
      <alignment horizontal="center" vertical="center"/>
    </xf>
    <xf numFmtId="0" fontId="4" fillId="0" borderId="14" xfId="0" applyFont="1" applyBorder="1" applyAlignment="1">
      <alignment horizontal="center"/>
    </xf>
    <xf numFmtId="0" fontId="4" fillId="0" borderId="1" xfId="0" applyFont="1" applyBorder="1" applyAlignment="1">
      <alignment horizontal="center"/>
    </xf>
    <xf numFmtId="0" fontId="5" fillId="0" borderId="73" xfId="0" applyFont="1" applyBorder="1"/>
    <xf numFmtId="0" fontId="4" fillId="0" borderId="10" xfId="0" applyFont="1" applyFill="1" applyBorder="1" applyAlignment="1">
      <alignment horizontal="center"/>
    </xf>
    <xf numFmtId="171" fontId="5" fillId="0" borderId="1" xfId="0" applyNumberFormat="1" applyFont="1" applyBorder="1" applyAlignment="1">
      <alignment horizontal="center"/>
    </xf>
    <xf numFmtId="171" fontId="5" fillId="0" borderId="10" xfId="0" applyNumberFormat="1" applyFont="1" applyBorder="1" applyAlignment="1">
      <alignment horizontal="center"/>
    </xf>
    <xf numFmtId="0" fontId="4" fillId="0" borderId="15" xfId="0" applyFont="1" applyBorder="1" applyAlignment="1">
      <alignment horizontal="center"/>
    </xf>
    <xf numFmtId="171" fontId="4" fillId="0" borderId="16" xfId="0" applyNumberFormat="1" applyFont="1" applyBorder="1" applyAlignment="1">
      <alignment horizontal="center"/>
    </xf>
    <xf numFmtId="171" fontId="4" fillId="0" borderId="17" xfId="0" applyNumberFormat="1" applyFont="1" applyBorder="1" applyAlignment="1">
      <alignment horizontal="center"/>
    </xf>
    <xf numFmtId="0" fontId="4" fillId="0" borderId="52" xfId="0" applyFont="1" applyBorder="1" applyAlignment="1">
      <alignment horizontal="center"/>
    </xf>
    <xf numFmtId="171" fontId="4" fillId="0" borderId="8" xfId="0" applyNumberFormat="1" applyFont="1" applyBorder="1" applyAlignment="1">
      <alignment horizontal="center"/>
    </xf>
    <xf numFmtId="171" fontId="4" fillId="0" borderId="32" xfId="0" applyNumberFormat="1" applyFont="1" applyBorder="1" applyAlignment="1">
      <alignment horizontal="center"/>
    </xf>
    <xf numFmtId="3" fontId="5" fillId="0" borderId="0" xfId="0" applyNumberFormat="1" applyFont="1" applyBorder="1" applyAlignment="1">
      <alignment horizontal="center" vertical="center"/>
    </xf>
    <xf numFmtId="1" fontId="5" fillId="0" borderId="0" xfId="0" applyNumberFormat="1" applyFont="1" applyBorder="1" applyAlignment="1">
      <alignment horizontal="center" vertical="center"/>
    </xf>
    <xf numFmtId="0" fontId="4" fillId="0" borderId="72" xfId="0" applyFont="1" applyBorder="1" applyAlignment="1">
      <alignment horizontal="center" vertical="center"/>
    </xf>
    <xf numFmtId="1" fontId="5" fillId="0" borderId="72" xfId="0" applyNumberFormat="1" applyFont="1" applyBorder="1" applyAlignment="1">
      <alignment horizontal="center" vertical="center" wrapText="1"/>
    </xf>
    <xf numFmtId="0" fontId="5" fillId="0" borderId="73" xfId="0" applyFont="1" applyBorder="1" applyAlignment="1">
      <alignment horizontal="center"/>
    </xf>
    <xf numFmtId="171" fontId="5" fillId="0" borderId="14" xfId="0" applyNumberFormat="1" applyFont="1" applyBorder="1" applyAlignment="1">
      <alignment horizontal="center"/>
    </xf>
    <xf numFmtId="171" fontId="5" fillId="0" borderId="1" xfId="0" applyNumberFormat="1" applyFont="1" applyFill="1" applyBorder="1" applyAlignment="1">
      <alignment horizontal="center"/>
    </xf>
    <xf numFmtId="3" fontId="5" fillId="0" borderId="10" xfId="0" applyNumberFormat="1" applyFont="1" applyBorder="1" applyAlignment="1">
      <alignment horizontal="center" vertical="center"/>
    </xf>
    <xf numFmtId="171" fontId="5" fillId="0" borderId="73" xfId="0" applyNumberFormat="1" applyFont="1" applyBorder="1" applyAlignment="1">
      <alignment horizontal="center" vertical="center"/>
    </xf>
    <xf numFmtId="1" fontId="5" fillId="0" borderId="5" xfId="0" applyNumberFormat="1" applyFont="1" applyBorder="1" applyAlignment="1">
      <alignment horizontal="center" vertical="center"/>
    </xf>
    <xf numFmtId="1" fontId="5" fillId="0" borderId="1" xfId="0" applyNumberFormat="1" applyFont="1" applyBorder="1" applyAlignment="1">
      <alignment horizontal="center" vertical="center"/>
    </xf>
    <xf numFmtId="1" fontId="5" fillId="0" borderId="1" xfId="0" applyNumberFormat="1" applyFont="1" applyFill="1" applyBorder="1" applyAlignment="1">
      <alignment horizontal="center" vertical="center"/>
    </xf>
    <xf numFmtId="1" fontId="5" fillId="0" borderId="10" xfId="0" applyNumberFormat="1" applyFont="1" applyBorder="1" applyAlignment="1">
      <alignment horizontal="center"/>
    </xf>
    <xf numFmtId="175" fontId="5" fillId="0" borderId="0" xfId="0" applyNumberFormat="1" applyFont="1" applyBorder="1" applyAlignment="1">
      <alignment horizontal="center" vertical="center"/>
    </xf>
    <xf numFmtId="1" fontId="5" fillId="0" borderId="0" xfId="0" applyNumberFormat="1" applyFont="1" applyBorder="1" applyAlignment="1">
      <alignment horizontal="center"/>
    </xf>
    <xf numFmtId="0" fontId="5" fillId="0" borderId="0" xfId="0" applyFont="1" applyFill="1"/>
    <xf numFmtId="39" fontId="67" fillId="0" borderId="1" xfId="0" applyNumberFormat="1" applyFont="1" applyFill="1" applyBorder="1" applyAlignment="1">
      <alignment horizontal="center" vertical="center"/>
    </xf>
    <xf numFmtId="169" fontId="5" fillId="0" borderId="1" xfId="0" applyNumberFormat="1" applyFont="1" applyBorder="1" applyAlignment="1">
      <alignment horizontal="center" vertical="center"/>
    </xf>
    <xf numFmtId="5" fontId="5" fillId="0" borderId="1" xfId="0" applyNumberFormat="1" applyFont="1" applyBorder="1" applyAlignment="1">
      <alignment horizontal="center" vertical="center"/>
    </xf>
    <xf numFmtId="39" fontId="67" fillId="0" borderId="16" xfId="0" applyNumberFormat="1" applyFont="1" applyFill="1" applyBorder="1" applyAlignment="1">
      <alignment horizontal="center" vertical="center"/>
    </xf>
    <xf numFmtId="169" fontId="5" fillId="0" borderId="16" xfId="0" applyNumberFormat="1" applyFont="1" applyBorder="1" applyAlignment="1">
      <alignment horizontal="center" vertical="center"/>
    </xf>
    <xf numFmtId="5" fontId="5" fillId="0" borderId="16" xfId="0" applyNumberFormat="1" applyFont="1" applyBorder="1" applyAlignment="1">
      <alignment horizontal="center" vertical="center"/>
    </xf>
    <xf numFmtId="0" fontId="4" fillId="0" borderId="52" xfId="0" applyFont="1" applyBorder="1" applyAlignment="1">
      <alignment horizontal="center" vertical="center"/>
    </xf>
    <xf numFmtId="0" fontId="4" fillId="0" borderId="8" xfId="0" applyFont="1" applyBorder="1" applyAlignment="1">
      <alignment horizontal="center" vertical="center"/>
    </xf>
    <xf numFmtId="0" fontId="4" fillId="0" borderId="8" xfId="0" applyFont="1" applyBorder="1" applyAlignment="1">
      <alignment horizontal="center" vertical="center" wrapText="1"/>
    </xf>
    <xf numFmtId="0" fontId="4" fillId="0" borderId="55" xfId="0" applyFont="1" applyBorder="1" applyAlignment="1">
      <alignment horizontal="center" vertical="center" wrapText="1"/>
    </xf>
    <xf numFmtId="0" fontId="5" fillId="0" borderId="0" xfId="0" applyFont="1" applyBorder="1"/>
    <xf numFmtId="37" fontId="67" fillId="0" borderId="12" xfId="0" applyNumberFormat="1" applyFont="1" applyFill="1" applyBorder="1" applyAlignment="1">
      <alignment horizontal="center" vertical="center"/>
    </xf>
    <xf numFmtId="37" fontId="67" fillId="0" borderId="12" xfId="0" applyNumberFormat="1" applyFont="1" applyFill="1" applyBorder="1" applyAlignment="1">
      <alignment horizontal="center"/>
    </xf>
    <xf numFmtId="178" fontId="5" fillId="0" borderId="12" xfId="0" applyNumberFormat="1" applyFont="1" applyBorder="1" applyAlignment="1">
      <alignment horizontal="center" vertical="center"/>
    </xf>
    <xf numFmtId="168" fontId="5" fillId="0" borderId="12" xfId="0" applyNumberFormat="1" applyFont="1" applyBorder="1" applyAlignment="1">
      <alignment horizontal="center"/>
    </xf>
    <xf numFmtId="168" fontId="5" fillId="0" borderId="12" xfId="0" applyNumberFormat="1" applyFont="1" applyBorder="1" applyAlignment="1">
      <alignment horizontal="center" vertical="center"/>
    </xf>
    <xf numFmtId="168" fontId="5" fillId="0" borderId="63" xfId="0" applyNumberFormat="1" applyFont="1" applyBorder="1" applyAlignment="1">
      <alignment horizontal="center"/>
    </xf>
    <xf numFmtId="5" fontId="5" fillId="0" borderId="12" xfId="0" applyNumberFormat="1" applyFont="1" applyBorder="1" applyAlignment="1">
      <alignment horizontal="center"/>
    </xf>
    <xf numFmtId="5" fontId="5" fillId="0" borderId="0" xfId="0" applyNumberFormat="1" applyFont="1" applyBorder="1" applyAlignment="1">
      <alignment horizontal="center"/>
    </xf>
    <xf numFmtId="37" fontId="67" fillId="0" borderId="1" xfId="0" applyNumberFormat="1" applyFont="1" applyFill="1" applyBorder="1" applyAlignment="1">
      <alignment horizontal="center" vertical="center"/>
    </xf>
    <xf numFmtId="37" fontId="67" fillId="0" borderId="1" xfId="0" applyNumberFormat="1" applyFont="1" applyFill="1" applyBorder="1" applyAlignment="1">
      <alignment horizontal="center"/>
    </xf>
    <xf numFmtId="178" fontId="5" fillId="0" borderId="1" xfId="0" applyNumberFormat="1" applyFont="1" applyBorder="1" applyAlignment="1">
      <alignment horizontal="center" vertical="center"/>
    </xf>
    <xf numFmtId="168" fontId="5" fillId="0" borderId="1" xfId="0" applyNumberFormat="1" applyFont="1" applyBorder="1" applyAlignment="1">
      <alignment horizontal="center"/>
    </xf>
    <xf numFmtId="168" fontId="5" fillId="0" borderId="1" xfId="0" applyNumberFormat="1" applyFont="1" applyBorder="1" applyAlignment="1">
      <alignment horizontal="center" vertical="center"/>
    </xf>
    <xf numFmtId="168" fontId="5" fillId="0" borderId="5" xfId="0" applyNumberFormat="1" applyFont="1" applyBorder="1" applyAlignment="1">
      <alignment horizontal="center"/>
    </xf>
    <xf numFmtId="5" fontId="5" fillId="0" borderId="1" xfId="0" applyNumberFormat="1" applyFont="1" applyBorder="1" applyAlignment="1">
      <alignment horizontal="center"/>
    </xf>
    <xf numFmtId="37" fontId="67" fillId="0" borderId="16" xfId="0" applyNumberFormat="1" applyFont="1" applyFill="1" applyBorder="1" applyAlignment="1">
      <alignment horizontal="center" vertical="center"/>
    </xf>
    <xf numFmtId="37" fontId="67" fillId="0" borderId="16" xfId="0" applyNumberFormat="1" applyFont="1" applyFill="1" applyBorder="1" applyAlignment="1">
      <alignment horizontal="center"/>
    </xf>
    <xf numFmtId="178" fontId="5" fillId="0" borderId="16" xfId="0" applyNumberFormat="1" applyFont="1" applyBorder="1" applyAlignment="1">
      <alignment horizontal="center" vertical="center"/>
    </xf>
    <xf numFmtId="168" fontId="5" fillId="0" borderId="16" xfId="0" applyNumberFormat="1" applyFont="1" applyBorder="1" applyAlignment="1">
      <alignment horizontal="center"/>
    </xf>
    <xf numFmtId="168" fontId="5" fillId="0" borderId="16" xfId="0" applyNumberFormat="1" applyFont="1" applyBorder="1" applyAlignment="1">
      <alignment horizontal="center" vertical="center"/>
    </xf>
    <xf numFmtId="168" fontId="5" fillId="0" borderId="20" xfId="0" applyNumberFormat="1" applyFont="1" applyBorder="1" applyAlignment="1">
      <alignment horizontal="center"/>
    </xf>
    <xf numFmtId="5" fontId="5" fillId="0" borderId="16" xfId="0" applyNumberFormat="1" applyFont="1" applyBorder="1" applyAlignment="1">
      <alignment horizontal="center"/>
    </xf>
    <xf numFmtId="3" fontId="0" fillId="0" borderId="16" xfId="0" applyNumberFormat="1" applyFont="1" applyBorder="1" applyAlignment="1">
      <alignment horizontal="center"/>
    </xf>
    <xf numFmtId="0" fontId="20" fillId="27" borderId="0" xfId="0" applyFont="1" applyFill="1" applyAlignment="1">
      <alignment horizontal="center"/>
    </xf>
    <xf numFmtId="0" fontId="62" fillId="0" borderId="1" xfId="0" applyFont="1" applyFill="1" applyBorder="1" applyAlignment="1">
      <alignment vertical="center"/>
    </xf>
    <xf numFmtId="0" fontId="1" fillId="0" borderId="12" xfId="0" applyFont="1" applyBorder="1" applyAlignment="1">
      <alignment horizontal="center" wrapText="1"/>
    </xf>
    <xf numFmtId="170" fontId="8" fillId="0" borderId="73" xfId="0" applyNumberFormat="1" applyFont="1" applyFill="1" applyBorder="1" applyAlignment="1">
      <alignment horizontal="center" vertical="center"/>
    </xf>
    <xf numFmtId="3" fontId="8" fillId="0" borderId="73" xfId="0" applyNumberFormat="1" applyFont="1" applyFill="1" applyBorder="1" applyAlignment="1">
      <alignment horizontal="center" vertical="center"/>
    </xf>
    <xf numFmtId="0" fontId="8" fillId="0" borderId="73" xfId="0" applyFont="1" applyFill="1" applyBorder="1" applyAlignment="1">
      <alignment horizontal="center" vertical="center"/>
    </xf>
    <xf numFmtId="11" fontId="8" fillId="0" borderId="69" xfId="0" applyNumberFormat="1" applyFont="1" applyFill="1" applyBorder="1" applyAlignment="1">
      <alignment horizontal="center" vertical="center"/>
    </xf>
    <xf numFmtId="11" fontId="8" fillId="0" borderId="77" xfId="0" applyNumberFormat="1" applyFont="1" applyFill="1" applyBorder="1" applyAlignment="1">
      <alignment horizontal="center" vertical="center"/>
    </xf>
    <xf numFmtId="3" fontId="8" fillId="0" borderId="10" xfId="0" applyNumberFormat="1" applyFont="1" applyFill="1" applyBorder="1" applyAlignment="1">
      <alignment horizontal="center" vertical="center"/>
    </xf>
    <xf numFmtId="165" fontId="8" fillId="0" borderId="10" xfId="0" applyNumberFormat="1" applyFont="1" applyFill="1" applyBorder="1" applyAlignment="1">
      <alignment horizontal="center" vertical="center"/>
    </xf>
    <xf numFmtId="165" fontId="8" fillId="0" borderId="17" xfId="0" applyNumberFormat="1" applyFont="1" applyFill="1" applyBorder="1" applyAlignment="1">
      <alignment horizontal="center" vertical="center"/>
    </xf>
    <xf numFmtId="0" fontId="8" fillId="0" borderId="6" xfId="0" applyFont="1" applyFill="1" applyBorder="1" applyAlignment="1">
      <alignment horizontal="center" vertical="center"/>
    </xf>
    <xf numFmtId="11" fontId="8" fillId="0" borderId="6" xfId="0" applyNumberFormat="1" applyFont="1" applyFill="1" applyBorder="1" applyAlignment="1">
      <alignment horizontal="center" vertical="center"/>
    </xf>
    <xf numFmtId="11" fontId="8" fillId="0" borderId="23" xfId="0" applyNumberFormat="1" applyFont="1" applyFill="1" applyBorder="1" applyAlignment="1">
      <alignment horizontal="center" vertical="center"/>
    </xf>
    <xf numFmtId="165" fontId="8" fillId="0" borderId="73" xfId="0" applyNumberFormat="1" applyFont="1" applyFill="1" applyBorder="1" applyAlignment="1">
      <alignment horizontal="center" vertical="center"/>
    </xf>
    <xf numFmtId="165" fontId="8" fillId="0" borderId="74" xfId="0" applyNumberFormat="1" applyFont="1" applyFill="1" applyBorder="1" applyAlignment="1">
      <alignment horizontal="center" vertical="center"/>
    </xf>
    <xf numFmtId="170" fontId="8" fillId="0" borderId="67" xfId="0" applyNumberFormat="1" applyFont="1" applyFill="1" applyBorder="1" applyAlignment="1">
      <alignment horizontal="center" vertical="center"/>
    </xf>
    <xf numFmtId="37" fontId="0" fillId="0" borderId="1" xfId="0" applyNumberFormat="1" applyBorder="1" applyAlignment="1">
      <alignment horizontal="center" vertical="center"/>
    </xf>
    <xf numFmtId="37" fontId="0" fillId="0" borderId="12" xfId="0" applyNumberFormat="1" applyBorder="1" applyAlignment="1">
      <alignment horizontal="center" vertical="center"/>
    </xf>
    <xf numFmtId="1" fontId="0" fillId="0" borderId="12" xfId="0" applyNumberFormat="1" applyBorder="1" applyAlignment="1">
      <alignment horizontal="center" vertical="center"/>
    </xf>
    <xf numFmtId="37" fontId="0" fillId="0" borderId="16" xfId="0" applyNumberFormat="1" applyBorder="1" applyAlignment="1">
      <alignment horizontal="center" vertical="center"/>
    </xf>
    <xf numFmtId="0" fontId="1" fillId="7" borderId="46" xfId="0" applyFont="1" applyFill="1" applyBorder="1" applyAlignment="1">
      <alignment horizontal="center" vertical="center"/>
    </xf>
    <xf numFmtId="0" fontId="1" fillId="7" borderId="47" xfId="0" applyFont="1" applyFill="1" applyBorder="1" applyAlignment="1">
      <alignment horizontal="center" vertical="center"/>
    </xf>
    <xf numFmtId="179" fontId="0" fillId="0" borderId="1" xfId="0" applyNumberFormat="1" applyBorder="1" applyAlignment="1">
      <alignment horizontal="center"/>
    </xf>
    <xf numFmtId="5" fontId="0" fillId="0" borderId="16" xfId="0" applyNumberFormat="1" applyBorder="1" applyAlignment="1">
      <alignment horizontal="center"/>
    </xf>
    <xf numFmtId="3" fontId="0" fillId="0" borderId="12" xfId="0" applyNumberFormat="1" applyBorder="1" applyAlignment="1">
      <alignment horizontal="center" vertical="center"/>
    </xf>
    <xf numFmtId="6" fontId="0" fillId="0" borderId="12" xfId="0" applyNumberFormat="1" applyBorder="1" applyAlignment="1">
      <alignment horizontal="center" vertical="center"/>
    </xf>
    <xf numFmtId="169" fontId="0" fillId="0" borderId="1" xfId="0" applyNumberFormat="1" applyBorder="1" applyAlignment="1">
      <alignment horizontal="center" vertical="center"/>
    </xf>
    <xf numFmtId="169" fontId="0" fillId="0" borderId="16" xfId="0" applyNumberFormat="1" applyBorder="1" applyAlignment="1">
      <alignment horizontal="center" vertical="center"/>
    </xf>
    <xf numFmtId="169" fontId="0" fillId="0" borderId="14" xfId="0" applyNumberFormat="1" applyBorder="1" applyAlignment="1">
      <alignment horizontal="center" vertical="center"/>
    </xf>
    <xf numFmtId="169" fontId="0" fillId="0" borderId="15" xfId="0" applyNumberFormat="1" applyBorder="1" applyAlignment="1">
      <alignment horizontal="center" vertical="center"/>
    </xf>
    <xf numFmtId="169" fontId="0" fillId="0" borderId="16" xfId="0" applyNumberFormat="1" applyFill="1" applyBorder="1" applyAlignment="1">
      <alignment horizontal="center" vertical="center"/>
    </xf>
    <xf numFmtId="0" fontId="1" fillId="7" borderId="28" xfId="0" applyFont="1" applyFill="1" applyBorder="1" applyAlignment="1">
      <alignment horizontal="center" vertical="center"/>
    </xf>
    <xf numFmtId="0" fontId="1" fillId="7" borderId="76" xfId="0" applyFont="1" applyFill="1" applyBorder="1" applyAlignment="1">
      <alignment horizontal="center" vertical="center"/>
    </xf>
    <xf numFmtId="0" fontId="1" fillId="7" borderId="48" xfId="0" applyFont="1" applyFill="1" applyBorder="1" applyAlignment="1">
      <alignment horizontal="center" vertical="center"/>
    </xf>
    <xf numFmtId="0" fontId="1" fillId="7" borderId="59" xfId="0" applyFont="1" applyFill="1" applyBorder="1" applyAlignment="1">
      <alignment horizontal="center" vertical="center"/>
    </xf>
    <xf numFmtId="0" fontId="1" fillId="7" borderId="30" xfId="0" applyFont="1" applyFill="1" applyBorder="1" applyAlignment="1">
      <alignment horizontal="center" vertical="center"/>
    </xf>
    <xf numFmtId="0" fontId="1" fillId="7" borderId="28" xfId="0" applyFont="1" applyFill="1" applyBorder="1" applyAlignment="1">
      <alignment horizontal="center" vertical="center" wrapText="1"/>
    </xf>
    <xf numFmtId="0" fontId="1" fillId="7" borderId="76" xfId="0" applyFont="1" applyFill="1" applyBorder="1" applyAlignment="1">
      <alignment horizontal="center" vertical="center" wrapText="1"/>
    </xf>
    <xf numFmtId="0" fontId="1" fillId="7" borderId="76" xfId="0" applyFont="1" applyFill="1" applyBorder="1" applyAlignment="1">
      <alignment horizontal="center" wrapText="1"/>
    </xf>
    <xf numFmtId="168" fontId="1" fillId="7" borderId="76" xfId="0" applyNumberFormat="1" applyFont="1" applyFill="1" applyBorder="1" applyAlignment="1">
      <alignment horizontal="center" vertical="center" wrapText="1"/>
    </xf>
    <xf numFmtId="168" fontId="1" fillId="7" borderId="28" xfId="0" applyNumberFormat="1" applyFont="1" applyFill="1" applyBorder="1" applyAlignment="1">
      <alignment horizontal="center" vertical="center" wrapText="1"/>
    </xf>
    <xf numFmtId="5" fontId="8" fillId="0" borderId="7" xfId="0" applyNumberFormat="1" applyFont="1" applyBorder="1" applyAlignment="1">
      <alignment horizontal="center" vertical="center"/>
    </xf>
    <xf numFmtId="5" fontId="8" fillId="0" borderId="9" xfId="0" applyNumberFormat="1" applyFont="1" applyBorder="1" applyAlignment="1">
      <alignment horizontal="center" vertical="center"/>
    </xf>
    <xf numFmtId="0" fontId="8" fillId="0" borderId="1" xfId="0" applyFont="1" applyBorder="1" applyAlignment="1">
      <alignment horizontal="center" vertical="center"/>
    </xf>
    <xf numFmtId="5" fontId="8" fillId="0" borderId="1" xfId="0" applyNumberFormat="1" applyFont="1" applyBorder="1" applyAlignment="1">
      <alignment horizontal="center" vertical="center"/>
    </xf>
    <xf numFmtId="0" fontId="8" fillId="0" borderId="16" xfId="0" applyFont="1" applyBorder="1" applyAlignment="1">
      <alignment horizontal="center" vertical="center"/>
    </xf>
    <xf numFmtId="0" fontId="8" fillId="0" borderId="9" xfId="0" applyFont="1" applyBorder="1" applyAlignment="1">
      <alignment horizontal="center" vertical="center"/>
    </xf>
    <xf numFmtId="0" fontId="1" fillId="0" borderId="43" xfId="0" applyFont="1" applyBorder="1" applyAlignment="1">
      <alignment horizontal="center" vertical="center"/>
    </xf>
    <xf numFmtId="0" fontId="1" fillId="0" borderId="42" xfId="0" applyFont="1" applyBorder="1" applyAlignment="1">
      <alignment horizontal="center" vertical="center"/>
    </xf>
    <xf numFmtId="0" fontId="1" fillId="0" borderId="42" xfId="0" applyFont="1" applyBorder="1" applyAlignment="1">
      <alignment horizontal="center" vertical="center" wrapText="1"/>
    </xf>
    <xf numFmtId="5" fontId="0" fillId="0" borderId="7" xfId="0" applyNumberFormat="1" applyFont="1" applyBorder="1" applyAlignment="1">
      <alignment horizontal="center" vertical="center"/>
    </xf>
    <xf numFmtId="168" fontId="0" fillId="0" borderId="1" xfId="0" applyNumberFormat="1" applyFont="1" applyBorder="1" applyAlignment="1">
      <alignment horizontal="center" vertical="center"/>
    </xf>
    <xf numFmtId="168" fontId="0" fillId="0" borderId="16" xfId="0" applyNumberFormat="1" applyFont="1" applyBorder="1" applyAlignment="1">
      <alignment horizontal="center" vertical="center"/>
    </xf>
    <xf numFmtId="5" fontId="8" fillId="0" borderId="13" xfId="0" applyNumberFormat="1" applyFont="1" applyFill="1" applyBorder="1" applyAlignment="1">
      <alignment horizontal="center" vertical="center"/>
    </xf>
    <xf numFmtId="5" fontId="8" fillId="0" borderId="10" xfId="0" applyNumberFormat="1" applyFont="1" applyFill="1" applyBorder="1" applyAlignment="1">
      <alignment horizontal="center" vertical="center"/>
    </xf>
    <xf numFmtId="5" fontId="8" fillId="0" borderId="17"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2" xfId="0" applyFont="1" applyBorder="1" applyAlignment="1">
      <alignment horizontal="center" vertical="center"/>
    </xf>
    <xf numFmtId="0" fontId="1" fillId="0" borderId="46" xfId="0" applyFont="1" applyBorder="1" applyAlignment="1">
      <alignment horizontal="center" vertical="center"/>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3" fontId="0" fillId="0" borderId="16" xfId="0" applyNumberFormat="1" applyFont="1" applyBorder="1" applyAlignment="1">
      <alignment horizontal="center"/>
    </xf>
    <xf numFmtId="169" fontId="0" fillId="0" borderId="16" xfId="0" applyNumberFormat="1" applyFont="1" applyBorder="1" applyAlignment="1">
      <alignment horizontal="center"/>
    </xf>
    <xf numFmtId="0" fontId="5" fillId="0" borderId="0" xfId="0" applyFont="1" applyBorder="1" applyAlignment="1">
      <alignment horizontal="center" vertical="center"/>
    </xf>
    <xf numFmtId="5" fontId="8" fillId="4" borderId="1" xfId="0" applyNumberFormat="1" applyFont="1" applyFill="1" applyBorder="1" applyAlignment="1">
      <alignment horizontal="center" vertical="center"/>
    </xf>
    <xf numFmtId="5" fontId="8" fillId="4" borderId="7" xfId="0" applyNumberFormat="1" applyFont="1" applyFill="1" applyBorder="1" applyAlignment="1">
      <alignment horizontal="center" vertical="center"/>
    </xf>
    <xf numFmtId="0" fontId="0" fillId="0" borderId="0" xfId="0" applyBorder="1" applyAlignment="1">
      <alignment horizontal="center"/>
    </xf>
    <xf numFmtId="39" fontId="27" fillId="0" borderId="7" xfId="0" applyNumberFormat="1" applyFont="1" applyFill="1" applyBorder="1" applyAlignment="1">
      <alignment horizontal="center" vertical="center"/>
    </xf>
    <xf numFmtId="39" fontId="27" fillId="0" borderId="8" xfId="0" applyNumberFormat="1" applyFont="1" applyFill="1" applyBorder="1" applyAlignment="1">
      <alignment horizontal="center" vertical="center"/>
    </xf>
    <xf numFmtId="169" fontId="8" fillId="0" borderId="12" xfId="0" applyNumberFormat="1" applyFont="1" applyBorder="1" applyAlignment="1">
      <alignment horizontal="center"/>
    </xf>
    <xf numFmtId="169" fontId="8" fillId="0" borderId="1" xfId="0" applyNumberFormat="1" applyFont="1" applyBorder="1" applyAlignment="1">
      <alignment horizontal="center"/>
    </xf>
    <xf numFmtId="169" fontId="8" fillId="0" borderId="16" xfId="0" applyNumberFormat="1" applyFont="1" applyBorder="1" applyAlignment="1">
      <alignment horizontal="center"/>
    </xf>
    <xf numFmtId="169" fontId="0" fillId="0" borderId="12" xfId="0" applyNumberFormat="1" applyFont="1" applyBorder="1" applyAlignment="1">
      <alignment horizontal="center"/>
    </xf>
    <xf numFmtId="169" fontId="0" fillId="0" borderId="1" xfId="0" applyNumberFormat="1" applyFont="1" applyBorder="1" applyAlignment="1">
      <alignment horizontal="center"/>
    </xf>
    <xf numFmtId="167" fontId="5" fillId="0" borderId="16" xfId="0" applyNumberFormat="1" applyFont="1" applyFill="1" applyBorder="1" applyAlignment="1">
      <alignment horizontal="center"/>
    </xf>
    <xf numFmtId="168" fontId="8" fillId="4" borderId="1" xfId="0" applyNumberFormat="1" applyFont="1" applyFill="1" applyBorder="1" applyAlignment="1">
      <alignment horizontal="center" vertical="center"/>
    </xf>
    <xf numFmtId="7" fontId="0" fillId="0" borderId="10" xfId="0" applyNumberFormat="1" applyBorder="1" applyAlignment="1">
      <alignment horizontal="center"/>
    </xf>
    <xf numFmtId="5" fontId="0" fillId="0" borderId="10" xfId="0" applyNumberFormat="1" applyBorder="1" applyAlignment="1">
      <alignment horizontal="center"/>
    </xf>
    <xf numFmtId="5" fontId="0" fillId="0" borderId="17" xfId="0" applyNumberFormat="1" applyBorder="1" applyAlignment="1">
      <alignment horizontal="center"/>
    </xf>
    <xf numFmtId="0" fontId="1" fillId="0" borderId="9" xfId="0" applyFont="1" applyBorder="1" applyAlignment="1">
      <alignment horizontal="center" vertical="center"/>
    </xf>
    <xf numFmtId="0" fontId="1" fillId="0" borderId="9" xfId="0" applyFont="1" applyBorder="1" applyAlignment="1">
      <alignment horizontal="center" vertical="center" wrapText="1"/>
    </xf>
    <xf numFmtId="0" fontId="1" fillId="5" borderId="46" xfId="0" applyFont="1" applyFill="1" applyBorder="1" applyAlignment="1">
      <alignment horizontal="center" vertical="center"/>
    </xf>
    <xf numFmtId="0" fontId="1" fillId="5" borderId="47" xfId="0" applyFont="1" applyFill="1" applyBorder="1" applyAlignment="1">
      <alignment horizontal="center" vertical="center"/>
    </xf>
    <xf numFmtId="1" fontId="0" fillId="0" borderId="53" xfId="0" applyNumberFormat="1" applyFont="1" applyBorder="1" applyAlignment="1">
      <alignment horizontal="center"/>
    </xf>
    <xf numFmtId="0" fontId="1" fillId="5" borderId="45" xfId="0" applyFont="1" applyFill="1" applyBorder="1" applyAlignment="1">
      <alignment horizontal="center" vertical="center"/>
    </xf>
    <xf numFmtId="0" fontId="1" fillId="5" borderId="79" xfId="0" applyFont="1" applyFill="1" applyBorder="1" applyAlignment="1">
      <alignment horizontal="center" vertical="center"/>
    </xf>
    <xf numFmtId="0" fontId="1" fillId="5" borderId="76" xfId="0" applyFont="1" applyFill="1" applyBorder="1" applyAlignment="1">
      <alignment horizontal="center"/>
    </xf>
    <xf numFmtId="0" fontId="1" fillId="5" borderId="70" xfId="0" applyFont="1" applyFill="1" applyBorder="1" applyAlignment="1">
      <alignment horizontal="center" vertical="center"/>
    </xf>
    <xf numFmtId="5" fontId="0" fillId="5" borderId="76" xfId="0" applyNumberFormat="1" applyFont="1" applyFill="1" applyBorder="1"/>
    <xf numFmtId="0" fontId="0" fillId="5" borderId="76" xfId="0" applyFont="1" applyFill="1" applyBorder="1"/>
    <xf numFmtId="0" fontId="1" fillId="5" borderId="61" xfId="0" applyFont="1" applyFill="1" applyBorder="1" applyAlignment="1">
      <alignment horizontal="center" vertical="center"/>
    </xf>
    <xf numFmtId="5" fontId="0" fillId="0" borderId="42" xfId="0" applyNumberFormat="1" applyFont="1" applyBorder="1" applyAlignment="1">
      <alignment horizontal="center"/>
    </xf>
    <xf numFmtId="5" fontId="0" fillId="5" borderId="76" xfId="0" applyNumberFormat="1" applyFont="1" applyFill="1" applyBorder="1" applyAlignment="1">
      <alignment horizontal="center"/>
    </xf>
    <xf numFmtId="0" fontId="0" fillId="0" borderId="11" xfId="0" applyFont="1" applyBorder="1" applyAlignment="1">
      <alignment horizontal="center"/>
    </xf>
    <xf numFmtId="0" fontId="1" fillId="0" borderId="0" xfId="0" applyFont="1" applyAlignment="1">
      <alignment horizontal="center" vertical="center" wrapText="1"/>
    </xf>
    <xf numFmtId="0" fontId="1" fillId="0" borderId="38" xfId="0" applyFont="1" applyBorder="1" applyAlignment="1">
      <alignment horizontal="center" vertical="center"/>
    </xf>
    <xf numFmtId="5" fontId="5" fillId="0" borderId="10" xfId="0" applyNumberFormat="1" applyFont="1" applyBorder="1" applyAlignment="1">
      <alignment horizontal="center"/>
    </xf>
    <xf numFmtId="0" fontId="4" fillId="0" borderId="52" xfId="0" applyFont="1" applyBorder="1" applyAlignment="1">
      <alignment horizontal="center" vertical="center" wrapText="1"/>
    </xf>
    <xf numFmtId="6" fontId="4" fillId="0" borderId="8" xfId="0" applyNumberFormat="1" applyFont="1" applyBorder="1" applyAlignment="1">
      <alignment horizontal="center" vertical="center" wrapText="1"/>
    </xf>
    <xf numFmtId="1" fontId="4" fillId="0" borderId="8" xfId="0" applyNumberFormat="1" applyFont="1" applyBorder="1" applyAlignment="1">
      <alignment horizontal="center" vertical="center" wrapText="1"/>
    </xf>
    <xf numFmtId="0" fontId="4" fillId="0" borderId="55" xfId="0" applyFont="1" applyBorder="1" applyAlignment="1">
      <alignment horizontal="center" vertical="center"/>
    </xf>
    <xf numFmtId="6" fontId="5" fillId="0" borderId="12" xfId="0" applyNumberFormat="1" applyFont="1" applyBorder="1" applyAlignment="1">
      <alignment horizontal="center" vertical="center" wrapText="1"/>
    </xf>
    <xf numFmtId="1" fontId="5" fillId="0" borderId="12" xfId="0" applyNumberFormat="1" applyFont="1" applyBorder="1" applyAlignment="1">
      <alignment horizontal="center" wrapText="1"/>
    </xf>
    <xf numFmtId="8" fontId="5" fillId="0" borderId="12" xfId="0" applyNumberFormat="1" applyFont="1" applyBorder="1" applyAlignment="1">
      <alignment horizontal="center" wrapText="1"/>
    </xf>
    <xf numFmtId="8" fontId="5" fillId="0" borderId="13" xfId="0" applyNumberFormat="1" applyFont="1" applyBorder="1" applyAlignment="1">
      <alignment horizontal="center"/>
    </xf>
    <xf numFmtId="5" fontId="5" fillId="0" borderId="17" xfId="0" applyNumberFormat="1" applyFont="1" applyBorder="1" applyAlignment="1">
      <alignment horizontal="center"/>
    </xf>
    <xf numFmtId="0" fontId="0" fillId="0" borderId="1" xfId="0" applyBorder="1" applyAlignment="1">
      <alignment horizontal="center"/>
    </xf>
    <xf numFmtId="0" fontId="0" fillId="0" borderId="1" xfId="0" applyBorder="1" applyAlignment="1">
      <alignment horizontal="center" vertical="center"/>
    </xf>
    <xf numFmtId="0" fontId="1" fillId="0" borderId="9" xfId="0" applyFont="1" applyBorder="1" applyAlignment="1">
      <alignment horizontal="center" vertical="center"/>
    </xf>
    <xf numFmtId="0" fontId="0" fillId="0" borderId="14" xfId="0" applyBorder="1" applyAlignment="1">
      <alignment horizontal="center" vertical="center"/>
    </xf>
    <xf numFmtId="3" fontId="0" fillId="0" borderId="1" xfId="0" applyNumberFormat="1" applyBorder="1" applyAlignment="1">
      <alignment horizontal="center" vertical="center"/>
    </xf>
    <xf numFmtId="0" fontId="1" fillId="0" borderId="27" xfId="0" applyFont="1" applyBorder="1" applyAlignment="1">
      <alignment horizontal="center" vertical="center"/>
    </xf>
    <xf numFmtId="0" fontId="1" fillId="0" borderId="9" xfId="0" applyFont="1" applyBorder="1" applyAlignment="1">
      <alignment horizontal="center" vertical="center" wrapText="1"/>
    </xf>
    <xf numFmtId="0" fontId="0" fillId="0" borderId="51" xfId="0" applyBorder="1" applyAlignment="1">
      <alignment horizontal="center" vertical="center"/>
    </xf>
    <xf numFmtId="0" fontId="0" fillId="0" borderId="7" xfId="0" applyBorder="1" applyAlignment="1">
      <alignment horizontal="center" vertical="center"/>
    </xf>
    <xf numFmtId="0" fontId="0" fillId="0" borderId="16" xfId="0" applyBorder="1" applyAlignment="1">
      <alignment horizontal="center" vertical="center"/>
    </xf>
    <xf numFmtId="0" fontId="0" fillId="0" borderId="51" xfId="0" applyFont="1" applyBorder="1" applyAlignment="1">
      <alignment horizontal="center" vertical="center"/>
    </xf>
    <xf numFmtId="0" fontId="0" fillId="0" borderId="27" xfId="0" applyFont="1" applyBorder="1" applyAlignment="1">
      <alignment horizontal="center" vertical="center"/>
    </xf>
    <xf numFmtId="167" fontId="0" fillId="0" borderId="12" xfId="0" applyNumberFormat="1" applyBorder="1" applyAlignment="1">
      <alignment horizontal="center" vertical="center"/>
    </xf>
    <xf numFmtId="167" fontId="0" fillId="0" borderId="1" xfId="0" applyNumberFormat="1" applyBorder="1" applyAlignment="1">
      <alignment horizontal="center" vertical="center"/>
    </xf>
    <xf numFmtId="37" fontId="0" fillId="0" borderId="1" xfId="0" applyNumberFormat="1" applyBorder="1" applyAlignment="1">
      <alignment horizontal="center"/>
    </xf>
    <xf numFmtId="37" fontId="0" fillId="0" borderId="12" xfId="0" applyNumberFormat="1" applyBorder="1" applyAlignment="1">
      <alignment horizontal="center"/>
    </xf>
    <xf numFmtId="37" fontId="0" fillId="0" borderId="16" xfId="0" applyNumberFormat="1" applyBorder="1" applyAlignment="1">
      <alignment horizontal="center"/>
    </xf>
    <xf numFmtId="168" fontId="0" fillId="0" borderId="1" xfId="0" applyNumberFormat="1" applyFont="1" applyBorder="1" applyAlignment="1">
      <alignment horizontal="center" vertical="center"/>
    </xf>
    <xf numFmtId="168" fontId="0" fillId="0" borderId="16" xfId="0" applyNumberFormat="1" applyFont="1" applyBorder="1" applyAlignment="1">
      <alignment horizontal="center" vertical="center"/>
    </xf>
    <xf numFmtId="0" fontId="0" fillId="0" borderId="14" xfId="0" applyFont="1" applyBorder="1" applyAlignment="1">
      <alignment horizontal="center" vertical="center"/>
    </xf>
    <xf numFmtId="0" fontId="1" fillId="0" borderId="38" xfId="0" applyFont="1" applyBorder="1" applyAlignment="1">
      <alignment horizontal="center" vertical="center" wrapText="1"/>
    </xf>
    <xf numFmtId="1" fontId="0" fillId="0" borderId="7" xfId="0" applyNumberFormat="1" applyFont="1" applyBorder="1" applyAlignment="1">
      <alignment horizontal="center"/>
    </xf>
    <xf numFmtId="1" fontId="0" fillId="0" borderId="57" xfId="0" applyNumberFormat="1" applyFont="1" applyBorder="1" applyAlignment="1">
      <alignment horizontal="center"/>
    </xf>
    <xf numFmtId="0" fontId="1" fillId="0" borderId="45" xfId="0"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169" fontId="0" fillId="0" borderId="16" xfId="0" applyNumberFormat="1" applyFont="1" applyBorder="1" applyAlignment="1">
      <alignment horizontal="center"/>
    </xf>
    <xf numFmtId="0" fontId="5" fillId="0" borderId="0" xfId="0" applyFont="1" applyBorder="1" applyAlignment="1">
      <alignment horizontal="center" vertical="center"/>
    </xf>
    <xf numFmtId="0" fontId="0" fillId="0" borderId="0" xfId="0" applyBorder="1" applyAlignment="1">
      <alignment horizontal="center"/>
    </xf>
    <xf numFmtId="37" fontId="0" fillId="0" borderId="12" xfId="0" applyNumberFormat="1" applyBorder="1" applyAlignment="1">
      <alignment horizontal="center"/>
    </xf>
    <xf numFmtId="37" fontId="0" fillId="0" borderId="1" xfId="0" applyNumberFormat="1" applyBorder="1" applyAlignment="1">
      <alignment horizontal="center"/>
    </xf>
    <xf numFmtId="37" fontId="0" fillId="0" borderId="16" xfId="0" applyNumberFormat="1" applyBorder="1" applyAlignment="1">
      <alignment horizontal="center"/>
    </xf>
    <xf numFmtId="1" fontId="0" fillId="0" borderId="3" xfId="0" applyNumberFormat="1" applyFont="1" applyBorder="1" applyAlignment="1">
      <alignment horizontal="center"/>
    </xf>
    <xf numFmtId="1" fontId="0" fillId="0" borderId="35" xfId="0" applyNumberFormat="1" applyFont="1" applyBorder="1" applyAlignment="1">
      <alignment horizontal="center"/>
    </xf>
    <xf numFmtId="0" fontId="1" fillId="19" borderId="59" xfId="0" applyFont="1" applyFill="1" applyBorder="1" applyAlignment="1">
      <alignment horizontal="center" vertical="center"/>
    </xf>
    <xf numFmtId="0" fontId="1" fillId="17" borderId="46" xfId="0" applyFont="1" applyFill="1" applyBorder="1" applyAlignment="1">
      <alignment horizontal="center" vertical="center"/>
    </xf>
    <xf numFmtId="0" fontId="1" fillId="17" borderId="7" xfId="0" applyFont="1" applyFill="1" applyBorder="1" applyAlignment="1">
      <alignment horizontal="center" vertical="center"/>
    </xf>
    <xf numFmtId="0" fontId="1" fillId="7" borderId="11" xfId="0" applyFont="1" applyFill="1" applyBorder="1" applyAlignment="1">
      <alignment horizontal="center" vertical="center"/>
    </xf>
    <xf numFmtId="0" fontId="1" fillId="7" borderId="12" xfId="0" applyFont="1" applyFill="1" applyBorder="1" applyAlignment="1">
      <alignment horizontal="center" vertical="center"/>
    </xf>
    <xf numFmtId="0" fontId="1" fillId="7" borderId="12" xfId="0" applyFont="1" applyFill="1" applyBorder="1" applyAlignment="1">
      <alignment horizontal="center" vertical="center" wrapText="1"/>
    </xf>
    <xf numFmtId="168" fontId="1" fillId="7" borderId="12" xfId="0" applyNumberFormat="1" applyFont="1" applyFill="1" applyBorder="1" applyAlignment="1">
      <alignment horizontal="center" vertical="center" wrapText="1"/>
    </xf>
    <xf numFmtId="0" fontId="1" fillId="7" borderId="13" xfId="0" applyFont="1" applyFill="1" applyBorder="1" applyAlignment="1">
      <alignment horizontal="center" vertical="center"/>
    </xf>
    <xf numFmtId="0" fontId="0" fillId="0" borderId="9" xfId="0" applyBorder="1" applyAlignment="1">
      <alignment horizontal="center" vertical="center"/>
    </xf>
    <xf numFmtId="3" fontId="0" fillId="0" borderId="9" xfId="0" applyNumberFormat="1" applyBorder="1" applyAlignment="1">
      <alignment horizontal="center"/>
    </xf>
    <xf numFmtId="167" fontId="0" fillId="0" borderId="9" xfId="0" applyNumberFormat="1" applyBorder="1" applyAlignment="1">
      <alignment horizontal="center"/>
    </xf>
    <xf numFmtId="6" fontId="0" fillId="0" borderId="9" xfId="0" applyNumberFormat="1" applyBorder="1" applyAlignment="1">
      <alignment horizontal="center"/>
    </xf>
    <xf numFmtId="37" fontId="0" fillId="0" borderId="9" xfId="0" applyNumberFormat="1" applyBorder="1" applyAlignment="1">
      <alignment horizontal="center"/>
    </xf>
    <xf numFmtId="37" fontId="0" fillId="0" borderId="9" xfId="0" applyNumberFormat="1" applyBorder="1" applyAlignment="1">
      <alignment horizontal="center"/>
    </xf>
    <xf numFmtId="37" fontId="0" fillId="0" borderId="9" xfId="0" applyNumberFormat="1" applyBorder="1" applyAlignment="1">
      <alignment horizontal="center" vertical="center"/>
    </xf>
    <xf numFmtId="5" fontId="0" fillId="0" borderId="13" xfId="0" applyNumberFormat="1" applyBorder="1" applyAlignment="1">
      <alignment horizontal="center"/>
    </xf>
    <xf numFmtId="167" fontId="0" fillId="0" borderId="7" xfId="0" applyNumberFormat="1" applyBorder="1" applyAlignment="1">
      <alignment horizontal="center"/>
    </xf>
    <xf numFmtId="6" fontId="0" fillId="0" borderId="7" xfId="0" applyNumberFormat="1" applyBorder="1" applyAlignment="1">
      <alignment horizontal="center"/>
    </xf>
    <xf numFmtId="37" fontId="0" fillId="0" borderId="7" xfId="0" applyNumberFormat="1" applyBorder="1" applyAlignment="1">
      <alignment horizontal="center" vertical="center"/>
    </xf>
    <xf numFmtId="37" fontId="0" fillId="0" borderId="7" xfId="0" applyNumberFormat="1" applyBorder="1" applyAlignment="1">
      <alignment horizontal="center"/>
    </xf>
    <xf numFmtId="5" fontId="0" fillId="0" borderId="57" xfId="0" applyNumberFormat="1" applyBorder="1" applyAlignment="1">
      <alignment horizontal="center"/>
    </xf>
    <xf numFmtId="3" fontId="0" fillId="0" borderId="7" xfId="0" applyNumberFormat="1" applyBorder="1" applyAlignment="1">
      <alignment horizontal="center"/>
    </xf>
    <xf numFmtId="1" fontId="0" fillId="0" borderId="9" xfId="0" applyNumberFormat="1" applyBorder="1" applyAlignment="1">
      <alignment horizontal="center" vertical="center"/>
    </xf>
    <xf numFmtId="1" fontId="0" fillId="0" borderId="7" xfId="0" applyNumberFormat="1" applyBorder="1" applyAlignment="1">
      <alignment horizontal="center" vertical="center"/>
    </xf>
    <xf numFmtId="3" fontId="0" fillId="0" borderId="7" xfId="0" applyNumberFormat="1" applyBorder="1" applyAlignment="1">
      <alignment horizontal="center" vertical="center"/>
    </xf>
    <xf numFmtId="167" fontId="0" fillId="0" borderId="7" xfId="0" applyNumberFormat="1" applyBorder="1" applyAlignment="1">
      <alignment horizontal="center" vertical="center"/>
    </xf>
    <xf numFmtId="6" fontId="0" fillId="0" borderId="7" xfId="0" applyNumberFormat="1" applyBorder="1" applyAlignment="1">
      <alignment horizontal="center" vertical="center"/>
    </xf>
    <xf numFmtId="5" fontId="0" fillId="0" borderId="38" xfId="0" applyNumberFormat="1" applyBorder="1" applyAlignment="1">
      <alignment horizontal="center"/>
    </xf>
    <xf numFmtId="0" fontId="1" fillId="7" borderId="46" xfId="0" applyFont="1" applyFill="1" applyBorder="1" applyAlignment="1">
      <alignment horizontal="center" vertical="center" wrapText="1"/>
    </xf>
    <xf numFmtId="168" fontId="1" fillId="7" borderId="46" xfId="0" applyNumberFormat="1" applyFont="1" applyFill="1" applyBorder="1" applyAlignment="1">
      <alignment horizontal="center" vertical="center" wrapText="1"/>
    </xf>
    <xf numFmtId="37" fontId="1" fillId="14" borderId="32" xfId="0" applyNumberFormat="1" applyFont="1" applyFill="1" applyBorder="1" applyAlignment="1">
      <alignment horizontal="center" vertical="center"/>
    </xf>
    <xf numFmtId="2" fontId="0" fillId="0" borderId="42" xfId="0" applyNumberFormat="1" applyFont="1" applyBorder="1" applyAlignment="1">
      <alignment horizontal="center" vertical="center"/>
    </xf>
    <xf numFmtId="37" fontId="1" fillId="14" borderId="52" xfId="0" applyNumberFormat="1" applyFont="1" applyFill="1" applyBorder="1" applyAlignment="1">
      <alignment horizontal="center" vertical="center"/>
    </xf>
    <xf numFmtId="37" fontId="1" fillId="14" borderId="8" xfId="0" applyNumberFormat="1" applyFont="1" applyFill="1" applyBorder="1" applyAlignment="1">
      <alignment horizontal="center" vertical="center"/>
    </xf>
    <xf numFmtId="37" fontId="0" fillId="0" borderId="11" xfId="0" applyNumberFormat="1" applyFont="1" applyBorder="1" applyAlignment="1">
      <alignment horizontal="center"/>
    </xf>
    <xf numFmtId="37" fontId="0" fillId="0" borderId="12" xfId="0" applyNumberFormat="1" applyFont="1" applyBorder="1" applyAlignment="1">
      <alignment horizontal="center"/>
    </xf>
    <xf numFmtId="37" fontId="0" fillId="0" borderId="15" xfId="0" applyNumberFormat="1" applyFont="1" applyBorder="1" applyAlignment="1">
      <alignment horizontal="center"/>
    </xf>
    <xf numFmtId="37" fontId="0" fillId="0" borderId="16" xfId="0" applyNumberFormat="1" applyFont="1" applyBorder="1" applyAlignment="1">
      <alignment horizontal="center"/>
    </xf>
    <xf numFmtId="5" fontId="0" fillId="0" borderId="10" xfId="0" applyNumberFormat="1" applyFont="1" applyBorder="1" applyAlignment="1">
      <alignment horizontal="center"/>
    </xf>
    <xf numFmtId="37" fontId="0" fillId="0" borderId="45" xfId="0" applyNumberFormat="1" applyFont="1" applyBorder="1" applyAlignment="1">
      <alignment horizontal="center"/>
    </xf>
    <xf numFmtId="37" fontId="0" fillId="0" borderId="46" xfId="0" applyNumberFormat="1" applyFont="1" applyBorder="1" applyAlignment="1">
      <alignment horizontal="center"/>
    </xf>
    <xf numFmtId="5" fontId="0" fillId="0" borderId="47" xfId="0" applyNumberFormat="1" applyBorder="1" applyAlignment="1">
      <alignment horizontal="center"/>
    </xf>
    <xf numFmtId="37" fontId="0" fillId="0" borderId="8" xfId="0" applyNumberFormat="1" applyBorder="1" applyAlignment="1">
      <alignment horizontal="center" vertical="center"/>
    </xf>
    <xf numFmtId="37" fontId="0" fillId="0" borderId="54" xfId="0" applyNumberFormat="1" applyFont="1" applyBorder="1" applyAlignment="1">
      <alignment horizontal="center"/>
    </xf>
    <xf numFmtId="37" fontId="0" fillId="0" borderId="53" xfId="0" applyNumberFormat="1" applyFont="1" applyBorder="1" applyAlignment="1">
      <alignment horizontal="center"/>
    </xf>
    <xf numFmtId="37" fontId="2" fillId="15" borderId="42" xfId="0" applyNumberFormat="1" applyFont="1" applyFill="1" applyBorder="1" applyAlignment="1">
      <alignment horizontal="center" vertical="center"/>
    </xf>
    <xf numFmtId="1" fontId="0" fillId="0" borderId="52" xfId="0" applyNumberFormat="1" applyFont="1" applyBorder="1" applyAlignment="1">
      <alignment horizontal="center"/>
    </xf>
    <xf numFmtId="171" fontId="0" fillId="0" borderId="12" xfId="0" applyNumberFormat="1" applyBorder="1" applyAlignment="1">
      <alignment horizontal="center"/>
    </xf>
    <xf numFmtId="169" fontId="0" fillId="0" borderId="13" xfId="0" applyNumberFormat="1" applyFont="1" applyBorder="1" applyAlignment="1">
      <alignment horizontal="center"/>
    </xf>
    <xf numFmtId="3" fontId="8" fillId="4" borderId="46" xfId="0" applyNumberFormat="1" applyFont="1" applyFill="1" applyBorder="1" applyAlignment="1">
      <alignment horizontal="center" vertical="center"/>
    </xf>
    <xf numFmtId="1" fontId="8" fillId="4" borderId="46" xfId="0" applyNumberFormat="1" applyFont="1" applyFill="1" applyBorder="1" applyAlignment="1">
      <alignment horizontal="center" vertical="center"/>
    </xf>
    <xf numFmtId="167" fontId="8" fillId="4" borderId="46" xfId="0" applyNumberFormat="1" applyFont="1" applyFill="1" applyBorder="1" applyAlignment="1">
      <alignment horizontal="center" vertical="center"/>
    </xf>
    <xf numFmtId="37" fontId="1" fillId="14" borderId="51" xfId="0" applyNumberFormat="1" applyFont="1" applyFill="1" applyBorder="1" applyAlignment="1">
      <alignment horizontal="center" vertical="center"/>
    </xf>
    <xf numFmtId="37" fontId="0" fillId="0" borderId="27" xfId="0" applyNumberFormat="1" applyFont="1" applyBorder="1" applyAlignment="1">
      <alignment horizontal="center"/>
    </xf>
    <xf numFmtId="37" fontId="0" fillId="0" borderId="46" xfId="0" applyNumberFormat="1" applyBorder="1" applyAlignment="1">
      <alignment horizontal="center"/>
    </xf>
    <xf numFmtId="37" fontId="0" fillId="0" borderId="11" xfId="0" applyNumberFormat="1" applyBorder="1" applyAlignment="1">
      <alignment horizontal="center"/>
    </xf>
    <xf numFmtId="37" fontId="0" fillId="0" borderId="53" xfId="0" applyNumberFormat="1" applyBorder="1" applyAlignment="1">
      <alignment horizontal="center"/>
    </xf>
    <xf numFmtId="37" fontId="1" fillId="14" borderId="78" xfId="0" applyNumberFormat="1" applyFont="1" applyFill="1" applyBorder="1" applyAlignment="1">
      <alignment horizontal="center" vertical="center"/>
    </xf>
    <xf numFmtId="37" fontId="0" fillId="0" borderId="9" xfId="0" applyNumberFormat="1" applyFont="1" applyBorder="1" applyAlignment="1">
      <alignment horizontal="center"/>
    </xf>
    <xf numFmtId="5" fontId="0" fillId="0" borderId="56" xfId="0" applyNumberFormat="1" applyBorder="1" applyAlignment="1">
      <alignment horizontal="center"/>
    </xf>
    <xf numFmtId="37" fontId="1" fillId="0" borderId="76" xfId="0" applyNumberFormat="1" applyFont="1" applyBorder="1" applyAlignment="1">
      <alignment horizontal="center"/>
    </xf>
    <xf numFmtId="37" fontId="0" fillId="0" borderId="48" xfId="0" applyNumberFormat="1" applyBorder="1" applyAlignment="1">
      <alignment horizontal="center"/>
    </xf>
    <xf numFmtId="37" fontId="1" fillId="0" borderId="48" xfId="0" applyNumberFormat="1" applyFont="1" applyBorder="1" applyAlignment="1">
      <alignment horizontal="center"/>
    </xf>
    <xf numFmtId="0" fontId="2" fillId="15" borderId="34" xfId="0" applyFont="1" applyFill="1" applyBorder="1" applyAlignment="1">
      <alignment horizontal="center" vertical="center"/>
    </xf>
    <xf numFmtId="0" fontId="2" fillId="15" borderId="8" xfId="0" applyFont="1" applyFill="1" applyBorder="1" applyAlignment="1">
      <alignment horizontal="center" vertical="center" wrapText="1"/>
    </xf>
    <xf numFmtId="0" fontId="2" fillId="15" borderId="55" xfId="0" applyFont="1" applyFill="1" applyBorder="1" applyAlignment="1">
      <alignment horizontal="center" vertical="center"/>
    </xf>
    <xf numFmtId="5" fontId="8" fillId="4" borderId="36" xfId="0" applyNumberFormat="1" applyFont="1" applyFill="1" applyBorder="1" applyAlignment="1">
      <alignment horizontal="center" vertical="center"/>
    </xf>
    <xf numFmtId="7" fontId="0" fillId="0" borderId="38" xfId="0" applyNumberFormat="1" applyBorder="1" applyAlignment="1">
      <alignment horizontal="center"/>
    </xf>
    <xf numFmtId="1" fontId="0" fillId="0" borderId="37" xfId="0" applyNumberFormat="1" applyFont="1" applyBorder="1" applyAlignment="1">
      <alignment horizontal="center"/>
    </xf>
    <xf numFmtId="171" fontId="0" fillId="0" borderId="35" xfId="0" applyNumberFormat="1" applyFont="1" applyBorder="1" applyAlignment="1">
      <alignment horizontal="center" vertical="center"/>
    </xf>
    <xf numFmtId="164" fontId="0" fillId="0" borderId="3" xfId="0" applyNumberFormat="1" applyFont="1" applyBorder="1" applyAlignment="1">
      <alignment horizontal="center" vertical="center"/>
    </xf>
    <xf numFmtId="171" fontId="0" fillId="0" borderId="3" xfId="0" applyNumberFormat="1" applyFont="1" applyBorder="1" applyAlignment="1">
      <alignment horizontal="center" vertical="center"/>
    </xf>
    <xf numFmtId="171" fontId="0" fillId="0" borderId="36" xfId="0" applyNumberFormat="1" applyFont="1" applyBorder="1" applyAlignment="1">
      <alignment horizontal="center" vertical="center"/>
    </xf>
    <xf numFmtId="0" fontId="0" fillId="0" borderId="61" xfId="0" applyFont="1" applyBorder="1" applyAlignment="1">
      <alignment horizontal="center"/>
    </xf>
    <xf numFmtId="0" fontId="0" fillId="0" borderId="35" xfId="0" applyFont="1" applyBorder="1" applyAlignment="1">
      <alignment horizontal="center"/>
    </xf>
    <xf numFmtId="1" fontId="0" fillId="0" borderId="36" xfId="0" applyNumberFormat="1" applyFont="1" applyBorder="1" applyAlignment="1">
      <alignment horizontal="center"/>
    </xf>
    <xf numFmtId="0" fontId="1" fillId="21" borderId="70" xfId="0" applyFont="1" applyFill="1" applyBorder="1" applyAlignment="1">
      <alignment horizontal="center" vertical="center"/>
    </xf>
    <xf numFmtId="5" fontId="0" fillId="0" borderId="72" xfId="0" applyNumberFormat="1" applyFont="1" applyBorder="1" applyAlignment="1">
      <alignment horizontal="center"/>
    </xf>
    <xf numFmtId="0" fontId="0" fillId="19" borderId="76" xfId="0" applyFont="1" applyFill="1" applyBorder="1"/>
    <xf numFmtId="5" fontId="0" fillId="0" borderId="71" xfId="0" applyNumberFormat="1" applyFont="1" applyBorder="1" applyAlignment="1">
      <alignment horizontal="center"/>
    </xf>
    <xf numFmtId="5" fontId="0" fillId="0" borderId="73" xfId="0" applyNumberFormat="1" applyFont="1" applyBorder="1" applyAlignment="1">
      <alignment horizontal="center"/>
    </xf>
    <xf numFmtId="5" fontId="0" fillId="0" borderId="74" xfId="0" applyNumberFormat="1" applyFont="1" applyBorder="1" applyAlignment="1">
      <alignment horizontal="center"/>
    </xf>
    <xf numFmtId="5" fontId="0" fillId="19" borderId="76" xfId="0" applyNumberFormat="1" applyFont="1" applyFill="1" applyBorder="1" applyAlignment="1">
      <alignment horizontal="center"/>
    </xf>
    <xf numFmtId="5" fontId="0" fillId="0" borderId="77" xfId="0" applyNumberFormat="1" applyFont="1" applyBorder="1" applyAlignment="1">
      <alignment horizontal="center"/>
    </xf>
    <xf numFmtId="5" fontId="0" fillId="19" borderId="76" xfId="0" applyNumberFormat="1" applyFont="1" applyFill="1" applyBorder="1" applyAlignment="1">
      <alignment horizontal="center" vertical="center"/>
    </xf>
    <xf numFmtId="5" fontId="0" fillId="0" borderId="69" xfId="0" applyNumberFormat="1" applyFont="1" applyBorder="1" applyAlignment="1">
      <alignment horizontal="center"/>
    </xf>
    <xf numFmtId="0" fontId="0" fillId="19" borderId="76" xfId="0" applyFont="1" applyFill="1" applyBorder="1" applyAlignment="1">
      <alignment horizontal="center"/>
    </xf>
    <xf numFmtId="0" fontId="0" fillId="21" borderId="78" xfId="0" applyFont="1" applyFill="1" applyBorder="1"/>
    <xf numFmtId="5" fontId="0" fillId="0" borderId="47" xfId="0" applyNumberFormat="1" applyFont="1" applyBorder="1" applyAlignment="1">
      <alignment horizontal="center"/>
    </xf>
    <xf numFmtId="0" fontId="0" fillId="17" borderId="55" xfId="0" applyFont="1" applyFill="1" applyBorder="1"/>
    <xf numFmtId="5" fontId="0" fillId="0" borderId="13" xfId="0" applyNumberFormat="1" applyFont="1" applyBorder="1" applyAlignment="1">
      <alignment horizontal="center"/>
    </xf>
    <xf numFmtId="0" fontId="0" fillId="17" borderId="47" xfId="0" applyFont="1" applyFill="1" applyBorder="1"/>
    <xf numFmtId="5" fontId="0" fillId="0" borderId="30" xfId="0" applyNumberFormat="1" applyBorder="1" applyAlignment="1">
      <alignment horizontal="center"/>
    </xf>
    <xf numFmtId="0" fontId="2" fillId="15" borderId="43" xfId="0" applyFont="1" applyFill="1" applyBorder="1" applyAlignment="1">
      <alignment horizontal="center" vertical="center"/>
    </xf>
    <xf numFmtId="37" fontId="8" fillId="0" borderId="12" xfId="0" applyNumberFormat="1" applyFont="1" applyFill="1" applyBorder="1" applyAlignment="1">
      <alignment horizontal="center" vertical="center"/>
    </xf>
    <xf numFmtId="0" fontId="2" fillId="15" borderId="69" xfId="0" applyFont="1" applyFill="1" applyBorder="1" applyAlignment="1">
      <alignment horizontal="center" vertical="center" wrapText="1"/>
    </xf>
    <xf numFmtId="0" fontId="2" fillId="15" borderId="77" xfId="0" applyFont="1" applyFill="1" applyBorder="1" applyAlignment="1">
      <alignment horizontal="center" vertical="center"/>
    </xf>
    <xf numFmtId="0" fontId="2" fillId="15" borderId="69" xfId="0" applyFont="1" applyFill="1" applyBorder="1" applyAlignment="1">
      <alignment horizontal="center" vertical="center"/>
    </xf>
    <xf numFmtId="0" fontId="8" fillId="0" borderId="1" xfId="0" applyFont="1" applyBorder="1" applyAlignment="1">
      <alignment horizontal="center" vertical="center"/>
    </xf>
    <xf numFmtId="0" fontId="2" fillId="0" borderId="12" xfId="0" applyFont="1" applyBorder="1" applyAlignment="1">
      <alignment horizontal="center" vertical="center"/>
    </xf>
    <xf numFmtId="5" fontId="8" fillId="0" borderId="0" xfId="0" applyNumberFormat="1" applyFont="1" applyFill="1" applyBorder="1" applyAlignment="1">
      <alignment horizontal="center" vertical="center"/>
    </xf>
    <xf numFmtId="0" fontId="2" fillId="0" borderId="27" xfId="0" applyFont="1" applyBorder="1" applyAlignment="1">
      <alignment horizontal="center" vertical="center"/>
    </xf>
    <xf numFmtId="0" fontId="2" fillId="0" borderId="35" xfId="0" applyFont="1" applyBorder="1" applyAlignment="1">
      <alignment horizontal="center" vertical="center"/>
    </xf>
    <xf numFmtId="0" fontId="2" fillId="15" borderId="24" xfId="0" applyFont="1" applyFill="1" applyBorder="1" applyAlignment="1">
      <alignment horizontal="center" vertical="center"/>
    </xf>
    <xf numFmtId="0" fontId="2" fillId="7" borderId="28" xfId="0" applyFont="1" applyFill="1" applyBorder="1" applyAlignment="1">
      <alignment horizontal="center" vertical="center" wrapText="1"/>
    </xf>
    <xf numFmtId="0" fontId="2" fillId="0" borderId="0" xfId="0" applyFont="1" applyFill="1" applyBorder="1" applyAlignment="1">
      <alignment horizontal="center" vertical="center"/>
    </xf>
    <xf numFmtId="0" fontId="2" fillId="0" borderId="0" xfId="0" applyFont="1" applyFill="1" applyBorder="1" applyAlignment="1">
      <alignment horizontal="center" vertical="center" wrapText="1"/>
    </xf>
    <xf numFmtId="37" fontId="0" fillId="0" borderId="12" xfId="0" applyNumberFormat="1" applyBorder="1" applyAlignment="1">
      <alignment horizontal="center"/>
    </xf>
    <xf numFmtId="37" fontId="0" fillId="0" borderId="1" xfId="0" applyNumberFormat="1" applyBorder="1" applyAlignment="1">
      <alignment horizontal="center"/>
    </xf>
    <xf numFmtId="37" fontId="0" fillId="0" borderId="16" xfId="0" applyNumberFormat="1" applyBorder="1" applyAlignment="1">
      <alignment horizontal="center"/>
    </xf>
    <xf numFmtId="37" fontId="0" fillId="0" borderId="9" xfId="0" applyNumberFormat="1" applyBorder="1" applyAlignment="1">
      <alignment horizontal="center"/>
    </xf>
    <xf numFmtId="37" fontId="0" fillId="0" borderId="7" xfId="0" applyNumberFormat="1" applyBorder="1" applyAlignment="1">
      <alignment horizontal="center"/>
    </xf>
    <xf numFmtId="5" fontId="8" fillId="0" borderId="10" xfId="0" applyNumberFormat="1" applyFont="1" applyFill="1" applyBorder="1" applyAlignment="1">
      <alignment horizontal="center" vertical="center"/>
    </xf>
    <xf numFmtId="5" fontId="8" fillId="0" borderId="57" xfId="0" applyNumberFormat="1" applyFont="1" applyFill="1" applyBorder="1" applyAlignment="1">
      <alignment horizontal="center" vertical="center"/>
    </xf>
    <xf numFmtId="5" fontId="8" fillId="0" borderId="13" xfId="0" applyNumberFormat="1" applyFont="1" applyFill="1" applyBorder="1" applyAlignment="1">
      <alignment horizontal="center" vertical="center"/>
    </xf>
    <xf numFmtId="5" fontId="8" fillId="0" borderId="17" xfId="0" applyNumberFormat="1" applyFont="1" applyFill="1" applyBorder="1" applyAlignment="1">
      <alignment horizontal="center" vertical="center"/>
    </xf>
    <xf numFmtId="0" fontId="8" fillId="0" borderId="1"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7" xfId="0" applyFont="1" applyFill="1" applyBorder="1" applyAlignment="1">
      <alignment horizontal="center" vertical="center"/>
    </xf>
    <xf numFmtId="0" fontId="8" fillId="0" borderId="12" xfId="0" applyFont="1" applyBorder="1" applyAlignment="1">
      <alignment horizontal="center" vertical="center"/>
    </xf>
    <xf numFmtId="37" fontId="0" fillId="0" borderId="52" xfId="0" applyNumberFormat="1" applyFont="1" applyBorder="1" applyAlignment="1">
      <alignment horizontal="center"/>
    </xf>
    <xf numFmtId="37" fontId="0" fillId="0" borderId="8" xfId="0" applyNumberFormat="1" applyBorder="1" applyAlignment="1">
      <alignment horizontal="center"/>
    </xf>
    <xf numFmtId="5" fontId="0" fillId="0" borderId="55" xfId="0" applyNumberFormat="1" applyBorder="1" applyAlignment="1">
      <alignment horizontal="center"/>
    </xf>
    <xf numFmtId="0" fontId="2" fillId="15" borderId="6" xfId="0" applyFont="1" applyFill="1" applyBorder="1" applyAlignment="1">
      <alignment horizontal="center" vertical="center" wrapText="1"/>
    </xf>
    <xf numFmtId="0" fontId="5" fillId="0" borderId="12" xfId="0" applyFont="1" applyBorder="1" applyAlignment="1">
      <alignment horizontal="center" vertical="center"/>
    </xf>
    <xf numFmtId="5" fontId="8" fillId="0" borderId="1" xfId="0" applyNumberFormat="1" applyFont="1" applyBorder="1" applyAlignment="1">
      <alignment horizontal="center" vertical="center"/>
    </xf>
    <xf numFmtId="0" fontId="8" fillId="5" borderId="15" xfId="0" applyFont="1" applyFill="1" applyBorder="1" applyAlignment="1">
      <alignment horizontal="center" vertical="center"/>
    </xf>
    <xf numFmtId="5" fontId="8" fillId="0" borderId="16" xfId="0" applyNumberFormat="1" applyFont="1" applyBorder="1" applyAlignment="1">
      <alignment horizontal="center" vertical="center"/>
    </xf>
    <xf numFmtId="0" fontId="5" fillId="0" borderId="46" xfId="0" applyFont="1" applyFill="1" applyBorder="1" applyAlignment="1">
      <alignment horizontal="center" vertical="center"/>
    </xf>
    <xf numFmtId="0" fontId="0" fillId="2" borderId="30" xfId="0" applyFill="1" applyBorder="1"/>
    <xf numFmtId="0" fontId="0" fillId="0" borderId="28" xfId="0" applyBorder="1" applyAlignment="1">
      <alignment horizontal="center" vertical="center"/>
    </xf>
    <xf numFmtId="167" fontId="8" fillId="4" borderId="15" xfId="0" applyNumberFormat="1" applyFont="1" applyFill="1" applyBorder="1" applyAlignment="1">
      <alignment horizontal="center" vertical="center"/>
    </xf>
    <xf numFmtId="0" fontId="8" fillId="0" borderId="0" xfId="0" applyFont="1"/>
    <xf numFmtId="0" fontId="8" fillId="0" borderId="34" xfId="0" applyFont="1" applyBorder="1"/>
    <xf numFmtId="0" fontId="2" fillId="0" borderId="35" xfId="0" applyFont="1" applyBorder="1" applyAlignment="1">
      <alignment horizontal="center" vertical="center" wrapText="1"/>
    </xf>
    <xf numFmtId="0" fontId="2" fillId="5" borderId="71" xfId="0" applyFont="1" applyFill="1" applyBorder="1" applyAlignment="1">
      <alignment horizontal="center" vertical="center"/>
    </xf>
    <xf numFmtId="0" fontId="2" fillId="19" borderId="71" xfId="0" applyFont="1" applyFill="1" applyBorder="1" applyAlignment="1">
      <alignment horizontal="center" vertical="center"/>
    </xf>
    <xf numFmtId="0" fontId="2" fillId="0" borderId="27" xfId="0" applyFont="1" applyFill="1" applyBorder="1" applyAlignment="1">
      <alignment horizontal="center" vertical="center" wrapText="1"/>
    </xf>
    <xf numFmtId="0" fontId="2" fillId="0" borderId="9" xfId="0" applyFont="1" applyBorder="1" applyAlignment="1">
      <alignment horizontal="center" vertical="center" wrapText="1"/>
    </xf>
    <xf numFmtId="0" fontId="2" fillId="5" borderId="38" xfId="0" applyFont="1" applyFill="1" applyBorder="1" applyAlignment="1">
      <alignment horizontal="center" vertical="center"/>
    </xf>
    <xf numFmtId="0" fontId="2" fillId="19" borderId="38" xfId="0" applyFont="1" applyFill="1" applyBorder="1" applyAlignment="1">
      <alignment horizontal="center" vertical="center"/>
    </xf>
    <xf numFmtId="1" fontId="8" fillId="0" borderId="69" xfId="0" applyNumberFormat="1" applyFont="1" applyFill="1" applyBorder="1" applyAlignment="1">
      <alignment horizontal="center" vertical="center"/>
    </xf>
    <xf numFmtId="0" fontId="8" fillId="0" borderId="69" xfId="0" applyFont="1" applyFill="1" applyBorder="1" applyAlignment="1">
      <alignment horizontal="center" vertical="center"/>
    </xf>
    <xf numFmtId="0" fontId="2" fillId="5" borderId="73" xfId="0" applyFont="1" applyFill="1" applyBorder="1" applyAlignment="1">
      <alignment horizontal="center" vertical="center"/>
    </xf>
    <xf numFmtId="0" fontId="2" fillId="19" borderId="73" xfId="0" applyFont="1" applyFill="1" applyBorder="1" applyAlignment="1">
      <alignment horizontal="center" vertical="center"/>
    </xf>
    <xf numFmtId="0" fontId="2" fillId="5" borderId="10" xfId="0" applyFont="1" applyFill="1" applyBorder="1" applyAlignment="1">
      <alignment horizontal="center" vertical="center"/>
    </xf>
    <xf numFmtId="0" fontId="2" fillId="19" borderId="10" xfId="0" applyFont="1" applyFill="1" applyBorder="1" applyAlignment="1">
      <alignment horizontal="center" vertical="center"/>
    </xf>
    <xf numFmtId="0" fontId="2" fillId="0" borderId="78" xfId="0" applyFont="1" applyFill="1" applyBorder="1" applyAlignment="1">
      <alignment horizontal="center" vertical="center"/>
    </xf>
    <xf numFmtId="0" fontId="2" fillId="0" borderId="75" xfId="0" applyFont="1" applyFill="1" applyBorder="1" applyAlignment="1">
      <alignment horizontal="center" vertical="center"/>
    </xf>
    <xf numFmtId="3" fontId="2" fillId="0" borderId="42" xfId="0" applyNumberFormat="1" applyFont="1" applyFill="1" applyBorder="1" applyAlignment="1">
      <alignment horizontal="center" vertical="center"/>
    </xf>
    <xf numFmtId="37" fontId="2" fillId="0" borderId="43" xfId="0" applyNumberFormat="1" applyFont="1" applyFill="1" applyBorder="1" applyAlignment="1">
      <alignment horizontal="center" vertical="center" wrapText="1"/>
    </xf>
    <xf numFmtId="37" fontId="2" fillId="0" borderId="42" xfId="0" applyNumberFormat="1" applyFont="1" applyFill="1" applyBorder="1" applyAlignment="1">
      <alignment horizontal="center" vertical="center" wrapText="1"/>
    </xf>
    <xf numFmtId="37" fontId="2" fillId="0" borderId="70" xfId="0" applyNumberFormat="1" applyFont="1" applyFill="1" applyBorder="1" applyAlignment="1">
      <alignment horizontal="center" vertical="center" wrapText="1"/>
    </xf>
    <xf numFmtId="37" fontId="2" fillId="0" borderId="78" xfId="0" applyNumberFormat="1" applyFont="1" applyFill="1" applyBorder="1" applyAlignment="1">
      <alignment horizontal="center" vertical="center" wrapText="1"/>
    </xf>
    <xf numFmtId="0" fontId="8" fillId="2" borderId="45" xfId="0" applyFont="1" applyFill="1" applyBorder="1" applyAlignment="1">
      <alignment horizontal="center" vertical="center"/>
    </xf>
    <xf numFmtId="0" fontId="8" fillId="2" borderId="46" xfId="0" applyFont="1" applyFill="1" applyBorder="1" applyAlignment="1">
      <alignment horizontal="center" vertical="center"/>
    </xf>
    <xf numFmtId="3" fontId="8" fillId="2" borderId="46" xfId="0" applyNumberFormat="1" applyFont="1" applyFill="1" applyBorder="1" applyAlignment="1">
      <alignment horizontal="center" vertical="center"/>
    </xf>
    <xf numFmtId="178" fontId="8" fillId="4" borderId="46" xfId="0" applyNumberFormat="1" applyFont="1" applyFill="1" applyBorder="1" applyAlignment="1">
      <alignment horizontal="center" vertical="center"/>
    </xf>
    <xf numFmtId="169" fontId="8" fillId="4" borderId="46" xfId="0" applyNumberFormat="1" applyFont="1" applyFill="1" applyBorder="1" applyAlignment="1">
      <alignment horizontal="center" vertical="center"/>
    </xf>
    <xf numFmtId="5" fontId="8" fillId="4" borderId="47" xfId="0" applyNumberFormat="1" applyFont="1" applyFill="1" applyBorder="1" applyAlignment="1">
      <alignment horizontal="center" vertical="center"/>
    </xf>
    <xf numFmtId="1" fontId="8" fillId="0" borderId="0" xfId="0" applyNumberFormat="1" applyFont="1" applyFill="1" applyBorder="1" applyAlignment="1">
      <alignment horizontal="center" vertical="center"/>
    </xf>
    <xf numFmtId="3" fontId="2" fillId="0" borderId="0" xfId="0" applyNumberFormat="1" applyFont="1" applyFill="1" applyBorder="1" applyAlignment="1">
      <alignment horizontal="center" vertical="center"/>
    </xf>
    <xf numFmtId="165" fontId="2" fillId="0" borderId="0" xfId="0" applyNumberFormat="1" applyFont="1" applyFill="1" applyBorder="1" applyAlignment="1">
      <alignment horizontal="center" vertical="center"/>
    </xf>
    <xf numFmtId="0" fontId="8" fillId="0" borderId="0" xfId="0" applyFont="1" applyFill="1" applyBorder="1" applyAlignment="1">
      <alignment horizontal="center" vertical="center"/>
    </xf>
    <xf numFmtId="170" fontId="2" fillId="0" borderId="0" xfId="0" applyNumberFormat="1" applyFont="1" applyFill="1" applyBorder="1" applyAlignment="1">
      <alignment horizontal="center" vertical="center"/>
    </xf>
    <xf numFmtId="0" fontId="2" fillId="0" borderId="38" xfId="0" applyFont="1" applyBorder="1" applyAlignment="1">
      <alignment horizontal="center" vertical="center"/>
    </xf>
    <xf numFmtId="167" fontId="8" fillId="4" borderId="17" xfId="0" applyNumberFormat="1" applyFont="1" applyFill="1" applyBorder="1" applyAlignment="1">
      <alignment horizontal="center" vertical="center"/>
    </xf>
    <xf numFmtId="167" fontId="8" fillId="4" borderId="45" xfId="0" applyNumberFormat="1" applyFont="1" applyFill="1" applyBorder="1" applyAlignment="1">
      <alignment horizontal="center" vertical="center"/>
    </xf>
    <xf numFmtId="167" fontId="8" fillId="4" borderId="47" xfId="0" applyNumberFormat="1" applyFont="1" applyFill="1" applyBorder="1" applyAlignment="1">
      <alignment horizontal="center" vertical="center"/>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5" fontId="8" fillId="4" borderId="17" xfId="0" applyNumberFormat="1" applyFont="1" applyFill="1" applyBorder="1" applyAlignment="1">
      <alignment horizontal="center" vertical="center"/>
    </xf>
    <xf numFmtId="0" fontId="8" fillId="0" borderId="0" xfId="0" applyFont="1" applyFill="1"/>
    <xf numFmtId="0" fontId="2" fillId="0" borderId="12" xfId="0" applyFont="1" applyFill="1" applyBorder="1" applyAlignment="1">
      <alignment horizontal="center" vertical="center"/>
    </xf>
    <xf numFmtId="0" fontId="2" fillId="0" borderId="13" xfId="0" applyFont="1" applyFill="1" applyBorder="1" applyAlignment="1">
      <alignment horizontal="center" vertical="center"/>
    </xf>
    <xf numFmtId="0" fontId="8" fillId="2" borderId="1" xfId="0" applyFont="1" applyFill="1" applyBorder="1" applyAlignment="1">
      <alignment horizontal="center" vertical="center"/>
    </xf>
    <xf numFmtId="0" fontId="8" fillId="2" borderId="16" xfId="0" applyFont="1" applyFill="1" applyBorder="1" applyAlignment="1">
      <alignment horizontal="center" vertical="center"/>
    </xf>
    <xf numFmtId="0" fontId="8" fillId="0" borderId="22" xfId="0" applyFont="1" applyBorder="1"/>
    <xf numFmtId="0" fontId="2" fillId="0" borderId="17" xfId="0" applyFont="1" applyBorder="1" applyAlignment="1">
      <alignment horizontal="center" vertical="center"/>
    </xf>
    <xf numFmtId="0" fontId="2" fillId="15" borderId="42" xfId="0" applyFont="1" applyFill="1" applyBorder="1" applyAlignment="1">
      <alignment horizontal="center" vertical="center"/>
    </xf>
    <xf numFmtId="37" fontId="2" fillId="15" borderId="42" xfId="0" applyNumberFormat="1" applyFont="1" applyFill="1" applyBorder="1" applyAlignment="1">
      <alignment horizontal="center" vertical="center" wrapText="1"/>
    </xf>
    <xf numFmtId="37" fontId="2" fillId="15" borderId="44" xfId="0" applyNumberFormat="1" applyFont="1" applyFill="1" applyBorder="1" applyAlignment="1">
      <alignment horizontal="center" vertical="center"/>
    </xf>
    <xf numFmtId="0" fontId="8" fillId="2" borderId="12" xfId="0" applyFont="1" applyFill="1" applyBorder="1" applyAlignment="1">
      <alignment horizontal="center" vertical="center"/>
    </xf>
    <xf numFmtId="37" fontId="8" fillId="0" borderId="12" xfId="0" applyNumberFormat="1" applyFont="1" applyFill="1" applyBorder="1" applyAlignment="1">
      <alignment horizontal="center" vertical="center" wrapText="1"/>
    </xf>
    <xf numFmtId="167" fontId="8" fillId="0" borderId="13" xfId="0" applyNumberFormat="1" applyFont="1" applyFill="1" applyBorder="1" applyAlignment="1">
      <alignment horizontal="center" vertical="center"/>
    </xf>
    <xf numFmtId="1" fontId="8" fillId="0" borderId="1" xfId="0" applyNumberFormat="1" applyFont="1" applyFill="1" applyBorder="1" applyAlignment="1">
      <alignment horizontal="center" vertical="center"/>
    </xf>
    <xf numFmtId="167" fontId="8" fillId="0" borderId="10" xfId="0" applyNumberFormat="1" applyFont="1" applyFill="1" applyBorder="1" applyAlignment="1">
      <alignment horizontal="center" vertical="center"/>
    </xf>
    <xf numFmtId="37" fontId="8" fillId="0" borderId="1" xfId="0" applyNumberFormat="1" applyFont="1" applyBorder="1" applyAlignment="1">
      <alignment horizontal="center" vertical="center"/>
    </xf>
    <xf numFmtId="37" fontId="8" fillId="0" borderId="1" xfId="0" applyNumberFormat="1" applyFont="1" applyFill="1" applyBorder="1" applyAlignment="1">
      <alignment horizontal="center" vertical="center"/>
    </xf>
    <xf numFmtId="37" fontId="8" fillId="0" borderId="7" xfId="0" applyNumberFormat="1" applyFont="1" applyBorder="1" applyAlignment="1">
      <alignment horizontal="center" vertical="center"/>
    </xf>
    <xf numFmtId="37" fontId="8" fillId="0" borderId="7" xfId="0" applyNumberFormat="1" applyFont="1" applyFill="1" applyBorder="1" applyAlignment="1">
      <alignment horizontal="center" vertical="center"/>
    </xf>
    <xf numFmtId="37" fontId="2" fillId="0" borderId="45" xfId="0" applyNumberFormat="1" applyFont="1" applyBorder="1" applyAlignment="1">
      <alignment horizontal="center" vertical="center"/>
    </xf>
    <xf numFmtId="37" fontId="2" fillId="4" borderId="46" xfId="0" applyNumberFormat="1" applyFont="1" applyFill="1" applyBorder="1" applyAlignment="1">
      <alignment horizontal="center" vertical="center"/>
    </xf>
    <xf numFmtId="37" fontId="2" fillId="4" borderId="47" xfId="0" applyNumberFormat="1" applyFont="1" applyFill="1" applyBorder="1" applyAlignment="1">
      <alignment horizontal="center" vertical="center"/>
    </xf>
    <xf numFmtId="5" fontId="8" fillId="0" borderId="60" xfId="0" applyNumberFormat="1" applyFont="1" applyFill="1" applyBorder="1" applyAlignment="1">
      <alignment horizontal="center" vertical="center"/>
    </xf>
    <xf numFmtId="37" fontId="8" fillId="0" borderId="12" xfId="0" applyNumberFormat="1" applyFont="1" applyBorder="1" applyAlignment="1">
      <alignment horizontal="center" vertical="center"/>
    </xf>
    <xf numFmtId="178" fontId="8" fillId="0" borderId="16" xfId="0" applyNumberFormat="1" applyFont="1" applyFill="1" applyBorder="1" applyAlignment="1">
      <alignment horizontal="center" vertical="center"/>
    </xf>
    <xf numFmtId="1" fontId="8" fillId="0" borderId="16" xfId="0" applyNumberFormat="1" applyFont="1" applyFill="1" applyBorder="1" applyAlignment="1">
      <alignment horizontal="center" vertical="center"/>
    </xf>
    <xf numFmtId="164" fontId="8" fillId="0" borderId="16" xfId="0" applyNumberFormat="1" applyFont="1" applyFill="1" applyBorder="1" applyAlignment="1">
      <alignment horizontal="center" vertical="center"/>
    </xf>
    <xf numFmtId="37" fontId="2" fillId="0" borderId="43" xfId="0" applyNumberFormat="1" applyFont="1" applyBorder="1" applyAlignment="1">
      <alignment horizontal="center" vertical="center"/>
    </xf>
    <xf numFmtId="37" fontId="2" fillId="4" borderId="42" xfId="0" applyNumberFormat="1" applyFont="1" applyFill="1" applyBorder="1" applyAlignment="1">
      <alignment horizontal="center" vertical="center"/>
    </xf>
    <xf numFmtId="37" fontId="2" fillId="4" borderId="44" xfId="0" applyNumberFormat="1" applyFont="1" applyFill="1" applyBorder="1" applyAlignment="1">
      <alignment horizontal="center" vertical="center"/>
    </xf>
    <xf numFmtId="5" fontId="8" fillId="0" borderId="80" xfId="0" applyNumberFormat="1" applyFont="1" applyFill="1" applyBorder="1" applyAlignment="1">
      <alignment horizontal="center" vertical="center"/>
    </xf>
    <xf numFmtId="37" fontId="8" fillId="0" borderId="11" xfId="0" applyNumberFormat="1" applyFont="1" applyFill="1" applyBorder="1" applyAlignment="1">
      <alignment horizontal="center" vertical="center"/>
    </xf>
    <xf numFmtId="37" fontId="8" fillId="0" borderId="14" xfId="0" applyNumberFormat="1" applyFont="1" applyFill="1" applyBorder="1" applyAlignment="1">
      <alignment horizontal="center" vertical="center"/>
    </xf>
    <xf numFmtId="0" fontId="8" fillId="2" borderId="51" xfId="0" applyFont="1" applyFill="1" applyBorder="1" applyAlignment="1">
      <alignment horizontal="center" vertical="center"/>
    </xf>
    <xf numFmtId="5" fontId="8" fillId="0" borderId="47" xfId="0" applyNumberFormat="1" applyFont="1" applyFill="1" applyBorder="1" applyAlignment="1">
      <alignment horizontal="center" vertical="center"/>
    </xf>
    <xf numFmtId="0" fontId="2" fillId="0" borderId="77" xfId="0" applyFont="1" applyFill="1" applyBorder="1" applyAlignment="1">
      <alignment vertical="center"/>
    </xf>
    <xf numFmtId="0" fontId="8" fillId="0" borderId="13" xfId="0" applyFont="1" applyBorder="1" applyAlignment="1">
      <alignment horizontal="center" vertical="center" wrapText="1"/>
    </xf>
    <xf numFmtId="0" fontId="8" fillId="0" borderId="10" xfId="0" applyFont="1" applyBorder="1" applyAlignment="1">
      <alignment horizontal="center" vertical="center" wrapText="1"/>
    </xf>
    <xf numFmtId="5" fontId="2" fillId="4" borderId="23" xfId="0" applyNumberFormat="1" applyFont="1" applyFill="1" applyBorder="1" applyAlignment="1">
      <alignment horizontal="center" vertical="center"/>
    </xf>
    <xf numFmtId="0" fontId="8" fillId="0" borderId="0" xfId="0" applyFont="1" applyFill="1" applyBorder="1"/>
    <xf numFmtId="0" fontId="5" fillId="0" borderId="12" xfId="0" applyFont="1" applyFill="1" applyBorder="1" applyAlignment="1">
      <alignment horizontal="center" vertical="center"/>
    </xf>
    <xf numFmtId="0" fontId="0" fillId="2" borderId="13" xfId="0" applyFill="1" applyBorder="1" applyAlignment="1">
      <alignment horizontal="center" vertical="center"/>
    </xf>
    <xf numFmtId="0" fontId="0" fillId="2" borderId="10" xfId="0" applyFill="1" applyBorder="1" applyAlignment="1">
      <alignment horizontal="center" vertical="center"/>
    </xf>
    <xf numFmtId="0" fontId="5" fillId="0" borderId="16" xfId="0" applyFont="1" applyFill="1" applyBorder="1" applyAlignment="1">
      <alignment horizontal="center" vertical="center"/>
    </xf>
    <xf numFmtId="0" fontId="0" fillId="2" borderId="17" xfId="0" applyFill="1" applyBorder="1" applyAlignment="1">
      <alignment horizontal="center" vertical="center"/>
    </xf>
    <xf numFmtId="0" fontId="8" fillId="2" borderId="38" xfId="0" applyFont="1" applyFill="1" applyBorder="1" applyAlignment="1">
      <alignment horizontal="center" vertical="center"/>
    </xf>
    <xf numFmtId="0" fontId="0" fillId="2" borderId="38" xfId="0" applyFill="1" applyBorder="1"/>
    <xf numFmtId="0" fontId="2" fillId="0" borderId="77" xfId="0" applyFont="1" applyFill="1" applyBorder="1" applyAlignment="1">
      <alignment horizontal="center"/>
    </xf>
    <xf numFmtId="0" fontId="8" fillId="0" borderId="6" xfId="0" applyFont="1" applyBorder="1"/>
    <xf numFmtId="0" fontId="8" fillId="5" borderId="11" xfId="0" applyFont="1" applyFill="1" applyBorder="1" applyAlignment="1">
      <alignment horizontal="center" vertical="center" wrapText="1"/>
    </xf>
    <xf numFmtId="0" fontId="8" fillId="5" borderId="14" xfId="0" applyFont="1" applyFill="1" applyBorder="1" applyAlignment="1">
      <alignment horizontal="center" vertical="center" wrapText="1"/>
    </xf>
    <xf numFmtId="37" fontId="0" fillId="0" borderId="43" xfId="0" applyNumberFormat="1" applyBorder="1" applyAlignment="1">
      <alignment horizontal="center"/>
    </xf>
    <xf numFmtId="37" fontId="0" fillId="0" borderId="42" xfId="0" applyNumberFormat="1" applyBorder="1" applyAlignment="1">
      <alignment horizontal="center"/>
    </xf>
    <xf numFmtId="5" fontId="0" fillId="0" borderId="44" xfId="0" applyNumberFormat="1" applyBorder="1" applyAlignment="1">
      <alignment horizontal="center"/>
    </xf>
    <xf numFmtId="37" fontId="0" fillId="0" borderId="27" xfId="0" applyNumberFormat="1" applyBorder="1" applyAlignment="1">
      <alignment horizontal="center"/>
    </xf>
    <xf numFmtId="37" fontId="0" fillId="0" borderId="51" xfId="0" applyNumberFormat="1" applyBorder="1" applyAlignment="1">
      <alignment horizontal="center"/>
    </xf>
    <xf numFmtId="37" fontId="0" fillId="0" borderId="54" xfId="0" applyNumberFormat="1" applyBorder="1" applyAlignment="1">
      <alignment horizontal="center"/>
    </xf>
    <xf numFmtId="7" fontId="0" fillId="0" borderId="12" xfId="0" applyNumberFormat="1" applyFont="1" applyBorder="1" applyAlignment="1">
      <alignment horizontal="center" vertical="center"/>
    </xf>
    <xf numFmtId="7" fontId="0" fillId="0" borderId="1" xfId="0" applyNumberFormat="1" applyFont="1" applyBorder="1" applyAlignment="1">
      <alignment horizontal="center" vertical="center"/>
    </xf>
    <xf numFmtId="7" fontId="0" fillId="0" borderId="16" xfId="0" applyNumberFormat="1" applyFont="1" applyBorder="1" applyAlignment="1">
      <alignment horizontal="center" vertical="center"/>
    </xf>
    <xf numFmtId="0" fontId="0" fillId="0" borderId="1" xfId="0" applyNumberFormat="1" applyFill="1" applyBorder="1" applyAlignment="1">
      <alignment horizontal="center"/>
    </xf>
    <xf numFmtId="0" fontId="0" fillId="0" borderId="1" xfId="0" applyBorder="1" applyAlignment="1">
      <alignment horizontal="center" vertical="center"/>
    </xf>
    <xf numFmtId="0" fontId="0" fillId="0" borderId="16" xfId="0" applyBorder="1" applyAlignment="1">
      <alignment horizontal="center" vertical="center"/>
    </xf>
    <xf numFmtId="0" fontId="5" fillId="0" borderId="14" xfId="0" applyFont="1" applyBorder="1" applyAlignment="1">
      <alignment horizontal="left" vertical="center"/>
    </xf>
    <xf numFmtId="0" fontId="5" fillId="0" borderId="1" xfId="0" applyFont="1" applyBorder="1" applyAlignment="1">
      <alignment horizontal="left" vertical="center"/>
    </xf>
    <xf numFmtId="0" fontId="5" fillId="0" borderId="3" xfId="0" applyFont="1" applyBorder="1" applyAlignment="1">
      <alignment horizontal="left" vertical="center"/>
    </xf>
    <xf numFmtId="0" fontId="9" fillId="0" borderId="27" xfId="0" applyFont="1" applyBorder="1" applyAlignment="1">
      <alignment horizontal="center"/>
    </xf>
    <xf numFmtId="0" fontId="9" fillId="0" borderId="9" xfId="0" applyFont="1" applyBorder="1" applyAlignment="1">
      <alignment horizontal="center"/>
    </xf>
    <xf numFmtId="0" fontId="9" fillId="0" borderId="35" xfId="0" applyFont="1" applyBorder="1" applyAlignment="1">
      <alignment horizontal="center"/>
    </xf>
    <xf numFmtId="0" fontId="5" fillId="0" borderId="16" xfId="0" applyFont="1" applyBorder="1" applyAlignment="1">
      <alignment horizontal="center"/>
    </xf>
    <xf numFmtId="0" fontId="5" fillId="0" borderId="17" xfId="0" applyFont="1" applyBorder="1" applyAlignment="1">
      <alignment horizontal="center"/>
    </xf>
    <xf numFmtId="0" fontId="5" fillId="0" borderId="14" xfId="0" applyFont="1" applyFill="1" applyBorder="1" applyAlignment="1">
      <alignment horizontal="left" vertical="center"/>
    </xf>
    <xf numFmtId="0" fontId="5" fillId="0" borderId="1" xfId="0" applyFont="1" applyFill="1" applyBorder="1" applyAlignment="1">
      <alignment horizontal="left" vertical="center"/>
    </xf>
    <xf numFmtId="0" fontId="5" fillId="0" borderId="3" xfId="0" applyFont="1" applyFill="1" applyBorder="1" applyAlignment="1">
      <alignment horizontal="left" vertical="center"/>
    </xf>
    <xf numFmtId="0" fontId="5" fillId="0" borderId="0" xfId="0" applyFont="1" applyBorder="1" applyAlignment="1">
      <alignment horizontal="center"/>
    </xf>
    <xf numFmtId="0" fontId="16" fillId="5" borderId="25" xfId="0" applyFont="1" applyFill="1" applyBorder="1" applyAlignment="1">
      <alignment horizontal="center" vertical="center"/>
    </xf>
    <xf numFmtId="0" fontId="16" fillId="5" borderId="18" xfId="0" applyFont="1" applyFill="1" applyBorder="1" applyAlignment="1">
      <alignment horizontal="center" vertical="center"/>
    </xf>
    <xf numFmtId="0" fontId="16" fillId="5" borderId="19" xfId="0" applyFont="1" applyFill="1" applyBorder="1" applyAlignment="1">
      <alignment horizontal="center" vertical="center"/>
    </xf>
    <xf numFmtId="0" fontId="16" fillId="5" borderId="24" xfId="0" applyFont="1" applyFill="1" applyBorder="1" applyAlignment="1">
      <alignment horizontal="center" vertical="center"/>
    </xf>
    <xf numFmtId="0" fontId="16" fillId="5" borderId="0" xfId="0" applyFont="1" applyFill="1" applyBorder="1" applyAlignment="1">
      <alignment horizontal="center" vertical="center"/>
    </xf>
    <xf numFmtId="0" fontId="16" fillId="5" borderId="6" xfId="0" applyFont="1" applyFill="1" applyBorder="1" applyAlignment="1">
      <alignment horizontal="center" vertical="center"/>
    </xf>
    <xf numFmtId="0" fontId="16" fillId="5" borderId="21" xfId="0" applyFont="1" applyFill="1" applyBorder="1" applyAlignment="1">
      <alignment horizontal="center" vertical="center"/>
    </xf>
    <xf numFmtId="0" fontId="16" fillId="5" borderId="22" xfId="0" applyFont="1" applyFill="1" applyBorder="1" applyAlignment="1">
      <alignment horizontal="center" vertical="center"/>
    </xf>
    <xf numFmtId="0" fontId="16" fillId="5" borderId="23" xfId="0" applyFont="1" applyFill="1" applyBorder="1" applyAlignment="1">
      <alignment horizontal="center" vertical="center"/>
    </xf>
    <xf numFmtId="0" fontId="5" fillId="0" borderId="24" xfId="0" applyFont="1" applyFill="1" applyBorder="1" applyAlignment="1">
      <alignment horizontal="center"/>
    </xf>
    <xf numFmtId="0" fontId="5" fillId="0" borderId="0" xfId="0" applyFont="1" applyFill="1" applyBorder="1" applyAlignment="1">
      <alignment horizontal="center"/>
    </xf>
    <xf numFmtId="0" fontId="5" fillId="0" borderId="14" xfId="0" applyFont="1" applyBorder="1" applyAlignment="1">
      <alignment horizontal="left" vertical="center" wrapText="1"/>
    </xf>
    <xf numFmtId="0" fontId="5" fillId="0" borderId="10" xfId="0" applyFont="1" applyBorder="1" applyAlignment="1">
      <alignment horizontal="left" vertical="center"/>
    </xf>
    <xf numFmtId="0" fontId="5" fillId="0" borderId="15" xfId="0" applyFont="1" applyBorder="1" applyAlignment="1">
      <alignment horizontal="left" vertical="center"/>
    </xf>
    <xf numFmtId="0" fontId="5" fillId="0" borderId="16" xfId="0" applyFont="1" applyBorder="1" applyAlignment="1">
      <alignment horizontal="left" vertical="center"/>
    </xf>
    <xf numFmtId="0" fontId="5" fillId="0" borderId="17" xfId="0" applyFont="1" applyBorder="1" applyAlignment="1">
      <alignment horizontal="left" vertical="center"/>
    </xf>
    <xf numFmtId="0" fontId="0" fillId="0" borderId="9" xfId="0" applyBorder="1" applyAlignment="1">
      <alignment horizontal="center"/>
    </xf>
    <xf numFmtId="0" fontId="0" fillId="0" borderId="1" xfId="0" applyBorder="1" applyAlignment="1">
      <alignment horizontal="center"/>
    </xf>
    <xf numFmtId="0" fontId="5" fillId="0" borderId="0" xfId="0" applyFont="1" applyBorder="1" applyAlignment="1">
      <alignment horizontal="left"/>
    </xf>
    <xf numFmtId="0" fontId="4" fillId="0" borderId="12" xfId="0" applyFont="1" applyBorder="1" applyAlignment="1">
      <alignment horizontal="center"/>
    </xf>
    <xf numFmtId="0" fontId="4" fillId="0" borderId="13" xfId="0" applyFont="1" applyBorder="1" applyAlignment="1">
      <alignment horizontal="center"/>
    </xf>
    <xf numFmtId="0" fontId="5" fillId="0" borderId="1" xfId="0" applyFont="1" applyBorder="1" applyAlignment="1">
      <alignment horizontal="center"/>
    </xf>
    <xf numFmtId="0" fontId="5" fillId="0" borderId="10" xfId="0" applyFont="1" applyBorder="1" applyAlignment="1">
      <alignment horizontal="center"/>
    </xf>
    <xf numFmtId="0" fontId="5" fillId="0" borderId="51" xfId="0" applyFont="1" applyBorder="1" applyAlignment="1">
      <alignment horizontal="left"/>
    </xf>
    <xf numFmtId="0" fontId="5" fillId="0" borderId="7" xfId="0" applyFont="1" applyBorder="1" applyAlignment="1">
      <alignment horizontal="left"/>
    </xf>
    <xf numFmtId="0" fontId="5" fillId="0" borderId="31" xfId="0" applyFont="1" applyBorder="1" applyAlignment="1">
      <alignment horizontal="left"/>
    </xf>
    <xf numFmtId="0" fontId="5" fillId="0" borderId="49" xfId="0" applyFont="1" applyBorder="1" applyAlignment="1">
      <alignment horizontal="left" vertical="center"/>
    </xf>
    <xf numFmtId="0" fontId="5" fillId="0" borderId="4" xfId="0" applyFont="1" applyBorder="1" applyAlignment="1">
      <alignment horizontal="left" vertical="center"/>
    </xf>
    <xf numFmtId="0" fontId="5" fillId="0" borderId="50" xfId="0" applyFont="1" applyBorder="1" applyAlignment="1">
      <alignment horizontal="left" vertical="center"/>
    </xf>
    <xf numFmtId="0" fontId="62" fillId="0" borderId="1" xfId="0" applyFont="1" applyBorder="1" applyAlignment="1">
      <alignment vertical="center"/>
    </xf>
    <xf numFmtId="0" fontId="62" fillId="0" borderId="1" xfId="0" applyFont="1" applyBorder="1" applyAlignment="1">
      <alignment vertical="center" wrapText="1"/>
    </xf>
    <xf numFmtId="0" fontId="0" fillId="0" borderId="1" xfId="0" applyBorder="1" applyAlignment="1">
      <alignment horizontal="left"/>
    </xf>
    <xf numFmtId="0" fontId="63" fillId="22" borderId="1" xfId="0" applyFont="1" applyFill="1" applyBorder="1" applyAlignment="1">
      <alignment vertical="center"/>
    </xf>
    <xf numFmtId="0" fontId="0" fillId="0" borderId="3" xfId="0" applyBorder="1" applyAlignment="1">
      <alignment horizontal="left" vertical="center"/>
    </xf>
    <xf numFmtId="0" fontId="0" fillId="0" borderId="4" xfId="0" applyBorder="1" applyAlignment="1">
      <alignment horizontal="left" vertical="center"/>
    </xf>
    <xf numFmtId="0" fontId="0" fillId="0" borderId="5" xfId="0" applyBorder="1" applyAlignment="1">
      <alignment horizontal="left" vertical="center"/>
    </xf>
    <xf numFmtId="0" fontId="4" fillId="15" borderId="3" xfId="0" applyFont="1" applyFill="1" applyBorder="1" applyAlignment="1">
      <alignment horizontal="center" vertical="center"/>
    </xf>
    <xf numFmtId="0" fontId="4" fillId="15" borderId="4" xfId="0" applyFont="1" applyFill="1" applyBorder="1" applyAlignment="1">
      <alignment horizontal="center" vertical="center"/>
    </xf>
    <xf numFmtId="0" fontId="4" fillId="15" borderId="5" xfId="0" applyFont="1" applyFill="1" applyBorder="1" applyAlignment="1">
      <alignment horizontal="center" vertical="center"/>
    </xf>
    <xf numFmtId="0" fontId="4" fillId="15" borderId="3" xfId="0" applyFont="1" applyFill="1" applyBorder="1" applyAlignment="1">
      <alignment horizontal="center" wrapText="1"/>
    </xf>
    <xf numFmtId="0" fontId="4" fillId="15" borderId="4" xfId="0" applyFont="1" applyFill="1" applyBorder="1" applyAlignment="1">
      <alignment horizontal="center" wrapText="1"/>
    </xf>
    <xf numFmtId="0" fontId="4" fillId="15" borderId="5" xfId="0" applyFont="1" applyFill="1" applyBorder="1" applyAlignment="1">
      <alignment horizontal="center" wrapText="1"/>
    </xf>
    <xf numFmtId="0" fontId="0" fillId="0" borderId="1" xfId="0" applyBorder="1" applyAlignment="1">
      <alignment horizontal="left" wrapText="1"/>
    </xf>
    <xf numFmtId="0" fontId="0" fillId="0" borderId="1" xfId="0" applyFont="1" applyBorder="1" applyAlignment="1">
      <alignment horizontal="left" vertical="center"/>
    </xf>
    <xf numFmtId="0" fontId="0" fillId="0" borderId="1" xfId="0" applyFont="1" applyFill="1" applyBorder="1" applyAlignment="1">
      <alignment horizontal="left" vertical="center"/>
    </xf>
    <xf numFmtId="0" fontId="9" fillId="5" borderId="25" xfId="0" applyFont="1" applyFill="1" applyBorder="1" applyAlignment="1">
      <alignment horizontal="center" vertical="center"/>
    </xf>
    <xf numFmtId="0" fontId="9" fillId="5" borderId="18" xfId="0" applyFont="1" applyFill="1" applyBorder="1" applyAlignment="1">
      <alignment horizontal="center" vertical="center"/>
    </xf>
    <xf numFmtId="0" fontId="9" fillId="5" borderId="19" xfId="0" applyFont="1" applyFill="1" applyBorder="1" applyAlignment="1">
      <alignment horizontal="center" vertical="center"/>
    </xf>
    <xf numFmtId="0" fontId="4" fillId="15" borderId="3" xfId="0" applyFont="1" applyFill="1" applyBorder="1" applyAlignment="1">
      <alignment horizontal="center" vertical="center" wrapText="1"/>
    </xf>
    <xf numFmtId="0" fontId="4" fillId="15" borderId="4" xfId="0" applyFont="1" applyFill="1" applyBorder="1" applyAlignment="1">
      <alignment horizontal="center" vertical="center" wrapText="1"/>
    </xf>
    <xf numFmtId="0" fontId="4" fillId="15" borderId="5" xfId="0" applyFont="1" applyFill="1" applyBorder="1" applyAlignment="1">
      <alignment horizontal="center" vertical="center" wrapText="1"/>
    </xf>
    <xf numFmtId="0" fontId="0" fillId="0" borderId="3" xfId="0" applyFont="1" applyBorder="1" applyAlignment="1">
      <alignment horizontal="left" vertical="center" wrapText="1"/>
    </xf>
    <xf numFmtId="0" fontId="0" fillId="0" borderId="4" xfId="0" applyFont="1" applyBorder="1" applyAlignment="1">
      <alignment horizontal="left" vertical="center" wrapText="1"/>
    </xf>
    <xf numFmtId="0" fontId="0" fillId="0" borderId="5" xfId="0" applyFont="1" applyBorder="1" applyAlignment="1">
      <alignment horizontal="left" vertical="center" wrapText="1"/>
    </xf>
    <xf numFmtId="0" fontId="0" fillId="0" borderId="3"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0" fontId="9" fillId="5" borderId="24" xfId="0" applyFont="1" applyFill="1" applyBorder="1" applyAlignment="1">
      <alignment horizontal="center" vertical="center"/>
    </xf>
    <xf numFmtId="0" fontId="9" fillId="5" borderId="0" xfId="0" applyFont="1" applyFill="1" applyBorder="1" applyAlignment="1">
      <alignment horizontal="center" vertical="center"/>
    </xf>
    <xf numFmtId="0" fontId="9" fillId="5" borderId="6" xfId="0" applyFont="1" applyFill="1" applyBorder="1" applyAlignment="1">
      <alignment horizontal="center" vertical="center"/>
    </xf>
    <xf numFmtId="0" fontId="1" fillId="0" borderId="1" xfId="0" applyFont="1" applyBorder="1" applyAlignment="1">
      <alignment horizontal="center" vertical="center"/>
    </xf>
    <xf numFmtId="0" fontId="0" fillId="0" borderId="43" xfId="0" applyBorder="1" applyAlignment="1">
      <alignment horizontal="center" vertical="center" wrapText="1"/>
    </xf>
    <xf numFmtId="0" fontId="0" fillId="0" borderId="52" xfId="0" applyBorder="1" applyAlignment="1">
      <alignment horizontal="center" vertical="center" wrapText="1"/>
    </xf>
    <xf numFmtId="0" fontId="0" fillId="0" borderId="54" xfId="0" applyBorder="1" applyAlignment="1">
      <alignment horizontal="center" vertical="center" wrapText="1"/>
    </xf>
    <xf numFmtId="0" fontId="2" fillId="15" borderId="28" xfId="0" applyFont="1" applyFill="1" applyBorder="1" applyAlignment="1">
      <alignment horizontal="center" vertical="center" wrapText="1"/>
    </xf>
    <xf numFmtId="0" fontId="2" fillId="15" borderId="29" xfId="0" applyFont="1" applyFill="1" applyBorder="1" applyAlignment="1">
      <alignment horizontal="center" vertical="center" wrapText="1"/>
    </xf>
    <xf numFmtId="0" fontId="2" fillId="15" borderId="30" xfId="0" applyFont="1" applyFill="1" applyBorder="1" applyAlignment="1">
      <alignment horizontal="center" vertical="center" wrapText="1"/>
    </xf>
    <xf numFmtId="2" fontId="8" fillId="0" borderId="28" xfId="0" applyNumberFormat="1" applyFont="1" applyBorder="1" applyAlignment="1">
      <alignment horizontal="center"/>
    </xf>
    <xf numFmtId="2" fontId="8" fillId="0" borderId="29" xfId="0" applyNumberFormat="1" applyFont="1" applyBorder="1" applyAlignment="1">
      <alignment horizontal="center"/>
    </xf>
    <xf numFmtId="2" fontId="8" fillId="0" borderId="30" xfId="0" applyNumberFormat="1" applyFont="1" applyBorder="1" applyAlignment="1">
      <alignment horizontal="center"/>
    </xf>
    <xf numFmtId="0" fontId="2" fillId="15" borderId="28" xfId="0" applyFont="1" applyFill="1" applyBorder="1" applyAlignment="1">
      <alignment horizontal="center" vertical="center"/>
    </xf>
    <xf numFmtId="0" fontId="2" fillId="15" borderId="29" xfId="0" applyFont="1" applyFill="1" applyBorder="1" applyAlignment="1">
      <alignment horizontal="center" vertical="center"/>
    </xf>
    <xf numFmtId="0" fontId="2" fillId="15" borderId="30" xfId="0" applyFont="1" applyFill="1" applyBorder="1" applyAlignment="1">
      <alignment horizontal="center" vertical="center"/>
    </xf>
    <xf numFmtId="0" fontId="2" fillId="15" borderId="78" xfId="0" applyFont="1" applyFill="1" applyBorder="1" applyAlignment="1">
      <alignment horizontal="center" vertical="center"/>
    </xf>
    <xf numFmtId="0" fontId="2" fillId="15" borderId="77" xfId="0" applyFont="1" applyFill="1" applyBorder="1" applyAlignment="1">
      <alignment horizontal="center" vertical="center"/>
    </xf>
    <xf numFmtId="0" fontId="2" fillId="15" borderId="25" xfId="0" applyFont="1" applyFill="1" applyBorder="1" applyAlignment="1">
      <alignment horizontal="center" vertical="center"/>
    </xf>
    <xf numFmtId="0" fontId="2" fillId="15" borderId="24" xfId="0" applyFont="1" applyFill="1" applyBorder="1" applyAlignment="1">
      <alignment horizontal="center" vertical="center"/>
    </xf>
    <xf numFmtId="0" fontId="2" fillId="15" borderId="69" xfId="0" applyFont="1" applyFill="1" applyBorder="1" applyAlignment="1">
      <alignment horizontal="center" vertical="center"/>
    </xf>
    <xf numFmtId="0" fontId="2" fillId="5" borderId="25" xfId="0" applyFont="1" applyFill="1" applyBorder="1" applyAlignment="1">
      <alignment horizontal="center" vertical="center"/>
    </xf>
    <xf numFmtId="0" fontId="2" fillId="5" borderId="24" xfId="0" applyFont="1" applyFill="1" applyBorder="1" applyAlignment="1">
      <alignment horizontal="center" vertical="center"/>
    </xf>
    <xf numFmtId="0" fontId="2" fillId="5" borderId="21" xfId="0" applyFont="1" applyFill="1" applyBorder="1" applyAlignment="1">
      <alignment horizontal="center" vertical="center"/>
    </xf>
    <xf numFmtId="0" fontId="2" fillId="19" borderId="25" xfId="0" applyFont="1" applyFill="1" applyBorder="1" applyAlignment="1">
      <alignment horizontal="center" vertical="center"/>
    </xf>
    <xf numFmtId="0" fontId="2" fillId="19" borderId="24" xfId="0" applyFont="1" applyFill="1" applyBorder="1" applyAlignment="1">
      <alignment horizontal="center" vertical="center"/>
    </xf>
    <xf numFmtId="0" fontId="2" fillId="19" borderId="21" xfId="0" applyFont="1" applyFill="1" applyBorder="1" applyAlignment="1">
      <alignment horizontal="center" vertical="center"/>
    </xf>
    <xf numFmtId="0" fontId="2" fillId="17" borderId="25" xfId="0" applyFont="1" applyFill="1" applyBorder="1" applyAlignment="1">
      <alignment horizontal="center" vertical="center"/>
    </xf>
    <xf numFmtId="0" fontId="2" fillId="17" borderId="24" xfId="0" applyFont="1" applyFill="1" applyBorder="1" applyAlignment="1">
      <alignment horizontal="center" vertical="center"/>
    </xf>
    <xf numFmtId="0" fontId="2" fillId="17" borderId="21" xfId="0" applyFont="1" applyFill="1" applyBorder="1" applyAlignment="1">
      <alignment horizontal="center" vertical="center"/>
    </xf>
    <xf numFmtId="0" fontId="8" fillId="19" borderId="43" xfId="0" applyFont="1" applyFill="1" applyBorder="1" applyAlignment="1">
      <alignment horizontal="center" vertical="center"/>
    </xf>
    <xf numFmtId="0" fontId="8" fillId="19" borderId="52" xfId="0" applyFont="1" applyFill="1" applyBorder="1" applyAlignment="1">
      <alignment horizontal="center" vertical="center"/>
    </xf>
    <xf numFmtId="0" fontId="8" fillId="19" borderId="54" xfId="0" applyFont="1" applyFill="1" applyBorder="1" applyAlignment="1">
      <alignment horizontal="center" vertical="center"/>
    </xf>
    <xf numFmtId="0" fontId="8" fillId="17" borderId="43" xfId="0" applyFont="1" applyFill="1" applyBorder="1" applyAlignment="1">
      <alignment horizontal="center" vertical="center"/>
    </xf>
    <xf numFmtId="0" fontId="8" fillId="17" borderId="52" xfId="0" applyFont="1" applyFill="1" applyBorder="1" applyAlignment="1">
      <alignment horizontal="center" vertical="center"/>
    </xf>
    <xf numFmtId="0" fontId="8" fillId="17" borderId="54" xfId="0" applyFont="1" applyFill="1" applyBorder="1" applyAlignment="1">
      <alignment horizontal="center" vertical="center"/>
    </xf>
    <xf numFmtId="5" fontId="8" fillId="0" borderId="42" xfId="0" applyNumberFormat="1" applyFont="1" applyBorder="1" applyAlignment="1">
      <alignment horizontal="center" vertical="center"/>
    </xf>
    <xf numFmtId="5" fontId="8" fillId="0" borderId="8" xfId="0" applyNumberFormat="1" applyFont="1" applyBorder="1" applyAlignment="1">
      <alignment horizontal="center" vertical="center"/>
    </xf>
    <xf numFmtId="5" fontId="8" fillId="0" borderId="53" xfId="0" applyNumberFormat="1" applyFont="1" applyBorder="1" applyAlignment="1">
      <alignment horizontal="center" vertical="center"/>
    </xf>
    <xf numFmtId="0" fontId="8" fillId="0" borderId="12" xfId="0" applyFont="1" applyBorder="1" applyAlignment="1">
      <alignment horizontal="center"/>
    </xf>
    <xf numFmtId="0" fontId="8" fillId="0" borderId="1" xfId="0" applyFont="1" applyBorder="1" applyAlignment="1">
      <alignment horizontal="center"/>
    </xf>
    <xf numFmtId="0" fontId="8" fillId="0" borderId="16" xfId="0" applyFont="1" applyBorder="1" applyAlignment="1">
      <alignment horizontal="center"/>
    </xf>
    <xf numFmtId="0" fontId="8" fillId="0" borderId="42" xfId="0" applyFont="1" applyBorder="1" applyAlignment="1">
      <alignment horizontal="center" vertical="center"/>
    </xf>
    <xf numFmtId="0" fontId="8" fillId="0" borderId="8" xfId="0" applyFont="1" applyBorder="1" applyAlignment="1">
      <alignment horizontal="center" vertical="center"/>
    </xf>
    <xf numFmtId="0" fontId="8" fillId="0" borderId="53" xfId="0" applyFont="1" applyBorder="1" applyAlignment="1">
      <alignment horizontal="center" vertical="center"/>
    </xf>
    <xf numFmtId="5" fontId="8" fillId="4" borderId="31" xfId="0" applyNumberFormat="1" applyFont="1" applyFill="1" applyBorder="1" applyAlignment="1">
      <alignment horizontal="center" vertical="center"/>
    </xf>
    <xf numFmtId="5" fontId="8" fillId="4" borderId="61" xfId="0" applyNumberFormat="1" applyFont="1" applyFill="1" applyBorder="1" applyAlignment="1">
      <alignment horizontal="center" vertical="center"/>
    </xf>
    <xf numFmtId="0" fontId="8" fillId="0" borderId="10" xfId="0" applyFont="1" applyBorder="1" applyAlignment="1">
      <alignment horizontal="center" vertical="center" wrapText="1"/>
    </xf>
    <xf numFmtId="0" fontId="8" fillId="0" borderId="17" xfId="0" applyFont="1" applyBorder="1" applyAlignment="1">
      <alignment horizontal="center" vertical="center"/>
    </xf>
    <xf numFmtId="0" fontId="8" fillId="0" borderId="1" xfId="0" applyFont="1" applyBorder="1" applyAlignment="1">
      <alignment horizontal="center" vertical="center"/>
    </xf>
    <xf numFmtId="0" fontId="8" fillId="0" borderId="16" xfId="0" applyFont="1" applyBorder="1" applyAlignment="1">
      <alignment horizontal="center" vertical="center"/>
    </xf>
    <xf numFmtId="5" fontId="8" fillId="0" borderId="1" xfId="0" applyNumberFormat="1" applyFont="1" applyBorder="1" applyAlignment="1">
      <alignment horizontal="center" vertical="center"/>
    </xf>
    <xf numFmtId="5" fontId="8" fillId="0" borderId="16" xfId="0" applyNumberFormat="1" applyFont="1" applyBorder="1" applyAlignment="1">
      <alignment horizontal="center" vertical="center"/>
    </xf>
    <xf numFmtId="5" fontId="8" fillId="4" borderId="37" xfId="0" applyNumberFormat="1" applyFont="1" applyFill="1" applyBorder="1" applyAlignment="1">
      <alignment horizontal="center" vertical="center"/>
    </xf>
    <xf numFmtId="5" fontId="8" fillId="4" borderId="3" xfId="0" applyNumberFormat="1" applyFont="1" applyFill="1" applyBorder="1" applyAlignment="1">
      <alignment horizontal="center" vertical="center"/>
    </xf>
    <xf numFmtId="5" fontId="8" fillId="4" borderId="42" xfId="0" applyNumberFormat="1" applyFont="1" applyFill="1" applyBorder="1" applyAlignment="1">
      <alignment horizontal="center" vertical="center"/>
    </xf>
    <xf numFmtId="5" fontId="8" fillId="4" borderId="53" xfId="0" applyNumberFormat="1" applyFont="1" applyFill="1" applyBorder="1" applyAlignment="1">
      <alignment horizontal="center" vertical="center"/>
    </xf>
    <xf numFmtId="0" fontId="2" fillId="0" borderId="44" xfId="0" applyFont="1" applyBorder="1" applyAlignment="1">
      <alignment horizontal="center" vertical="center"/>
    </xf>
    <xf numFmtId="0" fontId="2" fillId="0" borderId="56" xfId="0" applyFont="1" applyBorder="1" applyAlignment="1">
      <alignment horizontal="center" vertical="center"/>
    </xf>
    <xf numFmtId="0" fontId="8" fillId="0" borderId="12" xfId="0" applyFont="1" applyBorder="1" applyAlignment="1">
      <alignment horizontal="center" vertical="center"/>
    </xf>
    <xf numFmtId="0" fontId="8" fillId="0" borderId="13" xfId="0" applyFont="1" applyBorder="1" applyAlignment="1">
      <alignment horizontal="center" vertical="center"/>
    </xf>
    <xf numFmtId="0" fontId="8" fillId="0" borderId="10" xfId="0" applyFont="1" applyBorder="1" applyAlignment="1">
      <alignment horizontal="center" vertical="center"/>
    </xf>
    <xf numFmtId="37" fontId="8" fillId="0" borderId="1" xfId="0" applyNumberFormat="1" applyFont="1" applyFill="1" applyBorder="1" applyAlignment="1">
      <alignment horizontal="center" vertical="center"/>
    </xf>
    <xf numFmtId="167" fontId="8" fillId="0" borderId="42" xfId="0" applyNumberFormat="1" applyFont="1" applyBorder="1" applyAlignment="1">
      <alignment horizontal="center" vertical="center" wrapText="1"/>
    </xf>
    <xf numFmtId="167" fontId="8" fillId="0" borderId="53" xfId="0" applyNumberFormat="1" applyFont="1" applyBorder="1" applyAlignment="1">
      <alignment horizontal="center" vertical="center" wrapText="1"/>
    </xf>
    <xf numFmtId="0" fontId="2" fillId="5" borderId="28" xfId="0" applyFont="1" applyFill="1" applyBorder="1" applyAlignment="1">
      <alignment horizontal="center" vertical="center"/>
    </xf>
    <xf numFmtId="0" fontId="2" fillId="5" borderId="30" xfId="0" applyFont="1" applyFill="1" applyBorder="1" applyAlignment="1">
      <alignment horizontal="center" vertical="center"/>
    </xf>
    <xf numFmtId="0" fontId="2" fillId="5" borderId="39" xfId="0" applyFont="1" applyFill="1" applyBorder="1" applyAlignment="1">
      <alignment horizontal="center" vertical="center"/>
    </xf>
    <xf numFmtId="0" fontId="2" fillId="5" borderId="41" xfId="0" applyFont="1" applyFill="1" applyBorder="1" applyAlignment="1">
      <alignment horizontal="center" vertical="center"/>
    </xf>
    <xf numFmtId="0" fontId="8" fillId="2" borderId="42" xfId="0" applyFont="1" applyFill="1" applyBorder="1" applyAlignment="1">
      <alignment horizontal="center" vertical="center"/>
    </xf>
    <xf numFmtId="0" fontId="8" fillId="2" borderId="53" xfId="0" applyFont="1" applyFill="1" applyBorder="1" applyAlignment="1">
      <alignment horizontal="center" vertical="center"/>
    </xf>
    <xf numFmtId="0" fontId="2" fillId="15" borderId="24" xfId="0" applyFont="1" applyFill="1" applyBorder="1" applyAlignment="1">
      <alignment horizontal="center" vertical="center" wrapText="1"/>
    </xf>
    <xf numFmtId="0" fontId="2" fillId="15" borderId="0" xfId="0" applyFont="1" applyFill="1" applyBorder="1" applyAlignment="1">
      <alignment horizontal="center" vertical="center" wrapText="1"/>
    </xf>
    <xf numFmtId="0" fontId="2" fillId="15" borderId="6" xfId="0" applyFont="1" applyFill="1" applyBorder="1" applyAlignment="1">
      <alignment horizontal="center" vertical="center" wrapText="1"/>
    </xf>
    <xf numFmtId="167" fontId="8" fillId="0" borderId="16" xfId="0" applyNumberFormat="1" applyFont="1" applyBorder="1" applyAlignment="1">
      <alignment horizontal="right" vertical="center" wrapText="1"/>
    </xf>
    <xf numFmtId="0" fontId="2" fillId="0" borderId="37" xfId="0" applyFont="1" applyFill="1" applyBorder="1" applyAlignment="1">
      <alignment horizontal="center" vertical="center"/>
    </xf>
    <xf numFmtId="0" fontId="2" fillId="0" borderId="40" xfId="0" applyFont="1" applyFill="1" applyBorder="1" applyAlignment="1">
      <alignment horizontal="center" vertical="center"/>
    </xf>
    <xf numFmtId="0" fontId="2" fillId="0" borderId="63" xfId="0" applyFont="1" applyFill="1" applyBorder="1" applyAlignment="1">
      <alignment horizontal="center" vertical="center"/>
    </xf>
    <xf numFmtId="0" fontId="2" fillId="19" borderId="11" xfId="0" applyFont="1" applyFill="1" applyBorder="1" applyAlignment="1">
      <alignment horizontal="center" vertical="center"/>
    </xf>
    <xf numFmtId="0" fontId="2" fillId="19" borderId="15" xfId="0" applyFont="1" applyFill="1" applyBorder="1" applyAlignment="1">
      <alignment horizontal="center" vertical="center"/>
    </xf>
    <xf numFmtId="0" fontId="4" fillId="6" borderId="62" xfId="0" applyFont="1" applyFill="1" applyBorder="1" applyAlignment="1">
      <alignment horizontal="center" vertical="center"/>
    </xf>
    <xf numFmtId="0" fontId="4" fillId="6" borderId="60" xfId="0" applyFont="1" applyFill="1" applyBorder="1" applyAlignment="1">
      <alignment horizontal="center" vertical="center"/>
    </xf>
    <xf numFmtId="167" fontId="8" fillId="0" borderId="12" xfId="0" applyNumberFormat="1" applyFont="1" applyBorder="1" applyAlignment="1">
      <alignment horizontal="right" vertical="center" wrapText="1"/>
    </xf>
    <xf numFmtId="167" fontId="8" fillId="0" borderId="12" xfId="0" applyNumberFormat="1" applyFont="1" applyBorder="1" applyAlignment="1">
      <alignment horizontal="center" vertical="center" wrapText="1"/>
    </xf>
    <xf numFmtId="167" fontId="8" fillId="0" borderId="16" xfId="0" applyNumberFormat="1" applyFont="1" applyBorder="1" applyAlignment="1">
      <alignment horizontal="center" vertical="center" wrapText="1"/>
    </xf>
    <xf numFmtId="0" fontId="17" fillId="5" borderId="25" xfId="0" applyFont="1" applyFill="1" applyBorder="1" applyAlignment="1">
      <alignment horizontal="center" vertical="center"/>
    </xf>
    <xf numFmtId="0" fontId="17" fillId="5" borderId="18" xfId="0" applyFont="1" applyFill="1" applyBorder="1" applyAlignment="1">
      <alignment horizontal="center" vertical="center"/>
    </xf>
    <xf numFmtId="0" fontId="17" fillId="5" borderId="19" xfId="0" applyFont="1" applyFill="1" applyBorder="1" applyAlignment="1">
      <alignment horizontal="center" vertical="center"/>
    </xf>
    <xf numFmtId="0" fontId="17" fillId="5" borderId="24" xfId="0" applyFont="1" applyFill="1" applyBorder="1" applyAlignment="1">
      <alignment horizontal="center" vertical="center"/>
    </xf>
    <xf numFmtId="0" fontId="17" fillId="5" borderId="0" xfId="0" applyFont="1" applyFill="1" applyBorder="1" applyAlignment="1">
      <alignment horizontal="center" vertical="center"/>
    </xf>
    <xf numFmtId="0" fontId="17" fillId="5" borderId="6" xfId="0" applyFont="1" applyFill="1" applyBorder="1" applyAlignment="1">
      <alignment horizontal="center" vertical="center"/>
    </xf>
    <xf numFmtId="0" fontId="17" fillId="5" borderId="21" xfId="0" applyFont="1" applyFill="1" applyBorder="1" applyAlignment="1">
      <alignment horizontal="center" vertical="center"/>
    </xf>
    <xf numFmtId="0" fontId="17" fillId="5" borderId="22" xfId="0" applyFont="1" applyFill="1" applyBorder="1" applyAlignment="1">
      <alignment horizontal="center" vertical="center"/>
    </xf>
    <xf numFmtId="0" fontId="17" fillId="5" borderId="23" xfId="0" applyFont="1" applyFill="1" applyBorder="1" applyAlignment="1">
      <alignment horizontal="center" vertical="center"/>
    </xf>
    <xf numFmtId="0" fontId="9" fillId="15" borderId="25" xfId="0" applyFont="1" applyFill="1" applyBorder="1" applyAlignment="1">
      <alignment horizontal="center" vertical="center" wrapText="1"/>
    </xf>
    <xf numFmtId="0" fontId="9" fillId="15" borderId="18" xfId="0" applyFont="1" applyFill="1" applyBorder="1" applyAlignment="1">
      <alignment horizontal="center" vertical="center" wrapText="1"/>
    </xf>
    <xf numFmtId="0" fontId="9" fillId="15" borderId="19" xfId="0" applyFont="1" applyFill="1" applyBorder="1" applyAlignment="1">
      <alignment horizontal="center" vertical="center" wrapText="1"/>
    </xf>
    <xf numFmtId="0" fontId="2" fillId="0" borderId="11" xfId="0" applyFont="1" applyBorder="1" applyAlignment="1">
      <alignment horizontal="center" vertical="center"/>
    </xf>
    <xf numFmtId="0" fontId="2" fillId="0" borderId="15" xfId="0" applyFont="1" applyBorder="1" applyAlignment="1">
      <alignment horizontal="center" vertical="center"/>
    </xf>
    <xf numFmtId="0" fontId="2" fillId="2" borderId="14" xfId="0" applyFont="1" applyFill="1" applyBorder="1" applyAlignment="1">
      <alignment horizontal="center" vertical="center"/>
    </xf>
    <xf numFmtId="0" fontId="2" fillId="2" borderId="51" xfId="0" applyFont="1" applyFill="1" applyBorder="1" applyAlignment="1">
      <alignment horizontal="center" vertical="center"/>
    </xf>
    <xf numFmtId="1" fontId="8" fillId="0" borderId="3" xfId="0" applyNumberFormat="1" applyFont="1" applyBorder="1" applyAlignment="1">
      <alignment horizontal="center" vertical="center"/>
    </xf>
    <xf numFmtId="1" fontId="8" fillId="0" borderId="31" xfId="0" applyNumberFormat="1" applyFont="1" applyBorder="1" applyAlignment="1">
      <alignment horizontal="center" vertical="center"/>
    </xf>
    <xf numFmtId="3" fontId="8" fillId="0" borderId="3" xfId="0" applyNumberFormat="1" applyFont="1" applyBorder="1" applyAlignment="1">
      <alignment horizontal="center" vertical="center"/>
    </xf>
    <xf numFmtId="3" fontId="8" fillId="0" borderId="31" xfId="0" applyNumberFormat="1" applyFont="1" applyBorder="1" applyAlignment="1">
      <alignment horizontal="center" vertical="center"/>
    </xf>
    <xf numFmtId="0" fontId="2" fillId="2" borderId="15" xfId="0" applyFont="1" applyFill="1" applyBorder="1" applyAlignment="1">
      <alignment horizontal="center" vertical="center"/>
    </xf>
    <xf numFmtId="0" fontId="2" fillId="0" borderId="12" xfId="0" applyFont="1" applyBorder="1" applyAlignment="1">
      <alignment horizontal="center" vertical="center"/>
    </xf>
    <xf numFmtId="0" fontId="2" fillId="0" borderId="16" xfId="0" applyFont="1" applyBorder="1" applyAlignment="1">
      <alignment horizontal="center" vertical="center"/>
    </xf>
    <xf numFmtId="0" fontId="2" fillId="0" borderId="13" xfId="0" applyFont="1" applyBorder="1" applyAlignment="1">
      <alignment horizontal="center" wrapText="1"/>
    </xf>
    <xf numFmtId="0" fontId="2" fillId="0" borderId="17" xfId="0" applyFont="1" applyBorder="1" applyAlignment="1">
      <alignment horizontal="center"/>
    </xf>
    <xf numFmtId="0" fontId="2" fillId="7" borderId="28" xfId="0" applyFont="1" applyFill="1" applyBorder="1" applyAlignment="1">
      <alignment horizontal="center" vertical="center"/>
    </xf>
    <xf numFmtId="0" fontId="2" fillId="7" borderId="30" xfId="0" applyFont="1" applyFill="1" applyBorder="1" applyAlignment="1">
      <alignment horizontal="center" vertical="center"/>
    </xf>
    <xf numFmtId="0" fontId="5" fillId="0" borderId="18" xfId="0" applyFont="1" applyBorder="1" applyAlignment="1">
      <alignment horizontal="center" vertical="center" wrapText="1"/>
    </xf>
    <xf numFmtId="0" fontId="5" fillId="0" borderId="0" xfId="0" applyFont="1" applyBorder="1" applyAlignment="1">
      <alignment horizontal="center" vertical="center"/>
    </xf>
    <xf numFmtId="0" fontId="2" fillId="7" borderId="45" xfId="0" applyFont="1" applyFill="1" applyBorder="1" applyAlignment="1">
      <alignment horizontal="center" vertical="center" wrapText="1"/>
    </xf>
    <xf numFmtId="0" fontId="2" fillId="7" borderId="47" xfId="0" applyFont="1" applyFill="1" applyBorder="1" applyAlignment="1">
      <alignment horizontal="center" vertical="center"/>
    </xf>
    <xf numFmtId="5" fontId="0" fillId="0" borderId="0" xfId="0" applyNumberFormat="1" applyFill="1" applyBorder="1" applyAlignment="1">
      <alignment horizontal="center" vertical="center"/>
    </xf>
    <xf numFmtId="0" fontId="0" fillId="0" borderId="0" xfId="0" applyFill="1" applyBorder="1" applyAlignment="1">
      <alignment horizontal="center" vertical="center"/>
    </xf>
    <xf numFmtId="0" fontId="1" fillId="0" borderId="0" xfId="0" applyFont="1" applyFill="1" applyBorder="1" applyAlignment="1">
      <alignment horizontal="center" vertical="center"/>
    </xf>
    <xf numFmtId="5" fontId="8" fillId="0" borderId="0" xfId="0" applyNumberFormat="1" applyFont="1" applyFill="1" applyBorder="1" applyAlignment="1">
      <alignment horizontal="center" vertical="center"/>
    </xf>
    <xf numFmtId="0" fontId="0" fillId="0" borderId="0" xfId="0" applyBorder="1" applyAlignment="1">
      <alignment horizontal="center" vertical="center"/>
    </xf>
    <xf numFmtId="0" fontId="4" fillId="0" borderId="0" xfId="0" applyFont="1" applyFill="1" applyBorder="1" applyAlignment="1">
      <alignment horizontal="center" vertical="center"/>
    </xf>
    <xf numFmtId="0" fontId="8" fillId="0" borderId="3" xfId="0" applyFont="1" applyBorder="1" applyAlignment="1">
      <alignment horizontal="center" vertical="center"/>
    </xf>
    <xf numFmtId="0" fontId="8" fillId="0" borderId="36" xfId="0" applyFont="1" applyBorder="1" applyAlignment="1">
      <alignment horizontal="center" vertical="center"/>
    </xf>
    <xf numFmtId="0" fontId="2" fillId="0" borderId="27" xfId="0" applyFont="1" applyBorder="1" applyAlignment="1">
      <alignment horizontal="center" vertical="center"/>
    </xf>
    <xf numFmtId="0" fontId="2" fillId="0" borderId="14" xfId="0" applyFont="1" applyBorder="1" applyAlignment="1">
      <alignment horizontal="center" vertical="center"/>
    </xf>
    <xf numFmtId="0" fontId="2" fillId="0" borderId="51" xfId="0" applyFont="1" applyBorder="1" applyAlignment="1">
      <alignment horizontal="center" vertical="center"/>
    </xf>
    <xf numFmtId="0" fontId="2" fillId="0" borderId="35" xfId="0" applyFont="1" applyBorder="1" applyAlignment="1">
      <alignment horizontal="center" vertical="center"/>
    </xf>
    <xf numFmtId="0" fontId="2" fillId="0" borderId="3" xfId="0" applyFont="1" applyBorder="1" applyAlignment="1">
      <alignment horizontal="center" vertical="center"/>
    </xf>
    <xf numFmtId="0" fontId="2" fillId="0" borderId="31" xfId="0" applyFont="1" applyBorder="1" applyAlignment="1">
      <alignment horizontal="center" vertical="center"/>
    </xf>
    <xf numFmtId="0" fontId="2" fillId="15" borderId="6" xfId="0" applyFont="1" applyFill="1" applyBorder="1" applyAlignment="1">
      <alignment horizontal="center" vertical="center"/>
    </xf>
    <xf numFmtId="0" fontId="2" fillId="5" borderId="43" xfId="0" applyFont="1" applyFill="1" applyBorder="1" applyAlignment="1">
      <alignment horizontal="center" vertical="center" wrapText="1"/>
    </xf>
    <xf numFmtId="0" fontId="2" fillId="5" borderId="52" xfId="0" applyFont="1" applyFill="1" applyBorder="1" applyAlignment="1">
      <alignment horizontal="center" vertical="center"/>
    </xf>
    <xf numFmtId="0" fontId="2" fillId="5" borderId="54" xfId="0" applyFont="1" applyFill="1" applyBorder="1" applyAlignment="1">
      <alignment horizontal="center" vertical="center"/>
    </xf>
    <xf numFmtId="0" fontId="8" fillId="0" borderId="1" xfId="0" applyFont="1" applyBorder="1" applyAlignment="1">
      <alignment horizontal="right" vertical="center"/>
    </xf>
    <xf numFmtId="0" fontId="2" fillId="2" borderId="52" xfId="0" applyFont="1" applyFill="1" applyBorder="1" applyAlignment="1">
      <alignment horizontal="center" vertical="center"/>
    </xf>
    <xf numFmtId="0" fontId="2" fillId="2" borderId="54" xfId="0" applyFont="1" applyFill="1" applyBorder="1" applyAlignment="1">
      <alignment horizontal="center" vertical="center"/>
    </xf>
    <xf numFmtId="0" fontId="2" fillId="0" borderId="39" xfId="0" applyFont="1" applyFill="1" applyBorder="1" applyAlignment="1">
      <alignment horizontal="center" vertical="center"/>
    </xf>
    <xf numFmtId="0" fontId="2" fillId="0" borderId="62" xfId="0" applyFont="1" applyFill="1" applyBorder="1" applyAlignment="1">
      <alignment horizontal="center" vertical="center"/>
    </xf>
    <xf numFmtId="0" fontId="2" fillId="15" borderId="18" xfId="0" applyFont="1" applyFill="1" applyBorder="1" applyAlignment="1">
      <alignment horizontal="center" vertical="center"/>
    </xf>
    <xf numFmtId="0" fontId="2" fillId="15" borderId="19" xfId="0" applyFont="1" applyFill="1" applyBorder="1" applyAlignment="1">
      <alignment horizontal="center" vertical="center"/>
    </xf>
    <xf numFmtId="167" fontId="8" fillId="0" borderId="42" xfId="0" applyNumberFormat="1" applyFont="1" applyBorder="1" applyAlignment="1">
      <alignment horizontal="right" vertical="center" wrapText="1"/>
    </xf>
    <xf numFmtId="167" fontId="8" fillId="0" borderId="53" xfId="0" applyNumberFormat="1" applyFont="1" applyBorder="1" applyAlignment="1">
      <alignment horizontal="right" vertical="center" wrapText="1"/>
    </xf>
    <xf numFmtId="0" fontId="2" fillId="17" borderId="43" xfId="0" applyFont="1" applyFill="1" applyBorder="1" applyAlignment="1">
      <alignment horizontal="center" vertical="center"/>
    </xf>
    <xf numFmtId="0" fontId="2" fillId="17" borderId="54" xfId="0" applyFont="1" applyFill="1" applyBorder="1" applyAlignment="1">
      <alignment horizontal="center" vertical="center"/>
    </xf>
    <xf numFmtId="0" fontId="5" fillId="0" borderId="11" xfId="0" applyFont="1" applyBorder="1" applyAlignment="1">
      <alignment horizontal="center" vertical="center"/>
    </xf>
    <xf numFmtId="0" fontId="5" fillId="0" borderId="14" xfId="0" applyFont="1" applyBorder="1" applyAlignment="1">
      <alignment horizontal="center" vertical="center"/>
    </xf>
    <xf numFmtId="0" fontId="5" fillId="0" borderId="15" xfId="0" applyFont="1" applyBorder="1" applyAlignment="1">
      <alignment horizontal="center" vertical="center"/>
    </xf>
    <xf numFmtId="0" fontId="1" fillId="0" borderId="0" xfId="0" applyFont="1" applyBorder="1" applyAlignment="1">
      <alignment horizontal="center"/>
    </xf>
    <xf numFmtId="0" fontId="9" fillId="5" borderId="28" xfId="0" applyFont="1" applyFill="1" applyBorder="1" applyAlignment="1">
      <alignment horizontal="center" vertical="center" wrapText="1"/>
    </xf>
    <xf numFmtId="0" fontId="9" fillId="5" borderId="29" xfId="0" applyFont="1" applyFill="1" applyBorder="1" applyAlignment="1">
      <alignment horizontal="center" vertical="center" wrapText="1"/>
    </xf>
    <xf numFmtId="0" fontId="9" fillId="5" borderId="30" xfId="0" applyFont="1" applyFill="1" applyBorder="1" applyAlignment="1">
      <alignment horizontal="center" vertical="center" wrapText="1"/>
    </xf>
    <xf numFmtId="0" fontId="9" fillId="5" borderId="28" xfId="0" applyFont="1" applyFill="1" applyBorder="1" applyAlignment="1">
      <alignment horizontal="center" vertical="center"/>
    </xf>
    <xf numFmtId="0" fontId="9" fillId="5" borderId="29" xfId="0" applyFont="1" applyFill="1" applyBorder="1" applyAlignment="1">
      <alignment horizontal="center" vertical="center"/>
    </xf>
    <xf numFmtId="0" fontId="9" fillId="5" borderId="30" xfId="0" applyFont="1" applyFill="1" applyBorder="1" applyAlignment="1">
      <alignment horizontal="center" vertical="center"/>
    </xf>
    <xf numFmtId="0" fontId="9" fillId="5" borderId="11" xfId="0" applyFont="1" applyFill="1" applyBorder="1" applyAlignment="1">
      <alignment horizontal="center" vertical="center"/>
    </xf>
    <xf numFmtId="0" fontId="9" fillId="5" borderId="12" xfId="0" applyFont="1" applyFill="1" applyBorder="1" applyAlignment="1">
      <alignment horizontal="center" vertical="center"/>
    </xf>
    <xf numFmtId="0" fontId="9" fillId="5" borderId="13" xfId="0" applyFont="1" applyFill="1" applyBorder="1" applyAlignment="1">
      <alignment horizontal="center" vertical="center"/>
    </xf>
    <xf numFmtId="1" fontId="8" fillId="0" borderId="0" xfId="0" applyNumberFormat="1" applyFont="1" applyBorder="1" applyAlignment="1">
      <alignment horizontal="center" vertical="center"/>
    </xf>
    <xf numFmtId="0" fontId="9" fillId="5" borderId="11" xfId="0" applyFont="1" applyFill="1" applyBorder="1" applyAlignment="1">
      <alignment horizontal="center" vertical="center" wrapText="1"/>
    </xf>
    <xf numFmtId="0" fontId="9" fillId="5" borderId="12" xfId="0" applyFont="1" applyFill="1" applyBorder="1" applyAlignment="1">
      <alignment horizontal="center" vertical="center" wrapText="1"/>
    </xf>
    <xf numFmtId="0" fontId="9" fillId="5" borderId="13" xfId="0" applyFont="1" applyFill="1" applyBorder="1" applyAlignment="1">
      <alignment horizontal="center" vertical="center" wrapText="1"/>
    </xf>
    <xf numFmtId="0" fontId="4" fillId="5" borderId="49" xfId="0" applyFont="1" applyFill="1" applyBorder="1" applyAlignment="1">
      <alignment horizontal="center" wrapText="1"/>
    </xf>
    <xf numFmtId="0" fontId="4" fillId="5" borderId="4" xfId="0" applyFont="1" applyFill="1" applyBorder="1" applyAlignment="1">
      <alignment horizontal="center" wrapText="1"/>
    </xf>
    <xf numFmtId="0" fontId="4" fillId="5" borderId="50" xfId="0" applyFont="1" applyFill="1" applyBorder="1" applyAlignment="1">
      <alignment horizontal="center" wrapText="1"/>
    </xf>
    <xf numFmtId="0" fontId="0" fillId="2" borderId="62" xfId="0" applyFill="1" applyBorder="1" applyAlignment="1">
      <alignment horizontal="center"/>
    </xf>
    <xf numFmtId="0" fontId="0" fillId="2" borderId="58" xfId="0" applyFill="1" applyBorder="1" applyAlignment="1">
      <alignment horizontal="center"/>
    </xf>
    <xf numFmtId="0" fontId="0" fillId="2" borderId="60" xfId="0" applyFill="1" applyBorder="1" applyAlignment="1">
      <alignment horizontal="center"/>
    </xf>
    <xf numFmtId="0" fontId="9" fillId="5" borderId="25" xfId="0" applyFont="1" applyFill="1" applyBorder="1" applyAlignment="1">
      <alignment horizontal="center" vertical="center" wrapText="1"/>
    </xf>
    <xf numFmtId="0" fontId="9" fillId="5" borderId="18" xfId="0" applyFont="1" applyFill="1" applyBorder="1" applyAlignment="1">
      <alignment horizontal="center" vertical="center" wrapText="1"/>
    </xf>
    <xf numFmtId="0" fontId="9" fillId="5" borderId="19" xfId="0" applyFont="1" applyFill="1" applyBorder="1" applyAlignment="1">
      <alignment horizontal="center" vertical="center" wrapText="1"/>
    </xf>
    <xf numFmtId="0" fontId="9" fillId="5" borderId="24" xfId="0" applyFont="1" applyFill="1" applyBorder="1" applyAlignment="1">
      <alignment horizontal="center" vertical="center" wrapText="1"/>
    </xf>
    <xf numFmtId="0" fontId="9" fillId="5" borderId="0"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21" xfId="0" applyFont="1" applyFill="1" applyBorder="1" applyAlignment="1">
      <alignment horizontal="center" vertical="center" wrapText="1"/>
    </xf>
    <xf numFmtId="0" fontId="9" fillId="5" borderId="22" xfId="0" applyFont="1" applyFill="1" applyBorder="1" applyAlignment="1">
      <alignment horizontal="center" vertical="center" wrapText="1"/>
    </xf>
    <xf numFmtId="0" fontId="9" fillId="5" borderId="23" xfId="0" applyFont="1" applyFill="1" applyBorder="1" applyAlignment="1">
      <alignment horizontal="center" vertical="center" wrapText="1"/>
    </xf>
    <xf numFmtId="0" fontId="8" fillId="0" borderId="0" xfId="0" applyFont="1" applyBorder="1" applyAlignment="1">
      <alignment horizontal="center" vertical="center"/>
    </xf>
    <xf numFmtId="0" fontId="9" fillId="5" borderId="11" xfId="0" applyFont="1" applyFill="1" applyBorder="1" applyAlignment="1">
      <alignment horizontal="center"/>
    </xf>
    <xf numFmtId="0" fontId="9" fillId="5" borderId="12" xfId="0" applyFont="1" applyFill="1" applyBorder="1" applyAlignment="1">
      <alignment horizontal="center"/>
    </xf>
    <xf numFmtId="0" fontId="9" fillId="5" borderId="13" xfId="0" applyFont="1" applyFill="1" applyBorder="1" applyAlignment="1">
      <alignment horizontal="center"/>
    </xf>
    <xf numFmtId="2" fontId="0" fillId="0" borderId="57" xfId="0" applyNumberFormat="1" applyBorder="1" applyAlignment="1">
      <alignment horizontal="center" vertical="center"/>
    </xf>
    <xf numFmtId="2" fontId="0" fillId="0" borderId="55" xfId="0" applyNumberFormat="1" applyBorder="1" applyAlignment="1">
      <alignment horizontal="center" vertical="center"/>
    </xf>
    <xf numFmtId="2" fontId="0" fillId="0" borderId="38" xfId="0" applyNumberFormat="1" applyBorder="1" applyAlignment="1">
      <alignment horizontal="center" vertical="center"/>
    </xf>
    <xf numFmtId="0" fontId="2" fillId="5" borderId="18" xfId="0" applyFont="1" applyFill="1" applyBorder="1" applyAlignment="1">
      <alignment horizontal="center" vertical="center"/>
    </xf>
    <xf numFmtId="0" fontId="2" fillId="5" borderId="19" xfId="0" applyFont="1" applyFill="1" applyBorder="1" applyAlignment="1">
      <alignment horizontal="center" vertical="center"/>
    </xf>
    <xf numFmtId="0" fontId="2" fillId="5" borderId="0" xfId="0" applyFont="1" applyFill="1" applyBorder="1" applyAlignment="1">
      <alignment horizontal="center" vertical="center"/>
    </xf>
    <xf numFmtId="0" fontId="2" fillId="5" borderId="6" xfId="0" applyFont="1" applyFill="1" applyBorder="1" applyAlignment="1">
      <alignment horizontal="center" vertical="center"/>
    </xf>
    <xf numFmtId="0" fontId="2" fillId="5" borderId="22" xfId="0" applyFont="1" applyFill="1" applyBorder="1" applyAlignment="1">
      <alignment horizontal="center" vertical="center"/>
    </xf>
    <xf numFmtId="0" fontId="2" fillId="5" borderId="23" xfId="0" applyFont="1" applyFill="1" applyBorder="1" applyAlignment="1">
      <alignment horizontal="center" vertical="center"/>
    </xf>
    <xf numFmtId="0" fontId="9" fillId="5" borderId="14" xfId="0" applyFont="1" applyFill="1" applyBorder="1" applyAlignment="1">
      <alignment horizontal="center" vertical="center" wrapText="1"/>
    </xf>
    <xf numFmtId="0" fontId="9" fillId="5" borderId="1" xfId="0" applyFont="1" applyFill="1" applyBorder="1" applyAlignment="1">
      <alignment horizontal="center" vertical="center" wrapText="1"/>
    </xf>
    <xf numFmtId="0" fontId="9" fillId="5" borderId="10" xfId="0" applyFont="1" applyFill="1" applyBorder="1" applyAlignment="1">
      <alignment horizontal="center" vertical="center" wrapText="1"/>
    </xf>
    <xf numFmtId="0" fontId="9" fillId="5" borderId="64" xfId="0" applyFont="1" applyFill="1" applyBorder="1" applyAlignment="1">
      <alignment horizontal="center" vertical="center" wrapText="1"/>
    </xf>
    <xf numFmtId="0" fontId="9" fillId="5" borderId="65" xfId="0" applyFont="1" applyFill="1" applyBorder="1" applyAlignment="1">
      <alignment horizontal="center" vertical="center" wrapText="1"/>
    </xf>
    <xf numFmtId="0" fontId="9" fillId="5" borderId="66" xfId="0" applyFont="1" applyFill="1" applyBorder="1" applyAlignment="1">
      <alignment horizontal="center" vertical="center" wrapText="1"/>
    </xf>
    <xf numFmtId="0" fontId="0" fillId="0" borderId="24" xfId="0" applyFill="1" applyBorder="1" applyAlignment="1">
      <alignment horizontal="center"/>
    </xf>
    <xf numFmtId="0" fontId="0" fillId="0" borderId="0" xfId="0" applyFill="1" applyBorder="1" applyAlignment="1">
      <alignment horizontal="center"/>
    </xf>
    <xf numFmtId="0" fontId="9" fillId="5" borderId="21" xfId="0" applyFont="1" applyFill="1" applyBorder="1" applyAlignment="1">
      <alignment horizontal="center" vertical="center"/>
    </xf>
    <xf numFmtId="0" fontId="9" fillId="5" borderId="22" xfId="0" applyFont="1" applyFill="1" applyBorder="1" applyAlignment="1">
      <alignment horizontal="center" vertical="center"/>
    </xf>
    <xf numFmtId="0" fontId="9" fillId="5" borderId="23" xfId="0" applyFont="1" applyFill="1" applyBorder="1" applyAlignment="1">
      <alignment horizontal="center" vertical="center"/>
    </xf>
    <xf numFmtId="0" fontId="8" fillId="0" borderId="51" xfId="0" applyFont="1" applyBorder="1" applyAlignment="1">
      <alignment horizontal="center" vertical="center"/>
    </xf>
    <xf numFmtId="0" fontId="8" fillId="0" borderId="52" xfId="0" applyFont="1" applyBorder="1" applyAlignment="1">
      <alignment horizontal="center" vertical="center"/>
    </xf>
    <xf numFmtId="0" fontId="8" fillId="0" borderId="54" xfId="0" applyFont="1" applyBorder="1" applyAlignment="1">
      <alignment horizontal="center" vertical="center"/>
    </xf>
    <xf numFmtId="0" fontId="8" fillId="0" borderId="27" xfId="0" applyFont="1" applyBorder="1" applyAlignment="1">
      <alignment horizontal="center" vertical="center"/>
    </xf>
    <xf numFmtId="0" fontId="1" fillId="0" borderId="7" xfId="0" applyFont="1"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3" fontId="8" fillId="8" borderId="7" xfId="0" applyNumberFormat="1" applyFont="1" applyFill="1" applyBorder="1" applyAlignment="1">
      <alignment horizontal="center" vertical="center"/>
    </xf>
    <xf numFmtId="3" fontId="8" fillId="8" borderId="8" xfId="0" applyNumberFormat="1" applyFont="1" applyFill="1" applyBorder="1" applyAlignment="1">
      <alignment horizontal="center" vertical="center"/>
    </xf>
    <xf numFmtId="3" fontId="8" fillId="8" borderId="53" xfId="0" applyNumberFormat="1" applyFont="1" applyFill="1" applyBorder="1" applyAlignment="1">
      <alignment horizontal="center" vertical="center"/>
    </xf>
    <xf numFmtId="3" fontId="8" fillId="8" borderId="9" xfId="0" applyNumberFormat="1" applyFont="1" applyFill="1" applyBorder="1" applyAlignment="1">
      <alignment horizontal="center" vertical="center"/>
    </xf>
    <xf numFmtId="0" fontId="1" fillId="0" borderId="7" xfId="0" applyFont="1" applyFill="1" applyBorder="1" applyAlignment="1">
      <alignment horizontal="center" vertical="center"/>
    </xf>
    <xf numFmtId="0" fontId="1" fillId="0" borderId="8" xfId="0" applyFont="1" applyFill="1" applyBorder="1" applyAlignment="1">
      <alignment horizontal="center" vertical="center"/>
    </xf>
    <xf numFmtId="0" fontId="1" fillId="0" borderId="53" xfId="0" applyFont="1" applyFill="1" applyBorder="1" applyAlignment="1">
      <alignment horizontal="center" vertical="center"/>
    </xf>
    <xf numFmtId="0" fontId="2" fillId="7" borderId="28" xfId="0" applyFont="1" applyFill="1" applyBorder="1" applyAlignment="1">
      <alignment horizontal="center" vertical="center" wrapText="1"/>
    </xf>
    <xf numFmtId="0" fontId="2" fillId="7" borderId="29" xfId="0" applyFont="1" applyFill="1" applyBorder="1" applyAlignment="1">
      <alignment horizontal="center" vertical="center" wrapText="1"/>
    </xf>
    <xf numFmtId="0" fontId="2" fillId="7" borderId="19" xfId="0" applyFont="1" applyFill="1" applyBorder="1" applyAlignment="1">
      <alignment horizontal="center" vertical="center" wrapText="1"/>
    </xf>
    <xf numFmtId="0" fontId="1" fillId="3" borderId="7" xfId="0" applyFont="1" applyFill="1" applyBorder="1" applyAlignment="1">
      <alignment horizontal="center" vertical="center"/>
    </xf>
    <xf numFmtId="0" fontId="1" fillId="3" borderId="8" xfId="0" applyFont="1" applyFill="1" applyBorder="1" applyAlignment="1">
      <alignment horizontal="center" vertical="center"/>
    </xf>
    <xf numFmtId="0" fontId="1" fillId="3" borderId="9" xfId="0" applyFont="1" applyFill="1" applyBorder="1" applyAlignment="1">
      <alignment horizontal="center" vertical="center"/>
    </xf>
    <xf numFmtId="2" fontId="0" fillId="0" borderId="0" xfId="0" applyNumberFormat="1" applyBorder="1" applyAlignment="1">
      <alignment horizontal="center" vertical="center"/>
    </xf>
    <xf numFmtId="0" fontId="9" fillId="0" borderId="0" xfId="0" applyFont="1" applyBorder="1" applyAlignment="1">
      <alignment horizontal="center"/>
    </xf>
    <xf numFmtId="0" fontId="0" fillId="0" borderId="0" xfId="0" applyBorder="1" applyAlignment="1">
      <alignment horizontal="center"/>
    </xf>
    <xf numFmtId="0" fontId="2" fillId="5" borderId="29" xfId="0" applyFont="1" applyFill="1" applyBorder="1" applyAlignment="1">
      <alignment horizontal="center" vertical="center"/>
    </xf>
    <xf numFmtId="3" fontId="8" fillId="0" borderId="1" xfId="0" applyNumberFormat="1" applyFont="1" applyBorder="1" applyAlignment="1">
      <alignment horizontal="center" vertical="center"/>
    </xf>
    <xf numFmtId="3" fontId="8" fillId="0" borderId="16" xfId="0" applyNumberFormat="1" applyFont="1" applyBorder="1" applyAlignment="1">
      <alignment horizontal="center" vertical="center"/>
    </xf>
    <xf numFmtId="165" fontId="8" fillId="0" borderId="1" xfId="0" applyNumberFormat="1" applyFont="1" applyBorder="1" applyAlignment="1">
      <alignment horizontal="center" vertical="center"/>
    </xf>
    <xf numFmtId="165" fontId="8" fillId="0" borderId="16" xfId="0" applyNumberFormat="1" applyFont="1" applyBorder="1" applyAlignment="1">
      <alignment horizontal="center" vertical="center"/>
    </xf>
    <xf numFmtId="165" fontId="8" fillId="0" borderId="10" xfId="0" applyNumberFormat="1" applyFont="1" applyBorder="1" applyAlignment="1">
      <alignment horizontal="center" vertical="center"/>
    </xf>
    <xf numFmtId="165" fontId="8" fillId="0" borderId="17" xfId="0" applyNumberFormat="1" applyFont="1" applyBorder="1" applyAlignment="1">
      <alignment horizontal="center" vertical="center"/>
    </xf>
    <xf numFmtId="165" fontId="8" fillId="0" borderId="25" xfId="0" applyNumberFormat="1" applyFont="1" applyBorder="1" applyAlignment="1">
      <alignment horizontal="center" vertical="center"/>
    </xf>
    <xf numFmtId="165" fontId="8" fillId="0" borderId="24" xfId="0" applyNumberFormat="1" applyFont="1" applyBorder="1" applyAlignment="1">
      <alignment horizontal="center" vertical="center"/>
    </xf>
    <xf numFmtId="165" fontId="8" fillId="0" borderId="21" xfId="0" applyNumberFormat="1" applyFont="1" applyBorder="1" applyAlignment="1">
      <alignment horizontal="center" vertical="center"/>
    </xf>
    <xf numFmtId="11" fontId="8" fillId="0" borderId="68" xfId="0" applyNumberFormat="1" applyFont="1" applyBorder="1" applyAlignment="1">
      <alignment horizontal="center" vertical="center"/>
    </xf>
    <xf numFmtId="11" fontId="8" fillId="0" borderId="21" xfId="0" applyNumberFormat="1" applyFont="1" applyBorder="1" applyAlignment="1">
      <alignment horizontal="center" vertical="center"/>
    </xf>
    <xf numFmtId="165" fontId="8" fillId="0" borderId="57" xfId="0" applyNumberFormat="1" applyFont="1" applyBorder="1" applyAlignment="1">
      <alignment horizontal="center" vertical="center"/>
    </xf>
    <xf numFmtId="165" fontId="8" fillId="0" borderId="56" xfId="0" applyNumberFormat="1" applyFont="1" applyBorder="1" applyAlignment="1">
      <alignment horizontal="center" vertical="center"/>
    </xf>
    <xf numFmtId="165" fontId="8" fillId="0" borderId="44" xfId="0" applyNumberFormat="1" applyFont="1" applyBorder="1" applyAlignment="1">
      <alignment horizontal="center" vertical="center"/>
    </xf>
    <xf numFmtId="165" fontId="8" fillId="0" borderId="55" xfId="0" applyNumberFormat="1" applyFont="1" applyBorder="1" applyAlignment="1">
      <alignment horizontal="center" vertical="center"/>
    </xf>
    <xf numFmtId="3" fontId="8" fillId="0" borderId="44" xfId="0" applyNumberFormat="1" applyFont="1" applyBorder="1" applyAlignment="1">
      <alignment horizontal="center" vertical="center"/>
    </xf>
    <xf numFmtId="3" fontId="8" fillId="0" borderId="55" xfId="0" applyNumberFormat="1" applyFont="1" applyBorder="1" applyAlignment="1">
      <alignment horizontal="center" vertical="center"/>
    </xf>
    <xf numFmtId="3" fontId="8" fillId="0" borderId="56" xfId="0" applyNumberFormat="1" applyFont="1" applyBorder="1" applyAlignment="1">
      <alignment horizontal="center" vertical="center"/>
    </xf>
    <xf numFmtId="3" fontId="8" fillId="0" borderId="13" xfId="0" applyNumberFormat="1" applyFont="1" applyBorder="1" applyAlignment="1">
      <alignment horizontal="center" vertical="center"/>
    </xf>
    <xf numFmtId="3" fontId="8" fillId="0" borderId="10" xfId="0" applyNumberFormat="1" applyFont="1" applyBorder="1" applyAlignment="1">
      <alignment horizontal="center" vertical="center"/>
    </xf>
    <xf numFmtId="3" fontId="8" fillId="0" borderId="17" xfId="0" applyNumberFormat="1" applyFont="1" applyBorder="1" applyAlignment="1">
      <alignment horizontal="center" vertical="center"/>
    </xf>
    <xf numFmtId="11" fontId="8" fillId="0" borderId="3" xfId="0" applyNumberFormat="1" applyFont="1" applyBorder="1" applyAlignment="1">
      <alignment horizontal="center" vertical="center"/>
    </xf>
    <xf numFmtId="11" fontId="8" fillId="0" borderId="36" xfId="0" applyNumberFormat="1" applyFont="1" applyBorder="1" applyAlignment="1">
      <alignment horizontal="center" vertical="center"/>
    </xf>
    <xf numFmtId="165" fontId="8" fillId="0" borderId="3" xfId="0" applyNumberFormat="1" applyFont="1" applyBorder="1" applyAlignment="1">
      <alignment horizontal="center" vertical="center"/>
    </xf>
    <xf numFmtId="165" fontId="8" fillId="0" borderId="36" xfId="0" applyNumberFormat="1" applyFont="1" applyBorder="1" applyAlignment="1">
      <alignment horizontal="center" vertical="center"/>
    </xf>
    <xf numFmtId="165" fontId="8" fillId="0" borderId="68" xfId="0" applyNumberFormat="1" applyFont="1" applyBorder="1" applyAlignment="1">
      <alignment horizontal="center" vertical="center"/>
    </xf>
    <xf numFmtId="0" fontId="2" fillId="5" borderId="45" xfId="0" applyFont="1" applyFill="1" applyBorder="1" applyAlignment="1">
      <alignment horizontal="center" vertical="center" wrapText="1"/>
    </xf>
    <xf numFmtId="0" fontId="2" fillId="5" borderId="46" xfId="0" applyFont="1" applyFill="1" applyBorder="1" applyAlignment="1">
      <alignment horizontal="center" vertical="center"/>
    </xf>
    <xf numFmtId="0" fontId="2" fillId="5" borderId="47" xfId="0" applyFont="1" applyFill="1" applyBorder="1" applyAlignment="1">
      <alignment horizontal="center" vertical="center"/>
    </xf>
    <xf numFmtId="3" fontId="8" fillId="0" borderId="36" xfId="0" applyNumberFormat="1" applyFont="1" applyBorder="1" applyAlignment="1">
      <alignment horizontal="center" vertical="center"/>
    </xf>
    <xf numFmtId="0" fontId="2" fillId="19" borderId="18" xfId="0" applyFont="1" applyFill="1" applyBorder="1" applyAlignment="1">
      <alignment horizontal="center" vertical="center"/>
    </xf>
    <xf numFmtId="0" fontId="2" fillId="19" borderId="19" xfId="0" applyFont="1" applyFill="1" applyBorder="1" applyAlignment="1">
      <alignment horizontal="center" vertical="center"/>
    </xf>
    <xf numFmtId="0" fontId="9" fillId="19" borderId="28" xfId="0" applyFont="1" applyFill="1" applyBorder="1" applyAlignment="1">
      <alignment horizontal="center" vertical="center" wrapText="1"/>
    </xf>
    <xf numFmtId="0" fontId="9" fillId="19" borderId="29" xfId="0" applyFont="1" applyFill="1" applyBorder="1" applyAlignment="1">
      <alignment horizontal="center" vertical="center" wrapText="1"/>
    </xf>
    <xf numFmtId="0" fontId="9" fillId="19" borderId="30" xfId="0" applyFont="1" applyFill="1" applyBorder="1" applyAlignment="1">
      <alignment horizontal="center" vertical="center" wrapText="1"/>
    </xf>
    <xf numFmtId="0" fontId="2" fillId="19" borderId="45" xfId="0" applyFont="1" applyFill="1" applyBorder="1" applyAlignment="1">
      <alignment horizontal="center" vertical="center" wrapText="1"/>
    </xf>
    <xf numFmtId="0" fontId="2" fillId="19" borderId="46" xfId="0" applyFont="1" applyFill="1" applyBorder="1" applyAlignment="1">
      <alignment horizontal="center" vertical="center"/>
    </xf>
    <xf numFmtId="0" fontId="2" fillId="19" borderId="47" xfId="0" applyFont="1" applyFill="1" applyBorder="1" applyAlignment="1">
      <alignment horizontal="center" vertical="center"/>
    </xf>
    <xf numFmtId="0" fontId="2" fillId="15" borderId="45" xfId="0" applyFont="1" applyFill="1" applyBorder="1" applyAlignment="1">
      <alignment horizontal="center" vertical="center"/>
    </xf>
    <xf numFmtId="0" fontId="2" fillId="15" borderId="47" xfId="0" applyFont="1" applyFill="1" applyBorder="1" applyAlignment="1">
      <alignment horizontal="center" vertical="center"/>
    </xf>
    <xf numFmtId="0" fontId="2" fillId="4" borderId="25" xfId="0" applyFont="1" applyFill="1" applyBorder="1" applyAlignment="1">
      <alignment horizontal="center" vertical="center" wrapText="1"/>
    </xf>
    <xf numFmtId="0" fontId="2" fillId="4" borderId="18" xfId="0" applyFont="1" applyFill="1" applyBorder="1" applyAlignment="1">
      <alignment horizontal="center" vertical="center" wrapText="1"/>
    </xf>
    <xf numFmtId="0" fontId="2" fillId="4" borderId="19" xfId="0" applyFont="1" applyFill="1" applyBorder="1" applyAlignment="1">
      <alignment horizontal="center" vertical="center" wrapText="1"/>
    </xf>
    <xf numFmtId="167" fontId="8" fillId="0" borderId="12" xfId="0" applyNumberFormat="1" applyFont="1" applyBorder="1" applyAlignment="1">
      <alignment horizontal="center" vertical="center"/>
    </xf>
    <xf numFmtId="167" fontId="8" fillId="0" borderId="1" xfId="0" applyNumberFormat="1" applyFont="1" applyBorder="1" applyAlignment="1">
      <alignment horizontal="center" vertical="center"/>
    </xf>
    <xf numFmtId="167" fontId="8" fillId="0" borderId="16" xfId="0" applyNumberFormat="1" applyFont="1" applyBorder="1" applyAlignment="1">
      <alignment horizontal="center" vertical="center"/>
    </xf>
    <xf numFmtId="0" fontId="0" fillId="0" borderId="51" xfId="0" applyBorder="1" applyAlignment="1">
      <alignment horizontal="center" vertical="center"/>
    </xf>
    <xf numFmtId="0" fontId="0" fillId="0" borderId="54"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167" fontId="8" fillId="0" borderId="7" xfId="0" applyNumberFormat="1" applyFont="1" applyBorder="1" applyAlignment="1">
      <alignment horizontal="center" vertical="center"/>
    </xf>
    <xf numFmtId="167" fontId="8" fillId="0" borderId="42" xfId="0" applyNumberFormat="1" applyFont="1" applyBorder="1" applyAlignment="1">
      <alignment horizontal="center" vertical="center"/>
    </xf>
    <xf numFmtId="167" fontId="8" fillId="0" borderId="9" xfId="0" applyNumberFormat="1" applyFont="1" applyBorder="1" applyAlignment="1">
      <alignment horizontal="center" vertical="center"/>
    </xf>
    <xf numFmtId="0" fontId="0" fillId="0" borderId="13" xfId="0" applyBorder="1" applyAlignment="1">
      <alignment horizontal="center" vertical="center"/>
    </xf>
    <xf numFmtId="0" fontId="0" fillId="0" borderId="57" xfId="0" applyBorder="1" applyAlignment="1">
      <alignment horizontal="center" vertical="center"/>
    </xf>
    <xf numFmtId="0" fontId="0" fillId="0" borderId="1" xfId="0" applyFill="1" applyBorder="1" applyAlignment="1">
      <alignment horizontal="center"/>
    </xf>
    <xf numFmtId="0" fontId="2" fillId="19" borderId="29" xfId="0" applyFont="1" applyFill="1" applyBorder="1" applyAlignment="1">
      <alignment horizontal="center" vertical="center"/>
    </xf>
    <xf numFmtId="0" fontId="9" fillId="4" borderId="25" xfId="0" applyFont="1" applyFill="1" applyBorder="1" applyAlignment="1">
      <alignment horizontal="center" vertical="center" wrapText="1"/>
    </xf>
    <xf numFmtId="0" fontId="9" fillId="4" borderId="18" xfId="0" applyFont="1" applyFill="1" applyBorder="1" applyAlignment="1">
      <alignment horizontal="center" vertical="center" wrapText="1"/>
    </xf>
    <xf numFmtId="0" fontId="9" fillId="4" borderId="19" xfId="0" applyFont="1" applyFill="1" applyBorder="1" applyAlignment="1">
      <alignment horizontal="center" vertical="center" wrapText="1"/>
    </xf>
    <xf numFmtId="0" fontId="9" fillId="4" borderId="28" xfId="0" applyFont="1" applyFill="1" applyBorder="1" applyAlignment="1">
      <alignment horizontal="center" vertical="center" wrapText="1"/>
    </xf>
    <xf numFmtId="0" fontId="9" fillId="4" borderId="29" xfId="0" applyFont="1" applyFill="1" applyBorder="1" applyAlignment="1">
      <alignment horizontal="center" vertical="center" wrapText="1"/>
    </xf>
    <xf numFmtId="0" fontId="9" fillId="4" borderId="30" xfId="0" applyFont="1" applyFill="1" applyBorder="1" applyAlignment="1">
      <alignment horizontal="center" vertical="center" wrapText="1"/>
    </xf>
    <xf numFmtId="0" fontId="7" fillId="4" borderId="28" xfId="0" applyFont="1" applyFill="1" applyBorder="1" applyAlignment="1">
      <alignment horizontal="center" vertical="center"/>
    </xf>
    <xf numFmtId="0" fontId="7" fillId="4" borderId="29" xfId="0" applyFont="1" applyFill="1" applyBorder="1" applyAlignment="1">
      <alignment horizontal="center" vertical="center"/>
    </xf>
    <xf numFmtId="0" fontId="7" fillId="4" borderId="30" xfId="0" applyFont="1" applyFill="1" applyBorder="1" applyAlignment="1">
      <alignment horizontal="center" vertical="center"/>
    </xf>
    <xf numFmtId="0" fontId="0" fillId="0" borderId="1" xfId="0" applyBorder="1" applyAlignment="1">
      <alignment horizontal="center" vertical="center"/>
    </xf>
    <xf numFmtId="0" fontId="0" fillId="0" borderId="16" xfId="0" applyBorder="1" applyAlignment="1">
      <alignment horizontal="center" vertical="center"/>
    </xf>
    <xf numFmtId="1" fontId="0" fillId="0" borderId="0" xfId="0" applyNumberFormat="1" applyBorder="1" applyAlignment="1">
      <alignment horizontal="center"/>
    </xf>
    <xf numFmtId="164" fontId="0" fillId="0" borderId="0" xfId="0" applyNumberFormat="1" applyBorder="1" applyAlignment="1">
      <alignment horizontal="center" vertical="center"/>
    </xf>
    <xf numFmtId="0" fontId="1" fillId="5" borderId="28" xfId="0" applyFont="1" applyFill="1" applyBorder="1" applyAlignment="1">
      <alignment horizontal="center" vertical="center"/>
    </xf>
    <xf numFmtId="0" fontId="1" fillId="5" borderId="29" xfId="0" applyFont="1" applyFill="1" applyBorder="1" applyAlignment="1">
      <alignment horizontal="center" vertical="center"/>
    </xf>
    <xf numFmtId="0" fontId="1" fillId="5" borderId="30" xfId="0" applyFont="1" applyFill="1" applyBorder="1" applyAlignment="1">
      <alignment horizontal="center" vertical="center"/>
    </xf>
    <xf numFmtId="0" fontId="1" fillId="0" borderId="1" xfId="0" applyFont="1" applyFill="1" applyBorder="1" applyAlignment="1">
      <alignment horizontal="center" vertical="center"/>
    </xf>
    <xf numFmtId="0" fontId="0" fillId="0" borderId="1" xfId="0" applyFill="1" applyBorder="1" applyAlignment="1">
      <alignment horizontal="center" vertical="center"/>
    </xf>
    <xf numFmtId="0" fontId="0" fillId="0" borderId="34" xfId="0" applyBorder="1" applyAlignment="1">
      <alignment horizontal="center"/>
    </xf>
    <xf numFmtId="0" fontId="21" fillId="0" borderId="7" xfId="0" applyFont="1" applyFill="1" applyBorder="1" applyAlignment="1">
      <alignment horizontal="center" vertical="center" wrapText="1"/>
    </xf>
    <xf numFmtId="0" fontId="21" fillId="0" borderId="8" xfId="0" applyFont="1" applyFill="1" applyBorder="1" applyAlignment="1">
      <alignment horizontal="center" vertical="center" wrapText="1"/>
    </xf>
    <xf numFmtId="0" fontId="21" fillId="0" borderId="9" xfId="0" applyFont="1" applyFill="1" applyBorder="1" applyAlignment="1">
      <alignment horizontal="center" vertical="center" wrapText="1"/>
    </xf>
    <xf numFmtId="0" fontId="0" fillId="0" borderId="7" xfId="0" applyBorder="1" applyAlignment="1">
      <alignment horizontal="center" vertical="center"/>
    </xf>
    <xf numFmtId="0" fontId="0" fillId="0" borderId="8" xfId="0" applyBorder="1" applyAlignment="1">
      <alignment horizontal="center" vertical="center"/>
    </xf>
    <xf numFmtId="0" fontId="0" fillId="0" borderId="53" xfId="0" applyBorder="1" applyAlignment="1">
      <alignment horizontal="center" vertical="center"/>
    </xf>
    <xf numFmtId="0" fontId="1" fillId="0" borderId="37" xfId="0" applyFont="1" applyBorder="1" applyAlignment="1">
      <alignment horizontal="center" vertical="center"/>
    </xf>
    <xf numFmtId="0" fontId="1" fillId="0" borderId="40" xfId="0" applyFont="1" applyBorder="1" applyAlignment="1">
      <alignment horizontal="center" vertical="center"/>
    </xf>
    <xf numFmtId="0" fontId="1" fillId="0" borderId="41" xfId="0" applyFont="1" applyBorder="1" applyAlignment="1">
      <alignment horizontal="center" vertical="center"/>
    </xf>
    <xf numFmtId="0" fontId="2" fillId="5" borderId="39" xfId="0" applyFont="1" applyFill="1" applyBorder="1" applyAlignment="1">
      <alignment horizontal="center" vertical="center" wrapText="1"/>
    </xf>
    <xf numFmtId="0" fontId="2" fillId="5" borderId="41" xfId="0" applyFont="1" applyFill="1" applyBorder="1" applyAlignment="1">
      <alignment horizontal="center" vertical="center" wrapText="1"/>
    </xf>
    <xf numFmtId="0" fontId="2" fillId="4" borderId="28" xfId="0" applyFont="1" applyFill="1" applyBorder="1" applyAlignment="1">
      <alignment horizontal="center" vertical="center" wrapText="1"/>
    </xf>
    <xf numFmtId="0" fontId="2" fillId="4" borderId="29" xfId="0" applyFont="1" applyFill="1" applyBorder="1" applyAlignment="1">
      <alignment horizontal="center" vertical="center" wrapText="1"/>
    </xf>
    <xf numFmtId="0" fontId="2" fillId="4" borderId="30" xfId="0" applyFont="1" applyFill="1" applyBorder="1" applyAlignment="1">
      <alignment horizontal="center" vertical="center" wrapText="1"/>
    </xf>
    <xf numFmtId="0" fontId="36" fillId="4" borderId="28" xfId="0" applyFont="1" applyFill="1" applyBorder="1" applyAlignment="1">
      <alignment horizontal="center" vertical="center"/>
    </xf>
    <xf numFmtId="0" fontId="36" fillId="4" borderId="29" xfId="0" applyFont="1" applyFill="1" applyBorder="1" applyAlignment="1">
      <alignment horizontal="center" vertical="center"/>
    </xf>
    <xf numFmtId="0" fontId="36" fillId="4" borderId="30" xfId="0" applyFont="1" applyFill="1" applyBorder="1" applyAlignment="1">
      <alignment horizontal="center" vertical="center"/>
    </xf>
    <xf numFmtId="0" fontId="0" fillId="0" borderId="24" xfId="0" applyBorder="1" applyAlignment="1">
      <alignment horizontal="center"/>
    </xf>
    <xf numFmtId="0" fontId="9" fillId="5" borderId="39" xfId="0" applyFont="1" applyFill="1" applyBorder="1" applyAlignment="1">
      <alignment horizontal="center" vertical="center" wrapText="1"/>
    </xf>
    <xf numFmtId="0" fontId="9" fillId="5" borderId="40" xfId="0" applyFont="1" applyFill="1" applyBorder="1" applyAlignment="1">
      <alignment horizontal="center" vertical="center" wrapText="1"/>
    </xf>
    <xf numFmtId="0" fontId="9" fillId="5" borderId="41" xfId="0" applyFont="1" applyFill="1" applyBorder="1" applyAlignment="1">
      <alignment horizontal="center" vertical="center" wrapText="1"/>
    </xf>
    <xf numFmtId="0" fontId="2" fillId="5" borderId="11" xfId="0" applyFont="1" applyFill="1" applyBorder="1" applyAlignment="1">
      <alignment horizontal="center" vertical="center" wrapText="1"/>
    </xf>
    <xf numFmtId="0" fontId="2" fillId="5" borderId="12" xfId="0" applyFont="1" applyFill="1" applyBorder="1" applyAlignment="1">
      <alignment horizontal="center" vertical="center" wrapText="1"/>
    </xf>
    <xf numFmtId="0" fontId="2" fillId="5" borderId="13" xfId="0" applyFont="1" applyFill="1" applyBorder="1" applyAlignment="1">
      <alignment horizontal="center" vertical="center" wrapText="1"/>
    </xf>
    <xf numFmtId="0" fontId="2" fillId="5" borderId="37" xfId="0" applyFont="1" applyFill="1" applyBorder="1" applyAlignment="1">
      <alignment horizontal="center" vertical="center" wrapText="1"/>
    </xf>
    <xf numFmtId="0" fontId="2" fillId="5" borderId="40" xfId="0" applyFont="1" applyFill="1" applyBorder="1" applyAlignment="1">
      <alignment horizontal="center" vertical="center" wrapText="1"/>
    </xf>
    <xf numFmtId="167" fontId="8" fillId="0" borderId="36" xfId="0" applyNumberFormat="1" applyFont="1" applyBorder="1" applyAlignment="1">
      <alignment horizontal="center"/>
    </xf>
    <xf numFmtId="167" fontId="8" fillId="0" borderId="58" xfId="0" applyNumberFormat="1" applyFont="1" applyBorder="1" applyAlignment="1">
      <alignment horizontal="center"/>
    </xf>
    <xf numFmtId="167" fontId="8" fillId="0" borderId="60" xfId="0" applyNumberFormat="1" applyFont="1" applyBorder="1" applyAlignment="1">
      <alignment horizontal="center"/>
    </xf>
    <xf numFmtId="0" fontId="36" fillId="5" borderId="28" xfId="0" applyFont="1" applyFill="1" applyBorder="1" applyAlignment="1">
      <alignment horizontal="center" vertical="center"/>
    </xf>
    <xf numFmtId="0" fontId="36" fillId="5" borderId="29" xfId="0" applyFont="1" applyFill="1" applyBorder="1" applyAlignment="1">
      <alignment horizontal="center" vertical="center"/>
    </xf>
    <xf numFmtId="0" fontId="36" fillId="5" borderId="30" xfId="0" applyFont="1" applyFill="1" applyBorder="1" applyAlignment="1">
      <alignment horizontal="center" vertical="center"/>
    </xf>
    <xf numFmtId="6" fontId="21" fillId="0" borderId="7" xfId="0" applyNumberFormat="1" applyFont="1" applyFill="1" applyBorder="1" applyAlignment="1">
      <alignment horizontal="center" vertical="center" wrapText="1"/>
    </xf>
    <xf numFmtId="6" fontId="21" fillId="0" borderId="8" xfId="0" applyNumberFormat="1" applyFont="1" applyFill="1" applyBorder="1" applyAlignment="1">
      <alignment horizontal="center" vertical="center" wrapText="1"/>
    </xf>
    <xf numFmtId="6" fontId="21" fillId="0" borderId="9" xfId="0" applyNumberFormat="1" applyFont="1" applyFill="1" applyBorder="1" applyAlignment="1">
      <alignment horizontal="center" vertical="center" wrapText="1"/>
    </xf>
    <xf numFmtId="167" fontId="8" fillId="0" borderId="8" xfId="0" applyNumberFormat="1" applyFont="1" applyBorder="1" applyAlignment="1">
      <alignment horizontal="center" vertical="center"/>
    </xf>
    <xf numFmtId="164" fontId="0" fillId="0" borderId="0" xfId="0" applyNumberFormat="1" applyBorder="1" applyAlignment="1">
      <alignment horizontal="center"/>
    </xf>
    <xf numFmtId="0" fontId="21" fillId="0" borderId="51" xfId="0" applyFont="1" applyFill="1" applyBorder="1" applyAlignment="1">
      <alignment horizontal="center" vertical="center"/>
    </xf>
    <xf numFmtId="0" fontId="21" fillId="0" borderId="52" xfId="0" applyFont="1" applyFill="1" applyBorder="1" applyAlignment="1">
      <alignment horizontal="center" vertical="center"/>
    </xf>
    <xf numFmtId="0" fontId="21" fillId="0" borderId="27" xfId="0" applyFont="1" applyFill="1" applyBorder="1" applyAlignment="1">
      <alignment horizontal="center" vertical="center"/>
    </xf>
    <xf numFmtId="168" fontId="0" fillId="0" borderId="0" xfId="0" applyNumberFormat="1" applyBorder="1" applyAlignment="1">
      <alignment horizontal="center"/>
    </xf>
    <xf numFmtId="2" fontId="0" fillId="0" borderId="0" xfId="0" applyNumberFormat="1" applyBorder="1" applyAlignment="1">
      <alignment horizontal="center"/>
    </xf>
    <xf numFmtId="167" fontId="0" fillId="0" borderId="0" xfId="0" applyNumberFormat="1" applyBorder="1" applyAlignment="1">
      <alignment horizontal="center"/>
    </xf>
    <xf numFmtId="3" fontId="0" fillId="0" borderId="0" xfId="0" applyNumberFormat="1" applyFill="1" applyBorder="1" applyAlignment="1">
      <alignment horizontal="center" vertical="center"/>
    </xf>
    <xf numFmtId="2" fontId="0" fillId="0" borderId="0" xfId="0" applyNumberFormat="1" applyFill="1" applyBorder="1" applyAlignment="1">
      <alignment horizontal="center"/>
    </xf>
    <xf numFmtId="168" fontId="0" fillId="0" borderId="10" xfId="0" applyNumberFormat="1" applyBorder="1" applyAlignment="1">
      <alignment horizontal="center" vertical="center"/>
    </xf>
    <xf numFmtId="0" fontId="1" fillId="0" borderId="39" xfId="0" applyFont="1" applyBorder="1" applyAlignment="1">
      <alignment horizontal="center" vertical="center"/>
    </xf>
    <xf numFmtId="0" fontId="2" fillId="0" borderId="0" xfId="0" applyFont="1" applyFill="1" applyBorder="1" applyAlignment="1">
      <alignment horizontal="center" vertical="center"/>
    </xf>
    <xf numFmtId="0" fontId="0" fillId="0" borderId="38" xfId="0" applyBorder="1" applyAlignment="1">
      <alignment horizontal="center" vertical="center"/>
    </xf>
    <xf numFmtId="0" fontId="1" fillId="0" borderId="43" xfId="0" applyFont="1" applyBorder="1" applyAlignment="1">
      <alignment horizontal="center" vertical="center"/>
    </xf>
    <xf numFmtId="0" fontId="1" fillId="0" borderId="52" xfId="0" applyFont="1" applyBorder="1" applyAlignment="1">
      <alignment horizontal="center" vertical="center"/>
    </xf>
    <xf numFmtId="0" fontId="1" fillId="0" borderId="27" xfId="0" applyFont="1" applyBorder="1" applyAlignment="1">
      <alignment horizontal="center" vertical="center"/>
    </xf>
    <xf numFmtId="0" fontId="1" fillId="0" borderId="42" xfId="0" applyFont="1" applyBorder="1" applyAlignment="1">
      <alignment horizontal="center" vertical="center"/>
    </xf>
    <xf numFmtId="5" fontId="8" fillId="0" borderId="7" xfId="0" applyNumberFormat="1" applyFont="1" applyBorder="1" applyAlignment="1">
      <alignment horizontal="center" vertical="center"/>
    </xf>
    <xf numFmtId="0" fontId="2" fillId="0" borderId="0" xfId="0" applyFont="1" applyFill="1" applyBorder="1" applyAlignment="1">
      <alignment horizontal="center" vertical="center" wrapText="1"/>
    </xf>
    <xf numFmtId="0" fontId="1" fillId="0" borderId="42" xfId="0" applyFont="1" applyBorder="1" applyAlignment="1">
      <alignment horizontal="center" vertical="center" wrapText="1"/>
    </xf>
    <xf numFmtId="0" fontId="1" fillId="0" borderId="8" xfId="0" applyFont="1" applyBorder="1" applyAlignment="1">
      <alignment horizontal="center" vertical="center" wrapText="1"/>
    </xf>
    <xf numFmtId="0" fontId="1" fillId="0" borderId="9" xfId="0" applyFont="1" applyBorder="1" applyAlignment="1">
      <alignment horizontal="center" vertical="center" wrapText="1"/>
    </xf>
    <xf numFmtId="0" fontId="1" fillId="0" borderId="44" xfId="0" applyFont="1" applyFill="1" applyBorder="1" applyAlignment="1">
      <alignment horizontal="center" vertical="center" wrapText="1"/>
    </xf>
    <xf numFmtId="0" fontId="1" fillId="0" borderId="55" xfId="0" applyFont="1" applyFill="1" applyBorder="1" applyAlignment="1">
      <alignment horizontal="center" vertical="center" wrapText="1"/>
    </xf>
    <xf numFmtId="0" fontId="1" fillId="0" borderId="38" xfId="0" applyFont="1" applyFill="1" applyBorder="1" applyAlignment="1">
      <alignment horizontal="center" vertical="center" wrapText="1"/>
    </xf>
    <xf numFmtId="8" fontId="21" fillId="0" borderId="7" xfId="0" applyNumberFormat="1" applyFont="1" applyFill="1" applyBorder="1" applyAlignment="1">
      <alignment horizontal="center" vertical="center" wrapText="1"/>
    </xf>
    <xf numFmtId="8" fontId="21" fillId="0" borderId="8" xfId="0" applyNumberFormat="1" applyFont="1" applyFill="1" applyBorder="1" applyAlignment="1">
      <alignment horizontal="center" vertical="center" wrapText="1"/>
    </xf>
    <xf numFmtId="8" fontId="21" fillId="0" borderId="9" xfId="0" applyNumberFormat="1" applyFont="1" applyFill="1" applyBorder="1" applyAlignment="1">
      <alignment horizontal="center" vertical="center" wrapText="1"/>
    </xf>
    <xf numFmtId="0" fontId="36" fillId="5" borderId="28" xfId="0" applyFont="1" applyFill="1" applyBorder="1" applyAlignment="1">
      <alignment horizontal="center" vertical="center" wrapText="1"/>
    </xf>
    <xf numFmtId="0" fontId="36" fillId="5" borderId="29" xfId="0" applyFont="1" applyFill="1" applyBorder="1" applyAlignment="1">
      <alignment horizontal="center" vertical="center" wrapText="1"/>
    </xf>
    <xf numFmtId="0" fontId="36" fillId="5" borderId="30" xfId="0" applyFont="1" applyFill="1" applyBorder="1" applyAlignment="1">
      <alignment horizontal="center" vertical="center" wrapText="1"/>
    </xf>
    <xf numFmtId="0" fontId="0" fillId="0" borderId="56" xfId="0" applyBorder="1" applyAlignment="1">
      <alignment horizontal="center" vertical="center"/>
    </xf>
    <xf numFmtId="0" fontId="0" fillId="0" borderId="27" xfId="0" applyBorder="1" applyAlignment="1">
      <alignment horizontal="center" vertical="center"/>
    </xf>
    <xf numFmtId="0" fontId="22" fillId="0" borderId="67" xfId="0" applyFont="1" applyFill="1" applyBorder="1" applyAlignment="1">
      <alignment horizontal="center" vertical="center" wrapText="1"/>
    </xf>
    <xf numFmtId="0" fontId="22" fillId="0" borderId="69" xfId="0" applyFont="1" applyFill="1" applyBorder="1" applyAlignment="1">
      <alignment horizontal="center" vertical="center" wrapText="1"/>
    </xf>
    <xf numFmtId="0" fontId="22" fillId="0" borderId="71" xfId="0" applyFont="1" applyFill="1" applyBorder="1" applyAlignment="1">
      <alignment horizontal="center" vertical="center" wrapText="1"/>
    </xf>
    <xf numFmtId="0" fontId="1" fillId="5" borderId="28" xfId="0" applyFont="1" applyFill="1" applyBorder="1" applyAlignment="1">
      <alignment horizontal="center" vertical="center" wrapText="1"/>
    </xf>
    <xf numFmtId="0" fontId="1" fillId="5" borderId="29" xfId="0" applyFont="1" applyFill="1" applyBorder="1" applyAlignment="1">
      <alignment horizontal="center" vertical="center" wrapText="1"/>
    </xf>
    <xf numFmtId="0" fontId="1" fillId="5" borderId="30" xfId="0" applyFont="1" applyFill="1" applyBorder="1" applyAlignment="1">
      <alignment horizontal="center" vertical="center" wrapText="1"/>
    </xf>
    <xf numFmtId="2" fontId="0" fillId="0" borderId="1" xfId="0" applyNumberFormat="1" applyBorder="1" applyAlignment="1">
      <alignment horizontal="center" vertical="center"/>
    </xf>
    <xf numFmtId="5" fontId="0" fillId="0" borderId="57" xfId="0" applyNumberFormat="1" applyBorder="1" applyAlignment="1">
      <alignment horizontal="center" vertical="center"/>
    </xf>
    <xf numFmtId="5" fontId="0" fillId="0" borderId="55" xfId="0" applyNumberFormat="1" applyBorder="1" applyAlignment="1">
      <alignment horizontal="center" vertical="center"/>
    </xf>
    <xf numFmtId="5" fontId="0" fillId="0" borderId="56" xfId="0" applyNumberFormat="1" applyBorder="1" applyAlignment="1">
      <alignment horizontal="center" vertical="center"/>
    </xf>
    <xf numFmtId="0" fontId="9" fillId="0" borderId="0" xfId="0" applyFont="1" applyFill="1" applyBorder="1" applyAlignment="1">
      <alignment horizontal="center" wrapText="1"/>
    </xf>
    <xf numFmtId="0" fontId="9" fillId="0" borderId="0" xfId="0" applyFont="1" applyFill="1" applyBorder="1" applyAlignment="1">
      <alignment horizontal="center"/>
    </xf>
    <xf numFmtId="0" fontId="1" fillId="0" borderId="12" xfId="0" applyFont="1" applyBorder="1" applyAlignment="1">
      <alignment horizontal="center" vertical="center"/>
    </xf>
    <xf numFmtId="0" fontId="0" fillId="0" borderId="14" xfId="0" applyBorder="1" applyAlignment="1">
      <alignment horizontal="center" vertical="center"/>
    </xf>
    <xf numFmtId="0" fontId="0" fillId="0" borderId="15" xfId="0" applyBorder="1" applyAlignment="1">
      <alignment horizontal="center" vertical="center"/>
    </xf>
    <xf numFmtId="0" fontId="2" fillId="5" borderId="43" xfId="0" applyFont="1" applyFill="1" applyBorder="1" applyAlignment="1">
      <alignment horizontal="center" vertical="center"/>
    </xf>
    <xf numFmtId="0" fontId="2" fillId="5" borderId="42" xfId="0" applyFont="1" applyFill="1" applyBorder="1" applyAlignment="1">
      <alignment horizontal="center" vertical="center"/>
    </xf>
    <xf numFmtId="0" fontId="2" fillId="5" borderId="44" xfId="0" applyFont="1" applyFill="1" applyBorder="1" applyAlignment="1">
      <alignment horizontal="center" vertical="center"/>
    </xf>
    <xf numFmtId="0" fontId="9" fillId="4" borderId="39" xfId="0" applyFont="1" applyFill="1" applyBorder="1" applyAlignment="1">
      <alignment horizontal="center" vertical="center" wrapText="1"/>
    </xf>
    <xf numFmtId="0" fontId="9" fillId="4" borderId="40"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2" fillId="5" borderId="11" xfId="0" applyFont="1" applyFill="1" applyBorder="1" applyAlignment="1">
      <alignment horizontal="center" vertical="center"/>
    </xf>
    <xf numFmtId="0" fontId="2" fillId="5" borderId="12" xfId="0" applyFont="1" applyFill="1" applyBorder="1" applyAlignment="1">
      <alignment horizontal="center" vertical="center"/>
    </xf>
    <xf numFmtId="0" fontId="2" fillId="5" borderId="13" xfId="0" applyFont="1" applyFill="1" applyBorder="1" applyAlignment="1">
      <alignment horizontal="center" vertical="center"/>
    </xf>
    <xf numFmtId="0" fontId="2" fillId="0" borderId="0" xfId="0" applyFont="1" applyBorder="1" applyAlignment="1">
      <alignment horizontal="center" vertical="center"/>
    </xf>
    <xf numFmtId="0" fontId="9" fillId="4" borderId="11" xfId="0" applyFont="1" applyFill="1" applyBorder="1" applyAlignment="1">
      <alignment horizontal="center" vertical="center" wrapText="1"/>
    </xf>
    <xf numFmtId="0" fontId="9" fillId="4" borderId="12" xfId="0" applyFont="1" applyFill="1" applyBorder="1" applyAlignment="1">
      <alignment horizontal="center" vertical="center" wrapText="1"/>
    </xf>
    <xf numFmtId="0" fontId="9" fillId="4" borderId="13" xfId="0" applyFont="1" applyFill="1" applyBorder="1" applyAlignment="1">
      <alignment horizontal="center" vertical="center" wrapText="1"/>
    </xf>
    <xf numFmtId="0" fontId="9" fillId="4" borderId="15" xfId="0" applyFont="1" applyFill="1" applyBorder="1" applyAlignment="1">
      <alignment horizontal="center" vertical="center" wrapText="1"/>
    </xf>
    <xf numFmtId="0" fontId="9" fillId="4" borderId="16" xfId="0" applyFont="1" applyFill="1" applyBorder="1" applyAlignment="1">
      <alignment horizontal="center" vertical="center" wrapText="1"/>
    </xf>
    <xf numFmtId="0" fontId="9" fillId="4" borderId="17" xfId="0" applyFont="1" applyFill="1" applyBorder="1" applyAlignment="1">
      <alignment horizontal="center" vertical="center" wrapText="1"/>
    </xf>
    <xf numFmtId="3" fontId="0" fillId="0" borderId="1" xfId="0" applyNumberFormat="1" applyBorder="1" applyAlignment="1">
      <alignment horizontal="center" vertical="center"/>
    </xf>
    <xf numFmtId="6" fontId="2" fillId="4" borderId="28" xfId="0" applyNumberFormat="1" applyFont="1" applyFill="1" applyBorder="1" applyAlignment="1">
      <alignment horizontal="center" vertical="center" wrapText="1"/>
    </xf>
    <xf numFmtId="6" fontId="2" fillId="4" borderId="29" xfId="0" applyNumberFormat="1" applyFont="1" applyFill="1" applyBorder="1" applyAlignment="1">
      <alignment horizontal="center" vertical="center" wrapText="1"/>
    </xf>
    <xf numFmtId="6" fontId="2" fillId="4" borderId="30" xfId="0" applyNumberFormat="1" applyFont="1" applyFill="1" applyBorder="1" applyAlignment="1">
      <alignment horizontal="center" vertical="center" wrapText="1"/>
    </xf>
    <xf numFmtId="168" fontId="0" fillId="0" borderId="1" xfId="0" applyNumberFormat="1" applyBorder="1" applyAlignment="1">
      <alignment horizontal="center" vertical="center"/>
    </xf>
    <xf numFmtId="168" fontId="0" fillId="0" borderId="16" xfId="0" applyNumberFormat="1" applyBorder="1" applyAlignment="1">
      <alignment horizontal="center" vertical="center"/>
    </xf>
    <xf numFmtId="0" fontId="9" fillId="19" borderId="25" xfId="0" applyFont="1" applyFill="1" applyBorder="1" applyAlignment="1">
      <alignment horizontal="center" vertical="center" wrapText="1"/>
    </xf>
    <xf numFmtId="0" fontId="9" fillId="19" borderId="18" xfId="0" applyFont="1" applyFill="1" applyBorder="1" applyAlignment="1">
      <alignment horizontal="center" vertical="center" wrapText="1"/>
    </xf>
    <xf numFmtId="0" fontId="9" fillId="19" borderId="19" xfId="0" applyFont="1" applyFill="1" applyBorder="1" applyAlignment="1">
      <alignment horizontal="center" vertical="center" wrapText="1"/>
    </xf>
    <xf numFmtId="0" fontId="9" fillId="19" borderId="21" xfId="0" applyFont="1" applyFill="1" applyBorder="1" applyAlignment="1">
      <alignment horizontal="center" vertical="center" wrapText="1"/>
    </xf>
    <xf numFmtId="0" fontId="9" fillId="19" borderId="22" xfId="0" applyFont="1" applyFill="1" applyBorder="1" applyAlignment="1">
      <alignment horizontal="center" vertical="center" wrapText="1"/>
    </xf>
    <xf numFmtId="0" fontId="9" fillId="19" borderId="23" xfId="0" applyFont="1" applyFill="1" applyBorder="1" applyAlignment="1">
      <alignment horizontal="center" vertical="center" wrapText="1"/>
    </xf>
    <xf numFmtId="0" fontId="4" fillId="19" borderId="28" xfId="0" applyFont="1" applyFill="1" applyBorder="1" applyAlignment="1">
      <alignment horizontal="center" vertical="center"/>
    </xf>
    <xf numFmtId="0" fontId="4" fillId="19" borderId="29" xfId="0" applyFont="1" applyFill="1" applyBorder="1" applyAlignment="1">
      <alignment horizontal="center" vertical="center"/>
    </xf>
    <xf numFmtId="0" fontId="4" fillId="19" borderId="30" xfId="0" applyFont="1" applyFill="1" applyBorder="1" applyAlignment="1">
      <alignment horizontal="center" vertical="center"/>
    </xf>
    <xf numFmtId="167" fontId="0" fillId="0" borderId="12" xfId="0" applyNumberFormat="1" applyFont="1" applyBorder="1" applyAlignment="1">
      <alignment horizontal="center" vertical="center"/>
    </xf>
    <xf numFmtId="167" fontId="0" fillId="0" borderId="1" xfId="0" applyNumberFormat="1" applyFont="1" applyBorder="1" applyAlignment="1">
      <alignment horizontal="center" vertical="center"/>
    </xf>
    <xf numFmtId="0" fontId="0" fillId="0" borderId="13" xfId="0" applyFont="1" applyBorder="1" applyAlignment="1">
      <alignment horizontal="center" vertical="center"/>
    </xf>
    <xf numFmtId="0" fontId="0" fillId="0" borderId="10" xfId="0" applyFont="1" applyBorder="1" applyAlignment="1">
      <alignment horizontal="center" vertical="center"/>
    </xf>
    <xf numFmtId="167" fontId="0" fillId="0" borderId="16" xfId="0" applyNumberFormat="1" applyFont="1" applyBorder="1" applyAlignment="1">
      <alignment horizontal="center" vertical="center"/>
    </xf>
    <xf numFmtId="0" fontId="0" fillId="0" borderId="17" xfId="0" applyFont="1" applyBorder="1" applyAlignment="1">
      <alignment horizontal="center" vertical="center"/>
    </xf>
    <xf numFmtId="167" fontId="0" fillId="0" borderId="7" xfId="0" applyNumberFormat="1" applyFont="1" applyBorder="1" applyAlignment="1">
      <alignment horizontal="center" vertical="center"/>
    </xf>
    <xf numFmtId="167" fontId="0" fillId="0" borderId="8" xfId="0" applyNumberFormat="1" applyFont="1" applyBorder="1" applyAlignment="1">
      <alignment horizontal="center" vertical="center"/>
    </xf>
    <xf numFmtId="0" fontId="0" fillId="0" borderId="57" xfId="0" applyFont="1" applyBorder="1" applyAlignment="1">
      <alignment horizontal="center" vertical="center"/>
    </xf>
    <xf numFmtId="0" fontId="0" fillId="0" borderId="51" xfId="0" applyFont="1" applyBorder="1" applyAlignment="1">
      <alignment horizontal="center" vertical="center"/>
    </xf>
    <xf numFmtId="0" fontId="0" fillId="0" borderId="54" xfId="0" applyFont="1" applyBorder="1" applyAlignment="1">
      <alignment horizontal="center" vertical="center"/>
    </xf>
    <xf numFmtId="5" fontId="0" fillId="0" borderId="7" xfId="0" applyNumberFormat="1" applyFont="1" applyBorder="1" applyAlignment="1">
      <alignment horizontal="center" vertical="center"/>
    </xf>
    <xf numFmtId="5" fontId="0" fillId="0" borderId="53" xfId="0" applyNumberFormat="1" applyFont="1" applyBorder="1" applyAlignment="1">
      <alignment horizontal="center" vertical="center"/>
    </xf>
    <xf numFmtId="0" fontId="0" fillId="0" borderId="56" xfId="0" applyFont="1" applyBorder="1" applyAlignment="1">
      <alignment horizontal="center" vertical="center"/>
    </xf>
    <xf numFmtId="167" fontId="0" fillId="0" borderId="42" xfId="0" applyNumberFormat="1" applyFont="1" applyBorder="1" applyAlignment="1">
      <alignment horizontal="center" vertical="center"/>
    </xf>
    <xf numFmtId="167" fontId="0" fillId="0" borderId="9" xfId="0" applyNumberFormat="1" applyFont="1" applyBorder="1" applyAlignment="1">
      <alignment horizontal="center" vertical="center"/>
    </xf>
    <xf numFmtId="0" fontId="0" fillId="0" borderId="27" xfId="0" applyFont="1" applyBorder="1" applyAlignment="1">
      <alignment horizontal="center" vertical="center"/>
    </xf>
    <xf numFmtId="0" fontId="0" fillId="0" borderId="38" xfId="0" applyFont="1" applyBorder="1" applyAlignment="1">
      <alignment horizontal="center" vertical="center"/>
    </xf>
    <xf numFmtId="0" fontId="2" fillId="19" borderId="28" xfId="0" applyFont="1" applyFill="1" applyBorder="1" applyAlignment="1">
      <alignment horizontal="center" vertical="center"/>
    </xf>
    <xf numFmtId="0" fontId="2" fillId="19" borderId="30" xfId="0" applyFont="1" applyFill="1" applyBorder="1" applyAlignment="1">
      <alignment horizontal="center" vertical="center"/>
    </xf>
    <xf numFmtId="0" fontId="9" fillId="19" borderId="28" xfId="0" applyFont="1" applyFill="1" applyBorder="1" applyAlignment="1">
      <alignment horizontal="center" vertical="center"/>
    </xf>
    <xf numFmtId="0" fontId="9" fillId="19" borderId="29" xfId="0" applyFont="1" applyFill="1" applyBorder="1" applyAlignment="1">
      <alignment horizontal="center" vertical="center"/>
    </xf>
    <xf numFmtId="0" fontId="9" fillId="19" borderId="30" xfId="0" applyFont="1" applyFill="1" applyBorder="1" applyAlignment="1">
      <alignment horizontal="center" vertical="center"/>
    </xf>
    <xf numFmtId="0" fontId="2" fillId="19" borderId="25" xfId="0" applyFont="1" applyFill="1" applyBorder="1" applyAlignment="1">
      <alignment horizontal="center" vertical="center" wrapText="1"/>
    </xf>
    <xf numFmtId="0" fontId="2" fillId="19" borderId="18" xfId="0" applyFont="1" applyFill="1" applyBorder="1" applyAlignment="1">
      <alignment horizontal="center" vertical="center" wrapText="1"/>
    </xf>
    <xf numFmtId="0" fontId="2" fillId="19" borderId="19" xfId="0" applyFont="1" applyFill="1" applyBorder="1" applyAlignment="1">
      <alignment horizontal="center" vertical="center" wrapText="1"/>
    </xf>
    <xf numFmtId="3" fontId="5" fillId="0" borderId="1" xfId="0" applyNumberFormat="1" applyFont="1" applyBorder="1" applyAlignment="1">
      <alignment horizontal="center" vertical="center" wrapText="1"/>
    </xf>
    <xf numFmtId="3" fontId="5" fillId="0" borderId="16" xfId="0" applyNumberFormat="1" applyFont="1" applyBorder="1" applyAlignment="1">
      <alignment horizontal="center" vertical="center" wrapText="1"/>
    </xf>
    <xf numFmtId="0" fontId="9" fillId="17" borderId="28" xfId="0" applyFont="1" applyFill="1" applyBorder="1" applyAlignment="1">
      <alignment horizontal="center" vertical="center" wrapText="1"/>
    </xf>
    <xf numFmtId="0" fontId="9" fillId="17" borderId="29" xfId="0" applyFont="1" applyFill="1" applyBorder="1" applyAlignment="1">
      <alignment horizontal="center" vertical="center" wrapText="1"/>
    </xf>
    <xf numFmtId="0" fontId="9" fillId="17" borderId="30" xfId="0" applyFont="1" applyFill="1" applyBorder="1" applyAlignment="1">
      <alignment horizontal="center" vertical="center" wrapText="1"/>
    </xf>
    <xf numFmtId="167" fontId="0" fillId="0" borderId="12" xfId="0" applyNumberFormat="1" applyBorder="1" applyAlignment="1">
      <alignment horizontal="center" vertical="center"/>
    </xf>
    <xf numFmtId="167" fontId="0" fillId="0" borderId="1" xfId="0" applyNumberFormat="1" applyBorder="1" applyAlignment="1">
      <alignment horizontal="center" vertical="center"/>
    </xf>
    <xf numFmtId="167" fontId="0" fillId="0" borderId="16" xfId="0" applyNumberFormat="1" applyBorder="1" applyAlignment="1">
      <alignment horizontal="center" vertical="center"/>
    </xf>
    <xf numFmtId="0" fontId="9" fillId="17" borderId="28" xfId="0" applyFont="1" applyFill="1" applyBorder="1" applyAlignment="1">
      <alignment horizontal="center" vertical="center"/>
    </xf>
    <xf numFmtId="0" fontId="9" fillId="17" borderId="29" xfId="0" applyFont="1" applyFill="1" applyBorder="1" applyAlignment="1">
      <alignment horizontal="center" vertical="center"/>
    </xf>
    <xf numFmtId="0" fontId="9" fillId="17" borderId="30" xfId="0" applyFont="1" applyFill="1" applyBorder="1" applyAlignment="1">
      <alignment horizontal="center" vertical="center"/>
    </xf>
    <xf numFmtId="0" fontId="4" fillId="17" borderId="28" xfId="0" applyFont="1" applyFill="1" applyBorder="1" applyAlignment="1">
      <alignment horizontal="center" vertical="center"/>
    </xf>
    <xf numFmtId="0" fontId="4" fillId="17" borderId="30" xfId="0" applyFont="1" applyFill="1" applyBorder="1" applyAlignment="1">
      <alignment horizontal="center" vertical="center"/>
    </xf>
    <xf numFmtId="37" fontId="0" fillId="0" borderId="12" xfId="0" applyNumberFormat="1" applyBorder="1" applyAlignment="1">
      <alignment horizontal="center"/>
    </xf>
    <xf numFmtId="37" fontId="0" fillId="0" borderId="1" xfId="0" applyNumberFormat="1" applyBorder="1" applyAlignment="1">
      <alignment horizontal="center"/>
    </xf>
    <xf numFmtId="37" fontId="0" fillId="0" borderId="16" xfId="0" applyNumberFormat="1" applyBorder="1" applyAlignment="1">
      <alignment horizontal="center"/>
    </xf>
    <xf numFmtId="37" fontId="0" fillId="0" borderId="9" xfId="0" applyNumberFormat="1" applyBorder="1" applyAlignment="1">
      <alignment horizontal="center"/>
    </xf>
    <xf numFmtId="37" fontId="0" fillId="0" borderId="7" xfId="0" applyNumberFormat="1" applyBorder="1" applyAlignment="1">
      <alignment horizontal="center"/>
    </xf>
    <xf numFmtId="37" fontId="0" fillId="0" borderId="9" xfId="0" applyNumberFormat="1" applyBorder="1" applyAlignment="1">
      <alignment horizontal="center" vertical="center"/>
    </xf>
    <xf numFmtId="0" fontId="0" fillId="0" borderId="43" xfId="0" applyBorder="1" applyAlignment="1">
      <alignment horizontal="center" vertical="center"/>
    </xf>
    <xf numFmtId="0" fontId="0" fillId="0" borderId="52" xfId="0" applyBorder="1" applyAlignment="1">
      <alignment horizontal="center" vertical="center"/>
    </xf>
    <xf numFmtId="0" fontId="56" fillId="7" borderId="25" xfId="0" applyFont="1" applyFill="1" applyBorder="1" applyAlignment="1">
      <alignment horizontal="center" vertical="center" wrapText="1"/>
    </xf>
    <xf numFmtId="0" fontId="56" fillId="7" borderId="18" xfId="0" applyFont="1" applyFill="1" applyBorder="1" applyAlignment="1">
      <alignment horizontal="center" vertical="center" wrapText="1"/>
    </xf>
    <xf numFmtId="0" fontId="56" fillId="7" borderId="19" xfId="0" applyFont="1" applyFill="1" applyBorder="1" applyAlignment="1">
      <alignment horizontal="center" vertical="center" wrapText="1"/>
    </xf>
    <xf numFmtId="0" fontId="56" fillId="7" borderId="21" xfId="0" applyFont="1" applyFill="1" applyBorder="1" applyAlignment="1">
      <alignment horizontal="center" vertical="center" wrapText="1"/>
    </xf>
    <xf numFmtId="0" fontId="56" fillId="7" borderId="22" xfId="0" applyFont="1" applyFill="1" applyBorder="1" applyAlignment="1">
      <alignment horizontal="center" vertical="center" wrapText="1"/>
    </xf>
    <xf numFmtId="0" fontId="56" fillId="7" borderId="23" xfId="0" applyFont="1" applyFill="1" applyBorder="1" applyAlignment="1">
      <alignment horizontal="center" vertical="center" wrapText="1"/>
    </xf>
    <xf numFmtId="0" fontId="0" fillId="0" borderId="25" xfId="0" applyBorder="1" applyAlignment="1">
      <alignment horizontal="center" vertical="center"/>
    </xf>
    <xf numFmtId="0" fontId="0" fillId="0" borderId="24" xfId="0" applyBorder="1" applyAlignment="1">
      <alignment horizontal="center" vertical="center"/>
    </xf>
    <xf numFmtId="0" fontId="0" fillId="0" borderId="21" xfId="0" applyBorder="1" applyAlignment="1">
      <alignment horizontal="center" vertical="center"/>
    </xf>
    <xf numFmtId="0" fontId="0" fillId="0" borderId="67" xfId="0" applyBorder="1" applyAlignment="1">
      <alignment horizontal="center" vertical="center"/>
    </xf>
    <xf numFmtId="0" fontId="0" fillId="0" borderId="69" xfId="0" applyBorder="1" applyAlignment="1">
      <alignment horizontal="center" vertical="center"/>
    </xf>
    <xf numFmtId="0" fontId="0" fillId="0" borderId="77" xfId="0" applyBorder="1" applyAlignment="1">
      <alignment horizontal="center" vertical="center"/>
    </xf>
    <xf numFmtId="0" fontId="2" fillId="5" borderId="28" xfId="0" applyFont="1" applyFill="1" applyBorder="1" applyAlignment="1">
      <alignment horizontal="center" vertical="center" wrapText="1"/>
    </xf>
    <xf numFmtId="0" fontId="2" fillId="5" borderId="29" xfId="0" applyFont="1" applyFill="1" applyBorder="1" applyAlignment="1">
      <alignment horizontal="center" vertical="center" wrapText="1"/>
    </xf>
    <xf numFmtId="0" fontId="2" fillId="5" borderId="30" xfId="0" applyFont="1" applyFill="1" applyBorder="1" applyAlignment="1">
      <alignment horizontal="center" vertical="center" wrapText="1"/>
    </xf>
    <xf numFmtId="5" fontId="8" fillId="0" borderId="13" xfId="0" applyNumberFormat="1" applyFont="1" applyBorder="1" applyAlignment="1">
      <alignment horizontal="center" vertical="center"/>
    </xf>
    <xf numFmtId="5" fontId="8" fillId="0" borderId="10" xfId="0" applyNumberFormat="1" applyFont="1" applyBorder="1" applyAlignment="1">
      <alignment horizontal="center" vertical="center"/>
    </xf>
    <xf numFmtId="5" fontId="8" fillId="0" borderId="57" xfId="0" applyNumberFormat="1" applyFont="1" applyBorder="1" applyAlignment="1">
      <alignment horizontal="center" vertical="center"/>
    </xf>
    <xf numFmtId="5" fontId="8" fillId="0" borderId="17" xfId="0" applyNumberFormat="1" applyFont="1" applyBorder="1" applyAlignment="1">
      <alignment horizontal="center" vertical="center"/>
    </xf>
    <xf numFmtId="0" fontId="8" fillId="0" borderId="43" xfId="0" applyFont="1" applyBorder="1" applyAlignment="1">
      <alignment horizontal="center" vertical="center"/>
    </xf>
    <xf numFmtId="0" fontId="8" fillId="0" borderId="43" xfId="0" applyFont="1" applyFill="1" applyBorder="1" applyAlignment="1">
      <alignment horizontal="center" vertical="center"/>
    </xf>
    <xf numFmtId="0" fontId="8" fillId="0" borderId="52" xfId="0" applyFont="1" applyFill="1" applyBorder="1" applyAlignment="1">
      <alignment horizontal="center" vertical="center"/>
    </xf>
    <xf numFmtId="0" fontId="8" fillId="0" borderId="54" xfId="0" applyFont="1" applyFill="1" applyBorder="1" applyAlignment="1">
      <alignment horizontal="center" vertical="center"/>
    </xf>
    <xf numFmtId="5" fontId="8" fillId="0" borderId="38" xfId="0" applyNumberFormat="1" applyFont="1" applyBorder="1" applyAlignment="1">
      <alignment horizontal="center" vertical="center"/>
    </xf>
    <xf numFmtId="0" fontId="1" fillId="0" borderId="72" xfId="0" applyFont="1" applyBorder="1" applyAlignment="1">
      <alignment horizontal="center" vertical="center" wrapText="1"/>
    </xf>
    <xf numFmtId="0" fontId="1" fillId="0" borderId="73" xfId="0" applyFont="1" applyBorder="1" applyAlignment="1">
      <alignment horizontal="center" vertical="center"/>
    </xf>
    <xf numFmtId="0" fontId="1" fillId="0" borderId="73" xfId="0" applyFont="1" applyBorder="1" applyAlignment="1">
      <alignment horizontal="center" vertical="center" wrapText="1"/>
    </xf>
    <xf numFmtId="0" fontId="1" fillId="0" borderId="11" xfId="0" applyFont="1" applyBorder="1" applyAlignment="1">
      <alignment horizontal="center" vertical="center" wrapText="1"/>
    </xf>
    <xf numFmtId="0" fontId="1" fillId="0" borderId="13" xfId="0" applyFont="1" applyBorder="1" applyAlignment="1">
      <alignment horizontal="center" vertical="center"/>
    </xf>
    <xf numFmtId="0" fontId="1" fillId="0" borderId="25" xfId="0" applyFont="1" applyBorder="1" applyAlignment="1">
      <alignment horizontal="center" vertical="center"/>
    </xf>
    <xf numFmtId="0" fontId="1" fillId="0" borderId="18" xfId="0" applyFont="1" applyBorder="1" applyAlignment="1">
      <alignment horizontal="center" vertical="center"/>
    </xf>
    <xf numFmtId="0" fontId="1" fillId="0" borderId="19" xfId="0" applyFont="1" applyBorder="1" applyAlignment="1">
      <alignment horizontal="center" vertical="center"/>
    </xf>
    <xf numFmtId="0" fontId="2" fillId="19" borderId="28" xfId="0" applyFont="1" applyFill="1" applyBorder="1" applyAlignment="1">
      <alignment horizontal="center" vertical="center" wrapText="1"/>
    </xf>
    <xf numFmtId="0" fontId="2" fillId="19" borderId="29" xfId="0" applyFont="1" applyFill="1" applyBorder="1" applyAlignment="1">
      <alignment horizontal="center" vertical="center" wrapText="1"/>
    </xf>
    <xf numFmtId="0" fontId="2" fillId="19" borderId="30" xfId="0" applyFont="1" applyFill="1" applyBorder="1" applyAlignment="1">
      <alignment horizontal="center" vertical="center" wrapText="1"/>
    </xf>
    <xf numFmtId="0" fontId="8" fillId="0" borderId="11" xfId="0" applyFont="1" applyBorder="1" applyAlignment="1">
      <alignment horizontal="center" vertical="center"/>
    </xf>
    <xf numFmtId="0" fontId="8" fillId="0" borderId="14" xfId="0" applyFont="1" applyBorder="1" applyAlignment="1">
      <alignment horizontal="center" vertical="center"/>
    </xf>
    <xf numFmtId="0" fontId="8" fillId="0" borderId="15" xfId="0" applyFont="1" applyBorder="1" applyAlignment="1">
      <alignment horizontal="center" vertical="center"/>
    </xf>
    <xf numFmtId="0" fontId="1" fillId="0" borderId="71" xfId="0" applyFont="1" applyBorder="1" applyAlignment="1">
      <alignment horizontal="center" vertical="center" wrapText="1"/>
    </xf>
    <xf numFmtId="0" fontId="2" fillId="17" borderId="28" xfId="0" applyFont="1" applyFill="1" applyBorder="1" applyAlignment="1">
      <alignment horizontal="center" vertical="center"/>
    </xf>
    <xf numFmtId="0" fontId="2" fillId="17" borderId="29" xfId="0" applyFont="1" applyFill="1" applyBorder="1" applyAlignment="1">
      <alignment horizontal="center" vertical="center"/>
    </xf>
    <xf numFmtId="0" fontId="2" fillId="17" borderId="30" xfId="0" applyFont="1" applyFill="1" applyBorder="1" applyAlignment="1">
      <alignment horizontal="center" vertical="center"/>
    </xf>
    <xf numFmtId="0" fontId="2" fillId="17" borderId="18" xfId="0" applyFont="1" applyFill="1" applyBorder="1" applyAlignment="1">
      <alignment horizontal="center" vertical="center"/>
    </xf>
    <xf numFmtId="0" fontId="2" fillId="17" borderId="19" xfId="0" applyFont="1" applyFill="1" applyBorder="1" applyAlignment="1">
      <alignment horizontal="center" vertical="center"/>
    </xf>
    <xf numFmtId="0" fontId="2" fillId="17" borderId="28" xfId="0" applyFont="1" applyFill="1" applyBorder="1" applyAlignment="1">
      <alignment horizontal="center" vertical="center" wrapText="1"/>
    </xf>
    <xf numFmtId="0" fontId="2" fillId="17" borderId="29" xfId="0" applyFont="1" applyFill="1" applyBorder="1" applyAlignment="1">
      <alignment horizontal="center" vertical="center" wrapText="1"/>
    </xf>
    <xf numFmtId="0" fontId="2" fillId="17" borderId="30" xfId="0" applyFont="1" applyFill="1" applyBorder="1" applyAlignment="1">
      <alignment horizontal="center" vertical="center" wrapText="1"/>
    </xf>
    <xf numFmtId="40" fontId="1" fillId="5" borderId="28" xfId="0" applyNumberFormat="1" applyFont="1" applyFill="1" applyBorder="1" applyAlignment="1">
      <alignment horizontal="center" vertical="center"/>
    </xf>
    <xf numFmtId="40" fontId="1" fillId="5" borderId="29" xfId="0" applyNumberFormat="1" applyFont="1" applyFill="1" applyBorder="1" applyAlignment="1">
      <alignment horizontal="center" vertical="center"/>
    </xf>
    <xf numFmtId="40" fontId="1" fillId="5" borderId="30" xfId="0" applyNumberFormat="1" applyFont="1" applyFill="1" applyBorder="1" applyAlignment="1">
      <alignment horizontal="center" vertical="center"/>
    </xf>
    <xf numFmtId="0" fontId="1" fillId="0" borderId="28" xfId="0" applyFont="1" applyBorder="1" applyAlignment="1">
      <alignment horizontal="center"/>
    </xf>
    <xf numFmtId="0" fontId="1" fillId="0" borderId="48" xfId="0" applyFont="1" applyBorder="1" applyAlignment="1">
      <alignment horizontal="center"/>
    </xf>
    <xf numFmtId="0" fontId="0" fillId="0" borderId="43" xfId="0" applyFont="1" applyFill="1" applyBorder="1" applyAlignment="1">
      <alignment horizontal="center" vertical="center"/>
    </xf>
    <xf numFmtId="0" fontId="0" fillId="0" borderId="52" xfId="0" applyFont="1" applyFill="1" applyBorder="1" applyAlignment="1">
      <alignment horizontal="center" vertical="center"/>
    </xf>
    <xf numFmtId="0" fontId="0" fillId="0" borderId="54" xfId="0" applyFont="1" applyFill="1" applyBorder="1" applyAlignment="1">
      <alignment horizontal="center" vertical="center"/>
    </xf>
    <xf numFmtId="5" fontId="0" fillId="0" borderId="13" xfId="0" applyNumberFormat="1" applyFont="1" applyBorder="1" applyAlignment="1">
      <alignment horizontal="center" vertical="center"/>
    </xf>
    <xf numFmtId="5" fontId="0" fillId="0" borderId="10" xfId="0" applyNumberFormat="1" applyFont="1" applyBorder="1" applyAlignment="1">
      <alignment horizontal="center" vertical="center"/>
    </xf>
    <xf numFmtId="5" fontId="0" fillId="0" borderId="17" xfId="0" applyNumberFormat="1" applyFont="1" applyBorder="1" applyAlignment="1">
      <alignment horizontal="center" vertical="center"/>
    </xf>
    <xf numFmtId="0" fontId="1" fillId="0" borderId="78" xfId="0" applyFont="1" applyFill="1" applyBorder="1" applyAlignment="1">
      <alignment horizontal="center" vertical="center" wrapText="1"/>
    </xf>
    <xf numFmtId="0" fontId="1" fillId="0" borderId="71" xfId="0" applyFont="1" applyFill="1" applyBorder="1" applyAlignment="1">
      <alignment horizontal="center" vertical="center" wrapText="1"/>
    </xf>
    <xf numFmtId="0" fontId="1" fillId="0" borderId="28" xfId="0" applyFont="1" applyFill="1" applyBorder="1" applyAlignment="1">
      <alignment horizontal="center" vertical="center" wrapText="1"/>
    </xf>
    <xf numFmtId="0" fontId="1" fillId="0" borderId="29" xfId="0" applyFont="1" applyFill="1" applyBorder="1" applyAlignment="1">
      <alignment horizontal="center" vertical="center" wrapText="1"/>
    </xf>
    <xf numFmtId="0" fontId="1" fillId="0" borderId="30" xfId="0" applyFont="1" applyFill="1" applyBorder="1" applyAlignment="1">
      <alignment horizontal="center" vertical="center" wrapText="1"/>
    </xf>
    <xf numFmtId="0" fontId="0" fillId="0" borderId="43" xfId="0" applyFont="1" applyBorder="1" applyAlignment="1">
      <alignment horizontal="center" vertical="center"/>
    </xf>
    <xf numFmtId="0" fontId="0" fillId="0" borderId="52" xfId="0" applyFont="1" applyBorder="1" applyAlignment="1">
      <alignment horizontal="center" vertical="center"/>
    </xf>
    <xf numFmtId="0" fontId="1" fillId="5" borderId="45" xfId="0" applyFont="1" applyFill="1" applyBorder="1" applyAlignment="1">
      <alignment horizontal="center" vertical="center" wrapText="1"/>
    </xf>
    <xf numFmtId="0" fontId="1" fillId="5" borderId="46" xfId="0" applyFont="1" applyFill="1" applyBorder="1" applyAlignment="1">
      <alignment horizontal="center" vertical="center"/>
    </xf>
    <xf numFmtId="0" fontId="1" fillId="5" borderId="47" xfId="0" applyFont="1" applyFill="1" applyBorder="1" applyAlignment="1">
      <alignment horizontal="center" vertical="center"/>
    </xf>
    <xf numFmtId="0" fontId="1" fillId="5" borderId="25" xfId="0" applyFont="1" applyFill="1" applyBorder="1" applyAlignment="1">
      <alignment horizontal="center" vertical="center" wrapText="1"/>
    </xf>
    <xf numFmtId="0" fontId="1" fillId="5" borderId="64" xfId="0" applyFont="1" applyFill="1" applyBorder="1" applyAlignment="1">
      <alignment horizontal="center" vertical="center" wrapText="1"/>
    </xf>
    <xf numFmtId="0" fontId="10" fillId="0" borderId="0" xfId="1" applyFont="1" applyFill="1" applyBorder="1" applyAlignment="1">
      <alignment horizontal="center" vertical="center"/>
    </xf>
    <xf numFmtId="0" fontId="1" fillId="5" borderId="28" xfId="0" applyFont="1" applyFill="1" applyBorder="1" applyAlignment="1">
      <alignment horizontal="center" wrapText="1"/>
    </xf>
    <xf numFmtId="0" fontId="1" fillId="5" borderId="29" xfId="0" applyFont="1" applyFill="1" applyBorder="1" applyAlignment="1">
      <alignment horizontal="center"/>
    </xf>
    <xf numFmtId="0" fontId="1" fillId="5" borderId="30" xfId="0" applyFont="1" applyFill="1" applyBorder="1" applyAlignment="1">
      <alignment horizontal="center"/>
    </xf>
    <xf numFmtId="0" fontId="1" fillId="5" borderId="21" xfId="0" applyFont="1" applyFill="1" applyBorder="1" applyAlignment="1">
      <alignment horizontal="center" vertical="center" wrapText="1"/>
    </xf>
    <xf numFmtId="0" fontId="1" fillId="5" borderId="23" xfId="0" applyFont="1" applyFill="1" applyBorder="1" applyAlignment="1">
      <alignment horizontal="center" vertical="center" wrapText="1"/>
    </xf>
    <xf numFmtId="168" fontId="0" fillId="0" borderId="1" xfId="0" applyNumberFormat="1" applyFont="1" applyBorder="1" applyAlignment="1">
      <alignment horizontal="center" vertical="center"/>
    </xf>
    <xf numFmtId="168" fontId="0" fillId="0" borderId="16" xfId="0" applyNumberFormat="1" applyFont="1" applyBorder="1" applyAlignment="1">
      <alignment horizontal="center" vertical="center"/>
    </xf>
    <xf numFmtId="0" fontId="1" fillId="5" borderId="18" xfId="0" applyFont="1" applyFill="1" applyBorder="1" applyAlignment="1">
      <alignment horizontal="center" vertical="center" wrapText="1"/>
    </xf>
    <xf numFmtId="0" fontId="1" fillId="5" borderId="19" xfId="0" applyFont="1" applyFill="1" applyBorder="1" applyAlignment="1">
      <alignment horizontal="center" vertical="center" wrapText="1"/>
    </xf>
    <xf numFmtId="0" fontId="1" fillId="5" borderId="46" xfId="0" applyFont="1" applyFill="1" applyBorder="1" applyAlignment="1">
      <alignment horizontal="center" vertical="center" wrapText="1"/>
    </xf>
    <xf numFmtId="0" fontId="1" fillId="5" borderId="47" xfId="0" applyFont="1" applyFill="1" applyBorder="1" applyAlignment="1">
      <alignment horizontal="center" vertical="center" wrapText="1"/>
    </xf>
    <xf numFmtId="0" fontId="1" fillId="5" borderId="39" xfId="0" applyFont="1" applyFill="1" applyBorder="1" applyAlignment="1">
      <alignment horizontal="center" vertical="center"/>
    </xf>
    <xf numFmtId="0" fontId="1" fillId="5" borderId="49" xfId="0" applyFont="1" applyFill="1" applyBorder="1" applyAlignment="1">
      <alignment horizontal="center" vertical="center"/>
    </xf>
    <xf numFmtId="0" fontId="0" fillId="0" borderId="27" xfId="0" applyFont="1" applyFill="1" applyBorder="1" applyAlignment="1">
      <alignment horizontal="center" vertical="center"/>
    </xf>
    <xf numFmtId="0" fontId="0" fillId="0" borderId="14" xfId="0" applyFont="1" applyFill="1" applyBorder="1" applyAlignment="1">
      <alignment horizontal="center" vertical="center"/>
    </xf>
    <xf numFmtId="0" fontId="0" fillId="0" borderId="51" xfId="0" applyFont="1" applyFill="1" applyBorder="1" applyAlignment="1">
      <alignment horizontal="center" vertical="center"/>
    </xf>
    <xf numFmtId="5" fontId="0" fillId="0" borderId="38" xfId="0" applyNumberFormat="1" applyFont="1" applyBorder="1" applyAlignment="1">
      <alignment horizontal="center" vertical="center"/>
    </xf>
    <xf numFmtId="5" fontId="0" fillId="0" borderId="57" xfId="0" applyNumberFormat="1" applyFont="1" applyBorder="1" applyAlignment="1">
      <alignment horizontal="center" vertical="center"/>
    </xf>
    <xf numFmtId="0" fontId="0" fillId="0" borderId="11" xfId="0" applyFont="1" applyFill="1" applyBorder="1" applyAlignment="1">
      <alignment horizontal="center" vertical="center"/>
    </xf>
    <xf numFmtId="0" fontId="0" fillId="0" borderId="15" xfId="0" applyFont="1" applyFill="1" applyBorder="1" applyAlignment="1">
      <alignment horizontal="center" vertical="center"/>
    </xf>
    <xf numFmtId="0" fontId="1" fillId="4" borderId="28" xfId="0" applyFont="1" applyFill="1" applyBorder="1" applyAlignment="1">
      <alignment horizontal="center" vertical="center" wrapText="1"/>
    </xf>
    <xf numFmtId="0" fontId="1" fillId="4" borderId="29" xfId="0" applyFont="1" applyFill="1" applyBorder="1" applyAlignment="1">
      <alignment horizontal="center" vertical="center" wrapText="1"/>
    </xf>
    <xf numFmtId="0" fontId="1" fillId="4" borderId="30" xfId="0" applyFont="1" applyFill="1" applyBorder="1" applyAlignment="1">
      <alignment horizontal="center" vertical="center" wrapText="1"/>
    </xf>
    <xf numFmtId="0" fontId="1" fillId="5" borderId="39" xfId="0" applyFont="1" applyFill="1" applyBorder="1" applyAlignment="1">
      <alignment horizontal="center" vertical="center" wrapText="1"/>
    </xf>
    <xf numFmtId="0" fontId="1" fillId="5" borderId="62" xfId="0" applyFont="1" applyFill="1" applyBorder="1" applyAlignment="1">
      <alignment horizontal="center" vertical="center" wrapText="1"/>
    </xf>
    <xf numFmtId="0" fontId="1" fillId="7" borderId="39" xfId="0" applyFont="1" applyFill="1" applyBorder="1" applyAlignment="1">
      <alignment horizontal="center" vertical="center"/>
    </xf>
    <xf numFmtId="0" fontId="1" fillId="7" borderId="40" xfId="0" applyFont="1" applyFill="1" applyBorder="1" applyAlignment="1">
      <alignment horizontal="center" vertical="center"/>
    </xf>
    <xf numFmtId="0" fontId="1" fillId="7" borderId="41" xfId="0" applyFont="1" applyFill="1" applyBorder="1" applyAlignment="1">
      <alignment horizontal="center" vertical="center"/>
    </xf>
    <xf numFmtId="1" fontId="0" fillId="0" borderId="8" xfId="0" applyNumberFormat="1" applyFont="1" applyBorder="1" applyAlignment="1">
      <alignment horizontal="center" vertical="center"/>
    </xf>
    <xf numFmtId="1" fontId="0" fillId="0" borderId="53" xfId="0" applyNumberFormat="1" applyFont="1" applyBorder="1" applyAlignment="1">
      <alignment horizontal="center" vertical="center"/>
    </xf>
    <xf numFmtId="11" fontId="0" fillId="0" borderId="57" xfId="0" applyNumberFormat="1" applyFont="1" applyBorder="1" applyAlignment="1">
      <alignment horizontal="center" vertical="center" wrapText="1"/>
    </xf>
    <xf numFmtId="11" fontId="0" fillId="0" borderId="56" xfId="0" applyNumberFormat="1" applyFont="1" applyBorder="1" applyAlignment="1">
      <alignment horizontal="center" vertical="center" wrapText="1"/>
    </xf>
    <xf numFmtId="0" fontId="1" fillId="5" borderId="40" xfId="0" applyFont="1" applyFill="1" applyBorder="1" applyAlignment="1">
      <alignment horizontal="center" vertical="center" wrapText="1"/>
    </xf>
    <xf numFmtId="0" fontId="1" fillId="5" borderId="41" xfId="0" applyFont="1" applyFill="1" applyBorder="1" applyAlignment="1">
      <alignment horizontal="center" vertical="center" wrapText="1"/>
    </xf>
    <xf numFmtId="0" fontId="1" fillId="0" borderId="12" xfId="0" applyFont="1" applyFill="1" applyBorder="1" applyAlignment="1">
      <alignment horizontal="center" vertical="center" wrapText="1"/>
    </xf>
    <xf numFmtId="40" fontId="1" fillId="19" borderId="28" xfId="0" applyNumberFormat="1" applyFont="1" applyFill="1" applyBorder="1" applyAlignment="1">
      <alignment horizontal="center" vertical="center"/>
    </xf>
    <xf numFmtId="40" fontId="1" fillId="19" borderId="29" xfId="0" applyNumberFormat="1" applyFont="1" applyFill="1" applyBorder="1" applyAlignment="1">
      <alignment horizontal="center" vertical="center"/>
    </xf>
    <xf numFmtId="40" fontId="1" fillId="19" borderId="30" xfId="0" applyNumberFormat="1" applyFont="1" applyFill="1" applyBorder="1" applyAlignment="1">
      <alignment horizontal="center" vertical="center"/>
    </xf>
    <xf numFmtId="0" fontId="1" fillId="0" borderId="11" xfId="0" applyFont="1" applyFill="1" applyBorder="1" applyAlignment="1">
      <alignment horizontal="center" vertical="center" wrapText="1"/>
    </xf>
    <xf numFmtId="0" fontId="1" fillId="0" borderId="14" xfId="0" applyFont="1" applyFill="1" applyBorder="1" applyAlignment="1">
      <alignment horizontal="center" vertical="center" wrapText="1"/>
    </xf>
    <xf numFmtId="0" fontId="1" fillId="0" borderId="12" xfId="0" applyFont="1" applyFill="1" applyBorder="1" applyAlignment="1">
      <alignment horizontal="center" vertical="center"/>
    </xf>
    <xf numFmtId="0" fontId="1" fillId="16" borderId="45" xfId="0" applyFont="1" applyFill="1" applyBorder="1" applyAlignment="1">
      <alignment horizontal="center" vertical="center"/>
    </xf>
    <xf numFmtId="0" fontId="1" fillId="16" borderId="46" xfId="0" applyFont="1" applyFill="1" applyBorder="1" applyAlignment="1">
      <alignment horizontal="center" vertical="center"/>
    </xf>
    <xf numFmtId="0" fontId="1" fillId="16" borderId="47" xfId="0" applyFont="1" applyFill="1" applyBorder="1" applyAlignment="1">
      <alignment horizontal="center" vertical="center"/>
    </xf>
    <xf numFmtId="0" fontId="1" fillId="19" borderId="28" xfId="0" applyFont="1" applyFill="1" applyBorder="1" applyAlignment="1">
      <alignment horizontal="center" vertical="center" wrapText="1"/>
    </xf>
    <xf numFmtId="0" fontId="1" fillId="19" borderId="29" xfId="0" applyFont="1" applyFill="1" applyBorder="1" applyAlignment="1">
      <alignment horizontal="center" vertical="center" wrapText="1"/>
    </xf>
    <xf numFmtId="0" fontId="1" fillId="19" borderId="30" xfId="0" applyFont="1" applyFill="1" applyBorder="1" applyAlignment="1">
      <alignment horizontal="center" vertical="center" wrapText="1"/>
    </xf>
    <xf numFmtId="0" fontId="1" fillId="5" borderId="28" xfId="0" applyFont="1" applyFill="1" applyBorder="1" applyAlignment="1">
      <alignment horizontal="center"/>
    </xf>
    <xf numFmtId="3" fontId="1" fillId="0" borderId="0" xfId="0" applyNumberFormat="1" applyFont="1" applyFill="1" applyBorder="1" applyAlignment="1">
      <alignment horizontal="center" vertical="center"/>
    </xf>
    <xf numFmtId="1" fontId="1" fillId="0" borderId="0" xfId="0" applyNumberFormat="1" applyFont="1" applyFill="1" applyBorder="1" applyAlignment="1">
      <alignment horizontal="center" vertical="center"/>
    </xf>
    <xf numFmtId="0" fontId="1" fillId="5" borderId="45" xfId="0" applyFont="1" applyFill="1" applyBorder="1" applyAlignment="1">
      <alignment horizontal="center"/>
    </xf>
    <xf numFmtId="0" fontId="1" fillId="5" borderId="46" xfId="0" applyFont="1" applyFill="1" applyBorder="1" applyAlignment="1">
      <alignment horizontal="center"/>
    </xf>
    <xf numFmtId="0" fontId="1" fillId="5" borderId="47" xfId="0" applyFont="1" applyFill="1" applyBorder="1" applyAlignment="1">
      <alignment horizontal="center"/>
    </xf>
    <xf numFmtId="0" fontId="1" fillId="18" borderId="28" xfId="0" applyFont="1" applyFill="1" applyBorder="1" applyAlignment="1">
      <alignment horizontal="center" vertical="center"/>
    </xf>
    <xf numFmtId="0" fontId="1" fillId="18" borderId="29" xfId="0" applyFont="1" applyFill="1" applyBorder="1" applyAlignment="1">
      <alignment horizontal="center" vertical="center"/>
    </xf>
    <xf numFmtId="0" fontId="1" fillId="18" borderId="30" xfId="0" applyFont="1" applyFill="1" applyBorder="1" applyAlignment="1">
      <alignment horizontal="center" vertical="center"/>
    </xf>
    <xf numFmtId="0" fontId="1" fillId="0" borderId="29" xfId="0" applyFont="1" applyFill="1" applyBorder="1" applyAlignment="1">
      <alignment horizontal="center" vertical="center"/>
    </xf>
    <xf numFmtId="0" fontId="1" fillId="0" borderId="30" xfId="0" applyFont="1" applyFill="1" applyBorder="1" applyAlignment="1">
      <alignment horizontal="center" vertical="center"/>
    </xf>
    <xf numFmtId="0" fontId="1" fillId="7" borderId="49" xfId="0" applyFont="1" applyFill="1" applyBorder="1" applyAlignment="1">
      <alignment horizontal="center" vertical="center"/>
    </xf>
    <xf numFmtId="0" fontId="1" fillId="7" borderId="4" xfId="0" applyFont="1" applyFill="1" applyBorder="1" applyAlignment="1">
      <alignment horizontal="center" vertical="center"/>
    </xf>
    <xf numFmtId="0" fontId="1" fillId="7" borderId="50" xfId="0" applyFont="1" applyFill="1" applyBorder="1" applyAlignment="1">
      <alignment horizontal="center" vertical="center"/>
    </xf>
    <xf numFmtId="0" fontId="1" fillId="0" borderId="3" xfId="0" applyFont="1" applyBorder="1" applyAlignment="1">
      <alignment horizontal="center" vertical="center"/>
    </xf>
    <xf numFmtId="0" fontId="1" fillId="0" borderId="4" xfId="0" applyFont="1" applyBorder="1" applyAlignment="1">
      <alignment horizontal="center" vertical="center"/>
    </xf>
    <xf numFmtId="0" fontId="1" fillId="0" borderId="50" xfId="0" applyFont="1" applyBorder="1" applyAlignment="1">
      <alignment horizontal="center" vertical="center"/>
    </xf>
    <xf numFmtId="0" fontId="1" fillId="5" borderId="40" xfId="0" applyFont="1" applyFill="1" applyBorder="1" applyAlignment="1">
      <alignment horizontal="center" vertical="center"/>
    </xf>
    <xf numFmtId="0" fontId="1" fillId="5" borderId="41" xfId="0" applyFont="1" applyFill="1" applyBorder="1" applyAlignment="1">
      <alignment horizontal="center" vertical="center"/>
    </xf>
    <xf numFmtId="0" fontId="58" fillId="0" borderId="36" xfId="1" applyFont="1" applyFill="1" applyBorder="1" applyAlignment="1">
      <alignment horizontal="center" vertical="center"/>
    </xf>
    <xf numFmtId="0" fontId="58" fillId="0" borderId="58" xfId="1" applyFont="1" applyFill="1" applyBorder="1" applyAlignment="1">
      <alignment horizontal="center" vertical="center"/>
    </xf>
    <xf numFmtId="0" fontId="58" fillId="0" borderId="60" xfId="1" applyFont="1" applyFill="1" applyBorder="1" applyAlignment="1">
      <alignment horizontal="center" vertical="center"/>
    </xf>
    <xf numFmtId="0" fontId="58" fillId="0" borderId="3" xfId="1" applyFont="1" applyFill="1" applyBorder="1" applyAlignment="1">
      <alignment horizontal="center" vertical="center"/>
    </xf>
    <xf numFmtId="0" fontId="58" fillId="0" borderId="4" xfId="1" applyFont="1" applyFill="1" applyBorder="1" applyAlignment="1">
      <alignment horizontal="center" vertical="center"/>
    </xf>
    <xf numFmtId="0" fontId="58" fillId="0" borderId="50" xfId="1" applyFont="1" applyFill="1" applyBorder="1" applyAlignment="1">
      <alignment horizontal="center" vertical="center"/>
    </xf>
    <xf numFmtId="0" fontId="1" fillId="0" borderId="40" xfId="0" applyFont="1" applyFill="1" applyBorder="1" applyAlignment="1">
      <alignment horizontal="center" vertical="center" wrapText="1"/>
    </xf>
    <xf numFmtId="0" fontId="1" fillId="0" borderId="41" xfId="0" applyFont="1" applyFill="1" applyBorder="1" applyAlignment="1">
      <alignment horizontal="center" vertical="center" wrapText="1"/>
    </xf>
    <xf numFmtId="0" fontId="0" fillId="0" borderId="14" xfId="0" applyFont="1" applyBorder="1" applyAlignment="1">
      <alignment horizontal="center" vertical="center"/>
    </xf>
    <xf numFmtId="0" fontId="0" fillId="0" borderId="15" xfId="0" applyFont="1" applyBorder="1" applyAlignment="1">
      <alignment horizontal="center" vertical="center"/>
    </xf>
    <xf numFmtId="0" fontId="1" fillId="0" borderId="38" xfId="0" applyFont="1" applyBorder="1" applyAlignment="1">
      <alignment horizontal="center" vertical="center" wrapText="1"/>
    </xf>
    <xf numFmtId="11" fontId="0" fillId="0" borderId="14" xfId="0" applyNumberFormat="1" applyFont="1" applyBorder="1" applyAlignment="1">
      <alignment horizontal="center" vertical="center"/>
    </xf>
    <xf numFmtId="11" fontId="0" fillId="0" borderId="15" xfId="0" applyNumberFormat="1" applyFont="1" applyBorder="1" applyAlignment="1">
      <alignment horizontal="center" vertical="center"/>
    </xf>
    <xf numFmtId="11" fontId="0" fillId="0" borderId="1" xfId="0" applyNumberFormat="1" applyFont="1" applyBorder="1" applyAlignment="1">
      <alignment horizontal="center" vertical="center"/>
    </xf>
    <xf numFmtId="11" fontId="0" fillId="0" borderId="16" xfId="0" applyNumberFormat="1" applyFont="1" applyBorder="1" applyAlignment="1">
      <alignment horizontal="center" vertical="center"/>
    </xf>
    <xf numFmtId="11" fontId="0" fillId="0" borderId="1" xfId="0" applyNumberFormat="1" applyFont="1" applyBorder="1" applyAlignment="1">
      <alignment horizontal="center" vertical="center" wrapText="1"/>
    </xf>
    <xf numFmtId="11" fontId="0" fillId="0" borderId="16" xfId="0" applyNumberFormat="1" applyFont="1" applyBorder="1" applyAlignment="1">
      <alignment horizontal="center" vertical="center" wrapText="1"/>
    </xf>
    <xf numFmtId="0" fontId="1" fillId="19" borderId="25" xfId="0" applyFont="1" applyFill="1" applyBorder="1" applyAlignment="1">
      <alignment horizontal="center" vertical="center" wrapText="1"/>
    </xf>
    <xf numFmtId="0" fontId="1" fillId="19" borderId="18" xfId="0" applyFont="1" applyFill="1" applyBorder="1" applyAlignment="1">
      <alignment horizontal="center" vertical="center" wrapText="1"/>
    </xf>
    <xf numFmtId="0" fontId="1" fillId="19" borderId="19" xfId="0" applyFont="1" applyFill="1" applyBorder="1" applyAlignment="1">
      <alignment horizontal="center" vertical="center" wrapText="1"/>
    </xf>
    <xf numFmtId="0" fontId="1" fillId="19" borderId="11" xfId="0" applyFont="1" applyFill="1" applyBorder="1" applyAlignment="1">
      <alignment horizontal="center" vertical="center"/>
    </xf>
    <xf numFmtId="0" fontId="1" fillId="19" borderId="12" xfId="0" applyFont="1" applyFill="1" applyBorder="1" applyAlignment="1">
      <alignment horizontal="center" vertical="center"/>
    </xf>
    <xf numFmtId="0" fontId="1" fillId="19" borderId="13" xfId="0" applyFont="1" applyFill="1" applyBorder="1" applyAlignment="1">
      <alignment horizontal="center" vertical="center"/>
    </xf>
    <xf numFmtId="0" fontId="1" fillId="0" borderId="1" xfId="0" applyFont="1" applyFill="1" applyBorder="1" applyAlignment="1">
      <alignment horizontal="center" vertical="center" wrapText="1"/>
    </xf>
    <xf numFmtId="0" fontId="1" fillId="0" borderId="10" xfId="0" applyFont="1" applyFill="1" applyBorder="1" applyAlignment="1">
      <alignment horizontal="center" vertical="center" wrapText="1"/>
    </xf>
    <xf numFmtId="1" fontId="0" fillId="0" borderId="12" xfId="0" applyNumberFormat="1" applyFont="1" applyBorder="1" applyAlignment="1">
      <alignment horizontal="center" vertical="center"/>
    </xf>
    <xf numFmtId="1" fontId="0" fillId="0" borderId="16" xfId="0" applyNumberFormat="1" applyFont="1" applyBorder="1" applyAlignment="1">
      <alignment horizontal="center" vertical="center"/>
    </xf>
    <xf numFmtId="0" fontId="1" fillId="5" borderId="25" xfId="0" applyFont="1" applyFill="1" applyBorder="1" applyAlignment="1">
      <alignment horizontal="center" vertical="center"/>
    </xf>
    <xf numFmtId="0" fontId="1" fillId="5" borderId="18" xfId="0" applyFont="1" applyFill="1" applyBorder="1" applyAlignment="1">
      <alignment horizontal="center" vertical="center"/>
    </xf>
    <xf numFmtId="0" fontId="1" fillId="5" borderId="19" xfId="0" applyFont="1" applyFill="1" applyBorder="1" applyAlignment="1">
      <alignment horizontal="center" vertical="center"/>
    </xf>
    <xf numFmtId="0" fontId="1" fillId="5" borderId="21" xfId="0" applyFont="1" applyFill="1" applyBorder="1" applyAlignment="1">
      <alignment horizontal="center" vertical="center"/>
    </xf>
    <xf numFmtId="0" fontId="1" fillId="5" borderId="22" xfId="0" applyFont="1" applyFill="1" applyBorder="1" applyAlignment="1">
      <alignment horizontal="center" vertical="center"/>
    </xf>
    <xf numFmtId="0" fontId="1" fillId="5" borderId="23" xfId="0" applyFont="1" applyFill="1" applyBorder="1" applyAlignment="1">
      <alignment horizontal="center" vertical="center"/>
    </xf>
    <xf numFmtId="0" fontId="1" fillId="0" borderId="54" xfId="0" applyFont="1" applyFill="1" applyBorder="1" applyAlignment="1">
      <alignment horizontal="center" vertical="center"/>
    </xf>
    <xf numFmtId="0" fontId="1" fillId="0" borderId="56" xfId="0" applyFont="1" applyFill="1" applyBorder="1" applyAlignment="1">
      <alignment horizontal="center" vertical="center"/>
    </xf>
    <xf numFmtId="0" fontId="1" fillId="0" borderId="54" xfId="0" applyFont="1" applyFill="1" applyBorder="1" applyAlignment="1">
      <alignment horizontal="center" vertical="center" wrapText="1"/>
    </xf>
    <xf numFmtId="0" fontId="53" fillId="0" borderId="54" xfId="0" applyFont="1" applyFill="1" applyBorder="1" applyAlignment="1">
      <alignment horizontal="center" vertical="center" wrapText="1"/>
    </xf>
    <xf numFmtId="0" fontId="1" fillId="0" borderId="78" xfId="0" applyFont="1" applyFill="1" applyBorder="1" applyAlignment="1">
      <alignment horizontal="center" vertical="center"/>
    </xf>
    <xf numFmtId="0" fontId="1" fillId="0" borderId="77" xfId="0" applyFont="1" applyFill="1" applyBorder="1" applyAlignment="1">
      <alignment horizontal="center" vertical="center"/>
    </xf>
    <xf numFmtId="0" fontId="1" fillId="19" borderId="25" xfId="0" applyFont="1" applyFill="1" applyBorder="1" applyAlignment="1">
      <alignment horizontal="center" vertical="center"/>
    </xf>
    <xf numFmtId="0" fontId="1" fillId="19" borderId="18" xfId="0" applyFont="1" applyFill="1" applyBorder="1" applyAlignment="1">
      <alignment horizontal="center" vertical="center"/>
    </xf>
    <xf numFmtId="0" fontId="1" fillId="19" borderId="19" xfId="0" applyFont="1" applyFill="1" applyBorder="1" applyAlignment="1">
      <alignment horizontal="center" vertical="center"/>
    </xf>
    <xf numFmtId="0" fontId="1" fillId="19" borderId="21" xfId="0" applyFont="1" applyFill="1" applyBorder="1" applyAlignment="1">
      <alignment horizontal="center" vertical="center"/>
    </xf>
    <xf numFmtId="0" fontId="1" fillId="19" borderId="22" xfId="0" applyFont="1" applyFill="1" applyBorder="1" applyAlignment="1">
      <alignment horizontal="center" vertical="center"/>
    </xf>
    <xf numFmtId="0" fontId="1" fillId="19" borderId="23" xfId="0" applyFont="1" applyFill="1" applyBorder="1" applyAlignment="1">
      <alignment horizontal="center" vertical="center"/>
    </xf>
    <xf numFmtId="0" fontId="1" fillId="0" borderId="45" xfId="0" applyFont="1" applyFill="1" applyBorder="1" applyAlignment="1">
      <alignment horizontal="center" vertical="center"/>
    </xf>
    <xf numFmtId="0" fontId="1" fillId="0" borderId="46" xfId="0" applyFont="1" applyFill="1" applyBorder="1" applyAlignment="1">
      <alignment horizontal="center" vertical="center"/>
    </xf>
    <xf numFmtId="0" fontId="1" fillId="0" borderId="47" xfId="0" applyFont="1" applyFill="1" applyBorder="1" applyAlignment="1">
      <alignment horizontal="center" vertical="center"/>
    </xf>
    <xf numFmtId="1" fontId="0" fillId="0" borderId="24" xfId="0" applyNumberFormat="1" applyFont="1" applyBorder="1" applyAlignment="1">
      <alignment horizontal="center" vertical="center"/>
    </xf>
    <xf numFmtId="0" fontId="0" fillId="0" borderId="11" xfId="0" applyFont="1" applyBorder="1" applyAlignment="1">
      <alignment horizontal="center" vertical="center"/>
    </xf>
    <xf numFmtId="0" fontId="1" fillId="19" borderId="28" xfId="0" applyFont="1" applyFill="1" applyBorder="1" applyAlignment="1">
      <alignment horizontal="center" wrapText="1"/>
    </xf>
    <xf numFmtId="0" fontId="1" fillId="19" borderId="29" xfId="0" applyFont="1" applyFill="1" applyBorder="1" applyAlignment="1">
      <alignment horizontal="center" wrapText="1"/>
    </xf>
    <xf numFmtId="0" fontId="1" fillId="19" borderId="30" xfId="0" applyFont="1" applyFill="1" applyBorder="1" applyAlignment="1">
      <alignment horizontal="center" wrapText="1"/>
    </xf>
    <xf numFmtId="1" fontId="0" fillId="0" borderId="11" xfId="0" applyNumberFormat="1" applyFont="1" applyBorder="1" applyAlignment="1">
      <alignment horizontal="center" vertical="center"/>
    </xf>
    <xf numFmtId="1" fontId="0" fillId="0" borderId="14" xfId="0" applyNumberFormat="1" applyFont="1" applyBorder="1" applyAlignment="1">
      <alignment horizontal="center" vertical="center"/>
    </xf>
    <xf numFmtId="1" fontId="0" fillId="0" borderId="15" xfId="0" applyNumberFormat="1" applyFont="1" applyBorder="1" applyAlignment="1">
      <alignment horizontal="center" vertical="center"/>
    </xf>
    <xf numFmtId="0" fontId="1" fillId="5" borderId="29" xfId="0" applyFont="1" applyFill="1" applyBorder="1" applyAlignment="1">
      <alignment horizontal="center" wrapText="1"/>
    </xf>
    <xf numFmtId="0" fontId="1" fillId="5" borderId="30" xfId="0" applyFont="1" applyFill="1" applyBorder="1" applyAlignment="1">
      <alignment horizontal="center" wrapText="1"/>
    </xf>
    <xf numFmtId="1" fontId="0" fillId="0" borderId="43" xfId="0" applyNumberFormat="1" applyFont="1" applyBorder="1" applyAlignment="1">
      <alignment horizontal="center" vertical="center"/>
    </xf>
    <xf numFmtId="1" fontId="0" fillId="0" borderId="52" xfId="0" applyNumberFormat="1" applyFont="1" applyBorder="1" applyAlignment="1">
      <alignment horizontal="center" vertical="center"/>
    </xf>
    <xf numFmtId="1" fontId="0" fillId="0" borderId="54" xfId="0" applyNumberFormat="1" applyFont="1" applyBorder="1" applyAlignment="1">
      <alignment horizontal="center" vertical="center"/>
    </xf>
    <xf numFmtId="1" fontId="0" fillId="0" borderId="78" xfId="0" applyNumberFormat="1" applyFont="1" applyFill="1" applyBorder="1" applyAlignment="1">
      <alignment horizontal="center" vertical="center"/>
    </xf>
    <xf numFmtId="1" fontId="0" fillId="0" borderId="69" xfId="0" applyNumberFormat="1" applyFont="1" applyFill="1" applyBorder="1" applyAlignment="1">
      <alignment horizontal="center" vertical="center"/>
    </xf>
    <xf numFmtId="1" fontId="0" fillId="0" borderId="77" xfId="0" applyNumberFormat="1" applyFont="1" applyFill="1" applyBorder="1" applyAlignment="1">
      <alignment horizontal="center" vertical="center"/>
    </xf>
    <xf numFmtId="1" fontId="0" fillId="0" borderId="24" xfId="0" applyNumberFormat="1" applyFont="1" applyFill="1" applyBorder="1" applyAlignment="1">
      <alignment horizontal="center" vertical="center"/>
    </xf>
    <xf numFmtId="1" fontId="0" fillId="0" borderId="21" xfId="0" applyNumberFormat="1" applyFont="1" applyFill="1" applyBorder="1" applyAlignment="1">
      <alignment horizontal="center" vertical="center"/>
    </xf>
    <xf numFmtId="0" fontId="1" fillId="5" borderId="22" xfId="0" applyFont="1" applyFill="1" applyBorder="1" applyAlignment="1">
      <alignment horizontal="center" vertical="center" wrapText="1"/>
    </xf>
    <xf numFmtId="5" fontId="27" fillId="0" borderId="44" xfId="0" applyNumberFormat="1" applyFont="1" applyFill="1" applyBorder="1" applyAlignment="1">
      <alignment horizontal="center" vertical="center"/>
    </xf>
    <xf numFmtId="5" fontId="27" fillId="0" borderId="55" xfId="0" applyNumberFormat="1" applyFont="1" applyFill="1" applyBorder="1" applyAlignment="1">
      <alignment horizontal="center" vertical="center"/>
    </xf>
    <xf numFmtId="5" fontId="27" fillId="0" borderId="56" xfId="0" applyNumberFormat="1" applyFont="1" applyFill="1" applyBorder="1" applyAlignment="1">
      <alignment horizontal="center" vertical="center"/>
    </xf>
    <xf numFmtId="0" fontId="1" fillId="0" borderId="69" xfId="0" applyFont="1" applyBorder="1" applyAlignment="1">
      <alignment horizontal="center" vertical="center"/>
    </xf>
    <xf numFmtId="0" fontId="1" fillId="0" borderId="71" xfId="0" applyFont="1" applyBorder="1" applyAlignment="1">
      <alignment horizontal="center" vertical="center"/>
    </xf>
    <xf numFmtId="0" fontId="1" fillId="0" borderId="24" xfId="0" applyFont="1" applyBorder="1" applyAlignment="1">
      <alignment horizontal="center" vertical="center" wrapText="1"/>
    </xf>
    <xf numFmtId="0" fontId="1" fillId="0" borderId="64" xfId="0" applyFont="1" applyBorder="1" applyAlignment="1">
      <alignment horizontal="center" vertical="center"/>
    </xf>
    <xf numFmtId="0" fontId="1" fillId="0" borderId="65" xfId="0" applyFont="1" applyBorder="1" applyAlignment="1">
      <alignment horizontal="center" vertical="center"/>
    </xf>
    <xf numFmtId="0" fontId="1" fillId="0" borderId="66" xfId="0" applyFont="1" applyBorder="1" applyAlignment="1">
      <alignment horizontal="center" vertical="center"/>
    </xf>
    <xf numFmtId="1" fontId="0" fillId="0" borderId="14" xfId="0" applyNumberFormat="1" applyFont="1" applyBorder="1" applyAlignment="1">
      <alignment horizontal="center"/>
    </xf>
    <xf numFmtId="1" fontId="0" fillId="0" borderId="1" xfId="0" applyNumberFormat="1" applyFont="1" applyBorder="1" applyAlignment="1">
      <alignment horizontal="center"/>
    </xf>
    <xf numFmtId="1" fontId="0" fillId="0" borderId="10" xfId="0" applyNumberFormat="1" applyFont="1" applyBorder="1" applyAlignment="1">
      <alignment horizontal="center"/>
    </xf>
    <xf numFmtId="1" fontId="0" fillId="0" borderId="49" xfId="0" applyNumberFormat="1" applyFont="1" applyBorder="1" applyAlignment="1">
      <alignment horizontal="center"/>
    </xf>
    <xf numFmtId="1" fontId="0" fillId="0" borderId="4" xfId="0" applyNumberFormat="1" applyFont="1" applyBorder="1" applyAlignment="1">
      <alignment horizontal="center"/>
    </xf>
    <xf numFmtId="1" fontId="0" fillId="0" borderId="50" xfId="0" applyNumberFormat="1" applyFont="1" applyBorder="1" applyAlignment="1">
      <alignment horizontal="center"/>
    </xf>
    <xf numFmtId="1" fontId="0" fillId="0" borderId="68" xfId="0" applyNumberFormat="1" applyFont="1" applyBorder="1" applyAlignment="1">
      <alignment horizontal="center" vertical="center"/>
    </xf>
    <xf numFmtId="1" fontId="0" fillId="0" borderId="64" xfId="0" applyNumberFormat="1" applyFont="1" applyBorder="1" applyAlignment="1">
      <alignment horizontal="center" vertical="center"/>
    </xf>
    <xf numFmtId="1" fontId="0" fillId="0" borderId="21" xfId="0" applyNumberFormat="1" applyFont="1" applyBorder="1" applyAlignment="1">
      <alignment horizontal="center" vertical="center"/>
    </xf>
    <xf numFmtId="1" fontId="0" fillId="0" borderId="68" xfId="0" applyNumberFormat="1" applyFont="1" applyBorder="1" applyAlignment="1">
      <alignment horizontal="center"/>
    </xf>
    <xf numFmtId="1" fontId="0" fillId="0" borderId="2" xfId="0" applyNumberFormat="1" applyFont="1" applyBorder="1" applyAlignment="1">
      <alignment horizontal="center"/>
    </xf>
    <xf numFmtId="0" fontId="1" fillId="0" borderId="25" xfId="0" applyFont="1" applyFill="1" applyBorder="1" applyAlignment="1">
      <alignment horizontal="center" vertical="center"/>
    </xf>
    <xf numFmtId="0" fontId="1" fillId="0" borderId="18" xfId="0" applyFont="1" applyFill="1" applyBorder="1" applyAlignment="1">
      <alignment horizontal="center" vertical="center"/>
    </xf>
    <xf numFmtId="0" fontId="1" fillId="0" borderId="19" xfId="0" applyFont="1" applyFill="1" applyBorder="1" applyAlignment="1">
      <alignment horizontal="center" vertical="center"/>
    </xf>
    <xf numFmtId="0" fontId="1" fillId="0" borderId="24" xfId="0" applyFont="1" applyFill="1" applyBorder="1" applyAlignment="1">
      <alignment horizontal="center" vertical="center"/>
    </xf>
    <xf numFmtId="0" fontId="1" fillId="0" borderId="6" xfId="0" applyFont="1" applyFill="1" applyBorder="1" applyAlignment="1">
      <alignment horizontal="center" vertical="center"/>
    </xf>
    <xf numFmtId="1" fontId="0" fillId="0" borderId="49" xfId="0" applyNumberFormat="1" applyFont="1" applyBorder="1" applyAlignment="1">
      <alignment horizontal="center" wrapText="1"/>
    </xf>
    <xf numFmtId="1" fontId="0" fillId="0" borderId="4" xfId="0" applyNumberFormat="1" applyFont="1" applyBorder="1" applyAlignment="1">
      <alignment horizontal="center" wrapText="1"/>
    </xf>
    <xf numFmtId="1" fontId="0" fillId="0" borderId="50" xfId="0" applyNumberFormat="1" applyFont="1" applyBorder="1" applyAlignment="1">
      <alignment horizontal="center" wrapText="1"/>
    </xf>
    <xf numFmtId="0" fontId="1" fillId="0" borderId="0" xfId="0" applyFont="1" applyBorder="1" applyAlignment="1">
      <alignment horizontal="center" vertical="center"/>
    </xf>
    <xf numFmtId="0" fontId="1" fillId="0" borderId="6" xfId="0" applyFont="1" applyBorder="1" applyAlignment="1">
      <alignment horizontal="center" vertical="center"/>
    </xf>
    <xf numFmtId="0" fontId="1" fillId="0" borderId="25" xfId="0" applyFont="1" applyFill="1" applyBorder="1" applyAlignment="1">
      <alignment horizontal="center" vertical="center" wrapText="1"/>
    </xf>
    <xf numFmtId="1" fontId="0" fillId="0" borderId="39" xfId="0" applyNumberFormat="1" applyFont="1" applyBorder="1" applyAlignment="1">
      <alignment horizontal="center"/>
    </xf>
    <xf numFmtId="1" fontId="0" fillId="0" borderId="40" xfId="0" applyNumberFormat="1" applyFont="1" applyBorder="1" applyAlignment="1">
      <alignment horizontal="center"/>
    </xf>
    <xf numFmtId="0" fontId="1" fillId="0" borderId="25" xfId="0" applyFont="1" applyBorder="1" applyAlignment="1">
      <alignment horizontal="center" vertical="center" wrapText="1"/>
    </xf>
    <xf numFmtId="1" fontId="0" fillId="0" borderId="0" xfId="0" applyNumberFormat="1" applyFont="1" applyFill="1" applyBorder="1" applyAlignment="1">
      <alignment horizontal="center"/>
    </xf>
    <xf numFmtId="5" fontId="0" fillId="0" borderId="0" xfId="0" applyNumberFormat="1" applyFont="1" applyFill="1" applyBorder="1" applyAlignment="1">
      <alignment horizontal="center" vertical="center"/>
    </xf>
    <xf numFmtId="5" fontId="27" fillId="0" borderId="13" xfId="0" applyNumberFormat="1" applyFont="1" applyFill="1" applyBorder="1" applyAlignment="1">
      <alignment horizontal="center" vertical="center"/>
    </xf>
    <xf numFmtId="5" fontId="27" fillId="0" borderId="10" xfId="0" applyNumberFormat="1" applyFont="1" applyFill="1" applyBorder="1" applyAlignment="1">
      <alignment horizontal="center" vertical="center"/>
    </xf>
    <xf numFmtId="5" fontId="27" fillId="0" borderId="17" xfId="0" applyNumberFormat="1" applyFont="1" applyFill="1" applyBorder="1" applyAlignment="1">
      <alignment horizontal="center" vertical="center"/>
    </xf>
    <xf numFmtId="1" fontId="0" fillId="0" borderId="51" xfId="0" applyNumberFormat="1" applyFont="1" applyBorder="1" applyAlignment="1">
      <alignment horizontal="center"/>
    </xf>
    <xf numFmtId="1" fontId="0" fillId="0" borderId="7" xfId="0" applyNumberFormat="1" applyFont="1" applyBorder="1" applyAlignment="1">
      <alignment horizontal="center"/>
    </xf>
    <xf numFmtId="1" fontId="0" fillId="0" borderId="57" xfId="0" applyNumberFormat="1" applyFont="1" applyBorder="1" applyAlignment="1">
      <alignment horizontal="center"/>
    </xf>
    <xf numFmtId="1" fontId="0" fillId="0" borderId="62" xfId="0" applyNumberFormat="1" applyFont="1" applyBorder="1" applyAlignment="1">
      <alignment horizontal="center"/>
    </xf>
    <xf numFmtId="1" fontId="0" fillId="0" borderId="58" xfId="0" applyNumberFormat="1" applyFont="1" applyBorder="1" applyAlignment="1">
      <alignment horizontal="center"/>
    </xf>
    <xf numFmtId="1" fontId="0" fillId="0" borderId="62" xfId="0" applyNumberFormat="1" applyFont="1" applyBorder="1" applyAlignment="1">
      <alignment horizontal="center" wrapText="1"/>
    </xf>
    <xf numFmtId="1" fontId="0" fillId="0" borderId="58" xfId="0" applyNumberFormat="1" applyFont="1" applyBorder="1" applyAlignment="1">
      <alignment horizontal="center" wrapText="1"/>
    </xf>
    <xf numFmtId="1" fontId="0" fillId="0" borderId="60" xfId="0" applyNumberFormat="1" applyFont="1" applyBorder="1" applyAlignment="1">
      <alignment horizontal="center" wrapText="1"/>
    </xf>
    <xf numFmtId="1" fontId="0" fillId="0" borderId="60" xfId="0" applyNumberFormat="1" applyFont="1" applyBorder="1" applyAlignment="1">
      <alignment horizontal="center"/>
    </xf>
    <xf numFmtId="1" fontId="0" fillId="0" borderId="11" xfId="0" applyNumberFormat="1" applyFont="1" applyBorder="1" applyAlignment="1">
      <alignment horizontal="center"/>
    </xf>
    <xf numFmtId="1" fontId="0" fillId="0" borderId="12" xfId="0" applyNumberFormat="1" applyFont="1" applyBorder="1" applyAlignment="1">
      <alignment horizontal="center"/>
    </xf>
    <xf numFmtId="1" fontId="0" fillId="0" borderId="13" xfId="0" applyNumberFormat="1" applyFont="1" applyBorder="1" applyAlignment="1">
      <alignment horizontal="center"/>
    </xf>
    <xf numFmtId="1" fontId="0" fillId="0" borderId="15" xfId="0" applyNumberFormat="1" applyFont="1" applyBorder="1" applyAlignment="1">
      <alignment horizontal="center"/>
    </xf>
    <xf numFmtId="1" fontId="0" fillId="0" borderId="16" xfId="0" applyNumberFormat="1" applyFont="1" applyBorder="1" applyAlignment="1">
      <alignment horizontal="center"/>
    </xf>
    <xf numFmtId="1" fontId="0" fillId="0" borderId="17" xfId="0" applyNumberFormat="1" applyFont="1" applyBorder="1" applyAlignment="1">
      <alignment horizontal="center"/>
    </xf>
    <xf numFmtId="1" fontId="0" fillId="0" borderId="64" xfId="0" applyNumberFormat="1" applyFont="1" applyBorder="1" applyAlignment="1">
      <alignment horizontal="center"/>
    </xf>
    <xf numFmtId="1" fontId="0" fillId="0" borderId="65" xfId="0" applyNumberFormat="1" applyFont="1" applyBorder="1" applyAlignment="1">
      <alignment horizontal="center"/>
    </xf>
    <xf numFmtId="1" fontId="0" fillId="0" borderId="66" xfId="0" applyNumberFormat="1" applyFont="1" applyBorder="1" applyAlignment="1">
      <alignment horizontal="center"/>
    </xf>
    <xf numFmtId="1" fontId="0" fillId="0" borderId="25" xfId="0" applyNumberFormat="1" applyFont="1" applyBorder="1" applyAlignment="1">
      <alignment horizontal="center" vertical="center"/>
    </xf>
    <xf numFmtId="1" fontId="0" fillId="0" borderId="41" xfId="0" applyNumberFormat="1" applyFont="1" applyBorder="1" applyAlignment="1">
      <alignment horizontal="center"/>
    </xf>
    <xf numFmtId="0" fontId="1" fillId="0" borderId="69" xfId="0" applyFont="1" applyFill="1" applyBorder="1" applyAlignment="1">
      <alignment horizontal="center" vertical="center"/>
    </xf>
    <xf numFmtId="0" fontId="8" fillId="0" borderId="64" xfId="0" applyFont="1" applyBorder="1" applyAlignment="1">
      <alignment horizontal="center" vertical="center"/>
    </xf>
    <xf numFmtId="0" fontId="8" fillId="0" borderId="49" xfId="0" applyFont="1" applyBorder="1" applyAlignment="1">
      <alignment horizontal="center" vertical="center"/>
    </xf>
    <xf numFmtId="0" fontId="8" fillId="0" borderId="62" xfId="0" applyFont="1" applyBorder="1" applyAlignment="1">
      <alignment horizontal="center" vertical="center"/>
    </xf>
    <xf numFmtId="5" fontId="8" fillId="0" borderId="55" xfId="0" applyNumberFormat="1" applyFont="1" applyBorder="1" applyAlignment="1">
      <alignment horizontal="center" vertical="center"/>
    </xf>
    <xf numFmtId="5" fontId="8" fillId="0" borderId="56" xfId="0" applyNumberFormat="1" applyFont="1" applyBorder="1" applyAlignment="1">
      <alignment horizontal="center" vertical="center"/>
    </xf>
    <xf numFmtId="5" fontId="8" fillId="0" borderId="38" xfId="0" applyNumberFormat="1" applyFont="1" applyFill="1" applyBorder="1" applyAlignment="1">
      <alignment horizontal="center" vertical="center"/>
    </xf>
    <xf numFmtId="5" fontId="8" fillId="0" borderId="10" xfId="0" applyNumberFormat="1" applyFont="1" applyFill="1" applyBorder="1" applyAlignment="1">
      <alignment horizontal="center" vertical="center"/>
    </xf>
    <xf numFmtId="5" fontId="8" fillId="0" borderId="57" xfId="0" applyNumberFormat="1" applyFont="1" applyFill="1" applyBorder="1" applyAlignment="1">
      <alignment horizontal="center" vertical="center"/>
    </xf>
    <xf numFmtId="0" fontId="8" fillId="0" borderId="39" xfId="0" applyFont="1" applyFill="1" applyBorder="1" applyAlignment="1">
      <alignment horizontal="center" vertical="center"/>
    </xf>
    <xf numFmtId="0" fontId="8" fillId="0" borderId="49" xfId="0" applyFont="1" applyFill="1" applyBorder="1" applyAlignment="1">
      <alignment horizontal="center" vertical="center"/>
    </xf>
    <xf numFmtId="0" fontId="8" fillId="0" borderId="62"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4" xfId="0" applyFont="1" applyFill="1" applyBorder="1" applyAlignment="1">
      <alignment horizontal="center" vertical="center"/>
    </xf>
    <xf numFmtId="0" fontId="8" fillId="0" borderId="15" xfId="0" applyFont="1" applyFill="1" applyBorder="1" applyAlignment="1">
      <alignment horizontal="center" vertical="center"/>
    </xf>
    <xf numFmtId="5" fontId="8" fillId="0" borderId="13" xfId="0" applyNumberFormat="1" applyFont="1" applyFill="1" applyBorder="1" applyAlignment="1">
      <alignment horizontal="center" vertical="center"/>
    </xf>
    <xf numFmtId="5" fontId="8" fillId="0" borderId="17" xfId="0" applyNumberFormat="1" applyFont="1" applyFill="1" applyBorder="1" applyAlignment="1">
      <alignment horizontal="center" vertical="center"/>
    </xf>
    <xf numFmtId="0" fontId="8" fillId="0" borderId="12" xfId="0" applyFont="1" applyFill="1" applyBorder="1" applyAlignment="1">
      <alignment horizontal="center" vertical="center"/>
    </xf>
    <xf numFmtId="0" fontId="8" fillId="0" borderId="1" xfId="0" applyFont="1" applyFill="1" applyBorder="1" applyAlignment="1">
      <alignment horizontal="center" vertical="center"/>
    </xf>
    <xf numFmtId="0" fontId="8" fillId="0" borderId="16" xfId="0" applyFont="1" applyFill="1" applyBorder="1" applyAlignment="1">
      <alignment horizontal="center" vertical="center"/>
    </xf>
    <xf numFmtId="0" fontId="8" fillId="0" borderId="27" xfId="0" applyFont="1" applyFill="1" applyBorder="1" applyAlignment="1">
      <alignment horizontal="center" vertical="center"/>
    </xf>
    <xf numFmtId="0" fontId="8" fillId="0" borderId="51" xfId="0" applyFont="1" applyFill="1" applyBorder="1" applyAlignment="1">
      <alignment horizontal="center" vertical="center"/>
    </xf>
    <xf numFmtId="0" fontId="8" fillId="0" borderId="9" xfId="0" applyFont="1" applyFill="1" applyBorder="1" applyAlignment="1">
      <alignment horizontal="center" vertical="center"/>
    </xf>
    <xf numFmtId="0" fontId="8" fillId="0" borderId="7" xfId="0" applyFont="1" applyFill="1" applyBorder="1" applyAlignment="1">
      <alignment horizontal="center" vertical="center"/>
    </xf>
    <xf numFmtId="5" fontId="8" fillId="0" borderId="41" xfId="0" applyNumberFormat="1" applyFont="1" applyBorder="1" applyAlignment="1">
      <alignment horizontal="center" vertical="center"/>
    </xf>
    <xf numFmtId="5" fontId="8" fillId="0" borderId="50" xfId="0" applyNumberFormat="1" applyFont="1" applyBorder="1" applyAlignment="1">
      <alignment horizontal="center" vertical="center"/>
    </xf>
    <xf numFmtId="5" fontId="8" fillId="0" borderId="60" xfId="0" applyNumberFormat="1" applyFont="1" applyBorder="1" applyAlignment="1">
      <alignment horizontal="center" vertical="center"/>
    </xf>
    <xf numFmtId="0" fontId="8" fillId="0" borderId="39" xfId="0" applyFont="1" applyBorder="1" applyAlignment="1">
      <alignment horizontal="center" vertical="center"/>
    </xf>
    <xf numFmtId="5" fontId="0" fillId="0" borderId="41" xfId="0" applyNumberFormat="1" applyBorder="1" applyAlignment="1">
      <alignment horizontal="center" vertical="center"/>
    </xf>
    <xf numFmtId="0" fontId="0" fillId="0" borderId="50" xfId="0" applyBorder="1" applyAlignment="1">
      <alignment horizontal="center" vertical="center"/>
    </xf>
    <xf numFmtId="0" fontId="0" fillId="0" borderId="60" xfId="0" applyBorder="1" applyAlignment="1">
      <alignment horizontal="center" vertical="center"/>
    </xf>
    <xf numFmtId="1" fontId="8" fillId="0" borderId="11" xfId="0" applyNumberFormat="1" applyFont="1" applyBorder="1" applyAlignment="1">
      <alignment horizontal="center" vertical="center"/>
    </xf>
    <xf numFmtId="1" fontId="8" fillId="0" borderId="14" xfId="0" applyNumberFormat="1" applyFont="1" applyBorder="1" applyAlignment="1">
      <alignment horizontal="center" vertical="center"/>
    </xf>
    <xf numFmtId="1" fontId="8" fillId="0" borderId="15" xfId="0" applyNumberFormat="1" applyFont="1" applyBorder="1" applyAlignment="1">
      <alignment horizontal="center" vertical="center"/>
    </xf>
    <xf numFmtId="5" fontId="0" fillId="0" borderId="19" xfId="0" applyNumberFormat="1" applyBorder="1" applyAlignment="1">
      <alignment horizontal="center" vertical="center"/>
    </xf>
    <xf numFmtId="0" fontId="0" fillId="0" borderId="6" xfId="0" applyBorder="1" applyAlignment="1">
      <alignment horizontal="center" vertical="center"/>
    </xf>
    <xf numFmtId="0" fontId="0" fillId="0" borderId="23" xfId="0" applyBorder="1" applyAlignment="1">
      <alignment horizontal="center" vertical="center"/>
    </xf>
    <xf numFmtId="0" fontId="4" fillId="5" borderId="28" xfId="0" applyFont="1" applyFill="1" applyBorder="1" applyAlignment="1">
      <alignment horizontal="center" vertical="center" wrapText="1"/>
    </xf>
    <xf numFmtId="1" fontId="8" fillId="0" borderId="39" xfId="0" applyNumberFormat="1" applyFont="1" applyBorder="1" applyAlignment="1">
      <alignment horizontal="center" vertical="center"/>
    </xf>
    <xf numFmtId="1" fontId="8" fillId="0" borderId="49" xfId="0" applyNumberFormat="1" applyFont="1" applyBorder="1" applyAlignment="1">
      <alignment horizontal="center" vertical="center"/>
    </xf>
    <xf numFmtId="1" fontId="8" fillId="0" borderId="62" xfId="0" applyNumberFormat="1" applyFont="1" applyBorder="1" applyAlignment="1">
      <alignment horizontal="center" vertical="center"/>
    </xf>
    <xf numFmtId="0" fontId="4" fillId="0" borderId="72" xfId="0" applyFont="1" applyBorder="1" applyAlignment="1">
      <alignment horizontal="center" vertical="center" wrapText="1"/>
    </xf>
    <xf numFmtId="0" fontId="4" fillId="0" borderId="74" xfId="0" applyFont="1" applyBorder="1" applyAlignment="1">
      <alignment horizontal="center" vertical="center" wrapText="1"/>
    </xf>
    <xf numFmtId="0" fontId="7" fillId="0" borderId="72" xfId="0" applyFont="1" applyBorder="1" applyAlignment="1">
      <alignment horizontal="center" vertical="center" wrapText="1"/>
    </xf>
    <xf numFmtId="0" fontId="7" fillId="0" borderId="74" xfId="0" applyFont="1" applyBorder="1" applyAlignment="1">
      <alignment horizontal="center" vertical="center" wrapText="1"/>
    </xf>
    <xf numFmtId="0" fontId="2" fillId="0" borderId="72" xfId="0" applyFont="1" applyBorder="1" applyAlignment="1">
      <alignment horizontal="center" vertical="center" wrapText="1"/>
    </xf>
    <xf numFmtId="0" fontId="2" fillId="0" borderId="74" xfId="0" applyFont="1" applyBorder="1" applyAlignment="1">
      <alignment horizontal="center" vertical="center"/>
    </xf>
    <xf numFmtId="0" fontId="4" fillId="0" borderId="72" xfId="0" applyFont="1" applyFill="1" applyBorder="1" applyAlignment="1">
      <alignment horizontal="center" vertical="center"/>
    </xf>
    <xf numFmtId="0" fontId="4" fillId="0" borderId="74" xfId="0" applyFont="1" applyFill="1" applyBorder="1" applyAlignment="1">
      <alignment horizontal="center" vertical="center"/>
    </xf>
    <xf numFmtId="0" fontId="4" fillId="0" borderId="78" xfId="0" applyFont="1" applyFill="1" applyBorder="1" applyAlignment="1">
      <alignment horizontal="center" vertical="center" wrapText="1"/>
    </xf>
    <xf numFmtId="0" fontId="4" fillId="0" borderId="77" xfId="0" applyFont="1" applyFill="1" applyBorder="1" applyAlignment="1">
      <alignment horizontal="center" vertical="center"/>
    </xf>
    <xf numFmtId="0" fontId="1" fillId="0" borderId="45" xfId="0" applyFont="1" applyBorder="1" applyAlignment="1">
      <alignment horizontal="center" vertical="center" wrapText="1"/>
    </xf>
    <xf numFmtId="0" fontId="1" fillId="0" borderId="46" xfId="0" applyFont="1" applyBorder="1" applyAlignment="1">
      <alignment horizontal="center" vertical="center"/>
    </xf>
    <xf numFmtId="0" fontId="1" fillId="0" borderId="47" xfId="0" applyFont="1" applyBorder="1" applyAlignment="1">
      <alignment horizontal="center" vertical="center"/>
    </xf>
    <xf numFmtId="0" fontId="1" fillId="0" borderId="28" xfId="0" applyFont="1" applyFill="1" applyBorder="1" applyAlignment="1">
      <alignment horizontal="center" vertical="center"/>
    </xf>
    <xf numFmtId="0" fontId="5" fillId="0" borderId="70" xfId="0" applyFont="1" applyBorder="1" applyAlignment="1">
      <alignment horizontal="center" vertical="center"/>
    </xf>
    <xf numFmtId="0" fontId="5" fillId="0" borderId="61" xfId="0" applyFont="1" applyBorder="1" applyAlignment="1">
      <alignment horizontal="center" vertical="center"/>
    </xf>
    <xf numFmtId="0" fontId="21" fillId="0" borderId="12" xfId="0" applyFont="1" applyBorder="1" applyAlignment="1">
      <alignment horizontal="center" vertical="center"/>
    </xf>
    <xf numFmtId="0" fontId="21" fillId="0" borderId="16" xfId="0" applyFont="1" applyBorder="1" applyAlignment="1">
      <alignment horizontal="center" vertical="center"/>
    </xf>
    <xf numFmtId="0" fontId="21" fillId="0" borderId="42" xfId="0" applyFont="1" applyBorder="1" applyAlignment="1">
      <alignment horizontal="center" vertical="center"/>
    </xf>
    <xf numFmtId="0" fontId="21" fillId="0" borderId="53" xfId="0" applyFont="1" applyBorder="1" applyAlignment="1">
      <alignment horizontal="center" vertical="center"/>
    </xf>
    <xf numFmtId="0" fontId="21" fillId="0" borderId="8" xfId="0" applyFont="1" applyBorder="1" applyAlignment="1">
      <alignment horizontal="center" vertical="center"/>
    </xf>
    <xf numFmtId="0" fontId="21" fillId="0" borderId="9" xfId="0" applyFont="1" applyBorder="1" applyAlignment="1">
      <alignment horizontal="center" vertical="center"/>
    </xf>
    <xf numFmtId="0" fontId="21" fillId="0" borderId="9" xfId="0" applyFont="1" applyBorder="1" applyAlignment="1">
      <alignment horizontal="center" vertical="center" wrapText="1"/>
    </xf>
    <xf numFmtId="0" fontId="21" fillId="0" borderId="1" xfId="0" applyFont="1" applyBorder="1" applyAlignment="1">
      <alignment horizontal="center" vertical="center" wrapText="1"/>
    </xf>
    <xf numFmtId="0" fontId="21" fillId="0" borderId="1" xfId="0" applyFont="1" applyBorder="1" applyAlignment="1">
      <alignment horizontal="center" vertical="center"/>
    </xf>
    <xf numFmtId="0" fontId="21" fillId="0" borderId="13" xfId="0" applyFont="1" applyBorder="1" applyAlignment="1">
      <alignment horizontal="center" vertical="center"/>
    </xf>
    <xf numFmtId="0" fontId="21" fillId="0" borderId="17" xfId="0" applyFont="1" applyBorder="1" applyAlignment="1">
      <alignment horizontal="center" vertical="center"/>
    </xf>
    <xf numFmtId="0" fontId="21" fillId="0" borderId="12" xfId="0" applyFont="1" applyBorder="1" applyAlignment="1">
      <alignment horizontal="center" vertical="center" wrapText="1"/>
    </xf>
    <xf numFmtId="0" fontId="21" fillId="0" borderId="16" xfId="0" applyFont="1" applyBorder="1" applyAlignment="1">
      <alignment horizontal="center" vertical="center" wrapText="1"/>
    </xf>
    <xf numFmtId="0" fontId="21" fillId="0" borderId="37" xfId="0" applyFont="1" applyBorder="1" applyAlignment="1">
      <alignment horizontal="center" vertical="center"/>
    </xf>
    <xf numFmtId="0" fontId="21" fillId="0" borderId="36" xfId="0" applyFont="1" applyBorder="1" applyAlignment="1">
      <alignment horizontal="center" vertical="center"/>
    </xf>
    <xf numFmtId="0" fontId="21" fillId="0" borderId="35" xfId="0" applyFont="1" applyBorder="1" applyAlignment="1">
      <alignment horizontal="center" vertical="center"/>
    </xf>
    <xf numFmtId="0" fontId="21" fillId="0" borderId="3" xfId="0" applyFont="1" applyBorder="1" applyAlignment="1">
      <alignment horizontal="center" vertical="center"/>
    </xf>
    <xf numFmtId="0" fontId="1" fillId="0" borderId="28" xfId="0" applyFont="1" applyBorder="1" applyAlignment="1">
      <alignment horizontal="center" vertical="center"/>
    </xf>
    <xf numFmtId="0" fontId="1" fillId="0" borderId="29" xfId="0" applyFont="1" applyBorder="1" applyAlignment="1">
      <alignment horizontal="center" vertical="center"/>
    </xf>
    <xf numFmtId="0" fontId="1" fillId="0" borderId="30" xfId="0" applyFont="1" applyBorder="1" applyAlignment="1">
      <alignment horizontal="center" vertical="center"/>
    </xf>
    <xf numFmtId="0" fontId="5" fillId="0" borderId="25" xfId="0" applyFont="1" applyBorder="1" applyAlignment="1">
      <alignment horizontal="center" vertical="center"/>
    </xf>
    <xf numFmtId="0" fontId="5" fillId="0" borderId="21" xfId="0" applyFont="1" applyBorder="1" applyAlignment="1">
      <alignment horizontal="center" vertical="center"/>
    </xf>
    <xf numFmtId="0" fontId="5" fillId="0" borderId="24" xfId="0" applyFont="1" applyBorder="1" applyAlignment="1">
      <alignment horizontal="center" vertical="center"/>
    </xf>
    <xf numFmtId="0" fontId="5" fillId="0" borderId="64" xfId="0" applyFont="1" applyBorder="1" applyAlignment="1">
      <alignment horizontal="center" vertical="center"/>
    </xf>
    <xf numFmtId="0" fontId="0" fillId="0" borderId="18" xfId="0" applyBorder="1" applyAlignment="1">
      <alignment horizontal="center" vertical="center" wrapText="1"/>
    </xf>
    <xf numFmtId="0" fontId="0" fillId="0" borderId="19" xfId="0" applyBorder="1" applyAlignment="1">
      <alignment horizontal="center" vertical="center" wrapText="1"/>
    </xf>
    <xf numFmtId="0" fontId="2" fillId="19" borderId="22" xfId="0" applyFont="1" applyFill="1" applyBorder="1" applyAlignment="1">
      <alignment horizontal="center" vertical="center"/>
    </xf>
    <xf numFmtId="0" fontId="2" fillId="19" borderId="23" xfId="0" applyFont="1" applyFill="1" applyBorder="1" applyAlignment="1">
      <alignment horizontal="center" vertical="center"/>
    </xf>
    <xf numFmtId="0" fontId="1" fillId="19" borderId="28" xfId="0" applyFont="1" applyFill="1" applyBorder="1" applyAlignment="1">
      <alignment horizontal="center" vertical="center"/>
    </xf>
    <xf numFmtId="0" fontId="1" fillId="19" borderId="29" xfId="0" applyFont="1" applyFill="1" applyBorder="1" applyAlignment="1">
      <alignment horizontal="center" vertical="center"/>
    </xf>
    <xf numFmtId="0" fontId="1" fillId="19" borderId="30" xfId="0" applyFont="1" applyFill="1" applyBorder="1" applyAlignment="1">
      <alignment horizontal="center" vertical="center"/>
    </xf>
    <xf numFmtId="11" fontId="0" fillId="0" borderId="72" xfId="0" applyNumberFormat="1" applyFont="1" applyBorder="1" applyAlignment="1">
      <alignment horizontal="center" vertical="center"/>
    </xf>
    <xf numFmtId="11" fontId="0" fillId="0" borderId="74" xfId="0" applyNumberFormat="1" applyFont="1" applyBorder="1" applyAlignment="1">
      <alignment horizontal="center" vertical="center"/>
    </xf>
    <xf numFmtId="11" fontId="0" fillId="0" borderId="65" xfId="0" applyNumberFormat="1" applyFont="1" applyBorder="1" applyAlignment="1">
      <alignment horizontal="center" vertical="center" wrapText="1"/>
    </xf>
    <xf numFmtId="11" fontId="0" fillId="0" borderId="58" xfId="0" applyNumberFormat="1" applyFont="1" applyBorder="1" applyAlignment="1">
      <alignment horizontal="center" vertical="center" wrapText="1"/>
    </xf>
    <xf numFmtId="0" fontId="1" fillId="0" borderId="46" xfId="0" applyFont="1" applyBorder="1" applyAlignment="1">
      <alignment horizontal="center" vertical="center" wrapText="1"/>
    </xf>
    <xf numFmtId="0" fontId="1" fillId="0" borderId="47" xfId="0" applyFont="1" applyBorder="1" applyAlignment="1">
      <alignment horizontal="center" vertical="center" wrapText="1"/>
    </xf>
    <xf numFmtId="0" fontId="1" fillId="0" borderId="28" xfId="0" applyFont="1" applyBorder="1" applyAlignment="1">
      <alignment horizontal="center" vertical="center" wrapText="1"/>
    </xf>
    <xf numFmtId="0" fontId="1" fillId="0" borderId="29" xfId="0" applyFont="1" applyBorder="1" applyAlignment="1">
      <alignment horizontal="center" vertical="center" wrapText="1"/>
    </xf>
    <xf numFmtId="0" fontId="1" fillId="0" borderId="30" xfId="0" applyFont="1" applyBorder="1" applyAlignment="1">
      <alignment horizontal="center" vertical="center" wrapText="1"/>
    </xf>
    <xf numFmtId="0" fontId="1" fillId="0" borderId="27" xfId="0" applyFont="1" applyFill="1" applyBorder="1" applyAlignment="1">
      <alignment horizontal="center" vertical="center" wrapText="1"/>
    </xf>
    <xf numFmtId="0" fontId="1" fillId="0" borderId="9" xfId="0" applyFont="1" applyFill="1" applyBorder="1" applyAlignment="1">
      <alignment horizontal="center" vertical="center" wrapText="1"/>
    </xf>
    <xf numFmtId="11" fontId="0" fillId="0" borderId="3" xfId="0" applyNumberFormat="1" applyFont="1" applyBorder="1" applyAlignment="1">
      <alignment horizontal="center" vertical="center" wrapText="1"/>
    </xf>
    <xf numFmtId="11" fontId="0" fillId="0" borderId="36" xfId="0" applyNumberFormat="1" applyFont="1" applyBorder="1" applyAlignment="1">
      <alignment horizontal="center" vertical="center" wrapText="1"/>
    </xf>
    <xf numFmtId="0" fontId="1" fillId="0" borderId="24" xfId="0" applyFont="1" applyFill="1" applyBorder="1" applyAlignment="1">
      <alignment horizontal="center" vertical="center" wrapText="1"/>
    </xf>
    <xf numFmtId="167" fontId="0" fillId="0" borderId="5" xfId="0" applyNumberFormat="1" applyFont="1" applyBorder="1" applyAlignment="1">
      <alignment horizontal="center" vertical="center"/>
    </xf>
    <xf numFmtId="3" fontId="0" fillId="0" borderId="59" xfId="0" applyNumberFormat="1" applyFont="1" applyBorder="1" applyAlignment="1">
      <alignment horizontal="center"/>
    </xf>
    <xf numFmtId="0" fontId="0" fillId="0" borderId="48" xfId="0" applyFont="1" applyBorder="1" applyAlignment="1">
      <alignment horizontal="center"/>
    </xf>
    <xf numFmtId="0" fontId="0" fillId="0" borderId="68" xfId="0" applyFont="1" applyBorder="1" applyAlignment="1">
      <alignment horizontal="center" vertical="center"/>
    </xf>
    <xf numFmtId="0" fontId="1" fillId="5" borderId="72" xfId="0" applyFont="1" applyFill="1" applyBorder="1" applyAlignment="1">
      <alignment horizontal="center" vertical="center"/>
    </xf>
    <xf numFmtId="0" fontId="1" fillId="5" borderId="74" xfId="0" applyFont="1" applyFill="1" applyBorder="1" applyAlignment="1">
      <alignment horizontal="center" vertical="center"/>
    </xf>
    <xf numFmtId="2" fontId="0" fillId="0" borderId="42" xfId="0" applyNumberFormat="1" applyFont="1" applyBorder="1" applyAlignment="1">
      <alignment horizontal="center" vertical="center"/>
    </xf>
    <xf numFmtId="1" fontId="0" fillId="0" borderId="9" xfId="0" applyNumberFormat="1" applyFont="1" applyBorder="1" applyAlignment="1">
      <alignment horizontal="center"/>
    </xf>
    <xf numFmtId="1" fontId="0" fillId="0" borderId="7" xfId="0" applyNumberFormat="1" applyFont="1" applyBorder="1" applyAlignment="1">
      <alignment horizontal="center" vertical="center"/>
    </xf>
    <xf numFmtId="3" fontId="0" fillId="0" borderId="53" xfId="0" applyNumberFormat="1" applyFont="1" applyBorder="1" applyAlignment="1">
      <alignment horizontal="center"/>
    </xf>
    <xf numFmtId="0" fontId="1" fillId="5" borderId="32" xfId="0" applyFont="1" applyFill="1" applyBorder="1" applyAlignment="1">
      <alignment horizontal="center" vertical="center"/>
    </xf>
    <xf numFmtId="0" fontId="1" fillId="5" borderId="0" xfId="0" applyFont="1" applyFill="1" applyBorder="1" applyAlignment="1">
      <alignment horizontal="center" vertical="center"/>
    </xf>
    <xf numFmtId="0" fontId="1" fillId="5" borderId="34" xfId="0" applyFont="1" applyFill="1" applyBorder="1" applyAlignment="1">
      <alignment horizontal="center" vertical="center"/>
    </xf>
    <xf numFmtId="0" fontId="1" fillId="5" borderId="11" xfId="0" applyFont="1" applyFill="1" applyBorder="1" applyAlignment="1">
      <alignment horizontal="center" vertical="center"/>
    </xf>
    <xf numFmtId="0" fontId="1" fillId="5" borderId="15" xfId="0" applyFont="1" applyFill="1" applyBorder="1" applyAlignment="1">
      <alignment horizontal="center" vertical="center"/>
    </xf>
    <xf numFmtId="3" fontId="0" fillId="0" borderId="16" xfId="0" applyNumberFormat="1" applyFont="1" applyBorder="1" applyAlignment="1">
      <alignment horizontal="center"/>
    </xf>
    <xf numFmtId="0" fontId="0" fillId="0" borderId="16" xfId="0" applyFont="1" applyBorder="1" applyAlignment="1">
      <alignment horizontal="center"/>
    </xf>
    <xf numFmtId="1" fontId="0" fillId="0" borderId="9" xfId="0" applyNumberFormat="1" applyFont="1" applyBorder="1" applyAlignment="1">
      <alignment horizontal="center" vertical="center"/>
    </xf>
    <xf numFmtId="0" fontId="0" fillId="0" borderId="49" xfId="0" applyFont="1" applyBorder="1" applyAlignment="1">
      <alignment horizontal="center" vertical="center"/>
    </xf>
    <xf numFmtId="0" fontId="1" fillId="5" borderId="43" xfId="0" applyFont="1" applyFill="1" applyBorder="1" applyAlignment="1">
      <alignment horizontal="center" vertical="center"/>
    </xf>
    <xf numFmtId="0" fontId="1" fillId="5" borderId="42" xfId="0" applyFont="1" applyFill="1" applyBorder="1" applyAlignment="1">
      <alignment horizontal="center" vertical="center"/>
    </xf>
    <xf numFmtId="0" fontId="1" fillId="5" borderId="44" xfId="0" applyFont="1" applyFill="1" applyBorder="1" applyAlignment="1">
      <alignment horizontal="center" vertical="center"/>
    </xf>
    <xf numFmtId="0" fontId="0" fillId="0" borderId="1" xfId="0" applyFont="1" applyBorder="1" applyAlignment="1">
      <alignment horizontal="center" vertical="center"/>
    </xf>
    <xf numFmtId="0" fontId="0" fillId="0" borderId="49" xfId="0" applyFont="1" applyFill="1" applyBorder="1" applyAlignment="1">
      <alignment horizontal="center" vertical="center"/>
    </xf>
    <xf numFmtId="0" fontId="1" fillId="5" borderId="78" xfId="0" applyFont="1" applyFill="1" applyBorder="1" applyAlignment="1">
      <alignment horizontal="center" vertical="center"/>
    </xf>
    <xf numFmtId="0" fontId="1" fillId="5" borderId="77" xfId="0" applyFont="1" applyFill="1" applyBorder="1" applyAlignment="1">
      <alignment horizontal="center" vertical="center"/>
    </xf>
    <xf numFmtId="3" fontId="0" fillId="0" borderId="31" xfId="0" applyNumberFormat="1" applyFont="1" applyBorder="1" applyAlignment="1">
      <alignment horizontal="center" vertical="center"/>
    </xf>
    <xf numFmtId="3" fontId="0" fillId="0" borderId="33" xfId="0" applyNumberFormat="1" applyFont="1" applyBorder="1" applyAlignment="1">
      <alignment horizontal="center" vertical="center"/>
    </xf>
    <xf numFmtId="1" fontId="0" fillId="0" borderId="53" xfId="0" applyNumberFormat="1" applyFont="1" applyBorder="1" applyAlignment="1">
      <alignment horizontal="center"/>
    </xf>
    <xf numFmtId="0" fontId="1" fillId="5" borderId="45" xfId="0" applyFont="1" applyFill="1" applyBorder="1" applyAlignment="1">
      <alignment horizontal="center" vertical="center"/>
    </xf>
    <xf numFmtId="1" fontId="4" fillId="21" borderId="28" xfId="0" applyNumberFormat="1" applyFont="1" applyFill="1" applyBorder="1" applyAlignment="1">
      <alignment horizontal="center" vertical="center"/>
    </xf>
    <xf numFmtId="1" fontId="4" fillId="21" borderId="29" xfId="0" applyNumberFormat="1" applyFont="1" applyFill="1" applyBorder="1" applyAlignment="1">
      <alignment horizontal="center" vertical="center"/>
    </xf>
    <xf numFmtId="1" fontId="4" fillId="21" borderId="30" xfId="0" applyNumberFormat="1" applyFont="1" applyFill="1" applyBorder="1" applyAlignment="1">
      <alignment horizontal="center" vertical="center"/>
    </xf>
    <xf numFmtId="0" fontId="4" fillId="19" borderId="11" xfId="0" applyFont="1" applyFill="1" applyBorder="1" applyAlignment="1">
      <alignment horizontal="center" vertical="center" wrapText="1"/>
    </xf>
    <xf numFmtId="0" fontId="4" fillId="19" borderId="12" xfId="0" applyFont="1" applyFill="1" applyBorder="1" applyAlignment="1">
      <alignment horizontal="center" vertical="center" wrapText="1"/>
    </xf>
    <xf numFmtId="0" fontId="4" fillId="19" borderId="13" xfId="0" applyFont="1" applyFill="1" applyBorder="1" applyAlignment="1">
      <alignment horizontal="center" vertical="center" wrapText="1"/>
    </xf>
    <xf numFmtId="5" fontId="5" fillId="0" borderId="10" xfId="0" applyNumberFormat="1" applyFont="1" applyBorder="1" applyAlignment="1">
      <alignment horizontal="center" vertical="center"/>
    </xf>
    <xf numFmtId="5" fontId="5" fillId="0" borderId="17" xfId="0" applyNumberFormat="1" applyFont="1" applyBorder="1" applyAlignment="1">
      <alignment horizontal="center" vertical="center"/>
    </xf>
    <xf numFmtId="0" fontId="4" fillId="19" borderId="28" xfId="0" applyFont="1" applyFill="1" applyBorder="1" applyAlignment="1">
      <alignment horizontal="center" vertical="center" wrapText="1"/>
    </xf>
    <xf numFmtId="0" fontId="4" fillId="19" borderId="29" xfId="0" applyFont="1" applyFill="1" applyBorder="1" applyAlignment="1">
      <alignment horizontal="center" vertical="center" wrapText="1"/>
    </xf>
    <xf numFmtId="0" fontId="4" fillId="19" borderId="30" xfId="0" applyFont="1" applyFill="1" applyBorder="1" applyAlignment="1">
      <alignment horizontal="center" vertical="center" wrapText="1"/>
    </xf>
    <xf numFmtId="1" fontId="5" fillId="0" borderId="11" xfId="0" applyNumberFormat="1" applyFont="1" applyBorder="1" applyAlignment="1">
      <alignment horizontal="center" vertical="center"/>
    </xf>
    <xf numFmtId="1" fontId="5" fillId="0" borderId="14" xfId="0" applyNumberFormat="1" applyFont="1" applyBorder="1" applyAlignment="1">
      <alignment horizontal="center" vertical="center"/>
    </xf>
    <xf numFmtId="1" fontId="5" fillId="0" borderId="15" xfId="0" applyNumberFormat="1" applyFont="1" applyBorder="1" applyAlignment="1">
      <alignment horizontal="center" vertical="center"/>
    </xf>
    <xf numFmtId="5" fontId="5" fillId="0" borderId="13" xfId="0" applyNumberFormat="1" applyFont="1" applyBorder="1" applyAlignment="1">
      <alignment horizontal="center" vertical="center"/>
    </xf>
    <xf numFmtId="0" fontId="4" fillId="19" borderId="45" xfId="0" applyFont="1" applyFill="1" applyBorder="1" applyAlignment="1">
      <alignment horizontal="center" vertical="center" wrapText="1"/>
    </xf>
    <xf numFmtId="0" fontId="4" fillId="19" borderId="46" xfId="0" applyFont="1" applyFill="1" applyBorder="1" applyAlignment="1">
      <alignment horizontal="center" vertical="center"/>
    </xf>
    <xf numFmtId="0" fontId="4" fillId="19" borderId="47" xfId="0" applyFont="1" applyFill="1" applyBorder="1" applyAlignment="1">
      <alignment horizontal="center" vertical="center"/>
    </xf>
    <xf numFmtId="0" fontId="4" fillId="0" borderId="14" xfId="0" applyFont="1" applyBorder="1" applyAlignment="1">
      <alignment horizontal="center"/>
    </xf>
    <xf numFmtId="0" fontId="4" fillId="0" borderId="1" xfId="0" applyFont="1" applyBorder="1" applyAlignment="1">
      <alignment horizontal="center"/>
    </xf>
    <xf numFmtId="0" fontId="5" fillId="0" borderId="15" xfId="0" applyFont="1" applyBorder="1" applyAlignment="1">
      <alignment horizontal="center"/>
    </xf>
    <xf numFmtId="0" fontId="4" fillId="19" borderId="11" xfId="0" applyFont="1" applyFill="1" applyBorder="1" applyAlignment="1">
      <alignment horizontal="center" vertical="center"/>
    </xf>
    <xf numFmtId="0" fontId="4" fillId="19" borderId="12" xfId="0" applyFont="1" applyFill="1" applyBorder="1" applyAlignment="1">
      <alignment horizontal="center" vertical="center"/>
    </xf>
    <xf numFmtId="0" fontId="4" fillId="19" borderId="13" xfId="0" applyFont="1" applyFill="1" applyBorder="1" applyAlignment="1">
      <alignment horizontal="center" vertical="center"/>
    </xf>
    <xf numFmtId="0" fontId="4" fillId="0" borderId="14" xfId="0" applyFont="1" applyBorder="1" applyAlignment="1">
      <alignment horizontal="center" vertical="center"/>
    </xf>
    <xf numFmtId="3" fontId="5" fillId="0" borderId="73" xfId="0" applyNumberFormat="1" applyFont="1" applyBorder="1" applyAlignment="1">
      <alignment horizontal="center" vertical="center"/>
    </xf>
    <xf numFmtId="3" fontId="5" fillId="0" borderId="74" xfId="0" applyNumberFormat="1" applyFont="1" applyBorder="1" applyAlignment="1">
      <alignment horizontal="center" vertical="center"/>
    </xf>
    <xf numFmtId="1" fontId="5" fillId="0" borderId="10" xfId="0" applyNumberFormat="1" applyFont="1" applyBorder="1" applyAlignment="1">
      <alignment horizontal="center" vertical="center"/>
    </xf>
    <xf numFmtId="1" fontId="5" fillId="0" borderId="17" xfId="0" applyNumberFormat="1" applyFont="1" applyBorder="1" applyAlignment="1">
      <alignment horizontal="center" vertical="center"/>
    </xf>
    <xf numFmtId="1" fontId="5" fillId="0" borderId="1" xfId="0" applyNumberFormat="1" applyFont="1" applyBorder="1" applyAlignment="1">
      <alignment horizontal="center" vertical="center"/>
    </xf>
    <xf numFmtId="1" fontId="5" fillId="0" borderId="16" xfId="0" applyNumberFormat="1" applyFont="1" applyBorder="1" applyAlignment="1">
      <alignment horizontal="center" vertical="center"/>
    </xf>
    <xf numFmtId="0" fontId="4" fillId="21" borderId="25" xfId="0" applyFont="1" applyFill="1" applyBorder="1" applyAlignment="1">
      <alignment horizontal="center" vertical="center" wrapText="1"/>
    </xf>
    <xf numFmtId="0" fontId="4" fillId="21" borderId="18" xfId="0" applyFont="1" applyFill="1" applyBorder="1" applyAlignment="1">
      <alignment horizontal="center" vertical="center" wrapText="1"/>
    </xf>
    <xf numFmtId="1" fontId="0" fillId="0" borderId="59" xfId="0" applyNumberFormat="1" applyFont="1" applyBorder="1" applyAlignment="1">
      <alignment horizontal="center"/>
    </xf>
    <xf numFmtId="1" fontId="0" fillId="0" borderId="48" xfId="0" applyNumberFormat="1" applyFont="1" applyBorder="1" applyAlignment="1">
      <alignment horizontal="center"/>
    </xf>
    <xf numFmtId="1" fontId="0" fillId="0" borderId="3" xfId="0" applyNumberFormat="1" applyFont="1" applyBorder="1" applyAlignment="1">
      <alignment horizontal="center"/>
    </xf>
    <xf numFmtId="1" fontId="0" fillId="0" borderId="5" xfId="0" applyNumberFormat="1" applyFont="1" applyBorder="1" applyAlignment="1">
      <alignment horizontal="center"/>
    </xf>
    <xf numFmtId="0" fontId="1" fillId="19" borderId="45" xfId="0" applyFont="1" applyFill="1" applyBorder="1" applyAlignment="1">
      <alignment horizontal="center" vertical="center" wrapText="1"/>
    </xf>
    <xf numFmtId="0" fontId="1" fillId="19" borderId="46" xfId="0" applyFont="1" applyFill="1" applyBorder="1" applyAlignment="1">
      <alignment horizontal="center" vertical="center"/>
    </xf>
    <xf numFmtId="0" fontId="1" fillId="19" borderId="47" xfId="0" applyFont="1" applyFill="1" applyBorder="1" applyAlignment="1">
      <alignment horizontal="center" vertical="center"/>
    </xf>
    <xf numFmtId="0" fontId="1" fillId="19" borderId="39" xfId="0" applyFont="1" applyFill="1" applyBorder="1" applyAlignment="1">
      <alignment horizontal="center" vertical="center"/>
    </xf>
    <xf numFmtId="0" fontId="1" fillId="19" borderId="62" xfId="0" applyFont="1" applyFill="1" applyBorder="1" applyAlignment="1">
      <alignment horizontal="center" vertical="center"/>
    </xf>
    <xf numFmtId="0" fontId="1" fillId="19" borderId="45" xfId="0" applyFont="1" applyFill="1" applyBorder="1" applyAlignment="1">
      <alignment horizontal="center" vertical="center"/>
    </xf>
    <xf numFmtId="0" fontId="1" fillId="19" borderId="59" xfId="0" applyFont="1" applyFill="1" applyBorder="1" applyAlignment="1">
      <alignment horizontal="center" vertical="center"/>
    </xf>
    <xf numFmtId="0" fontId="1" fillId="19" borderId="72" xfId="0" applyFont="1" applyFill="1" applyBorder="1" applyAlignment="1">
      <alignment horizontal="center" vertical="center"/>
    </xf>
    <xf numFmtId="0" fontId="1" fillId="19" borderId="74" xfId="0" applyFont="1" applyFill="1" applyBorder="1" applyAlignment="1">
      <alignment horizontal="center" vertical="center"/>
    </xf>
    <xf numFmtId="3" fontId="0" fillId="0" borderId="61" xfId="0" applyNumberFormat="1" applyFont="1" applyBorder="1" applyAlignment="1">
      <alignment horizontal="center"/>
    </xf>
    <xf numFmtId="0" fontId="0" fillId="0" borderId="79" xfId="0" applyFont="1" applyBorder="1" applyAlignment="1">
      <alignment horizontal="center"/>
    </xf>
    <xf numFmtId="0" fontId="1" fillId="19" borderId="51" xfId="0" applyFont="1" applyFill="1" applyBorder="1" applyAlignment="1">
      <alignment horizontal="center" vertical="center"/>
    </xf>
    <xf numFmtId="3" fontId="0" fillId="0" borderId="32" xfId="0" applyNumberFormat="1" applyFont="1" applyBorder="1" applyAlignment="1">
      <alignment horizontal="center"/>
    </xf>
    <xf numFmtId="0" fontId="0" fillId="0" borderId="34" xfId="0" applyFont="1" applyBorder="1" applyAlignment="1">
      <alignment horizontal="center"/>
    </xf>
    <xf numFmtId="1" fontId="0" fillId="0" borderId="35" xfId="0" applyNumberFormat="1" applyFont="1" applyBorder="1" applyAlignment="1">
      <alignment horizontal="center"/>
    </xf>
    <xf numFmtId="1" fontId="0" fillId="0" borderId="26" xfId="0" applyNumberFormat="1" applyFont="1" applyBorder="1" applyAlignment="1">
      <alignment horizontal="center"/>
    </xf>
    <xf numFmtId="1" fontId="0" fillId="0" borderId="31" xfId="0" applyNumberFormat="1" applyFont="1" applyBorder="1" applyAlignment="1">
      <alignment horizontal="center"/>
    </xf>
    <xf numFmtId="1" fontId="0" fillId="0" borderId="33" xfId="0" applyNumberFormat="1" applyFont="1" applyBorder="1" applyAlignment="1">
      <alignment horizontal="center"/>
    </xf>
    <xf numFmtId="0" fontId="1" fillId="17" borderId="11" xfId="0" applyFont="1" applyFill="1" applyBorder="1" applyAlignment="1">
      <alignment horizontal="center" vertical="center" wrapText="1"/>
    </xf>
    <xf numFmtId="0" fontId="1" fillId="17" borderId="12" xfId="0" applyFont="1" applyFill="1" applyBorder="1" applyAlignment="1">
      <alignment horizontal="center" vertical="center" wrapText="1"/>
    </xf>
    <xf numFmtId="0" fontId="1" fillId="17" borderId="13" xfId="0" applyFont="1" applyFill="1" applyBorder="1" applyAlignment="1">
      <alignment horizontal="center" vertical="center" wrapText="1"/>
    </xf>
    <xf numFmtId="0" fontId="0" fillId="0" borderId="3" xfId="0" applyFont="1" applyBorder="1" applyAlignment="1">
      <alignment horizontal="center" vertical="center"/>
    </xf>
    <xf numFmtId="0" fontId="0" fillId="0" borderId="4" xfId="0" applyFont="1" applyBorder="1" applyAlignment="1">
      <alignment horizontal="center" vertical="center"/>
    </xf>
    <xf numFmtId="0" fontId="0" fillId="0" borderId="50" xfId="0" applyFont="1" applyBorder="1" applyAlignment="1">
      <alignment horizontal="center" vertical="center"/>
    </xf>
    <xf numFmtId="0" fontId="1" fillId="0" borderId="36" xfId="0" applyFont="1" applyBorder="1" applyAlignment="1">
      <alignment horizontal="center" vertical="center"/>
    </xf>
    <xf numFmtId="0" fontId="1" fillId="0" borderId="58" xfId="0" applyFont="1" applyBorder="1" applyAlignment="1">
      <alignment horizontal="center" vertical="center"/>
    </xf>
    <xf numFmtId="0" fontId="1" fillId="0" borderId="60" xfId="0" applyFont="1" applyBorder="1" applyAlignment="1">
      <alignment horizontal="center" vertical="center"/>
    </xf>
    <xf numFmtId="0" fontId="1" fillId="17" borderId="28" xfId="0" applyFont="1" applyFill="1" applyBorder="1" applyAlignment="1">
      <alignment horizontal="center" vertical="center" wrapText="1"/>
    </xf>
    <xf numFmtId="0" fontId="1" fillId="17" borderId="29" xfId="0" applyFont="1" applyFill="1" applyBorder="1" applyAlignment="1">
      <alignment horizontal="center" vertical="center" wrapText="1"/>
    </xf>
    <xf numFmtId="0" fontId="1" fillId="17" borderId="30" xfId="0" applyFont="1" applyFill="1" applyBorder="1" applyAlignment="1">
      <alignment horizontal="center" vertical="center" wrapText="1"/>
    </xf>
    <xf numFmtId="0" fontId="1" fillId="17" borderId="45" xfId="0" applyFont="1" applyFill="1" applyBorder="1" applyAlignment="1">
      <alignment horizontal="center" vertical="center" wrapText="1"/>
    </xf>
    <xf numFmtId="0" fontId="1" fillId="17" borderId="46" xfId="0" applyFont="1" applyFill="1" applyBorder="1" applyAlignment="1">
      <alignment horizontal="center" vertical="center"/>
    </xf>
    <xf numFmtId="0" fontId="1" fillId="17" borderId="47" xfId="0" applyFont="1" applyFill="1" applyBorder="1" applyAlignment="1">
      <alignment horizontal="center" vertical="center"/>
    </xf>
    <xf numFmtId="40" fontId="1" fillId="17" borderId="28" xfId="0" applyNumberFormat="1" applyFont="1" applyFill="1" applyBorder="1" applyAlignment="1">
      <alignment horizontal="center" vertical="center" wrapText="1"/>
    </xf>
    <xf numFmtId="40" fontId="1" fillId="17" borderId="29" xfId="0" applyNumberFormat="1" applyFont="1" applyFill="1" applyBorder="1" applyAlignment="1">
      <alignment horizontal="center" vertical="center" wrapText="1"/>
    </xf>
    <xf numFmtId="40" fontId="1" fillId="17" borderId="30" xfId="0" applyNumberFormat="1" applyFont="1" applyFill="1" applyBorder="1" applyAlignment="1">
      <alignment horizontal="center" vertical="center" wrapText="1"/>
    </xf>
    <xf numFmtId="0" fontId="1" fillId="17" borderId="59" xfId="0" applyFont="1" applyFill="1" applyBorder="1" applyAlignment="1">
      <alignment horizontal="center" vertical="center"/>
    </xf>
    <xf numFmtId="0" fontId="1" fillId="17" borderId="29" xfId="0" applyFont="1" applyFill="1" applyBorder="1" applyAlignment="1">
      <alignment horizontal="center" vertical="center"/>
    </xf>
    <xf numFmtId="0" fontId="1" fillId="17" borderId="30" xfId="0" applyFont="1" applyFill="1" applyBorder="1" applyAlignment="1">
      <alignment horizontal="center" vertical="center"/>
    </xf>
    <xf numFmtId="0" fontId="0" fillId="0" borderId="37" xfId="0" applyFont="1" applyBorder="1" applyAlignment="1">
      <alignment horizontal="center" vertical="center"/>
    </xf>
    <xf numFmtId="0" fontId="0" fillId="0" borderId="40" xfId="0" applyFont="1" applyBorder="1" applyAlignment="1">
      <alignment horizontal="center" vertical="center"/>
    </xf>
    <xf numFmtId="0" fontId="0" fillId="0" borderId="41" xfId="0" applyFont="1" applyBorder="1" applyAlignment="1">
      <alignment horizontal="center" vertical="center"/>
    </xf>
    <xf numFmtId="0" fontId="1" fillId="17" borderId="27" xfId="0" applyFont="1" applyFill="1" applyBorder="1" applyAlignment="1">
      <alignment horizontal="center" vertical="center"/>
    </xf>
    <xf numFmtId="0" fontId="1" fillId="17" borderId="51" xfId="0" applyFont="1" applyFill="1" applyBorder="1" applyAlignment="1">
      <alignment horizontal="center" vertical="center"/>
    </xf>
    <xf numFmtId="0" fontId="1" fillId="17" borderId="9" xfId="0" applyFont="1" applyFill="1" applyBorder="1" applyAlignment="1">
      <alignment horizontal="center"/>
    </xf>
    <xf numFmtId="0" fontId="1" fillId="17" borderId="38" xfId="0" applyFont="1" applyFill="1" applyBorder="1" applyAlignment="1">
      <alignment horizontal="center" vertical="center"/>
    </xf>
    <xf numFmtId="0" fontId="1" fillId="17" borderId="57" xfId="0" applyFont="1" applyFill="1" applyBorder="1" applyAlignment="1">
      <alignment horizontal="center" vertical="center"/>
    </xf>
    <xf numFmtId="0" fontId="1" fillId="17" borderId="78" xfId="0" applyFont="1" applyFill="1" applyBorder="1" applyAlignment="1">
      <alignment horizontal="center" vertical="center"/>
    </xf>
    <xf numFmtId="0" fontId="1" fillId="17" borderId="77" xfId="0" applyFont="1" applyFill="1" applyBorder="1" applyAlignment="1">
      <alignment horizontal="center" vertical="center"/>
    </xf>
    <xf numFmtId="3" fontId="0" fillId="0" borderId="36" xfId="0" applyNumberFormat="1" applyFont="1" applyBorder="1" applyAlignment="1">
      <alignment horizontal="center" vertical="center"/>
    </xf>
    <xf numFmtId="3" fontId="0" fillId="0" borderId="20" xfId="0" applyNumberFormat="1" applyFont="1" applyBorder="1" applyAlignment="1">
      <alignment horizontal="center" vertical="center"/>
    </xf>
    <xf numFmtId="0" fontId="1" fillId="17" borderId="25" xfId="0" applyFont="1" applyFill="1" applyBorder="1" applyAlignment="1">
      <alignment horizontal="center"/>
    </xf>
    <xf numFmtId="0" fontId="1" fillId="17" borderId="18" xfId="0" applyFont="1" applyFill="1" applyBorder="1" applyAlignment="1">
      <alignment horizontal="center"/>
    </xf>
    <xf numFmtId="0" fontId="1" fillId="17" borderId="19" xfId="0" applyFont="1" applyFill="1" applyBorder="1" applyAlignment="1">
      <alignment horizontal="center"/>
    </xf>
    <xf numFmtId="169" fontId="0" fillId="0" borderId="16" xfId="0" applyNumberFormat="1" applyFont="1" applyBorder="1" applyAlignment="1">
      <alignment horizontal="center"/>
    </xf>
    <xf numFmtId="0" fontId="1" fillId="17" borderId="45" xfId="0" applyFont="1" applyFill="1" applyBorder="1" applyAlignment="1">
      <alignment horizontal="center"/>
    </xf>
    <xf numFmtId="0" fontId="1" fillId="17" borderId="46" xfId="0" applyFont="1" applyFill="1" applyBorder="1" applyAlignment="1">
      <alignment horizontal="center"/>
    </xf>
    <xf numFmtId="0" fontId="1" fillId="17" borderId="47" xfId="0" applyFont="1" applyFill="1" applyBorder="1" applyAlignment="1">
      <alignment horizontal="center"/>
    </xf>
    <xf numFmtId="37" fontId="0" fillId="0" borderId="3" xfId="0" applyNumberFormat="1" applyFont="1" applyBorder="1" applyAlignment="1">
      <alignment horizontal="center"/>
    </xf>
    <xf numFmtId="37" fontId="0" fillId="0" borderId="5" xfId="0" applyNumberFormat="1" applyFont="1" applyBorder="1" applyAlignment="1">
      <alignment horizontal="center"/>
    </xf>
    <xf numFmtId="37" fontId="0" fillId="0" borderId="37" xfId="0" applyNumberFormat="1" applyFont="1" applyBorder="1" applyAlignment="1">
      <alignment horizontal="center"/>
    </xf>
    <xf numFmtId="37" fontId="0" fillId="0" borderId="63" xfId="0" applyNumberFormat="1" applyFont="1" applyBorder="1" applyAlignment="1">
      <alignment horizontal="center"/>
    </xf>
    <xf numFmtId="37" fontId="0" fillId="0" borderId="36" xfId="0" applyNumberFormat="1" applyFont="1" applyBorder="1" applyAlignment="1">
      <alignment horizontal="center"/>
    </xf>
    <xf numFmtId="37" fontId="0" fillId="0" borderId="20" xfId="0" applyNumberFormat="1" applyFont="1" applyBorder="1" applyAlignment="1">
      <alignment horizontal="center"/>
    </xf>
    <xf numFmtId="37" fontId="0" fillId="0" borderId="59" xfId="0" applyNumberFormat="1" applyFont="1" applyBorder="1" applyAlignment="1">
      <alignment horizontal="center"/>
    </xf>
    <xf numFmtId="37" fontId="0" fillId="0" borderId="48" xfId="0" applyNumberFormat="1" applyFont="1" applyBorder="1" applyAlignment="1">
      <alignment horizontal="center"/>
    </xf>
    <xf numFmtId="0" fontId="1" fillId="20" borderId="28" xfId="0" applyFont="1" applyFill="1" applyBorder="1" applyAlignment="1">
      <alignment horizontal="center" vertical="center"/>
    </xf>
    <xf numFmtId="0" fontId="1" fillId="20" borderId="29" xfId="0" applyFont="1" applyFill="1" applyBorder="1" applyAlignment="1">
      <alignment horizontal="center" vertical="center"/>
    </xf>
    <xf numFmtId="0" fontId="1" fillId="20" borderId="30" xfId="0" applyFont="1" applyFill="1" applyBorder="1" applyAlignment="1">
      <alignment horizontal="center" vertical="center"/>
    </xf>
    <xf numFmtId="37" fontId="1" fillId="5" borderId="21" xfId="0" applyNumberFormat="1" applyFont="1" applyFill="1" applyBorder="1" applyAlignment="1">
      <alignment horizontal="center"/>
    </xf>
    <xf numFmtId="37" fontId="1" fillId="5" borderId="22" xfId="0" applyNumberFormat="1" applyFont="1" applyFill="1" applyBorder="1" applyAlignment="1">
      <alignment horizontal="center"/>
    </xf>
    <xf numFmtId="37" fontId="1" fillId="5" borderId="23" xfId="0" applyNumberFormat="1" applyFont="1" applyFill="1" applyBorder="1" applyAlignment="1">
      <alignment horizontal="center"/>
    </xf>
    <xf numFmtId="0" fontId="1" fillId="28" borderId="25" xfId="0" applyFont="1" applyFill="1" applyBorder="1" applyAlignment="1">
      <alignment horizontal="center" vertical="center" wrapText="1"/>
    </xf>
    <xf numFmtId="0" fontId="1" fillId="28" borderId="18" xfId="0" applyFont="1" applyFill="1" applyBorder="1" applyAlignment="1">
      <alignment horizontal="center" vertical="center" wrapText="1"/>
    </xf>
    <xf numFmtId="0" fontId="1" fillId="28" borderId="19" xfId="0" applyFont="1" applyFill="1" applyBorder="1" applyAlignment="1">
      <alignment horizontal="center" vertical="center" wrapText="1"/>
    </xf>
    <xf numFmtId="0" fontId="1" fillId="28" borderId="21" xfId="0" applyFont="1" applyFill="1" applyBorder="1" applyAlignment="1">
      <alignment horizontal="center" vertical="center" wrapText="1"/>
    </xf>
    <xf numFmtId="0" fontId="1" fillId="28" borderId="22" xfId="0" applyFont="1" applyFill="1" applyBorder="1" applyAlignment="1">
      <alignment horizontal="center" vertical="center" wrapText="1"/>
    </xf>
    <xf numFmtId="0" fontId="1" fillId="28" borderId="23" xfId="0" applyFont="1" applyFill="1" applyBorder="1" applyAlignment="1">
      <alignment horizontal="center" vertical="center" wrapText="1"/>
    </xf>
    <xf numFmtId="37" fontId="0" fillId="0" borderId="36" xfId="0" applyNumberFormat="1" applyBorder="1" applyAlignment="1">
      <alignment horizontal="center"/>
    </xf>
    <xf numFmtId="37" fontId="0" fillId="0" borderId="20" xfId="0" applyNumberFormat="1" applyBorder="1" applyAlignment="1">
      <alignment horizontal="center"/>
    </xf>
    <xf numFmtId="37" fontId="0" fillId="0" borderId="35" xfId="0" applyNumberFormat="1" applyBorder="1" applyAlignment="1">
      <alignment horizontal="center"/>
    </xf>
    <xf numFmtId="37" fontId="0" fillId="0" borderId="26" xfId="0" applyNumberFormat="1" applyBorder="1" applyAlignment="1">
      <alignment horizontal="center"/>
    </xf>
    <xf numFmtId="37" fontId="0" fillId="0" borderId="3" xfId="0" applyNumberFormat="1" applyBorder="1" applyAlignment="1">
      <alignment horizontal="center"/>
    </xf>
    <xf numFmtId="37" fontId="0" fillId="0" borderId="5" xfId="0" applyNumberFormat="1" applyBorder="1" applyAlignment="1">
      <alignment horizontal="center"/>
    </xf>
    <xf numFmtId="0" fontId="1" fillId="21" borderId="27" xfId="0" applyFont="1" applyFill="1" applyBorder="1" applyAlignment="1">
      <alignment horizontal="center"/>
    </xf>
    <xf numFmtId="0" fontId="0" fillId="21" borderId="9" xfId="0" applyFill="1" applyBorder="1" applyAlignment="1">
      <alignment horizontal="center"/>
    </xf>
    <xf numFmtId="0" fontId="0" fillId="21" borderId="38" xfId="0" applyFill="1" applyBorder="1" applyAlignment="1">
      <alignment horizontal="center"/>
    </xf>
    <xf numFmtId="0" fontId="20" fillId="0" borderId="7" xfId="0" applyFont="1" applyBorder="1" applyAlignment="1">
      <alignment horizontal="center" vertical="center" wrapText="1"/>
    </xf>
    <xf numFmtId="0" fontId="20" fillId="0" borderId="8" xfId="0" applyFont="1" applyBorder="1" applyAlignment="1">
      <alignment horizontal="center" vertical="center"/>
    </xf>
    <xf numFmtId="0" fontId="20" fillId="0" borderId="9" xfId="0" applyFont="1" applyBorder="1" applyAlignment="1">
      <alignment horizontal="center" vertical="center"/>
    </xf>
    <xf numFmtId="0" fontId="20" fillId="9" borderId="0" xfId="0" applyFont="1" applyFill="1" applyAlignment="1">
      <alignment horizontal="center" vertical="center"/>
    </xf>
    <xf numFmtId="0" fontId="20" fillId="12" borderId="7" xfId="0" applyFont="1" applyFill="1" applyBorder="1" applyAlignment="1">
      <alignment horizontal="center" vertical="center" wrapText="1"/>
    </xf>
    <xf numFmtId="0" fontId="20" fillId="12" borderId="8" xfId="0" applyFont="1" applyFill="1" applyBorder="1" applyAlignment="1">
      <alignment horizontal="center" vertical="center"/>
    </xf>
    <xf numFmtId="0" fontId="20" fillId="12" borderId="9" xfId="0" applyFont="1" applyFill="1" applyBorder="1" applyAlignment="1">
      <alignment horizontal="center" vertical="center"/>
    </xf>
    <xf numFmtId="0" fontId="20" fillId="13" borderId="7" xfId="0" applyFont="1" applyFill="1" applyBorder="1" applyAlignment="1">
      <alignment horizontal="center" vertical="center" wrapText="1"/>
    </xf>
    <xf numFmtId="0" fontId="20" fillId="13" borderId="8" xfId="0" applyFont="1" applyFill="1" applyBorder="1" applyAlignment="1">
      <alignment horizontal="center" vertical="center"/>
    </xf>
    <xf numFmtId="0" fontId="20" fillId="13" borderId="9" xfId="0" applyFont="1" applyFill="1" applyBorder="1" applyAlignment="1">
      <alignment horizontal="center" vertical="center"/>
    </xf>
    <xf numFmtId="0" fontId="20" fillId="0" borderId="7" xfId="0" applyFont="1" applyFill="1" applyBorder="1" applyAlignment="1">
      <alignment horizontal="center" vertical="center" wrapText="1"/>
    </xf>
    <xf numFmtId="0" fontId="20" fillId="0" borderId="8" xfId="0" applyFont="1" applyFill="1" applyBorder="1" applyAlignment="1">
      <alignment horizontal="center" vertical="center"/>
    </xf>
    <xf numFmtId="0" fontId="20" fillId="0" borderId="9" xfId="0" applyFont="1" applyFill="1" applyBorder="1" applyAlignment="1">
      <alignment horizontal="center" vertical="center"/>
    </xf>
    <xf numFmtId="0" fontId="10" fillId="0" borderId="1" xfId="1" applyBorder="1" applyAlignment="1">
      <alignment horizontal="center" vertical="center"/>
    </xf>
    <xf numFmtId="0" fontId="10" fillId="0" borderId="1" xfId="1" applyFont="1" applyBorder="1" applyAlignment="1">
      <alignment horizontal="center" vertical="center"/>
    </xf>
    <xf numFmtId="0" fontId="60" fillId="0" borderId="1" xfId="1" applyFont="1" applyFill="1" applyBorder="1" applyAlignment="1">
      <alignment horizontal="center" vertical="center"/>
    </xf>
    <xf numFmtId="0" fontId="0" fillId="0" borderId="1" xfId="0" applyBorder="1" applyAlignment="1">
      <alignment horizontal="center" vertical="center" wrapText="1"/>
    </xf>
    <xf numFmtId="0" fontId="10" fillId="0" borderId="1" xfId="1" applyBorder="1" applyAlignment="1">
      <alignment horizontal="center" vertical="center" wrapText="1"/>
    </xf>
    <xf numFmtId="0" fontId="0" fillId="0" borderId="31" xfId="0" applyBorder="1" applyAlignment="1">
      <alignment horizontal="center" vertical="center"/>
    </xf>
    <xf numFmtId="0" fontId="0" fillId="0" borderId="2" xfId="0" applyBorder="1" applyAlignment="1">
      <alignment horizontal="center" vertical="center"/>
    </xf>
    <xf numFmtId="0" fontId="0" fillId="0" borderId="33" xfId="0" applyBorder="1" applyAlignment="1">
      <alignment horizontal="center" vertical="center"/>
    </xf>
    <xf numFmtId="0" fontId="0" fillId="0" borderId="32" xfId="0" applyBorder="1" applyAlignment="1">
      <alignment horizontal="center" vertical="center"/>
    </xf>
    <xf numFmtId="0" fontId="0" fillId="0" borderId="34" xfId="0" applyBorder="1" applyAlignment="1">
      <alignment horizontal="center" vertical="center"/>
    </xf>
    <xf numFmtId="0" fontId="0" fillId="0" borderId="35" xfId="0" applyBorder="1" applyAlignment="1">
      <alignment horizontal="center" vertical="center"/>
    </xf>
    <xf numFmtId="0" fontId="0" fillId="0" borderId="65" xfId="0" applyBorder="1" applyAlignment="1">
      <alignment horizontal="center" vertical="center"/>
    </xf>
    <xf numFmtId="0" fontId="0" fillId="0" borderId="26" xfId="0" applyBorder="1" applyAlignment="1">
      <alignment horizontal="center" vertical="center"/>
    </xf>
    <xf numFmtId="0" fontId="10" fillId="0" borderId="31" xfId="1" applyBorder="1" applyAlignment="1">
      <alignment horizontal="center" vertical="center"/>
    </xf>
    <xf numFmtId="0" fontId="0" fillId="0" borderId="31" xfId="0" applyBorder="1" applyAlignment="1">
      <alignment horizontal="center" vertical="center" wrapText="1"/>
    </xf>
    <xf numFmtId="0" fontId="0" fillId="0" borderId="3" xfId="0" applyFill="1" applyBorder="1" applyAlignment="1">
      <alignment horizontal="center" vertical="center"/>
    </xf>
    <xf numFmtId="0" fontId="0" fillId="0" borderId="4" xfId="0" applyFill="1" applyBorder="1" applyAlignment="1">
      <alignment horizontal="center" vertical="center"/>
    </xf>
    <xf numFmtId="0" fontId="0" fillId="0" borderId="5" xfId="0" applyFill="1" applyBorder="1" applyAlignment="1">
      <alignment horizontal="center" vertical="center"/>
    </xf>
    <xf numFmtId="0" fontId="10" fillId="0" borderId="3" xfId="1" applyBorder="1" applyAlignment="1">
      <alignment horizontal="center" vertical="center"/>
    </xf>
    <xf numFmtId="0" fontId="10" fillId="0" borderId="4" xfId="1" applyBorder="1" applyAlignment="1">
      <alignment horizontal="center" vertical="center"/>
    </xf>
    <xf numFmtId="0" fontId="10" fillId="0" borderId="5" xfId="1" applyBorder="1" applyAlignment="1">
      <alignment horizontal="center" vertical="center"/>
    </xf>
    <xf numFmtId="0" fontId="10" fillId="0" borderId="3" xfId="1" applyFill="1" applyBorder="1" applyAlignment="1">
      <alignment horizontal="center" vertical="center"/>
    </xf>
    <xf numFmtId="0" fontId="10" fillId="0" borderId="4" xfId="1" applyFill="1" applyBorder="1" applyAlignment="1">
      <alignment horizontal="center" vertical="center"/>
    </xf>
    <xf numFmtId="0" fontId="10" fillId="0" borderId="5" xfId="1" applyFill="1" applyBorder="1" applyAlignment="1">
      <alignment horizontal="center" vertical="center"/>
    </xf>
    <xf numFmtId="0" fontId="27" fillId="0" borderId="1" xfId="1" applyFont="1" applyBorder="1" applyAlignment="1">
      <alignment horizontal="center" vertical="center" wrapText="1"/>
    </xf>
    <xf numFmtId="0" fontId="2" fillId="0" borderId="1" xfId="0" applyFont="1" applyBorder="1" applyAlignment="1">
      <alignment horizontal="center" vertical="center"/>
    </xf>
    <xf numFmtId="0" fontId="18" fillId="0" borderId="1" xfId="0" applyFont="1" applyBorder="1" applyAlignment="1">
      <alignment horizontal="center" vertical="center" wrapText="1"/>
    </xf>
    <xf numFmtId="0" fontId="18" fillId="0" borderId="1" xfId="0" applyFont="1" applyBorder="1" applyAlignment="1">
      <alignment horizontal="center" vertical="center"/>
    </xf>
    <xf numFmtId="0" fontId="0" fillId="0" borderId="1" xfId="0" applyFont="1" applyBorder="1" applyAlignment="1">
      <alignment horizontal="center" vertical="center" wrapText="1"/>
    </xf>
    <xf numFmtId="0" fontId="23" fillId="0" borderId="1" xfId="0" applyFont="1" applyBorder="1" applyAlignment="1">
      <alignment horizontal="center" vertical="center"/>
    </xf>
    <xf numFmtId="0" fontId="2" fillId="0" borderId="32" xfId="0" applyFont="1" applyBorder="1" applyAlignment="1">
      <alignment horizontal="center" vertical="center"/>
    </xf>
    <xf numFmtId="0" fontId="17" fillId="5" borderId="1" xfId="0" applyFont="1" applyFill="1" applyBorder="1" applyAlignment="1">
      <alignment horizontal="center" vertical="center"/>
    </xf>
    <xf numFmtId="0" fontId="20" fillId="0" borderId="1" xfId="0" applyFont="1" applyBorder="1" applyAlignment="1">
      <alignment horizontal="center" vertical="center"/>
    </xf>
    <xf numFmtId="0" fontId="0" fillId="0" borderId="3" xfId="0" applyBorder="1" applyAlignment="1">
      <alignment horizontal="center" vertical="center" wrapText="1"/>
    </xf>
    <xf numFmtId="0" fontId="0" fillId="0" borderId="1" xfId="0" applyFont="1" applyFill="1" applyBorder="1" applyAlignment="1">
      <alignment horizontal="center" vertical="center" wrapText="1"/>
    </xf>
    <xf numFmtId="0" fontId="0" fillId="0" borderId="2" xfId="0" applyBorder="1" applyAlignment="1">
      <alignment horizontal="center"/>
    </xf>
    <xf numFmtId="0" fontId="0" fillId="26" borderId="0" xfId="0" applyFill="1" applyAlignment="1">
      <alignment horizontal="center"/>
    </xf>
  </cellXfs>
  <cellStyles count="3">
    <cellStyle name="Comma 2" xfId="2" xr:uid="{1395CD0B-01D6-4D52-BAFA-49062A9FC8E7}"/>
    <cellStyle name="Hyperlink" xfId="1" builtinId="8"/>
    <cellStyle name="Normal" xfId="0" builtinId="0"/>
  </cellStyles>
  <dxfs count="0"/>
  <tableStyles count="0" defaultTableStyle="TableStyleMedium2" defaultPivotStyle="PivotStyleLight16"/>
  <colors>
    <mruColors>
      <color rgb="FF8C3FC5"/>
      <color rgb="FF66CCFF"/>
      <color rgb="FFAC75D5"/>
      <color rgb="FFFF0000"/>
      <color rgb="FF00CCFF"/>
      <color rgb="FF251B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2.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drawing2.xml.rels><?xml version="1.0" encoding="UTF-8" standalone="yes"?>
<Relationships xmlns="http://schemas.openxmlformats.org/package/2006/relationships"><Relationship Id="rId8" Type="http://schemas.openxmlformats.org/officeDocument/2006/relationships/image" Target="../media/image8.svg"/><Relationship Id="rId3" Type="http://schemas.openxmlformats.org/officeDocument/2006/relationships/image" Target="../media/image3.png"/><Relationship Id="rId7" Type="http://schemas.openxmlformats.org/officeDocument/2006/relationships/image" Target="../media/image7.png"/><Relationship Id="rId2" Type="http://schemas.openxmlformats.org/officeDocument/2006/relationships/image" Target="../media/image2.svg"/><Relationship Id="rId1" Type="http://schemas.openxmlformats.org/officeDocument/2006/relationships/image" Target="../media/image1.png"/><Relationship Id="rId6" Type="http://schemas.openxmlformats.org/officeDocument/2006/relationships/image" Target="../media/image6.svg"/><Relationship Id="rId5" Type="http://schemas.openxmlformats.org/officeDocument/2006/relationships/image" Target="../media/image5.png"/><Relationship Id="rId10" Type="http://schemas.openxmlformats.org/officeDocument/2006/relationships/image" Target="../media/image10.png"/><Relationship Id="rId4" Type="http://schemas.openxmlformats.org/officeDocument/2006/relationships/image" Target="../media/image4.svg"/><Relationship Id="rId9" Type="http://schemas.openxmlformats.org/officeDocument/2006/relationships/image" Target="../media/image9.png"/></Relationships>
</file>

<file path=xl/drawings/drawing1.xml><?xml version="1.0" encoding="utf-8"?>
<xdr:wsDr xmlns:xdr="http://schemas.openxmlformats.org/drawingml/2006/spreadsheetDrawing" xmlns:a="http://schemas.openxmlformats.org/drawingml/2006/main">
  <xdr:twoCellAnchor>
    <xdr:from>
      <xdr:col>1</xdr:col>
      <xdr:colOff>9526</xdr:colOff>
      <xdr:row>22</xdr:row>
      <xdr:rowOff>2</xdr:rowOff>
    </xdr:from>
    <xdr:to>
      <xdr:col>1</xdr:col>
      <xdr:colOff>1143001</xdr:colOff>
      <xdr:row>34</xdr:row>
      <xdr:rowOff>2</xdr:rowOff>
    </xdr:to>
    <xdr:sp macro="" textlink="">
      <xdr:nvSpPr>
        <xdr:cNvPr id="10" name="Rectangle 9">
          <a:extLst>
            <a:ext uri="{FF2B5EF4-FFF2-40B4-BE49-F238E27FC236}">
              <a16:creationId xmlns:a16="http://schemas.microsoft.com/office/drawing/2014/main" id="{30ED0BBD-02A1-478D-8E7E-1CA02285E761}"/>
            </a:ext>
          </a:extLst>
        </xdr:cNvPr>
        <xdr:cNvSpPr/>
      </xdr:nvSpPr>
      <xdr:spPr>
        <a:xfrm rot="16200000">
          <a:off x="-4761" y="3624264"/>
          <a:ext cx="2381250" cy="1133475"/>
        </a:xfrm>
        <a:prstGeom prst="rect">
          <a:avLst/>
        </a:prstGeom>
        <a:solidFill>
          <a:srgbClr val="00B0F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28576</xdr:colOff>
      <xdr:row>24</xdr:row>
      <xdr:rowOff>47625</xdr:rowOff>
    </xdr:from>
    <xdr:to>
      <xdr:col>1</xdr:col>
      <xdr:colOff>1095376</xdr:colOff>
      <xdr:row>32</xdr:row>
      <xdr:rowOff>57150</xdr:rowOff>
    </xdr:to>
    <xdr:sp macro="" textlink="">
      <xdr:nvSpPr>
        <xdr:cNvPr id="11" name="TextBox 10">
          <a:extLst>
            <a:ext uri="{FF2B5EF4-FFF2-40B4-BE49-F238E27FC236}">
              <a16:creationId xmlns:a16="http://schemas.microsoft.com/office/drawing/2014/main" id="{7592D9D5-A203-4D5B-B7DE-91936B883C1E}"/>
            </a:ext>
          </a:extLst>
        </xdr:cNvPr>
        <xdr:cNvSpPr txBox="1"/>
      </xdr:nvSpPr>
      <xdr:spPr>
        <a:xfrm>
          <a:off x="638176" y="3476625"/>
          <a:ext cx="1066800" cy="1581150"/>
        </a:xfrm>
        <a:prstGeom prst="rect">
          <a:avLst/>
        </a:prstGeom>
        <a:solidFill>
          <a:srgbClr val="00B0F0"/>
        </a:solidFill>
        <a:ln w="9525" cmpd="sng">
          <a:solidFill>
            <a:srgbClr val="00B0F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a:t>Space Availability in Existing Digester</a:t>
          </a:r>
        </a:p>
      </xdr:txBody>
    </xdr:sp>
    <xdr:clientData/>
  </xdr:twoCellAnchor>
  <xdr:twoCellAnchor>
    <xdr:from>
      <xdr:col>1</xdr:col>
      <xdr:colOff>1147765</xdr:colOff>
      <xdr:row>21</xdr:row>
      <xdr:rowOff>109537</xdr:rowOff>
    </xdr:from>
    <xdr:to>
      <xdr:col>1</xdr:col>
      <xdr:colOff>1604965</xdr:colOff>
      <xdr:row>23</xdr:row>
      <xdr:rowOff>100012</xdr:rowOff>
    </xdr:to>
    <xdr:sp macro="" textlink="">
      <xdr:nvSpPr>
        <xdr:cNvPr id="12" name="Arrow: Down 11">
          <a:extLst>
            <a:ext uri="{FF2B5EF4-FFF2-40B4-BE49-F238E27FC236}">
              <a16:creationId xmlns:a16="http://schemas.microsoft.com/office/drawing/2014/main" id="{378952D0-F0E3-4F50-B0B3-9BD452F0DBA4}"/>
            </a:ext>
          </a:extLst>
        </xdr:cNvPr>
        <xdr:cNvSpPr/>
      </xdr:nvSpPr>
      <xdr:spPr>
        <a:xfrm rot="16200000">
          <a:off x="1800227" y="2876550"/>
          <a:ext cx="371475" cy="457200"/>
        </a:xfrm>
        <a:prstGeom prst="down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1147764</xdr:colOff>
      <xdr:row>32</xdr:row>
      <xdr:rowOff>109537</xdr:rowOff>
    </xdr:from>
    <xdr:to>
      <xdr:col>1</xdr:col>
      <xdr:colOff>1604964</xdr:colOff>
      <xdr:row>34</xdr:row>
      <xdr:rowOff>100012</xdr:rowOff>
    </xdr:to>
    <xdr:sp macro="" textlink="">
      <xdr:nvSpPr>
        <xdr:cNvPr id="13" name="Arrow: Down 12">
          <a:extLst>
            <a:ext uri="{FF2B5EF4-FFF2-40B4-BE49-F238E27FC236}">
              <a16:creationId xmlns:a16="http://schemas.microsoft.com/office/drawing/2014/main" id="{5A5918AC-605A-4042-96C9-6BB8CA397983}"/>
            </a:ext>
          </a:extLst>
        </xdr:cNvPr>
        <xdr:cNvSpPr/>
      </xdr:nvSpPr>
      <xdr:spPr>
        <a:xfrm rot="16200000">
          <a:off x="1800226" y="5067300"/>
          <a:ext cx="371475" cy="457200"/>
        </a:xfrm>
        <a:prstGeom prst="down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1609724</xdr:colOff>
      <xdr:row>18</xdr:row>
      <xdr:rowOff>114299</xdr:rowOff>
    </xdr:from>
    <xdr:to>
      <xdr:col>1</xdr:col>
      <xdr:colOff>4057650</xdr:colOff>
      <xdr:row>26</xdr:row>
      <xdr:rowOff>19050</xdr:rowOff>
    </xdr:to>
    <xdr:sp macro="" textlink="">
      <xdr:nvSpPr>
        <xdr:cNvPr id="14" name="Diamond 13">
          <a:extLst>
            <a:ext uri="{FF2B5EF4-FFF2-40B4-BE49-F238E27FC236}">
              <a16:creationId xmlns:a16="http://schemas.microsoft.com/office/drawing/2014/main" id="{1F8FCA76-EA6B-4A62-9268-207750660580}"/>
            </a:ext>
          </a:extLst>
        </xdr:cNvPr>
        <xdr:cNvSpPr/>
      </xdr:nvSpPr>
      <xdr:spPr>
        <a:xfrm>
          <a:off x="2219324" y="2924174"/>
          <a:ext cx="2447926" cy="1524001"/>
        </a:xfrm>
        <a:prstGeom prst="diamond">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2324100</xdr:colOff>
      <xdr:row>20</xdr:row>
      <xdr:rowOff>171450</xdr:rowOff>
    </xdr:from>
    <xdr:to>
      <xdr:col>1</xdr:col>
      <xdr:colOff>3400425</xdr:colOff>
      <xdr:row>24</xdr:row>
      <xdr:rowOff>0</xdr:rowOff>
    </xdr:to>
    <xdr:sp macro="" textlink="">
      <xdr:nvSpPr>
        <xdr:cNvPr id="16" name="TextBox 15">
          <a:extLst>
            <a:ext uri="{FF2B5EF4-FFF2-40B4-BE49-F238E27FC236}">
              <a16:creationId xmlns:a16="http://schemas.microsoft.com/office/drawing/2014/main" id="{6EAEAD97-4064-42B2-8FD6-23F9D156B874}"/>
            </a:ext>
          </a:extLst>
        </xdr:cNvPr>
        <xdr:cNvSpPr txBox="1"/>
      </xdr:nvSpPr>
      <xdr:spPr>
        <a:xfrm>
          <a:off x="2933700" y="3362325"/>
          <a:ext cx="1076325" cy="638175"/>
        </a:xfrm>
        <a:prstGeom prst="rect">
          <a:avLst/>
        </a:prstGeom>
        <a:solidFill>
          <a:srgbClr val="FFC000"/>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800" b="1"/>
            <a:t> </a:t>
          </a:r>
          <a:r>
            <a:rPr lang="en-US" sz="1600" b="1"/>
            <a:t>Space </a:t>
          </a:r>
          <a:r>
            <a:rPr lang="en-US" sz="1600" b="1">
              <a:solidFill>
                <a:schemeClr val="dk1"/>
              </a:solidFill>
              <a:effectLst/>
              <a:latin typeface="+mn-lt"/>
              <a:ea typeface="+mn-ea"/>
              <a:cs typeface="+mn-cs"/>
            </a:rPr>
            <a:t>Available</a:t>
          </a:r>
          <a:r>
            <a:rPr lang="en-US" sz="1600" b="1"/>
            <a:t>?</a:t>
          </a:r>
        </a:p>
      </xdr:txBody>
    </xdr:sp>
    <xdr:clientData/>
  </xdr:twoCellAnchor>
  <xdr:twoCellAnchor>
    <xdr:from>
      <xdr:col>1</xdr:col>
      <xdr:colOff>4076699</xdr:colOff>
      <xdr:row>21</xdr:row>
      <xdr:rowOff>104775</xdr:rowOff>
    </xdr:from>
    <xdr:to>
      <xdr:col>2</xdr:col>
      <xdr:colOff>104774</xdr:colOff>
      <xdr:row>23</xdr:row>
      <xdr:rowOff>133350</xdr:rowOff>
    </xdr:to>
    <xdr:sp macro="" textlink="">
      <xdr:nvSpPr>
        <xdr:cNvPr id="26" name="Arrow: Down 25">
          <a:extLst>
            <a:ext uri="{FF2B5EF4-FFF2-40B4-BE49-F238E27FC236}">
              <a16:creationId xmlns:a16="http://schemas.microsoft.com/office/drawing/2014/main" id="{124652C0-4C90-4EFE-ACF1-9C97EF6C10A3}"/>
            </a:ext>
          </a:extLst>
        </xdr:cNvPr>
        <xdr:cNvSpPr/>
      </xdr:nvSpPr>
      <xdr:spPr>
        <a:xfrm rot="16200000">
          <a:off x="4752974" y="3419475"/>
          <a:ext cx="409575" cy="542925"/>
        </a:xfrm>
        <a:prstGeom prst="down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4019549</xdr:colOff>
      <xdr:row>32</xdr:row>
      <xdr:rowOff>85725</xdr:rowOff>
    </xdr:from>
    <xdr:to>
      <xdr:col>2</xdr:col>
      <xdr:colOff>47624</xdr:colOff>
      <xdr:row>34</xdr:row>
      <xdr:rowOff>114300</xdr:rowOff>
    </xdr:to>
    <xdr:sp macro="" textlink="">
      <xdr:nvSpPr>
        <xdr:cNvPr id="27" name="Arrow: Down 26">
          <a:extLst>
            <a:ext uri="{FF2B5EF4-FFF2-40B4-BE49-F238E27FC236}">
              <a16:creationId xmlns:a16="http://schemas.microsoft.com/office/drawing/2014/main" id="{9604CE40-1F59-4681-B25C-B6022E17D1E8}"/>
            </a:ext>
          </a:extLst>
        </xdr:cNvPr>
        <xdr:cNvSpPr/>
      </xdr:nvSpPr>
      <xdr:spPr>
        <a:xfrm rot="16200000">
          <a:off x="4695824" y="5591175"/>
          <a:ext cx="409575" cy="542925"/>
        </a:xfrm>
        <a:prstGeom prst="downArrow">
          <a:avLst/>
        </a:prstGeom>
        <a:solidFill>
          <a:srgbClr val="7030A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114301</xdr:colOff>
      <xdr:row>19</xdr:row>
      <xdr:rowOff>161925</xdr:rowOff>
    </xdr:from>
    <xdr:to>
      <xdr:col>3</xdr:col>
      <xdr:colOff>1066801</xdr:colOff>
      <xdr:row>25</xdr:row>
      <xdr:rowOff>47625</xdr:rowOff>
    </xdr:to>
    <xdr:sp macro="" textlink="">
      <xdr:nvSpPr>
        <xdr:cNvPr id="28" name="Rectangle 27">
          <a:extLst>
            <a:ext uri="{FF2B5EF4-FFF2-40B4-BE49-F238E27FC236}">
              <a16:creationId xmlns:a16="http://schemas.microsoft.com/office/drawing/2014/main" id="{FB4617D7-3135-4C32-BBC5-7E12FCD7122F}"/>
            </a:ext>
          </a:extLst>
        </xdr:cNvPr>
        <xdr:cNvSpPr/>
      </xdr:nvSpPr>
      <xdr:spPr>
        <a:xfrm>
          <a:off x="5238751" y="3162300"/>
          <a:ext cx="1981200" cy="1123950"/>
        </a:xfrm>
        <a:prstGeom prst="rect">
          <a:avLst/>
        </a:prstGeom>
        <a:solidFill>
          <a:schemeClr val="accent1">
            <a:lumMod val="60000"/>
            <a:lumOff val="40000"/>
          </a:schemeClr>
        </a:solidFill>
        <a:ln>
          <a:solidFill>
            <a:schemeClr val="accent1">
              <a:lumMod val="7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2</xdr:col>
      <xdr:colOff>76199</xdr:colOff>
      <xdr:row>29</xdr:row>
      <xdr:rowOff>180975</xdr:rowOff>
    </xdr:from>
    <xdr:to>
      <xdr:col>3</xdr:col>
      <xdr:colOff>1114425</xdr:colOff>
      <xdr:row>36</xdr:row>
      <xdr:rowOff>47624</xdr:rowOff>
    </xdr:to>
    <xdr:sp macro="" textlink="">
      <xdr:nvSpPr>
        <xdr:cNvPr id="29" name="Rectangle 28">
          <a:extLst>
            <a:ext uri="{FF2B5EF4-FFF2-40B4-BE49-F238E27FC236}">
              <a16:creationId xmlns:a16="http://schemas.microsoft.com/office/drawing/2014/main" id="{ABBD2C51-00B2-4C14-934C-F9F5F0FC524D}"/>
            </a:ext>
          </a:extLst>
        </xdr:cNvPr>
        <xdr:cNvSpPr/>
      </xdr:nvSpPr>
      <xdr:spPr>
        <a:xfrm>
          <a:off x="5200649" y="5476875"/>
          <a:ext cx="2066926" cy="1200149"/>
        </a:xfrm>
        <a:prstGeom prst="rect">
          <a:avLst/>
        </a:prstGeom>
        <a:solidFill>
          <a:schemeClr val="accent1">
            <a:lumMod val="60000"/>
            <a:lumOff val="40000"/>
          </a:schemeClr>
        </a:solidFill>
        <a:ln>
          <a:solidFill>
            <a:schemeClr val="accent1">
              <a:lumMod val="60000"/>
              <a:lumOff val="4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solidFill>
              <a:sysClr val="windowText" lastClr="000000"/>
            </a:solidFill>
          </a:endParaRPr>
        </a:p>
      </xdr:txBody>
    </xdr:sp>
    <xdr:clientData/>
  </xdr:twoCellAnchor>
  <xdr:twoCellAnchor>
    <xdr:from>
      <xdr:col>2</xdr:col>
      <xdr:colOff>238125</xdr:colOff>
      <xdr:row>20</xdr:row>
      <xdr:rowOff>57149</xdr:rowOff>
    </xdr:from>
    <xdr:to>
      <xdr:col>3</xdr:col>
      <xdr:colOff>990600</xdr:colOff>
      <xdr:row>24</xdr:row>
      <xdr:rowOff>228599</xdr:rowOff>
    </xdr:to>
    <xdr:sp macro="" textlink="">
      <xdr:nvSpPr>
        <xdr:cNvPr id="30" name="TextBox 29">
          <a:extLst>
            <a:ext uri="{FF2B5EF4-FFF2-40B4-BE49-F238E27FC236}">
              <a16:creationId xmlns:a16="http://schemas.microsoft.com/office/drawing/2014/main" id="{CC9D5F58-EEF5-44C4-9802-D1CF5024BB14}"/>
            </a:ext>
          </a:extLst>
        </xdr:cNvPr>
        <xdr:cNvSpPr txBox="1"/>
      </xdr:nvSpPr>
      <xdr:spPr>
        <a:xfrm>
          <a:off x="5362575" y="3248024"/>
          <a:ext cx="1781175" cy="981075"/>
        </a:xfrm>
        <a:prstGeom prst="rect">
          <a:avLst/>
        </a:prstGeom>
        <a:solidFill>
          <a:schemeClr val="accent1">
            <a:lumMod val="60000"/>
            <a:lumOff val="40000"/>
          </a:schemeClr>
        </a:solidFill>
        <a:ln w="95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Go to Next Sheet  </a:t>
          </a:r>
        </a:p>
      </xdr:txBody>
    </xdr:sp>
    <xdr:clientData/>
  </xdr:twoCellAnchor>
  <xdr:twoCellAnchor>
    <xdr:from>
      <xdr:col>1</xdr:col>
      <xdr:colOff>1619249</xdr:colOff>
      <xdr:row>29</xdr:row>
      <xdr:rowOff>161926</xdr:rowOff>
    </xdr:from>
    <xdr:to>
      <xdr:col>1</xdr:col>
      <xdr:colOff>4000500</xdr:colOff>
      <xdr:row>37</xdr:row>
      <xdr:rowOff>0</xdr:rowOff>
    </xdr:to>
    <xdr:sp macro="" textlink="">
      <xdr:nvSpPr>
        <xdr:cNvPr id="31" name="Diamond 30">
          <a:extLst>
            <a:ext uri="{FF2B5EF4-FFF2-40B4-BE49-F238E27FC236}">
              <a16:creationId xmlns:a16="http://schemas.microsoft.com/office/drawing/2014/main" id="{155FC0FA-944F-49F9-B935-D2FBBC540F54}"/>
            </a:ext>
          </a:extLst>
        </xdr:cNvPr>
        <xdr:cNvSpPr/>
      </xdr:nvSpPr>
      <xdr:spPr>
        <a:xfrm>
          <a:off x="2228849" y="5162551"/>
          <a:ext cx="2381251" cy="1371600"/>
        </a:xfrm>
        <a:prstGeom prst="diamond">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2276475</xdr:colOff>
      <xdr:row>31</xdr:row>
      <xdr:rowOff>161925</xdr:rowOff>
    </xdr:from>
    <xdr:to>
      <xdr:col>1</xdr:col>
      <xdr:colOff>3381375</xdr:colOff>
      <xdr:row>35</xdr:row>
      <xdr:rowOff>38100</xdr:rowOff>
    </xdr:to>
    <xdr:sp macro="" textlink="">
      <xdr:nvSpPr>
        <xdr:cNvPr id="32" name="TextBox 31">
          <a:extLst>
            <a:ext uri="{FF2B5EF4-FFF2-40B4-BE49-F238E27FC236}">
              <a16:creationId xmlns:a16="http://schemas.microsoft.com/office/drawing/2014/main" id="{6AFB69D3-9C5A-487C-9DD4-0971F4685ACA}"/>
            </a:ext>
          </a:extLst>
        </xdr:cNvPr>
        <xdr:cNvSpPr txBox="1"/>
      </xdr:nvSpPr>
      <xdr:spPr>
        <a:xfrm>
          <a:off x="2886075" y="5543550"/>
          <a:ext cx="1104900" cy="638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600" b="1"/>
            <a:t>No</a:t>
          </a:r>
          <a:r>
            <a:rPr lang="en-US" sz="1600" b="1" baseline="0"/>
            <a:t> Space?</a:t>
          </a:r>
          <a:endParaRPr lang="en-US" sz="1600" b="1"/>
        </a:p>
      </xdr:txBody>
    </xdr:sp>
    <xdr:clientData/>
  </xdr:twoCellAnchor>
  <xdr:twoCellAnchor>
    <xdr:from>
      <xdr:col>2</xdr:col>
      <xdr:colOff>104775</xdr:colOff>
      <xdr:row>30</xdr:row>
      <xdr:rowOff>47625</xdr:rowOff>
    </xdr:from>
    <xdr:to>
      <xdr:col>3</xdr:col>
      <xdr:colOff>1095375</xdr:colOff>
      <xdr:row>35</xdr:row>
      <xdr:rowOff>180975</xdr:rowOff>
    </xdr:to>
    <xdr:sp macro="" textlink="">
      <xdr:nvSpPr>
        <xdr:cNvPr id="33" name="TextBox 32">
          <a:extLst>
            <a:ext uri="{FF2B5EF4-FFF2-40B4-BE49-F238E27FC236}">
              <a16:creationId xmlns:a16="http://schemas.microsoft.com/office/drawing/2014/main" id="{E825A73E-D2E6-4D85-8B44-5768DCA15B24}"/>
            </a:ext>
          </a:extLst>
        </xdr:cNvPr>
        <xdr:cNvSpPr txBox="1"/>
      </xdr:nvSpPr>
      <xdr:spPr>
        <a:xfrm>
          <a:off x="5229225" y="5534025"/>
          <a:ext cx="2019300" cy="1085850"/>
        </a:xfrm>
        <a:prstGeom prst="rect">
          <a:avLst/>
        </a:prstGeom>
        <a:solidFill>
          <a:schemeClr val="accent1">
            <a:lumMod val="60000"/>
            <a:lumOff val="40000"/>
          </a:schemeClr>
        </a:solidFill>
        <a:ln w="9525" cmpd="sng">
          <a:solidFill>
            <a:schemeClr val="accent1">
              <a:lumMod val="60000"/>
              <a:lumOff val="4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400" b="1" baseline="0"/>
            <a:t>Expand capacity by adding a new Digester in system based on required capacity</a:t>
          </a:r>
          <a:endParaRPr lang="en-US" sz="1400" b="1"/>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100733</xdr:colOff>
      <xdr:row>12</xdr:row>
      <xdr:rowOff>219075</xdr:rowOff>
    </xdr:from>
    <xdr:to>
      <xdr:col>6</xdr:col>
      <xdr:colOff>167408</xdr:colOff>
      <xdr:row>22</xdr:row>
      <xdr:rowOff>152400</xdr:rowOff>
    </xdr:to>
    <xdr:pic>
      <xdr:nvPicPr>
        <xdr:cNvPr id="3" name="Graphic 2" descr="Thought bubble">
          <a:extLst>
            <a:ext uri="{FF2B5EF4-FFF2-40B4-BE49-F238E27FC236}">
              <a16:creationId xmlns:a16="http://schemas.microsoft.com/office/drawing/2014/main" id="{CDB21D48-42BF-4555-9C60-D189DD49C4E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1313006" y="2470439"/>
          <a:ext cx="2491220" cy="1867188"/>
        </a:xfrm>
        <a:prstGeom prst="rect">
          <a:avLst/>
        </a:prstGeom>
      </xdr:spPr>
    </xdr:pic>
    <xdr:clientData/>
  </xdr:twoCellAnchor>
  <xdr:oneCellAnchor>
    <xdr:from>
      <xdr:col>2</xdr:col>
      <xdr:colOff>561975</xdr:colOff>
      <xdr:row>15</xdr:row>
      <xdr:rowOff>142876</xdr:rowOff>
    </xdr:from>
    <xdr:ext cx="1495425" cy="352424"/>
    <xdr:sp macro="" textlink="">
      <xdr:nvSpPr>
        <xdr:cNvPr id="4" name="Rectangle 3">
          <a:extLst>
            <a:ext uri="{FF2B5EF4-FFF2-40B4-BE49-F238E27FC236}">
              <a16:creationId xmlns:a16="http://schemas.microsoft.com/office/drawing/2014/main" id="{895D363B-DF51-4719-88CC-6619C061813E}"/>
            </a:ext>
          </a:extLst>
        </xdr:cNvPr>
        <xdr:cNvSpPr/>
      </xdr:nvSpPr>
      <xdr:spPr>
        <a:xfrm>
          <a:off x="1781175" y="952501"/>
          <a:ext cx="1495425" cy="352424"/>
        </a:xfrm>
        <a:prstGeom prst="rect">
          <a:avLst/>
        </a:prstGeom>
        <a:noFill/>
      </xdr:spPr>
      <xdr:txBody>
        <a:bodyPr wrap="square" lIns="91440" tIns="45720" rIns="91440" bIns="45720">
          <a:noAutofit/>
          <a:scene3d>
            <a:camera prst="orthographicFront"/>
            <a:lightRig rig="soft" dir="t">
              <a:rot lat="0" lon="0" rev="15600000"/>
            </a:lightRig>
          </a:scene3d>
          <a:sp3d extrusionH="57150" prstMaterial="softEdge">
            <a:bevelT w="25400" h="38100"/>
          </a:sp3d>
        </a:bodyPr>
        <a:lstStyle/>
        <a:p>
          <a:pPr algn="ctr"/>
          <a:r>
            <a:rPr lang="en-US" sz="1800" b="1" cap="none" spc="0">
              <a:ln/>
              <a:solidFill>
                <a:srgbClr val="FFFF00"/>
              </a:solidFill>
              <a:effectLst/>
            </a:rPr>
            <a:t>Questions?</a:t>
          </a:r>
        </a:p>
      </xdr:txBody>
    </xdr:sp>
    <xdr:clientData/>
  </xdr:oneCellAnchor>
  <xdr:twoCellAnchor editAs="oneCell">
    <xdr:from>
      <xdr:col>9</xdr:col>
      <xdr:colOff>533400</xdr:colOff>
      <xdr:row>15</xdr:row>
      <xdr:rowOff>114299</xdr:rowOff>
    </xdr:from>
    <xdr:to>
      <xdr:col>12</xdr:col>
      <xdr:colOff>285750</xdr:colOff>
      <xdr:row>22</xdr:row>
      <xdr:rowOff>142874</xdr:rowOff>
    </xdr:to>
    <xdr:pic>
      <xdr:nvPicPr>
        <xdr:cNvPr id="10" name="Graphic 9" descr="Email">
          <a:extLst>
            <a:ext uri="{FF2B5EF4-FFF2-40B4-BE49-F238E27FC236}">
              <a16:creationId xmlns:a16="http://schemas.microsoft.com/office/drawing/2014/main" id="{6129D3C5-372F-4E26-B86E-8EF2FB58D637}"/>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 uri="{96DAC541-7B7A-43D3-8B79-37D633B846F1}">
              <asvg:svgBlip xmlns:asvg="http://schemas.microsoft.com/office/drawing/2016/SVG/main" r:embed="rId4"/>
            </a:ext>
          </a:extLst>
        </a:blip>
        <a:stretch>
          <a:fillRect/>
        </a:stretch>
      </xdr:blipFill>
      <xdr:spPr>
        <a:xfrm>
          <a:off x="6019800" y="923924"/>
          <a:ext cx="1581150" cy="1362075"/>
        </a:xfrm>
        <a:prstGeom prst="rect">
          <a:avLst/>
        </a:prstGeom>
      </xdr:spPr>
    </xdr:pic>
    <xdr:clientData/>
  </xdr:twoCellAnchor>
  <xdr:twoCellAnchor editAs="oneCell">
    <xdr:from>
      <xdr:col>6</xdr:col>
      <xdr:colOff>523875</xdr:colOff>
      <xdr:row>15</xdr:row>
      <xdr:rowOff>152400</xdr:rowOff>
    </xdr:from>
    <xdr:to>
      <xdr:col>8</xdr:col>
      <xdr:colOff>542925</xdr:colOff>
      <xdr:row>20</xdr:row>
      <xdr:rowOff>114300</xdr:rowOff>
    </xdr:to>
    <xdr:pic>
      <xdr:nvPicPr>
        <xdr:cNvPr id="12" name="Graphic 11" descr="Arrow Slight curve">
          <a:extLst>
            <a:ext uri="{FF2B5EF4-FFF2-40B4-BE49-F238E27FC236}">
              <a16:creationId xmlns:a16="http://schemas.microsoft.com/office/drawing/2014/main" id="{032CDFB1-5BF0-4D95-8A1E-A71CD5C67C88}"/>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 uri="{96DAC541-7B7A-43D3-8B79-37D633B846F1}">
              <asvg:svgBlip xmlns:asvg="http://schemas.microsoft.com/office/drawing/2016/SVG/main" r:embed="rId6"/>
            </a:ext>
          </a:extLst>
        </a:blip>
        <a:stretch>
          <a:fillRect/>
        </a:stretch>
      </xdr:blipFill>
      <xdr:spPr>
        <a:xfrm rot="497099">
          <a:off x="4181475" y="962025"/>
          <a:ext cx="1238250" cy="914400"/>
        </a:xfrm>
        <a:prstGeom prst="rect">
          <a:avLst/>
        </a:prstGeom>
      </xdr:spPr>
    </xdr:pic>
    <xdr:clientData/>
  </xdr:twoCellAnchor>
  <xdr:twoCellAnchor editAs="oneCell">
    <xdr:from>
      <xdr:col>0</xdr:col>
      <xdr:colOff>223115</xdr:colOff>
      <xdr:row>21</xdr:row>
      <xdr:rowOff>25458</xdr:rowOff>
    </xdr:from>
    <xdr:to>
      <xdr:col>3</xdr:col>
      <xdr:colOff>447387</xdr:colOff>
      <xdr:row>30</xdr:row>
      <xdr:rowOff>173181</xdr:rowOff>
    </xdr:to>
    <xdr:pic>
      <xdr:nvPicPr>
        <xdr:cNvPr id="14" name="Graphic 13" descr="Questions">
          <a:extLst>
            <a:ext uri="{FF2B5EF4-FFF2-40B4-BE49-F238E27FC236}">
              <a16:creationId xmlns:a16="http://schemas.microsoft.com/office/drawing/2014/main" id="{6FFA7859-C9AB-4E4D-A0C0-85FEFD05983E}"/>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 uri="{96DAC541-7B7A-43D3-8B79-37D633B846F1}">
              <asvg:svgBlip xmlns:asvg="http://schemas.microsoft.com/office/drawing/2016/SVG/main" r:embed="rId8"/>
            </a:ext>
          </a:extLst>
        </a:blip>
        <a:stretch>
          <a:fillRect/>
        </a:stretch>
      </xdr:blipFill>
      <xdr:spPr>
        <a:xfrm>
          <a:off x="223115" y="4023072"/>
          <a:ext cx="2042681" cy="1836245"/>
        </a:xfrm>
        <a:prstGeom prst="rect">
          <a:avLst/>
        </a:prstGeom>
      </xdr:spPr>
    </xdr:pic>
    <xdr:clientData/>
  </xdr:twoCellAnchor>
  <xdr:twoCellAnchor>
    <xdr:from>
      <xdr:col>13</xdr:col>
      <xdr:colOff>95250</xdr:colOff>
      <xdr:row>18</xdr:row>
      <xdr:rowOff>152399</xdr:rowOff>
    </xdr:from>
    <xdr:to>
      <xdr:col>17</xdr:col>
      <xdr:colOff>247649</xdr:colOff>
      <xdr:row>21</xdr:row>
      <xdr:rowOff>142874</xdr:rowOff>
    </xdr:to>
    <xdr:sp macro="" textlink="">
      <xdr:nvSpPr>
        <xdr:cNvPr id="17" name="TextBox 16">
          <a:extLst>
            <a:ext uri="{FF2B5EF4-FFF2-40B4-BE49-F238E27FC236}">
              <a16:creationId xmlns:a16="http://schemas.microsoft.com/office/drawing/2014/main" id="{1A1DD684-B2C3-4020-B15F-2DD5256685F5}"/>
            </a:ext>
          </a:extLst>
        </xdr:cNvPr>
        <xdr:cNvSpPr txBox="1"/>
      </xdr:nvSpPr>
      <xdr:spPr>
        <a:xfrm>
          <a:off x="8020050" y="1533524"/>
          <a:ext cx="2590799" cy="561975"/>
        </a:xfrm>
        <a:prstGeom prst="rect">
          <a:avLst/>
        </a:prstGeom>
        <a:solidFill>
          <a:schemeClr val="bg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en-US" sz="1100"/>
            <a:t>msattler@uta.edu</a:t>
          </a:r>
        </a:p>
      </xdr:txBody>
    </xdr:sp>
    <xdr:clientData/>
  </xdr:twoCellAnchor>
  <xdr:twoCellAnchor>
    <xdr:from>
      <xdr:col>0</xdr:col>
      <xdr:colOff>47625</xdr:colOff>
      <xdr:row>0</xdr:row>
      <xdr:rowOff>104775</xdr:rowOff>
    </xdr:from>
    <xdr:to>
      <xdr:col>28</xdr:col>
      <xdr:colOff>591705</xdr:colOff>
      <xdr:row>10</xdr:row>
      <xdr:rowOff>9525</xdr:rowOff>
    </xdr:to>
    <xdr:sp macro="" textlink="">
      <xdr:nvSpPr>
        <xdr:cNvPr id="8" name="TextBox 2">
          <a:extLst>
            <a:ext uri="{FF2B5EF4-FFF2-40B4-BE49-F238E27FC236}">
              <a16:creationId xmlns:a16="http://schemas.microsoft.com/office/drawing/2014/main" id="{63C7FA14-F68C-4136-BFF8-F33F7E8B7E92}"/>
            </a:ext>
          </a:extLst>
        </xdr:cNvPr>
        <xdr:cNvSpPr txBox="1"/>
      </xdr:nvSpPr>
      <xdr:spPr>
        <a:xfrm>
          <a:off x="47625" y="104775"/>
          <a:ext cx="17515898" cy="1780886"/>
        </a:xfrm>
        <a:prstGeom prst="rect">
          <a:avLst/>
        </a:prstGeom>
        <a:solidFill>
          <a:schemeClr val="accent1">
            <a:lumMod val="40000"/>
            <a:lumOff val="60000"/>
          </a:schemeClr>
        </a:solidFill>
      </xdr:spPr>
      <xdr:txBody>
        <a:bodyPr wrap="square" rtlCol="0">
          <a:noAutofit/>
        </a:bodyPr>
        <a:lstStyle>
          <a:defPPr>
            <a:defRPr lang="en-US"/>
          </a:defPPr>
          <a:lvl1pPr marL="0" algn="l" defTabSz="457200" rtl="0" eaLnBrk="1" latinLnBrk="0" hangingPunct="1">
            <a:defRPr sz="1800" kern="1200">
              <a:solidFill>
                <a:schemeClr val="tx1"/>
              </a:solidFill>
              <a:latin typeface="+mn-lt"/>
              <a:ea typeface="+mn-ea"/>
              <a:cs typeface="+mn-cs"/>
            </a:defRPr>
          </a:lvl1pPr>
          <a:lvl2pPr marL="457200" algn="l" defTabSz="457200" rtl="0" eaLnBrk="1" latinLnBrk="0" hangingPunct="1">
            <a:defRPr sz="1800" kern="1200">
              <a:solidFill>
                <a:schemeClr val="tx1"/>
              </a:solidFill>
              <a:latin typeface="+mn-lt"/>
              <a:ea typeface="+mn-ea"/>
              <a:cs typeface="+mn-cs"/>
            </a:defRPr>
          </a:lvl2pPr>
          <a:lvl3pPr marL="914400" algn="l" defTabSz="457200" rtl="0" eaLnBrk="1" latinLnBrk="0" hangingPunct="1">
            <a:defRPr sz="1800" kern="1200">
              <a:solidFill>
                <a:schemeClr val="tx1"/>
              </a:solidFill>
              <a:latin typeface="+mn-lt"/>
              <a:ea typeface="+mn-ea"/>
              <a:cs typeface="+mn-cs"/>
            </a:defRPr>
          </a:lvl3pPr>
          <a:lvl4pPr marL="1371600" algn="l" defTabSz="457200" rtl="0" eaLnBrk="1" latinLnBrk="0" hangingPunct="1">
            <a:defRPr sz="1800" kern="1200">
              <a:solidFill>
                <a:schemeClr val="tx1"/>
              </a:solidFill>
              <a:latin typeface="+mn-lt"/>
              <a:ea typeface="+mn-ea"/>
              <a:cs typeface="+mn-cs"/>
            </a:defRPr>
          </a:lvl4pPr>
          <a:lvl5pPr marL="1828800" algn="l" defTabSz="457200" rtl="0" eaLnBrk="1" latinLnBrk="0" hangingPunct="1">
            <a:defRPr sz="1800" kern="1200">
              <a:solidFill>
                <a:schemeClr val="tx1"/>
              </a:solidFill>
              <a:latin typeface="+mn-lt"/>
              <a:ea typeface="+mn-ea"/>
              <a:cs typeface="+mn-cs"/>
            </a:defRPr>
          </a:lvl5pPr>
          <a:lvl6pPr marL="2286000" algn="l" defTabSz="457200" rtl="0" eaLnBrk="1" latinLnBrk="0" hangingPunct="1">
            <a:defRPr sz="1800" kern="1200">
              <a:solidFill>
                <a:schemeClr val="tx1"/>
              </a:solidFill>
              <a:latin typeface="+mn-lt"/>
              <a:ea typeface="+mn-ea"/>
              <a:cs typeface="+mn-cs"/>
            </a:defRPr>
          </a:lvl6pPr>
          <a:lvl7pPr marL="2743200" algn="l" defTabSz="457200" rtl="0" eaLnBrk="1" latinLnBrk="0" hangingPunct="1">
            <a:defRPr sz="1800" kern="1200">
              <a:solidFill>
                <a:schemeClr val="tx1"/>
              </a:solidFill>
              <a:latin typeface="+mn-lt"/>
              <a:ea typeface="+mn-ea"/>
              <a:cs typeface="+mn-cs"/>
            </a:defRPr>
          </a:lvl7pPr>
          <a:lvl8pPr marL="3200400" algn="l" defTabSz="457200" rtl="0" eaLnBrk="1" latinLnBrk="0" hangingPunct="1">
            <a:defRPr sz="1800" kern="1200">
              <a:solidFill>
                <a:schemeClr val="tx1"/>
              </a:solidFill>
              <a:latin typeface="+mn-lt"/>
              <a:ea typeface="+mn-ea"/>
              <a:cs typeface="+mn-cs"/>
            </a:defRPr>
          </a:lvl8pPr>
          <a:lvl9pPr marL="3657600" algn="l" defTabSz="457200" rtl="0" eaLnBrk="1" latinLnBrk="0" hangingPunct="1">
            <a:defRPr sz="1800" kern="1200">
              <a:solidFill>
                <a:schemeClr val="tx1"/>
              </a:solidFill>
              <a:latin typeface="+mn-lt"/>
              <a:ea typeface="+mn-ea"/>
              <a:cs typeface="+mn-cs"/>
            </a:defRPr>
          </a:lvl9pPr>
        </a:lstStyle>
        <a:p>
          <a:r>
            <a:rPr lang="en-US" sz="2800" b="1">
              <a:solidFill>
                <a:srgbClr val="0070C0"/>
              </a:solidFill>
              <a:latin typeface="+mn-lt"/>
            </a:rPr>
            <a:t>Acknowladgement</a:t>
          </a:r>
        </a:p>
        <a:p>
          <a:r>
            <a:rPr lang="en-US" sz="2800" b="1">
              <a:solidFill>
                <a:srgbClr val="0070C0"/>
              </a:solidFill>
              <a:latin typeface="+mn-lt"/>
            </a:rPr>
            <a:t>OST-R Grant Number: </a:t>
          </a:r>
          <a:r>
            <a:rPr lang="en-US" sz="2800" b="1">
              <a:solidFill>
                <a:srgbClr val="0070C0"/>
              </a:solidFill>
              <a:latin typeface="+mn-lt"/>
              <a:ea typeface="Times New Roman" panose="02020603050405020304" pitchFamily="18" charset="0"/>
            </a:rPr>
            <a:t>69A3551747134</a:t>
          </a:r>
          <a:endParaRPr lang="en-US" sz="1500">
            <a:solidFill>
              <a:srgbClr val="000000"/>
            </a:solidFill>
            <a:latin typeface="+mn-lt"/>
          </a:endParaRPr>
        </a:p>
        <a:p>
          <a:pPr algn="just"/>
          <a:r>
            <a:rPr lang="en-US" sz="2400">
              <a:solidFill>
                <a:srgbClr val="000000"/>
              </a:solidFill>
              <a:latin typeface="+mn-lt"/>
              <a:ea typeface="Times New Roman" panose="02020603050405020304" pitchFamily="18" charset="0"/>
            </a:rPr>
            <a:t>This work is supported by a grant from the Center for Transportation Equity, Decisions and Dollars (CTEDD) funded by U.S. Department of Transportation Research and Innovative Technology Administration (OST-R) </a:t>
          </a:r>
          <a:r>
            <a:rPr lang="en-US" sz="2000">
              <a:solidFill>
                <a:srgbClr val="000000"/>
              </a:solidFill>
              <a:latin typeface="+mn-lt"/>
              <a:ea typeface="Times New Roman" panose="02020603050405020304" pitchFamily="18" charset="0"/>
            </a:rPr>
            <a:t>and</a:t>
          </a:r>
          <a:r>
            <a:rPr lang="en-US" sz="2400">
              <a:solidFill>
                <a:srgbClr val="000000"/>
              </a:solidFill>
              <a:latin typeface="+mn-lt"/>
              <a:ea typeface="Times New Roman" panose="02020603050405020304" pitchFamily="18" charset="0"/>
            </a:rPr>
            <a:t> housed at The University of Texas at Arlington</a:t>
          </a:r>
          <a:r>
            <a:rPr lang="en-US" sz="1500">
              <a:solidFill>
                <a:srgbClr val="000000"/>
              </a:solidFill>
              <a:latin typeface="+mn-lt"/>
              <a:ea typeface="+mn-ea"/>
            </a:rPr>
            <a:t>.</a:t>
          </a:r>
          <a:endParaRPr lang="en-US" sz="2400">
            <a:solidFill>
              <a:srgbClr val="000000"/>
            </a:solidFill>
            <a:latin typeface="+mn-lt"/>
            <a:ea typeface="Times New Roman" panose="02020603050405020304" pitchFamily="18" charset="0"/>
          </a:endParaRPr>
        </a:p>
      </xdr:txBody>
    </xdr:sp>
    <xdr:clientData/>
  </xdr:twoCellAnchor>
  <xdr:twoCellAnchor editAs="oneCell">
    <xdr:from>
      <xdr:col>24</xdr:col>
      <xdr:colOff>148935</xdr:colOff>
      <xdr:row>11</xdr:row>
      <xdr:rowOff>43006</xdr:rowOff>
    </xdr:from>
    <xdr:to>
      <xdr:col>28</xdr:col>
      <xdr:colOff>591705</xdr:colOff>
      <xdr:row>18</xdr:row>
      <xdr:rowOff>57726</xdr:rowOff>
    </xdr:to>
    <xdr:pic>
      <xdr:nvPicPr>
        <xdr:cNvPr id="2" name="Picture 1">
          <a:extLst>
            <a:ext uri="{FF2B5EF4-FFF2-40B4-BE49-F238E27FC236}">
              <a16:creationId xmlns:a16="http://schemas.microsoft.com/office/drawing/2014/main" id="{DE160EBB-587F-4D55-9AAC-B9F7BCB23D9C}"/>
            </a:ext>
          </a:extLst>
        </xdr:cNvPr>
        <xdr:cNvPicPr>
          <a:picLocks noChangeAspect="1"/>
        </xdr:cNvPicPr>
      </xdr:nvPicPr>
      <xdr:blipFill>
        <a:blip xmlns:r="http://schemas.openxmlformats.org/officeDocument/2006/relationships" r:embed="rId9"/>
        <a:stretch>
          <a:fillRect/>
        </a:stretch>
      </xdr:blipFill>
      <xdr:spPr>
        <a:xfrm>
          <a:off x="14696208" y="2106756"/>
          <a:ext cx="2867315" cy="1385743"/>
        </a:xfrm>
        <a:prstGeom prst="rect">
          <a:avLst/>
        </a:prstGeom>
      </xdr:spPr>
    </xdr:pic>
    <xdr:clientData/>
  </xdr:twoCellAnchor>
  <xdr:twoCellAnchor editAs="oneCell">
    <xdr:from>
      <xdr:col>21</xdr:col>
      <xdr:colOff>101022</xdr:colOff>
      <xdr:row>11</xdr:row>
      <xdr:rowOff>57728</xdr:rowOff>
    </xdr:from>
    <xdr:to>
      <xdr:col>24</xdr:col>
      <xdr:colOff>86590</xdr:colOff>
      <xdr:row>18</xdr:row>
      <xdr:rowOff>86592</xdr:rowOff>
    </xdr:to>
    <xdr:pic>
      <xdr:nvPicPr>
        <xdr:cNvPr id="9" name="Picture 8">
          <a:extLst>
            <a:ext uri="{FF2B5EF4-FFF2-40B4-BE49-F238E27FC236}">
              <a16:creationId xmlns:a16="http://schemas.microsoft.com/office/drawing/2014/main" id="{178649D9-BFD6-441D-AF7A-C0DEAEF35515}"/>
            </a:ext>
          </a:extLst>
        </xdr:cNvPr>
        <xdr:cNvPicPr>
          <a:picLocks noChangeAspect="1"/>
        </xdr:cNvPicPr>
      </xdr:nvPicPr>
      <xdr:blipFill rotWithShape="1">
        <a:blip xmlns:r="http://schemas.openxmlformats.org/officeDocument/2006/relationships" r:embed="rId10">
          <a:extLst>
            <a:ext uri="{28A0092B-C50C-407E-A947-70E740481C1C}">
              <a14:useLocalDpi xmlns:a14="http://schemas.microsoft.com/office/drawing/2010/main" val="0"/>
            </a:ext>
          </a:extLst>
        </a:blip>
        <a:srcRect l="10389" t="23415" r="8441" b="15199"/>
        <a:stretch/>
      </xdr:blipFill>
      <xdr:spPr>
        <a:xfrm>
          <a:off x="12829886" y="2121478"/>
          <a:ext cx="1803977" cy="139988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Mithila%20Chakraborty/Desktop/CTEDD/CTEDD%20NEW%20PROJECT/Updated%20Spreadsheets/CTEDD_Updated%20F4_1-30-2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Mithila%20Chakraborty/Downloads/Initial%20calculation%20for%20spreadsheet%209-12-1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Mithila%20Chakraborty/Desktop/CTEDD/CTEDD%20NEW%20PROJECT/Updated%20Spreadsheets/CTEDD_Updated%20F4_1-26-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hicle Emission Benefit Ca (2)"/>
      <sheetName val="USER GUIDE"/>
      <sheetName val="Read Me"/>
      <sheetName val="Necessary Information Needed"/>
      <sheetName val="Acronyms Used"/>
      <sheetName val=" QUICK OVERVIEW- Inputs&amp;Outputs"/>
      <sheetName val="Waste Mass Calculations"/>
      <sheetName val="Sludge Mass Calculation"/>
      <sheetName val="Fleet Information"/>
      <sheetName val="AD Calculations"/>
      <sheetName val="Digester Biogas Calculations"/>
      <sheetName val="LFG to Energy Emis Benefit Calc"/>
      <sheetName val="Cost-Benefit Calculations"/>
      <sheetName val="Vehicle Emission Benefit Calc"/>
      <sheetName val="Unit Conversion"/>
      <sheetName val="BIBLIOGRAPHY"/>
      <sheetName val="HELP"/>
    </sheetNames>
    <sheetDataSet>
      <sheetData sheetId="0"/>
      <sheetData sheetId="1"/>
      <sheetData sheetId="2"/>
      <sheetData sheetId="3"/>
      <sheetData sheetId="4"/>
      <sheetData sheetId="5"/>
      <sheetData sheetId="6">
        <row r="28">
          <cell r="C28">
            <v>90182000</v>
          </cell>
        </row>
      </sheetData>
      <sheetData sheetId="7">
        <row r="5">
          <cell r="E5">
            <v>1</v>
          </cell>
        </row>
      </sheetData>
      <sheetData sheetId="8"/>
      <sheetData sheetId="9"/>
      <sheetData sheetId="10"/>
      <sheetData sheetId="11"/>
      <sheetData sheetId="12">
        <row r="41">
          <cell r="A41">
            <v>1</v>
          </cell>
        </row>
        <row r="42">
          <cell r="A42">
            <v>2</v>
          </cell>
        </row>
        <row r="50">
          <cell r="A50" t="str">
            <v>A1</v>
          </cell>
        </row>
        <row r="54">
          <cell r="A54" t="str">
            <v>B1</v>
          </cell>
        </row>
        <row r="77">
          <cell r="A77" t="str">
            <v>2a</v>
          </cell>
        </row>
        <row r="293">
          <cell r="A293">
            <v>1</v>
          </cell>
        </row>
        <row r="294">
          <cell r="A294">
            <v>2</v>
          </cell>
        </row>
        <row r="295">
          <cell r="A295">
            <v>3</v>
          </cell>
        </row>
        <row r="296">
          <cell r="A296">
            <v>4</v>
          </cell>
        </row>
        <row r="297">
          <cell r="A297">
            <v>5</v>
          </cell>
        </row>
        <row r="298">
          <cell r="A298">
            <v>6</v>
          </cell>
        </row>
        <row r="299">
          <cell r="A299">
            <v>7</v>
          </cell>
        </row>
        <row r="331">
          <cell r="A331" t="str">
            <v>No Capture</v>
          </cell>
        </row>
        <row r="332">
          <cell r="A332" t="str">
            <v>REC Credit + Electricity Sales from LFG
(Ref: US EPA)</v>
          </cell>
        </row>
        <row r="333">
          <cell r="A333" t="str">
            <v>Direct Use or High-Btu gas sales
(Ref: LFGCost Model, LMOP, US EPA)</v>
          </cell>
        </row>
        <row r="334">
          <cell r="A334" t="str">
            <v>CHP Hot Water or Steam Production
(Ref: LFGCost Model, LMOP, US EPA)</v>
          </cell>
        </row>
        <row r="335">
          <cell r="A335" t="str">
            <v>CNG Sales + Renewble Identification Number 
(Ref: LFGCost Model, LMOP, US EPA)</v>
          </cell>
        </row>
        <row r="339">
          <cell r="A339" t="str">
            <v>1a</v>
          </cell>
        </row>
        <row r="340">
          <cell r="A340" t="str">
            <v>1b</v>
          </cell>
        </row>
        <row r="347">
          <cell r="A347" t="str">
            <v>1a</v>
          </cell>
        </row>
        <row r="348">
          <cell r="A348" t="str">
            <v>1b</v>
          </cell>
        </row>
        <row r="349">
          <cell r="A349" t="str">
            <v>1c</v>
          </cell>
        </row>
        <row r="350">
          <cell r="A350" t="str">
            <v>1d</v>
          </cell>
        </row>
        <row r="351">
          <cell r="A351" t="str">
            <v>1e</v>
          </cell>
        </row>
        <row r="352">
          <cell r="A352" t="str">
            <v>1f</v>
          </cell>
        </row>
        <row r="353">
          <cell r="A353" t="str">
            <v>1g</v>
          </cell>
        </row>
        <row r="354">
          <cell r="A354" t="str">
            <v>1h</v>
          </cell>
        </row>
      </sheetData>
      <sheetData sheetId="13"/>
      <sheetData sheetId="14"/>
      <sheetData sheetId="15"/>
      <sheetData sheetId="1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s calc."/>
      <sheetName val="Volume calc."/>
      <sheetName val="Capacity Calc."/>
      <sheetName val="Oper. cost per mass of digestat"/>
      <sheetName val="Use of Biogas"/>
      <sheetName val="Fleet Info."/>
      <sheetName val="Ownership of Charging Station"/>
      <sheetName val="Cost of EV refueling station"/>
      <sheetName val="Cost of CNG refueling station"/>
      <sheetName val="Cost of Gasoline station"/>
      <sheetName val="Emission Benifits"/>
      <sheetName val="Vehicle Cost"/>
      <sheetName val="Digester Cost"/>
      <sheetName val="All cost"/>
      <sheetName val="Cost Data"/>
      <sheetName val="Ownership of Refuling Sta"/>
    </sheetNames>
    <sheetDataSet>
      <sheetData sheetId="0">
        <row r="17">
          <cell r="A17" t="str">
            <v>69% of yard waste is composted with 31% landfilled</v>
          </cell>
        </row>
        <row r="18">
          <cell r="A18" t="str">
            <v>1 million gallon [US, liquid]= 4951.1316872428 yd3</v>
          </cell>
        </row>
        <row r="19">
          <cell r="A19" t="str">
            <v>Bulk density of food waste (loose)= 220-810 ib/yd3 (Avg. 515)</v>
          </cell>
        </row>
        <row r="23">
          <cell r="A23"/>
        </row>
        <row r="24">
          <cell r="A24" t="str">
            <v>Mass of Waste Collected</v>
          </cell>
        </row>
        <row r="27">
          <cell r="A27"/>
        </row>
        <row r="31">
          <cell r="A31" t="str">
            <v>Mass of Waste Collected</v>
          </cell>
        </row>
        <row r="32">
          <cell r="A32" t="str">
            <v>Mass of Yard Waste</v>
          </cell>
        </row>
      </sheetData>
      <sheetData sheetId="1"/>
      <sheetData sheetId="2">
        <row r="19">
          <cell r="F19">
            <v>3.0623076923076926</v>
          </cell>
        </row>
      </sheetData>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USER GUIDE"/>
      <sheetName val="Read Me"/>
      <sheetName val="Necessary Information Needed"/>
      <sheetName val="Acronyms Used"/>
      <sheetName val=" QUICK OVERVIEW- Inputs&amp;Outputs"/>
      <sheetName val="Waste Mass Calculations"/>
      <sheetName val="Sludge Mass Calculation"/>
      <sheetName val="Fleet Information"/>
      <sheetName val="AD Calculations"/>
      <sheetName val="Digester Biogas Calculations"/>
      <sheetName val="Vehicle Emission Benefit Calc"/>
      <sheetName val="LFG to Energy Emis Benefit Calc"/>
      <sheetName val="Cost-Benefit Calculations"/>
      <sheetName val="Unit Conversion"/>
      <sheetName val="BIBLIOGRAPHY"/>
      <sheetName val="HELP"/>
    </sheetNames>
    <sheetDataSet>
      <sheetData sheetId="0"/>
      <sheetData sheetId="1"/>
      <sheetData sheetId="2"/>
      <sheetData sheetId="3"/>
      <sheetData sheetId="4"/>
      <sheetData sheetId="5"/>
      <sheetData sheetId="6"/>
      <sheetData sheetId="7"/>
      <sheetData sheetId="8"/>
      <sheetData sheetId="9">
        <row r="36">
          <cell r="E36">
            <v>7266592.3359922348</v>
          </cell>
        </row>
      </sheetData>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hyperlink" Target="https://www.mdpi.com/2227-9717/8/2/142" TargetMode="External"/><Relationship Id="rId2" Type="http://schemas.openxmlformats.org/officeDocument/2006/relationships/hyperlink" Target="https://www.pollutionsolutions-online.com/article/water-wastewater/17/european-biogas-association/the-use-of-digestate-as-an-organic-fertiliser/1593" TargetMode="External"/><Relationship Id="rId1" Type="http://schemas.openxmlformats.org/officeDocument/2006/relationships/hyperlink" Target="https://www.sciencedirect.com/science/article/pii/B9780128183533000171" TargetMode="External"/><Relationship Id="rId4"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hyperlink" Target="https://www.epa.gov/facts-and-figures-about-materials-waste-and-recycling/national-overview-facts-and-figures-materials" TargetMode="External"/><Relationship Id="rId2" Type="http://schemas.openxmlformats.org/officeDocument/2006/relationships/hyperlink" Target="https://www.epa.gov/ghgreporting/ghgrp-waste" TargetMode="External"/><Relationship Id="rId1" Type="http://schemas.openxmlformats.org/officeDocument/2006/relationships/hyperlink" Target="https://www.epa.gov/lmop/frequent-questions-about-landfill-gas" TargetMode="External"/><Relationship Id="rId4"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13" Type="http://schemas.openxmlformats.org/officeDocument/2006/relationships/hyperlink" Target="https://www.google.com/search?q=gallon+of+disel+equals+how+many+btu&amp;rlz=1C1CHBF_enUS862US862&amp;oq=gallon+of+disel+equals+how+many+btu&amp;aqs=chrome..69i57j33l3.11696j0j7&amp;sourceid=chrome&amp;ie=UTF-8" TargetMode="External"/><Relationship Id="rId18" Type="http://schemas.openxmlformats.org/officeDocument/2006/relationships/hyperlink" Target="https://www.eia.gov/electricity/state/unitedstates/" TargetMode="External"/><Relationship Id="rId26" Type="http://schemas.openxmlformats.org/officeDocument/2006/relationships/hyperlink" Target="http://tinread.usarb.md:8888/tinread/fulltext/lal/biofuel.pdf" TargetMode="External"/><Relationship Id="rId39" Type="http://schemas.openxmlformats.org/officeDocument/2006/relationships/hyperlink" Target="https://www.epa.gov/lmop/frequent-questions-about-landfill-gas" TargetMode="External"/><Relationship Id="rId21" Type="http://schemas.openxmlformats.org/officeDocument/2006/relationships/hyperlink" Target="https://www.researchgate.net/publication/338339959_Anaerobic_Co-Digestion_of_Wastewater_Sludge_A_Review_of_Potential_Co-Substrates_and_Operating_Factors_for_Improved_Methane_Yield" TargetMode="External"/><Relationship Id="rId34" Type="http://schemas.openxmlformats.org/officeDocument/2006/relationships/hyperlink" Target="https://www.sciencedirect.com/science/article/pii/B9780128183533000171" TargetMode="External"/><Relationship Id="rId42" Type="http://schemas.openxmlformats.org/officeDocument/2006/relationships/hyperlink" Target="https://journals-sagepub-com.ezproxy.uta.edu/doi/pdf/10.1177/0734242X09345275" TargetMode="External"/><Relationship Id="rId7" Type="http://schemas.openxmlformats.org/officeDocument/2006/relationships/hyperlink" Target="https://money.cnn.com/2016/02/24/news/economy/trash-workers-high-pay/" TargetMode="External"/><Relationship Id="rId2" Type="http://schemas.openxmlformats.org/officeDocument/2006/relationships/hyperlink" Target="https://www.epa.gov/sites/production/files/2018-07/documents/2015_smm_msw_factsheet_07242018_fnl_508_002.pdf" TargetMode="External"/><Relationship Id="rId16" Type="http://schemas.openxmlformats.org/officeDocument/2006/relationships/hyperlink" Target="https://www.trashtrucksonline.com/category/Cab-and-Chassis/listings/16990/NEW-2018-Peterbilt-Cab-and-Chassis,-3-Available" TargetMode="External"/><Relationship Id="rId29" Type="http://schemas.openxmlformats.org/officeDocument/2006/relationships/hyperlink" Target="https://recyclingworksma.com/wp-content/uploads/2014/11/Depackaging_Combined_2014.pdf" TargetMode="External"/><Relationship Id="rId1" Type="http://schemas.openxmlformats.org/officeDocument/2006/relationships/hyperlink" Target="https://nam05.safelinks.protection.outlook.com/?url=https%3A%2F%2Fcleanleap.com%2F6-biogas%2F61-capital-costs-biogas&amp;data=02%7C01%7Cmithila.chakraborty%40mavs.uta.edu%7C03d31582c4674abf6b9108d73ad402c6%7C5cdc5b43d7be4caa8173729e3b0a62d9%7C0%7C0%7C637042554556821798&amp;sdata=EbwDjKZaD0XHTnxFtboKlqTCWrfhk5EXPjJlXG5ZLEY%3D&amp;reserved=0" TargetMode="External"/><Relationship Id="rId6" Type="http://schemas.openxmlformats.org/officeDocument/2006/relationships/hyperlink" Target="https://www.epa.gov/sites/production/files/2018-07/documents/2015_smm_msw_factsheet_07242018_fnl_508_002.pdf" TargetMode="External"/><Relationship Id="rId11" Type="http://schemas.openxmlformats.org/officeDocument/2006/relationships/hyperlink" Target="https://www.energy.gov/eere/vehicles/articles/fotw-1095-august-19-2019-average-age-light-duty-vehicles-has-increased-118" TargetMode="External"/><Relationship Id="rId24" Type="http://schemas.openxmlformats.org/officeDocument/2006/relationships/hyperlink" Target="https://www.canr.msu.edu/uploads/files/ManureCharacteristicsMWPS-18_1.pdf" TargetMode="External"/><Relationship Id="rId32" Type="http://schemas.openxmlformats.org/officeDocument/2006/relationships/hyperlink" Target="https://www.mdpi.com/2073-4395/11/5/836" TargetMode="External"/><Relationship Id="rId37" Type="http://schemas.openxmlformats.org/officeDocument/2006/relationships/hyperlink" Target="https://www.mdpi.com/2071-1050/10/1/286" TargetMode="External"/><Relationship Id="rId40" Type="http://schemas.openxmlformats.org/officeDocument/2006/relationships/hyperlink" Target="https://www.epa.gov/ghgreporting/ghgrp-waste" TargetMode="External"/><Relationship Id="rId45" Type="http://schemas.openxmlformats.org/officeDocument/2006/relationships/printerSettings" Target="../printerSettings/printerSettings29.bin"/><Relationship Id="rId5" Type="http://schemas.openxmlformats.org/officeDocument/2006/relationships/hyperlink" Target="https://www.epa.gov/sites/production/files/2018-07/documents/2015_smm_msw_factsheet_07242018_fnl_508_002.pdf" TargetMode="External"/><Relationship Id="rId15" Type="http://schemas.openxmlformats.org/officeDocument/2006/relationships/hyperlink" Target="https://www.waste360.com/mag/waste_profiles_garbage_food" TargetMode="External"/><Relationship Id="rId23" Type="http://schemas.openxmlformats.org/officeDocument/2006/relationships/hyperlink" Target="http://energy.sc.gov/files/Assessment_of_Restaurant_Grease_Report-Summer_2010%20_updated.pdf" TargetMode="External"/><Relationship Id="rId28" Type="http://schemas.openxmlformats.org/officeDocument/2006/relationships/hyperlink" Target="https://greet.es.anl.gov/" TargetMode="External"/><Relationship Id="rId36" Type="http://schemas.openxmlformats.org/officeDocument/2006/relationships/hyperlink" Target="https://www.pollutionsolutions-online.com/article/water-wastewater/17/european-biogas-association/the-use-of-digestate-as-an-organic-fertiliser/1593" TargetMode="External"/><Relationship Id="rId10" Type="http://schemas.openxmlformats.org/officeDocument/2006/relationships/hyperlink" Target="https://americanbiogascouncil.org/resources/rin-calculator/" TargetMode="External"/><Relationship Id="rId19" Type="http://schemas.openxmlformats.org/officeDocument/2006/relationships/hyperlink" Target="https://www.epa.gov/greenpower/us-renewable-electricity-market" TargetMode="External"/><Relationship Id="rId31" Type="http://schemas.openxmlformats.org/officeDocument/2006/relationships/hyperlink" Target="https://www.eia.gov/electricity/state/unitedstates/" TargetMode="External"/><Relationship Id="rId44" Type="http://schemas.openxmlformats.org/officeDocument/2006/relationships/hyperlink" Target="https://www.chooseenergy.com/electricity-rates-by-state/" TargetMode="External"/><Relationship Id="rId4" Type="http://schemas.openxmlformats.org/officeDocument/2006/relationships/hyperlink" Target="https://www.nrdc.org/sites/default/files/food-waste-city-level-report.pdf" TargetMode="External"/><Relationship Id="rId9" Type="http://schemas.openxmlformats.org/officeDocument/2006/relationships/hyperlink" Target="https://afleet-web.es.anl.gov/afleet/" TargetMode="External"/><Relationship Id="rId14" Type="http://schemas.openxmlformats.org/officeDocument/2006/relationships/hyperlink" Target="https://www.google.com/search?rlz=1C1CHBF_enUS862US862&amp;sxsrf=ACYBGNQnGRcgfjtgJGUtlQOkxQgr7Sfzyw%3A1575410989478&amp;ei=Ld3mXYnXHMaQsAW5wZbYCQ&amp;q=btu+to+kwh&amp;oq=btu+to+kwh&amp;gs_l=psy-ab.3..0i131i273j0l2j0i333l2.359309.362717..363111...1.1..0.93.566.10......0....1..gws-wiz.....10..0i71j35i362i39j35i39j0i273j0i131j0i67j0i131i67.Mveey-bMxjI&amp;ved=0ahUKEwjJoZyjv5rmAhVGCKwKHbmgBZsQ4dUDCAs&amp;uact=5" TargetMode="External"/><Relationship Id="rId22" Type="http://schemas.openxmlformats.org/officeDocument/2006/relationships/hyperlink" Target="https://www.epa.gov/sites/production/files/2021-02/documents/2021_final_ad_report_feb_2_with_links.pdf" TargetMode="External"/><Relationship Id="rId27" Type="http://schemas.openxmlformats.org/officeDocument/2006/relationships/hyperlink" Target="https://greenliving.lovetoknow.com/How_to_Measure_and_Price_Carbon_Credits" TargetMode="External"/><Relationship Id="rId30" Type="http://schemas.openxmlformats.org/officeDocument/2006/relationships/hyperlink" Target="https://www.mdpi.com/2071-1050/10/1/286" TargetMode="External"/><Relationship Id="rId35" Type="http://schemas.openxmlformats.org/officeDocument/2006/relationships/hyperlink" Target="https://www.mdpi.com/2227-9717/8/2/142" TargetMode="External"/><Relationship Id="rId43" Type="http://schemas.openxmlformats.org/officeDocument/2006/relationships/hyperlink" Target="https://journals-sagepub-com.ezproxy.uta.edu/doi/pdf/10.1177/0734242X09345275" TargetMode="External"/><Relationship Id="rId8" Type="http://schemas.openxmlformats.org/officeDocument/2006/relationships/hyperlink" Target="https://www.ziprecruiter.com/Salaries/Garbage-Truck-Helper-Salary" TargetMode="External"/><Relationship Id="rId3" Type="http://schemas.openxmlformats.org/officeDocument/2006/relationships/hyperlink" Target="https://www.epa.gov/sites/production/files/2018-07/documents/2015_smm_msw_factsheet_07242018_fnl_508_002.pdf" TargetMode="External"/><Relationship Id="rId12" Type="http://schemas.openxmlformats.org/officeDocument/2006/relationships/hyperlink" Target="https://www.epa.gov/lmop/lfgcost-web-landfill-gas-energy-cost-model" TargetMode="External"/><Relationship Id="rId17" Type="http://schemas.openxmlformats.org/officeDocument/2006/relationships/hyperlink" Target="https://www.waste360.com/mag/waste_greener_garbage_trucks" TargetMode="External"/><Relationship Id="rId25" Type="http://schemas.openxmlformats.org/officeDocument/2006/relationships/hyperlink" Target="https://efotg.sc.egov.usda.gov/references/public/NE/ASABE_Standard_D384.2.pdf" TargetMode="External"/><Relationship Id="rId33" Type="http://schemas.openxmlformats.org/officeDocument/2006/relationships/hyperlink" Target="https://www.researchgate.net/publication/265601830_INVESTIGATING_THE_TREATMENT_EFFICIENCY_AND_ENERGY_CONSUMPTION_DURING_THE_OPERATION_OF_A_LEACHATE_TREATMENT_PLANT_A_CASE-STUDY_FROM_MAVRORACHI_WWTP_THESSALONIKI_GREECE" TargetMode="External"/><Relationship Id="rId38" Type="http://schemas.openxmlformats.org/officeDocument/2006/relationships/hyperlink" Target="https://www.epa.gov/sites/default/files/2020-09/documents/1.4_natural_gas_combustion.pdf" TargetMode="External"/><Relationship Id="rId20" Type="http://schemas.openxmlformats.org/officeDocument/2006/relationships/hyperlink" Target="https://www.c2es.org/document/green-pricing-programs/" TargetMode="External"/><Relationship Id="rId41" Type="http://schemas.openxmlformats.org/officeDocument/2006/relationships/hyperlink" Target="https://www.epa.gov/facts-and-figures-about-materials-waste-and-recycling/national-overview-facts-and-figures-materials" TargetMode="External"/></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KY409"/>
  <sheetViews>
    <sheetView zoomScale="73" zoomScaleNormal="73" workbookViewId="0">
      <selection activeCell="A19" sqref="A19:N21"/>
    </sheetView>
  </sheetViews>
  <sheetFormatPr defaultRowHeight="15" x14ac:dyDescent="0.25"/>
  <cols>
    <col min="1" max="1" width="21.42578125" customWidth="1"/>
    <col min="2" max="2" width="15.5703125" customWidth="1"/>
    <col min="3" max="3" width="38" customWidth="1"/>
    <col min="7" max="7" width="10.7109375" customWidth="1"/>
    <col min="8" max="8" width="41.5703125" customWidth="1"/>
    <col min="14" max="14" width="39.42578125" customWidth="1"/>
    <col min="15" max="15" width="17.5703125" customWidth="1"/>
    <col min="16" max="16" width="23.7109375" customWidth="1"/>
  </cols>
  <sheetData>
    <row r="1" spans="1:311" ht="45" customHeight="1" x14ac:dyDescent="0.25">
      <c r="A1" s="2197" t="s">
        <v>1908</v>
      </c>
      <c r="B1" s="2198"/>
      <c r="C1" s="2198"/>
      <c r="D1" s="2198"/>
      <c r="E1" s="2198"/>
      <c r="F1" s="2198"/>
      <c r="G1" s="2198"/>
      <c r="H1" s="2198"/>
      <c r="I1" s="2198"/>
      <c r="J1" s="2198"/>
      <c r="K1" s="2198"/>
      <c r="L1" s="2198"/>
      <c r="M1" s="2198"/>
      <c r="N1" s="2199"/>
    </row>
    <row r="2" spans="1:311" ht="15" customHeight="1" x14ac:dyDescent="0.25">
      <c r="A2" s="2200"/>
      <c r="B2" s="2201"/>
      <c r="C2" s="2201"/>
      <c r="D2" s="2201"/>
      <c r="E2" s="2201"/>
      <c r="F2" s="2201"/>
      <c r="G2" s="2201"/>
      <c r="H2" s="2201"/>
      <c r="I2" s="2201"/>
      <c r="J2" s="2201"/>
      <c r="K2" s="2201"/>
      <c r="L2" s="2201"/>
      <c r="M2" s="2201"/>
      <c r="N2" s="2202"/>
    </row>
    <row r="3" spans="1:311" ht="15" customHeight="1" x14ac:dyDescent="0.25">
      <c r="A3" s="2200"/>
      <c r="B3" s="2201"/>
      <c r="C3" s="2201"/>
      <c r="D3" s="2201"/>
      <c r="E3" s="2201"/>
      <c r="F3" s="2201"/>
      <c r="G3" s="2201"/>
      <c r="H3" s="2201"/>
      <c r="I3" s="2201"/>
      <c r="J3" s="2201"/>
      <c r="K3" s="2201"/>
      <c r="L3" s="2201"/>
      <c r="M3" s="2201"/>
      <c r="N3" s="2202"/>
    </row>
    <row r="4" spans="1:311" ht="15" customHeight="1" thickBot="1" x14ac:dyDescent="0.3">
      <c r="A4" s="2203"/>
      <c r="B4" s="2204"/>
      <c r="C4" s="2204"/>
      <c r="D4" s="2204"/>
      <c r="E4" s="2204"/>
      <c r="F4" s="2204"/>
      <c r="G4" s="2204"/>
      <c r="H4" s="2204"/>
      <c r="I4" s="2204"/>
      <c r="J4" s="2204"/>
      <c r="K4" s="2204"/>
      <c r="L4" s="2204"/>
      <c r="M4" s="2204"/>
      <c r="N4" s="2205"/>
    </row>
    <row r="5" spans="1:311" ht="21" x14ac:dyDescent="0.35">
      <c r="A5" s="2188" t="s">
        <v>67</v>
      </c>
      <c r="B5" s="2189"/>
      <c r="C5" s="2189"/>
      <c r="D5" s="2189"/>
      <c r="E5" s="2189"/>
      <c r="F5" s="2189"/>
      <c r="G5" s="2189"/>
      <c r="H5" s="2190"/>
      <c r="I5" s="2213"/>
      <c r="J5" s="2213"/>
      <c r="K5" s="2213"/>
      <c r="L5" s="2213"/>
      <c r="M5" s="2213"/>
      <c r="N5" s="2213"/>
      <c r="O5" s="17"/>
      <c r="P5" s="17"/>
      <c r="Q5" s="17"/>
      <c r="R5" s="17"/>
      <c r="S5" s="17"/>
      <c r="T5" s="17"/>
      <c r="U5" s="17"/>
      <c r="V5" s="17"/>
      <c r="W5" s="17"/>
      <c r="X5" s="17"/>
      <c r="Y5" s="17"/>
      <c r="Z5" s="17"/>
      <c r="AA5" s="17"/>
      <c r="AB5" s="17"/>
      <c r="AC5" s="17"/>
      <c r="AD5" s="17"/>
      <c r="AE5" s="17"/>
      <c r="AF5" s="17"/>
      <c r="AG5" s="17"/>
      <c r="AH5" s="17"/>
      <c r="AI5" s="17"/>
      <c r="AJ5" s="17"/>
      <c r="AK5" s="17"/>
      <c r="AL5" s="17"/>
      <c r="AM5" s="17"/>
      <c r="AN5" s="17"/>
      <c r="AO5" s="17"/>
      <c r="AP5" s="17"/>
      <c r="AQ5" s="17"/>
      <c r="AR5" s="17"/>
      <c r="AS5" s="17"/>
      <c r="AT5" s="17"/>
      <c r="AU5" s="17"/>
      <c r="AV5" s="17"/>
      <c r="AW5" s="17"/>
      <c r="AX5" s="17"/>
      <c r="AY5" s="17"/>
      <c r="AZ5" s="17"/>
      <c r="BA5" s="17"/>
      <c r="BB5" s="17"/>
      <c r="BC5" s="17"/>
      <c r="BD5" s="17"/>
      <c r="BE5" s="17"/>
      <c r="BF5" s="17"/>
      <c r="BG5" s="17"/>
      <c r="BH5" s="17"/>
      <c r="BI5" s="17"/>
      <c r="BJ5" s="17"/>
      <c r="BK5" s="17"/>
      <c r="BL5" s="17"/>
      <c r="BM5" s="17"/>
      <c r="BN5" s="17"/>
      <c r="BO5" s="17"/>
      <c r="BP5" s="17"/>
      <c r="BQ5" s="17"/>
      <c r="BR5" s="17"/>
      <c r="BS5" s="17"/>
      <c r="BT5" s="17"/>
      <c r="BU5" s="17"/>
      <c r="BV5" s="17"/>
      <c r="BW5" s="17"/>
      <c r="BX5" s="17"/>
      <c r="BY5" s="17"/>
      <c r="BZ5" s="17"/>
      <c r="CA5" s="17"/>
      <c r="CB5" s="17"/>
      <c r="CC5" s="17"/>
      <c r="CD5" s="17"/>
      <c r="CE5" s="17"/>
      <c r="CF5" s="17"/>
      <c r="CG5" s="17"/>
      <c r="CH5" s="17"/>
      <c r="CI5" s="17"/>
      <c r="CJ5" s="17"/>
      <c r="CK5" s="17"/>
      <c r="CL5" s="17"/>
      <c r="CM5" s="17"/>
      <c r="CN5" s="17"/>
      <c r="CO5" s="17"/>
      <c r="CP5" s="17"/>
      <c r="CQ5" s="17"/>
      <c r="CR5" s="17"/>
      <c r="CS5" s="17"/>
      <c r="CT5" s="17"/>
      <c r="CU5" s="17"/>
      <c r="CV5" s="17"/>
      <c r="CW5" s="17"/>
      <c r="CX5" s="17"/>
      <c r="CY5" s="17"/>
      <c r="CZ5" s="17"/>
      <c r="DA5" s="17"/>
      <c r="DB5" s="17"/>
      <c r="DC5" s="17"/>
      <c r="DD5" s="17"/>
      <c r="DE5" s="17"/>
      <c r="DF5" s="17"/>
      <c r="DG5" s="17"/>
      <c r="DH5" s="17"/>
      <c r="DI5" s="17"/>
      <c r="DJ5" s="17"/>
      <c r="DK5" s="17"/>
      <c r="DL5" s="17"/>
      <c r="DM5" s="17"/>
      <c r="DN5" s="17"/>
      <c r="DO5" s="17"/>
      <c r="DP5" s="17"/>
      <c r="DQ5" s="17"/>
      <c r="DR5" s="17"/>
      <c r="DS5" s="17"/>
      <c r="DT5" s="17"/>
      <c r="DU5" s="17"/>
      <c r="DV5" s="17"/>
      <c r="DW5" s="17"/>
      <c r="DX5" s="17"/>
      <c r="DY5" s="17"/>
      <c r="DZ5" s="17"/>
      <c r="EA5" s="17"/>
      <c r="EB5" s="17"/>
      <c r="EC5" s="17"/>
      <c r="ED5" s="17"/>
      <c r="EE5" s="17"/>
      <c r="EF5" s="17"/>
      <c r="EG5" s="17"/>
      <c r="EH5" s="17"/>
      <c r="EI5" s="17"/>
      <c r="EJ5" s="17"/>
      <c r="EK5" s="17"/>
      <c r="EL5" s="17"/>
      <c r="EM5" s="17"/>
      <c r="EN5" s="17"/>
      <c r="EO5" s="17"/>
      <c r="EP5" s="17"/>
      <c r="EQ5" s="17"/>
      <c r="ER5" s="17"/>
      <c r="ES5" s="17"/>
      <c r="ET5" s="17"/>
      <c r="EU5" s="17"/>
      <c r="EV5" s="17"/>
      <c r="EW5" s="17"/>
      <c r="EX5" s="17"/>
      <c r="EY5" s="17"/>
      <c r="EZ5" s="17"/>
      <c r="FA5" s="17"/>
      <c r="FB5" s="17"/>
      <c r="FC5" s="17"/>
      <c r="FD5" s="17"/>
      <c r="FE5" s="17"/>
      <c r="FF5" s="17"/>
      <c r="FG5" s="17"/>
      <c r="FH5" s="17"/>
      <c r="FI5" s="17"/>
      <c r="FJ5" s="17"/>
      <c r="FK5" s="17"/>
      <c r="FL5" s="17"/>
      <c r="FM5" s="17"/>
      <c r="FN5" s="17"/>
      <c r="FO5" s="17"/>
      <c r="FP5" s="17"/>
      <c r="FQ5" s="17"/>
      <c r="FR5" s="17"/>
      <c r="FS5" s="17"/>
      <c r="FT5" s="17"/>
      <c r="FU5" s="17"/>
      <c r="FV5" s="17"/>
      <c r="FW5" s="17"/>
      <c r="FX5" s="17"/>
      <c r="FY5" s="17"/>
      <c r="FZ5" s="17"/>
      <c r="GA5" s="17"/>
      <c r="GB5" s="17"/>
      <c r="GC5" s="17"/>
      <c r="GD5" s="17"/>
      <c r="GE5" s="17"/>
      <c r="GF5" s="17"/>
      <c r="GG5" s="17"/>
      <c r="GH5" s="17"/>
      <c r="GI5" s="17"/>
      <c r="GJ5" s="17"/>
      <c r="GK5" s="17"/>
      <c r="GL5" s="17"/>
      <c r="GM5" s="17"/>
      <c r="GN5" s="17"/>
      <c r="GO5" s="17"/>
      <c r="GP5" s="17"/>
      <c r="GQ5" s="17"/>
      <c r="GR5" s="17"/>
      <c r="GS5" s="17"/>
      <c r="GT5" s="17"/>
      <c r="GU5" s="17"/>
      <c r="GV5" s="17"/>
      <c r="GW5" s="17"/>
      <c r="GX5" s="17"/>
      <c r="GY5" s="17"/>
      <c r="GZ5" s="17"/>
      <c r="HA5" s="17"/>
      <c r="HB5" s="17"/>
      <c r="HC5" s="17"/>
      <c r="HD5" s="17"/>
      <c r="HE5" s="17"/>
      <c r="HF5" s="17"/>
      <c r="HG5" s="17"/>
      <c r="HH5" s="17"/>
      <c r="HI5" s="17"/>
      <c r="HJ5" s="17"/>
      <c r="HK5" s="17"/>
      <c r="HL5" s="17"/>
      <c r="HM5" s="17"/>
      <c r="HN5" s="17"/>
      <c r="HO5" s="17"/>
      <c r="HP5" s="17"/>
      <c r="HQ5" s="17"/>
      <c r="HR5" s="17"/>
      <c r="HS5" s="17"/>
      <c r="HT5" s="17"/>
      <c r="HU5" s="17"/>
      <c r="HV5" s="17"/>
      <c r="HW5" s="17"/>
      <c r="HX5" s="17"/>
      <c r="HY5" s="17"/>
      <c r="HZ5" s="17"/>
      <c r="IA5" s="17"/>
      <c r="IB5" s="17"/>
      <c r="IC5" s="17"/>
      <c r="ID5" s="17"/>
      <c r="IE5" s="17"/>
      <c r="IF5" s="17"/>
      <c r="IG5" s="17"/>
      <c r="IH5" s="17"/>
      <c r="II5" s="17"/>
      <c r="IJ5" s="17"/>
      <c r="IK5" s="17"/>
      <c r="IL5" s="17"/>
      <c r="IM5" s="17"/>
      <c r="IN5" s="17"/>
      <c r="IO5" s="17"/>
      <c r="IP5" s="17"/>
      <c r="IQ5" s="17"/>
      <c r="IR5" s="17"/>
      <c r="IS5" s="17"/>
      <c r="IT5" s="17"/>
      <c r="IU5" s="17"/>
      <c r="IV5" s="17"/>
      <c r="IW5" s="17"/>
      <c r="IX5" s="17"/>
      <c r="IY5" s="17"/>
      <c r="IZ5" s="17"/>
      <c r="JA5" s="17"/>
      <c r="JB5" s="17"/>
      <c r="JC5" s="17"/>
      <c r="JD5" s="17"/>
      <c r="JE5" s="17"/>
      <c r="JF5" s="17"/>
      <c r="JG5" s="17"/>
      <c r="JH5" s="17"/>
      <c r="JI5" s="17"/>
      <c r="JJ5" s="17"/>
      <c r="JK5" s="17"/>
      <c r="JL5" s="17"/>
      <c r="JM5" s="17"/>
      <c r="JN5" s="17"/>
      <c r="JO5" s="17"/>
      <c r="JP5" s="17"/>
      <c r="JQ5" s="17"/>
      <c r="JR5" s="17"/>
      <c r="JS5" s="17"/>
      <c r="JT5" s="17"/>
      <c r="JU5" s="17"/>
      <c r="JV5" s="17"/>
      <c r="JW5" s="17"/>
      <c r="JX5" s="17"/>
      <c r="JY5" s="17"/>
      <c r="JZ5" s="17"/>
      <c r="KA5" s="17"/>
      <c r="KB5" s="17"/>
      <c r="KC5" s="17"/>
      <c r="KD5" s="17"/>
      <c r="KE5" s="17"/>
      <c r="KF5" s="17"/>
      <c r="KG5" s="17"/>
      <c r="KH5" s="17"/>
      <c r="KI5" s="17"/>
      <c r="KJ5" s="17"/>
      <c r="KK5" s="17"/>
      <c r="KL5" s="17"/>
      <c r="KM5" s="17"/>
      <c r="KN5" s="17"/>
      <c r="KO5" s="17"/>
      <c r="KP5" s="17"/>
      <c r="KQ5" s="17"/>
      <c r="KR5" s="17"/>
      <c r="KS5" s="17"/>
      <c r="KT5" s="17"/>
      <c r="KU5" s="17"/>
      <c r="KV5" s="17"/>
      <c r="KW5" s="17"/>
      <c r="KX5" s="17"/>
      <c r="KY5" s="17"/>
    </row>
    <row r="6" spans="1:311" ht="21.75" customHeight="1" x14ac:dyDescent="0.25">
      <c r="A6" s="2185" t="s">
        <v>328</v>
      </c>
      <c r="B6" s="2186"/>
      <c r="C6" s="2186"/>
      <c r="D6" s="2186"/>
      <c r="E6" s="2186"/>
      <c r="F6" s="2186"/>
      <c r="G6" s="2186"/>
      <c r="H6" s="2187"/>
      <c r="I6" s="2214"/>
      <c r="J6" s="2214"/>
      <c r="K6" s="2214"/>
      <c r="L6" s="2214"/>
      <c r="M6" s="2214"/>
      <c r="N6" s="2214"/>
      <c r="O6" s="17"/>
      <c r="P6" s="17"/>
      <c r="Q6" s="17"/>
      <c r="R6" s="17"/>
      <c r="S6" s="17"/>
      <c r="T6" s="17"/>
      <c r="U6" s="17"/>
      <c r="V6" s="17"/>
      <c r="W6" s="17"/>
      <c r="X6" s="17"/>
      <c r="Y6" s="17"/>
      <c r="Z6" s="17"/>
      <c r="AA6" s="17"/>
      <c r="AB6" s="17"/>
      <c r="AC6" s="17"/>
      <c r="AD6" s="17"/>
      <c r="AE6" s="17"/>
      <c r="AF6" s="17"/>
      <c r="AG6" s="17"/>
      <c r="AH6" s="17"/>
      <c r="AI6" s="17"/>
      <c r="AJ6" s="17"/>
      <c r="AK6" s="17"/>
      <c r="AL6" s="17"/>
      <c r="AM6" s="17"/>
      <c r="AN6" s="17"/>
      <c r="AO6" s="17"/>
      <c r="AP6" s="17"/>
      <c r="AQ6" s="17"/>
      <c r="AR6" s="17"/>
      <c r="AS6" s="17"/>
      <c r="AT6" s="17"/>
      <c r="AU6" s="17"/>
      <c r="AV6" s="17"/>
      <c r="AW6" s="17"/>
      <c r="AX6" s="17"/>
      <c r="AY6" s="17"/>
      <c r="AZ6" s="17"/>
      <c r="BA6" s="17"/>
      <c r="BB6" s="17"/>
      <c r="BC6" s="17"/>
      <c r="BD6" s="17"/>
      <c r="BE6" s="17"/>
      <c r="BF6" s="17"/>
      <c r="BG6" s="17"/>
      <c r="BH6" s="17"/>
      <c r="BI6" s="17"/>
      <c r="BJ6" s="17"/>
      <c r="BK6" s="17"/>
      <c r="BL6" s="17"/>
      <c r="BM6" s="17"/>
      <c r="BN6" s="17"/>
      <c r="BO6" s="17"/>
      <c r="BP6" s="17"/>
      <c r="BQ6" s="17"/>
      <c r="BR6" s="17"/>
      <c r="BS6" s="17"/>
      <c r="BT6" s="17"/>
      <c r="BU6" s="17"/>
      <c r="BV6" s="17"/>
      <c r="BW6" s="17"/>
      <c r="BX6" s="17"/>
      <c r="BY6" s="17"/>
      <c r="BZ6" s="17"/>
      <c r="CA6" s="17"/>
      <c r="CB6" s="17"/>
      <c r="CC6" s="17"/>
      <c r="CD6" s="17"/>
      <c r="CE6" s="17"/>
      <c r="CF6" s="17"/>
      <c r="CG6" s="17"/>
      <c r="CH6" s="17"/>
      <c r="CI6" s="17"/>
      <c r="CJ6" s="17"/>
      <c r="CK6" s="17"/>
      <c r="CL6" s="17"/>
      <c r="CM6" s="17"/>
      <c r="CN6" s="17"/>
      <c r="CO6" s="17"/>
      <c r="CP6" s="17"/>
      <c r="CQ6" s="17"/>
      <c r="CR6" s="17"/>
      <c r="CS6" s="17"/>
      <c r="CT6" s="17"/>
      <c r="CU6" s="17"/>
      <c r="CV6" s="17"/>
      <c r="CW6" s="17"/>
      <c r="CX6" s="17"/>
      <c r="CY6" s="17"/>
      <c r="CZ6" s="17"/>
      <c r="DA6" s="17"/>
      <c r="DB6" s="17"/>
      <c r="DC6" s="17"/>
      <c r="DD6" s="17"/>
      <c r="DE6" s="17"/>
      <c r="DF6" s="17"/>
      <c r="DG6" s="17"/>
      <c r="DH6" s="17"/>
      <c r="DI6" s="17"/>
      <c r="DJ6" s="17"/>
      <c r="DK6" s="17"/>
      <c r="DL6" s="17"/>
      <c r="DM6" s="17"/>
      <c r="DN6" s="17"/>
      <c r="DO6" s="17"/>
      <c r="DP6" s="17"/>
      <c r="DQ6" s="17"/>
      <c r="DR6" s="17"/>
      <c r="DS6" s="17"/>
      <c r="DT6" s="17"/>
      <c r="DU6" s="17"/>
      <c r="DV6" s="17"/>
      <c r="DW6" s="17"/>
      <c r="DX6" s="17"/>
      <c r="DY6" s="17"/>
      <c r="DZ6" s="17"/>
      <c r="EA6" s="17"/>
      <c r="EB6" s="17"/>
      <c r="EC6" s="17"/>
      <c r="ED6" s="17"/>
      <c r="EE6" s="17"/>
      <c r="EF6" s="17"/>
      <c r="EG6" s="17"/>
      <c r="EH6" s="17"/>
      <c r="EI6" s="17"/>
      <c r="EJ6" s="17"/>
      <c r="EK6" s="17"/>
      <c r="EL6" s="17"/>
      <c r="EM6" s="17"/>
      <c r="EN6" s="17"/>
      <c r="EO6" s="17"/>
      <c r="EP6" s="17"/>
      <c r="EQ6" s="17"/>
      <c r="ER6" s="17"/>
      <c r="ES6" s="17"/>
      <c r="ET6" s="17"/>
      <c r="EU6" s="17"/>
      <c r="EV6" s="17"/>
      <c r="EW6" s="17"/>
      <c r="EX6" s="17"/>
      <c r="EY6" s="17"/>
      <c r="EZ6" s="17"/>
      <c r="FA6" s="17"/>
      <c r="FB6" s="17"/>
      <c r="FC6" s="17"/>
      <c r="FD6" s="17"/>
      <c r="FE6" s="17"/>
      <c r="FF6" s="17"/>
      <c r="FG6" s="17"/>
      <c r="FH6" s="17"/>
      <c r="FI6" s="17"/>
      <c r="FJ6" s="17"/>
      <c r="FK6" s="17"/>
      <c r="FL6" s="17"/>
      <c r="FM6" s="17"/>
      <c r="FN6" s="17"/>
      <c r="FO6" s="17"/>
      <c r="FP6" s="17"/>
      <c r="FQ6" s="17"/>
      <c r="FR6" s="17"/>
      <c r="FS6" s="17"/>
      <c r="FT6" s="17"/>
      <c r="FU6" s="17"/>
      <c r="FV6" s="17"/>
      <c r="FW6" s="17"/>
      <c r="FX6" s="17"/>
      <c r="FY6" s="17"/>
      <c r="FZ6" s="17"/>
      <c r="GA6" s="17"/>
      <c r="GB6" s="17"/>
      <c r="GC6" s="17"/>
      <c r="GD6" s="17"/>
      <c r="GE6" s="17"/>
      <c r="GF6" s="17"/>
      <c r="GG6" s="17"/>
      <c r="GH6" s="17"/>
      <c r="GI6" s="17"/>
      <c r="GJ6" s="17"/>
      <c r="GK6" s="17"/>
      <c r="GL6" s="17"/>
      <c r="GM6" s="17"/>
      <c r="GN6" s="17"/>
      <c r="GO6" s="17"/>
      <c r="GP6" s="17"/>
      <c r="GQ6" s="17"/>
      <c r="GR6" s="17"/>
      <c r="GS6" s="17"/>
      <c r="GT6" s="17"/>
      <c r="GU6" s="17"/>
      <c r="GV6" s="17"/>
      <c r="GW6" s="17"/>
      <c r="GX6" s="17"/>
      <c r="GY6" s="17"/>
      <c r="GZ6" s="17"/>
      <c r="HA6" s="17"/>
      <c r="HB6" s="17"/>
      <c r="HC6" s="17"/>
      <c r="HD6" s="17"/>
      <c r="HE6" s="17"/>
      <c r="HF6" s="17"/>
      <c r="HG6" s="17"/>
      <c r="HH6" s="17"/>
      <c r="HI6" s="17"/>
      <c r="HJ6" s="17"/>
      <c r="HK6" s="17"/>
      <c r="HL6" s="17"/>
      <c r="HM6" s="17"/>
      <c r="HN6" s="17"/>
      <c r="HO6" s="17"/>
      <c r="HP6" s="17"/>
      <c r="HQ6" s="17"/>
      <c r="HR6" s="17"/>
      <c r="HS6" s="17"/>
      <c r="HT6" s="17"/>
      <c r="HU6" s="17"/>
      <c r="HV6" s="17"/>
      <c r="HW6" s="17"/>
      <c r="HX6" s="17"/>
      <c r="HY6" s="17"/>
      <c r="HZ6" s="17"/>
      <c r="IA6" s="17"/>
      <c r="IB6" s="17"/>
      <c r="IC6" s="17"/>
      <c r="ID6" s="17"/>
      <c r="IE6" s="17"/>
      <c r="IF6" s="17"/>
      <c r="IG6" s="17"/>
      <c r="IH6" s="17"/>
      <c r="II6" s="17"/>
      <c r="IJ6" s="17"/>
      <c r="IK6" s="17"/>
      <c r="IL6" s="17"/>
      <c r="IM6" s="17"/>
      <c r="IN6" s="17"/>
      <c r="IO6" s="17"/>
      <c r="IP6" s="17"/>
      <c r="IQ6" s="17"/>
      <c r="IR6" s="17"/>
      <c r="IS6" s="17"/>
      <c r="IT6" s="17"/>
      <c r="IU6" s="17"/>
      <c r="IV6" s="17"/>
      <c r="IW6" s="17"/>
      <c r="IX6" s="17"/>
      <c r="IY6" s="17"/>
      <c r="IZ6" s="17"/>
      <c r="JA6" s="17"/>
      <c r="JB6" s="17"/>
      <c r="JC6" s="17"/>
      <c r="JD6" s="17"/>
      <c r="JE6" s="17"/>
      <c r="JF6" s="17"/>
      <c r="JG6" s="17"/>
      <c r="JH6" s="17"/>
      <c r="JI6" s="17"/>
      <c r="JJ6" s="17"/>
      <c r="JK6" s="17"/>
      <c r="JL6" s="17"/>
      <c r="JM6" s="17"/>
      <c r="JN6" s="17"/>
      <c r="JO6" s="17"/>
      <c r="JP6" s="17"/>
      <c r="JQ6" s="17"/>
      <c r="JR6" s="17"/>
      <c r="JS6" s="17"/>
      <c r="JT6" s="17"/>
      <c r="JU6" s="17"/>
      <c r="JV6" s="17"/>
      <c r="JW6" s="17"/>
      <c r="JX6" s="17"/>
      <c r="JY6" s="17"/>
      <c r="JZ6" s="17"/>
      <c r="KA6" s="17"/>
      <c r="KB6" s="17"/>
      <c r="KC6" s="17"/>
      <c r="KD6" s="17"/>
      <c r="KE6" s="17"/>
      <c r="KF6" s="17"/>
      <c r="KG6" s="17"/>
      <c r="KH6" s="17"/>
      <c r="KI6" s="17"/>
      <c r="KJ6" s="17"/>
      <c r="KK6" s="17"/>
      <c r="KL6" s="17"/>
      <c r="KM6" s="17"/>
      <c r="KN6" s="17"/>
      <c r="KO6" s="17"/>
      <c r="KP6" s="17"/>
      <c r="KQ6" s="17"/>
      <c r="KR6" s="17"/>
      <c r="KS6" s="17"/>
      <c r="KT6" s="17"/>
      <c r="KU6" s="17"/>
      <c r="KV6" s="17"/>
      <c r="KW6" s="17"/>
      <c r="KX6" s="17"/>
      <c r="KY6" s="17"/>
    </row>
    <row r="7" spans="1:311" ht="21.75" customHeight="1" x14ac:dyDescent="0.25">
      <c r="A7" s="2185" t="s">
        <v>306</v>
      </c>
      <c r="B7" s="2186"/>
      <c r="C7" s="2186"/>
      <c r="D7" s="2186"/>
      <c r="E7" s="2186"/>
      <c r="F7" s="2186"/>
      <c r="G7" s="2186"/>
      <c r="H7" s="2187"/>
      <c r="I7" s="2214"/>
      <c r="J7" s="2214"/>
      <c r="K7" s="2214"/>
      <c r="L7" s="2214"/>
      <c r="M7" s="2214"/>
      <c r="N7" s="2214"/>
      <c r="O7" s="17"/>
      <c r="P7" s="17"/>
      <c r="Q7" s="17"/>
      <c r="R7" s="17"/>
      <c r="S7" s="17"/>
      <c r="T7" s="17"/>
      <c r="U7" s="17"/>
      <c r="V7" s="17"/>
      <c r="W7" s="17"/>
      <c r="X7" s="17"/>
      <c r="Y7" s="17"/>
      <c r="Z7" s="17"/>
      <c r="AA7" s="17"/>
      <c r="AB7" s="17"/>
      <c r="AC7" s="17"/>
      <c r="AD7" s="17"/>
      <c r="AE7" s="17"/>
      <c r="AF7" s="17"/>
      <c r="AG7" s="17"/>
      <c r="AH7" s="17"/>
      <c r="AI7" s="17"/>
      <c r="AJ7" s="17"/>
      <c r="AK7" s="17"/>
      <c r="AL7" s="17"/>
      <c r="AM7" s="17"/>
      <c r="AN7" s="17"/>
      <c r="AO7" s="17"/>
      <c r="AP7" s="17"/>
      <c r="AQ7" s="17"/>
      <c r="AR7" s="17"/>
      <c r="AS7" s="17"/>
      <c r="AT7" s="17"/>
      <c r="AU7" s="17"/>
      <c r="AV7" s="17"/>
      <c r="AW7" s="17"/>
      <c r="AX7" s="17"/>
      <c r="AY7" s="17"/>
      <c r="AZ7" s="17"/>
      <c r="BA7" s="17"/>
      <c r="BB7" s="17"/>
      <c r="BC7" s="17"/>
      <c r="BD7" s="17"/>
      <c r="BE7" s="17"/>
      <c r="BF7" s="17"/>
      <c r="BG7" s="17"/>
      <c r="BH7" s="17"/>
      <c r="BI7" s="17"/>
      <c r="BJ7" s="17"/>
      <c r="BK7" s="17"/>
      <c r="BL7" s="17"/>
      <c r="BM7" s="17"/>
      <c r="BN7" s="17"/>
      <c r="BO7" s="17"/>
      <c r="BP7" s="17"/>
      <c r="BQ7" s="17"/>
      <c r="BR7" s="17"/>
      <c r="BS7" s="17"/>
      <c r="BT7" s="17"/>
      <c r="BU7" s="17"/>
      <c r="BV7" s="17"/>
      <c r="BW7" s="17"/>
      <c r="BX7" s="17"/>
      <c r="BY7" s="17"/>
      <c r="BZ7" s="17"/>
      <c r="CA7" s="17"/>
      <c r="CB7" s="17"/>
      <c r="CC7" s="17"/>
      <c r="CD7" s="17"/>
      <c r="CE7" s="17"/>
      <c r="CF7" s="17"/>
      <c r="CG7" s="17"/>
      <c r="CH7" s="17"/>
      <c r="CI7" s="17"/>
      <c r="CJ7" s="17"/>
      <c r="CK7" s="17"/>
      <c r="CL7" s="17"/>
      <c r="CM7" s="17"/>
      <c r="CN7" s="17"/>
      <c r="CO7" s="17"/>
      <c r="CP7" s="17"/>
      <c r="CQ7" s="17"/>
      <c r="CR7" s="17"/>
      <c r="CS7" s="17"/>
      <c r="CT7" s="17"/>
      <c r="CU7" s="17"/>
      <c r="CV7" s="17"/>
      <c r="CW7" s="17"/>
      <c r="CX7" s="17"/>
      <c r="CY7" s="17"/>
      <c r="CZ7" s="17"/>
      <c r="DA7" s="17"/>
      <c r="DB7" s="17"/>
      <c r="DC7" s="17"/>
      <c r="DD7" s="17"/>
      <c r="DE7" s="17"/>
      <c r="DF7" s="17"/>
      <c r="DG7" s="17"/>
      <c r="DH7" s="17"/>
      <c r="DI7" s="17"/>
      <c r="DJ7" s="17"/>
      <c r="DK7" s="17"/>
      <c r="DL7" s="17"/>
      <c r="DM7" s="17"/>
      <c r="DN7" s="17"/>
      <c r="DO7" s="17"/>
      <c r="DP7" s="17"/>
      <c r="DQ7" s="17"/>
      <c r="DR7" s="17"/>
      <c r="DS7" s="17"/>
      <c r="DT7" s="17"/>
      <c r="DU7" s="17"/>
      <c r="DV7" s="17"/>
      <c r="DW7" s="17"/>
      <c r="DX7" s="17"/>
      <c r="DY7" s="17"/>
      <c r="DZ7" s="17"/>
      <c r="EA7" s="17"/>
      <c r="EB7" s="17"/>
      <c r="EC7" s="17"/>
      <c r="ED7" s="17"/>
      <c r="EE7" s="17"/>
      <c r="EF7" s="17"/>
      <c r="EG7" s="17"/>
      <c r="EH7" s="17"/>
      <c r="EI7" s="17"/>
      <c r="EJ7" s="17"/>
      <c r="EK7" s="17"/>
      <c r="EL7" s="17"/>
      <c r="EM7" s="17"/>
      <c r="EN7" s="17"/>
      <c r="EO7" s="17"/>
      <c r="EP7" s="17"/>
      <c r="EQ7" s="17"/>
      <c r="ER7" s="17"/>
      <c r="ES7" s="17"/>
      <c r="ET7" s="17"/>
      <c r="EU7" s="17"/>
      <c r="EV7" s="17"/>
      <c r="EW7" s="17"/>
      <c r="EX7" s="17"/>
      <c r="EY7" s="17"/>
      <c r="EZ7" s="17"/>
      <c r="FA7" s="17"/>
      <c r="FB7" s="17"/>
      <c r="FC7" s="17"/>
      <c r="FD7" s="17"/>
      <c r="FE7" s="17"/>
      <c r="FF7" s="17"/>
      <c r="FG7" s="17"/>
      <c r="FH7" s="17"/>
      <c r="FI7" s="17"/>
      <c r="FJ7" s="17"/>
      <c r="FK7" s="17"/>
      <c r="FL7" s="17"/>
      <c r="FM7" s="17"/>
      <c r="FN7" s="17"/>
      <c r="FO7" s="17"/>
      <c r="FP7" s="17"/>
      <c r="FQ7" s="17"/>
      <c r="FR7" s="17"/>
      <c r="FS7" s="17"/>
      <c r="FT7" s="17"/>
      <c r="FU7" s="17"/>
      <c r="FV7" s="17"/>
      <c r="FW7" s="17"/>
      <c r="FX7" s="17"/>
      <c r="FY7" s="17"/>
      <c r="FZ7" s="17"/>
      <c r="GA7" s="17"/>
      <c r="GB7" s="17"/>
      <c r="GC7" s="17"/>
      <c r="GD7" s="17"/>
      <c r="GE7" s="17"/>
      <c r="GF7" s="17"/>
      <c r="GG7" s="17"/>
      <c r="GH7" s="17"/>
      <c r="GI7" s="17"/>
      <c r="GJ7" s="17"/>
      <c r="GK7" s="17"/>
      <c r="GL7" s="17"/>
      <c r="GM7" s="17"/>
      <c r="GN7" s="17"/>
      <c r="GO7" s="17"/>
      <c r="GP7" s="17"/>
      <c r="GQ7" s="17"/>
      <c r="GR7" s="17"/>
      <c r="GS7" s="17"/>
      <c r="GT7" s="17"/>
      <c r="GU7" s="17"/>
      <c r="GV7" s="17"/>
      <c r="GW7" s="17"/>
      <c r="GX7" s="17"/>
      <c r="GY7" s="17"/>
      <c r="GZ7" s="17"/>
      <c r="HA7" s="17"/>
      <c r="HB7" s="17"/>
      <c r="HC7" s="17"/>
      <c r="HD7" s="17"/>
      <c r="HE7" s="17"/>
      <c r="HF7" s="17"/>
      <c r="HG7" s="17"/>
      <c r="HH7" s="17"/>
      <c r="HI7" s="17"/>
      <c r="HJ7" s="17"/>
      <c r="HK7" s="17"/>
      <c r="HL7" s="17"/>
      <c r="HM7" s="17"/>
      <c r="HN7" s="17"/>
      <c r="HO7" s="17"/>
      <c r="HP7" s="17"/>
      <c r="HQ7" s="17"/>
      <c r="HR7" s="17"/>
      <c r="HS7" s="17"/>
      <c r="HT7" s="17"/>
      <c r="HU7" s="17"/>
      <c r="HV7" s="17"/>
      <c r="HW7" s="17"/>
      <c r="HX7" s="17"/>
      <c r="HY7" s="17"/>
      <c r="HZ7" s="17"/>
      <c r="IA7" s="17"/>
      <c r="IB7" s="17"/>
      <c r="IC7" s="17"/>
      <c r="ID7" s="17"/>
      <c r="IE7" s="17"/>
      <c r="IF7" s="17"/>
      <c r="IG7" s="17"/>
      <c r="IH7" s="17"/>
      <c r="II7" s="17"/>
      <c r="IJ7" s="17"/>
      <c r="IK7" s="17"/>
      <c r="IL7" s="17"/>
      <c r="IM7" s="17"/>
      <c r="IN7" s="17"/>
      <c r="IO7" s="17"/>
      <c r="IP7" s="17"/>
      <c r="IQ7" s="17"/>
      <c r="IR7" s="17"/>
      <c r="IS7" s="17"/>
      <c r="IT7" s="17"/>
      <c r="IU7" s="17"/>
      <c r="IV7" s="17"/>
      <c r="IW7" s="17"/>
      <c r="IX7" s="17"/>
      <c r="IY7" s="17"/>
      <c r="IZ7" s="17"/>
      <c r="JA7" s="17"/>
      <c r="JB7" s="17"/>
      <c r="JC7" s="17"/>
      <c r="JD7" s="17"/>
      <c r="JE7" s="17"/>
      <c r="JF7" s="17"/>
      <c r="JG7" s="17"/>
      <c r="JH7" s="17"/>
      <c r="JI7" s="17"/>
      <c r="JJ7" s="17"/>
      <c r="JK7" s="17"/>
      <c r="JL7" s="17"/>
      <c r="JM7" s="17"/>
      <c r="JN7" s="17"/>
      <c r="JO7" s="17"/>
      <c r="JP7" s="17"/>
      <c r="JQ7" s="17"/>
      <c r="JR7" s="17"/>
      <c r="JS7" s="17"/>
      <c r="JT7" s="17"/>
      <c r="JU7" s="17"/>
      <c r="JV7" s="17"/>
      <c r="JW7" s="17"/>
      <c r="JX7" s="17"/>
      <c r="JY7" s="17"/>
      <c r="JZ7" s="17"/>
      <c r="KA7" s="17"/>
      <c r="KB7" s="17"/>
      <c r="KC7" s="17"/>
      <c r="KD7" s="17"/>
      <c r="KE7" s="17"/>
      <c r="KF7" s="17"/>
      <c r="KG7" s="17"/>
      <c r="KH7" s="17"/>
      <c r="KI7" s="17"/>
      <c r="KJ7" s="17"/>
      <c r="KK7" s="17"/>
      <c r="KL7" s="17"/>
      <c r="KM7" s="17"/>
      <c r="KN7" s="17"/>
      <c r="KO7" s="17"/>
      <c r="KP7" s="17"/>
      <c r="KQ7" s="17"/>
      <c r="KR7" s="17"/>
      <c r="KS7" s="17"/>
      <c r="KT7" s="17"/>
      <c r="KU7" s="17"/>
      <c r="KV7" s="17"/>
      <c r="KW7" s="17"/>
      <c r="KX7" s="17"/>
      <c r="KY7" s="17"/>
    </row>
    <row r="8" spans="1:311" ht="15.75" customHeight="1" thickBot="1" x14ac:dyDescent="0.3">
      <c r="A8" s="2220"/>
      <c r="B8" s="2221"/>
      <c r="C8" s="2221"/>
      <c r="D8" s="2221"/>
      <c r="E8" s="2221"/>
      <c r="F8" s="2221"/>
      <c r="G8" s="2221"/>
      <c r="H8" s="2222"/>
      <c r="I8" s="2214"/>
      <c r="J8" s="2214"/>
      <c r="K8" s="2214"/>
      <c r="L8" s="2214"/>
      <c r="M8" s="2214"/>
      <c r="N8" s="2214"/>
      <c r="O8" s="17"/>
      <c r="P8" s="17"/>
      <c r="Q8" s="17"/>
      <c r="R8" s="17"/>
      <c r="S8" s="17"/>
      <c r="T8" s="17"/>
      <c r="U8" s="17"/>
      <c r="V8" s="17"/>
      <c r="W8" s="17"/>
      <c r="X8" s="17"/>
      <c r="Y8" s="17"/>
      <c r="Z8" s="17"/>
      <c r="AA8" s="17"/>
      <c r="AB8" s="17"/>
      <c r="AC8" s="17"/>
      <c r="AD8" s="17"/>
      <c r="AE8" s="17"/>
      <c r="AF8" s="17"/>
      <c r="AG8" s="17"/>
      <c r="AH8" s="17"/>
      <c r="AI8" s="17"/>
      <c r="AJ8" s="17"/>
      <c r="AK8" s="17"/>
      <c r="AL8" s="17"/>
      <c r="AM8" s="17"/>
      <c r="AN8" s="17"/>
      <c r="AO8" s="17"/>
      <c r="AP8" s="17"/>
      <c r="AQ8" s="17"/>
      <c r="AR8" s="17"/>
      <c r="AS8" s="17"/>
      <c r="AT8" s="17"/>
      <c r="AU8" s="17"/>
      <c r="AV8" s="17"/>
      <c r="AW8" s="17"/>
      <c r="AX8" s="17"/>
      <c r="AY8" s="17"/>
      <c r="AZ8" s="17"/>
      <c r="BA8" s="17"/>
      <c r="BB8" s="17"/>
      <c r="BC8" s="17"/>
      <c r="BD8" s="17"/>
      <c r="BE8" s="17"/>
      <c r="BF8" s="17"/>
      <c r="BG8" s="17"/>
      <c r="BH8" s="17"/>
      <c r="BI8" s="17"/>
      <c r="BJ8" s="17"/>
      <c r="BK8" s="17"/>
      <c r="BL8" s="17"/>
      <c r="BM8" s="17"/>
      <c r="BN8" s="17"/>
      <c r="BO8" s="17"/>
      <c r="BP8" s="17"/>
      <c r="BQ8" s="17"/>
      <c r="BR8" s="17"/>
      <c r="BS8" s="17"/>
      <c r="BT8" s="17"/>
      <c r="BU8" s="17"/>
      <c r="BV8" s="17"/>
      <c r="BW8" s="17"/>
      <c r="BX8" s="17"/>
      <c r="BY8" s="17"/>
      <c r="BZ8" s="17"/>
      <c r="CA8" s="17"/>
      <c r="CB8" s="17"/>
      <c r="CC8" s="17"/>
      <c r="CD8" s="17"/>
      <c r="CE8" s="17"/>
      <c r="CF8" s="17"/>
      <c r="CG8" s="17"/>
      <c r="CH8" s="17"/>
      <c r="CI8" s="17"/>
      <c r="CJ8" s="17"/>
      <c r="CK8" s="17"/>
      <c r="CL8" s="17"/>
      <c r="CM8" s="17"/>
      <c r="CN8" s="17"/>
      <c r="CO8" s="17"/>
      <c r="CP8" s="17"/>
      <c r="CQ8" s="17"/>
      <c r="CR8" s="17"/>
      <c r="CS8" s="17"/>
      <c r="CT8" s="17"/>
      <c r="CU8" s="17"/>
      <c r="CV8" s="17"/>
      <c r="CW8" s="17"/>
      <c r="CX8" s="17"/>
      <c r="CY8" s="17"/>
      <c r="CZ8" s="17"/>
      <c r="DA8" s="17"/>
      <c r="DB8" s="17"/>
      <c r="DC8" s="17"/>
      <c r="DD8" s="17"/>
      <c r="DE8" s="17"/>
      <c r="DF8" s="17"/>
      <c r="DG8" s="17"/>
      <c r="DH8" s="17"/>
      <c r="DI8" s="17"/>
      <c r="DJ8" s="17"/>
      <c r="DK8" s="17"/>
      <c r="DL8" s="17"/>
      <c r="DM8" s="17"/>
      <c r="DN8" s="17"/>
      <c r="DO8" s="17"/>
      <c r="DP8" s="17"/>
      <c r="DQ8" s="17"/>
      <c r="DR8" s="17"/>
      <c r="DS8" s="17"/>
      <c r="DT8" s="17"/>
      <c r="DU8" s="17"/>
      <c r="DV8" s="17"/>
      <c r="DW8" s="17"/>
      <c r="DX8" s="17"/>
      <c r="DY8" s="17"/>
      <c r="DZ8" s="17"/>
      <c r="EA8" s="17"/>
      <c r="EB8" s="17"/>
      <c r="EC8" s="17"/>
      <c r="ED8" s="17"/>
      <c r="EE8" s="17"/>
      <c r="EF8" s="17"/>
      <c r="EG8" s="17"/>
      <c r="EH8" s="17"/>
      <c r="EI8" s="17"/>
      <c r="EJ8" s="17"/>
      <c r="EK8" s="17"/>
      <c r="EL8" s="17"/>
      <c r="EM8" s="17"/>
      <c r="EN8" s="17"/>
      <c r="EO8" s="17"/>
      <c r="EP8" s="17"/>
      <c r="EQ8" s="17"/>
      <c r="ER8" s="17"/>
      <c r="ES8" s="17"/>
      <c r="ET8" s="17"/>
      <c r="EU8" s="17"/>
      <c r="EV8" s="17"/>
      <c r="EW8" s="17"/>
      <c r="EX8" s="17"/>
      <c r="EY8" s="17"/>
      <c r="EZ8" s="17"/>
      <c r="FA8" s="17"/>
      <c r="FB8" s="17"/>
      <c r="FC8" s="17"/>
      <c r="FD8" s="17"/>
      <c r="FE8" s="17"/>
      <c r="FF8" s="17"/>
      <c r="FG8" s="17"/>
      <c r="FH8" s="17"/>
      <c r="FI8" s="17"/>
      <c r="FJ8" s="17"/>
      <c r="FK8" s="17"/>
      <c r="FL8" s="17"/>
      <c r="FM8" s="17"/>
      <c r="FN8" s="17"/>
      <c r="FO8" s="17"/>
      <c r="FP8" s="17"/>
      <c r="FQ8" s="17"/>
      <c r="FR8" s="17"/>
      <c r="FS8" s="17"/>
      <c r="FT8" s="17"/>
      <c r="FU8" s="17"/>
      <c r="FV8" s="17"/>
      <c r="FW8" s="17"/>
      <c r="FX8" s="17"/>
      <c r="FY8" s="17"/>
      <c r="FZ8" s="17"/>
      <c r="GA8" s="17"/>
      <c r="GB8" s="17"/>
      <c r="GC8" s="17"/>
      <c r="GD8" s="17"/>
      <c r="GE8" s="17"/>
      <c r="GF8" s="17"/>
      <c r="GG8" s="17"/>
      <c r="GH8" s="17"/>
      <c r="GI8" s="17"/>
      <c r="GJ8" s="17"/>
      <c r="GK8" s="17"/>
      <c r="GL8" s="17"/>
      <c r="GM8" s="17"/>
      <c r="GN8" s="17"/>
      <c r="GO8" s="17"/>
      <c r="GP8" s="17"/>
      <c r="GQ8" s="17"/>
      <c r="GR8" s="17"/>
      <c r="GS8" s="17"/>
      <c r="GT8" s="17"/>
      <c r="GU8" s="17"/>
      <c r="GV8" s="17"/>
      <c r="GW8" s="17"/>
      <c r="GX8" s="17"/>
      <c r="GY8" s="17"/>
      <c r="GZ8" s="17"/>
      <c r="HA8" s="17"/>
      <c r="HB8" s="17"/>
      <c r="HC8" s="17"/>
      <c r="HD8" s="17"/>
      <c r="HE8" s="17"/>
      <c r="HF8" s="17"/>
      <c r="HG8" s="17"/>
      <c r="HH8" s="17"/>
      <c r="HI8" s="17"/>
      <c r="HJ8" s="17"/>
      <c r="HK8" s="17"/>
      <c r="HL8" s="17"/>
      <c r="HM8" s="17"/>
      <c r="HN8" s="17"/>
      <c r="HO8" s="17"/>
      <c r="HP8" s="17"/>
      <c r="HQ8" s="17"/>
      <c r="HR8" s="17"/>
      <c r="HS8" s="17"/>
      <c r="HT8" s="17"/>
      <c r="HU8" s="17"/>
      <c r="HV8" s="17"/>
      <c r="HW8" s="17"/>
      <c r="HX8" s="17"/>
      <c r="HY8" s="17"/>
      <c r="HZ8" s="17"/>
      <c r="IA8" s="17"/>
      <c r="IB8" s="17"/>
      <c r="IC8" s="17"/>
      <c r="ID8" s="17"/>
      <c r="IE8" s="17"/>
      <c r="IF8" s="17"/>
      <c r="IG8" s="17"/>
      <c r="IH8" s="17"/>
      <c r="II8" s="17"/>
      <c r="IJ8" s="17"/>
      <c r="IK8" s="17"/>
      <c r="IL8" s="17"/>
      <c r="IM8" s="17"/>
      <c r="IN8" s="17"/>
      <c r="IO8" s="17"/>
      <c r="IP8" s="17"/>
      <c r="IQ8" s="17"/>
      <c r="IR8" s="17"/>
      <c r="IS8" s="17"/>
      <c r="IT8" s="17"/>
      <c r="IU8" s="17"/>
      <c r="IV8" s="17"/>
      <c r="IW8" s="17"/>
      <c r="IX8" s="17"/>
      <c r="IY8" s="17"/>
      <c r="IZ8" s="17"/>
      <c r="JA8" s="17"/>
      <c r="JB8" s="17"/>
      <c r="JC8" s="17"/>
      <c r="JD8" s="17"/>
      <c r="JE8" s="17"/>
      <c r="JF8" s="17"/>
      <c r="JG8" s="17"/>
      <c r="JH8" s="17"/>
      <c r="JI8" s="17"/>
      <c r="JJ8" s="17"/>
      <c r="JK8" s="17"/>
      <c r="JL8" s="17"/>
      <c r="JM8" s="17"/>
      <c r="JN8" s="17"/>
      <c r="JO8" s="17"/>
      <c r="JP8" s="17"/>
      <c r="JQ8" s="17"/>
      <c r="JR8" s="17"/>
      <c r="JS8" s="17"/>
      <c r="JT8" s="17"/>
      <c r="JU8" s="17"/>
      <c r="JV8" s="17"/>
      <c r="JW8" s="17"/>
      <c r="JX8" s="17"/>
      <c r="JY8" s="17"/>
      <c r="JZ8" s="17"/>
      <c r="KA8" s="17"/>
      <c r="KB8" s="17"/>
      <c r="KC8" s="17"/>
      <c r="KD8" s="17"/>
      <c r="KE8" s="17"/>
      <c r="KF8" s="17"/>
      <c r="KG8" s="17"/>
      <c r="KH8" s="17"/>
      <c r="KI8" s="17"/>
      <c r="KJ8" s="17"/>
      <c r="KK8" s="17"/>
      <c r="KL8" s="17"/>
      <c r="KM8" s="17"/>
      <c r="KN8" s="17"/>
      <c r="KO8" s="17"/>
      <c r="KP8" s="17"/>
      <c r="KQ8" s="17"/>
      <c r="KR8" s="17"/>
      <c r="KS8" s="17"/>
      <c r="KT8" s="17"/>
      <c r="KU8" s="17"/>
      <c r="KV8" s="17"/>
      <c r="KW8" s="17"/>
      <c r="KX8" s="17"/>
      <c r="KY8" s="17"/>
    </row>
    <row r="9" spans="1:311" ht="15" customHeight="1" x14ac:dyDescent="0.25">
      <c r="A9" s="137"/>
      <c r="B9" s="125" t="s">
        <v>66</v>
      </c>
      <c r="C9" s="2216" t="s">
        <v>64</v>
      </c>
      <c r="D9" s="2217"/>
      <c r="E9" s="2215"/>
      <c r="F9" s="2215"/>
      <c r="G9" s="2215"/>
      <c r="H9" s="2215"/>
      <c r="I9" s="2214"/>
      <c r="J9" s="2214"/>
      <c r="K9" s="2214"/>
      <c r="L9" s="2214"/>
      <c r="M9" s="2214"/>
      <c r="N9" s="2214"/>
      <c r="O9" s="17"/>
      <c r="P9" s="17"/>
      <c r="Q9" s="17"/>
      <c r="R9" s="17"/>
      <c r="S9" s="17"/>
      <c r="T9" s="17"/>
      <c r="U9" s="17"/>
      <c r="V9" s="17"/>
      <c r="W9" s="17"/>
      <c r="X9" s="17"/>
      <c r="Y9" s="17"/>
      <c r="Z9" s="17"/>
      <c r="AA9" s="17"/>
      <c r="AB9" s="17"/>
      <c r="AC9" s="17"/>
      <c r="AD9" s="17"/>
      <c r="AE9" s="17"/>
      <c r="AF9" s="17"/>
      <c r="AG9" s="17"/>
      <c r="AH9" s="17"/>
      <c r="AI9" s="17"/>
      <c r="AJ9" s="17"/>
      <c r="AK9" s="17"/>
      <c r="AL9" s="17"/>
      <c r="AM9" s="17"/>
      <c r="AN9" s="17"/>
      <c r="AO9" s="17"/>
      <c r="AP9" s="17"/>
      <c r="AQ9" s="17"/>
      <c r="AR9" s="17"/>
      <c r="AS9" s="17"/>
      <c r="AT9" s="17"/>
      <c r="AU9" s="17"/>
      <c r="AV9" s="17"/>
      <c r="AW9" s="17"/>
      <c r="AX9" s="17"/>
      <c r="AY9" s="17"/>
      <c r="AZ9" s="17"/>
      <c r="BA9" s="17"/>
      <c r="BB9" s="17"/>
      <c r="BC9" s="17"/>
      <c r="BD9" s="17"/>
      <c r="BE9" s="17"/>
      <c r="BF9" s="17"/>
      <c r="BG9" s="17"/>
      <c r="BH9" s="17"/>
      <c r="BI9" s="17"/>
      <c r="BJ9" s="17"/>
      <c r="BK9" s="17"/>
      <c r="BL9" s="17"/>
      <c r="BM9" s="17"/>
      <c r="BN9" s="17"/>
      <c r="BO9" s="17"/>
      <c r="BP9" s="17"/>
      <c r="BQ9" s="17"/>
      <c r="BR9" s="17"/>
      <c r="BS9" s="17"/>
      <c r="BT9" s="17"/>
      <c r="BU9" s="17"/>
      <c r="BV9" s="17"/>
      <c r="BW9" s="17"/>
      <c r="BX9" s="17"/>
      <c r="BY9" s="17"/>
      <c r="BZ9" s="17"/>
      <c r="CA9" s="17"/>
      <c r="CB9" s="17"/>
      <c r="CC9" s="17"/>
      <c r="CD9" s="17"/>
      <c r="CE9" s="17"/>
      <c r="CF9" s="17"/>
      <c r="CG9" s="17"/>
      <c r="CH9" s="17"/>
      <c r="CI9" s="17"/>
      <c r="CJ9" s="17"/>
      <c r="CK9" s="17"/>
      <c r="CL9" s="17"/>
      <c r="CM9" s="17"/>
      <c r="CN9" s="17"/>
      <c r="CO9" s="17"/>
      <c r="CP9" s="17"/>
      <c r="CQ9" s="17"/>
      <c r="CR9" s="17"/>
      <c r="CS9" s="17"/>
      <c r="CT9" s="17"/>
      <c r="CU9" s="17"/>
      <c r="CV9" s="17"/>
      <c r="CW9" s="17"/>
      <c r="CX9" s="17"/>
      <c r="CY9" s="17"/>
      <c r="CZ9" s="17"/>
      <c r="DA9" s="17"/>
      <c r="DB9" s="17"/>
      <c r="DC9" s="17"/>
      <c r="DD9" s="17"/>
      <c r="DE9" s="17"/>
      <c r="DF9" s="17"/>
      <c r="DG9" s="17"/>
      <c r="DH9" s="17"/>
      <c r="DI9" s="17"/>
      <c r="DJ9" s="17"/>
      <c r="DK9" s="17"/>
      <c r="DL9" s="17"/>
      <c r="DM9" s="17"/>
      <c r="DN9" s="17"/>
      <c r="DO9" s="17"/>
      <c r="DP9" s="17"/>
      <c r="DQ9" s="17"/>
      <c r="DR9" s="17"/>
      <c r="DS9" s="17"/>
      <c r="DT9" s="17"/>
      <c r="DU9" s="17"/>
      <c r="DV9" s="17"/>
      <c r="DW9" s="17"/>
      <c r="DX9" s="17"/>
      <c r="DY9" s="17"/>
      <c r="DZ9" s="17"/>
      <c r="EA9" s="17"/>
      <c r="EB9" s="17"/>
      <c r="EC9" s="17"/>
      <c r="ED9" s="17"/>
      <c r="EE9" s="17"/>
      <c r="EF9" s="17"/>
      <c r="EG9" s="17"/>
      <c r="EH9" s="17"/>
      <c r="EI9" s="17"/>
      <c r="EJ9" s="17"/>
      <c r="EK9" s="17"/>
      <c r="EL9" s="17"/>
      <c r="EM9" s="17"/>
      <c r="EN9" s="17"/>
      <c r="EO9" s="17"/>
      <c r="EP9" s="17"/>
      <c r="EQ9" s="17"/>
      <c r="ER9" s="17"/>
      <c r="ES9" s="17"/>
      <c r="ET9" s="17"/>
      <c r="EU9" s="17"/>
      <c r="EV9" s="17"/>
      <c r="EW9" s="17"/>
      <c r="EX9" s="17"/>
      <c r="EY9" s="17"/>
      <c r="EZ9" s="17"/>
      <c r="FA9" s="17"/>
      <c r="FB9" s="17"/>
      <c r="FC9" s="17"/>
      <c r="FD9" s="17"/>
      <c r="FE9" s="17"/>
      <c r="FF9" s="17"/>
      <c r="FG9" s="17"/>
      <c r="FH9" s="17"/>
      <c r="FI9" s="17"/>
      <c r="FJ9" s="17"/>
      <c r="FK9" s="17"/>
      <c r="FL9" s="17"/>
      <c r="FM9" s="17"/>
      <c r="FN9" s="17"/>
      <c r="FO9" s="17"/>
      <c r="FP9" s="17"/>
      <c r="FQ9" s="17"/>
      <c r="FR9" s="17"/>
      <c r="FS9" s="17"/>
      <c r="FT9" s="17"/>
      <c r="FU9" s="17"/>
      <c r="FV9" s="17"/>
      <c r="FW9" s="17"/>
      <c r="FX9" s="17"/>
      <c r="FY9" s="17"/>
      <c r="FZ9" s="17"/>
      <c r="GA9" s="17"/>
      <c r="GB9" s="17"/>
      <c r="GC9" s="17"/>
      <c r="GD9" s="17"/>
      <c r="GE9" s="17"/>
      <c r="GF9" s="17"/>
      <c r="GG9" s="17"/>
      <c r="GH9" s="17"/>
      <c r="GI9" s="17"/>
      <c r="GJ9" s="17"/>
      <c r="GK9" s="17"/>
      <c r="GL9" s="17"/>
      <c r="GM9" s="17"/>
      <c r="GN9" s="17"/>
      <c r="GO9" s="17"/>
      <c r="GP9" s="17"/>
      <c r="GQ9" s="17"/>
      <c r="GR9" s="17"/>
      <c r="GS9" s="17"/>
      <c r="GT9" s="17"/>
      <c r="GU9" s="17"/>
      <c r="GV9" s="17"/>
      <c r="GW9" s="17"/>
      <c r="GX9" s="17"/>
      <c r="GY9" s="17"/>
      <c r="GZ9" s="17"/>
      <c r="HA9" s="17"/>
      <c r="HB9" s="17"/>
      <c r="HC9" s="17"/>
      <c r="HD9" s="17"/>
      <c r="HE9" s="17"/>
      <c r="HF9" s="17"/>
      <c r="HG9" s="17"/>
      <c r="HH9" s="17"/>
      <c r="HI9" s="17"/>
      <c r="HJ9" s="17"/>
      <c r="HK9" s="17"/>
      <c r="HL9" s="17"/>
      <c r="HM9" s="17"/>
      <c r="HN9" s="17"/>
      <c r="HO9" s="17"/>
      <c r="HP9" s="17"/>
      <c r="HQ9" s="17"/>
      <c r="HR9" s="17"/>
      <c r="HS9" s="17"/>
      <c r="HT9" s="17"/>
      <c r="HU9" s="17"/>
      <c r="HV9" s="17"/>
      <c r="HW9" s="17"/>
      <c r="HX9" s="17"/>
      <c r="HY9" s="17"/>
      <c r="HZ9" s="17"/>
      <c r="IA9" s="17"/>
      <c r="IB9" s="17"/>
      <c r="IC9" s="17"/>
      <c r="ID9" s="17"/>
      <c r="IE9" s="17"/>
      <c r="IF9" s="17"/>
      <c r="IG9" s="17"/>
      <c r="IH9" s="17"/>
      <c r="II9" s="17"/>
      <c r="IJ9" s="17"/>
      <c r="IK9" s="17"/>
      <c r="IL9" s="17"/>
      <c r="IM9" s="17"/>
      <c r="IN9" s="17"/>
      <c r="IO9" s="17"/>
      <c r="IP9" s="17"/>
      <c r="IQ9" s="17"/>
      <c r="IR9" s="17"/>
      <c r="IS9" s="17"/>
      <c r="IT9" s="17"/>
      <c r="IU9" s="17"/>
      <c r="IV9" s="17"/>
      <c r="IW9" s="17"/>
      <c r="IX9" s="17"/>
      <c r="IY9" s="17"/>
      <c r="IZ9" s="17"/>
      <c r="JA9" s="17"/>
      <c r="JB9" s="17"/>
      <c r="JC9" s="17"/>
      <c r="JD9" s="17"/>
      <c r="JE9" s="17"/>
      <c r="JF9" s="17"/>
      <c r="JG9" s="17"/>
      <c r="JH9" s="17"/>
      <c r="JI9" s="17"/>
      <c r="JJ9" s="17"/>
      <c r="JK9" s="17"/>
      <c r="JL9" s="17"/>
      <c r="JM9" s="17"/>
      <c r="JN9" s="17"/>
      <c r="JO9" s="17"/>
      <c r="JP9" s="17"/>
      <c r="JQ9" s="17"/>
      <c r="JR9" s="17"/>
      <c r="JS9" s="17"/>
      <c r="JT9" s="17"/>
      <c r="JU9" s="17"/>
      <c r="JV9" s="17"/>
      <c r="JW9" s="17"/>
      <c r="JX9" s="17"/>
      <c r="JY9" s="17"/>
      <c r="JZ9" s="17"/>
      <c r="KA9" s="17"/>
      <c r="KB9" s="17"/>
      <c r="KC9" s="17"/>
      <c r="KD9" s="17"/>
      <c r="KE9" s="17"/>
      <c r="KF9" s="17"/>
      <c r="KG9" s="17"/>
      <c r="KH9" s="17"/>
      <c r="KI9" s="17"/>
      <c r="KJ9" s="17"/>
      <c r="KK9" s="17"/>
      <c r="KL9" s="17"/>
      <c r="KM9" s="17"/>
      <c r="KN9" s="17"/>
      <c r="KO9" s="17"/>
      <c r="KP9" s="17"/>
      <c r="KQ9" s="17"/>
      <c r="KR9" s="17"/>
      <c r="KS9" s="17"/>
      <c r="KT9" s="17"/>
      <c r="KU9" s="17"/>
      <c r="KV9" s="17"/>
      <c r="KW9" s="17"/>
      <c r="KX9" s="17"/>
      <c r="KY9" s="17"/>
    </row>
    <row r="10" spans="1:311" ht="15.75" x14ac:dyDescent="0.25">
      <c r="A10" s="137"/>
      <c r="B10" s="126"/>
      <c r="C10" s="2218" t="s">
        <v>100</v>
      </c>
      <c r="D10" s="2219"/>
      <c r="E10" s="2215"/>
      <c r="F10" s="2215"/>
      <c r="G10" s="2215"/>
      <c r="H10" s="2215"/>
      <c r="I10" s="2214"/>
      <c r="J10" s="2214"/>
      <c r="K10" s="2214"/>
      <c r="L10" s="2214"/>
      <c r="M10" s="2214"/>
      <c r="N10" s="2214"/>
      <c r="O10" s="17"/>
      <c r="P10" s="17"/>
      <c r="Q10" s="17"/>
      <c r="R10" s="17"/>
      <c r="S10" s="17"/>
      <c r="T10" s="17"/>
      <c r="U10" s="17"/>
      <c r="V10" s="17"/>
      <c r="W10" s="17"/>
      <c r="X10" s="17"/>
      <c r="Y10" s="17"/>
      <c r="Z10" s="17"/>
      <c r="AA10" s="17"/>
      <c r="AB10" s="17"/>
      <c r="AC10" s="17"/>
      <c r="AD10" s="17"/>
      <c r="AE10" s="17"/>
      <c r="AF10" s="17"/>
      <c r="AG10" s="17"/>
      <c r="AH10" s="17"/>
      <c r="AI10" s="17"/>
      <c r="AJ10" s="17"/>
      <c r="AK10" s="17"/>
      <c r="AL10" s="17"/>
      <c r="AM10" s="17"/>
      <c r="AN10" s="17"/>
      <c r="AO10" s="17"/>
      <c r="AP10" s="17"/>
      <c r="AQ10" s="17"/>
      <c r="AR10" s="17"/>
      <c r="AS10" s="17"/>
      <c r="AT10" s="17"/>
      <c r="AU10" s="17"/>
      <c r="AV10" s="17"/>
      <c r="AW10" s="17"/>
      <c r="AX10" s="17"/>
      <c r="AY10" s="17"/>
      <c r="AZ10" s="17"/>
      <c r="BA10" s="17"/>
      <c r="BB10" s="17"/>
      <c r="BC10" s="17"/>
      <c r="BD10" s="17"/>
      <c r="BE10" s="17"/>
      <c r="BF10" s="17"/>
      <c r="BG10" s="17"/>
      <c r="BH10" s="17"/>
      <c r="BI10" s="17"/>
      <c r="BJ10" s="17"/>
      <c r="BK10" s="17"/>
      <c r="BL10" s="17"/>
      <c r="BM10" s="17"/>
      <c r="BN10" s="17"/>
      <c r="BO10" s="17"/>
      <c r="BP10" s="17"/>
      <c r="BQ10" s="17"/>
      <c r="BR10" s="17"/>
      <c r="BS10" s="17"/>
      <c r="BT10" s="17"/>
      <c r="BU10" s="17"/>
      <c r="BV10" s="17"/>
      <c r="BW10" s="17"/>
      <c r="BX10" s="17"/>
      <c r="BY10" s="17"/>
      <c r="BZ10" s="17"/>
      <c r="CA10" s="17"/>
      <c r="CB10" s="17"/>
      <c r="CC10" s="17"/>
      <c r="CD10" s="17"/>
      <c r="CE10" s="17"/>
      <c r="CF10" s="17"/>
      <c r="CG10" s="17"/>
      <c r="CH10" s="17"/>
      <c r="CI10" s="17"/>
      <c r="CJ10" s="17"/>
      <c r="CK10" s="17"/>
      <c r="CL10" s="17"/>
      <c r="CM10" s="17"/>
      <c r="CN10" s="17"/>
      <c r="CO10" s="17"/>
      <c r="CP10" s="17"/>
      <c r="CQ10" s="17"/>
      <c r="CR10" s="17"/>
      <c r="CS10" s="17"/>
      <c r="CT10" s="17"/>
      <c r="CU10" s="17"/>
      <c r="CV10" s="17"/>
      <c r="CW10" s="17"/>
      <c r="CX10" s="17"/>
      <c r="CY10" s="17"/>
      <c r="CZ10" s="17"/>
      <c r="DA10" s="17"/>
      <c r="DB10" s="17"/>
      <c r="DC10" s="17"/>
      <c r="DD10" s="17"/>
      <c r="DE10" s="17"/>
      <c r="DF10" s="17"/>
      <c r="DG10" s="17"/>
      <c r="DH10" s="17"/>
      <c r="DI10" s="17"/>
      <c r="DJ10" s="17"/>
      <c r="DK10" s="17"/>
      <c r="DL10" s="17"/>
      <c r="DM10" s="17"/>
      <c r="DN10" s="17"/>
      <c r="DO10" s="17"/>
      <c r="DP10" s="17"/>
      <c r="DQ10" s="17"/>
      <c r="DR10" s="17"/>
      <c r="DS10" s="17"/>
      <c r="DT10" s="17"/>
      <c r="DU10" s="17"/>
      <c r="DV10" s="17"/>
      <c r="DW10" s="17"/>
      <c r="DX10" s="17"/>
      <c r="DY10" s="17"/>
      <c r="DZ10" s="17"/>
      <c r="EA10" s="17"/>
      <c r="EB10" s="17"/>
      <c r="EC10" s="17"/>
      <c r="ED10" s="17"/>
      <c r="EE10" s="17"/>
      <c r="EF10" s="17"/>
      <c r="EG10" s="17"/>
      <c r="EH10" s="17"/>
      <c r="EI10" s="17"/>
      <c r="EJ10" s="17"/>
      <c r="EK10" s="17"/>
      <c r="EL10" s="17"/>
      <c r="EM10" s="17"/>
      <c r="EN10" s="17"/>
      <c r="EO10" s="17"/>
      <c r="EP10" s="17"/>
      <c r="EQ10" s="17"/>
      <c r="ER10" s="17"/>
      <c r="ES10" s="17"/>
      <c r="ET10" s="17"/>
      <c r="EU10" s="17"/>
      <c r="EV10" s="17"/>
      <c r="EW10" s="17"/>
      <c r="EX10" s="17"/>
      <c r="EY10" s="17"/>
      <c r="EZ10" s="17"/>
      <c r="FA10" s="17"/>
      <c r="FB10" s="17"/>
      <c r="FC10" s="17"/>
      <c r="FD10" s="17"/>
      <c r="FE10" s="17"/>
      <c r="FF10" s="17"/>
      <c r="FG10" s="17"/>
      <c r="FH10" s="17"/>
      <c r="FI10" s="17"/>
      <c r="FJ10" s="17"/>
      <c r="FK10" s="17"/>
      <c r="FL10" s="17"/>
      <c r="FM10" s="17"/>
      <c r="FN10" s="17"/>
      <c r="FO10" s="17"/>
      <c r="FP10" s="17"/>
      <c r="FQ10" s="17"/>
      <c r="FR10" s="17"/>
      <c r="FS10" s="17"/>
      <c r="FT10" s="17"/>
      <c r="FU10" s="17"/>
      <c r="FV10" s="17"/>
      <c r="FW10" s="17"/>
      <c r="FX10" s="17"/>
      <c r="FY10" s="17"/>
      <c r="FZ10" s="17"/>
      <c r="GA10" s="17"/>
      <c r="GB10" s="17"/>
      <c r="GC10" s="17"/>
      <c r="GD10" s="17"/>
      <c r="GE10" s="17"/>
      <c r="GF10" s="17"/>
      <c r="GG10" s="17"/>
      <c r="GH10" s="17"/>
      <c r="GI10" s="17"/>
      <c r="GJ10" s="17"/>
      <c r="GK10" s="17"/>
      <c r="GL10" s="17"/>
      <c r="GM10" s="17"/>
      <c r="GN10" s="17"/>
      <c r="GO10" s="17"/>
      <c r="GP10" s="17"/>
      <c r="GQ10" s="17"/>
      <c r="GR10" s="17"/>
      <c r="GS10" s="17"/>
      <c r="GT10" s="17"/>
      <c r="GU10" s="17"/>
      <c r="GV10" s="17"/>
      <c r="GW10" s="17"/>
      <c r="GX10" s="17"/>
      <c r="GY10" s="17"/>
      <c r="GZ10" s="17"/>
      <c r="HA10" s="17"/>
      <c r="HB10" s="17"/>
      <c r="HC10" s="17"/>
      <c r="HD10" s="17"/>
      <c r="HE10" s="17"/>
      <c r="HF10" s="17"/>
      <c r="HG10" s="17"/>
      <c r="HH10" s="17"/>
      <c r="HI10" s="17"/>
      <c r="HJ10" s="17"/>
      <c r="HK10" s="17"/>
      <c r="HL10" s="17"/>
      <c r="HM10" s="17"/>
      <c r="HN10" s="17"/>
      <c r="HO10" s="17"/>
      <c r="HP10" s="17"/>
      <c r="HQ10" s="17"/>
      <c r="HR10" s="17"/>
      <c r="HS10" s="17"/>
      <c r="HT10" s="17"/>
      <c r="HU10" s="17"/>
      <c r="HV10" s="17"/>
      <c r="HW10" s="17"/>
      <c r="HX10" s="17"/>
      <c r="HY10" s="17"/>
      <c r="HZ10" s="17"/>
      <c r="IA10" s="17"/>
      <c r="IB10" s="17"/>
      <c r="IC10" s="17"/>
      <c r="ID10" s="17"/>
      <c r="IE10" s="17"/>
      <c r="IF10" s="17"/>
      <c r="IG10" s="17"/>
      <c r="IH10" s="17"/>
      <c r="II10" s="17"/>
      <c r="IJ10" s="17"/>
      <c r="IK10" s="17"/>
      <c r="IL10" s="17"/>
      <c r="IM10" s="17"/>
      <c r="IN10" s="17"/>
      <c r="IO10" s="17"/>
      <c r="IP10" s="17"/>
      <c r="IQ10" s="17"/>
      <c r="IR10" s="17"/>
      <c r="IS10" s="17"/>
      <c r="IT10" s="17"/>
      <c r="IU10" s="17"/>
      <c r="IV10" s="17"/>
      <c r="IW10" s="17"/>
      <c r="IX10" s="17"/>
      <c r="IY10" s="17"/>
      <c r="IZ10" s="17"/>
      <c r="JA10" s="17"/>
      <c r="JB10" s="17"/>
      <c r="JC10" s="17"/>
      <c r="JD10" s="17"/>
      <c r="JE10" s="17"/>
      <c r="JF10" s="17"/>
      <c r="JG10" s="17"/>
      <c r="JH10" s="17"/>
      <c r="JI10" s="17"/>
      <c r="JJ10" s="17"/>
      <c r="JK10" s="17"/>
      <c r="JL10" s="17"/>
      <c r="JM10" s="17"/>
      <c r="JN10" s="17"/>
      <c r="JO10" s="17"/>
      <c r="JP10" s="17"/>
      <c r="JQ10" s="17"/>
      <c r="JR10" s="17"/>
      <c r="JS10" s="17"/>
      <c r="JT10" s="17"/>
      <c r="JU10" s="17"/>
      <c r="JV10" s="17"/>
      <c r="JW10" s="17"/>
      <c r="JX10" s="17"/>
      <c r="JY10" s="17"/>
      <c r="JZ10" s="17"/>
      <c r="KA10" s="17"/>
      <c r="KB10" s="17"/>
      <c r="KC10" s="17"/>
      <c r="KD10" s="17"/>
      <c r="KE10" s="17"/>
      <c r="KF10" s="17"/>
      <c r="KG10" s="17"/>
      <c r="KH10" s="17"/>
      <c r="KI10" s="17"/>
      <c r="KJ10" s="17"/>
      <c r="KK10" s="17"/>
      <c r="KL10" s="17"/>
      <c r="KM10" s="17"/>
      <c r="KN10" s="17"/>
      <c r="KO10" s="17"/>
      <c r="KP10" s="17"/>
      <c r="KQ10" s="17"/>
      <c r="KR10" s="17"/>
      <c r="KS10" s="17"/>
      <c r="KT10" s="17"/>
      <c r="KU10" s="17"/>
      <c r="KV10" s="17"/>
      <c r="KW10" s="17"/>
      <c r="KX10" s="17"/>
      <c r="KY10" s="17"/>
    </row>
    <row r="11" spans="1:311" ht="15.75" x14ac:dyDescent="0.25">
      <c r="A11" s="137"/>
      <c r="B11" s="127"/>
      <c r="C11" s="2218" t="s">
        <v>65</v>
      </c>
      <c r="D11" s="2219"/>
      <c r="E11" s="2215"/>
      <c r="F11" s="2215"/>
      <c r="G11" s="2215"/>
      <c r="H11" s="2215"/>
      <c r="I11" s="2214"/>
      <c r="J11" s="2214"/>
      <c r="K11" s="2214"/>
      <c r="L11" s="2214"/>
      <c r="M11" s="2214"/>
      <c r="N11" s="2214"/>
      <c r="O11" s="17"/>
      <c r="P11" s="17"/>
      <c r="Q11" s="17"/>
      <c r="R11" s="17"/>
      <c r="S11" s="17"/>
      <c r="T11" s="17"/>
      <c r="U11" s="17"/>
      <c r="V11" s="17"/>
      <c r="W11" s="17"/>
      <c r="X11" s="17"/>
      <c r="Y11" s="17"/>
      <c r="Z11" s="17"/>
      <c r="AA11" s="17"/>
      <c r="AB11" s="17"/>
      <c r="AC11" s="17"/>
      <c r="AD11" s="17"/>
      <c r="AE11" s="17"/>
      <c r="AF11" s="17"/>
      <c r="AG11" s="17"/>
      <c r="AH11" s="17"/>
      <c r="AI11" s="17"/>
      <c r="AJ11" s="17"/>
      <c r="AK11" s="17"/>
      <c r="AL11" s="17"/>
      <c r="AM11" s="17"/>
      <c r="AN11" s="17"/>
      <c r="AO11" s="17"/>
      <c r="AP11" s="17"/>
      <c r="AQ11" s="17"/>
      <c r="AR11" s="17"/>
      <c r="AS11" s="17"/>
      <c r="AT11" s="17"/>
      <c r="AU11" s="17"/>
      <c r="AV11" s="17"/>
      <c r="AW11" s="17"/>
      <c r="AX11" s="17"/>
      <c r="AY11" s="17"/>
      <c r="AZ11" s="17"/>
      <c r="BA11" s="17"/>
      <c r="BB11" s="17"/>
      <c r="BC11" s="17"/>
      <c r="BD11" s="17"/>
      <c r="BE11" s="17"/>
      <c r="BF11" s="17"/>
      <c r="BG11" s="17"/>
      <c r="BH11" s="17"/>
      <c r="BI11" s="17"/>
      <c r="BJ11" s="17"/>
      <c r="BK11" s="17"/>
      <c r="BL11" s="17"/>
      <c r="BM11" s="17"/>
      <c r="BN11" s="17"/>
      <c r="BO11" s="17"/>
      <c r="BP11" s="17"/>
      <c r="BQ11" s="17"/>
      <c r="BR11" s="17"/>
      <c r="BS11" s="17"/>
      <c r="BT11" s="17"/>
      <c r="BU11" s="17"/>
      <c r="BV11" s="17"/>
      <c r="BW11" s="17"/>
      <c r="BX11" s="17"/>
      <c r="BY11" s="17"/>
      <c r="BZ11" s="17"/>
      <c r="CA11" s="17"/>
      <c r="CB11" s="17"/>
      <c r="CC11" s="17"/>
      <c r="CD11" s="17"/>
      <c r="CE11" s="17"/>
      <c r="CF11" s="17"/>
      <c r="CG11" s="17"/>
      <c r="CH11" s="17"/>
      <c r="CI11" s="17"/>
      <c r="CJ11" s="17"/>
      <c r="CK11" s="17"/>
      <c r="CL11" s="17"/>
      <c r="CM11" s="17"/>
      <c r="CN11" s="17"/>
      <c r="CO11" s="17"/>
      <c r="CP11" s="17"/>
      <c r="CQ11" s="17"/>
      <c r="CR11" s="17"/>
      <c r="CS11" s="17"/>
      <c r="CT11" s="17"/>
      <c r="CU11" s="17"/>
      <c r="CV11" s="17"/>
      <c r="CW11" s="17"/>
      <c r="CX11" s="17"/>
      <c r="CY11" s="17"/>
      <c r="CZ11" s="17"/>
      <c r="DA11" s="17"/>
      <c r="DB11" s="17"/>
      <c r="DC11" s="17"/>
      <c r="DD11" s="17"/>
      <c r="DE11" s="17"/>
      <c r="DF11" s="17"/>
      <c r="DG11" s="17"/>
      <c r="DH11" s="17"/>
      <c r="DI11" s="17"/>
      <c r="DJ11" s="17"/>
      <c r="DK11" s="17"/>
      <c r="DL11" s="17"/>
      <c r="DM11" s="17"/>
      <c r="DN11" s="17"/>
      <c r="DO11" s="17"/>
      <c r="DP11" s="17"/>
      <c r="DQ11" s="17"/>
      <c r="DR11" s="17"/>
      <c r="DS11" s="17"/>
      <c r="DT11" s="17"/>
      <c r="DU11" s="17"/>
      <c r="DV11" s="17"/>
      <c r="DW11" s="17"/>
      <c r="DX11" s="17"/>
      <c r="DY11" s="17"/>
      <c r="DZ11" s="17"/>
      <c r="EA11" s="17"/>
      <c r="EB11" s="17"/>
      <c r="EC11" s="17"/>
      <c r="ED11" s="17"/>
      <c r="EE11" s="17"/>
      <c r="EF11" s="17"/>
      <c r="EG11" s="17"/>
      <c r="EH11" s="17"/>
      <c r="EI11" s="17"/>
      <c r="EJ11" s="17"/>
      <c r="EK11" s="17"/>
      <c r="EL11" s="17"/>
      <c r="EM11" s="17"/>
      <c r="EN11" s="17"/>
      <c r="EO11" s="17"/>
      <c r="EP11" s="17"/>
      <c r="EQ11" s="17"/>
      <c r="ER11" s="17"/>
      <c r="ES11" s="17"/>
      <c r="ET11" s="17"/>
      <c r="EU11" s="17"/>
      <c r="EV11" s="17"/>
      <c r="EW11" s="17"/>
      <c r="EX11" s="17"/>
      <c r="EY11" s="17"/>
      <c r="EZ11" s="17"/>
      <c r="FA11" s="17"/>
      <c r="FB11" s="17"/>
      <c r="FC11" s="17"/>
      <c r="FD11" s="17"/>
      <c r="FE11" s="17"/>
      <c r="FF11" s="17"/>
      <c r="FG11" s="17"/>
      <c r="FH11" s="17"/>
      <c r="FI11" s="17"/>
      <c r="FJ11" s="17"/>
      <c r="FK11" s="17"/>
      <c r="FL11" s="17"/>
      <c r="FM11" s="17"/>
      <c r="FN11" s="17"/>
      <c r="FO11" s="17"/>
      <c r="FP11" s="17"/>
      <c r="FQ11" s="17"/>
      <c r="FR11" s="17"/>
      <c r="FS11" s="17"/>
      <c r="FT11" s="17"/>
      <c r="FU11" s="17"/>
      <c r="FV11" s="17"/>
      <c r="FW11" s="17"/>
      <c r="FX11" s="17"/>
      <c r="FY11" s="17"/>
      <c r="FZ11" s="17"/>
      <c r="GA11" s="17"/>
      <c r="GB11" s="17"/>
      <c r="GC11" s="17"/>
      <c r="GD11" s="17"/>
      <c r="GE11" s="17"/>
      <c r="GF11" s="17"/>
      <c r="GG11" s="17"/>
      <c r="GH11" s="17"/>
      <c r="GI11" s="17"/>
      <c r="GJ11" s="17"/>
      <c r="GK11" s="17"/>
      <c r="GL11" s="17"/>
      <c r="GM11" s="17"/>
      <c r="GN11" s="17"/>
      <c r="GO11" s="17"/>
      <c r="GP11" s="17"/>
      <c r="GQ11" s="17"/>
      <c r="GR11" s="17"/>
      <c r="GS11" s="17"/>
      <c r="GT11" s="17"/>
      <c r="GU11" s="17"/>
      <c r="GV11" s="17"/>
      <c r="GW11" s="17"/>
      <c r="GX11" s="17"/>
      <c r="GY11" s="17"/>
      <c r="GZ11" s="17"/>
      <c r="HA11" s="17"/>
      <c r="HB11" s="17"/>
      <c r="HC11" s="17"/>
      <c r="HD11" s="17"/>
      <c r="HE11" s="17"/>
      <c r="HF11" s="17"/>
      <c r="HG11" s="17"/>
      <c r="HH11" s="17"/>
      <c r="HI11" s="17"/>
      <c r="HJ11" s="17"/>
      <c r="HK11" s="17"/>
      <c r="HL11" s="17"/>
      <c r="HM11" s="17"/>
      <c r="HN11" s="17"/>
      <c r="HO11" s="17"/>
      <c r="HP11" s="17"/>
      <c r="HQ11" s="17"/>
      <c r="HR11" s="17"/>
      <c r="HS11" s="17"/>
      <c r="HT11" s="17"/>
      <c r="HU11" s="17"/>
      <c r="HV11" s="17"/>
      <c r="HW11" s="17"/>
      <c r="HX11" s="17"/>
      <c r="HY11" s="17"/>
      <c r="HZ11" s="17"/>
      <c r="IA11" s="17"/>
      <c r="IB11" s="17"/>
      <c r="IC11" s="17"/>
      <c r="ID11" s="17"/>
      <c r="IE11" s="17"/>
      <c r="IF11" s="17"/>
      <c r="IG11" s="17"/>
      <c r="IH11" s="17"/>
      <c r="II11" s="17"/>
      <c r="IJ11" s="17"/>
      <c r="IK11" s="17"/>
      <c r="IL11" s="17"/>
      <c r="IM11" s="17"/>
      <c r="IN11" s="17"/>
      <c r="IO11" s="17"/>
      <c r="IP11" s="17"/>
      <c r="IQ11" s="17"/>
      <c r="IR11" s="17"/>
      <c r="IS11" s="17"/>
      <c r="IT11" s="17"/>
      <c r="IU11" s="17"/>
      <c r="IV11" s="17"/>
      <c r="IW11" s="17"/>
      <c r="IX11" s="17"/>
      <c r="IY11" s="17"/>
      <c r="IZ11" s="17"/>
      <c r="JA11" s="17"/>
      <c r="JB11" s="17"/>
      <c r="JC11" s="17"/>
      <c r="JD11" s="17"/>
      <c r="JE11" s="17"/>
      <c r="JF11" s="17"/>
      <c r="JG11" s="17"/>
      <c r="JH11" s="17"/>
      <c r="JI11" s="17"/>
      <c r="JJ11" s="17"/>
      <c r="JK11" s="17"/>
      <c r="JL11" s="17"/>
      <c r="JM11" s="17"/>
      <c r="JN11" s="17"/>
      <c r="JO11" s="17"/>
      <c r="JP11" s="17"/>
      <c r="JQ11" s="17"/>
      <c r="JR11" s="17"/>
      <c r="JS11" s="17"/>
      <c r="JT11" s="17"/>
      <c r="JU11" s="17"/>
      <c r="JV11" s="17"/>
      <c r="JW11" s="17"/>
      <c r="JX11" s="17"/>
      <c r="JY11" s="17"/>
      <c r="JZ11" s="17"/>
      <c r="KA11" s="17"/>
      <c r="KB11" s="17"/>
      <c r="KC11" s="17"/>
      <c r="KD11" s="17"/>
      <c r="KE11" s="17"/>
      <c r="KF11" s="17"/>
      <c r="KG11" s="17"/>
      <c r="KH11" s="17"/>
      <c r="KI11" s="17"/>
      <c r="KJ11" s="17"/>
      <c r="KK11" s="17"/>
      <c r="KL11" s="17"/>
      <c r="KM11" s="17"/>
      <c r="KN11" s="17"/>
      <c r="KO11" s="17"/>
      <c r="KP11" s="17"/>
      <c r="KQ11" s="17"/>
      <c r="KR11" s="17"/>
      <c r="KS11" s="17"/>
      <c r="KT11" s="17"/>
      <c r="KU11" s="17"/>
      <c r="KV11" s="17"/>
      <c r="KW11" s="17"/>
      <c r="KX11" s="17"/>
      <c r="KY11" s="17"/>
    </row>
    <row r="12" spans="1:311" ht="15.75" x14ac:dyDescent="0.25">
      <c r="A12" s="137"/>
      <c r="B12" s="135"/>
      <c r="C12" s="2218" t="s">
        <v>281</v>
      </c>
      <c r="D12" s="2219"/>
      <c r="E12" s="2196"/>
      <c r="F12" s="2196"/>
      <c r="G12" s="2196"/>
      <c r="H12" s="2196"/>
      <c r="I12" s="2214"/>
      <c r="J12" s="2214"/>
      <c r="K12" s="2214"/>
      <c r="L12" s="2214"/>
      <c r="M12" s="2214"/>
      <c r="N12" s="2214"/>
      <c r="O12" s="17"/>
      <c r="P12" s="17"/>
      <c r="Q12" s="17"/>
      <c r="R12" s="17"/>
      <c r="S12" s="17"/>
      <c r="T12" s="17"/>
      <c r="U12" s="17"/>
      <c r="V12" s="17"/>
      <c r="W12" s="17"/>
      <c r="X12" s="17"/>
      <c r="Y12" s="17"/>
      <c r="Z12" s="17"/>
      <c r="AA12" s="17"/>
      <c r="AB12" s="17"/>
      <c r="AC12" s="17"/>
      <c r="AD12" s="17"/>
      <c r="AE12" s="17"/>
      <c r="AF12" s="17"/>
      <c r="AG12" s="17"/>
      <c r="AH12" s="17"/>
      <c r="AI12" s="17"/>
      <c r="AJ12" s="17"/>
      <c r="AK12" s="17"/>
      <c r="AL12" s="17"/>
      <c r="AM12" s="17"/>
      <c r="AN12" s="17"/>
      <c r="AO12" s="17"/>
      <c r="AP12" s="17"/>
      <c r="AQ12" s="17"/>
      <c r="AR12" s="17"/>
      <c r="AS12" s="17"/>
      <c r="AT12" s="17"/>
      <c r="AU12" s="17"/>
      <c r="AV12" s="17"/>
      <c r="AW12" s="17"/>
      <c r="AX12" s="17"/>
      <c r="AY12" s="17"/>
      <c r="AZ12" s="17"/>
      <c r="BA12" s="17"/>
      <c r="BB12" s="17"/>
      <c r="BC12" s="17"/>
      <c r="BD12" s="17"/>
      <c r="BE12" s="17"/>
      <c r="BF12" s="17"/>
      <c r="BG12" s="17"/>
      <c r="BH12" s="17"/>
      <c r="BI12" s="17"/>
      <c r="BJ12" s="17"/>
      <c r="BK12" s="17"/>
      <c r="BL12" s="17"/>
      <c r="BM12" s="17"/>
      <c r="BN12" s="17"/>
      <c r="BO12" s="17"/>
      <c r="BP12" s="17"/>
      <c r="BQ12" s="17"/>
      <c r="BR12" s="17"/>
      <c r="BS12" s="17"/>
      <c r="BT12" s="17"/>
      <c r="BU12" s="17"/>
      <c r="BV12" s="17"/>
      <c r="BW12" s="17"/>
      <c r="BX12" s="17"/>
      <c r="BY12" s="17"/>
      <c r="BZ12" s="17"/>
      <c r="CA12" s="17"/>
      <c r="CB12" s="17"/>
      <c r="CC12" s="17"/>
      <c r="CD12" s="17"/>
      <c r="CE12" s="17"/>
      <c r="CF12" s="17"/>
      <c r="CG12" s="17"/>
      <c r="CH12" s="17"/>
      <c r="CI12" s="17"/>
      <c r="CJ12" s="17"/>
      <c r="CK12" s="17"/>
      <c r="CL12" s="17"/>
      <c r="CM12" s="17"/>
      <c r="CN12" s="17"/>
      <c r="CO12" s="17"/>
      <c r="CP12" s="17"/>
      <c r="CQ12" s="17"/>
      <c r="CR12" s="17"/>
      <c r="CS12" s="17"/>
      <c r="CT12" s="17"/>
      <c r="CU12" s="17"/>
      <c r="CV12" s="17"/>
      <c r="CW12" s="17"/>
      <c r="CX12" s="17"/>
      <c r="CY12" s="17"/>
      <c r="CZ12" s="17"/>
      <c r="DA12" s="17"/>
      <c r="DB12" s="17"/>
      <c r="DC12" s="17"/>
      <c r="DD12" s="17"/>
      <c r="DE12" s="17"/>
      <c r="DF12" s="17"/>
      <c r="DG12" s="17"/>
      <c r="DH12" s="17"/>
      <c r="DI12" s="17"/>
      <c r="DJ12" s="17"/>
      <c r="DK12" s="17"/>
      <c r="DL12" s="17"/>
      <c r="DM12" s="17"/>
      <c r="DN12" s="17"/>
      <c r="DO12" s="17"/>
      <c r="DP12" s="17"/>
      <c r="DQ12" s="17"/>
      <c r="DR12" s="17"/>
      <c r="DS12" s="17"/>
      <c r="DT12" s="17"/>
      <c r="DU12" s="17"/>
      <c r="DV12" s="17"/>
      <c r="DW12" s="17"/>
      <c r="DX12" s="17"/>
      <c r="DY12" s="17"/>
      <c r="DZ12" s="17"/>
      <c r="EA12" s="17"/>
      <c r="EB12" s="17"/>
      <c r="EC12" s="17"/>
      <c r="ED12" s="17"/>
      <c r="EE12" s="17"/>
      <c r="EF12" s="17"/>
      <c r="EG12" s="17"/>
      <c r="EH12" s="17"/>
      <c r="EI12" s="17"/>
      <c r="EJ12" s="17"/>
      <c r="EK12" s="17"/>
      <c r="EL12" s="17"/>
      <c r="EM12" s="17"/>
      <c r="EN12" s="17"/>
      <c r="EO12" s="17"/>
      <c r="EP12" s="17"/>
      <c r="EQ12" s="17"/>
      <c r="ER12" s="17"/>
      <c r="ES12" s="17"/>
      <c r="ET12" s="17"/>
      <c r="EU12" s="17"/>
      <c r="EV12" s="17"/>
      <c r="EW12" s="17"/>
      <c r="EX12" s="17"/>
      <c r="EY12" s="17"/>
      <c r="EZ12" s="17"/>
      <c r="FA12" s="17"/>
      <c r="FB12" s="17"/>
      <c r="FC12" s="17"/>
      <c r="FD12" s="17"/>
      <c r="FE12" s="17"/>
      <c r="FF12" s="17"/>
      <c r="FG12" s="17"/>
      <c r="FH12" s="17"/>
      <c r="FI12" s="17"/>
      <c r="FJ12" s="17"/>
      <c r="FK12" s="17"/>
      <c r="FL12" s="17"/>
      <c r="FM12" s="17"/>
      <c r="FN12" s="17"/>
      <c r="FO12" s="17"/>
      <c r="FP12" s="17"/>
      <c r="FQ12" s="17"/>
      <c r="FR12" s="17"/>
      <c r="FS12" s="17"/>
      <c r="FT12" s="17"/>
      <c r="FU12" s="17"/>
      <c r="FV12" s="17"/>
      <c r="FW12" s="17"/>
      <c r="FX12" s="17"/>
      <c r="FY12" s="17"/>
      <c r="FZ12" s="17"/>
      <c r="GA12" s="17"/>
      <c r="GB12" s="17"/>
      <c r="GC12" s="17"/>
      <c r="GD12" s="17"/>
      <c r="GE12" s="17"/>
      <c r="GF12" s="17"/>
      <c r="GG12" s="17"/>
      <c r="GH12" s="17"/>
      <c r="GI12" s="17"/>
      <c r="GJ12" s="17"/>
      <c r="GK12" s="17"/>
      <c r="GL12" s="17"/>
      <c r="GM12" s="17"/>
      <c r="GN12" s="17"/>
      <c r="GO12" s="17"/>
      <c r="GP12" s="17"/>
      <c r="GQ12" s="17"/>
      <c r="GR12" s="17"/>
      <c r="GS12" s="17"/>
      <c r="GT12" s="17"/>
      <c r="GU12" s="17"/>
      <c r="GV12" s="17"/>
      <c r="GW12" s="17"/>
      <c r="GX12" s="17"/>
      <c r="GY12" s="17"/>
      <c r="GZ12" s="17"/>
      <c r="HA12" s="17"/>
      <c r="HB12" s="17"/>
      <c r="HC12" s="17"/>
      <c r="HD12" s="17"/>
      <c r="HE12" s="17"/>
      <c r="HF12" s="17"/>
      <c r="HG12" s="17"/>
      <c r="HH12" s="17"/>
      <c r="HI12" s="17"/>
      <c r="HJ12" s="17"/>
      <c r="HK12" s="17"/>
      <c r="HL12" s="17"/>
      <c r="HM12" s="17"/>
      <c r="HN12" s="17"/>
      <c r="HO12" s="17"/>
      <c r="HP12" s="17"/>
      <c r="HQ12" s="17"/>
      <c r="HR12" s="17"/>
      <c r="HS12" s="17"/>
      <c r="HT12" s="17"/>
      <c r="HU12" s="17"/>
      <c r="HV12" s="17"/>
      <c r="HW12" s="17"/>
      <c r="HX12" s="17"/>
      <c r="HY12" s="17"/>
      <c r="HZ12" s="17"/>
      <c r="IA12" s="17"/>
      <c r="IB12" s="17"/>
      <c r="IC12" s="17"/>
      <c r="ID12" s="17"/>
      <c r="IE12" s="17"/>
      <c r="IF12" s="17"/>
      <c r="IG12" s="17"/>
      <c r="IH12" s="17"/>
      <c r="II12" s="17"/>
      <c r="IJ12" s="17"/>
      <c r="IK12" s="17"/>
      <c r="IL12" s="17"/>
      <c r="IM12" s="17"/>
      <c r="IN12" s="17"/>
      <c r="IO12" s="17"/>
      <c r="IP12" s="17"/>
      <c r="IQ12" s="17"/>
      <c r="IR12" s="17"/>
      <c r="IS12" s="17"/>
      <c r="IT12" s="17"/>
      <c r="IU12" s="17"/>
      <c r="IV12" s="17"/>
      <c r="IW12" s="17"/>
      <c r="IX12" s="17"/>
      <c r="IY12" s="17"/>
      <c r="IZ12" s="17"/>
      <c r="JA12" s="17"/>
      <c r="JB12" s="17"/>
      <c r="JC12" s="17"/>
      <c r="JD12" s="17"/>
      <c r="JE12" s="17"/>
      <c r="JF12" s="17"/>
      <c r="JG12" s="17"/>
      <c r="JH12" s="17"/>
      <c r="JI12" s="17"/>
      <c r="JJ12" s="17"/>
      <c r="JK12" s="17"/>
      <c r="JL12" s="17"/>
      <c r="JM12" s="17"/>
      <c r="JN12" s="17"/>
      <c r="JO12" s="17"/>
      <c r="JP12" s="17"/>
      <c r="JQ12" s="17"/>
      <c r="JR12" s="17"/>
      <c r="JS12" s="17"/>
      <c r="JT12" s="17"/>
      <c r="JU12" s="17"/>
      <c r="JV12" s="17"/>
      <c r="JW12" s="17"/>
      <c r="JX12" s="17"/>
      <c r="JY12" s="17"/>
      <c r="JZ12" s="17"/>
      <c r="KA12" s="17"/>
      <c r="KB12" s="17"/>
      <c r="KC12" s="17"/>
      <c r="KD12" s="17"/>
      <c r="KE12" s="17"/>
      <c r="KF12" s="17"/>
      <c r="KG12" s="17"/>
      <c r="KH12" s="17"/>
      <c r="KI12" s="17"/>
      <c r="KJ12" s="17"/>
      <c r="KK12" s="17"/>
      <c r="KL12" s="17"/>
      <c r="KM12" s="17"/>
      <c r="KN12" s="17"/>
      <c r="KO12" s="17"/>
      <c r="KP12" s="17"/>
      <c r="KQ12" s="17"/>
      <c r="KR12" s="17"/>
      <c r="KS12" s="17"/>
      <c r="KT12" s="17"/>
      <c r="KU12" s="17"/>
      <c r="KV12" s="17"/>
      <c r="KW12" s="17"/>
      <c r="KX12" s="17"/>
      <c r="KY12" s="17"/>
    </row>
    <row r="13" spans="1:311" ht="16.5" thickBot="1" x14ac:dyDescent="0.3">
      <c r="A13" s="137"/>
      <c r="B13" s="136"/>
      <c r="C13" s="2191" t="s">
        <v>279</v>
      </c>
      <c r="D13" s="2192"/>
      <c r="E13" s="2215"/>
      <c r="F13" s="2215"/>
      <c r="G13" s="2215"/>
      <c r="H13" s="2215"/>
      <c r="I13" s="2214"/>
      <c r="J13" s="2214"/>
      <c r="K13" s="2214"/>
      <c r="L13" s="2214"/>
      <c r="M13" s="2214"/>
      <c r="N13" s="2214"/>
      <c r="O13" s="17"/>
      <c r="P13" s="17"/>
      <c r="Q13" s="17"/>
      <c r="R13" s="17"/>
      <c r="S13" s="17"/>
      <c r="T13" s="17"/>
      <c r="U13" s="17"/>
      <c r="V13" s="17"/>
      <c r="W13" s="17"/>
      <c r="X13" s="17"/>
      <c r="Y13" s="17"/>
      <c r="Z13" s="17"/>
      <c r="AA13" s="17"/>
      <c r="AB13" s="17"/>
      <c r="AC13" s="17"/>
      <c r="AD13" s="17"/>
      <c r="AE13" s="17"/>
      <c r="AF13" s="17"/>
      <c r="AG13" s="17"/>
      <c r="AH13" s="17"/>
      <c r="AI13" s="17"/>
      <c r="AJ13" s="17"/>
      <c r="AK13" s="17"/>
      <c r="AL13" s="17"/>
      <c r="AM13" s="17"/>
      <c r="AN13" s="17"/>
      <c r="AO13" s="17"/>
      <c r="AP13" s="17"/>
      <c r="AQ13" s="17"/>
      <c r="AR13" s="17"/>
      <c r="AS13" s="17"/>
      <c r="AT13" s="17"/>
      <c r="AU13" s="17"/>
      <c r="AV13" s="17"/>
      <c r="AW13" s="17"/>
      <c r="AX13" s="17"/>
      <c r="AY13" s="17"/>
      <c r="AZ13" s="17"/>
      <c r="BA13" s="17"/>
      <c r="BB13" s="17"/>
      <c r="BC13" s="17"/>
      <c r="BD13" s="17"/>
      <c r="BE13" s="17"/>
      <c r="BF13" s="17"/>
      <c r="BG13" s="17"/>
      <c r="BH13" s="17"/>
      <c r="BI13" s="17"/>
      <c r="BJ13" s="17"/>
      <c r="BK13" s="17"/>
      <c r="BL13" s="17"/>
      <c r="BM13" s="17"/>
      <c r="BN13" s="17"/>
      <c r="BO13" s="17"/>
      <c r="BP13" s="17"/>
      <c r="BQ13" s="17"/>
      <c r="BR13" s="17"/>
      <c r="BS13" s="17"/>
      <c r="BT13" s="17"/>
      <c r="BU13" s="17"/>
      <c r="BV13" s="17"/>
      <c r="BW13" s="17"/>
      <c r="BX13" s="17"/>
      <c r="BY13" s="17"/>
      <c r="BZ13" s="17"/>
      <c r="CA13" s="17"/>
      <c r="CB13" s="17"/>
      <c r="CC13" s="17"/>
      <c r="CD13" s="17"/>
      <c r="CE13" s="17"/>
      <c r="CF13" s="17"/>
      <c r="CG13" s="17"/>
      <c r="CH13" s="17"/>
      <c r="CI13" s="17"/>
      <c r="CJ13" s="17"/>
      <c r="CK13" s="17"/>
      <c r="CL13" s="17"/>
      <c r="CM13" s="17"/>
      <c r="CN13" s="17"/>
      <c r="CO13" s="17"/>
      <c r="CP13" s="17"/>
      <c r="CQ13" s="17"/>
      <c r="CR13" s="17"/>
      <c r="CS13" s="17"/>
      <c r="CT13" s="17"/>
      <c r="CU13" s="17"/>
      <c r="CV13" s="17"/>
      <c r="CW13" s="17"/>
      <c r="CX13" s="17"/>
      <c r="CY13" s="17"/>
      <c r="CZ13" s="17"/>
      <c r="DA13" s="17"/>
      <c r="DB13" s="17"/>
      <c r="DC13" s="17"/>
      <c r="DD13" s="17"/>
      <c r="DE13" s="17"/>
      <c r="DF13" s="17"/>
      <c r="DG13" s="17"/>
      <c r="DH13" s="17"/>
      <c r="DI13" s="17"/>
      <c r="DJ13" s="17"/>
      <c r="DK13" s="17"/>
      <c r="DL13" s="17"/>
      <c r="DM13" s="17"/>
      <c r="DN13" s="17"/>
      <c r="DO13" s="17"/>
      <c r="DP13" s="17"/>
      <c r="DQ13" s="17"/>
      <c r="DR13" s="17"/>
      <c r="DS13" s="17"/>
      <c r="DT13" s="17"/>
      <c r="DU13" s="17"/>
      <c r="DV13" s="17"/>
      <c r="DW13" s="17"/>
      <c r="DX13" s="17"/>
      <c r="DY13" s="17"/>
      <c r="DZ13" s="17"/>
      <c r="EA13" s="17"/>
      <c r="EB13" s="17"/>
      <c r="EC13" s="17"/>
      <c r="ED13" s="17"/>
      <c r="EE13" s="17"/>
      <c r="EF13" s="17"/>
      <c r="EG13" s="17"/>
      <c r="EH13" s="17"/>
      <c r="EI13" s="17"/>
      <c r="EJ13" s="17"/>
      <c r="EK13" s="17"/>
      <c r="EL13" s="17"/>
      <c r="EM13" s="17"/>
      <c r="EN13" s="17"/>
      <c r="EO13" s="17"/>
      <c r="EP13" s="17"/>
      <c r="EQ13" s="17"/>
      <c r="ER13" s="17"/>
      <c r="ES13" s="17"/>
      <c r="ET13" s="17"/>
      <c r="EU13" s="17"/>
      <c r="EV13" s="17"/>
      <c r="EW13" s="17"/>
      <c r="EX13" s="17"/>
      <c r="EY13" s="17"/>
      <c r="EZ13" s="17"/>
      <c r="FA13" s="17"/>
      <c r="FB13" s="17"/>
      <c r="FC13" s="17"/>
      <c r="FD13" s="17"/>
      <c r="FE13" s="17"/>
      <c r="FF13" s="17"/>
      <c r="FG13" s="17"/>
      <c r="FH13" s="17"/>
      <c r="FI13" s="17"/>
      <c r="FJ13" s="17"/>
      <c r="FK13" s="17"/>
      <c r="FL13" s="17"/>
      <c r="FM13" s="17"/>
      <c r="FN13" s="17"/>
      <c r="FO13" s="17"/>
      <c r="FP13" s="17"/>
      <c r="FQ13" s="17"/>
      <c r="FR13" s="17"/>
      <c r="FS13" s="17"/>
      <c r="FT13" s="17"/>
      <c r="FU13" s="17"/>
      <c r="FV13" s="17"/>
      <c r="FW13" s="17"/>
      <c r="FX13" s="17"/>
      <c r="FY13" s="17"/>
      <c r="FZ13" s="17"/>
      <c r="GA13" s="17"/>
      <c r="GB13" s="17"/>
      <c r="GC13" s="17"/>
      <c r="GD13" s="17"/>
      <c r="GE13" s="17"/>
      <c r="GF13" s="17"/>
      <c r="GG13" s="17"/>
      <c r="GH13" s="17"/>
      <c r="GI13" s="17"/>
      <c r="GJ13" s="17"/>
      <c r="GK13" s="17"/>
      <c r="GL13" s="17"/>
      <c r="GM13" s="17"/>
      <c r="GN13" s="17"/>
      <c r="GO13" s="17"/>
      <c r="GP13" s="17"/>
      <c r="GQ13" s="17"/>
      <c r="GR13" s="17"/>
      <c r="GS13" s="17"/>
      <c r="GT13" s="17"/>
      <c r="GU13" s="17"/>
      <c r="GV13" s="17"/>
      <c r="GW13" s="17"/>
      <c r="GX13" s="17"/>
      <c r="GY13" s="17"/>
      <c r="GZ13" s="17"/>
      <c r="HA13" s="17"/>
      <c r="HB13" s="17"/>
      <c r="HC13" s="17"/>
      <c r="HD13" s="17"/>
      <c r="HE13" s="17"/>
      <c r="HF13" s="17"/>
      <c r="HG13" s="17"/>
      <c r="HH13" s="17"/>
      <c r="HI13" s="17"/>
      <c r="HJ13" s="17"/>
      <c r="HK13" s="17"/>
      <c r="HL13" s="17"/>
      <c r="HM13" s="17"/>
      <c r="HN13" s="17"/>
      <c r="HO13" s="17"/>
      <c r="HP13" s="17"/>
      <c r="HQ13" s="17"/>
      <c r="HR13" s="17"/>
      <c r="HS13" s="17"/>
      <c r="HT13" s="17"/>
      <c r="HU13" s="17"/>
      <c r="HV13" s="17"/>
      <c r="HW13" s="17"/>
      <c r="HX13" s="17"/>
      <c r="HY13" s="17"/>
      <c r="HZ13" s="17"/>
      <c r="IA13" s="17"/>
      <c r="IB13" s="17"/>
      <c r="IC13" s="17"/>
      <c r="ID13" s="17"/>
      <c r="IE13" s="17"/>
      <c r="IF13" s="17"/>
      <c r="IG13" s="17"/>
      <c r="IH13" s="17"/>
      <c r="II13" s="17"/>
      <c r="IJ13" s="17"/>
      <c r="IK13" s="17"/>
      <c r="IL13" s="17"/>
      <c r="IM13" s="17"/>
      <c r="IN13" s="17"/>
      <c r="IO13" s="17"/>
      <c r="IP13" s="17"/>
      <c r="IQ13" s="17"/>
      <c r="IR13" s="17"/>
      <c r="IS13" s="17"/>
      <c r="IT13" s="17"/>
      <c r="IU13" s="17"/>
      <c r="IV13" s="17"/>
      <c r="IW13" s="17"/>
      <c r="IX13" s="17"/>
      <c r="IY13" s="17"/>
      <c r="IZ13" s="17"/>
      <c r="JA13" s="17"/>
      <c r="JB13" s="17"/>
      <c r="JC13" s="17"/>
      <c r="JD13" s="17"/>
      <c r="JE13" s="17"/>
      <c r="JF13" s="17"/>
      <c r="JG13" s="17"/>
      <c r="JH13" s="17"/>
      <c r="JI13" s="17"/>
      <c r="JJ13" s="17"/>
      <c r="JK13" s="17"/>
      <c r="JL13" s="17"/>
      <c r="JM13" s="17"/>
      <c r="JN13" s="17"/>
      <c r="JO13" s="17"/>
      <c r="JP13" s="17"/>
      <c r="JQ13" s="17"/>
      <c r="JR13" s="17"/>
      <c r="JS13" s="17"/>
      <c r="JT13" s="17"/>
      <c r="JU13" s="17"/>
      <c r="JV13" s="17"/>
      <c r="JW13" s="17"/>
      <c r="JX13" s="17"/>
      <c r="JY13" s="17"/>
      <c r="JZ13" s="17"/>
      <c r="KA13" s="17"/>
      <c r="KB13" s="17"/>
      <c r="KC13" s="17"/>
      <c r="KD13" s="17"/>
      <c r="KE13" s="17"/>
      <c r="KF13" s="17"/>
      <c r="KG13" s="17"/>
      <c r="KH13" s="17"/>
      <c r="KI13" s="17"/>
      <c r="KJ13" s="17"/>
      <c r="KK13" s="17"/>
      <c r="KL13" s="17"/>
      <c r="KM13" s="17"/>
      <c r="KN13" s="17"/>
      <c r="KO13" s="17"/>
      <c r="KP13" s="17"/>
      <c r="KQ13" s="17"/>
      <c r="KR13" s="17"/>
      <c r="KS13" s="17"/>
      <c r="KT13" s="17"/>
      <c r="KU13" s="17"/>
      <c r="KV13" s="17"/>
      <c r="KW13" s="17"/>
      <c r="KX13" s="17"/>
      <c r="KY13" s="17"/>
    </row>
    <row r="14" spans="1:311" ht="15.75" x14ac:dyDescent="0.25">
      <c r="A14" s="2206"/>
      <c r="B14" s="2207"/>
      <c r="C14" s="2207"/>
      <c r="D14" s="2207"/>
      <c r="E14" s="2207"/>
      <c r="F14" s="2207"/>
      <c r="G14" s="2207"/>
      <c r="H14" s="2207"/>
      <c r="I14" s="2214"/>
      <c r="J14" s="2214"/>
      <c r="K14" s="2214"/>
      <c r="L14" s="2214"/>
      <c r="M14" s="2214"/>
      <c r="N14" s="2214"/>
      <c r="O14" s="17"/>
      <c r="P14" s="17"/>
      <c r="Q14" s="17"/>
      <c r="R14" s="17"/>
      <c r="S14" s="17"/>
      <c r="T14" s="17"/>
      <c r="U14" s="17"/>
      <c r="V14" s="17"/>
      <c r="W14" s="17"/>
      <c r="X14" s="17"/>
      <c r="Y14" s="17"/>
      <c r="Z14" s="17"/>
      <c r="AA14" s="17"/>
      <c r="AB14" s="17"/>
      <c r="AC14" s="17"/>
      <c r="AD14" s="17"/>
      <c r="AE14" s="17"/>
      <c r="AF14" s="17"/>
      <c r="AG14" s="17"/>
      <c r="AH14" s="17"/>
      <c r="AI14" s="17"/>
      <c r="AJ14" s="17"/>
      <c r="AK14" s="17"/>
      <c r="AL14" s="17"/>
      <c r="AM14" s="17"/>
      <c r="AN14" s="17"/>
      <c r="AO14" s="17"/>
      <c r="AP14" s="17"/>
      <c r="AQ14" s="17"/>
      <c r="AR14" s="17"/>
      <c r="AS14" s="17"/>
      <c r="AT14" s="17"/>
      <c r="AU14" s="17"/>
      <c r="AV14" s="17"/>
      <c r="AW14" s="17"/>
      <c r="AX14" s="17"/>
      <c r="AY14" s="17"/>
      <c r="AZ14" s="17"/>
      <c r="BA14" s="17"/>
      <c r="BB14" s="17"/>
      <c r="BC14" s="17"/>
      <c r="BD14" s="17"/>
      <c r="BE14" s="17"/>
      <c r="BF14" s="17"/>
      <c r="BG14" s="17"/>
      <c r="BH14" s="17"/>
      <c r="BI14" s="17"/>
      <c r="BJ14" s="17"/>
      <c r="BK14" s="17"/>
      <c r="BL14" s="17"/>
      <c r="BM14" s="17"/>
      <c r="BN14" s="17"/>
      <c r="BO14" s="17"/>
      <c r="BP14" s="17"/>
      <c r="BQ14" s="17"/>
      <c r="BR14" s="17"/>
      <c r="BS14" s="17"/>
      <c r="BT14" s="17"/>
      <c r="BU14" s="17"/>
      <c r="BV14" s="17"/>
      <c r="BW14" s="17"/>
      <c r="BX14" s="17"/>
      <c r="BY14" s="17"/>
      <c r="BZ14" s="17"/>
      <c r="CA14" s="17"/>
      <c r="CB14" s="17"/>
      <c r="CC14" s="17"/>
      <c r="CD14" s="17"/>
      <c r="CE14" s="17"/>
      <c r="CF14" s="17"/>
      <c r="CG14" s="17"/>
      <c r="CH14" s="17"/>
      <c r="CI14" s="17"/>
      <c r="CJ14" s="17"/>
      <c r="CK14" s="17"/>
      <c r="CL14" s="17"/>
      <c r="CM14" s="17"/>
      <c r="CN14" s="17"/>
      <c r="CO14" s="17"/>
      <c r="CP14" s="17"/>
      <c r="CQ14" s="17"/>
      <c r="CR14" s="17"/>
      <c r="CS14" s="17"/>
      <c r="CT14" s="17"/>
      <c r="CU14" s="17"/>
      <c r="CV14" s="17"/>
      <c r="CW14" s="17"/>
      <c r="CX14" s="17"/>
      <c r="CY14" s="17"/>
      <c r="CZ14" s="17"/>
      <c r="DA14" s="17"/>
      <c r="DB14" s="17"/>
      <c r="DC14" s="17"/>
      <c r="DD14" s="17"/>
      <c r="DE14" s="17"/>
      <c r="DF14" s="17"/>
      <c r="DG14" s="17"/>
      <c r="DH14" s="17"/>
      <c r="DI14" s="17"/>
      <c r="DJ14" s="17"/>
      <c r="DK14" s="17"/>
      <c r="DL14" s="17"/>
      <c r="DM14" s="17"/>
      <c r="DN14" s="17"/>
      <c r="DO14" s="17"/>
      <c r="DP14" s="17"/>
      <c r="DQ14" s="17"/>
      <c r="DR14" s="17"/>
      <c r="DS14" s="17"/>
      <c r="DT14" s="17"/>
      <c r="DU14" s="17"/>
      <c r="DV14" s="17"/>
      <c r="DW14" s="17"/>
      <c r="DX14" s="17"/>
      <c r="DY14" s="17"/>
      <c r="DZ14" s="17"/>
      <c r="EA14" s="17"/>
      <c r="EB14" s="17"/>
      <c r="EC14" s="17"/>
      <c r="ED14" s="17"/>
      <c r="EE14" s="17"/>
      <c r="EF14" s="17"/>
      <c r="EG14" s="17"/>
      <c r="EH14" s="17"/>
      <c r="EI14" s="17"/>
      <c r="EJ14" s="17"/>
      <c r="EK14" s="17"/>
      <c r="EL14" s="17"/>
      <c r="EM14" s="17"/>
      <c r="EN14" s="17"/>
      <c r="EO14" s="17"/>
      <c r="EP14" s="17"/>
      <c r="EQ14" s="17"/>
      <c r="ER14" s="17"/>
      <c r="ES14" s="17"/>
      <c r="ET14" s="17"/>
      <c r="EU14" s="17"/>
      <c r="EV14" s="17"/>
      <c r="EW14" s="17"/>
      <c r="EX14" s="17"/>
      <c r="EY14" s="17"/>
      <c r="EZ14" s="17"/>
      <c r="FA14" s="17"/>
      <c r="FB14" s="17"/>
      <c r="FC14" s="17"/>
      <c r="FD14" s="17"/>
      <c r="FE14" s="17"/>
      <c r="FF14" s="17"/>
      <c r="FG14" s="17"/>
      <c r="FH14" s="17"/>
      <c r="FI14" s="17"/>
      <c r="FJ14" s="17"/>
      <c r="FK14" s="17"/>
      <c r="FL14" s="17"/>
      <c r="FM14" s="17"/>
      <c r="FN14" s="17"/>
      <c r="FO14" s="17"/>
      <c r="FP14" s="17"/>
      <c r="FQ14" s="17"/>
      <c r="FR14" s="17"/>
      <c r="FS14" s="17"/>
      <c r="FT14" s="17"/>
      <c r="FU14" s="17"/>
      <c r="FV14" s="17"/>
      <c r="FW14" s="17"/>
      <c r="FX14" s="17"/>
      <c r="FY14" s="17"/>
      <c r="FZ14" s="17"/>
      <c r="GA14" s="17"/>
      <c r="GB14" s="17"/>
      <c r="GC14" s="17"/>
      <c r="GD14" s="17"/>
      <c r="GE14" s="17"/>
      <c r="GF14" s="17"/>
      <c r="GG14" s="17"/>
      <c r="GH14" s="17"/>
      <c r="GI14" s="17"/>
      <c r="GJ14" s="17"/>
      <c r="GK14" s="17"/>
      <c r="GL14" s="17"/>
      <c r="GM14" s="17"/>
      <c r="GN14" s="17"/>
      <c r="GO14" s="17"/>
      <c r="GP14" s="17"/>
      <c r="GQ14" s="17"/>
      <c r="GR14" s="17"/>
      <c r="GS14" s="17"/>
      <c r="GT14" s="17"/>
      <c r="GU14" s="17"/>
      <c r="GV14" s="17"/>
      <c r="GW14" s="17"/>
      <c r="GX14" s="17"/>
      <c r="GY14" s="17"/>
      <c r="GZ14" s="17"/>
      <c r="HA14" s="17"/>
      <c r="HB14" s="17"/>
      <c r="HC14" s="17"/>
      <c r="HD14" s="17"/>
      <c r="HE14" s="17"/>
      <c r="HF14" s="17"/>
      <c r="HG14" s="17"/>
      <c r="HH14" s="17"/>
      <c r="HI14" s="17"/>
      <c r="HJ14" s="17"/>
      <c r="HK14" s="17"/>
      <c r="HL14" s="17"/>
      <c r="HM14" s="17"/>
      <c r="HN14" s="17"/>
      <c r="HO14" s="17"/>
      <c r="HP14" s="17"/>
      <c r="HQ14" s="17"/>
      <c r="HR14" s="17"/>
      <c r="HS14" s="17"/>
      <c r="HT14" s="17"/>
      <c r="HU14" s="17"/>
      <c r="HV14" s="17"/>
      <c r="HW14" s="17"/>
      <c r="HX14" s="17"/>
      <c r="HY14" s="17"/>
      <c r="HZ14" s="17"/>
      <c r="IA14" s="17"/>
      <c r="IB14" s="17"/>
      <c r="IC14" s="17"/>
      <c r="ID14" s="17"/>
      <c r="IE14" s="17"/>
      <c r="IF14" s="17"/>
      <c r="IG14" s="17"/>
      <c r="IH14" s="17"/>
      <c r="II14" s="17"/>
      <c r="IJ14" s="17"/>
      <c r="IK14" s="17"/>
      <c r="IL14" s="17"/>
      <c r="IM14" s="17"/>
      <c r="IN14" s="17"/>
      <c r="IO14" s="17"/>
      <c r="IP14" s="17"/>
      <c r="IQ14" s="17"/>
      <c r="IR14" s="17"/>
      <c r="IS14" s="17"/>
      <c r="IT14" s="17"/>
      <c r="IU14" s="17"/>
      <c r="IV14" s="17"/>
      <c r="IW14" s="17"/>
      <c r="IX14" s="17"/>
      <c r="IY14" s="17"/>
      <c r="IZ14" s="17"/>
      <c r="JA14" s="17"/>
      <c r="JB14" s="17"/>
      <c r="JC14" s="17"/>
      <c r="JD14" s="17"/>
      <c r="JE14" s="17"/>
      <c r="JF14" s="17"/>
      <c r="JG14" s="17"/>
      <c r="JH14" s="17"/>
      <c r="JI14" s="17"/>
      <c r="JJ14" s="17"/>
      <c r="JK14" s="17"/>
      <c r="JL14" s="17"/>
      <c r="JM14" s="17"/>
      <c r="JN14" s="17"/>
      <c r="JO14" s="17"/>
      <c r="JP14" s="17"/>
      <c r="JQ14" s="17"/>
      <c r="JR14" s="17"/>
      <c r="JS14" s="17"/>
      <c r="JT14" s="17"/>
      <c r="JU14" s="17"/>
      <c r="JV14" s="17"/>
      <c r="JW14" s="17"/>
      <c r="JX14" s="17"/>
      <c r="JY14" s="17"/>
      <c r="JZ14" s="17"/>
      <c r="KA14" s="17"/>
      <c r="KB14" s="17"/>
      <c r="KC14" s="17"/>
      <c r="KD14" s="17"/>
      <c r="KE14" s="17"/>
      <c r="KF14" s="17"/>
      <c r="KG14" s="17"/>
      <c r="KH14" s="17"/>
      <c r="KI14" s="17"/>
      <c r="KJ14" s="17"/>
      <c r="KK14" s="17"/>
      <c r="KL14" s="17"/>
      <c r="KM14" s="17"/>
      <c r="KN14" s="17"/>
      <c r="KO14" s="17"/>
      <c r="KP14" s="17"/>
      <c r="KQ14" s="17"/>
      <c r="KR14" s="17"/>
      <c r="KS14" s="17"/>
      <c r="KT14" s="17"/>
      <c r="KU14" s="17"/>
      <c r="KV14" s="17"/>
      <c r="KW14" s="17"/>
      <c r="KX14" s="17"/>
      <c r="KY14" s="17"/>
    </row>
    <row r="15" spans="1:311" ht="24" customHeight="1" x14ac:dyDescent="0.25">
      <c r="A15" s="2193" t="s">
        <v>290</v>
      </c>
      <c r="B15" s="2194"/>
      <c r="C15" s="2194"/>
      <c r="D15" s="2194"/>
      <c r="E15" s="2194"/>
      <c r="F15" s="2194"/>
      <c r="G15" s="2194"/>
      <c r="H15" s="2195"/>
      <c r="I15" s="2214"/>
      <c r="J15" s="2214"/>
      <c r="K15" s="2214"/>
      <c r="L15" s="2214"/>
      <c r="M15" s="2214"/>
      <c r="N15" s="2214"/>
      <c r="O15" s="17"/>
      <c r="P15" s="17"/>
      <c r="Q15" s="17"/>
      <c r="R15" s="17"/>
      <c r="S15" s="17"/>
      <c r="T15" s="17"/>
      <c r="U15" s="17"/>
      <c r="V15" s="17"/>
      <c r="W15" s="17"/>
      <c r="X15" s="17"/>
      <c r="Y15" s="17"/>
      <c r="Z15" s="17"/>
      <c r="AA15" s="17"/>
      <c r="AB15" s="17"/>
      <c r="AC15" s="17"/>
      <c r="AD15" s="17"/>
      <c r="AE15" s="17"/>
      <c r="AF15" s="17"/>
      <c r="AG15" s="17"/>
      <c r="AH15" s="17"/>
      <c r="AI15" s="17"/>
      <c r="AJ15" s="17"/>
      <c r="AK15" s="17"/>
      <c r="AL15" s="17"/>
      <c r="AM15" s="17"/>
      <c r="AN15" s="17"/>
      <c r="AO15" s="17"/>
      <c r="AP15" s="17"/>
      <c r="AQ15" s="17"/>
      <c r="AR15" s="17"/>
      <c r="AS15" s="17"/>
      <c r="AT15" s="17"/>
      <c r="AU15" s="17"/>
      <c r="AV15" s="17"/>
      <c r="AW15" s="17"/>
      <c r="AX15" s="17"/>
      <c r="AY15" s="17"/>
      <c r="AZ15" s="17"/>
      <c r="BA15" s="17"/>
      <c r="BB15" s="17"/>
      <c r="BC15" s="17"/>
      <c r="BD15" s="17"/>
      <c r="BE15" s="17"/>
      <c r="BF15" s="17"/>
      <c r="BG15" s="17"/>
      <c r="BH15" s="17"/>
      <c r="BI15" s="17"/>
      <c r="BJ15" s="17"/>
      <c r="BK15" s="17"/>
      <c r="BL15" s="17"/>
      <c r="BM15" s="17"/>
      <c r="BN15" s="17"/>
      <c r="BO15" s="17"/>
      <c r="BP15" s="17"/>
      <c r="BQ15" s="17"/>
      <c r="BR15" s="17"/>
      <c r="BS15" s="17"/>
      <c r="BT15" s="17"/>
      <c r="BU15" s="17"/>
      <c r="BV15" s="17"/>
      <c r="BW15" s="17"/>
      <c r="BX15" s="17"/>
      <c r="BY15" s="17"/>
      <c r="BZ15" s="17"/>
      <c r="CA15" s="17"/>
      <c r="CB15" s="17"/>
      <c r="CC15" s="17"/>
      <c r="CD15" s="17"/>
      <c r="CE15" s="17"/>
      <c r="CF15" s="17"/>
      <c r="CG15" s="17"/>
      <c r="CH15" s="17"/>
      <c r="CI15" s="17"/>
      <c r="CJ15" s="17"/>
      <c r="CK15" s="17"/>
      <c r="CL15" s="17"/>
      <c r="CM15" s="17"/>
      <c r="CN15" s="17"/>
      <c r="CO15" s="17"/>
      <c r="CP15" s="17"/>
      <c r="CQ15" s="17"/>
      <c r="CR15" s="17"/>
      <c r="CS15" s="17"/>
      <c r="CT15" s="17"/>
      <c r="CU15" s="17"/>
      <c r="CV15" s="17"/>
      <c r="CW15" s="17"/>
      <c r="CX15" s="17"/>
      <c r="CY15" s="17"/>
      <c r="CZ15" s="17"/>
      <c r="DA15" s="17"/>
      <c r="DB15" s="17"/>
      <c r="DC15" s="17"/>
      <c r="DD15" s="17"/>
      <c r="DE15" s="17"/>
      <c r="DF15" s="17"/>
      <c r="DG15" s="17"/>
      <c r="DH15" s="17"/>
      <c r="DI15" s="17"/>
      <c r="DJ15" s="17"/>
      <c r="DK15" s="17"/>
      <c r="DL15" s="17"/>
      <c r="DM15" s="17"/>
      <c r="DN15" s="17"/>
      <c r="DO15" s="17"/>
      <c r="DP15" s="17"/>
      <c r="DQ15" s="17"/>
      <c r="DR15" s="17"/>
      <c r="DS15" s="17"/>
      <c r="DT15" s="17"/>
      <c r="DU15" s="17"/>
      <c r="DV15" s="17"/>
      <c r="DW15" s="17"/>
      <c r="DX15" s="17"/>
      <c r="DY15" s="17"/>
      <c r="DZ15" s="17"/>
      <c r="EA15" s="17"/>
      <c r="EB15" s="17"/>
      <c r="EC15" s="17"/>
      <c r="ED15" s="17"/>
      <c r="EE15" s="17"/>
      <c r="EF15" s="17"/>
      <c r="EG15" s="17"/>
      <c r="EH15" s="17"/>
      <c r="EI15" s="17"/>
      <c r="EJ15" s="17"/>
      <c r="EK15" s="17"/>
      <c r="EL15" s="17"/>
      <c r="EM15" s="17"/>
      <c r="EN15" s="17"/>
      <c r="EO15" s="17"/>
      <c r="EP15" s="17"/>
      <c r="EQ15" s="17"/>
      <c r="ER15" s="17"/>
      <c r="ES15" s="17"/>
      <c r="ET15" s="17"/>
      <c r="EU15" s="17"/>
      <c r="EV15" s="17"/>
      <c r="EW15" s="17"/>
      <c r="EX15" s="17"/>
      <c r="EY15" s="17"/>
      <c r="EZ15" s="17"/>
      <c r="FA15" s="17"/>
      <c r="FB15" s="17"/>
      <c r="FC15" s="17"/>
      <c r="FD15" s="17"/>
      <c r="FE15" s="17"/>
      <c r="FF15" s="17"/>
      <c r="FG15" s="17"/>
      <c r="FH15" s="17"/>
      <c r="FI15" s="17"/>
      <c r="FJ15" s="17"/>
      <c r="FK15" s="17"/>
      <c r="FL15" s="17"/>
      <c r="FM15" s="17"/>
      <c r="FN15" s="17"/>
      <c r="FO15" s="17"/>
      <c r="FP15" s="17"/>
      <c r="FQ15" s="17"/>
      <c r="FR15" s="17"/>
      <c r="FS15" s="17"/>
      <c r="FT15" s="17"/>
      <c r="FU15" s="17"/>
      <c r="FV15" s="17"/>
      <c r="FW15" s="17"/>
      <c r="FX15" s="17"/>
      <c r="FY15" s="17"/>
      <c r="FZ15" s="17"/>
      <c r="GA15" s="17"/>
      <c r="GB15" s="17"/>
      <c r="GC15" s="17"/>
      <c r="GD15" s="17"/>
      <c r="GE15" s="17"/>
      <c r="GF15" s="17"/>
      <c r="GG15" s="17"/>
      <c r="GH15" s="17"/>
      <c r="GI15" s="17"/>
      <c r="GJ15" s="17"/>
      <c r="GK15" s="17"/>
      <c r="GL15" s="17"/>
      <c r="GM15" s="17"/>
      <c r="GN15" s="17"/>
      <c r="GO15" s="17"/>
      <c r="GP15" s="17"/>
      <c r="GQ15" s="17"/>
      <c r="GR15" s="17"/>
      <c r="GS15" s="17"/>
      <c r="GT15" s="17"/>
      <c r="GU15" s="17"/>
      <c r="GV15" s="17"/>
      <c r="GW15" s="17"/>
      <c r="GX15" s="17"/>
      <c r="GY15" s="17"/>
      <c r="GZ15" s="17"/>
      <c r="HA15" s="17"/>
      <c r="HB15" s="17"/>
      <c r="HC15" s="17"/>
      <c r="HD15" s="17"/>
      <c r="HE15" s="17"/>
      <c r="HF15" s="17"/>
      <c r="HG15" s="17"/>
      <c r="HH15" s="17"/>
      <c r="HI15" s="17"/>
      <c r="HJ15" s="17"/>
      <c r="HK15" s="17"/>
      <c r="HL15" s="17"/>
      <c r="HM15" s="17"/>
      <c r="HN15" s="17"/>
      <c r="HO15" s="17"/>
      <c r="HP15" s="17"/>
      <c r="HQ15" s="17"/>
      <c r="HR15" s="17"/>
      <c r="HS15" s="17"/>
      <c r="HT15" s="17"/>
      <c r="HU15" s="17"/>
      <c r="HV15" s="17"/>
      <c r="HW15" s="17"/>
      <c r="HX15" s="17"/>
      <c r="HY15" s="17"/>
      <c r="HZ15" s="17"/>
      <c r="IA15" s="17"/>
      <c r="IB15" s="17"/>
      <c r="IC15" s="17"/>
      <c r="ID15" s="17"/>
      <c r="IE15" s="17"/>
      <c r="IF15" s="17"/>
      <c r="IG15" s="17"/>
      <c r="IH15" s="17"/>
      <c r="II15" s="17"/>
      <c r="IJ15" s="17"/>
      <c r="IK15" s="17"/>
      <c r="IL15" s="17"/>
      <c r="IM15" s="17"/>
      <c r="IN15" s="17"/>
      <c r="IO15" s="17"/>
      <c r="IP15" s="17"/>
      <c r="IQ15" s="17"/>
      <c r="IR15" s="17"/>
      <c r="IS15" s="17"/>
      <c r="IT15" s="17"/>
      <c r="IU15" s="17"/>
      <c r="IV15" s="17"/>
      <c r="IW15" s="17"/>
      <c r="IX15" s="17"/>
      <c r="IY15" s="17"/>
      <c r="IZ15" s="17"/>
      <c r="JA15" s="17"/>
      <c r="JB15" s="17"/>
      <c r="JC15" s="17"/>
      <c r="JD15" s="17"/>
      <c r="JE15" s="17"/>
      <c r="JF15" s="17"/>
      <c r="JG15" s="17"/>
      <c r="JH15" s="17"/>
      <c r="JI15" s="17"/>
      <c r="JJ15" s="17"/>
      <c r="JK15" s="17"/>
      <c r="JL15" s="17"/>
      <c r="JM15" s="17"/>
      <c r="JN15" s="17"/>
      <c r="JO15" s="17"/>
      <c r="JP15" s="17"/>
      <c r="JQ15" s="17"/>
      <c r="JR15" s="17"/>
      <c r="JS15" s="17"/>
      <c r="JT15" s="17"/>
      <c r="JU15" s="17"/>
      <c r="JV15" s="17"/>
      <c r="JW15" s="17"/>
      <c r="JX15" s="17"/>
      <c r="JY15" s="17"/>
      <c r="JZ15" s="17"/>
      <c r="KA15" s="17"/>
      <c r="KB15" s="17"/>
      <c r="KC15" s="17"/>
      <c r="KD15" s="17"/>
      <c r="KE15" s="17"/>
      <c r="KF15" s="17"/>
      <c r="KG15" s="17"/>
      <c r="KH15" s="17"/>
      <c r="KI15" s="17"/>
      <c r="KJ15" s="17"/>
      <c r="KK15" s="17"/>
      <c r="KL15" s="17"/>
      <c r="KM15" s="17"/>
      <c r="KN15" s="17"/>
      <c r="KO15" s="17"/>
      <c r="KP15" s="17"/>
      <c r="KQ15" s="17"/>
      <c r="KR15" s="17"/>
      <c r="KS15" s="17"/>
      <c r="KT15" s="17"/>
      <c r="KU15" s="17"/>
      <c r="KV15" s="17"/>
      <c r="KW15" s="17"/>
      <c r="KX15" s="17"/>
      <c r="KY15" s="17"/>
    </row>
    <row r="16" spans="1:311" ht="22.5" customHeight="1" x14ac:dyDescent="0.25">
      <c r="A16" s="2186" t="s">
        <v>289</v>
      </c>
      <c r="B16" s="2186"/>
      <c r="C16" s="2186"/>
      <c r="D16" s="2186"/>
      <c r="E16" s="2186"/>
      <c r="F16" s="2186"/>
      <c r="G16" s="2186"/>
      <c r="H16" s="2187"/>
      <c r="I16" s="2214"/>
      <c r="J16" s="2214"/>
      <c r="K16" s="2214"/>
      <c r="L16" s="2214"/>
      <c r="M16" s="2214"/>
      <c r="N16" s="2214"/>
      <c r="O16" s="17"/>
      <c r="P16" s="17"/>
      <c r="Q16" s="17"/>
      <c r="R16" s="17"/>
      <c r="S16" s="17"/>
      <c r="T16" s="17"/>
      <c r="U16" s="17"/>
      <c r="V16" s="17"/>
      <c r="W16" s="17"/>
      <c r="X16" s="17"/>
      <c r="Y16" s="17"/>
      <c r="Z16" s="17"/>
      <c r="AA16" s="17"/>
      <c r="AB16" s="17"/>
      <c r="AC16" s="17"/>
      <c r="AD16" s="17"/>
      <c r="AE16" s="17"/>
      <c r="AF16" s="17"/>
      <c r="AG16" s="17"/>
      <c r="AH16" s="17"/>
      <c r="AI16" s="17"/>
      <c r="AJ16" s="17"/>
      <c r="AK16" s="17"/>
      <c r="AL16" s="17"/>
      <c r="AM16" s="17"/>
      <c r="AN16" s="17"/>
      <c r="AO16" s="17"/>
      <c r="AP16" s="17"/>
      <c r="AQ16" s="17"/>
      <c r="AR16" s="17"/>
      <c r="AS16" s="17"/>
      <c r="AT16" s="17"/>
      <c r="AU16" s="17"/>
      <c r="AV16" s="17"/>
      <c r="AW16" s="17"/>
      <c r="AX16" s="17"/>
      <c r="AY16" s="17"/>
      <c r="AZ16" s="17"/>
      <c r="BA16" s="17"/>
      <c r="BB16" s="17"/>
      <c r="BC16" s="17"/>
      <c r="BD16" s="17"/>
      <c r="BE16" s="17"/>
      <c r="BF16" s="17"/>
      <c r="BG16" s="17"/>
      <c r="BH16" s="17"/>
      <c r="BI16" s="17"/>
      <c r="BJ16" s="17"/>
      <c r="BK16" s="17"/>
      <c r="BL16" s="17"/>
      <c r="BM16" s="17"/>
      <c r="BN16" s="17"/>
      <c r="BO16" s="17"/>
      <c r="BP16" s="17"/>
      <c r="BQ16" s="17"/>
      <c r="BR16" s="17"/>
      <c r="BS16" s="17"/>
      <c r="BT16" s="17"/>
      <c r="BU16" s="17"/>
      <c r="BV16" s="17"/>
      <c r="BW16" s="17"/>
      <c r="BX16" s="17"/>
      <c r="BY16" s="17"/>
      <c r="BZ16" s="17"/>
      <c r="CA16" s="17"/>
      <c r="CB16" s="17"/>
      <c r="CC16" s="17"/>
      <c r="CD16" s="17"/>
      <c r="CE16" s="17"/>
      <c r="CF16" s="17"/>
      <c r="CG16" s="17"/>
      <c r="CH16" s="17"/>
      <c r="CI16" s="17"/>
      <c r="CJ16" s="17"/>
      <c r="CK16" s="17"/>
      <c r="CL16" s="17"/>
      <c r="CM16" s="17"/>
      <c r="CN16" s="17"/>
      <c r="CO16" s="17"/>
      <c r="CP16" s="17"/>
      <c r="CQ16" s="17"/>
      <c r="CR16" s="17"/>
      <c r="CS16" s="17"/>
      <c r="CT16" s="17"/>
      <c r="CU16" s="17"/>
      <c r="CV16" s="17"/>
      <c r="CW16" s="17"/>
      <c r="CX16" s="17"/>
      <c r="CY16" s="17"/>
      <c r="CZ16" s="17"/>
      <c r="DA16" s="17"/>
      <c r="DB16" s="17"/>
      <c r="DC16" s="17"/>
      <c r="DD16" s="17"/>
      <c r="DE16" s="17"/>
      <c r="DF16" s="17"/>
      <c r="DG16" s="17"/>
      <c r="DH16" s="17"/>
      <c r="DI16" s="17"/>
      <c r="DJ16" s="17"/>
      <c r="DK16" s="17"/>
      <c r="DL16" s="17"/>
      <c r="DM16" s="17"/>
      <c r="DN16" s="17"/>
      <c r="DO16" s="17"/>
      <c r="DP16" s="17"/>
      <c r="DQ16" s="17"/>
      <c r="DR16" s="17"/>
      <c r="DS16" s="17"/>
      <c r="DT16" s="17"/>
      <c r="DU16" s="17"/>
      <c r="DV16" s="17"/>
      <c r="DW16" s="17"/>
      <c r="DX16" s="17"/>
      <c r="DY16" s="17"/>
      <c r="DZ16" s="17"/>
      <c r="EA16" s="17"/>
      <c r="EB16" s="17"/>
      <c r="EC16" s="17"/>
      <c r="ED16" s="17"/>
      <c r="EE16" s="17"/>
      <c r="EF16" s="17"/>
      <c r="EG16" s="17"/>
      <c r="EH16" s="17"/>
      <c r="EI16" s="17"/>
      <c r="EJ16" s="17"/>
      <c r="EK16" s="17"/>
      <c r="EL16" s="17"/>
      <c r="EM16" s="17"/>
      <c r="EN16" s="17"/>
      <c r="EO16" s="17"/>
      <c r="EP16" s="17"/>
      <c r="EQ16" s="17"/>
      <c r="ER16" s="17"/>
      <c r="ES16" s="17"/>
      <c r="ET16" s="17"/>
      <c r="EU16" s="17"/>
      <c r="EV16" s="17"/>
      <c r="EW16" s="17"/>
      <c r="EX16" s="17"/>
      <c r="EY16" s="17"/>
      <c r="EZ16" s="17"/>
      <c r="FA16" s="17"/>
      <c r="FB16" s="17"/>
      <c r="FC16" s="17"/>
      <c r="FD16" s="17"/>
      <c r="FE16" s="17"/>
      <c r="FF16" s="17"/>
      <c r="FG16" s="17"/>
      <c r="FH16" s="17"/>
      <c r="FI16" s="17"/>
      <c r="FJ16" s="17"/>
      <c r="FK16" s="17"/>
      <c r="FL16" s="17"/>
      <c r="FM16" s="17"/>
      <c r="FN16" s="17"/>
      <c r="FO16" s="17"/>
      <c r="FP16" s="17"/>
      <c r="FQ16" s="17"/>
      <c r="FR16" s="17"/>
      <c r="FS16" s="17"/>
      <c r="FT16" s="17"/>
      <c r="FU16" s="17"/>
      <c r="FV16" s="17"/>
      <c r="FW16" s="17"/>
      <c r="FX16" s="17"/>
      <c r="FY16" s="17"/>
      <c r="FZ16" s="17"/>
      <c r="GA16" s="17"/>
      <c r="GB16" s="17"/>
      <c r="GC16" s="17"/>
      <c r="GD16" s="17"/>
      <c r="GE16" s="17"/>
      <c r="GF16" s="17"/>
      <c r="GG16" s="17"/>
      <c r="GH16" s="17"/>
      <c r="GI16" s="17"/>
      <c r="GJ16" s="17"/>
      <c r="GK16" s="17"/>
      <c r="GL16" s="17"/>
      <c r="GM16" s="17"/>
      <c r="GN16" s="17"/>
      <c r="GO16" s="17"/>
      <c r="GP16" s="17"/>
      <c r="GQ16" s="17"/>
      <c r="GR16" s="17"/>
      <c r="GS16" s="17"/>
      <c r="GT16" s="17"/>
      <c r="GU16" s="17"/>
      <c r="GV16" s="17"/>
      <c r="GW16" s="17"/>
      <c r="GX16" s="17"/>
      <c r="GY16" s="17"/>
      <c r="GZ16" s="17"/>
      <c r="HA16" s="17"/>
      <c r="HB16" s="17"/>
      <c r="HC16" s="17"/>
      <c r="HD16" s="17"/>
      <c r="HE16" s="17"/>
      <c r="HF16" s="17"/>
      <c r="HG16" s="17"/>
      <c r="HH16" s="17"/>
      <c r="HI16" s="17"/>
      <c r="HJ16" s="17"/>
      <c r="HK16" s="17"/>
      <c r="HL16" s="17"/>
      <c r="HM16" s="17"/>
      <c r="HN16" s="17"/>
      <c r="HO16" s="17"/>
      <c r="HP16" s="17"/>
      <c r="HQ16" s="17"/>
      <c r="HR16" s="17"/>
      <c r="HS16" s="17"/>
      <c r="HT16" s="17"/>
      <c r="HU16" s="17"/>
      <c r="HV16" s="17"/>
      <c r="HW16" s="17"/>
      <c r="HX16" s="17"/>
      <c r="HY16" s="17"/>
      <c r="HZ16" s="17"/>
      <c r="IA16" s="17"/>
      <c r="IB16" s="17"/>
      <c r="IC16" s="17"/>
      <c r="ID16" s="17"/>
      <c r="IE16" s="17"/>
      <c r="IF16" s="17"/>
      <c r="IG16" s="17"/>
      <c r="IH16" s="17"/>
      <c r="II16" s="17"/>
      <c r="IJ16" s="17"/>
      <c r="IK16" s="17"/>
      <c r="IL16" s="17"/>
      <c r="IM16" s="17"/>
      <c r="IN16" s="17"/>
      <c r="IO16" s="17"/>
      <c r="IP16" s="17"/>
      <c r="IQ16" s="17"/>
      <c r="IR16" s="17"/>
      <c r="IS16" s="17"/>
      <c r="IT16" s="17"/>
      <c r="IU16" s="17"/>
      <c r="IV16" s="17"/>
      <c r="IW16" s="17"/>
      <c r="IX16" s="17"/>
      <c r="IY16" s="17"/>
      <c r="IZ16" s="17"/>
      <c r="JA16" s="17"/>
      <c r="JB16" s="17"/>
      <c r="JC16" s="17"/>
      <c r="JD16" s="17"/>
      <c r="JE16" s="17"/>
      <c r="JF16" s="17"/>
      <c r="JG16" s="17"/>
      <c r="JH16" s="17"/>
      <c r="JI16" s="17"/>
      <c r="JJ16" s="17"/>
      <c r="JK16" s="17"/>
      <c r="JL16" s="17"/>
      <c r="JM16" s="17"/>
      <c r="JN16" s="17"/>
      <c r="JO16" s="17"/>
      <c r="JP16" s="17"/>
      <c r="JQ16" s="17"/>
      <c r="JR16" s="17"/>
      <c r="JS16" s="17"/>
      <c r="JT16" s="17"/>
      <c r="JU16" s="17"/>
      <c r="JV16" s="17"/>
      <c r="JW16" s="17"/>
      <c r="JX16" s="17"/>
      <c r="JY16" s="17"/>
      <c r="JZ16" s="17"/>
      <c r="KA16" s="17"/>
      <c r="KB16" s="17"/>
      <c r="KC16" s="17"/>
      <c r="KD16" s="17"/>
      <c r="KE16" s="17"/>
      <c r="KF16" s="17"/>
      <c r="KG16" s="17"/>
      <c r="KH16" s="17"/>
      <c r="KI16" s="17"/>
      <c r="KJ16" s="17"/>
      <c r="KK16" s="17"/>
      <c r="KL16" s="17"/>
      <c r="KM16" s="17"/>
      <c r="KN16" s="17"/>
      <c r="KO16" s="17"/>
      <c r="KP16" s="17"/>
      <c r="KQ16" s="17"/>
      <c r="KR16" s="17"/>
      <c r="KS16" s="17"/>
      <c r="KT16" s="17"/>
      <c r="KU16" s="17"/>
      <c r="KV16" s="17"/>
      <c r="KW16" s="17"/>
      <c r="KX16" s="17"/>
      <c r="KY16" s="17"/>
    </row>
    <row r="17" spans="1:311" ht="22.5" customHeight="1" x14ac:dyDescent="0.25">
      <c r="A17" s="2223" t="s">
        <v>706</v>
      </c>
      <c r="B17" s="2224"/>
      <c r="C17" s="2224"/>
      <c r="D17" s="2224"/>
      <c r="E17" s="2224"/>
      <c r="F17" s="2224"/>
      <c r="G17" s="2224"/>
      <c r="H17" s="2224"/>
      <c r="I17" s="2224"/>
      <c r="J17" s="2224"/>
      <c r="K17" s="2224"/>
      <c r="L17" s="2224"/>
      <c r="M17" s="2224"/>
      <c r="N17" s="2225"/>
      <c r="O17" s="17"/>
      <c r="P17" s="17"/>
      <c r="Q17" s="17"/>
      <c r="R17" s="17"/>
      <c r="S17" s="17"/>
      <c r="T17" s="17"/>
      <c r="U17" s="17"/>
      <c r="V17" s="17"/>
      <c r="W17" s="17"/>
      <c r="X17" s="17"/>
      <c r="Y17" s="17"/>
      <c r="Z17" s="17"/>
      <c r="AA17" s="17"/>
      <c r="AB17" s="17"/>
      <c r="AC17" s="17"/>
      <c r="AD17" s="17"/>
      <c r="AE17" s="17"/>
      <c r="AF17" s="17"/>
      <c r="AG17" s="17"/>
      <c r="AH17" s="17"/>
      <c r="AI17" s="17"/>
      <c r="AJ17" s="17"/>
      <c r="AK17" s="17"/>
      <c r="AL17" s="17"/>
      <c r="AM17" s="17"/>
      <c r="AN17" s="17"/>
      <c r="AO17" s="17"/>
      <c r="AP17" s="17"/>
      <c r="AQ17" s="17"/>
      <c r="AR17" s="17"/>
      <c r="AS17" s="17"/>
      <c r="AT17" s="17"/>
      <c r="AU17" s="17"/>
      <c r="AV17" s="17"/>
      <c r="AW17" s="17"/>
      <c r="AX17" s="17"/>
      <c r="AY17" s="17"/>
      <c r="AZ17" s="17"/>
      <c r="BA17" s="17"/>
      <c r="BB17" s="17"/>
      <c r="BC17" s="17"/>
      <c r="BD17" s="17"/>
      <c r="BE17" s="17"/>
      <c r="BF17" s="17"/>
      <c r="BG17" s="17"/>
      <c r="BH17" s="17"/>
      <c r="BI17" s="17"/>
      <c r="BJ17" s="17"/>
      <c r="BK17" s="17"/>
      <c r="BL17" s="17"/>
      <c r="BM17" s="17"/>
      <c r="BN17" s="17"/>
      <c r="BO17" s="17"/>
      <c r="BP17" s="17"/>
      <c r="BQ17" s="17"/>
      <c r="BR17" s="17"/>
      <c r="BS17" s="17"/>
      <c r="BT17" s="17"/>
      <c r="BU17" s="17"/>
      <c r="BV17" s="17"/>
      <c r="BW17" s="17"/>
      <c r="BX17" s="17"/>
      <c r="BY17" s="17"/>
      <c r="BZ17" s="17"/>
      <c r="CA17" s="17"/>
      <c r="CB17" s="17"/>
      <c r="CC17" s="17"/>
      <c r="CD17" s="17"/>
      <c r="CE17" s="17"/>
      <c r="CF17" s="17"/>
      <c r="CG17" s="17"/>
      <c r="CH17" s="17"/>
      <c r="CI17" s="17"/>
      <c r="CJ17" s="17"/>
      <c r="CK17" s="17"/>
      <c r="CL17" s="17"/>
      <c r="CM17" s="17"/>
      <c r="CN17" s="17"/>
      <c r="CO17" s="17"/>
      <c r="CP17" s="17"/>
      <c r="CQ17" s="17"/>
      <c r="CR17" s="17"/>
      <c r="CS17" s="17"/>
      <c r="CT17" s="17"/>
      <c r="CU17" s="17"/>
      <c r="CV17" s="17"/>
      <c r="CW17" s="17"/>
      <c r="CX17" s="17"/>
      <c r="CY17" s="17"/>
      <c r="CZ17" s="17"/>
      <c r="DA17" s="17"/>
      <c r="DB17" s="17"/>
      <c r="DC17" s="17"/>
      <c r="DD17" s="17"/>
      <c r="DE17" s="17"/>
      <c r="DF17" s="17"/>
      <c r="DG17" s="17"/>
      <c r="DH17" s="17"/>
      <c r="DI17" s="17"/>
      <c r="DJ17" s="17"/>
      <c r="DK17" s="17"/>
      <c r="DL17" s="17"/>
      <c r="DM17" s="17"/>
      <c r="DN17" s="17"/>
      <c r="DO17" s="17"/>
      <c r="DP17" s="17"/>
      <c r="DQ17" s="17"/>
      <c r="DR17" s="17"/>
      <c r="DS17" s="17"/>
      <c r="DT17" s="17"/>
      <c r="DU17" s="17"/>
      <c r="DV17" s="17"/>
      <c r="DW17" s="17"/>
      <c r="DX17" s="17"/>
      <c r="DY17" s="17"/>
      <c r="DZ17" s="17"/>
      <c r="EA17" s="17"/>
      <c r="EB17" s="17"/>
      <c r="EC17" s="17"/>
      <c r="ED17" s="17"/>
      <c r="EE17" s="17"/>
      <c r="EF17" s="17"/>
      <c r="EG17" s="17"/>
      <c r="EH17" s="17"/>
      <c r="EI17" s="17"/>
      <c r="EJ17" s="17"/>
      <c r="EK17" s="17"/>
      <c r="EL17" s="17"/>
      <c r="EM17" s="17"/>
      <c r="EN17" s="17"/>
      <c r="EO17" s="17"/>
      <c r="EP17" s="17"/>
      <c r="EQ17" s="17"/>
      <c r="ER17" s="17"/>
      <c r="ES17" s="17"/>
      <c r="ET17" s="17"/>
      <c r="EU17" s="17"/>
      <c r="EV17" s="17"/>
      <c r="EW17" s="17"/>
      <c r="EX17" s="17"/>
      <c r="EY17" s="17"/>
      <c r="EZ17" s="17"/>
      <c r="FA17" s="17"/>
      <c r="FB17" s="17"/>
      <c r="FC17" s="17"/>
      <c r="FD17" s="17"/>
      <c r="FE17" s="17"/>
      <c r="FF17" s="17"/>
      <c r="FG17" s="17"/>
      <c r="FH17" s="17"/>
      <c r="FI17" s="17"/>
      <c r="FJ17" s="17"/>
      <c r="FK17" s="17"/>
      <c r="FL17" s="17"/>
      <c r="FM17" s="17"/>
      <c r="FN17" s="17"/>
      <c r="FO17" s="17"/>
      <c r="FP17" s="17"/>
      <c r="FQ17" s="17"/>
      <c r="FR17" s="17"/>
      <c r="FS17" s="17"/>
      <c r="FT17" s="17"/>
      <c r="FU17" s="17"/>
      <c r="FV17" s="17"/>
      <c r="FW17" s="17"/>
      <c r="FX17" s="17"/>
      <c r="FY17" s="17"/>
      <c r="FZ17" s="17"/>
      <c r="GA17" s="17"/>
      <c r="GB17" s="17"/>
      <c r="GC17" s="17"/>
      <c r="GD17" s="17"/>
      <c r="GE17" s="17"/>
      <c r="GF17" s="17"/>
      <c r="GG17" s="17"/>
      <c r="GH17" s="17"/>
      <c r="GI17" s="17"/>
      <c r="GJ17" s="17"/>
      <c r="GK17" s="17"/>
      <c r="GL17" s="17"/>
      <c r="GM17" s="17"/>
      <c r="GN17" s="17"/>
      <c r="GO17" s="17"/>
      <c r="GP17" s="17"/>
      <c r="GQ17" s="17"/>
      <c r="GR17" s="17"/>
      <c r="GS17" s="17"/>
      <c r="GT17" s="17"/>
      <c r="GU17" s="17"/>
      <c r="GV17" s="17"/>
      <c r="GW17" s="17"/>
      <c r="GX17" s="17"/>
      <c r="GY17" s="17"/>
      <c r="GZ17" s="17"/>
      <c r="HA17" s="17"/>
      <c r="HB17" s="17"/>
      <c r="HC17" s="17"/>
      <c r="HD17" s="17"/>
      <c r="HE17" s="17"/>
      <c r="HF17" s="17"/>
      <c r="HG17" s="17"/>
      <c r="HH17" s="17"/>
      <c r="HI17" s="17"/>
      <c r="HJ17" s="17"/>
      <c r="HK17" s="17"/>
      <c r="HL17" s="17"/>
      <c r="HM17" s="17"/>
      <c r="HN17" s="17"/>
      <c r="HO17" s="17"/>
      <c r="HP17" s="17"/>
      <c r="HQ17" s="17"/>
      <c r="HR17" s="17"/>
      <c r="HS17" s="17"/>
      <c r="HT17" s="17"/>
      <c r="HU17" s="17"/>
      <c r="HV17" s="17"/>
      <c r="HW17" s="17"/>
      <c r="HX17" s="17"/>
      <c r="HY17" s="17"/>
      <c r="HZ17" s="17"/>
      <c r="IA17" s="17"/>
      <c r="IB17" s="17"/>
      <c r="IC17" s="17"/>
      <c r="ID17" s="17"/>
      <c r="IE17" s="17"/>
      <c r="IF17" s="17"/>
      <c r="IG17" s="17"/>
      <c r="IH17" s="17"/>
      <c r="II17" s="17"/>
      <c r="IJ17" s="17"/>
      <c r="IK17" s="17"/>
      <c r="IL17" s="17"/>
      <c r="IM17" s="17"/>
      <c r="IN17" s="17"/>
      <c r="IO17" s="17"/>
      <c r="IP17" s="17"/>
      <c r="IQ17" s="17"/>
      <c r="IR17" s="17"/>
      <c r="IS17" s="17"/>
      <c r="IT17" s="17"/>
      <c r="IU17" s="17"/>
      <c r="IV17" s="17"/>
      <c r="IW17" s="17"/>
      <c r="IX17" s="17"/>
      <c r="IY17" s="17"/>
      <c r="IZ17" s="17"/>
      <c r="JA17" s="17"/>
      <c r="JB17" s="17"/>
      <c r="JC17" s="17"/>
      <c r="JD17" s="17"/>
      <c r="JE17" s="17"/>
      <c r="JF17" s="17"/>
      <c r="JG17" s="17"/>
      <c r="JH17" s="17"/>
      <c r="JI17" s="17"/>
      <c r="JJ17" s="17"/>
      <c r="JK17" s="17"/>
      <c r="JL17" s="17"/>
      <c r="JM17" s="17"/>
      <c r="JN17" s="17"/>
      <c r="JO17" s="17"/>
      <c r="JP17" s="17"/>
      <c r="JQ17" s="17"/>
      <c r="JR17" s="17"/>
      <c r="JS17" s="17"/>
      <c r="JT17" s="17"/>
      <c r="JU17" s="17"/>
      <c r="JV17" s="17"/>
      <c r="JW17" s="17"/>
      <c r="JX17" s="17"/>
      <c r="JY17" s="17"/>
      <c r="JZ17" s="17"/>
      <c r="KA17" s="17"/>
      <c r="KB17" s="17"/>
      <c r="KC17" s="17"/>
      <c r="KD17" s="17"/>
      <c r="KE17" s="17"/>
      <c r="KF17" s="17"/>
      <c r="KG17" s="17"/>
      <c r="KH17" s="17"/>
      <c r="KI17" s="17"/>
      <c r="KJ17" s="17"/>
      <c r="KK17" s="17"/>
      <c r="KL17" s="17"/>
      <c r="KM17" s="17"/>
      <c r="KN17" s="17"/>
      <c r="KO17" s="17"/>
      <c r="KP17" s="17"/>
      <c r="KQ17" s="17"/>
      <c r="KR17" s="17"/>
      <c r="KS17" s="17"/>
      <c r="KT17" s="17"/>
      <c r="KU17" s="17"/>
      <c r="KV17" s="17"/>
      <c r="KW17" s="17"/>
      <c r="KX17" s="17"/>
      <c r="KY17" s="17"/>
    </row>
    <row r="18" spans="1:311" s="230" customFormat="1" ht="22.5" customHeight="1" x14ac:dyDescent="0.25">
      <c r="A18" s="2223" t="s">
        <v>734</v>
      </c>
      <c r="B18" s="2224"/>
      <c r="C18" s="2224"/>
      <c r="D18" s="2224"/>
      <c r="E18" s="2224"/>
      <c r="F18" s="2224"/>
      <c r="G18" s="2224"/>
      <c r="H18" s="2224"/>
      <c r="I18" s="2224"/>
      <c r="J18" s="2224"/>
      <c r="K18" s="2224"/>
      <c r="L18" s="2224"/>
      <c r="M18" s="2224"/>
      <c r="N18" s="2225"/>
      <c r="O18" s="17"/>
      <c r="P18" s="17"/>
      <c r="Q18" s="17"/>
      <c r="R18" s="17"/>
      <c r="S18" s="17"/>
      <c r="T18" s="17"/>
      <c r="U18" s="17"/>
      <c r="V18" s="17"/>
      <c r="W18" s="17"/>
      <c r="X18" s="17"/>
      <c r="Y18" s="17"/>
      <c r="Z18" s="17"/>
      <c r="AA18" s="17"/>
      <c r="AB18" s="17"/>
      <c r="AC18" s="17"/>
      <c r="AD18" s="17"/>
      <c r="AE18" s="17"/>
      <c r="AF18" s="17"/>
      <c r="AG18" s="17"/>
      <c r="AH18" s="17"/>
      <c r="AI18" s="17"/>
      <c r="AJ18" s="17"/>
      <c r="AK18" s="17"/>
      <c r="AL18" s="17"/>
      <c r="AM18" s="17"/>
      <c r="AN18" s="17"/>
      <c r="AO18" s="17"/>
      <c r="AP18" s="17"/>
      <c r="AQ18" s="17"/>
      <c r="AR18" s="17"/>
      <c r="AS18" s="17"/>
      <c r="AT18" s="17"/>
      <c r="AU18" s="17"/>
      <c r="AV18" s="17"/>
      <c r="AW18" s="17"/>
      <c r="AX18" s="17"/>
      <c r="AY18" s="17"/>
      <c r="AZ18" s="17"/>
      <c r="BA18" s="17"/>
      <c r="BB18" s="17"/>
      <c r="BC18" s="17"/>
      <c r="BD18" s="17"/>
      <c r="BE18" s="17"/>
      <c r="BF18" s="17"/>
      <c r="BG18" s="17"/>
      <c r="BH18" s="17"/>
      <c r="BI18" s="17"/>
      <c r="BJ18" s="17"/>
      <c r="BK18" s="17"/>
      <c r="BL18" s="17"/>
      <c r="BM18" s="17"/>
      <c r="BN18" s="17"/>
      <c r="BO18" s="17"/>
      <c r="BP18" s="17"/>
      <c r="BQ18" s="17"/>
      <c r="BR18" s="17"/>
      <c r="BS18" s="17"/>
      <c r="BT18" s="17"/>
      <c r="BU18" s="17"/>
      <c r="BV18" s="17"/>
      <c r="BW18" s="17"/>
      <c r="BX18" s="17"/>
      <c r="BY18" s="17"/>
      <c r="BZ18" s="17"/>
      <c r="CA18" s="17"/>
      <c r="CB18" s="17"/>
      <c r="CC18" s="17"/>
      <c r="CD18" s="17"/>
      <c r="CE18" s="17"/>
      <c r="CF18" s="17"/>
      <c r="CG18" s="17"/>
      <c r="CH18" s="17"/>
      <c r="CI18" s="17"/>
      <c r="CJ18" s="17"/>
      <c r="CK18" s="17"/>
      <c r="CL18" s="17"/>
      <c r="CM18" s="17"/>
      <c r="CN18" s="17"/>
      <c r="CO18" s="17"/>
      <c r="CP18" s="17"/>
      <c r="CQ18" s="17"/>
      <c r="CR18" s="17"/>
      <c r="CS18" s="17"/>
      <c r="CT18" s="17"/>
      <c r="CU18" s="17"/>
      <c r="CV18" s="17"/>
      <c r="CW18" s="17"/>
      <c r="CX18" s="17"/>
      <c r="CY18" s="17"/>
      <c r="CZ18" s="17"/>
      <c r="DA18" s="17"/>
      <c r="DB18" s="17"/>
      <c r="DC18" s="17"/>
      <c r="DD18" s="17"/>
      <c r="DE18" s="17"/>
      <c r="DF18" s="17"/>
      <c r="DG18" s="17"/>
      <c r="DH18" s="17"/>
      <c r="DI18" s="17"/>
      <c r="DJ18" s="17"/>
      <c r="DK18" s="17"/>
      <c r="DL18" s="17"/>
      <c r="DM18" s="17"/>
      <c r="DN18" s="17"/>
      <c r="DO18" s="17"/>
      <c r="DP18" s="17"/>
      <c r="DQ18" s="17"/>
      <c r="DR18" s="17"/>
      <c r="DS18" s="17"/>
      <c r="DT18" s="17"/>
      <c r="DU18" s="17"/>
      <c r="DV18" s="17"/>
      <c r="DW18" s="17"/>
      <c r="DX18" s="17"/>
      <c r="DY18" s="17"/>
      <c r="DZ18" s="17"/>
      <c r="EA18" s="17"/>
      <c r="EB18" s="17"/>
      <c r="EC18" s="17"/>
      <c r="ED18" s="17"/>
      <c r="EE18" s="17"/>
      <c r="EF18" s="17"/>
      <c r="EG18" s="17"/>
      <c r="EH18" s="17"/>
      <c r="EI18" s="17"/>
      <c r="EJ18" s="17"/>
      <c r="EK18" s="17"/>
      <c r="EL18" s="17"/>
      <c r="EM18" s="17"/>
      <c r="EN18" s="17"/>
      <c r="EO18" s="17"/>
      <c r="EP18" s="17"/>
      <c r="EQ18" s="17"/>
      <c r="ER18" s="17"/>
      <c r="ES18" s="17"/>
      <c r="ET18" s="17"/>
      <c r="EU18" s="17"/>
      <c r="EV18" s="17"/>
      <c r="EW18" s="17"/>
      <c r="EX18" s="17"/>
      <c r="EY18" s="17"/>
      <c r="EZ18" s="17"/>
      <c r="FA18" s="17"/>
      <c r="FB18" s="17"/>
      <c r="FC18" s="17"/>
      <c r="FD18" s="17"/>
      <c r="FE18" s="17"/>
      <c r="FF18" s="17"/>
      <c r="FG18" s="17"/>
      <c r="FH18" s="17"/>
      <c r="FI18" s="17"/>
      <c r="FJ18" s="17"/>
      <c r="FK18" s="17"/>
      <c r="FL18" s="17"/>
      <c r="FM18" s="17"/>
      <c r="FN18" s="17"/>
      <c r="FO18" s="17"/>
      <c r="FP18" s="17"/>
      <c r="FQ18" s="17"/>
      <c r="FR18" s="17"/>
      <c r="FS18" s="17"/>
      <c r="FT18" s="17"/>
      <c r="FU18" s="17"/>
      <c r="FV18" s="17"/>
      <c r="FW18" s="17"/>
      <c r="FX18" s="17"/>
      <c r="FY18" s="17"/>
      <c r="FZ18" s="17"/>
      <c r="GA18" s="17"/>
      <c r="GB18" s="17"/>
      <c r="GC18" s="17"/>
      <c r="GD18" s="17"/>
      <c r="GE18" s="17"/>
      <c r="GF18" s="17"/>
      <c r="GG18" s="17"/>
      <c r="GH18" s="17"/>
      <c r="GI18" s="17"/>
      <c r="GJ18" s="17"/>
      <c r="GK18" s="17"/>
      <c r="GL18" s="17"/>
      <c r="GM18" s="17"/>
      <c r="GN18" s="17"/>
      <c r="GO18" s="17"/>
      <c r="GP18" s="17"/>
      <c r="GQ18" s="17"/>
      <c r="GR18" s="17"/>
      <c r="GS18" s="17"/>
      <c r="GT18" s="17"/>
      <c r="GU18" s="17"/>
      <c r="GV18" s="17"/>
      <c r="GW18" s="17"/>
      <c r="GX18" s="17"/>
      <c r="GY18" s="17"/>
      <c r="GZ18" s="17"/>
      <c r="HA18" s="17"/>
      <c r="HB18" s="17"/>
      <c r="HC18" s="17"/>
      <c r="HD18" s="17"/>
      <c r="HE18" s="17"/>
      <c r="HF18" s="17"/>
      <c r="HG18" s="17"/>
      <c r="HH18" s="17"/>
      <c r="HI18" s="17"/>
      <c r="HJ18" s="17"/>
      <c r="HK18" s="17"/>
      <c r="HL18" s="17"/>
      <c r="HM18" s="17"/>
      <c r="HN18" s="17"/>
      <c r="HO18" s="17"/>
      <c r="HP18" s="17"/>
      <c r="HQ18" s="17"/>
      <c r="HR18" s="17"/>
      <c r="HS18" s="17"/>
      <c r="HT18" s="17"/>
      <c r="HU18" s="17"/>
      <c r="HV18" s="17"/>
      <c r="HW18" s="17"/>
      <c r="HX18" s="17"/>
      <c r="HY18" s="17"/>
      <c r="HZ18" s="17"/>
      <c r="IA18" s="17"/>
      <c r="IB18" s="17"/>
      <c r="IC18" s="17"/>
      <c r="ID18" s="17"/>
      <c r="IE18" s="17"/>
      <c r="IF18" s="17"/>
      <c r="IG18" s="17"/>
      <c r="IH18" s="17"/>
      <c r="II18" s="17"/>
      <c r="IJ18" s="17"/>
      <c r="IK18" s="17"/>
      <c r="IL18" s="17"/>
      <c r="IM18" s="17"/>
      <c r="IN18" s="17"/>
      <c r="IO18" s="17"/>
      <c r="IP18" s="17"/>
      <c r="IQ18" s="17"/>
      <c r="IR18" s="17"/>
      <c r="IS18" s="17"/>
      <c r="IT18" s="17"/>
      <c r="IU18" s="17"/>
      <c r="IV18" s="17"/>
      <c r="IW18" s="17"/>
      <c r="IX18" s="17"/>
      <c r="IY18" s="17"/>
      <c r="IZ18" s="17"/>
      <c r="JA18" s="17"/>
      <c r="JB18" s="17"/>
      <c r="JC18" s="17"/>
      <c r="JD18" s="17"/>
      <c r="JE18" s="17"/>
      <c r="JF18" s="17"/>
      <c r="JG18" s="17"/>
      <c r="JH18" s="17"/>
      <c r="JI18" s="17"/>
      <c r="JJ18" s="17"/>
      <c r="JK18" s="17"/>
      <c r="JL18" s="17"/>
      <c r="JM18" s="17"/>
      <c r="JN18" s="17"/>
      <c r="JO18" s="17"/>
      <c r="JP18" s="17"/>
      <c r="JQ18" s="17"/>
      <c r="JR18" s="17"/>
      <c r="JS18" s="17"/>
      <c r="JT18" s="17"/>
      <c r="JU18" s="17"/>
      <c r="JV18" s="17"/>
      <c r="JW18" s="17"/>
      <c r="JX18" s="17"/>
      <c r="JY18" s="17"/>
      <c r="JZ18" s="17"/>
      <c r="KA18" s="17"/>
      <c r="KB18" s="17"/>
      <c r="KC18" s="17"/>
      <c r="KD18" s="17"/>
      <c r="KE18" s="17"/>
      <c r="KF18" s="17"/>
      <c r="KG18" s="17"/>
      <c r="KH18" s="17"/>
      <c r="KI18" s="17"/>
      <c r="KJ18" s="17"/>
      <c r="KK18" s="17"/>
      <c r="KL18" s="17"/>
      <c r="KM18" s="17"/>
      <c r="KN18" s="17"/>
      <c r="KO18" s="17"/>
      <c r="KP18" s="17"/>
      <c r="KQ18" s="17"/>
      <c r="KR18" s="17"/>
      <c r="KS18" s="17"/>
      <c r="KT18" s="17"/>
      <c r="KU18" s="17"/>
      <c r="KV18" s="17"/>
      <c r="KW18" s="17"/>
      <c r="KX18" s="17"/>
      <c r="KY18" s="17"/>
    </row>
    <row r="19" spans="1:311" ht="15.75" customHeight="1" x14ac:dyDescent="0.25">
      <c r="A19" s="2208" t="s">
        <v>705</v>
      </c>
      <c r="B19" s="2186"/>
      <c r="C19" s="2186"/>
      <c r="D19" s="2186"/>
      <c r="E19" s="2186"/>
      <c r="F19" s="2186"/>
      <c r="G19" s="2186"/>
      <c r="H19" s="2186"/>
      <c r="I19" s="2186"/>
      <c r="J19" s="2186"/>
      <c r="K19" s="2186"/>
      <c r="L19" s="2186"/>
      <c r="M19" s="2186"/>
      <c r="N19" s="2209"/>
      <c r="O19" s="17"/>
      <c r="P19" s="17"/>
      <c r="Q19" s="17"/>
      <c r="R19" s="17"/>
      <c r="S19" s="17"/>
      <c r="T19" s="17"/>
      <c r="U19" s="17"/>
      <c r="V19" s="17"/>
      <c r="W19" s="17"/>
      <c r="X19" s="17"/>
      <c r="Y19" s="17"/>
      <c r="Z19" s="17"/>
      <c r="AA19" s="17"/>
      <c r="AB19" s="17"/>
      <c r="AC19" s="17"/>
      <c r="AD19" s="17"/>
      <c r="AE19" s="17"/>
      <c r="AF19" s="17"/>
      <c r="AG19" s="17"/>
      <c r="AH19" s="17"/>
      <c r="AI19" s="17"/>
      <c r="AJ19" s="17"/>
      <c r="AK19" s="17"/>
      <c r="AL19" s="17"/>
      <c r="AM19" s="17"/>
      <c r="AN19" s="17"/>
      <c r="AO19" s="17"/>
      <c r="AP19" s="17"/>
      <c r="AQ19" s="17"/>
      <c r="AR19" s="17"/>
      <c r="AS19" s="17"/>
      <c r="AT19" s="17"/>
      <c r="AU19" s="17"/>
      <c r="AV19" s="17"/>
      <c r="AW19" s="17"/>
      <c r="AX19" s="17"/>
      <c r="AY19" s="17"/>
      <c r="AZ19" s="17"/>
      <c r="BA19" s="17"/>
      <c r="BB19" s="17"/>
      <c r="BC19" s="17"/>
      <c r="BD19" s="17"/>
      <c r="BE19" s="17"/>
      <c r="BF19" s="17"/>
      <c r="BG19" s="17"/>
      <c r="BH19" s="17"/>
      <c r="BI19" s="17"/>
      <c r="BJ19" s="17"/>
      <c r="BK19" s="17"/>
      <c r="BL19" s="17"/>
      <c r="BM19" s="17"/>
      <c r="BN19" s="17"/>
      <c r="BO19" s="17"/>
      <c r="BP19" s="17"/>
      <c r="BQ19" s="17"/>
      <c r="BR19" s="17"/>
      <c r="BS19" s="17"/>
      <c r="BT19" s="17"/>
      <c r="BU19" s="17"/>
      <c r="BV19" s="17"/>
      <c r="BW19" s="17"/>
      <c r="BX19" s="17"/>
      <c r="BY19" s="17"/>
      <c r="BZ19" s="17"/>
      <c r="CA19" s="17"/>
      <c r="CB19" s="17"/>
      <c r="CC19" s="17"/>
      <c r="CD19" s="17"/>
      <c r="CE19" s="17"/>
      <c r="CF19" s="17"/>
      <c r="CG19" s="17"/>
      <c r="CH19" s="17"/>
      <c r="CI19" s="17"/>
      <c r="CJ19" s="17"/>
      <c r="CK19" s="17"/>
      <c r="CL19" s="17"/>
      <c r="CM19" s="17"/>
      <c r="CN19" s="17"/>
      <c r="CO19" s="17"/>
      <c r="CP19" s="17"/>
      <c r="CQ19" s="17"/>
      <c r="CR19" s="17"/>
      <c r="CS19" s="17"/>
      <c r="CT19" s="17"/>
      <c r="CU19" s="17"/>
      <c r="CV19" s="17"/>
      <c r="CW19" s="17"/>
      <c r="CX19" s="17"/>
      <c r="CY19" s="17"/>
      <c r="CZ19" s="17"/>
      <c r="DA19" s="17"/>
      <c r="DB19" s="17"/>
      <c r="DC19" s="17"/>
      <c r="DD19" s="17"/>
      <c r="DE19" s="17"/>
      <c r="DF19" s="17"/>
      <c r="DG19" s="17"/>
      <c r="DH19" s="17"/>
      <c r="DI19" s="17"/>
      <c r="DJ19" s="17"/>
      <c r="DK19" s="17"/>
      <c r="DL19" s="17"/>
      <c r="DM19" s="17"/>
      <c r="DN19" s="17"/>
      <c r="DO19" s="17"/>
      <c r="DP19" s="17"/>
      <c r="DQ19" s="17"/>
      <c r="DR19" s="17"/>
      <c r="DS19" s="17"/>
      <c r="DT19" s="17"/>
      <c r="DU19" s="17"/>
      <c r="DV19" s="17"/>
      <c r="DW19" s="17"/>
      <c r="DX19" s="17"/>
      <c r="DY19" s="17"/>
      <c r="DZ19" s="17"/>
      <c r="EA19" s="17"/>
      <c r="EB19" s="17"/>
      <c r="EC19" s="17"/>
      <c r="ED19" s="17"/>
      <c r="EE19" s="17"/>
      <c r="EF19" s="17"/>
      <c r="EG19" s="17"/>
      <c r="EH19" s="17"/>
      <c r="EI19" s="17"/>
      <c r="EJ19" s="17"/>
      <c r="EK19" s="17"/>
      <c r="EL19" s="17"/>
      <c r="EM19" s="17"/>
      <c r="EN19" s="17"/>
      <c r="EO19" s="17"/>
      <c r="EP19" s="17"/>
      <c r="EQ19" s="17"/>
      <c r="ER19" s="17"/>
      <c r="ES19" s="17"/>
      <c r="ET19" s="17"/>
      <c r="EU19" s="17"/>
      <c r="EV19" s="17"/>
      <c r="EW19" s="17"/>
      <c r="EX19" s="17"/>
      <c r="EY19" s="17"/>
      <c r="EZ19" s="17"/>
      <c r="FA19" s="17"/>
      <c r="FB19" s="17"/>
      <c r="FC19" s="17"/>
      <c r="FD19" s="17"/>
      <c r="FE19" s="17"/>
      <c r="FF19" s="17"/>
      <c r="FG19" s="17"/>
      <c r="FH19" s="17"/>
      <c r="FI19" s="17"/>
      <c r="FJ19" s="17"/>
      <c r="FK19" s="17"/>
      <c r="FL19" s="17"/>
      <c r="FM19" s="17"/>
      <c r="FN19" s="17"/>
      <c r="FO19" s="17"/>
      <c r="FP19" s="17"/>
      <c r="FQ19" s="17"/>
      <c r="FR19" s="17"/>
      <c r="FS19" s="17"/>
      <c r="FT19" s="17"/>
      <c r="FU19" s="17"/>
      <c r="FV19" s="17"/>
      <c r="FW19" s="17"/>
      <c r="FX19" s="17"/>
      <c r="FY19" s="17"/>
      <c r="FZ19" s="17"/>
      <c r="GA19" s="17"/>
      <c r="GB19" s="17"/>
      <c r="GC19" s="17"/>
      <c r="GD19" s="17"/>
      <c r="GE19" s="17"/>
      <c r="GF19" s="17"/>
      <c r="GG19" s="17"/>
      <c r="GH19" s="17"/>
      <c r="GI19" s="17"/>
      <c r="GJ19" s="17"/>
      <c r="GK19" s="17"/>
      <c r="GL19" s="17"/>
      <c r="GM19" s="17"/>
      <c r="GN19" s="17"/>
      <c r="GO19" s="17"/>
      <c r="GP19" s="17"/>
      <c r="GQ19" s="17"/>
      <c r="GR19" s="17"/>
      <c r="GS19" s="17"/>
      <c r="GT19" s="17"/>
      <c r="GU19" s="17"/>
      <c r="GV19" s="17"/>
      <c r="GW19" s="17"/>
      <c r="GX19" s="17"/>
      <c r="GY19" s="17"/>
      <c r="GZ19" s="17"/>
      <c r="HA19" s="17"/>
      <c r="HB19" s="17"/>
      <c r="HC19" s="17"/>
      <c r="HD19" s="17"/>
      <c r="HE19" s="17"/>
      <c r="HF19" s="17"/>
      <c r="HG19" s="17"/>
      <c r="HH19" s="17"/>
      <c r="HI19" s="17"/>
      <c r="HJ19" s="17"/>
      <c r="HK19" s="17"/>
      <c r="HL19" s="17"/>
      <c r="HM19" s="17"/>
      <c r="HN19" s="17"/>
      <c r="HO19" s="17"/>
      <c r="HP19" s="17"/>
      <c r="HQ19" s="17"/>
      <c r="HR19" s="17"/>
      <c r="HS19" s="17"/>
      <c r="HT19" s="17"/>
      <c r="HU19" s="17"/>
      <c r="HV19" s="17"/>
      <c r="HW19" s="17"/>
      <c r="HX19" s="17"/>
      <c r="HY19" s="17"/>
      <c r="HZ19" s="17"/>
      <c r="IA19" s="17"/>
      <c r="IB19" s="17"/>
      <c r="IC19" s="17"/>
      <c r="ID19" s="17"/>
      <c r="IE19" s="17"/>
      <c r="IF19" s="17"/>
      <c r="IG19" s="17"/>
      <c r="IH19" s="17"/>
      <c r="II19" s="17"/>
      <c r="IJ19" s="17"/>
      <c r="IK19" s="17"/>
      <c r="IL19" s="17"/>
      <c r="IM19" s="17"/>
      <c r="IN19" s="17"/>
      <c r="IO19" s="17"/>
      <c r="IP19" s="17"/>
      <c r="IQ19" s="17"/>
      <c r="IR19" s="17"/>
      <c r="IS19" s="17"/>
      <c r="IT19" s="17"/>
      <c r="IU19" s="17"/>
      <c r="IV19" s="17"/>
      <c r="IW19" s="17"/>
      <c r="IX19" s="17"/>
      <c r="IY19" s="17"/>
      <c r="IZ19" s="17"/>
      <c r="JA19" s="17"/>
      <c r="JB19" s="17"/>
      <c r="JC19" s="17"/>
      <c r="JD19" s="17"/>
      <c r="JE19" s="17"/>
      <c r="JF19" s="17"/>
      <c r="JG19" s="17"/>
      <c r="JH19" s="17"/>
      <c r="JI19" s="17"/>
      <c r="JJ19" s="17"/>
      <c r="JK19" s="17"/>
      <c r="JL19" s="17"/>
      <c r="JM19" s="17"/>
      <c r="JN19" s="17"/>
      <c r="JO19" s="17"/>
      <c r="JP19" s="17"/>
      <c r="JQ19" s="17"/>
      <c r="JR19" s="17"/>
      <c r="JS19" s="17"/>
      <c r="JT19" s="17"/>
      <c r="JU19" s="17"/>
      <c r="JV19" s="17"/>
      <c r="JW19" s="17"/>
      <c r="JX19" s="17"/>
      <c r="JY19" s="17"/>
      <c r="JZ19" s="17"/>
      <c r="KA19" s="17"/>
      <c r="KB19" s="17"/>
      <c r="KC19" s="17"/>
      <c r="KD19" s="17"/>
      <c r="KE19" s="17"/>
      <c r="KF19" s="17"/>
      <c r="KG19" s="17"/>
      <c r="KH19" s="17"/>
      <c r="KI19" s="17"/>
      <c r="KJ19" s="17"/>
      <c r="KK19" s="17"/>
      <c r="KL19" s="17"/>
      <c r="KM19" s="17"/>
      <c r="KN19" s="17"/>
      <c r="KO19" s="17"/>
      <c r="KP19" s="17"/>
      <c r="KQ19" s="17"/>
      <c r="KR19" s="17"/>
      <c r="KS19" s="17"/>
      <c r="KT19" s="17"/>
      <c r="KU19" s="17"/>
      <c r="KV19" s="17"/>
      <c r="KW19" s="17"/>
      <c r="KX19" s="17"/>
      <c r="KY19" s="17"/>
    </row>
    <row r="20" spans="1:311" ht="8.25" customHeight="1" x14ac:dyDescent="0.25">
      <c r="A20" s="2185"/>
      <c r="B20" s="2186"/>
      <c r="C20" s="2186"/>
      <c r="D20" s="2186"/>
      <c r="E20" s="2186"/>
      <c r="F20" s="2186"/>
      <c r="G20" s="2186"/>
      <c r="H20" s="2186"/>
      <c r="I20" s="2186"/>
      <c r="J20" s="2186"/>
      <c r="K20" s="2186"/>
      <c r="L20" s="2186"/>
      <c r="M20" s="2186"/>
      <c r="N20" s="2209"/>
      <c r="O20" s="17"/>
      <c r="P20" s="17"/>
      <c r="Q20" s="17"/>
      <c r="R20" s="17"/>
      <c r="S20" s="17"/>
      <c r="T20" s="17"/>
      <c r="U20" s="17"/>
      <c r="V20" s="17"/>
      <c r="W20" s="17"/>
      <c r="X20" s="17"/>
      <c r="Y20" s="17"/>
      <c r="Z20" s="17"/>
      <c r="AA20" s="17"/>
      <c r="AB20" s="17"/>
      <c r="AC20" s="17"/>
      <c r="AD20" s="17"/>
      <c r="AE20" s="17"/>
      <c r="AF20" s="17"/>
      <c r="AG20" s="17"/>
      <c r="AH20" s="17"/>
      <c r="AI20" s="17"/>
      <c r="AJ20" s="17"/>
      <c r="AK20" s="17"/>
      <c r="AL20" s="17"/>
      <c r="AM20" s="17"/>
      <c r="AN20" s="17"/>
      <c r="AO20" s="17"/>
      <c r="AP20" s="17"/>
      <c r="AQ20" s="17"/>
      <c r="AR20" s="17"/>
      <c r="AS20" s="17"/>
      <c r="AT20" s="17"/>
      <c r="AU20" s="17"/>
      <c r="AV20" s="17"/>
      <c r="AW20" s="17"/>
      <c r="AX20" s="17"/>
      <c r="AY20" s="17"/>
      <c r="AZ20" s="17"/>
      <c r="BA20" s="17"/>
      <c r="BB20" s="17"/>
      <c r="BC20" s="17"/>
      <c r="BD20" s="17"/>
      <c r="BE20" s="17"/>
      <c r="BF20" s="17"/>
      <c r="BG20" s="17"/>
      <c r="BH20" s="17"/>
      <c r="BI20" s="17"/>
      <c r="BJ20" s="17"/>
      <c r="BK20" s="17"/>
      <c r="BL20" s="17"/>
      <c r="BM20" s="17"/>
      <c r="BN20" s="17"/>
      <c r="BO20" s="17"/>
      <c r="BP20" s="17"/>
      <c r="BQ20" s="17"/>
      <c r="BR20" s="17"/>
      <c r="BS20" s="17"/>
      <c r="BT20" s="17"/>
      <c r="BU20" s="17"/>
      <c r="BV20" s="17"/>
      <c r="BW20" s="17"/>
      <c r="BX20" s="17"/>
      <c r="BY20" s="17"/>
      <c r="BZ20" s="17"/>
      <c r="CA20" s="17"/>
      <c r="CB20" s="17"/>
      <c r="CC20" s="17"/>
      <c r="CD20" s="17"/>
      <c r="CE20" s="17"/>
      <c r="CF20" s="17"/>
      <c r="CG20" s="17"/>
      <c r="CH20" s="17"/>
      <c r="CI20" s="17"/>
      <c r="CJ20" s="17"/>
      <c r="CK20" s="17"/>
      <c r="CL20" s="17"/>
      <c r="CM20" s="17"/>
      <c r="CN20" s="17"/>
      <c r="CO20" s="17"/>
      <c r="CP20" s="17"/>
      <c r="CQ20" s="17"/>
      <c r="CR20" s="17"/>
      <c r="CS20" s="17"/>
      <c r="CT20" s="17"/>
      <c r="CU20" s="17"/>
      <c r="CV20" s="17"/>
      <c r="CW20" s="17"/>
      <c r="CX20" s="17"/>
      <c r="CY20" s="17"/>
      <c r="CZ20" s="17"/>
      <c r="DA20" s="17"/>
      <c r="DB20" s="17"/>
      <c r="DC20" s="17"/>
      <c r="DD20" s="17"/>
      <c r="DE20" s="17"/>
      <c r="DF20" s="17"/>
      <c r="DG20" s="17"/>
      <c r="DH20" s="17"/>
      <c r="DI20" s="17"/>
      <c r="DJ20" s="17"/>
      <c r="DK20" s="17"/>
      <c r="DL20" s="17"/>
      <c r="DM20" s="17"/>
      <c r="DN20" s="17"/>
      <c r="DO20" s="17"/>
      <c r="DP20" s="17"/>
      <c r="DQ20" s="17"/>
      <c r="DR20" s="17"/>
      <c r="DS20" s="17"/>
      <c r="DT20" s="17"/>
      <c r="DU20" s="17"/>
      <c r="DV20" s="17"/>
      <c r="DW20" s="17"/>
      <c r="DX20" s="17"/>
      <c r="DY20" s="17"/>
      <c r="DZ20" s="17"/>
      <c r="EA20" s="17"/>
      <c r="EB20" s="17"/>
      <c r="EC20" s="17"/>
      <c r="ED20" s="17"/>
      <c r="EE20" s="17"/>
      <c r="EF20" s="17"/>
      <c r="EG20" s="17"/>
      <c r="EH20" s="17"/>
      <c r="EI20" s="17"/>
      <c r="EJ20" s="17"/>
      <c r="EK20" s="17"/>
      <c r="EL20" s="17"/>
      <c r="EM20" s="17"/>
      <c r="EN20" s="17"/>
      <c r="EO20" s="17"/>
      <c r="EP20" s="17"/>
      <c r="EQ20" s="17"/>
      <c r="ER20" s="17"/>
      <c r="ES20" s="17"/>
      <c r="ET20" s="17"/>
      <c r="EU20" s="17"/>
      <c r="EV20" s="17"/>
      <c r="EW20" s="17"/>
      <c r="EX20" s="17"/>
      <c r="EY20" s="17"/>
      <c r="EZ20" s="17"/>
      <c r="FA20" s="17"/>
      <c r="FB20" s="17"/>
      <c r="FC20" s="17"/>
      <c r="FD20" s="17"/>
      <c r="FE20" s="17"/>
      <c r="FF20" s="17"/>
      <c r="FG20" s="17"/>
      <c r="FH20" s="17"/>
      <c r="FI20" s="17"/>
      <c r="FJ20" s="17"/>
      <c r="FK20" s="17"/>
      <c r="FL20" s="17"/>
      <c r="FM20" s="17"/>
      <c r="FN20" s="17"/>
      <c r="FO20" s="17"/>
      <c r="FP20" s="17"/>
      <c r="FQ20" s="17"/>
      <c r="FR20" s="17"/>
      <c r="FS20" s="17"/>
      <c r="FT20" s="17"/>
      <c r="FU20" s="17"/>
      <c r="FV20" s="17"/>
      <c r="FW20" s="17"/>
      <c r="FX20" s="17"/>
      <c r="FY20" s="17"/>
      <c r="FZ20" s="17"/>
      <c r="GA20" s="17"/>
      <c r="GB20" s="17"/>
      <c r="GC20" s="17"/>
      <c r="GD20" s="17"/>
      <c r="GE20" s="17"/>
      <c r="GF20" s="17"/>
      <c r="GG20" s="17"/>
      <c r="GH20" s="17"/>
      <c r="GI20" s="17"/>
      <c r="GJ20" s="17"/>
      <c r="GK20" s="17"/>
      <c r="GL20" s="17"/>
      <c r="GM20" s="17"/>
      <c r="GN20" s="17"/>
      <c r="GO20" s="17"/>
      <c r="GP20" s="17"/>
      <c r="GQ20" s="17"/>
      <c r="GR20" s="17"/>
      <c r="GS20" s="17"/>
      <c r="GT20" s="17"/>
      <c r="GU20" s="17"/>
      <c r="GV20" s="17"/>
      <c r="GW20" s="17"/>
      <c r="GX20" s="17"/>
      <c r="GY20" s="17"/>
      <c r="GZ20" s="17"/>
      <c r="HA20" s="17"/>
      <c r="HB20" s="17"/>
      <c r="HC20" s="17"/>
      <c r="HD20" s="17"/>
      <c r="HE20" s="17"/>
      <c r="HF20" s="17"/>
      <c r="HG20" s="17"/>
      <c r="HH20" s="17"/>
      <c r="HI20" s="17"/>
      <c r="HJ20" s="17"/>
      <c r="HK20" s="17"/>
      <c r="HL20" s="17"/>
      <c r="HM20" s="17"/>
      <c r="HN20" s="17"/>
      <c r="HO20" s="17"/>
      <c r="HP20" s="17"/>
      <c r="HQ20" s="17"/>
      <c r="HR20" s="17"/>
      <c r="HS20" s="17"/>
      <c r="HT20" s="17"/>
      <c r="HU20" s="17"/>
      <c r="HV20" s="17"/>
      <c r="HW20" s="17"/>
      <c r="HX20" s="17"/>
      <c r="HY20" s="17"/>
      <c r="HZ20" s="17"/>
      <c r="IA20" s="17"/>
      <c r="IB20" s="17"/>
      <c r="IC20" s="17"/>
      <c r="ID20" s="17"/>
      <c r="IE20" s="17"/>
      <c r="IF20" s="17"/>
      <c r="IG20" s="17"/>
      <c r="IH20" s="17"/>
      <c r="II20" s="17"/>
      <c r="IJ20" s="17"/>
      <c r="IK20" s="17"/>
      <c r="IL20" s="17"/>
      <c r="IM20" s="17"/>
      <c r="IN20" s="17"/>
      <c r="IO20" s="17"/>
      <c r="IP20" s="17"/>
      <c r="IQ20" s="17"/>
      <c r="IR20" s="17"/>
      <c r="IS20" s="17"/>
      <c r="IT20" s="17"/>
      <c r="IU20" s="17"/>
      <c r="IV20" s="17"/>
      <c r="IW20" s="17"/>
      <c r="IX20" s="17"/>
      <c r="IY20" s="17"/>
      <c r="IZ20" s="17"/>
      <c r="JA20" s="17"/>
      <c r="JB20" s="17"/>
      <c r="JC20" s="17"/>
      <c r="JD20" s="17"/>
      <c r="JE20" s="17"/>
      <c r="JF20" s="17"/>
      <c r="JG20" s="17"/>
      <c r="JH20" s="17"/>
      <c r="JI20" s="17"/>
      <c r="JJ20" s="17"/>
      <c r="JK20" s="17"/>
      <c r="JL20" s="17"/>
      <c r="JM20" s="17"/>
      <c r="JN20" s="17"/>
      <c r="JO20" s="17"/>
      <c r="JP20" s="17"/>
      <c r="JQ20" s="17"/>
      <c r="JR20" s="17"/>
      <c r="JS20" s="17"/>
      <c r="JT20" s="17"/>
      <c r="JU20" s="17"/>
      <c r="JV20" s="17"/>
      <c r="JW20" s="17"/>
      <c r="JX20" s="17"/>
      <c r="JY20" s="17"/>
      <c r="JZ20" s="17"/>
      <c r="KA20" s="17"/>
      <c r="KB20" s="17"/>
      <c r="KC20" s="17"/>
      <c r="KD20" s="17"/>
      <c r="KE20" s="17"/>
      <c r="KF20" s="17"/>
      <c r="KG20" s="17"/>
      <c r="KH20" s="17"/>
      <c r="KI20" s="17"/>
      <c r="KJ20" s="17"/>
      <c r="KK20" s="17"/>
      <c r="KL20" s="17"/>
      <c r="KM20" s="17"/>
      <c r="KN20" s="17"/>
      <c r="KO20" s="17"/>
      <c r="KP20" s="17"/>
      <c r="KQ20" s="17"/>
      <c r="KR20" s="17"/>
      <c r="KS20" s="17"/>
      <c r="KT20" s="17"/>
      <c r="KU20" s="17"/>
      <c r="KV20" s="17"/>
      <c r="KW20" s="17"/>
      <c r="KX20" s="17"/>
      <c r="KY20" s="17"/>
    </row>
    <row r="21" spans="1:311" ht="24.75" customHeight="1" thickBot="1" x14ac:dyDescent="0.3">
      <c r="A21" s="2210"/>
      <c r="B21" s="2211"/>
      <c r="C21" s="2211"/>
      <c r="D21" s="2211"/>
      <c r="E21" s="2211"/>
      <c r="F21" s="2211"/>
      <c r="G21" s="2211"/>
      <c r="H21" s="2211"/>
      <c r="I21" s="2211"/>
      <c r="J21" s="2211"/>
      <c r="K21" s="2211"/>
      <c r="L21" s="2211"/>
      <c r="M21" s="2211"/>
      <c r="N21" s="2212"/>
      <c r="O21" s="17"/>
      <c r="P21" s="17"/>
      <c r="Q21" s="17"/>
      <c r="R21" s="17"/>
      <c r="S21" s="17"/>
      <c r="T21" s="17"/>
      <c r="U21" s="17"/>
      <c r="V21" s="17"/>
      <c r="W21" s="17"/>
      <c r="X21" s="17"/>
      <c r="Y21" s="17"/>
      <c r="Z21" s="17"/>
      <c r="AA21" s="17"/>
      <c r="AB21" s="17"/>
      <c r="AC21" s="17"/>
      <c r="AD21" s="17"/>
      <c r="AE21" s="17"/>
      <c r="AF21" s="17"/>
      <c r="AG21" s="17"/>
      <c r="AH21" s="17"/>
      <c r="AI21" s="17"/>
      <c r="AJ21" s="17"/>
      <c r="AK21" s="17"/>
      <c r="AL21" s="17"/>
      <c r="AM21" s="17"/>
      <c r="AN21" s="17"/>
      <c r="AO21" s="17"/>
      <c r="AP21" s="17"/>
      <c r="AQ21" s="17"/>
      <c r="AR21" s="17"/>
      <c r="AS21" s="17"/>
      <c r="AT21" s="17"/>
      <c r="AU21" s="17"/>
      <c r="AV21" s="17"/>
      <c r="AW21" s="17"/>
      <c r="AX21" s="17"/>
      <c r="AY21" s="17"/>
      <c r="AZ21" s="17"/>
      <c r="BA21" s="17"/>
      <c r="BB21" s="17"/>
      <c r="BC21" s="17"/>
      <c r="BD21" s="17"/>
      <c r="BE21" s="17"/>
      <c r="BF21" s="17"/>
      <c r="BG21" s="17"/>
      <c r="BH21" s="17"/>
      <c r="BI21" s="17"/>
      <c r="BJ21" s="17"/>
      <c r="BK21" s="17"/>
      <c r="BL21" s="17"/>
      <c r="BM21" s="17"/>
      <c r="BN21" s="17"/>
      <c r="BO21" s="17"/>
      <c r="BP21" s="17"/>
      <c r="BQ21" s="17"/>
      <c r="BR21" s="17"/>
      <c r="BS21" s="17"/>
      <c r="BT21" s="17"/>
      <c r="BU21" s="17"/>
      <c r="BV21" s="17"/>
      <c r="BW21" s="17"/>
      <c r="BX21" s="17"/>
      <c r="BY21" s="17"/>
      <c r="BZ21" s="17"/>
      <c r="CA21" s="17"/>
      <c r="CB21" s="17"/>
      <c r="CC21" s="17"/>
      <c r="CD21" s="17"/>
      <c r="CE21" s="17"/>
      <c r="CF21" s="17"/>
      <c r="CG21" s="17"/>
      <c r="CH21" s="17"/>
      <c r="CI21" s="17"/>
      <c r="CJ21" s="17"/>
      <c r="CK21" s="17"/>
      <c r="CL21" s="17"/>
      <c r="CM21" s="17"/>
      <c r="CN21" s="17"/>
      <c r="CO21" s="17"/>
      <c r="CP21" s="17"/>
      <c r="CQ21" s="17"/>
      <c r="CR21" s="17"/>
      <c r="CS21" s="17"/>
      <c r="CT21" s="17"/>
      <c r="CU21" s="17"/>
      <c r="CV21" s="17"/>
      <c r="CW21" s="17"/>
      <c r="CX21" s="17"/>
      <c r="CY21" s="17"/>
      <c r="CZ21" s="17"/>
      <c r="DA21" s="17"/>
      <c r="DB21" s="17"/>
      <c r="DC21" s="17"/>
      <c r="DD21" s="17"/>
      <c r="DE21" s="17"/>
      <c r="DF21" s="17"/>
      <c r="DG21" s="17"/>
      <c r="DH21" s="17"/>
      <c r="DI21" s="17"/>
      <c r="DJ21" s="17"/>
      <c r="DK21" s="17"/>
      <c r="DL21" s="17"/>
      <c r="DM21" s="17"/>
      <c r="DN21" s="17"/>
      <c r="DO21" s="17"/>
      <c r="DP21" s="17"/>
      <c r="DQ21" s="17"/>
      <c r="DR21" s="17"/>
      <c r="DS21" s="17"/>
      <c r="DT21" s="17"/>
      <c r="DU21" s="17"/>
      <c r="DV21" s="17"/>
      <c r="DW21" s="17"/>
      <c r="DX21" s="17"/>
      <c r="DY21" s="17"/>
      <c r="DZ21" s="17"/>
      <c r="EA21" s="17"/>
      <c r="EB21" s="17"/>
      <c r="EC21" s="17"/>
      <c r="ED21" s="17"/>
      <c r="EE21" s="17"/>
      <c r="EF21" s="17"/>
      <c r="EG21" s="17"/>
      <c r="EH21" s="17"/>
      <c r="EI21" s="17"/>
      <c r="EJ21" s="17"/>
      <c r="EK21" s="17"/>
      <c r="EL21" s="17"/>
      <c r="EM21" s="17"/>
      <c r="EN21" s="17"/>
      <c r="EO21" s="17"/>
      <c r="EP21" s="17"/>
      <c r="EQ21" s="17"/>
      <c r="ER21" s="17"/>
      <c r="ES21" s="17"/>
      <c r="ET21" s="17"/>
      <c r="EU21" s="17"/>
      <c r="EV21" s="17"/>
      <c r="EW21" s="17"/>
      <c r="EX21" s="17"/>
      <c r="EY21" s="17"/>
      <c r="EZ21" s="17"/>
      <c r="FA21" s="17"/>
      <c r="FB21" s="17"/>
      <c r="FC21" s="17"/>
      <c r="FD21" s="17"/>
      <c r="FE21" s="17"/>
      <c r="FF21" s="17"/>
      <c r="FG21" s="17"/>
      <c r="FH21" s="17"/>
      <c r="FI21" s="17"/>
      <c r="FJ21" s="17"/>
      <c r="FK21" s="17"/>
      <c r="FL21" s="17"/>
      <c r="FM21" s="17"/>
      <c r="FN21" s="17"/>
      <c r="FO21" s="17"/>
      <c r="FP21" s="17"/>
      <c r="FQ21" s="17"/>
      <c r="FR21" s="17"/>
      <c r="FS21" s="17"/>
      <c r="FT21" s="17"/>
      <c r="FU21" s="17"/>
      <c r="FV21" s="17"/>
      <c r="FW21" s="17"/>
      <c r="FX21" s="17"/>
      <c r="FY21" s="17"/>
      <c r="FZ21" s="17"/>
      <c r="GA21" s="17"/>
      <c r="GB21" s="17"/>
      <c r="GC21" s="17"/>
      <c r="GD21" s="17"/>
      <c r="GE21" s="17"/>
      <c r="GF21" s="17"/>
      <c r="GG21" s="17"/>
      <c r="GH21" s="17"/>
      <c r="GI21" s="17"/>
      <c r="GJ21" s="17"/>
      <c r="GK21" s="17"/>
      <c r="GL21" s="17"/>
      <c r="GM21" s="17"/>
      <c r="GN21" s="17"/>
      <c r="GO21" s="17"/>
      <c r="GP21" s="17"/>
      <c r="GQ21" s="17"/>
      <c r="GR21" s="17"/>
      <c r="GS21" s="17"/>
      <c r="GT21" s="17"/>
      <c r="GU21" s="17"/>
      <c r="GV21" s="17"/>
      <c r="GW21" s="17"/>
      <c r="GX21" s="17"/>
      <c r="GY21" s="17"/>
      <c r="GZ21" s="17"/>
      <c r="HA21" s="17"/>
      <c r="HB21" s="17"/>
      <c r="HC21" s="17"/>
      <c r="HD21" s="17"/>
      <c r="HE21" s="17"/>
      <c r="HF21" s="17"/>
      <c r="HG21" s="17"/>
      <c r="HH21" s="17"/>
      <c r="HI21" s="17"/>
      <c r="HJ21" s="17"/>
      <c r="HK21" s="17"/>
      <c r="HL21" s="17"/>
      <c r="HM21" s="17"/>
      <c r="HN21" s="17"/>
      <c r="HO21" s="17"/>
      <c r="HP21" s="17"/>
      <c r="HQ21" s="17"/>
      <c r="HR21" s="17"/>
      <c r="HS21" s="17"/>
      <c r="HT21" s="17"/>
      <c r="HU21" s="17"/>
      <c r="HV21" s="17"/>
      <c r="HW21" s="17"/>
      <c r="HX21" s="17"/>
      <c r="HY21" s="17"/>
      <c r="HZ21" s="17"/>
      <c r="IA21" s="17"/>
      <c r="IB21" s="17"/>
      <c r="IC21" s="17"/>
      <c r="ID21" s="17"/>
      <c r="IE21" s="17"/>
      <c r="IF21" s="17"/>
      <c r="IG21" s="17"/>
      <c r="IH21" s="17"/>
      <c r="II21" s="17"/>
      <c r="IJ21" s="17"/>
      <c r="IK21" s="17"/>
      <c r="IL21" s="17"/>
      <c r="IM21" s="17"/>
      <c r="IN21" s="17"/>
      <c r="IO21" s="17"/>
      <c r="IP21" s="17"/>
      <c r="IQ21" s="17"/>
      <c r="IR21" s="17"/>
      <c r="IS21" s="17"/>
      <c r="IT21" s="17"/>
      <c r="IU21" s="17"/>
      <c r="IV21" s="17"/>
      <c r="IW21" s="17"/>
      <c r="IX21" s="17"/>
      <c r="IY21" s="17"/>
      <c r="IZ21" s="17"/>
      <c r="JA21" s="17"/>
      <c r="JB21" s="17"/>
      <c r="JC21" s="17"/>
      <c r="JD21" s="17"/>
      <c r="JE21" s="17"/>
      <c r="JF21" s="17"/>
      <c r="JG21" s="17"/>
      <c r="JH21" s="17"/>
      <c r="JI21" s="17"/>
      <c r="JJ21" s="17"/>
      <c r="JK21" s="17"/>
      <c r="JL21" s="17"/>
      <c r="JM21" s="17"/>
      <c r="JN21" s="17"/>
      <c r="JO21" s="17"/>
      <c r="JP21" s="17"/>
      <c r="JQ21" s="17"/>
      <c r="JR21" s="17"/>
      <c r="JS21" s="17"/>
      <c r="JT21" s="17"/>
      <c r="JU21" s="17"/>
      <c r="JV21" s="17"/>
      <c r="JW21" s="17"/>
      <c r="JX21" s="17"/>
      <c r="JY21" s="17"/>
      <c r="JZ21" s="17"/>
      <c r="KA21" s="17"/>
      <c r="KB21" s="17"/>
      <c r="KC21" s="17"/>
      <c r="KD21" s="17"/>
      <c r="KE21" s="17"/>
      <c r="KF21" s="17"/>
      <c r="KG21" s="17"/>
      <c r="KH21" s="17"/>
      <c r="KI21" s="17"/>
      <c r="KJ21" s="17"/>
      <c r="KK21" s="17"/>
      <c r="KL21" s="17"/>
      <c r="KM21" s="17"/>
      <c r="KN21" s="17"/>
      <c r="KO21" s="17"/>
      <c r="KP21" s="17"/>
      <c r="KQ21" s="17"/>
      <c r="KR21" s="17"/>
      <c r="KS21" s="17"/>
      <c r="KT21" s="17"/>
      <c r="KU21" s="17"/>
      <c r="KV21" s="17"/>
      <c r="KW21" s="17"/>
      <c r="KX21" s="17"/>
      <c r="KY21" s="17"/>
    </row>
    <row r="22" spans="1:311" x14ac:dyDescent="0.25">
      <c r="A22" s="17"/>
      <c r="B22" s="17"/>
      <c r="C22" s="17"/>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c r="AK22" s="17"/>
      <c r="AL22" s="17"/>
      <c r="AM22" s="17"/>
      <c r="AN22" s="17"/>
      <c r="AO22" s="17"/>
      <c r="AP22" s="17"/>
      <c r="AQ22" s="17"/>
      <c r="AR22" s="17"/>
      <c r="AS22" s="17"/>
      <c r="AT22" s="17"/>
      <c r="AU22" s="17"/>
      <c r="AV22" s="17"/>
      <c r="AW22" s="17"/>
      <c r="AX22" s="17"/>
      <c r="AY22" s="17"/>
      <c r="AZ22" s="17"/>
      <c r="BA22" s="17"/>
      <c r="BB22" s="17"/>
      <c r="BC22" s="17"/>
      <c r="BD22" s="17"/>
      <c r="BE22" s="17"/>
      <c r="BF22" s="17"/>
      <c r="BG22" s="17"/>
      <c r="BH22" s="17"/>
      <c r="BI22" s="17"/>
      <c r="BJ22" s="17"/>
      <c r="BK22" s="17"/>
      <c r="BL22" s="17"/>
      <c r="BM22" s="17"/>
      <c r="BN22" s="17"/>
      <c r="BO22" s="17"/>
      <c r="BP22" s="17"/>
      <c r="BQ22" s="17"/>
      <c r="BR22" s="17"/>
      <c r="BS22" s="17"/>
      <c r="BT22" s="17"/>
      <c r="BU22" s="17"/>
      <c r="BV22" s="17"/>
      <c r="BW22" s="17"/>
      <c r="BX22" s="17"/>
      <c r="BY22" s="17"/>
      <c r="BZ22" s="17"/>
      <c r="CA22" s="17"/>
      <c r="CB22" s="17"/>
      <c r="CC22" s="17"/>
      <c r="CD22" s="17"/>
      <c r="CE22" s="17"/>
      <c r="CF22" s="17"/>
      <c r="CG22" s="17"/>
      <c r="CH22" s="17"/>
      <c r="CI22" s="17"/>
      <c r="CJ22" s="17"/>
      <c r="CK22" s="17"/>
      <c r="CL22" s="17"/>
      <c r="CM22" s="17"/>
      <c r="CN22" s="17"/>
      <c r="CO22" s="17"/>
      <c r="CP22" s="17"/>
      <c r="CQ22" s="17"/>
      <c r="CR22" s="17"/>
      <c r="CS22" s="17"/>
      <c r="CT22" s="17"/>
      <c r="CU22" s="17"/>
      <c r="CV22" s="17"/>
      <c r="CW22" s="17"/>
      <c r="CX22" s="17"/>
      <c r="CY22" s="17"/>
      <c r="CZ22" s="17"/>
      <c r="DA22" s="17"/>
      <c r="DB22" s="17"/>
      <c r="DC22" s="17"/>
      <c r="DD22" s="17"/>
      <c r="DE22" s="17"/>
      <c r="DF22" s="17"/>
      <c r="DG22" s="17"/>
      <c r="DH22" s="17"/>
      <c r="DI22" s="17"/>
      <c r="DJ22" s="17"/>
      <c r="DK22" s="17"/>
      <c r="DL22" s="17"/>
      <c r="DM22" s="17"/>
      <c r="DN22" s="17"/>
      <c r="DO22" s="17"/>
      <c r="DP22" s="17"/>
      <c r="DQ22" s="17"/>
      <c r="DR22" s="17"/>
      <c r="DS22" s="17"/>
      <c r="DT22" s="17"/>
      <c r="DU22" s="17"/>
      <c r="DV22" s="17"/>
      <c r="DW22" s="17"/>
      <c r="DX22" s="17"/>
      <c r="DY22" s="17"/>
      <c r="DZ22" s="17"/>
      <c r="EA22" s="17"/>
      <c r="EB22" s="17"/>
      <c r="EC22" s="17"/>
      <c r="ED22" s="17"/>
      <c r="EE22" s="17"/>
      <c r="EF22" s="17"/>
      <c r="EG22" s="17"/>
      <c r="EH22" s="17"/>
      <c r="EI22" s="17"/>
      <c r="EJ22" s="17"/>
      <c r="EK22" s="17"/>
      <c r="EL22" s="17"/>
      <c r="EM22" s="17"/>
      <c r="EN22" s="17"/>
      <c r="EO22" s="17"/>
      <c r="EP22" s="17"/>
      <c r="EQ22" s="17"/>
      <c r="ER22" s="17"/>
      <c r="ES22" s="17"/>
      <c r="ET22" s="17"/>
      <c r="EU22" s="17"/>
      <c r="EV22" s="17"/>
      <c r="EW22" s="17"/>
      <c r="EX22" s="17"/>
      <c r="EY22" s="17"/>
      <c r="EZ22" s="17"/>
      <c r="FA22" s="17"/>
      <c r="FB22" s="17"/>
      <c r="FC22" s="17"/>
      <c r="FD22" s="17"/>
      <c r="FE22" s="17"/>
      <c r="FF22" s="17"/>
      <c r="FG22" s="17"/>
      <c r="FH22" s="17"/>
      <c r="FI22" s="17"/>
      <c r="FJ22" s="17"/>
      <c r="FK22" s="17"/>
      <c r="FL22" s="17"/>
      <c r="FM22" s="17"/>
      <c r="FN22" s="17"/>
      <c r="FO22" s="17"/>
      <c r="FP22" s="17"/>
      <c r="FQ22" s="17"/>
      <c r="FR22" s="17"/>
      <c r="FS22" s="17"/>
      <c r="FT22" s="17"/>
      <c r="FU22" s="17"/>
      <c r="FV22" s="17"/>
      <c r="FW22" s="17"/>
      <c r="FX22" s="17"/>
      <c r="FY22" s="17"/>
      <c r="FZ22" s="17"/>
      <c r="GA22" s="17"/>
      <c r="GB22" s="17"/>
      <c r="GC22" s="17"/>
      <c r="GD22" s="17"/>
      <c r="GE22" s="17"/>
      <c r="GF22" s="17"/>
      <c r="GG22" s="17"/>
      <c r="GH22" s="17"/>
      <c r="GI22" s="17"/>
      <c r="GJ22" s="17"/>
      <c r="GK22" s="17"/>
      <c r="GL22" s="17"/>
      <c r="GM22" s="17"/>
      <c r="GN22" s="17"/>
      <c r="GO22" s="17"/>
      <c r="GP22" s="17"/>
      <c r="GQ22" s="17"/>
      <c r="GR22" s="17"/>
      <c r="GS22" s="17"/>
      <c r="GT22" s="17"/>
      <c r="GU22" s="17"/>
      <c r="GV22" s="17"/>
      <c r="GW22" s="17"/>
      <c r="GX22" s="17"/>
      <c r="GY22" s="17"/>
      <c r="GZ22" s="17"/>
      <c r="HA22" s="17"/>
      <c r="HB22" s="17"/>
      <c r="HC22" s="17"/>
      <c r="HD22" s="17"/>
      <c r="HE22" s="17"/>
      <c r="HF22" s="17"/>
      <c r="HG22" s="17"/>
      <c r="HH22" s="17"/>
      <c r="HI22" s="17"/>
      <c r="HJ22" s="17"/>
      <c r="HK22" s="17"/>
      <c r="HL22" s="17"/>
      <c r="HM22" s="17"/>
      <c r="HN22" s="17"/>
      <c r="HO22" s="17"/>
      <c r="HP22" s="17"/>
      <c r="HQ22" s="17"/>
      <c r="HR22" s="17"/>
      <c r="HS22" s="17"/>
      <c r="HT22" s="17"/>
      <c r="HU22" s="17"/>
      <c r="HV22" s="17"/>
      <c r="HW22" s="17"/>
      <c r="HX22" s="17"/>
      <c r="HY22" s="17"/>
      <c r="HZ22" s="17"/>
      <c r="IA22" s="17"/>
      <c r="IB22" s="17"/>
      <c r="IC22" s="17"/>
      <c r="ID22" s="17"/>
      <c r="IE22" s="17"/>
      <c r="IF22" s="17"/>
      <c r="IG22" s="17"/>
      <c r="IH22" s="17"/>
      <c r="II22" s="17"/>
      <c r="IJ22" s="17"/>
      <c r="IK22" s="17"/>
      <c r="IL22" s="17"/>
      <c r="IM22" s="17"/>
      <c r="IN22" s="17"/>
      <c r="IO22" s="17"/>
      <c r="IP22" s="17"/>
      <c r="IQ22" s="17"/>
      <c r="IR22" s="17"/>
      <c r="IS22" s="17"/>
      <c r="IT22" s="17"/>
      <c r="IU22" s="17"/>
      <c r="IV22" s="17"/>
      <c r="IW22" s="17"/>
      <c r="IX22" s="17"/>
      <c r="IY22" s="17"/>
      <c r="IZ22" s="17"/>
      <c r="JA22" s="17"/>
      <c r="JB22" s="17"/>
      <c r="JC22" s="17"/>
      <c r="JD22" s="17"/>
      <c r="JE22" s="17"/>
      <c r="JF22" s="17"/>
      <c r="JG22" s="17"/>
      <c r="JH22" s="17"/>
      <c r="JI22" s="17"/>
      <c r="JJ22" s="17"/>
      <c r="JK22" s="17"/>
      <c r="JL22" s="17"/>
      <c r="JM22" s="17"/>
      <c r="JN22" s="17"/>
      <c r="JO22" s="17"/>
      <c r="JP22" s="17"/>
      <c r="JQ22" s="17"/>
      <c r="JR22" s="17"/>
      <c r="JS22" s="17"/>
      <c r="JT22" s="17"/>
      <c r="JU22" s="17"/>
      <c r="JV22" s="17"/>
      <c r="JW22" s="17"/>
      <c r="JX22" s="17"/>
      <c r="JY22" s="17"/>
      <c r="JZ22" s="17"/>
      <c r="KA22" s="17"/>
      <c r="KB22" s="17"/>
      <c r="KC22" s="17"/>
      <c r="KD22" s="17"/>
      <c r="KE22" s="17"/>
      <c r="KF22" s="17"/>
      <c r="KG22" s="17"/>
      <c r="KH22" s="17"/>
      <c r="KI22" s="17"/>
      <c r="KJ22" s="17"/>
      <c r="KK22" s="17"/>
      <c r="KL22" s="17"/>
      <c r="KM22" s="17"/>
      <c r="KN22" s="17"/>
      <c r="KO22" s="17"/>
      <c r="KP22" s="17"/>
      <c r="KQ22" s="17"/>
      <c r="KR22" s="17"/>
      <c r="KS22" s="17"/>
      <c r="KT22" s="17"/>
      <c r="KU22" s="17"/>
      <c r="KV22" s="17"/>
      <c r="KW22" s="17"/>
      <c r="KX22" s="17"/>
      <c r="KY22" s="17"/>
    </row>
    <row r="23" spans="1:311" x14ac:dyDescent="0.25">
      <c r="A23" s="17"/>
      <c r="B23" s="17"/>
      <c r="C23" s="17"/>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c r="AK23" s="17"/>
      <c r="AL23" s="17"/>
      <c r="AM23" s="17"/>
      <c r="AN23" s="17"/>
      <c r="AO23" s="17"/>
      <c r="AP23" s="17"/>
      <c r="AQ23" s="17"/>
      <c r="AR23" s="17"/>
      <c r="AS23" s="17"/>
      <c r="AT23" s="17"/>
      <c r="AU23" s="17"/>
      <c r="AV23" s="17"/>
      <c r="AW23" s="17"/>
      <c r="AX23" s="17"/>
      <c r="AY23" s="17"/>
      <c r="AZ23" s="17"/>
      <c r="BA23" s="17"/>
      <c r="BB23" s="17"/>
      <c r="BC23" s="17"/>
      <c r="BD23" s="17"/>
      <c r="BE23" s="17"/>
      <c r="BF23" s="17"/>
      <c r="BG23" s="17"/>
      <c r="BH23" s="17"/>
      <c r="BI23" s="17"/>
      <c r="BJ23" s="17"/>
      <c r="BK23" s="17"/>
      <c r="BL23" s="17"/>
      <c r="BM23" s="17"/>
      <c r="BN23" s="17"/>
      <c r="BO23" s="17"/>
      <c r="BP23" s="17"/>
      <c r="BQ23" s="17"/>
      <c r="BR23" s="17"/>
      <c r="BS23" s="17"/>
      <c r="BT23" s="17"/>
      <c r="BU23" s="17"/>
      <c r="BV23" s="17"/>
      <c r="BW23" s="17"/>
      <c r="BX23" s="17"/>
      <c r="BY23" s="17"/>
      <c r="BZ23" s="17"/>
      <c r="CA23" s="17"/>
      <c r="CB23" s="17"/>
      <c r="CC23" s="17"/>
      <c r="CD23" s="17"/>
      <c r="CE23" s="17"/>
      <c r="CF23" s="17"/>
      <c r="CG23" s="17"/>
      <c r="CH23" s="17"/>
      <c r="CI23" s="17"/>
      <c r="CJ23" s="17"/>
      <c r="CK23" s="17"/>
      <c r="CL23" s="17"/>
      <c r="CM23" s="17"/>
      <c r="CN23" s="17"/>
      <c r="CO23" s="17"/>
      <c r="CP23" s="17"/>
      <c r="CQ23" s="17"/>
      <c r="CR23" s="17"/>
      <c r="CS23" s="17"/>
      <c r="CT23" s="17"/>
      <c r="CU23" s="17"/>
      <c r="CV23" s="17"/>
      <c r="CW23" s="17"/>
      <c r="CX23" s="17"/>
      <c r="CY23" s="17"/>
      <c r="CZ23" s="17"/>
      <c r="DA23" s="17"/>
      <c r="DB23" s="17"/>
      <c r="DC23" s="17"/>
      <c r="DD23" s="17"/>
      <c r="DE23" s="17"/>
      <c r="DF23" s="17"/>
      <c r="DG23" s="17"/>
      <c r="DH23" s="17"/>
      <c r="DI23" s="17"/>
      <c r="DJ23" s="17"/>
      <c r="DK23" s="17"/>
      <c r="DL23" s="17"/>
      <c r="DM23" s="17"/>
      <c r="DN23" s="17"/>
      <c r="DO23" s="17"/>
      <c r="DP23" s="17"/>
      <c r="DQ23" s="17"/>
      <c r="DR23" s="17"/>
      <c r="DS23" s="17"/>
      <c r="DT23" s="17"/>
      <c r="DU23" s="17"/>
      <c r="DV23" s="17"/>
      <c r="DW23" s="17"/>
      <c r="DX23" s="17"/>
      <c r="DY23" s="17"/>
      <c r="DZ23" s="17"/>
      <c r="EA23" s="17"/>
      <c r="EB23" s="17"/>
      <c r="EC23" s="17"/>
      <c r="ED23" s="17"/>
      <c r="EE23" s="17"/>
      <c r="EF23" s="17"/>
      <c r="EG23" s="17"/>
      <c r="EH23" s="17"/>
      <c r="EI23" s="17"/>
      <c r="EJ23" s="17"/>
      <c r="EK23" s="17"/>
      <c r="EL23" s="17"/>
      <c r="EM23" s="17"/>
      <c r="EN23" s="17"/>
      <c r="EO23" s="17"/>
      <c r="EP23" s="17"/>
      <c r="EQ23" s="17"/>
      <c r="ER23" s="17"/>
      <c r="ES23" s="17"/>
      <c r="ET23" s="17"/>
      <c r="EU23" s="17"/>
      <c r="EV23" s="17"/>
      <c r="EW23" s="17"/>
      <c r="EX23" s="17"/>
      <c r="EY23" s="17"/>
      <c r="EZ23" s="17"/>
      <c r="FA23" s="17"/>
      <c r="FB23" s="17"/>
      <c r="FC23" s="17"/>
      <c r="FD23" s="17"/>
      <c r="FE23" s="17"/>
      <c r="FF23" s="17"/>
      <c r="FG23" s="17"/>
      <c r="FH23" s="17"/>
      <c r="FI23" s="17"/>
      <c r="FJ23" s="17"/>
      <c r="FK23" s="17"/>
      <c r="FL23" s="17"/>
      <c r="FM23" s="17"/>
      <c r="FN23" s="17"/>
      <c r="FO23" s="17"/>
      <c r="FP23" s="17"/>
      <c r="FQ23" s="17"/>
      <c r="FR23" s="17"/>
      <c r="FS23" s="17"/>
      <c r="FT23" s="17"/>
      <c r="FU23" s="17"/>
      <c r="FV23" s="17"/>
      <c r="FW23" s="17"/>
      <c r="FX23" s="17"/>
      <c r="FY23" s="17"/>
      <c r="FZ23" s="17"/>
      <c r="GA23" s="17"/>
      <c r="GB23" s="17"/>
      <c r="GC23" s="17"/>
      <c r="GD23" s="17"/>
      <c r="GE23" s="17"/>
      <c r="GF23" s="17"/>
      <c r="GG23" s="17"/>
      <c r="GH23" s="17"/>
      <c r="GI23" s="17"/>
      <c r="GJ23" s="17"/>
      <c r="GK23" s="17"/>
      <c r="GL23" s="17"/>
      <c r="GM23" s="17"/>
      <c r="GN23" s="17"/>
      <c r="GO23" s="17"/>
      <c r="GP23" s="17"/>
      <c r="GQ23" s="17"/>
      <c r="GR23" s="17"/>
      <c r="GS23" s="17"/>
      <c r="GT23" s="17"/>
      <c r="GU23" s="17"/>
      <c r="GV23" s="17"/>
      <c r="GW23" s="17"/>
      <c r="GX23" s="17"/>
      <c r="GY23" s="17"/>
      <c r="GZ23" s="17"/>
      <c r="HA23" s="17"/>
      <c r="HB23" s="17"/>
      <c r="HC23" s="17"/>
      <c r="HD23" s="17"/>
      <c r="HE23" s="17"/>
      <c r="HF23" s="17"/>
      <c r="HG23" s="17"/>
      <c r="HH23" s="17"/>
      <c r="HI23" s="17"/>
      <c r="HJ23" s="17"/>
      <c r="HK23" s="17"/>
      <c r="HL23" s="17"/>
      <c r="HM23" s="17"/>
      <c r="HN23" s="17"/>
      <c r="HO23" s="17"/>
      <c r="HP23" s="17"/>
      <c r="HQ23" s="17"/>
      <c r="HR23" s="17"/>
      <c r="HS23" s="17"/>
      <c r="HT23" s="17"/>
      <c r="HU23" s="17"/>
      <c r="HV23" s="17"/>
      <c r="HW23" s="17"/>
      <c r="HX23" s="17"/>
      <c r="HY23" s="17"/>
      <c r="HZ23" s="17"/>
      <c r="IA23" s="17"/>
      <c r="IB23" s="17"/>
      <c r="IC23" s="17"/>
      <c r="ID23" s="17"/>
      <c r="IE23" s="17"/>
      <c r="IF23" s="17"/>
      <c r="IG23" s="17"/>
      <c r="IH23" s="17"/>
      <c r="II23" s="17"/>
      <c r="IJ23" s="17"/>
      <c r="IK23" s="17"/>
      <c r="IL23" s="17"/>
      <c r="IM23" s="17"/>
      <c r="IN23" s="17"/>
      <c r="IO23" s="17"/>
      <c r="IP23" s="17"/>
      <c r="IQ23" s="17"/>
      <c r="IR23" s="17"/>
      <c r="IS23" s="17"/>
      <c r="IT23" s="17"/>
      <c r="IU23" s="17"/>
      <c r="IV23" s="17"/>
      <c r="IW23" s="17"/>
      <c r="IX23" s="17"/>
      <c r="IY23" s="17"/>
      <c r="IZ23" s="17"/>
      <c r="JA23" s="17"/>
      <c r="JB23" s="17"/>
      <c r="JC23" s="17"/>
      <c r="JD23" s="17"/>
      <c r="JE23" s="17"/>
      <c r="JF23" s="17"/>
      <c r="JG23" s="17"/>
      <c r="JH23" s="17"/>
      <c r="JI23" s="17"/>
      <c r="JJ23" s="17"/>
      <c r="JK23" s="17"/>
      <c r="JL23" s="17"/>
      <c r="JM23" s="17"/>
      <c r="JN23" s="17"/>
      <c r="JO23" s="17"/>
      <c r="JP23" s="17"/>
      <c r="JQ23" s="17"/>
      <c r="JR23" s="17"/>
      <c r="JS23" s="17"/>
      <c r="JT23" s="17"/>
      <c r="JU23" s="17"/>
      <c r="JV23" s="17"/>
      <c r="JW23" s="17"/>
      <c r="JX23" s="17"/>
      <c r="JY23" s="17"/>
      <c r="JZ23" s="17"/>
      <c r="KA23" s="17"/>
      <c r="KB23" s="17"/>
      <c r="KC23" s="17"/>
      <c r="KD23" s="17"/>
      <c r="KE23" s="17"/>
      <c r="KF23" s="17"/>
      <c r="KG23" s="17"/>
      <c r="KH23" s="17"/>
      <c r="KI23" s="17"/>
      <c r="KJ23" s="17"/>
      <c r="KK23" s="17"/>
      <c r="KL23" s="17"/>
      <c r="KM23" s="17"/>
      <c r="KN23" s="17"/>
      <c r="KO23" s="17"/>
      <c r="KP23" s="17"/>
      <c r="KQ23" s="17"/>
      <c r="KR23" s="17"/>
      <c r="KS23" s="17"/>
      <c r="KT23" s="17"/>
      <c r="KU23" s="17"/>
      <c r="KV23" s="17"/>
      <c r="KW23" s="17"/>
      <c r="KX23" s="17"/>
      <c r="KY23" s="17"/>
    </row>
    <row r="24" spans="1:311" x14ac:dyDescent="0.25">
      <c r="A24" s="17"/>
      <c r="B24" s="17"/>
      <c r="C24" s="17"/>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c r="AK24" s="17"/>
      <c r="AL24" s="17"/>
      <c r="AM24" s="17"/>
      <c r="AN24" s="17"/>
      <c r="AO24" s="17"/>
      <c r="AP24" s="17"/>
      <c r="AQ24" s="17"/>
      <c r="AR24" s="17"/>
      <c r="AS24" s="17"/>
      <c r="AT24" s="17"/>
      <c r="AU24" s="17"/>
      <c r="AV24" s="17"/>
      <c r="AW24" s="17"/>
      <c r="AX24" s="17"/>
      <c r="AY24" s="17"/>
      <c r="AZ24" s="17"/>
      <c r="BA24" s="17"/>
      <c r="BB24" s="17"/>
      <c r="BC24" s="17"/>
      <c r="BD24" s="17"/>
      <c r="BE24" s="17"/>
      <c r="BF24" s="17"/>
      <c r="BG24" s="17"/>
      <c r="BH24" s="17"/>
      <c r="BI24" s="17"/>
      <c r="BJ24" s="17"/>
      <c r="BK24" s="17"/>
      <c r="BL24" s="17"/>
      <c r="BM24" s="17"/>
      <c r="BN24" s="17"/>
      <c r="BO24" s="17"/>
      <c r="BP24" s="17"/>
      <c r="BQ24" s="17"/>
      <c r="BR24" s="17"/>
      <c r="BS24" s="17"/>
      <c r="BT24" s="17"/>
      <c r="BU24" s="17"/>
      <c r="BV24" s="17"/>
      <c r="BW24" s="17"/>
      <c r="BX24" s="17"/>
      <c r="BY24" s="17"/>
      <c r="BZ24" s="17"/>
      <c r="CA24" s="17"/>
      <c r="CB24" s="17"/>
      <c r="CC24" s="17"/>
      <c r="CD24" s="17"/>
      <c r="CE24" s="17"/>
      <c r="CF24" s="17"/>
      <c r="CG24" s="17"/>
      <c r="CH24" s="17"/>
      <c r="CI24" s="17"/>
      <c r="CJ24" s="17"/>
      <c r="CK24" s="17"/>
      <c r="CL24" s="17"/>
      <c r="CM24" s="17"/>
      <c r="CN24" s="17"/>
      <c r="CO24" s="17"/>
      <c r="CP24" s="17"/>
      <c r="CQ24" s="17"/>
      <c r="CR24" s="17"/>
      <c r="CS24" s="17"/>
      <c r="CT24" s="17"/>
      <c r="CU24" s="17"/>
      <c r="CV24" s="17"/>
      <c r="CW24" s="17"/>
      <c r="CX24" s="17"/>
      <c r="CY24" s="17"/>
      <c r="CZ24" s="17"/>
      <c r="DA24" s="17"/>
      <c r="DB24" s="17"/>
      <c r="DC24" s="17"/>
      <c r="DD24" s="17"/>
      <c r="DE24" s="17"/>
      <c r="DF24" s="17"/>
      <c r="DG24" s="17"/>
      <c r="DH24" s="17"/>
      <c r="DI24" s="17"/>
      <c r="DJ24" s="17"/>
      <c r="DK24" s="17"/>
      <c r="DL24" s="17"/>
      <c r="DM24" s="17"/>
      <c r="DN24" s="17"/>
      <c r="DO24" s="17"/>
      <c r="DP24" s="17"/>
      <c r="DQ24" s="17"/>
      <c r="DR24" s="17"/>
      <c r="DS24" s="17"/>
      <c r="DT24" s="17"/>
      <c r="DU24" s="17"/>
      <c r="DV24" s="17"/>
      <c r="DW24" s="17"/>
      <c r="DX24" s="17"/>
      <c r="DY24" s="17"/>
      <c r="DZ24" s="17"/>
      <c r="EA24" s="17"/>
      <c r="EB24" s="17"/>
      <c r="EC24" s="17"/>
      <c r="ED24" s="17"/>
      <c r="EE24" s="17"/>
      <c r="EF24" s="17"/>
      <c r="EG24" s="17"/>
      <c r="EH24" s="17"/>
      <c r="EI24" s="17"/>
      <c r="EJ24" s="17"/>
      <c r="EK24" s="17"/>
      <c r="EL24" s="17"/>
      <c r="EM24" s="17"/>
      <c r="EN24" s="17"/>
      <c r="EO24" s="17"/>
      <c r="EP24" s="17"/>
      <c r="EQ24" s="17"/>
      <c r="ER24" s="17"/>
      <c r="ES24" s="17"/>
      <c r="ET24" s="17"/>
      <c r="EU24" s="17"/>
      <c r="EV24" s="17"/>
      <c r="EW24" s="17"/>
      <c r="EX24" s="17"/>
      <c r="EY24" s="17"/>
      <c r="EZ24" s="17"/>
      <c r="FA24" s="17"/>
      <c r="FB24" s="17"/>
      <c r="FC24" s="17"/>
      <c r="FD24" s="17"/>
      <c r="FE24" s="17"/>
      <c r="FF24" s="17"/>
      <c r="FG24" s="17"/>
      <c r="FH24" s="17"/>
      <c r="FI24" s="17"/>
      <c r="FJ24" s="17"/>
      <c r="FK24" s="17"/>
      <c r="FL24" s="17"/>
      <c r="FM24" s="17"/>
      <c r="FN24" s="17"/>
      <c r="FO24" s="17"/>
      <c r="FP24" s="17"/>
      <c r="FQ24" s="17"/>
      <c r="FR24" s="17"/>
      <c r="FS24" s="17"/>
      <c r="FT24" s="17"/>
      <c r="FU24" s="17"/>
      <c r="FV24" s="17"/>
      <c r="FW24" s="17"/>
      <c r="FX24" s="17"/>
      <c r="FY24" s="17"/>
      <c r="FZ24" s="17"/>
      <c r="GA24" s="17"/>
      <c r="GB24" s="17"/>
      <c r="GC24" s="17"/>
      <c r="GD24" s="17"/>
      <c r="GE24" s="17"/>
      <c r="GF24" s="17"/>
      <c r="GG24" s="17"/>
      <c r="GH24" s="17"/>
      <c r="GI24" s="17"/>
      <c r="GJ24" s="17"/>
      <c r="GK24" s="17"/>
      <c r="GL24" s="17"/>
      <c r="GM24" s="17"/>
      <c r="GN24" s="17"/>
      <c r="GO24" s="17"/>
      <c r="GP24" s="17"/>
      <c r="GQ24" s="17"/>
      <c r="GR24" s="17"/>
      <c r="GS24" s="17"/>
      <c r="GT24" s="17"/>
      <c r="GU24" s="17"/>
      <c r="GV24" s="17"/>
      <c r="GW24" s="17"/>
      <c r="GX24" s="17"/>
      <c r="GY24" s="17"/>
      <c r="GZ24" s="17"/>
      <c r="HA24" s="17"/>
      <c r="HB24" s="17"/>
      <c r="HC24" s="17"/>
      <c r="HD24" s="17"/>
      <c r="HE24" s="17"/>
      <c r="HF24" s="17"/>
      <c r="HG24" s="17"/>
      <c r="HH24" s="17"/>
      <c r="HI24" s="17"/>
      <c r="HJ24" s="17"/>
      <c r="HK24" s="17"/>
      <c r="HL24" s="17"/>
      <c r="HM24" s="17"/>
      <c r="HN24" s="17"/>
      <c r="HO24" s="17"/>
      <c r="HP24" s="17"/>
      <c r="HQ24" s="17"/>
      <c r="HR24" s="17"/>
      <c r="HS24" s="17"/>
      <c r="HT24" s="17"/>
      <c r="HU24" s="17"/>
      <c r="HV24" s="17"/>
      <c r="HW24" s="17"/>
      <c r="HX24" s="17"/>
      <c r="HY24" s="17"/>
      <c r="HZ24" s="17"/>
      <c r="IA24" s="17"/>
      <c r="IB24" s="17"/>
      <c r="IC24" s="17"/>
      <c r="ID24" s="17"/>
      <c r="IE24" s="17"/>
      <c r="IF24" s="17"/>
      <c r="IG24" s="17"/>
      <c r="IH24" s="17"/>
      <c r="II24" s="17"/>
      <c r="IJ24" s="17"/>
      <c r="IK24" s="17"/>
      <c r="IL24" s="17"/>
      <c r="IM24" s="17"/>
      <c r="IN24" s="17"/>
      <c r="IO24" s="17"/>
      <c r="IP24" s="17"/>
      <c r="IQ24" s="17"/>
      <c r="IR24" s="17"/>
      <c r="IS24" s="17"/>
      <c r="IT24" s="17"/>
      <c r="IU24" s="17"/>
      <c r="IV24" s="17"/>
      <c r="IW24" s="17"/>
      <c r="IX24" s="17"/>
      <c r="IY24" s="17"/>
      <c r="IZ24" s="17"/>
      <c r="JA24" s="17"/>
      <c r="JB24" s="17"/>
      <c r="JC24" s="17"/>
      <c r="JD24" s="17"/>
      <c r="JE24" s="17"/>
      <c r="JF24" s="17"/>
      <c r="JG24" s="17"/>
      <c r="JH24" s="17"/>
      <c r="JI24" s="17"/>
      <c r="JJ24" s="17"/>
      <c r="JK24" s="17"/>
      <c r="JL24" s="17"/>
      <c r="JM24" s="17"/>
      <c r="JN24" s="17"/>
      <c r="JO24" s="17"/>
      <c r="JP24" s="17"/>
      <c r="JQ24" s="17"/>
      <c r="JR24" s="17"/>
      <c r="JS24" s="17"/>
      <c r="JT24" s="17"/>
      <c r="JU24" s="17"/>
      <c r="JV24" s="17"/>
      <c r="JW24" s="17"/>
      <c r="JX24" s="17"/>
      <c r="JY24" s="17"/>
      <c r="JZ24" s="17"/>
      <c r="KA24" s="17"/>
      <c r="KB24" s="17"/>
      <c r="KC24" s="17"/>
      <c r="KD24" s="17"/>
      <c r="KE24" s="17"/>
      <c r="KF24" s="17"/>
      <c r="KG24" s="17"/>
      <c r="KH24" s="17"/>
      <c r="KI24" s="17"/>
      <c r="KJ24" s="17"/>
      <c r="KK24" s="17"/>
      <c r="KL24" s="17"/>
      <c r="KM24" s="17"/>
      <c r="KN24" s="17"/>
      <c r="KO24" s="17"/>
      <c r="KP24" s="17"/>
      <c r="KQ24" s="17"/>
      <c r="KR24" s="17"/>
      <c r="KS24" s="17"/>
      <c r="KT24" s="17"/>
      <c r="KU24" s="17"/>
      <c r="KV24" s="17"/>
      <c r="KW24" s="17"/>
      <c r="KX24" s="17"/>
      <c r="KY24" s="17"/>
    </row>
    <row r="25" spans="1:311" x14ac:dyDescent="0.25">
      <c r="A25" s="17"/>
      <c r="B25" s="17"/>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c r="AK25" s="17"/>
      <c r="AL25" s="17"/>
      <c r="AM25" s="17"/>
      <c r="AN25" s="17"/>
      <c r="AO25" s="17"/>
      <c r="AP25" s="17"/>
      <c r="AQ25" s="17"/>
      <c r="AR25" s="17"/>
      <c r="AS25" s="17"/>
      <c r="AT25" s="17"/>
      <c r="AU25" s="17"/>
      <c r="AV25" s="17"/>
      <c r="AW25" s="17"/>
      <c r="AX25" s="17"/>
      <c r="AY25" s="17"/>
      <c r="AZ25" s="17"/>
      <c r="BA25" s="17"/>
      <c r="BB25" s="17"/>
      <c r="BC25" s="17"/>
      <c r="BD25" s="17"/>
      <c r="BE25" s="17"/>
      <c r="BF25" s="17"/>
      <c r="BG25" s="17"/>
      <c r="BH25" s="17"/>
      <c r="BI25" s="17"/>
      <c r="BJ25" s="17"/>
      <c r="BK25" s="17"/>
      <c r="BL25" s="17"/>
      <c r="BM25" s="17"/>
      <c r="BN25" s="17"/>
      <c r="BO25" s="17"/>
      <c r="BP25" s="17"/>
      <c r="BQ25" s="17"/>
      <c r="BR25" s="17"/>
      <c r="BS25" s="17"/>
      <c r="BT25" s="17"/>
      <c r="BU25" s="17"/>
      <c r="BV25" s="17"/>
      <c r="BW25" s="17"/>
      <c r="BX25" s="17"/>
      <c r="BY25" s="17"/>
      <c r="BZ25" s="17"/>
      <c r="CA25" s="17"/>
      <c r="CB25" s="17"/>
      <c r="CC25" s="17"/>
      <c r="CD25" s="17"/>
      <c r="CE25" s="17"/>
      <c r="CF25" s="17"/>
      <c r="CG25" s="17"/>
      <c r="CH25" s="17"/>
      <c r="CI25" s="17"/>
      <c r="CJ25" s="17"/>
      <c r="CK25" s="17"/>
      <c r="CL25" s="17"/>
      <c r="CM25" s="17"/>
      <c r="CN25" s="17"/>
      <c r="CO25" s="17"/>
      <c r="CP25" s="17"/>
      <c r="CQ25" s="17"/>
      <c r="CR25" s="17"/>
      <c r="CS25" s="17"/>
      <c r="CT25" s="17"/>
      <c r="CU25" s="17"/>
      <c r="CV25" s="17"/>
      <c r="CW25" s="17"/>
      <c r="CX25" s="17"/>
      <c r="CY25" s="17"/>
      <c r="CZ25" s="17"/>
      <c r="DA25" s="17"/>
      <c r="DB25" s="17"/>
      <c r="DC25" s="17"/>
      <c r="DD25" s="17"/>
      <c r="DE25" s="17"/>
      <c r="DF25" s="17"/>
      <c r="DG25" s="17"/>
      <c r="DH25" s="17"/>
      <c r="DI25" s="17"/>
      <c r="DJ25" s="17"/>
      <c r="DK25" s="17"/>
      <c r="DL25" s="17"/>
      <c r="DM25" s="17"/>
      <c r="DN25" s="17"/>
      <c r="DO25" s="17"/>
      <c r="DP25" s="17"/>
      <c r="DQ25" s="17"/>
      <c r="DR25" s="17"/>
      <c r="DS25" s="17"/>
      <c r="DT25" s="17"/>
      <c r="DU25" s="17"/>
      <c r="DV25" s="17"/>
      <c r="DW25" s="17"/>
      <c r="DX25" s="17"/>
      <c r="DY25" s="17"/>
      <c r="DZ25" s="17"/>
      <c r="EA25" s="17"/>
      <c r="EB25" s="17"/>
      <c r="EC25" s="17"/>
      <c r="ED25" s="17"/>
      <c r="EE25" s="17"/>
      <c r="EF25" s="17"/>
      <c r="EG25" s="17"/>
      <c r="EH25" s="17"/>
      <c r="EI25" s="17"/>
      <c r="EJ25" s="17"/>
      <c r="EK25" s="17"/>
      <c r="EL25" s="17"/>
      <c r="EM25" s="17"/>
      <c r="EN25" s="17"/>
      <c r="EO25" s="17"/>
      <c r="EP25" s="17"/>
      <c r="EQ25" s="17"/>
      <c r="ER25" s="17"/>
      <c r="ES25" s="17"/>
      <c r="ET25" s="17"/>
      <c r="EU25" s="17"/>
      <c r="EV25" s="17"/>
      <c r="EW25" s="17"/>
      <c r="EX25" s="17"/>
      <c r="EY25" s="17"/>
      <c r="EZ25" s="17"/>
      <c r="FA25" s="17"/>
      <c r="FB25" s="17"/>
      <c r="FC25" s="17"/>
      <c r="FD25" s="17"/>
      <c r="FE25" s="17"/>
      <c r="FF25" s="17"/>
      <c r="FG25" s="17"/>
      <c r="FH25" s="17"/>
      <c r="FI25" s="17"/>
      <c r="FJ25" s="17"/>
      <c r="FK25" s="17"/>
      <c r="FL25" s="17"/>
      <c r="FM25" s="17"/>
      <c r="FN25" s="17"/>
      <c r="FO25" s="17"/>
      <c r="FP25" s="17"/>
      <c r="FQ25" s="17"/>
      <c r="FR25" s="17"/>
      <c r="FS25" s="17"/>
      <c r="FT25" s="17"/>
      <c r="FU25" s="17"/>
      <c r="FV25" s="17"/>
      <c r="FW25" s="17"/>
      <c r="FX25" s="17"/>
      <c r="FY25" s="17"/>
      <c r="FZ25" s="17"/>
      <c r="GA25" s="17"/>
      <c r="GB25" s="17"/>
      <c r="GC25" s="17"/>
      <c r="GD25" s="17"/>
      <c r="GE25" s="17"/>
      <c r="GF25" s="17"/>
      <c r="GG25" s="17"/>
      <c r="GH25" s="17"/>
      <c r="GI25" s="17"/>
      <c r="GJ25" s="17"/>
      <c r="GK25" s="17"/>
      <c r="GL25" s="17"/>
      <c r="GM25" s="17"/>
      <c r="GN25" s="17"/>
      <c r="GO25" s="17"/>
      <c r="GP25" s="17"/>
      <c r="GQ25" s="17"/>
      <c r="GR25" s="17"/>
      <c r="GS25" s="17"/>
      <c r="GT25" s="17"/>
      <c r="GU25" s="17"/>
      <c r="GV25" s="17"/>
      <c r="GW25" s="17"/>
      <c r="GX25" s="17"/>
      <c r="GY25" s="17"/>
      <c r="GZ25" s="17"/>
      <c r="HA25" s="17"/>
      <c r="HB25" s="17"/>
      <c r="HC25" s="17"/>
      <c r="HD25" s="17"/>
      <c r="HE25" s="17"/>
      <c r="HF25" s="17"/>
      <c r="HG25" s="17"/>
      <c r="HH25" s="17"/>
      <c r="HI25" s="17"/>
      <c r="HJ25" s="17"/>
      <c r="HK25" s="17"/>
      <c r="HL25" s="17"/>
      <c r="HM25" s="17"/>
      <c r="HN25" s="17"/>
      <c r="HO25" s="17"/>
      <c r="HP25" s="17"/>
      <c r="HQ25" s="17"/>
      <c r="HR25" s="17"/>
      <c r="HS25" s="17"/>
      <c r="HT25" s="17"/>
      <c r="HU25" s="17"/>
      <c r="HV25" s="17"/>
      <c r="HW25" s="17"/>
      <c r="HX25" s="17"/>
      <c r="HY25" s="17"/>
      <c r="HZ25" s="17"/>
      <c r="IA25" s="17"/>
      <c r="IB25" s="17"/>
      <c r="IC25" s="17"/>
      <c r="ID25" s="17"/>
      <c r="IE25" s="17"/>
      <c r="IF25" s="17"/>
      <c r="IG25" s="17"/>
      <c r="IH25" s="17"/>
      <c r="II25" s="17"/>
      <c r="IJ25" s="17"/>
      <c r="IK25" s="17"/>
      <c r="IL25" s="17"/>
      <c r="IM25" s="17"/>
      <c r="IN25" s="17"/>
      <c r="IO25" s="17"/>
      <c r="IP25" s="17"/>
      <c r="IQ25" s="17"/>
      <c r="IR25" s="17"/>
      <c r="IS25" s="17"/>
      <c r="IT25" s="17"/>
      <c r="IU25" s="17"/>
      <c r="IV25" s="17"/>
      <c r="IW25" s="17"/>
      <c r="IX25" s="17"/>
      <c r="IY25" s="17"/>
      <c r="IZ25" s="17"/>
      <c r="JA25" s="17"/>
      <c r="JB25" s="17"/>
      <c r="JC25" s="17"/>
      <c r="JD25" s="17"/>
      <c r="JE25" s="17"/>
      <c r="JF25" s="17"/>
      <c r="JG25" s="17"/>
      <c r="JH25" s="17"/>
      <c r="JI25" s="17"/>
      <c r="JJ25" s="17"/>
      <c r="JK25" s="17"/>
      <c r="JL25" s="17"/>
      <c r="JM25" s="17"/>
      <c r="JN25" s="17"/>
      <c r="JO25" s="17"/>
      <c r="JP25" s="17"/>
      <c r="JQ25" s="17"/>
      <c r="JR25" s="17"/>
      <c r="JS25" s="17"/>
      <c r="JT25" s="17"/>
      <c r="JU25" s="17"/>
      <c r="JV25" s="17"/>
      <c r="JW25" s="17"/>
      <c r="JX25" s="17"/>
      <c r="JY25" s="17"/>
      <c r="JZ25" s="17"/>
      <c r="KA25" s="17"/>
      <c r="KB25" s="17"/>
      <c r="KC25" s="17"/>
      <c r="KD25" s="17"/>
      <c r="KE25" s="17"/>
      <c r="KF25" s="17"/>
      <c r="KG25" s="17"/>
      <c r="KH25" s="17"/>
      <c r="KI25" s="17"/>
      <c r="KJ25" s="17"/>
      <c r="KK25" s="17"/>
      <c r="KL25" s="17"/>
      <c r="KM25" s="17"/>
      <c r="KN25" s="17"/>
      <c r="KO25" s="17"/>
      <c r="KP25" s="17"/>
      <c r="KQ25" s="17"/>
      <c r="KR25" s="17"/>
      <c r="KS25" s="17"/>
      <c r="KT25" s="17"/>
      <c r="KU25" s="17"/>
      <c r="KV25" s="17"/>
      <c r="KW25" s="17"/>
      <c r="KX25" s="17"/>
      <c r="KY25" s="17"/>
    </row>
    <row r="26" spans="1:311" x14ac:dyDescent="0.25">
      <c r="A26" s="17"/>
      <c r="B26" s="17"/>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c r="AK26" s="17"/>
      <c r="AL26" s="17"/>
      <c r="AM26" s="17"/>
      <c r="AN26" s="17"/>
      <c r="AO26" s="17"/>
      <c r="AP26" s="17"/>
      <c r="AQ26" s="17"/>
      <c r="AR26" s="17"/>
      <c r="AS26" s="17"/>
      <c r="AT26" s="17"/>
      <c r="AU26" s="17"/>
      <c r="AV26" s="17"/>
      <c r="AW26" s="17"/>
      <c r="AX26" s="17"/>
      <c r="AY26" s="17"/>
      <c r="AZ26" s="17"/>
      <c r="BA26" s="17"/>
      <c r="BB26" s="17"/>
      <c r="BC26" s="17"/>
      <c r="BD26" s="17"/>
      <c r="BE26" s="17"/>
      <c r="BF26" s="17"/>
      <c r="BG26" s="17"/>
      <c r="BH26" s="17"/>
      <c r="BI26" s="17"/>
      <c r="BJ26" s="17"/>
      <c r="BK26" s="17"/>
      <c r="BL26" s="17"/>
      <c r="BM26" s="17"/>
      <c r="BN26" s="17"/>
      <c r="BO26" s="17"/>
      <c r="BP26" s="17"/>
      <c r="BQ26" s="17"/>
      <c r="BR26" s="17"/>
      <c r="BS26" s="17"/>
      <c r="BT26" s="17"/>
      <c r="BU26" s="17"/>
      <c r="BV26" s="17"/>
      <c r="BW26" s="17"/>
      <c r="BX26" s="17"/>
      <c r="BY26" s="17"/>
      <c r="BZ26" s="17"/>
      <c r="CA26" s="17"/>
      <c r="CB26" s="17"/>
      <c r="CC26" s="17"/>
      <c r="CD26" s="17"/>
      <c r="CE26" s="17"/>
      <c r="CF26" s="17"/>
      <c r="CG26" s="17"/>
      <c r="CH26" s="17"/>
      <c r="CI26" s="17"/>
      <c r="CJ26" s="17"/>
      <c r="CK26" s="17"/>
      <c r="CL26" s="17"/>
      <c r="CM26" s="17"/>
      <c r="CN26" s="17"/>
      <c r="CO26" s="17"/>
      <c r="CP26" s="17"/>
      <c r="CQ26" s="17"/>
      <c r="CR26" s="17"/>
      <c r="CS26" s="17"/>
      <c r="CT26" s="17"/>
      <c r="CU26" s="17"/>
      <c r="CV26" s="17"/>
      <c r="CW26" s="17"/>
      <c r="CX26" s="17"/>
      <c r="CY26" s="17"/>
      <c r="CZ26" s="17"/>
      <c r="DA26" s="17"/>
      <c r="DB26" s="17"/>
      <c r="DC26" s="17"/>
      <c r="DD26" s="17"/>
      <c r="DE26" s="17"/>
      <c r="DF26" s="17"/>
      <c r="DG26" s="17"/>
      <c r="DH26" s="17"/>
      <c r="DI26" s="17"/>
      <c r="DJ26" s="17"/>
      <c r="DK26" s="17"/>
      <c r="DL26" s="17"/>
      <c r="DM26" s="17"/>
      <c r="DN26" s="17"/>
      <c r="DO26" s="17"/>
      <c r="DP26" s="17"/>
      <c r="DQ26" s="17"/>
      <c r="DR26" s="17"/>
      <c r="DS26" s="17"/>
      <c r="DT26" s="17"/>
      <c r="DU26" s="17"/>
      <c r="DV26" s="17"/>
      <c r="DW26" s="17"/>
      <c r="DX26" s="17"/>
      <c r="DY26" s="17"/>
      <c r="DZ26" s="17"/>
      <c r="EA26" s="17"/>
      <c r="EB26" s="17"/>
      <c r="EC26" s="17"/>
      <c r="ED26" s="17"/>
      <c r="EE26" s="17"/>
      <c r="EF26" s="17"/>
      <c r="EG26" s="17"/>
      <c r="EH26" s="17"/>
      <c r="EI26" s="17"/>
      <c r="EJ26" s="17"/>
      <c r="EK26" s="17"/>
      <c r="EL26" s="17"/>
      <c r="EM26" s="17"/>
      <c r="EN26" s="17"/>
      <c r="EO26" s="17"/>
      <c r="EP26" s="17"/>
      <c r="EQ26" s="17"/>
      <c r="ER26" s="17"/>
      <c r="ES26" s="17"/>
      <c r="ET26" s="17"/>
      <c r="EU26" s="17"/>
      <c r="EV26" s="17"/>
      <c r="EW26" s="17"/>
      <c r="EX26" s="17"/>
      <c r="EY26" s="17"/>
      <c r="EZ26" s="17"/>
      <c r="FA26" s="17"/>
      <c r="FB26" s="17"/>
      <c r="FC26" s="17"/>
      <c r="FD26" s="17"/>
      <c r="FE26" s="17"/>
      <c r="FF26" s="17"/>
      <c r="FG26" s="17"/>
      <c r="FH26" s="17"/>
      <c r="FI26" s="17"/>
      <c r="FJ26" s="17"/>
      <c r="FK26" s="17"/>
      <c r="FL26" s="17"/>
      <c r="FM26" s="17"/>
      <c r="FN26" s="17"/>
      <c r="FO26" s="17"/>
      <c r="FP26" s="17"/>
      <c r="FQ26" s="17"/>
      <c r="FR26" s="17"/>
      <c r="FS26" s="17"/>
      <c r="FT26" s="17"/>
      <c r="FU26" s="17"/>
      <c r="FV26" s="17"/>
      <c r="FW26" s="17"/>
      <c r="FX26" s="17"/>
      <c r="FY26" s="17"/>
      <c r="FZ26" s="17"/>
      <c r="GA26" s="17"/>
      <c r="GB26" s="17"/>
      <c r="GC26" s="17"/>
      <c r="GD26" s="17"/>
      <c r="GE26" s="17"/>
      <c r="GF26" s="17"/>
      <c r="GG26" s="17"/>
      <c r="GH26" s="17"/>
      <c r="GI26" s="17"/>
      <c r="GJ26" s="17"/>
      <c r="GK26" s="17"/>
      <c r="GL26" s="17"/>
      <c r="GM26" s="17"/>
      <c r="GN26" s="17"/>
      <c r="GO26" s="17"/>
      <c r="GP26" s="17"/>
      <c r="GQ26" s="17"/>
      <c r="GR26" s="17"/>
      <c r="GS26" s="17"/>
      <c r="GT26" s="17"/>
      <c r="GU26" s="17"/>
      <c r="GV26" s="17"/>
      <c r="GW26" s="17"/>
      <c r="GX26" s="17"/>
      <c r="GY26" s="17"/>
      <c r="GZ26" s="17"/>
      <c r="HA26" s="17"/>
      <c r="HB26" s="17"/>
      <c r="HC26" s="17"/>
      <c r="HD26" s="17"/>
      <c r="HE26" s="17"/>
      <c r="HF26" s="17"/>
      <c r="HG26" s="17"/>
      <c r="HH26" s="17"/>
      <c r="HI26" s="17"/>
      <c r="HJ26" s="17"/>
      <c r="HK26" s="17"/>
      <c r="HL26" s="17"/>
      <c r="HM26" s="17"/>
      <c r="HN26" s="17"/>
      <c r="HO26" s="17"/>
      <c r="HP26" s="17"/>
      <c r="HQ26" s="17"/>
      <c r="HR26" s="17"/>
      <c r="HS26" s="17"/>
      <c r="HT26" s="17"/>
      <c r="HU26" s="17"/>
      <c r="HV26" s="17"/>
      <c r="HW26" s="17"/>
      <c r="HX26" s="17"/>
      <c r="HY26" s="17"/>
      <c r="HZ26" s="17"/>
      <c r="IA26" s="17"/>
      <c r="IB26" s="17"/>
      <c r="IC26" s="17"/>
      <c r="ID26" s="17"/>
      <c r="IE26" s="17"/>
      <c r="IF26" s="17"/>
      <c r="IG26" s="17"/>
      <c r="IH26" s="17"/>
      <c r="II26" s="17"/>
      <c r="IJ26" s="17"/>
      <c r="IK26" s="17"/>
      <c r="IL26" s="17"/>
      <c r="IM26" s="17"/>
      <c r="IN26" s="17"/>
      <c r="IO26" s="17"/>
      <c r="IP26" s="17"/>
      <c r="IQ26" s="17"/>
      <c r="IR26" s="17"/>
      <c r="IS26" s="17"/>
      <c r="IT26" s="17"/>
      <c r="IU26" s="17"/>
      <c r="IV26" s="17"/>
      <c r="IW26" s="17"/>
      <c r="IX26" s="17"/>
      <c r="IY26" s="17"/>
      <c r="IZ26" s="17"/>
      <c r="JA26" s="17"/>
      <c r="JB26" s="17"/>
      <c r="JC26" s="17"/>
      <c r="JD26" s="17"/>
      <c r="JE26" s="17"/>
      <c r="JF26" s="17"/>
      <c r="JG26" s="17"/>
      <c r="JH26" s="17"/>
      <c r="JI26" s="17"/>
      <c r="JJ26" s="17"/>
      <c r="JK26" s="17"/>
      <c r="JL26" s="17"/>
      <c r="JM26" s="17"/>
      <c r="JN26" s="17"/>
      <c r="JO26" s="17"/>
      <c r="JP26" s="17"/>
      <c r="JQ26" s="17"/>
      <c r="JR26" s="17"/>
      <c r="JS26" s="17"/>
      <c r="JT26" s="17"/>
      <c r="JU26" s="17"/>
      <c r="JV26" s="17"/>
      <c r="JW26" s="17"/>
      <c r="JX26" s="17"/>
      <c r="JY26" s="17"/>
      <c r="JZ26" s="17"/>
      <c r="KA26" s="17"/>
      <c r="KB26" s="17"/>
      <c r="KC26" s="17"/>
      <c r="KD26" s="17"/>
      <c r="KE26" s="17"/>
      <c r="KF26" s="17"/>
      <c r="KG26" s="17"/>
      <c r="KH26" s="17"/>
      <c r="KI26" s="17"/>
      <c r="KJ26" s="17"/>
      <c r="KK26" s="17"/>
      <c r="KL26" s="17"/>
      <c r="KM26" s="17"/>
      <c r="KN26" s="17"/>
      <c r="KO26" s="17"/>
      <c r="KP26" s="17"/>
      <c r="KQ26" s="17"/>
      <c r="KR26" s="17"/>
      <c r="KS26" s="17"/>
      <c r="KT26" s="17"/>
      <c r="KU26" s="17"/>
      <c r="KV26" s="17"/>
      <c r="KW26" s="17"/>
      <c r="KX26" s="17"/>
      <c r="KY26" s="17"/>
    </row>
    <row r="27" spans="1:311" x14ac:dyDescent="0.25">
      <c r="A27" s="17"/>
      <c r="B27" s="17"/>
      <c r="C27" s="17"/>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c r="AK27" s="17"/>
      <c r="AL27" s="17"/>
      <c r="AM27" s="17"/>
      <c r="AN27" s="17"/>
      <c r="AO27" s="17"/>
      <c r="AP27" s="17"/>
      <c r="AQ27" s="17"/>
      <c r="AR27" s="17"/>
      <c r="AS27" s="17"/>
      <c r="AT27" s="17"/>
      <c r="AU27" s="17"/>
      <c r="AV27" s="17"/>
      <c r="AW27" s="17"/>
      <c r="AX27" s="17"/>
      <c r="AY27" s="17"/>
      <c r="AZ27" s="17"/>
      <c r="BA27" s="17"/>
      <c r="BB27" s="17"/>
      <c r="BC27" s="17"/>
      <c r="BD27" s="17"/>
      <c r="BE27" s="17"/>
      <c r="BF27" s="17"/>
      <c r="BG27" s="17"/>
      <c r="BH27" s="17"/>
      <c r="BI27" s="17"/>
      <c r="BJ27" s="17"/>
      <c r="BK27" s="17"/>
      <c r="BL27" s="17"/>
      <c r="BM27" s="17"/>
      <c r="BN27" s="17"/>
      <c r="BO27" s="17"/>
      <c r="BP27" s="17"/>
      <c r="BQ27" s="17"/>
      <c r="BR27" s="17"/>
      <c r="BS27" s="17"/>
      <c r="BT27" s="17"/>
      <c r="BU27" s="17"/>
      <c r="BV27" s="17"/>
      <c r="BW27" s="17"/>
      <c r="BX27" s="17"/>
      <c r="BY27" s="17"/>
      <c r="BZ27" s="17"/>
      <c r="CA27" s="17"/>
      <c r="CB27" s="17"/>
      <c r="CC27" s="17"/>
      <c r="CD27" s="17"/>
      <c r="CE27" s="17"/>
      <c r="CF27" s="17"/>
      <c r="CG27" s="17"/>
      <c r="CH27" s="17"/>
      <c r="CI27" s="17"/>
      <c r="CJ27" s="17"/>
      <c r="CK27" s="17"/>
      <c r="CL27" s="17"/>
      <c r="CM27" s="17"/>
      <c r="CN27" s="17"/>
      <c r="CO27" s="17"/>
      <c r="CP27" s="17"/>
      <c r="CQ27" s="17"/>
      <c r="CR27" s="17"/>
      <c r="CS27" s="17"/>
      <c r="CT27" s="17"/>
      <c r="CU27" s="17"/>
      <c r="CV27" s="17"/>
      <c r="CW27" s="17"/>
      <c r="CX27" s="17"/>
      <c r="CY27" s="17"/>
      <c r="CZ27" s="17"/>
      <c r="DA27" s="17"/>
      <c r="DB27" s="17"/>
      <c r="DC27" s="17"/>
      <c r="DD27" s="17"/>
      <c r="DE27" s="17"/>
      <c r="DF27" s="17"/>
      <c r="DG27" s="17"/>
      <c r="DH27" s="17"/>
      <c r="DI27" s="17"/>
      <c r="DJ27" s="17"/>
      <c r="DK27" s="17"/>
      <c r="DL27" s="17"/>
      <c r="DM27" s="17"/>
      <c r="DN27" s="17"/>
      <c r="DO27" s="17"/>
      <c r="DP27" s="17"/>
      <c r="DQ27" s="17"/>
      <c r="DR27" s="17"/>
      <c r="DS27" s="17"/>
      <c r="DT27" s="17"/>
      <c r="DU27" s="17"/>
      <c r="DV27" s="17"/>
      <c r="DW27" s="17"/>
      <c r="DX27" s="17"/>
      <c r="DY27" s="17"/>
      <c r="DZ27" s="17"/>
      <c r="EA27" s="17"/>
      <c r="EB27" s="17"/>
      <c r="EC27" s="17"/>
      <c r="ED27" s="17"/>
      <c r="EE27" s="17"/>
      <c r="EF27" s="17"/>
      <c r="EG27" s="17"/>
      <c r="EH27" s="17"/>
      <c r="EI27" s="17"/>
      <c r="EJ27" s="17"/>
      <c r="EK27" s="17"/>
      <c r="EL27" s="17"/>
      <c r="EM27" s="17"/>
      <c r="EN27" s="17"/>
      <c r="EO27" s="17"/>
      <c r="EP27" s="17"/>
      <c r="EQ27" s="17"/>
      <c r="ER27" s="17"/>
      <c r="ES27" s="17"/>
      <c r="ET27" s="17"/>
      <c r="EU27" s="17"/>
      <c r="EV27" s="17"/>
      <c r="EW27" s="17"/>
      <c r="EX27" s="17"/>
      <c r="EY27" s="17"/>
      <c r="EZ27" s="17"/>
      <c r="FA27" s="17"/>
      <c r="FB27" s="17"/>
      <c r="FC27" s="17"/>
      <c r="FD27" s="17"/>
      <c r="FE27" s="17"/>
      <c r="FF27" s="17"/>
      <c r="FG27" s="17"/>
      <c r="FH27" s="17"/>
      <c r="FI27" s="17"/>
      <c r="FJ27" s="17"/>
      <c r="FK27" s="17"/>
      <c r="FL27" s="17"/>
      <c r="FM27" s="17"/>
      <c r="FN27" s="17"/>
      <c r="FO27" s="17"/>
      <c r="FP27" s="17"/>
      <c r="FQ27" s="17"/>
      <c r="FR27" s="17"/>
      <c r="FS27" s="17"/>
      <c r="FT27" s="17"/>
      <c r="FU27" s="17"/>
      <c r="FV27" s="17"/>
      <c r="FW27" s="17"/>
      <c r="FX27" s="17"/>
      <c r="FY27" s="17"/>
      <c r="FZ27" s="17"/>
      <c r="GA27" s="17"/>
      <c r="GB27" s="17"/>
      <c r="GC27" s="17"/>
      <c r="GD27" s="17"/>
      <c r="GE27" s="17"/>
      <c r="GF27" s="17"/>
      <c r="GG27" s="17"/>
      <c r="GH27" s="17"/>
      <c r="GI27" s="17"/>
      <c r="GJ27" s="17"/>
      <c r="GK27" s="17"/>
      <c r="GL27" s="17"/>
      <c r="GM27" s="17"/>
      <c r="GN27" s="17"/>
      <c r="GO27" s="17"/>
      <c r="GP27" s="17"/>
      <c r="GQ27" s="17"/>
      <c r="GR27" s="17"/>
      <c r="GS27" s="17"/>
      <c r="GT27" s="17"/>
      <c r="GU27" s="17"/>
      <c r="GV27" s="17"/>
      <c r="GW27" s="17"/>
      <c r="GX27" s="17"/>
      <c r="GY27" s="17"/>
      <c r="GZ27" s="17"/>
      <c r="HA27" s="17"/>
      <c r="HB27" s="17"/>
      <c r="HC27" s="17"/>
      <c r="HD27" s="17"/>
      <c r="HE27" s="17"/>
      <c r="HF27" s="17"/>
      <c r="HG27" s="17"/>
      <c r="HH27" s="17"/>
      <c r="HI27" s="17"/>
      <c r="HJ27" s="17"/>
      <c r="HK27" s="17"/>
      <c r="HL27" s="17"/>
      <c r="HM27" s="17"/>
      <c r="HN27" s="17"/>
      <c r="HO27" s="17"/>
      <c r="HP27" s="17"/>
      <c r="HQ27" s="17"/>
      <c r="HR27" s="17"/>
      <c r="HS27" s="17"/>
      <c r="HT27" s="17"/>
      <c r="HU27" s="17"/>
      <c r="HV27" s="17"/>
      <c r="HW27" s="17"/>
      <c r="HX27" s="17"/>
      <c r="HY27" s="17"/>
      <c r="HZ27" s="17"/>
      <c r="IA27" s="17"/>
      <c r="IB27" s="17"/>
      <c r="IC27" s="17"/>
      <c r="ID27" s="17"/>
      <c r="IE27" s="17"/>
      <c r="IF27" s="17"/>
      <c r="IG27" s="17"/>
      <c r="IH27" s="17"/>
      <c r="II27" s="17"/>
      <c r="IJ27" s="17"/>
      <c r="IK27" s="17"/>
      <c r="IL27" s="17"/>
      <c r="IM27" s="17"/>
      <c r="IN27" s="17"/>
      <c r="IO27" s="17"/>
      <c r="IP27" s="17"/>
      <c r="IQ27" s="17"/>
      <c r="IR27" s="17"/>
      <c r="IS27" s="17"/>
      <c r="IT27" s="17"/>
      <c r="IU27" s="17"/>
      <c r="IV27" s="17"/>
      <c r="IW27" s="17"/>
      <c r="IX27" s="17"/>
      <c r="IY27" s="17"/>
      <c r="IZ27" s="17"/>
      <c r="JA27" s="17"/>
      <c r="JB27" s="17"/>
      <c r="JC27" s="17"/>
      <c r="JD27" s="17"/>
      <c r="JE27" s="17"/>
      <c r="JF27" s="17"/>
      <c r="JG27" s="17"/>
      <c r="JH27" s="17"/>
      <c r="JI27" s="17"/>
      <c r="JJ27" s="17"/>
      <c r="JK27" s="17"/>
      <c r="JL27" s="17"/>
      <c r="JM27" s="17"/>
      <c r="JN27" s="17"/>
      <c r="JO27" s="17"/>
      <c r="JP27" s="17"/>
      <c r="JQ27" s="17"/>
      <c r="JR27" s="17"/>
      <c r="JS27" s="17"/>
      <c r="JT27" s="17"/>
      <c r="JU27" s="17"/>
      <c r="JV27" s="17"/>
      <c r="JW27" s="17"/>
      <c r="JX27" s="17"/>
      <c r="JY27" s="17"/>
      <c r="JZ27" s="17"/>
      <c r="KA27" s="17"/>
      <c r="KB27" s="17"/>
      <c r="KC27" s="17"/>
      <c r="KD27" s="17"/>
      <c r="KE27" s="17"/>
      <c r="KF27" s="17"/>
      <c r="KG27" s="17"/>
      <c r="KH27" s="17"/>
      <c r="KI27" s="17"/>
      <c r="KJ27" s="17"/>
      <c r="KK27" s="17"/>
      <c r="KL27" s="17"/>
      <c r="KM27" s="17"/>
      <c r="KN27" s="17"/>
      <c r="KO27" s="17"/>
      <c r="KP27" s="17"/>
      <c r="KQ27" s="17"/>
      <c r="KR27" s="17"/>
      <c r="KS27" s="17"/>
      <c r="KT27" s="17"/>
      <c r="KU27" s="17"/>
      <c r="KV27" s="17"/>
      <c r="KW27" s="17"/>
      <c r="KX27" s="17"/>
      <c r="KY27" s="17"/>
    </row>
    <row r="28" spans="1:311" x14ac:dyDescent="0.25">
      <c r="A28" s="17"/>
      <c r="B28" s="17"/>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c r="AK28" s="17"/>
      <c r="AL28" s="17"/>
      <c r="AM28" s="17"/>
      <c r="AN28" s="17"/>
      <c r="AO28" s="17"/>
      <c r="AP28" s="17"/>
      <c r="AQ28" s="17"/>
      <c r="AR28" s="17"/>
      <c r="AS28" s="17"/>
      <c r="AT28" s="17"/>
      <c r="AU28" s="17"/>
      <c r="AV28" s="17"/>
      <c r="AW28" s="17"/>
      <c r="AX28" s="17"/>
      <c r="AY28" s="17"/>
      <c r="AZ28" s="17"/>
      <c r="BA28" s="17"/>
      <c r="BB28" s="17"/>
      <c r="BC28" s="17"/>
      <c r="BD28" s="17"/>
      <c r="BE28" s="17"/>
      <c r="BF28" s="17"/>
      <c r="BG28" s="17"/>
      <c r="BH28" s="17"/>
      <c r="BI28" s="17"/>
      <c r="BJ28" s="17"/>
      <c r="BK28" s="17"/>
      <c r="BL28" s="17"/>
      <c r="BM28" s="17"/>
      <c r="BN28" s="17"/>
      <c r="BO28" s="17"/>
      <c r="BP28" s="17"/>
      <c r="BQ28" s="17"/>
      <c r="BR28" s="17"/>
      <c r="BS28" s="17"/>
      <c r="BT28" s="17"/>
      <c r="BU28" s="17"/>
      <c r="BV28" s="17"/>
      <c r="BW28" s="17"/>
      <c r="BX28" s="17"/>
      <c r="BY28" s="17"/>
      <c r="BZ28" s="17"/>
      <c r="CA28" s="17"/>
      <c r="CB28" s="17"/>
      <c r="CC28" s="17"/>
      <c r="CD28" s="17"/>
      <c r="CE28" s="17"/>
      <c r="CF28" s="17"/>
      <c r="CG28" s="17"/>
      <c r="CH28" s="17"/>
      <c r="CI28" s="17"/>
      <c r="CJ28" s="17"/>
      <c r="CK28" s="17"/>
      <c r="CL28" s="17"/>
      <c r="CM28" s="17"/>
      <c r="CN28" s="17"/>
      <c r="CO28" s="17"/>
      <c r="CP28" s="17"/>
      <c r="CQ28" s="17"/>
      <c r="CR28" s="17"/>
      <c r="CS28" s="17"/>
      <c r="CT28" s="17"/>
      <c r="CU28" s="17"/>
      <c r="CV28" s="17"/>
      <c r="CW28" s="17"/>
      <c r="CX28" s="17"/>
      <c r="CY28" s="17"/>
      <c r="CZ28" s="17"/>
      <c r="DA28" s="17"/>
      <c r="DB28" s="17"/>
      <c r="DC28" s="17"/>
      <c r="DD28" s="17"/>
      <c r="DE28" s="17"/>
      <c r="DF28" s="17"/>
      <c r="DG28" s="17"/>
      <c r="DH28" s="17"/>
      <c r="DI28" s="17"/>
      <c r="DJ28" s="17"/>
      <c r="DK28" s="17"/>
      <c r="DL28" s="17"/>
      <c r="DM28" s="17"/>
      <c r="DN28" s="17"/>
      <c r="DO28" s="17"/>
      <c r="DP28" s="17"/>
      <c r="DQ28" s="17"/>
      <c r="DR28" s="17"/>
      <c r="DS28" s="17"/>
      <c r="DT28" s="17"/>
      <c r="DU28" s="17"/>
      <c r="DV28" s="17"/>
      <c r="DW28" s="17"/>
      <c r="DX28" s="17"/>
      <c r="DY28" s="17"/>
      <c r="DZ28" s="17"/>
      <c r="EA28" s="17"/>
      <c r="EB28" s="17"/>
      <c r="EC28" s="17"/>
      <c r="ED28" s="17"/>
      <c r="EE28" s="17"/>
      <c r="EF28" s="17"/>
      <c r="EG28" s="17"/>
      <c r="EH28" s="17"/>
      <c r="EI28" s="17"/>
      <c r="EJ28" s="17"/>
      <c r="EK28" s="17"/>
      <c r="EL28" s="17"/>
      <c r="EM28" s="17"/>
      <c r="EN28" s="17"/>
      <c r="EO28" s="17"/>
      <c r="EP28" s="17"/>
      <c r="EQ28" s="17"/>
      <c r="ER28" s="17"/>
      <c r="ES28" s="17"/>
      <c r="ET28" s="17"/>
      <c r="EU28" s="17"/>
      <c r="EV28" s="17"/>
      <c r="EW28" s="17"/>
      <c r="EX28" s="17"/>
      <c r="EY28" s="17"/>
      <c r="EZ28" s="17"/>
      <c r="FA28" s="17"/>
      <c r="FB28" s="17"/>
      <c r="FC28" s="17"/>
      <c r="FD28" s="17"/>
      <c r="FE28" s="17"/>
      <c r="FF28" s="17"/>
      <c r="FG28" s="17"/>
      <c r="FH28" s="17"/>
      <c r="FI28" s="17"/>
      <c r="FJ28" s="17"/>
      <c r="FK28" s="17"/>
      <c r="FL28" s="17"/>
      <c r="FM28" s="17"/>
      <c r="FN28" s="17"/>
      <c r="FO28" s="17"/>
      <c r="FP28" s="17"/>
      <c r="FQ28" s="17"/>
      <c r="FR28" s="17"/>
      <c r="FS28" s="17"/>
      <c r="FT28" s="17"/>
      <c r="FU28" s="17"/>
      <c r="FV28" s="17"/>
      <c r="FW28" s="17"/>
      <c r="FX28" s="17"/>
      <c r="FY28" s="17"/>
      <c r="FZ28" s="17"/>
      <c r="GA28" s="17"/>
      <c r="GB28" s="17"/>
      <c r="GC28" s="17"/>
      <c r="GD28" s="17"/>
      <c r="GE28" s="17"/>
      <c r="GF28" s="17"/>
      <c r="GG28" s="17"/>
      <c r="GH28" s="17"/>
      <c r="GI28" s="17"/>
      <c r="GJ28" s="17"/>
      <c r="GK28" s="17"/>
      <c r="GL28" s="17"/>
      <c r="GM28" s="17"/>
      <c r="GN28" s="17"/>
      <c r="GO28" s="17"/>
      <c r="GP28" s="17"/>
      <c r="GQ28" s="17"/>
      <c r="GR28" s="17"/>
      <c r="GS28" s="17"/>
      <c r="GT28" s="17"/>
      <c r="GU28" s="17"/>
      <c r="GV28" s="17"/>
      <c r="GW28" s="17"/>
      <c r="GX28" s="17"/>
      <c r="GY28" s="17"/>
      <c r="GZ28" s="17"/>
      <c r="HA28" s="17"/>
      <c r="HB28" s="17"/>
      <c r="HC28" s="17"/>
      <c r="HD28" s="17"/>
      <c r="HE28" s="17"/>
      <c r="HF28" s="17"/>
      <c r="HG28" s="17"/>
      <c r="HH28" s="17"/>
      <c r="HI28" s="17"/>
      <c r="HJ28" s="17"/>
      <c r="HK28" s="17"/>
      <c r="HL28" s="17"/>
      <c r="HM28" s="17"/>
      <c r="HN28" s="17"/>
      <c r="HO28" s="17"/>
      <c r="HP28" s="17"/>
      <c r="HQ28" s="17"/>
      <c r="HR28" s="17"/>
      <c r="HS28" s="17"/>
      <c r="HT28" s="17"/>
      <c r="HU28" s="17"/>
      <c r="HV28" s="17"/>
      <c r="HW28" s="17"/>
      <c r="HX28" s="17"/>
      <c r="HY28" s="17"/>
      <c r="HZ28" s="17"/>
      <c r="IA28" s="17"/>
      <c r="IB28" s="17"/>
      <c r="IC28" s="17"/>
      <c r="ID28" s="17"/>
      <c r="IE28" s="17"/>
      <c r="IF28" s="17"/>
      <c r="IG28" s="17"/>
      <c r="IH28" s="17"/>
      <c r="II28" s="17"/>
      <c r="IJ28" s="17"/>
      <c r="IK28" s="17"/>
      <c r="IL28" s="17"/>
      <c r="IM28" s="17"/>
      <c r="IN28" s="17"/>
      <c r="IO28" s="17"/>
      <c r="IP28" s="17"/>
      <c r="IQ28" s="17"/>
      <c r="IR28" s="17"/>
      <c r="IS28" s="17"/>
      <c r="IT28" s="17"/>
      <c r="IU28" s="17"/>
      <c r="IV28" s="17"/>
      <c r="IW28" s="17"/>
      <c r="IX28" s="17"/>
      <c r="IY28" s="17"/>
      <c r="IZ28" s="17"/>
      <c r="JA28" s="17"/>
      <c r="JB28" s="17"/>
      <c r="JC28" s="17"/>
      <c r="JD28" s="17"/>
      <c r="JE28" s="17"/>
      <c r="JF28" s="17"/>
      <c r="JG28" s="17"/>
      <c r="JH28" s="17"/>
      <c r="JI28" s="17"/>
      <c r="JJ28" s="17"/>
      <c r="JK28" s="17"/>
      <c r="JL28" s="17"/>
      <c r="JM28" s="17"/>
      <c r="JN28" s="17"/>
      <c r="JO28" s="17"/>
      <c r="JP28" s="17"/>
      <c r="JQ28" s="17"/>
      <c r="JR28" s="17"/>
      <c r="JS28" s="17"/>
      <c r="JT28" s="17"/>
      <c r="JU28" s="17"/>
      <c r="JV28" s="17"/>
      <c r="JW28" s="17"/>
      <c r="JX28" s="17"/>
      <c r="JY28" s="17"/>
      <c r="JZ28" s="17"/>
      <c r="KA28" s="17"/>
      <c r="KB28" s="17"/>
      <c r="KC28" s="17"/>
      <c r="KD28" s="17"/>
      <c r="KE28" s="17"/>
      <c r="KF28" s="17"/>
      <c r="KG28" s="17"/>
      <c r="KH28" s="17"/>
      <c r="KI28" s="17"/>
      <c r="KJ28" s="17"/>
      <c r="KK28" s="17"/>
      <c r="KL28" s="17"/>
      <c r="KM28" s="17"/>
      <c r="KN28" s="17"/>
      <c r="KO28" s="17"/>
      <c r="KP28" s="17"/>
      <c r="KQ28" s="17"/>
      <c r="KR28" s="17"/>
      <c r="KS28" s="17"/>
      <c r="KT28" s="17"/>
      <c r="KU28" s="17"/>
      <c r="KV28" s="17"/>
      <c r="KW28" s="17"/>
      <c r="KX28" s="17"/>
      <c r="KY28" s="17"/>
    </row>
    <row r="29" spans="1:311" x14ac:dyDescent="0.25">
      <c r="A29" s="17"/>
      <c r="B29" s="17"/>
      <c r="C29" s="17"/>
      <c r="D29" s="17"/>
      <c r="E29" s="17"/>
      <c r="F29" s="17"/>
      <c r="G29" s="17"/>
      <c r="H29" s="17"/>
      <c r="I29" s="17"/>
      <c r="J29" s="17"/>
      <c r="K29" s="17"/>
      <c r="L29" s="17"/>
      <c r="M29" s="17"/>
      <c r="N29" s="17"/>
      <c r="O29" s="17"/>
      <c r="P29" s="17"/>
      <c r="Q29" s="17"/>
      <c r="R29" s="17"/>
      <c r="S29" s="17"/>
      <c r="T29" s="17"/>
      <c r="U29" s="17"/>
      <c r="V29" s="17"/>
      <c r="W29" s="17"/>
      <c r="X29" s="17"/>
      <c r="Y29" s="17"/>
      <c r="Z29" s="17"/>
      <c r="AA29" s="17"/>
      <c r="AB29" s="17"/>
      <c r="AC29" s="17"/>
      <c r="AD29" s="17"/>
      <c r="AE29" s="17"/>
      <c r="AF29" s="17"/>
      <c r="AG29" s="17"/>
      <c r="AH29" s="17"/>
      <c r="AI29" s="17"/>
      <c r="AJ29" s="17"/>
      <c r="AK29" s="17"/>
      <c r="AL29" s="17"/>
      <c r="AM29" s="17"/>
      <c r="AN29" s="17"/>
      <c r="AO29" s="17"/>
      <c r="AP29" s="17"/>
      <c r="AQ29" s="17"/>
      <c r="AR29" s="17"/>
      <c r="AS29" s="17"/>
      <c r="AT29" s="17"/>
      <c r="AU29" s="17"/>
      <c r="AV29" s="17"/>
      <c r="AW29" s="17"/>
      <c r="AX29" s="17"/>
      <c r="AY29" s="17"/>
      <c r="AZ29" s="17"/>
      <c r="BA29" s="17"/>
      <c r="BB29" s="17"/>
      <c r="BC29" s="17"/>
      <c r="BD29" s="17"/>
      <c r="BE29" s="17"/>
      <c r="BF29" s="17"/>
      <c r="BG29" s="17"/>
      <c r="BH29" s="17"/>
      <c r="BI29" s="17"/>
      <c r="BJ29" s="17"/>
      <c r="BK29" s="17"/>
      <c r="BL29" s="17"/>
      <c r="BM29" s="17"/>
      <c r="BN29" s="17"/>
      <c r="BO29" s="17"/>
      <c r="BP29" s="17"/>
      <c r="BQ29" s="17"/>
      <c r="BR29" s="17"/>
      <c r="BS29" s="17"/>
      <c r="BT29" s="17"/>
      <c r="BU29" s="17"/>
      <c r="BV29" s="17"/>
      <c r="BW29" s="17"/>
      <c r="BX29" s="17"/>
      <c r="BY29" s="17"/>
      <c r="BZ29" s="17"/>
      <c r="CA29" s="17"/>
      <c r="CB29" s="17"/>
      <c r="CC29" s="17"/>
      <c r="CD29" s="17"/>
      <c r="CE29" s="17"/>
      <c r="CF29" s="17"/>
      <c r="CG29" s="17"/>
      <c r="CH29" s="17"/>
      <c r="CI29" s="17"/>
      <c r="CJ29" s="17"/>
      <c r="CK29" s="17"/>
      <c r="CL29" s="17"/>
      <c r="CM29" s="17"/>
      <c r="CN29" s="17"/>
      <c r="CO29" s="17"/>
      <c r="CP29" s="17"/>
      <c r="CQ29" s="17"/>
      <c r="CR29" s="17"/>
      <c r="CS29" s="17"/>
      <c r="CT29" s="17"/>
      <c r="CU29" s="17"/>
      <c r="CV29" s="17"/>
      <c r="CW29" s="17"/>
      <c r="CX29" s="17"/>
      <c r="CY29" s="17"/>
      <c r="CZ29" s="17"/>
      <c r="DA29" s="17"/>
      <c r="DB29" s="17"/>
      <c r="DC29" s="17"/>
      <c r="DD29" s="17"/>
      <c r="DE29" s="17"/>
      <c r="DF29" s="17"/>
      <c r="DG29" s="17"/>
      <c r="DH29" s="17"/>
      <c r="DI29" s="17"/>
      <c r="DJ29" s="17"/>
      <c r="DK29" s="17"/>
      <c r="DL29" s="17"/>
      <c r="DM29" s="17"/>
      <c r="DN29" s="17"/>
      <c r="DO29" s="17"/>
      <c r="DP29" s="17"/>
      <c r="DQ29" s="17"/>
      <c r="DR29" s="17"/>
      <c r="DS29" s="17"/>
      <c r="DT29" s="17"/>
      <c r="DU29" s="17"/>
      <c r="DV29" s="17"/>
      <c r="DW29" s="17"/>
      <c r="DX29" s="17"/>
      <c r="DY29" s="17"/>
      <c r="DZ29" s="17"/>
      <c r="EA29" s="17"/>
      <c r="EB29" s="17"/>
      <c r="EC29" s="17"/>
      <c r="ED29" s="17"/>
      <c r="EE29" s="17"/>
      <c r="EF29" s="17"/>
      <c r="EG29" s="17"/>
      <c r="EH29" s="17"/>
      <c r="EI29" s="17"/>
      <c r="EJ29" s="17"/>
      <c r="EK29" s="17"/>
      <c r="EL29" s="17"/>
      <c r="EM29" s="17"/>
      <c r="EN29" s="17"/>
      <c r="EO29" s="17"/>
      <c r="EP29" s="17"/>
      <c r="EQ29" s="17"/>
      <c r="ER29" s="17"/>
      <c r="ES29" s="17"/>
      <c r="ET29" s="17"/>
      <c r="EU29" s="17"/>
      <c r="EV29" s="17"/>
      <c r="EW29" s="17"/>
      <c r="EX29" s="17"/>
      <c r="EY29" s="17"/>
      <c r="EZ29" s="17"/>
      <c r="FA29" s="17"/>
      <c r="FB29" s="17"/>
      <c r="FC29" s="17"/>
      <c r="FD29" s="17"/>
      <c r="FE29" s="17"/>
      <c r="FF29" s="17"/>
      <c r="FG29" s="17"/>
      <c r="FH29" s="17"/>
      <c r="FI29" s="17"/>
      <c r="FJ29" s="17"/>
      <c r="FK29" s="17"/>
      <c r="FL29" s="17"/>
      <c r="FM29" s="17"/>
      <c r="FN29" s="17"/>
      <c r="FO29" s="17"/>
      <c r="FP29" s="17"/>
      <c r="FQ29" s="17"/>
      <c r="FR29" s="17"/>
      <c r="FS29" s="17"/>
      <c r="FT29" s="17"/>
      <c r="FU29" s="17"/>
      <c r="FV29" s="17"/>
      <c r="FW29" s="17"/>
      <c r="FX29" s="17"/>
      <c r="FY29" s="17"/>
      <c r="FZ29" s="17"/>
      <c r="GA29" s="17"/>
      <c r="GB29" s="17"/>
      <c r="GC29" s="17"/>
      <c r="GD29" s="17"/>
      <c r="GE29" s="17"/>
      <c r="GF29" s="17"/>
      <c r="GG29" s="17"/>
      <c r="GH29" s="17"/>
      <c r="GI29" s="17"/>
      <c r="GJ29" s="17"/>
      <c r="GK29" s="17"/>
      <c r="GL29" s="17"/>
      <c r="GM29" s="17"/>
      <c r="GN29" s="17"/>
      <c r="GO29" s="17"/>
      <c r="GP29" s="17"/>
      <c r="GQ29" s="17"/>
      <c r="GR29" s="17"/>
      <c r="GS29" s="17"/>
      <c r="GT29" s="17"/>
      <c r="GU29" s="17"/>
      <c r="GV29" s="17"/>
      <c r="GW29" s="17"/>
      <c r="GX29" s="17"/>
      <c r="GY29" s="17"/>
      <c r="GZ29" s="17"/>
      <c r="HA29" s="17"/>
      <c r="HB29" s="17"/>
      <c r="HC29" s="17"/>
      <c r="HD29" s="17"/>
      <c r="HE29" s="17"/>
      <c r="HF29" s="17"/>
      <c r="HG29" s="17"/>
      <c r="HH29" s="17"/>
      <c r="HI29" s="17"/>
      <c r="HJ29" s="17"/>
      <c r="HK29" s="17"/>
      <c r="HL29" s="17"/>
      <c r="HM29" s="17"/>
      <c r="HN29" s="17"/>
      <c r="HO29" s="17"/>
      <c r="HP29" s="17"/>
      <c r="HQ29" s="17"/>
      <c r="HR29" s="17"/>
      <c r="HS29" s="17"/>
      <c r="HT29" s="17"/>
      <c r="HU29" s="17"/>
      <c r="HV29" s="17"/>
      <c r="HW29" s="17"/>
      <c r="HX29" s="17"/>
      <c r="HY29" s="17"/>
      <c r="HZ29" s="17"/>
      <c r="IA29" s="17"/>
      <c r="IB29" s="17"/>
      <c r="IC29" s="17"/>
      <c r="ID29" s="17"/>
      <c r="IE29" s="17"/>
      <c r="IF29" s="17"/>
      <c r="IG29" s="17"/>
      <c r="IH29" s="17"/>
      <c r="II29" s="17"/>
      <c r="IJ29" s="17"/>
      <c r="IK29" s="17"/>
      <c r="IL29" s="17"/>
      <c r="IM29" s="17"/>
      <c r="IN29" s="17"/>
      <c r="IO29" s="17"/>
      <c r="IP29" s="17"/>
      <c r="IQ29" s="17"/>
      <c r="IR29" s="17"/>
      <c r="IS29" s="17"/>
      <c r="IT29" s="17"/>
      <c r="IU29" s="17"/>
      <c r="IV29" s="17"/>
      <c r="IW29" s="17"/>
      <c r="IX29" s="17"/>
      <c r="IY29" s="17"/>
      <c r="IZ29" s="17"/>
      <c r="JA29" s="17"/>
      <c r="JB29" s="17"/>
      <c r="JC29" s="17"/>
      <c r="JD29" s="17"/>
      <c r="JE29" s="17"/>
      <c r="JF29" s="17"/>
      <c r="JG29" s="17"/>
      <c r="JH29" s="17"/>
      <c r="JI29" s="17"/>
      <c r="JJ29" s="17"/>
      <c r="JK29" s="17"/>
      <c r="JL29" s="17"/>
      <c r="JM29" s="17"/>
      <c r="JN29" s="17"/>
      <c r="JO29" s="17"/>
      <c r="JP29" s="17"/>
      <c r="JQ29" s="17"/>
      <c r="JR29" s="17"/>
      <c r="JS29" s="17"/>
      <c r="JT29" s="17"/>
      <c r="JU29" s="17"/>
      <c r="JV29" s="17"/>
      <c r="JW29" s="17"/>
      <c r="JX29" s="17"/>
      <c r="JY29" s="17"/>
      <c r="JZ29" s="17"/>
      <c r="KA29" s="17"/>
      <c r="KB29" s="17"/>
      <c r="KC29" s="17"/>
      <c r="KD29" s="17"/>
      <c r="KE29" s="17"/>
      <c r="KF29" s="17"/>
      <c r="KG29" s="17"/>
      <c r="KH29" s="17"/>
      <c r="KI29" s="17"/>
      <c r="KJ29" s="17"/>
      <c r="KK29" s="17"/>
      <c r="KL29" s="17"/>
      <c r="KM29" s="17"/>
      <c r="KN29" s="17"/>
      <c r="KO29" s="17"/>
      <c r="KP29" s="17"/>
      <c r="KQ29" s="17"/>
      <c r="KR29" s="17"/>
      <c r="KS29" s="17"/>
      <c r="KT29" s="17"/>
      <c r="KU29" s="17"/>
      <c r="KV29" s="17"/>
      <c r="KW29" s="17"/>
      <c r="KX29" s="17"/>
      <c r="KY29" s="17"/>
    </row>
    <row r="30" spans="1:311" x14ac:dyDescent="0.25">
      <c r="A30" s="17"/>
      <c r="B30" s="17"/>
      <c r="C30" s="17"/>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c r="AK30" s="17"/>
      <c r="AL30" s="17"/>
      <c r="AM30" s="17"/>
      <c r="AN30" s="17"/>
      <c r="AO30" s="17"/>
      <c r="AP30" s="17"/>
      <c r="AQ30" s="17"/>
      <c r="AR30" s="17"/>
      <c r="AS30" s="17"/>
      <c r="AT30" s="17"/>
      <c r="AU30" s="17"/>
      <c r="AV30" s="17"/>
      <c r="AW30" s="17"/>
      <c r="AX30" s="17"/>
      <c r="AY30" s="17"/>
      <c r="AZ30" s="17"/>
      <c r="BA30" s="17"/>
      <c r="BB30" s="17"/>
      <c r="BC30" s="17"/>
      <c r="BD30" s="17"/>
      <c r="BE30" s="17"/>
      <c r="BF30" s="17"/>
      <c r="BG30" s="17"/>
      <c r="BH30" s="17"/>
      <c r="BI30" s="17"/>
      <c r="BJ30" s="17"/>
      <c r="BK30" s="17"/>
      <c r="BL30" s="17"/>
      <c r="BM30" s="17"/>
      <c r="BN30" s="17"/>
      <c r="BO30" s="17"/>
      <c r="BP30" s="17"/>
      <c r="BQ30" s="17"/>
      <c r="BR30" s="17"/>
      <c r="BS30" s="17"/>
      <c r="BT30" s="17"/>
      <c r="BU30" s="17"/>
      <c r="BV30" s="17"/>
      <c r="BW30" s="17"/>
      <c r="BX30" s="17"/>
      <c r="BY30" s="17"/>
      <c r="BZ30" s="17"/>
      <c r="CA30" s="17"/>
      <c r="CB30" s="17"/>
      <c r="CC30" s="17"/>
      <c r="CD30" s="17"/>
      <c r="CE30" s="17"/>
      <c r="CF30" s="17"/>
      <c r="CG30" s="17"/>
      <c r="CH30" s="17"/>
      <c r="CI30" s="17"/>
      <c r="CJ30" s="17"/>
      <c r="CK30" s="17"/>
      <c r="CL30" s="17"/>
      <c r="CM30" s="17"/>
      <c r="CN30" s="17"/>
      <c r="CO30" s="17"/>
      <c r="CP30" s="17"/>
      <c r="CQ30" s="17"/>
      <c r="CR30" s="17"/>
      <c r="CS30" s="17"/>
      <c r="CT30" s="17"/>
      <c r="CU30" s="17"/>
      <c r="CV30" s="17"/>
      <c r="CW30" s="17"/>
      <c r="CX30" s="17"/>
      <c r="CY30" s="17"/>
      <c r="CZ30" s="17"/>
      <c r="DA30" s="17"/>
      <c r="DB30" s="17"/>
      <c r="DC30" s="17"/>
      <c r="DD30" s="17"/>
      <c r="DE30" s="17"/>
      <c r="DF30" s="17"/>
      <c r="DG30" s="17"/>
      <c r="DH30" s="17"/>
      <c r="DI30" s="17"/>
      <c r="DJ30" s="17"/>
      <c r="DK30" s="17"/>
      <c r="DL30" s="17"/>
      <c r="DM30" s="17"/>
      <c r="DN30" s="17"/>
      <c r="DO30" s="17"/>
      <c r="DP30" s="17"/>
      <c r="DQ30" s="17"/>
      <c r="DR30" s="17"/>
      <c r="DS30" s="17"/>
      <c r="DT30" s="17"/>
      <c r="DU30" s="17"/>
      <c r="DV30" s="17"/>
      <c r="DW30" s="17"/>
      <c r="DX30" s="17"/>
      <c r="DY30" s="17"/>
      <c r="DZ30" s="17"/>
      <c r="EA30" s="17"/>
      <c r="EB30" s="17"/>
      <c r="EC30" s="17"/>
      <c r="ED30" s="17"/>
      <c r="EE30" s="17"/>
      <c r="EF30" s="17"/>
      <c r="EG30" s="17"/>
      <c r="EH30" s="17"/>
      <c r="EI30" s="17"/>
      <c r="EJ30" s="17"/>
      <c r="EK30" s="17"/>
      <c r="EL30" s="17"/>
      <c r="EM30" s="17"/>
      <c r="EN30" s="17"/>
      <c r="EO30" s="17"/>
      <c r="EP30" s="17"/>
      <c r="EQ30" s="17"/>
      <c r="ER30" s="17"/>
      <c r="ES30" s="17"/>
      <c r="ET30" s="17"/>
      <c r="EU30" s="17"/>
      <c r="EV30" s="17"/>
      <c r="EW30" s="17"/>
      <c r="EX30" s="17"/>
      <c r="EY30" s="17"/>
      <c r="EZ30" s="17"/>
      <c r="FA30" s="17"/>
      <c r="FB30" s="17"/>
      <c r="FC30" s="17"/>
      <c r="FD30" s="17"/>
      <c r="FE30" s="17"/>
      <c r="FF30" s="17"/>
      <c r="FG30" s="17"/>
      <c r="FH30" s="17"/>
      <c r="FI30" s="17"/>
      <c r="FJ30" s="17"/>
      <c r="FK30" s="17"/>
      <c r="FL30" s="17"/>
      <c r="FM30" s="17"/>
      <c r="FN30" s="17"/>
      <c r="FO30" s="17"/>
      <c r="FP30" s="17"/>
      <c r="FQ30" s="17"/>
      <c r="FR30" s="17"/>
      <c r="FS30" s="17"/>
      <c r="FT30" s="17"/>
      <c r="FU30" s="17"/>
      <c r="FV30" s="17"/>
      <c r="FW30" s="17"/>
      <c r="FX30" s="17"/>
      <c r="FY30" s="17"/>
      <c r="FZ30" s="17"/>
      <c r="GA30" s="17"/>
      <c r="GB30" s="17"/>
      <c r="GC30" s="17"/>
      <c r="GD30" s="17"/>
      <c r="GE30" s="17"/>
      <c r="GF30" s="17"/>
      <c r="GG30" s="17"/>
      <c r="GH30" s="17"/>
      <c r="GI30" s="17"/>
      <c r="GJ30" s="17"/>
      <c r="GK30" s="17"/>
      <c r="GL30" s="17"/>
      <c r="GM30" s="17"/>
      <c r="GN30" s="17"/>
      <c r="GO30" s="17"/>
      <c r="GP30" s="17"/>
      <c r="GQ30" s="17"/>
      <c r="GR30" s="17"/>
      <c r="GS30" s="17"/>
      <c r="GT30" s="17"/>
      <c r="GU30" s="17"/>
      <c r="GV30" s="17"/>
      <c r="GW30" s="17"/>
      <c r="GX30" s="17"/>
      <c r="GY30" s="17"/>
      <c r="GZ30" s="17"/>
      <c r="HA30" s="17"/>
      <c r="HB30" s="17"/>
      <c r="HC30" s="17"/>
      <c r="HD30" s="17"/>
      <c r="HE30" s="17"/>
      <c r="HF30" s="17"/>
      <c r="HG30" s="17"/>
      <c r="HH30" s="17"/>
      <c r="HI30" s="17"/>
      <c r="HJ30" s="17"/>
      <c r="HK30" s="17"/>
      <c r="HL30" s="17"/>
      <c r="HM30" s="17"/>
      <c r="HN30" s="17"/>
      <c r="HO30" s="17"/>
      <c r="HP30" s="17"/>
      <c r="HQ30" s="17"/>
      <c r="HR30" s="17"/>
      <c r="HS30" s="17"/>
      <c r="HT30" s="17"/>
      <c r="HU30" s="17"/>
      <c r="HV30" s="17"/>
      <c r="HW30" s="17"/>
      <c r="HX30" s="17"/>
      <c r="HY30" s="17"/>
      <c r="HZ30" s="17"/>
      <c r="IA30" s="17"/>
      <c r="IB30" s="17"/>
      <c r="IC30" s="17"/>
      <c r="ID30" s="17"/>
      <c r="IE30" s="17"/>
      <c r="IF30" s="17"/>
      <c r="IG30" s="17"/>
      <c r="IH30" s="17"/>
      <c r="II30" s="17"/>
      <c r="IJ30" s="17"/>
      <c r="IK30" s="17"/>
      <c r="IL30" s="17"/>
      <c r="IM30" s="17"/>
      <c r="IN30" s="17"/>
      <c r="IO30" s="17"/>
      <c r="IP30" s="17"/>
      <c r="IQ30" s="17"/>
      <c r="IR30" s="17"/>
      <c r="IS30" s="17"/>
      <c r="IT30" s="17"/>
      <c r="IU30" s="17"/>
      <c r="IV30" s="17"/>
      <c r="IW30" s="17"/>
      <c r="IX30" s="17"/>
      <c r="IY30" s="17"/>
      <c r="IZ30" s="17"/>
      <c r="JA30" s="17"/>
      <c r="JB30" s="17"/>
      <c r="JC30" s="17"/>
      <c r="JD30" s="17"/>
      <c r="JE30" s="17"/>
      <c r="JF30" s="17"/>
      <c r="JG30" s="17"/>
      <c r="JH30" s="17"/>
      <c r="JI30" s="17"/>
      <c r="JJ30" s="17"/>
      <c r="JK30" s="17"/>
      <c r="JL30" s="17"/>
      <c r="JM30" s="17"/>
      <c r="JN30" s="17"/>
      <c r="JO30" s="17"/>
      <c r="JP30" s="17"/>
      <c r="JQ30" s="17"/>
      <c r="JR30" s="17"/>
      <c r="JS30" s="17"/>
      <c r="JT30" s="17"/>
      <c r="JU30" s="17"/>
      <c r="JV30" s="17"/>
      <c r="JW30" s="17"/>
      <c r="JX30" s="17"/>
      <c r="JY30" s="17"/>
      <c r="JZ30" s="17"/>
      <c r="KA30" s="17"/>
      <c r="KB30" s="17"/>
      <c r="KC30" s="17"/>
      <c r="KD30" s="17"/>
      <c r="KE30" s="17"/>
      <c r="KF30" s="17"/>
      <c r="KG30" s="17"/>
      <c r="KH30" s="17"/>
      <c r="KI30" s="17"/>
      <c r="KJ30" s="17"/>
      <c r="KK30" s="17"/>
      <c r="KL30" s="17"/>
      <c r="KM30" s="17"/>
      <c r="KN30" s="17"/>
      <c r="KO30" s="17"/>
      <c r="KP30" s="17"/>
      <c r="KQ30" s="17"/>
      <c r="KR30" s="17"/>
      <c r="KS30" s="17"/>
      <c r="KT30" s="17"/>
      <c r="KU30" s="17"/>
      <c r="KV30" s="17"/>
      <c r="KW30" s="17"/>
      <c r="KX30" s="17"/>
      <c r="KY30" s="17"/>
    </row>
    <row r="31" spans="1:311" x14ac:dyDescent="0.25">
      <c r="A31" s="17"/>
      <c r="B31" s="17"/>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c r="AK31" s="17"/>
      <c r="AL31" s="17"/>
      <c r="AM31" s="17"/>
      <c r="AN31" s="17"/>
      <c r="AO31" s="17"/>
      <c r="AP31" s="17"/>
      <c r="AQ31" s="17"/>
      <c r="AR31" s="17"/>
      <c r="AS31" s="17"/>
      <c r="AT31" s="17"/>
      <c r="AU31" s="17"/>
      <c r="AV31" s="17"/>
      <c r="AW31" s="17"/>
      <c r="AX31" s="17"/>
      <c r="AY31" s="17"/>
      <c r="AZ31" s="17"/>
      <c r="BA31" s="17"/>
      <c r="BB31" s="17"/>
      <c r="BC31" s="17"/>
      <c r="BD31" s="17"/>
      <c r="BE31" s="17"/>
      <c r="BF31" s="17"/>
      <c r="BG31" s="17"/>
      <c r="BH31" s="17"/>
      <c r="BI31" s="17"/>
      <c r="BJ31" s="17"/>
      <c r="BK31" s="17"/>
      <c r="BL31" s="17"/>
      <c r="BM31" s="17"/>
      <c r="BN31" s="17"/>
      <c r="BO31" s="17"/>
      <c r="BP31" s="17"/>
      <c r="BQ31" s="17"/>
      <c r="BR31" s="17"/>
      <c r="BS31" s="17"/>
      <c r="BT31" s="17"/>
      <c r="BU31" s="17"/>
      <c r="BV31" s="17"/>
      <c r="BW31" s="17"/>
      <c r="BX31" s="17"/>
      <c r="BY31" s="17"/>
      <c r="BZ31" s="17"/>
      <c r="CA31" s="17"/>
      <c r="CB31" s="17"/>
      <c r="CC31" s="17"/>
      <c r="CD31" s="17"/>
      <c r="CE31" s="17"/>
      <c r="CF31" s="17"/>
      <c r="CG31" s="17"/>
      <c r="CH31" s="17"/>
      <c r="CI31" s="17"/>
      <c r="CJ31" s="17"/>
      <c r="CK31" s="17"/>
      <c r="CL31" s="17"/>
      <c r="CM31" s="17"/>
      <c r="CN31" s="17"/>
      <c r="CO31" s="17"/>
      <c r="CP31" s="17"/>
      <c r="CQ31" s="17"/>
      <c r="CR31" s="17"/>
      <c r="CS31" s="17"/>
      <c r="CT31" s="17"/>
      <c r="CU31" s="17"/>
      <c r="CV31" s="17"/>
      <c r="CW31" s="17"/>
      <c r="CX31" s="17"/>
      <c r="CY31" s="17"/>
      <c r="CZ31" s="17"/>
      <c r="DA31" s="17"/>
      <c r="DB31" s="17"/>
      <c r="DC31" s="17"/>
      <c r="DD31" s="17"/>
      <c r="DE31" s="17"/>
      <c r="DF31" s="17"/>
      <c r="DG31" s="17"/>
      <c r="DH31" s="17"/>
      <c r="DI31" s="17"/>
      <c r="DJ31" s="17"/>
      <c r="DK31" s="17"/>
      <c r="DL31" s="17"/>
      <c r="DM31" s="17"/>
      <c r="DN31" s="17"/>
      <c r="DO31" s="17"/>
      <c r="DP31" s="17"/>
      <c r="DQ31" s="17"/>
      <c r="DR31" s="17"/>
      <c r="DS31" s="17"/>
      <c r="DT31" s="17"/>
      <c r="DU31" s="17"/>
      <c r="DV31" s="17"/>
      <c r="DW31" s="17"/>
      <c r="DX31" s="17"/>
      <c r="DY31" s="17"/>
      <c r="DZ31" s="17"/>
      <c r="EA31" s="17"/>
      <c r="EB31" s="17"/>
      <c r="EC31" s="17"/>
      <c r="ED31" s="17"/>
      <c r="EE31" s="17"/>
      <c r="EF31" s="17"/>
      <c r="EG31" s="17"/>
      <c r="EH31" s="17"/>
      <c r="EI31" s="17"/>
      <c r="EJ31" s="17"/>
      <c r="EK31" s="17"/>
      <c r="EL31" s="17"/>
      <c r="EM31" s="17"/>
      <c r="EN31" s="17"/>
      <c r="EO31" s="17"/>
      <c r="EP31" s="17"/>
      <c r="EQ31" s="17"/>
      <c r="ER31" s="17"/>
      <c r="ES31" s="17"/>
      <c r="ET31" s="17"/>
      <c r="EU31" s="17"/>
      <c r="EV31" s="17"/>
      <c r="EW31" s="17"/>
      <c r="EX31" s="17"/>
      <c r="EY31" s="17"/>
      <c r="EZ31" s="17"/>
      <c r="FA31" s="17"/>
      <c r="FB31" s="17"/>
      <c r="FC31" s="17"/>
      <c r="FD31" s="17"/>
      <c r="FE31" s="17"/>
      <c r="FF31" s="17"/>
      <c r="FG31" s="17"/>
      <c r="FH31" s="17"/>
      <c r="FI31" s="17"/>
      <c r="FJ31" s="17"/>
      <c r="FK31" s="17"/>
      <c r="FL31" s="17"/>
      <c r="FM31" s="17"/>
      <c r="FN31" s="17"/>
      <c r="FO31" s="17"/>
      <c r="FP31" s="17"/>
      <c r="FQ31" s="17"/>
      <c r="FR31" s="17"/>
      <c r="FS31" s="17"/>
      <c r="FT31" s="17"/>
      <c r="FU31" s="17"/>
      <c r="FV31" s="17"/>
      <c r="FW31" s="17"/>
      <c r="FX31" s="17"/>
      <c r="FY31" s="17"/>
      <c r="FZ31" s="17"/>
      <c r="GA31" s="17"/>
      <c r="GB31" s="17"/>
      <c r="GC31" s="17"/>
      <c r="GD31" s="17"/>
      <c r="GE31" s="17"/>
      <c r="GF31" s="17"/>
      <c r="GG31" s="17"/>
      <c r="GH31" s="17"/>
      <c r="GI31" s="17"/>
      <c r="GJ31" s="17"/>
      <c r="GK31" s="17"/>
      <c r="GL31" s="17"/>
      <c r="GM31" s="17"/>
      <c r="GN31" s="17"/>
      <c r="GO31" s="17"/>
      <c r="GP31" s="17"/>
      <c r="GQ31" s="17"/>
      <c r="GR31" s="17"/>
      <c r="GS31" s="17"/>
      <c r="GT31" s="17"/>
      <c r="GU31" s="17"/>
      <c r="GV31" s="17"/>
      <c r="GW31" s="17"/>
      <c r="GX31" s="17"/>
      <c r="GY31" s="17"/>
      <c r="GZ31" s="17"/>
      <c r="HA31" s="17"/>
      <c r="HB31" s="17"/>
      <c r="HC31" s="17"/>
      <c r="HD31" s="17"/>
      <c r="HE31" s="17"/>
      <c r="HF31" s="17"/>
      <c r="HG31" s="17"/>
      <c r="HH31" s="17"/>
      <c r="HI31" s="17"/>
      <c r="HJ31" s="17"/>
      <c r="HK31" s="17"/>
      <c r="HL31" s="17"/>
      <c r="HM31" s="17"/>
      <c r="HN31" s="17"/>
      <c r="HO31" s="17"/>
      <c r="HP31" s="17"/>
      <c r="HQ31" s="17"/>
      <c r="HR31" s="17"/>
      <c r="HS31" s="17"/>
      <c r="HT31" s="17"/>
      <c r="HU31" s="17"/>
      <c r="HV31" s="17"/>
      <c r="HW31" s="17"/>
      <c r="HX31" s="17"/>
      <c r="HY31" s="17"/>
      <c r="HZ31" s="17"/>
      <c r="IA31" s="17"/>
      <c r="IB31" s="17"/>
      <c r="IC31" s="17"/>
      <c r="ID31" s="17"/>
      <c r="IE31" s="17"/>
      <c r="IF31" s="17"/>
      <c r="IG31" s="17"/>
      <c r="IH31" s="17"/>
      <c r="II31" s="17"/>
      <c r="IJ31" s="17"/>
      <c r="IK31" s="17"/>
      <c r="IL31" s="17"/>
      <c r="IM31" s="17"/>
      <c r="IN31" s="17"/>
      <c r="IO31" s="17"/>
      <c r="IP31" s="17"/>
      <c r="IQ31" s="17"/>
      <c r="IR31" s="17"/>
      <c r="IS31" s="17"/>
      <c r="IT31" s="17"/>
      <c r="IU31" s="17"/>
      <c r="IV31" s="17"/>
      <c r="IW31" s="17"/>
      <c r="IX31" s="17"/>
      <c r="IY31" s="17"/>
      <c r="IZ31" s="17"/>
      <c r="JA31" s="17"/>
      <c r="JB31" s="17"/>
      <c r="JC31" s="17"/>
      <c r="JD31" s="17"/>
      <c r="JE31" s="17"/>
      <c r="JF31" s="17"/>
      <c r="JG31" s="17"/>
      <c r="JH31" s="17"/>
      <c r="JI31" s="17"/>
      <c r="JJ31" s="17"/>
      <c r="JK31" s="17"/>
      <c r="JL31" s="17"/>
      <c r="JM31" s="17"/>
      <c r="JN31" s="17"/>
      <c r="JO31" s="17"/>
      <c r="JP31" s="17"/>
      <c r="JQ31" s="17"/>
      <c r="JR31" s="17"/>
      <c r="JS31" s="17"/>
      <c r="JT31" s="17"/>
      <c r="JU31" s="17"/>
      <c r="JV31" s="17"/>
      <c r="JW31" s="17"/>
      <c r="JX31" s="17"/>
      <c r="JY31" s="17"/>
      <c r="JZ31" s="17"/>
      <c r="KA31" s="17"/>
      <c r="KB31" s="17"/>
      <c r="KC31" s="17"/>
      <c r="KD31" s="17"/>
      <c r="KE31" s="17"/>
      <c r="KF31" s="17"/>
      <c r="KG31" s="17"/>
      <c r="KH31" s="17"/>
      <c r="KI31" s="17"/>
      <c r="KJ31" s="17"/>
      <c r="KK31" s="17"/>
      <c r="KL31" s="17"/>
      <c r="KM31" s="17"/>
      <c r="KN31" s="17"/>
      <c r="KO31" s="17"/>
      <c r="KP31" s="17"/>
      <c r="KQ31" s="17"/>
      <c r="KR31" s="17"/>
      <c r="KS31" s="17"/>
      <c r="KT31" s="17"/>
      <c r="KU31" s="17"/>
      <c r="KV31" s="17"/>
      <c r="KW31" s="17"/>
      <c r="KX31" s="17"/>
      <c r="KY31" s="17"/>
    </row>
    <row r="32" spans="1:311" x14ac:dyDescent="0.25">
      <c r="A32" s="17"/>
      <c r="B32" s="17"/>
      <c r="C32" s="17"/>
      <c r="D32" s="17"/>
      <c r="E32" s="17"/>
      <c r="F32" s="17"/>
      <c r="G32" s="17"/>
      <c r="H32" s="17"/>
      <c r="I32" s="17"/>
      <c r="J32" s="17"/>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c r="AK32" s="17"/>
      <c r="AL32" s="17"/>
      <c r="AM32" s="17"/>
      <c r="AN32" s="17"/>
      <c r="AO32" s="17"/>
      <c r="AP32" s="17"/>
      <c r="AQ32" s="17"/>
      <c r="AR32" s="17"/>
      <c r="AS32" s="17"/>
      <c r="AT32" s="17"/>
      <c r="AU32" s="17"/>
      <c r="AV32" s="17"/>
      <c r="AW32" s="17"/>
      <c r="AX32" s="17"/>
      <c r="AY32" s="17"/>
      <c r="AZ32" s="17"/>
      <c r="BA32" s="17"/>
      <c r="BB32" s="17"/>
      <c r="BC32" s="17"/>
      <c r="BD32" s="17"/>
      <c r="BE32" s="17"/>
      <c r="BF32" s="17"/>
      <c r="BG32" s="17"/>
      <c r="BH32" s="17"/>
      <c r="BI32" s="17"/>
      <c r="BJ32" s="17"/>
      <c r="BK32" s="17"/>
      <c r="BL32" s="17"/>
      <c r="BM32" s="17"/>
      <c r="BN32" s="17"/>
      <c r="BO32" s="17"/>
      <c r="BP32" s="17"/>
      <c r="BQ32" s="17"/>
      <c r="BR32" s="17"/>
      <c r="BS32" s="17"/>
      <c r="BT32" s="17"/>
      <c r="BU32" s="17"/>
      <c r="BV32" s="17"/>
      <c r="BW32" s="17"/>
      <c r="BX32" s="17"/>
      <c r="BY32" s="17"/>
      <c r="BZ32" s="17"/>
      <c r="CA32" s="17"/>
      <c r="CB32" s="17"/>
      <c r="CC32" s="17"/>
      <c r="CD32" s="17"/>
      <c r="CE32" s="17"/>
      <c r="CF32" s="17"/>
      <c r="CG32" s="17"/>
      <c r="CH32" s="17"/>
      <c r="CI32" s="17"/>
      <c r="CJ32" s="17"/>
      <c r="CK32" s="17"/>
      <c r="CL32" s="17"/>
      <c r="CM32" s="17"/>
      <c r="CN32" s="17"/>
      <c r="CO32" s="17"/>
      <c r="CP32" s="17"/>
      <c r="CQ32" s="17"/>
      <c r="CR32" s="17"/>
      <c r="CS32" s="17"/>
      <c r="CT32" s="17"/>
      <c r="CU32" s="17"/>
      <c r="CV32" s="17"/>
      <c r="CW32" s="17"/>
      <c r="CX32" s="17"/>
      <c r="CY32" s="17"/>
      <c r="CZ32" s="17"/>
      <c r="DA32" s="17"/>
      <c r="DB32" s="17"/>
      <c r="DC32" s="17"/>
      <c r="DD32" s="17"/>
      <c r="DE32" s="17"/>
      <c r="DF32" s="17"/>
      <c r="DG32" s="17"/>
      <c r="DH32" s="17"/>
      <c r="DI32" s="17"/>
      <c r="DJ32" s="17"/>
      <c r="DK32" s="17"/>
      <c r="DL32" s="17"/>
      <c r="DM32" s="17"/>
      <c r="DN32" s="17"/>
      <c r="DO32" s="17"/>
      <c r="DP32" s="17"/>
      <c r="DQ32" s="17"/>
      <c r="DR32" s="17"/>
      <c r="DS32" s="17"/>
      <c r="DT32" s="17"/>
      <c r="DU32" s="17"/>
      <c r="DV32" s="17"/>
      <c r="DW32" s="17"/>
      <c r="DX32" s="17"/>
      <c r="DY32" s="17"/>
      <c r="DZ32" s="17"/>
      <c r="EA32" s="17"/>
      <c r="EB32" s="17"/>
      <c r="EC32" s="17"/>
      <c r="ED32" s="17"/>
      <c r="EE32" s="17"/>
      <c r="EF32" s="17"/>
      <c r="EG32" s="17"/>
      <c r="EH32" s="17"/>
      <c r="EI32" s="17"/>
      <c r="EJ32" s="17"/>
      <c r="EK32" s="17"/>
      <c r="EL32" s="17"/>
      <c r="EM32" s="17"/>
      <c r="EN32" s="17"/>
      <c r="EO32" s="17"/>
      <c r="EP32" s="17"/>
      <c r="EQ32" s="17"/>
      <c r="ER32" s="17"/>
      <c r="ES32" s="17"/>
      <c r="ET32" s="17"/>
      <c r="EU32" s="17"/>
      <c r="EV32" s="17"/>
      <c r="EW32" s="17"/>
      <c r="EX32" s="17"/>
      <c r="EY32" s="17"/>
      <c r="EZ32" s="17"/>
      <c r="FA32" s="17"/>
      <c r="FB32" s="17"/>
      <c r="FC32" s="17"/>
      <c r="FD32" s="17"/>
      <c r="FE32" s="17"/>
      <c r="FF32" s="17"/>
      <c r="FG32" s="17"/>
      <c r="FH32" s="17"/>
      <c r="FI32" s="17"/>
      <c r="FJ32" s="17"/>
      <c r="FK32" s="17"/>
      <c r="FL32" s="17"/>
      <c r="FM32" s="17"/>
      <c r="FN32" s="17"/>
      <c r="FO32" s="17"/>
      <c r="FP32" s="17"/>
      <c r="FQ32" s="17"/>
      <c r="FR32" s="17"/>
      <c r="FS32" s="17"/>
      <c r="FT32" s="17"/>
      <c r="FU32" s="17"/>
      <c r="FV32" s="17"/>
      <c r="FW32" s="17"/>
      <c r="FX32" s="17"/>
      <c r="FY32" s="17"/>
      <c r="FZ32" s="17"/>
      <c r="GA32" s="17"/>
      <c r="GB32" s="17"/>
      <c r="GC32" s="17"/>
      <c r="GD32" s="17"/>
      <c r="GE32" s="17"/>
      <c r="GF32" s="17"/>
      <c r="GG32" s="17"/>
      <c r="GH32" s="17"/>
      <c r="GI32" s="17"/>
      <c r="GJ32" s="17"/>
      <c r="GK32" s="17"/>
      <c r="GL32" s="17"/>
      <c r="GM32" s="17"/>
      <c r="GN32" s="17"/>
      <c r="GO32" s="17"/>
      <c r="GP32" s="17"/>
      <c r="GQ32" s="17"/>
      <c r="GR32" s="17"/>
      <c r="GS32" s="17"/>
      <c r="GT32" s="17"/>
      <c r="GU32" s="17"/>
      <c r="GV32" s="17"/>
      <c r="GW32" s="17"/>
      <c r="GX32" s="17"/>
      <c r="GY32" s="17"/>
      <c r="GZ32" s="17"/>
      <c r="HA32" s="17"/>
      <c r="HB32" s="17"/>
      <c r="HC32" s="17"/>
      <c r="HD32" s="17"/>
      <c r="HE32" s="17"/>
      <c r="HF32" s="17"/>
      <c r="HG32" s="17"/>
      <c r="HH32" s="17"/>
      <c r="HI32" s="17"/>
      <c r="HJ32" s="17"/>
      <c r="HK32" s="17"/>
      <c r="HL32" s="17"/>
      <c r="HM32" s="17"/>
      <c r="HN32" s="17"/>
      <c r="HO32" s="17"/>
      <c r="HP32" s="17"/>
      <c r="HQ32" s="17"/>
      <c r="HR32" s="17"/>
      <c r="HS32" s="17"/>
      <c r="HT32" s="17"/>
      <c r="HU32" s="17"/>
      <c r="HV32" s="17"/>
      <c r="HW32" s="17"/>
      <c r="HX32" s="17"/>
      <c r="HY32" s="17"/>
      <c r="HZ32" s="17"/>
      <c r="IA32" s="17"/>
      <c r="IB32" s="17"/>
      <c r="IC32" s="17"/>
      <c r="ID32" s="17"/>
      <c r="IE32" s="17"/>
      <c r="IF32" s="17"/>
      <c r="IG32" s="17"/>
      <c r="IH32" s="17"/>
      <c r="II32" s="17"/>
      <c r="IJ32" s="17"/>
      <c r="IK32" s="17"/>
      <c r="IL32" s="17"/>
      <c r="IM32" s="17"/>
      <c r="IN32" s="17"/>
      <c r="IO32" s="17"/>
      <c r="IP32" s="17"/>
      <c r="IQ32" s="17"/>
      <c r="IR32" s="17"/>
      <c r="IS32" s="17"/>
      <c r="IT32" s="17"/>
      <c r="IU32" s="17"/>
      <c r="IV32" s="17"/>
      <c r="IW32" s="17"/>
      <c r="IX32" s="17"/>
      <c r="IY32" s="17"/>
      <c r="IZ32" s="17"/>
      <c r="JA32" s="17"/>
      <c r="JB32" s="17"/>
      <c r="JC32" s="17"/>
      <c r="JD32" s="17"/>
      <c r="JE32" s="17"/>
      <c r="JF32" s="17"/>
      <c r="JG32" s="17"/>
      <c r="JH32" s="17"/>
      <c r="JI32" s="17"/>
      <c r="JJ32" s="17"/>
      <c r="JK32" s="17"/>
      <c r="JL32" s="17"/>
      <c r="JM32" s="17"/>
      <c r="JN32" s="17"/>
      <c r="JO32" s="17"/>
      <c r="JP32" s="17"/>
      <c r="JQ32" s="17"/>
      <c r="JR32" s="17"/>
      <c r="JS32" s="17"/>
      <c r="JT32" s="17"/>
      <c r="JU32" s="17"/>
      <c r="JV32" s="17"/>
      <c r="JW32" s="17"/>
      <c r="JX32" s="17"/>
      <c r="JY32" s="17"/>
      <c r="JZ32" s="17"/>
      <c r="KA32" s="17"/>
      <c r="KB32" s="17"/>
      <c r="KC32" s="17"/>
      <c r="KD32" s="17"/>
      <c r="KE32" s="17"/>
      <c r="KF32" s="17"/>
      <c r="KG32" s="17"/>
      <c r="KH32" s="17"/>
      <c r="KI32" s="17"/>
      <c r="KJ32" s="17"/>
      <c r="KK32" s="17"/>
      <c r="KL32" s="17"/>
      <c r="KM32" s="17"/>
      <c r="KN32" s="17"/>
      <c r="KO32" s="17"/>
      <c r="KP32" s="17"/>
      <c r="KQ32" s="17"/>
      <c r="KR32" s="17"/>
      <c r="KS32" s="17"/>
      <c r="KT32" s="17"/>
      <c r="KU32" s="17"/>
      <c r="KV32" s="17"/>
      <c r="KW32" s="17"/>
      <c r="KX32" s="17"/>
      <c r="KY32" s="17"/>
    </row>
    <row r="33" spans="1:311" x14ac:dyDescent="0.25">
      <c r="A33" s="17"/>
      <c r="B33" s="17"/>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c r="AK33" s="17"/>
      <c r="AL33" s="17"/>
      <c r="AM33" s="17"/>
      <c r="AN33" s="17"/>
      <c r="AO33" s="17"/>
      <c r="AP33" s="17"/>
      <c r="AQ33" s="17"/>
      <c r="AR33" s="17"/>
      <c r="AS33" s="17"/>
      <c r="AT33" s="17"/>
      <c r="AU33" s="17"/>
      <c r="AV33" s="17"/>
      <c r="AW33" s="17"/>
      <c r="AX33" s="17"/>
      <c r="AY33" s="17"/>
      <c r="AZ33" s="17"/>
      <c r="BA33" s="17"/>
      <c r="BB33" s="17"/>
      <c r="BC33" s="17"/>
      <c r="BD33" s="17"/>
      <c r="BE33" s="17"/>
      <c r="BF33" s="17"/>
      <c r="BG33" s="17"/>
      <c r="BH33" s="17"/>
      <c r="BI33" s="17"/>
      <c r="BJ33" s="17"/>
      <c r="BK33" s="17"/>
      <c r="BL33" s="17"/>
      <c r="BM33" s="17"/>
      <c r="BN33" s="17"/>
      <c r="BO33" s="17"/>
      <c r="BP33" s="17"/>
      <c r="BQ33" s="17"/>
      <c r="BR33" s="17"/>
      <c r="BS33" s="17"/>
      <c r="BT33" s="17"/>
      <c r="BU33" s="17"/>
      <c r="BV33" s="17"/>
      <c r="BW33" s="17"/>
      <c r="BX33" s="17"/>
      <c r="BY33" s="17"/>
      <c r="BZ33" s="17"/>
      <c r="CA33" s="17"/>
      <c r="CB33" s="17"/>
      <c r="CC33" s="17"/>
      <c r="CD33" s="17"/>
      <c r="CE33" s="17"/>
      <c r="CF33" s="17"/>
      <c r="CG33" s="17"/>
      <c r="CH33" s="17"/>
      <c r="CI33" s="17"/>
      <c r="CJ33" s="17"/>
      <c r="CK33" s="17"/>
      <c r="CL33" s="17"/>
      <c r="CM33" s="17"/>
      <c r="CN33" s="17"/>
      <c r="CO33" s="17"/>
      <c r="CP33" s="17"/>
      <c r="CQ33" s="17"/>
      <c r="CR33" s="17"/>
      <c r="CS33" s="17"/>
      <c r="CT33" s="17"/>
      <c r="CU33" s="17"/>
      <c r="CV33" s="17"/>
      <c r="CW33" s="17"/>
      <c r="CX33" s="17"/>
      <c r="CY33" s="17"/>
      <c r="CZ33" s="17"/>
      <c r="DA33" s="17"/>
      <c r="DB33" s="17"/>
      <c r="DC33" s="17"/>
      <c r="DD33" s="17"/>
      <c r="DE33" s="17"/>
      <c r="DF33" s="17"/>
      <c r="DG33" s="17"/>
      <c r="DH33" s="17"/>
      <c r="DI33" s="17"/>
      <c r="DJ33" s="17"/>
      <c r="DK33" s="17"/>
      <c r="DL33" s="17"/>
      <c r="DM33" s="17"/>
      <c r="DN33" s="17"/>
      <c r="DO33" s="17"/>
      <c r="DP33" s="17"/>
      <c r="DQ33" s="17"/>
      <c r="DR33" s="17"/>
      <c r="DS33" s="17"/>
      <c r="DT33" s="17"/>
      <c r="DU33" s="17"/>
      <c r="DV33" s="17"/>
      <c r="DW33" s="17"/>
      <c r="DX33" s="17"/>
      <c r="DY33" s="17"/>
      <c r="DZ33" s="17"/>
      <c r="EA33" s="17"/>
      <c r="EB33" s="17"/>
      <c r="EC33" s="17"/>
      <c r="ED33" s="17"/>
      <c r="EE33" s="17"/>
      <c r="EF33" s="17"/>
      <c r="EG33" s="17"/>
      <c r="EH33" s="17"/>
      <c r="EI33" s="17"/>
      <c r="EJ33" s="17"/>
      <c r="EK33" s="17"/>
      <c r="EL33" s="17"/>
      <c r="EM33" s="17"/>
      <c r="EN33" s="17"/>
      <c r="EO33" s="17"/>
      <c r="EP33" s="17"/>
      <c r="EQ33" s="17"/>
      <c r="ER33" s="17"/>
      <c r="ES33" s="17"/>
      <c r="ET33" s="17"/>
      <c r="EU33" s="17"/>
      <c r="EV33" s="17"/>
      <c r="EW33" s="17"/>
      <c r="EX33" s="17"/>
      <c r="EY33" s="17"/>
      <c r="EZ33" s="17"/>
      <c r="FA33" s="17"/>
      <c r="FB33" s="17"/>
      <c r="FC33" s="17"/>
      <c r="FD33" s="17"/>
      <c r="FE33" s="17"/>
      <c r="FF33" s="17"/>
      <c r="FG33" s="17"/>
      <c r="FH33" s="17"/>
      <c r="FI33" s="17"/>
      <c r="FJ33" s="17"/>
      <c r="FK33" s="17"/>
      <c r="FL33" s="17"/>
      <c r="FM33" s="17"/>
      <c r="FN33" s="17"/>
      <c r="FO33" s="17"/>
      <c r="FP33" s="17"/>
      <c r="FQ33" s="17"/>
      <c r="FR33" s="17"/>
      <c r="FS33" s="17"/>
      <c r="FT33" s="17"/>
      <c r="FU33" s="17"/>
      <c r="FV33" s="17"/>
      <c r="FW33" s="17"/>
      <c r="FX33" s="17"/>
      <c r="FY33" s="17"/>
      <c r="FZ33" s="17"/>
      <c r="GA33" s="17"/>
      <c r="GB33" s="17"/>
      <c r="GC33" s="17"/>
      <c r="GD33" s="17"/>
      <c r="GE33" s="17"/>
      <c r="GF33" s="17"/>
      <c r="GG33" s="17"/>
      <c r="GH33" s="17"/>
      <c r="GI33" s="17"/>
      <c r="GJ33" s="17"/>
      <c r="GK33" s="17"/>
      <c r="GL33" s="17"/>
      <c r="GM33" s="17"/>
      <c r="GN33" s="17"/>
      <c r="GO33" s="17"/>
      <c r="GP33" s="17"/>
      <c r="GQ33" s="17"/>
      <c r="GR33" s="17"/>
      <c r="GS33" s="17"/>
      <c r="GT33" s="17"/>
      <c r="GU33" s="17"/>
      <c r="GV33" s="17"/>
      <c r="GW33" s="17"/>
      <c r="GX33" s="17"/>
      <c r="GY33" s="17"/>
      <c r="GZ33" s="17"/>
      <c r="HA33" s="17"/>
      <c r="HB33" s="17"/>
      <c r="HC33" s="17"/>
      <c r="HD33" s="17"/>
      <c r="HE33" s="17"/>
      <c r="HF33" s="17"/>
      <c r="HG33" s="17"/>
      <c r="HH33" s="17"/>
      <c r="HI33" s="17"/>
      <c r="HJ33" s="17"/>
      <c r="HK33" s="17"/>
      <c r="HL33" s="17"/>
      <c r="HM33" s="17"/>
      <c r="HN33" s="17"/>
      <c r="HO33" s="17"/>
      <c r="HP33" s="17"/>
      <c r="HQ33" s="17"/>
      <c r="HR33" s="17"/>
      <c r="HS33" s="17"/>
      <c r="HT33" s="17"/>
      <c r="HU33" s="17"/>
      <c r="HV33" s="17"/>
      <c r="HW33" s="17"/>
      <c r="HX33" s="17"/>
      <c r="HY33" s="17"/>
      <c r="HZ33" s="17"/>
      <c r="IA33" s="17"/>
      <c r="IB33" s="17"/>
      <c r="IC33" s="17"/>
      <c r="ID33" s="17"/>
      <c r="IE33" s="17"/>
      <c r="IF33" s="17"/>
      <c r="IG33" s="17"/>
      <c r="IH33" s="17"/>
      <c r="II33" s="17"/>
      <c r="IJ33" s="17"/>
      <c r="IK33" s="17"/>
      <c r="IL33" s="17"/>
      <c r="IM33" s="17"/>
      <c r="IN33" s="17"/>
      <c r="IO33" s="17"/>
      <c r="IP33" s="17"/>
      <c r="IQ33" s="17"/>
      <c r="IR33" s="17"/>
      <c r="IS33" s="17"/>
      <c r="IT33" s="17"/>
      <c r="IU33" s="17"/>
      <c r="IV33" s="17"/>
      <c r="IW33" s="17"/>
      <c r="IX33" s="17"/>
      <c r="IY33" s="17"/>
      <c r="IZ33" s="17"/>
      <c r="JA33" s="17"/>
      <c r="JB33" s="17"/>
      <c r="JC33" s="17"/>
      <c r="JD33" s="17"/>
      <c r="JE33" s="17"/>
      <c r="JF33" s="17"/>
      <c r="JG33" s="17"/>
      <c r="JH33" s="17"/>
      <c r="JI33" s="17"/>
      <c r="JJ33" s="17"/>
      <c r="JK33" s="17"/>
      <c r="JL33" s="17"/>
      <c r="JM33" s="17"/>
      <c r="JN33" s="17"/>
      <c r="JO33" s="17"/>
      <c r="JP33" s="17"/>
      <c r="JQ33" s="17"/>
      <c r="JR33" s="17"/>
      <c r="JS33" s="17"/>
      <c r="JT33" s="17"/>
      <c r="JU33" s="17"/>
      <c r="JV33" s="17"/>
      <c r="JW33" s="17"/>
      <c r="JX33" s="17"/>
      <c r="JY33" s="17"/>
      <c r="JZ33" s="17"/>
      <c r="KA33" s="17"/>
      <c r="KB33" s="17"/>
      <c r="KC33" s="17"/>
      <c r="KD33" s="17"/>
      <c r="KE33" s="17"/>
      <c r="KF33" s="17"/>
      <c r="KG33" s="17"/>
      <c r="KH33" s="17"/>
      <c r="KI33" s="17"/>
      <c r="KJ33" s="17"/>
      <c r="KK33" s="17"/>
      <c r="KL33" s="17"/>
      <c r="KM33" s="17"/>
      <c r="KN33" s="17"/>
      <c r="KO33" s="17"/>
      <c r="KP33" s="17"/>
      <c r="KQ33" s="17"/>
      <c r="KR33" s="17"/>
      <c r="KS33" s="17"/>
      <c r="KT33" s="17"/>
      <c r="KU33" s="17"/>
      <c r="KV33" s="17"/>
      <c r="KW33" s="17"/>
      <c r="KX33" s="17"/>
      <c r="KY33" s="17"/>
    </row>
    <row r="34" spans="1:311" x14ac:dyDescent="0.25">
      <c r="A34" s="17"/>
      <c r="B34" s="17"/>
      <c r="C34" s="17"/>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c r="AK34" s="17"/>
      <c r="AL34" s="17"/>
      <c r="AM34" s="17"/>
      <c r="AN34" s="17"/>
      <c r="AO34" s="17"/>
      <c r="AP34" s="17"/>
      <c r="AQ34" s="17"/>
      <c r="AR34" s="17"/>
      <c r="AS34" s="17"/>
      <c r="AT34" s="17"/>
      <c r="AU34" s="17"/>
      <c r="AV34" s="17"/>
      <c r="AW34" s="17"/>
      <c r="AX34" s="17"/>
      <c r="AY34" s="17"/>
      <c r="AZ34" s="17"/>
      <c r="BA34" s="17"/>
      <c r="BB34" s="17"/>
      <c r="BC34" s="17"/>
      <c r="BD34" s="17"/>
      <c r="BE34" s="17"/>
      <c r="BF34" s="17"/>
      <c r="BG34" s="17"/>
      <c r="BH34" s="17"/>
      <c r="BI34" s="17"/>
      <c r="BJ34" s="17"/>
      <c r="BK34" s="17"/>
      <c r="BL34" s="17"/>
      <c r="BM34" s="17"/>
      <c r="BN34" s="17"/>
      <c r="BO34" s="17"/>
      <c r="BP34" s="17"/>
      <c r="BQ34" s="17"/>
      <c r="BR34" s="17"/>
      <c r="BS34" s="17"/>
      <c r="BT34" s="17"/>
      <c r="BU34" s="17"/>
      <c r="BV34" s="17"/>
      <c r="BW34" s="17"/>
      <c r="BX34" s="17"/>
      <c r="BY34" s="17"/>
      <c r="BZ34" s="17"/>
      <c r="CA34" s="17"/>
      <c r="CB34" s="17"/>
      <c r="CC34" s="17"/>
      <c r="CD34" s="17"/>
      <c r="CE34" s="17"/>
      <c r="CF34" s="17"/>
      <c r="CG34" s="17"/>
      <c r="CH34" s="17"/>
      <c r="CI34" s="17"/>
      <c r="CJ34" s="17"/>
      <c r="CK34" s="17"/>
      <c r="CL34" s="17"/>
      <c r="CM34" s="17"/>
      <c r="CN34" s="17"/>
      <c r="CO34" s="17"/>
      <c r="CP34" s="17"/>
      <c r="CQ34" s="17"/>
      <c r="CR34" s="17"/>
      <c r="CS34" s="17"/>
      <c r="CT34" s="17"/>
      <c r="CU34" s="17"/>
      <c r="CV34" s="17"/>
      <c r="CW34" s="17"/>
      <c r="CX34" s="17"/>
      <c r="CY34" s="17"/>
      <c r="CZ34" s="17"/>
      <c r="DA34" s="17"/>
      <c r="DB34" s="17"/>
      <c r="DC34" s="17"/>
      <c r="DD34" s="17"/>
      <c r="DE34" s="17"/>
      <c r="DF34" s="17"/>
      <c r="DG34" s="17"/>
      <c r="DH34" s="17"/>
      <c r="DI34" s="17"/>
      <c r="DJ34" s="17"/>
      <c r="DK34" s="17"/>
      <c r="DL34" s="17"/>
      <c r="DM34" s="17"/>
      <c r="DN34" s="17"/>
      <c r="DO34" s="17"/>
      <c r="DP34" s="17"/>
      <c r="DQ34" s="17"/>
      <c r="DR34" s="17"/>
      <c r="DS34" s="17"/>
      <c r="DT34" s="17"/>
      <c r="DU34" s="17"/>
      <c r="DV34" s="17"/>
      <c r="DW34" s="17"/>
      <c r="DX34" s="17"/>
      <c r="DY34" s="17"/>
      <c r="DZ34" s="17"/>
      <c r="EA34" s="17"/>
      <c r="EB34" s="17"/>
      <c r="EC34" s="17"/>
      <c r="ED34" s="17"/>
      <c r="EE34" s="17"/>
      <c r="EF34" s="17"/>
      <c r="EG34" s="17"/>
      <c r="EH34" s="17"/>
      <c r="EI34" s="17"/>
      <c r="EJ34" s="17"/>
      <c r="EK34" s="17"/>
      <c r="EL34" s="17"/>
      <c r="EM34" s="17"/>
      <c r="EN34" s="17"/>
      <c r="EO34" s="17"/>
      <c r="EP34" s="17"/>
      <c r="EQ34" s="17"/>
      <c r="ER34" s="17"/>
      <c r="ES34" s="17"/>
      <c r="ET34" s="17"/>
      <c r="EU34" s="17"/>
      <c r="EV34" s="17"/>
      <c r="EW34" s="17"/>
      <c r="EX34" s="17"/>
      <c r="EY34" s="17"/>
      <c r="EZ34" s="17"/>
      <c r="FA34" s="17"/>
      <c r="FB34" s="17"/>
      <c r="FC34" s="17"/>
      <c r="FD34" s="17"/>
      <c r="FE34" s="17"/>
      <c r="FF34" s="17"/>
      <c r="FG34" s="17"/>
      <c r="FH34" s="17"/>
      <c r="FI34" s="17"/>
      <c r="FJ34" s="17"/>
      <c r="FK34" s="17"/>
      <c r="FL34" s="17"/>
      <c r="FM34" s="17"/>
      <c r="FN34" s="17"/>
      <c r="FO34" s="17"/>
      <c r="FP34" s="17"/>
      <c r="FQ34" s="17"/>
      <c r="FR34" s="17"/>
      <c r="FS34" s="17"/>
      <c r="FT34" s="17"/>
      <c r="FU34" s="17"/>
      <c r="FV34" s="17"/>
      <c r="FW34" s="17"/>
      <c r="FX34" s="17"/>
      <c r="FY34" s="17"/>
      <c r="FZ34" s="17"/>
      <c r="GA34" s="17"/>
      <c r="GB34" s="17"/>
      <c r="GC34" s="17"/>
      <c r="GD34" s="17"/>
      <c r="GE34" s="17"/>
      <c r="GF34" s="17"/>
      <c r="GG34" s="17"/>
      <c r="GH34" s="17"/>
      <c r="GI34" s="17"/>
      <c r="GJ34" s="17"/>
      <c r="GK34" s="17"/>
      <c r="GL34" s="17"/>
      <c r="GM34" s="17"/>
      <c r="GN34" s="17"/>
      <c r="GO34" s="17"/>
      <c r="GP34" s="17"/>
      <c r="GQ34" s="17"/>
      <c r="GR34" s="17"/>
      <c r="GS34" s="17"/>
      <c r="GT34" s="17"/>
      <c r="GU34" s="17"/>
      <c r="GV34" s="17"/>
      <c r="GW34" s="17"/>
      <c r="GX34" s="17"/>
      <c r="GY34" s="17"/>
      <c r="GZ34" s="17"/>
      <c r="HA34" s="17"/>
      <c r="HB34" s="17"/>
      <c r="HC34" s="17"/>
      <c r="HD34" s="17"/>
      <c r="HE34" s="17"/>
      <c r="HF34" s="17"/>
      <c r="HG34" s="17"/>
      <c r="HH34" s="17"/>
      <c r="HI34" s="17"/>
      <c r="HJ34" s="17"/>
      <c r="HK34" s="17"/>
      <c r="HL34" s="17"/>
      <c r="HM34" s="17"/>
      <c r="HN34" s="17"/>
      <c r="HO34" s="17"/>
      <c r="HP34" s="17"/>
      <c r="HQ34" s="17"/>
      <c r="HR34" s="17"/>
      <c r="HS34" s="17"/>
      <c r="HT34" s="17"/>
      <c r="HU34" s="17"/>
      <c r="HV34" s="17"/>
      <c r="HW34" s="17"/>
      <c r="HX34" s="17"/>
      <c r="HY34" s="17"/>
      <c r="HZ34" s="17"/>
      <c r="IA34" s="17"/>
      <c r="IB34" s="17"/>
      <c r="IC34" s="17"/>
      <c r="ID34" s="17"/>
      <c r="IE34" s="17"/>
      <c r="IF34" s="17"/>
      <c r="IG34" s="17"/>
      <c r="IH34" s="17"/>
      <c r="II34" s="17"/>
      <c r="IJ34" s="17"/>
      <c r="IK34" s="17"/>
      <c r="IL34" s="17"/>
      <c r="IM34" s="17"/>
      <c r="IN34" s="17"/>
      <c r="IO34" s="17"/>
      <c r="IP34" s="17"/>
      <c r="IQ34" s="17"/>
      <c r="IR34" s="17"/>
      <c r="IS34" s="17"/>
      <c r="IT34" s="17"/>
      <c r="IU34" s="17"/>
      <c r="IV34" s="17"/>
      <c r="IW34" s="17"/>
      <c r="IX34" s="17"/>
      <c r="IY34" s="17"/>
      <c r="IZ34" s="17"/>
      <c r="JA34" s="17"/>
      <c r="JB34" s="17"/>
      <c r="JC34" s="17"/>
      <c r="JD34" s="17"/>
      <c r="JE34" s="17"/>
      <c r="JF34" s="17"/>
      <c r="JG34" s="17"/>
      <c r="JH34" s="17"/>
      <c r="JI34" s="17"/>
      <c r="JJ34" s="17"/>
      <c r="JK34" s="17"/>
      <c r="JL34" s="17"/>
      <c r="JM34" s="17"/>
      <c r="JN34" s="17"/>
      <c r="JO34" s="17"/>
      <c r="JP34" s="17"/>
      <c r="JQ34" s="17"/>
      <c r="JR34" s="17"/>
      <c r="JS34" s="17"/>
      <c r="JT34" s="17"/>
      <c r="JU34" s="17"/>
      <c r="JV34" s="17"/>
      <c r="JW34" s="17"/>
      <c r="JX34" s="17"/>
      <c r="JY34" s="17"/>
      <c r="JZ34" s="17"/>
      <c r="KA34" s="17"/>
      <c r="KB34" s="17"/>
      <c r="KC34" s="17"/>
      <c r="KD34" s="17"/>
      <c r="KE34" s="17"/>
      <c r="KF34" s="17"/>
      <c r="KG34" s="17"/>
      <c r="KH34" s="17"/>
      <c r="KI34" s="17"/>
      <c r="KJ34" s="17"/>
      <c r="KK34" s="17"/>
      <c r="KL34" s="17"/>
      <c r="KM34" s="17"/>
      <c r="KN34" s="17"/>
      <c r="KO34" s="17"/>
      <c r="KP34" s="17"/>
      <c r="KQ34" s="17"/>
      <c r="KR34" s="17"/>
      <c r="KS34" s="17"/>
      <c r="KT34" s="17"/>
      <c r="KU34" s="17"/>
      <c r="KV34" s="17"/>
      <c r="KW34" s="17"/>
      <c r="KX34" s="17"/>
      <c r="KY34" s="17"/>
    </row>
    <row r="35" spans="1:311" x14ac:dyDescent="0.25">
      <c r="A35" s="17"/>
      <c r="B35" s="17"/>
      <c r="C35" s="17"/>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c r="AK35" s="17"/>
      <c r="AL35" s="17"/>
      <c r="AM35" s="17"/>
      <c r="AN35" s="17"/>
      <c r="AO35" s="17"/>
      <c r="AP35" s="17"/>
      <c r="AQ35" s="17"/>
      <c r="AR35" s="17"/>
      <c r="AS35" s="17"/>
      <c r="AT35" s="17"/>
      <c r="AU35" s="17"/>
      <c r="AV35" s="17"/>
      <c r="AW35" s="17"/>
      <c r="AX35" s="17"/>
      <c r="AY35" s="17"/>
      <c r="AZ35" s="17"/>
      <c r="BA35" s="17"/>
      <c r="BB35" s="17"/>
      <c r="BC35" s="17"/>
      <c r="BD35" s="17"/>
      <c r="BE35" s="17"/>
      <c r="BF35" s="17"/>
      <c r="BG35" s="17"/>
      <c r="BH35" s="17"/>
      <c r="BI35" s="17"/>
      <c r="BJ35" s="17"/>
      <c r="BK35" s="17"/>
      <c r="BL35" s="17"/>
      <c r="BM35" s="17"/>
      <c r="BN35" s="17"/>
      <c r="BO35" s="17"/>
      <c r="BP35" s="17"/>
      <c r="BQ35" s="17"/>
      <c r="BR35" s="17"/>
      <c r="BS35" s="17"/>
      <c r="BT35" s="17"/>
      <c r="BU35" s="17"/>
      <c r="BV35" s="17"/>
      <c r="BW35" s="17"/>
      <c r="BX35" s="17"/>
      <c r="BY35" s="17"/>
      <c r="BZ35" s="17"/>
      <c r="CA35" s="17"/>
      <c r="CB35" s="17"/>
      <c r="CC35" s="17"/>
      <c r="CD35" s="17"/>
      <c r="CE35" s="17"/>
      <c r="CF35" s="17"/>
      <c r="CG35" s="17"/>
      <c r="CH35" s="17"/>
      <c r="CI35" s="17"/>
      <c r="CJ35" s="17"/>
      <c r="CK35" s="17"/>
      <c r="CL35" s="17"/>
      <c r="CM35" s="17"/>
      <c r="CN35" s="17"/>
      <c r="CO35" s="17"/>
      <c r="CP35" s="17"/>
      <c r="CQ35" s="17"/>
      <c r="CR35" s="17"/>
      <c r="CS35" s="17"/>
      <c r="CT35" s="17"/>
      <c r="CU35" s="17"/>
      <c r="CV35" s="17"/>
      <c r="CW35" s="17"/>
      <c r="CX35" s="17"/>
      <c r="CY35" s="17"/>
      <c r="CZ35" s="17"/>
      <c r="DA35" s="17"/>
      <c r="DB35" s="17"/>
      <c r="DC35" s="17"/>
      <c r="DD35" s="17"/>
      <c r="DE35" s="17"/>
      <c r="DF35" s="17"/>
      <c r="DG35" s="17"/>
      <c r="DH35" s="17"/>
      <c r="DI35" s="17"/>
      <c r="DJ35" s="17"/>
      <c r="DK35" s="17"/>
      <c r="DL35" s="17"/>
      <c r="DM35" s="17"/>
      <c r="DN35" s="17"/>
      <c r="DO35" s="17"/>
      <c r="DP35" s="17"/>
      <c r="DQ35" s="17"/>
      <c r="DR35" s="17"/>
      <c r="DS35" s="17"/>
      <c r="DT35" s="17"/>
      <c r="DU35" s="17"/>
      <c r="DV35" s="17"/>
      <c r="DW35" s="17"/>
      <c r="DX35" s="17"/>
      <c r="DY35" s="17"/>
      <c r="DZ35" s="17"/>
      <c r="EA35" s="17"/>
      <c r="EB35" s="17"/>
      <c r="EC35" s="17"/>
      <c r="ED35" s="17"/>
      <c r="EE35" s="17"/>
      <c r="EF35" s="17"/>
      <c r="EG35" s="17"/>
      <c r="EH35" s="17"/>
      <c r="EI35" s="17"/>
      <c r="EJ35" s="17"/>
      <c r="EK35" s="17"/>
      <c r="EL35" s="17"/>
      <c r="EM35" s="17"/>
      <c r="EN35" s="17"/>
      <c r="EO35" s="17"/>
      <c r="EP35" s="17"/>
      <c r="EQ35" s="17"/>
      <c r="ER35" s="17"/>
      <c r="ES35" s="17"/>
      <c r="ET35" s="17"/>
      <c r="EU35" s="17"/>
      <c r="EV35" s="17"/>
      <c r="EW35" s="17"/>
      <c r="EX35" s="17"/>
      <c r="EY35" s="17"/>
      <c r="EZ35" s="17"/>
      <c r="FA35" s="17"/>
      <c r="FB35" s="17"/>
      <c r="FC35" s="17"/>
      <c r="FD35" s="17"/>
      <c r="FE35" s="17"/>
      <c r="FF35" s="17"/>
      <c r="FG35" s="17"/>
      <c r="FH35" s="17"/>
      <c r="FI35" s="17"/>
      <c r="FJ35" s="17"/>
      <c r="FK35" s="17"/>
      <c r="FL35" s="17"/>
      <c r="FM35" s="17"/>
      <c r="FN35" s="17"/>
      <c r="FO35" s="17"/>
      <c r="FP35" s="17"/>
      <c r="FQ35" s="17"/>
      <c r="FR35" s="17"/>
      <c r="FS35" s="17"/>
      <c r="FT35" s="17"/>
      <c r="FU35" s="17"/>
      <c r="FV35" s="17"/>
      <c r="FW35" s="17"/>
      <c r="FX35" s="17"/>
      <c r="FY35" s="17"/>
      <c r="FZ35" s="17"/>
      <c r="GA35" s="17"/>
      <c r="GB35" s="17"/>
      <c r="GC35" s="17"/>
      <c r="GD35" s="17"/>
      <c r="GE35" s="17"/>
      <c r="GF35" s="17"/>
      <c r="GG35" s="17"/>
      <c r="GH35" s="17"/>
      <c r="GI35" s="17"/>
      <c r="GJ35" s="17"/>
      <c r="GK35" s="17"/>
      <c r="GL35" s="17"/>
      <c r="GM35" s="17"/>
      <c r="GN35" s="17"/>
      <c r="GO35" s="17"/>
      <c r="GP35" s="17"/>
      <c r="GQ35" s="17"/>
      <c r="GR35" s="17"/>
      <c r="GS35" s="17"/>
      <c r="GT35" s="17"/>
      <c r="GU35" s="17"/>
      <c r="GV35" s="17"/>
      <c r="GW35" s="17"/>
      <c r="GX35" s="17"/>
      <c r="GY35" s="17"/>
      <c r="GZ35" s="17"/>
      <c r="HA35" s="17"/>
      <c r="HB35" s="17"/>
      <c r="HC35" s="17"/>
      <c r="HD35" s="17"/>
      <c r="HE35" s="17"/>
      <c r="HF35" s="17"/>
      <c r="HG35" s="17"/>
      <c r="HH35" s="17"/>
      <c r="HI35" s="17"/>
      <c r="HJ35" s="17"/>
      <c r="HK35" s="17"/>
      <c r="HL35" s="17"/>
      <c r="HM35" s="17"/>
      <c r="HN35" s="17"/>
      <c r="HO35" s="17"/>
      <c r="HP35" s="17"/>
      <c r="HQ35" s="17"/>
      <c r="HR35" s="17"/>
      <c r="HS35" s="17"/>
      <c r="HT35" s="17"/>
      <c r="HU35" s="17"/>
      <c r="HV35" s="17"/>
      <c r="HW35" s="17"/>
      <c r="HX35" s="17"/>
      <c r="HY35" s="17"/>
      <c r="HZ35" s="17"/>
      <c r="IA35" s="17"/>
      <c r="IB35" s="17"/>
      <c r="IC35" s="17"/>
      <c r="ID35" s="17"/>
      <c r="IE35" s="17"/>
      <c r="IF35" s="17"/>
      <c r="IG35" s="17"/>
      <c r="IH35" s="17"/>
      <c r="II35" s="17"/>
      <c r="IJ35" s="17"/>
      <c r="IK35" s="17"/>
      <c r="IL35" s="17"/>
      <c r="IM35" s="17"/>
      <c r="IN35" s="17"/>
      <c r="IO35" s="17"/>
      <c r="IP35" s="17"/>
      <c r="IQ35" s="17"/>
      <c r="IR35" s="17"/>
      <c r="IS35" s="17"/>
      <c r="IT35" s="17"/>
      <c r="IU35" s="17"/>
      <c r="IV35" s="17"/>
      <c r="IW35" s="17"/>
      <c r="IX35" s="17"/>
      <c r="IY35" s="17"/>
      <c r="IZ35" s="17"/>
      <c r="JA35" s="17"/>
      <c r="JB35" s="17"/>
      <c r="JC35" s="17"/>
      <c r="JD35" s="17"/>
      <c r="JE35" s="17"/>
      <c r="JF35" s="17"/>
      <c r="JG35" s="17"/>
      <c r="JH35" s="17"/>
      <c r="JI35" s="17"/>
      <c r="JJ35" s="17"/>
      <c r="JK35" s="17"/>
      <c r="JL35" s="17"/>
      <c r="JM35" s="17"/>
      <c r="JN35" s="17"/>
      <c r="JO35" s="17"/>
      <c r="JP35" s="17"/>
      <c r="JQ35" s="17"/>
      <c r="JR35" s="17"/>
      <c r="JS35" s="17"/>
      <c r="JT35" s="17"/>
      <c r="JU35" s="17"/>
      <c r="JV35" s="17"/>
      <c r="JW35" s="17"/>
      <c r="JX35" s="17"/>
      <c r="JY35" s="17"/>
      <c r="JZ35" s="17"/>
      <c r="KA35" s="17"/>
      <c r="KB35" s="17"/>
      <c r="KC35" s="17"/>
      <c r="KD35" s="17"/>
      <c r="KE35" s="17"/>
      <c r="KF35" s="17"/>
      <c r="KG35" s="17"/>
      <c r="KH35" s="17"/>
      <c r="KI35" s="17"/>
      <c r="KJ35" s="17"/>
      <c r="KK35" s="17"/>
      <c r="KL35" s="17"/>
      <c r="KM35" s="17"/>
      <c r="KN35" s="17"/>
      <c r="KO35" s="17"/>
      <c r="KP35" s="17"/>
      <c r="KQ35" s="17"/>
      <c r="KR35" s="17"/>
      <c r="KS35" s="17"/>
      <c r="KT35" s="17"/>
      <c r="KU35" s="17"/>
      <c r="KV35" s="17"/>
      <c r="KW35" s="17"/>
      <c r="KX35" s="17"/>
      <c r="KY35" s="17"/>
    </row>
    <row r="36" spans="1:311" x14ac:dyDescent="0.25">
      <c r="A36" s="17"/>
      <c r="B36" s="17"/>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c r="AK36" s="17"/>
      <c r="AL36" s="17"/>
      <c r="AM36" s="17"/>
      <c r="AN36" s="17"/>
      <c r="AO36" s="17"/>
      <c r="AP36" s="17"/>
      <c r="AQ36" s="17"/>
      <c r="AR36" s="17"/>
      <c r="AS36" s="17"/>
      <c r="AT36" s="17"/>
      <c r="AU36" s="17"/>
      <c r="AV36" s="17"/>
      <c r="AW36" s="17"/>
      <c r="AX36" s="17"/>
      <c r="AY36" s="17"/>
      <c r="AZ36" s="17"/>
      <c r="BA36" s="17"/>
      <c r="BB36" s="17"/>
      <c r="BC36" s="17"/>
      <c r="BD36" s="17"/>
      <c r="BE36" s="17"/>
      <c r="BF36" s="17"/>
      <c r="BG36" s="17"/>
      <c r="BH36" s="17"/>
      <c r="BI36" s="17"/>
      <c r="BJ36" s="17"/>
      <c r="BK36" s="17"/>
      <c r="BL36" s="17"/>
      <c r="BM36" s="17"/>
      <c r="BN36" s="17"/>
      <c r="BO36" s="17"/>
      <c r="BP36" s="17"/>
      <c r="BQ36" s="17"/>
      <c r="BR36" s="17"/>
      <c r="BS36" s="17"/>
      <c r="BT36" s="17"/>
      <c r="BU36" s="17"/>
      <c r="BV36" s="17"/>
      <c r="BW36" s="17"/>
      <c r="BX36" s="17"/>
      <c r="BY36" s="17"/>
      <c r="BZ36" s="17"/>
      <c r="CA36" s="17"/>
      <c r="CB36" s="17"/>
      <c r="CC36" s="17"/>
      <c r="CD36" s="17"/>
      <c r="CE36" s="17"/>
      <c r="CF36" s="17"/>
      <c r="CG36" s="17"/>
      <c r="CH36" s="17"/>
      <c r="CI36" s="17"/>
      <c r="CJ36" s="17"/>
      <c r="CK36" s="17"/>
      <c r="CL36" s="17"/>
      <c r="CM36" s="17"/>
      <c r="CN36" s="17"/>
      <c r="CO36" s="17"/>
      <c r="CP36" s="17"/>
      <c r="CQ36" s="17"/>
      <c r="CR36" s="17"/>
      <c r="CS36" s="17"/>
      <c r="CT36" s="17"/>
      <c r="CU36" s="17"/>
      <c r="CV36" s="17"/>
      <c r="CW36" s="17"/>
      <c r="CX36" s="17"/>
      <c r="CY36" s="17"/>
      <c r="CZ36" s="17"/>
      <c r="DA36" s="17"/>
      <c r="DB36" s="17"/>
      <c r="DC36" s="17"/>
      <c r="DD36" s="17"/>
      <c r="DE36" s="17"/>
      <c r="DF36" s="17"/>
      <c r="DG36" s="17"/>
      <c r="DH36" s="17"/>
      <c r="DI36" s="17"/>
      <c r="DJ36" s="17"/>
      <c r="DK36" s="17"/>
      <c r="DL36" s="17"/>
      <c r="DM36" s="17"/>
      <c r="DN36" s="17"/>
      <c r="DO36" s="17"/>
      <c r="DP36" s="17"/>
      <c r="DQ36" s="17"/>
      <c r="DR36" s="17"/>
      <c r="DS36" s="17"/>
      <c r="DT36" s="17"/>
      <c r="DU36" s="17"/>
      <c r="DV36" s="17"/>
      <c r="DW36" s="17"/>
      <c r="DX36" s="17"/>
      <c r="DY36" s="17"/>
      <c r="DZ36" s="17"/>
      <c r="EA36" s="17"/>
      <c r="EB36" s="17"/>
      <c r="EC36" s="17"/>
      <c r="ED36" s="17"/>
      <c r="EE36" s="17"/>
      <c r="EF36" s="17"/>
      <c r="EG36" s="17"/>
      <c r="EH36" s="17"/>
      <c r="EI36" s="17"/>
      <c r="EJ36" s="17"/>
      <c r="EK36" s="17"/>
      <c r="EL36" s="17"/>
      <c r="EM36" s="17"/>
      <c r="EN36" s="17"/>
      <c r="EO36" s="17"/>
      <c r="EP36" s="17"/>
      <c r="EQ36" s="17"/>
      <c r="ER36" s="17"/>
      <c r="ES36" s="17"/>
      <c r="ET36" s="17"/>
      <c r="EU36" s="17"/>
      <c r="EV36" s="17"/>
      <c r="EW36" s="17"/>
      <c r="EX36" s="17"/>
      <c r="EY36" s="17"/>
      <c r="EZ36" s="17"/>
      <c r="FA36" s="17"/>
      <c r="FB36" s="17"/>
      <c r="FC36" s="17"/>
      <c r="FD36" s="17"/>
      <c r="FE36" s="17"/>
      <c r="FF36" s="17"/>
      <c r="FG36" s="17"/>
      <c r="FH36" s="17"/>
      <c r="FI36" s="17"/>
      <c r="FJ36" s="17"/>
      <c r="FK36" s="17"/>
      <c r="FL36" s="17"/>
      <c r="FM36" s="17"/>
      <c r="FN36" s="17"/>
      <c r="FO36" s="17"/>
      <c r="FP36" s="17"/>
      <c r="FQ36" s="17"/>
      <c r="FR36" s="17"/>
      <c r="FS36" s="17"/>
      <c r="FT36" s="17"/>
      <c r="FU36" s="17"/>
      <c r="FV36" s="17"/>
      <c r="FW36" s="17"/>
      <c r="FX36" s="17"/>
      <c r="FY36" s="17"/>
      <c r="FZ36" s="17"/>
      <c r="GA36" s="17"/>
      <c r="GB36" s="17"/>
      <c r="GC36" s="17"/>
      <c r="GD36" s="17"/>
      <c r="GE36" s="17"/>
      <c r="GF36" s="17"/>
      <c r="GG36" s="17"/>
      <c r="GH36" s="17"/>
      <c r="GI36" s="17"/>
      <c r="GJ36" s="17"/>
      <c r="GK36" s="17"/>
      <c r="GL36" s="17"/>
      <c r="GM36" s="17"/>
      <c r="GN36" s="17"/>
      <c r="GO36" s="17"/>
      <c r="GP36" s="17"/>
      <c r="GQ36" s="17"/>
      <c r="GR36" s="17"/>
      <c r="GS36" s="17"/>
      <c r="GT36" s="17"/>
      <c r="GU36" s="17"/>
      <c r="GV36" s="17"/>
      <c r="GW36" s="17"/>
      <c r="GX36" s="17"/>
      <c r="GY36" s="17"/>
      <c r="GZ36" s="17"/>
      <c r="HA36" s="17"/>
      <c r="HB36" s="17"/>
      <c r="HC36" s="17"/>
      <c r="HD36" s="17"/>
      <c r="HE36" s="17"/>
      <c r="HF36" s="17"/>
      <c r="HG36" s="17"/>
      <c r="HH36" s="17"/>
      <c r="HI36" s="17"/>
      <c r="HJ36" s="17"/>
      <c r="HK36" s="17"/>
      <c r="HL36" s="17"/>
      <c r="HM36" s="17"/>
      <c r="HN36" s="17"/>
      <c r="HO36" s="17"/>
      <c r="HP36" s="17"/>
      <c r="HQ36" s="17"/>
      <c r="HR36" s="17"/>
      <c r="HS36" s="17"/>
      <c r="HT36" s="17"/>
      <c r="HU36" s="17"/>
      <c r="HV36" s="17"/>
      <c r="HW36" s="17"/>
      <c r="HX36" s="17"/>
      <c r="HY36" s="17"/>
      <c r="HZ36" s="17"/>
      <c r="IA36" s="17"/>
      <c r="IB36" s="17"/>
      <c r="IC36" s="17"/>
      <c r="ID36" s="17"/>
      <c r="IE36" s="17"/>
      <c r="IF36" s="17"/>
      <c r="IG36" s="17"/>
      <c r="IH36" s="17"/>
      <c r="II36" s="17"/>
      <c r="IJ36" s="17"/>
      <c r="IK36" s="17"/>
      <c r="IL36" s="17"/>
      <c r="IM36" s="17"/>
      <c r="IN36" s="17"/>
      <c r="IO36" s="17"/>
      <c r="IP36" s="17"/>
      <c r="IQ36" s="17"/>
      <c r="IR36" s="17"/>
      <c r="IS36" s="17"/>
      <c r="IT36" s="17"/>
      <c r="IU36" s="17"/>
      <c r="IV36" s="17"/>
      <c r="IW36" s="17"/>
      <c r="IX36" s="17"/>
      <c r="IY36" s="17"/>
      <c r="IZ36" s="17"/>
      <c r="JA36" s="17"/>
      <c r="JB36" s="17"/>
      <c r="JC36" s="17"/>
      <c r="JD36" s="17"/>
      <c r="JE36" s="17"/>
      <c r="JF36" s="17"/>
      <c r="JG36" s="17"/>
      <c r="JH36" s="17"/>
      <c r="JI36" s="17"/>
      <c r="JJ36" s="17"/>
      <c r="JK36" s="17"/>
      <c r="JL36" s="17"/>
      <c r="JM36" s="17"/>
      <c r="JN36" s="17"/>
      <c r="JO36" s="17"/>
      <c r="JP36" s="17"/>
      <c r="JQ36" s="17"/>
      <c r="JR36" s="17"/>
      <c r="JS36" s="17"/>
      <c r="JT36" s="17"/>
      <c r="JU36" s="17"/>
      <c r="JV36" s="17"/>
      <c r="JW36" s="17"/>
      <c r="JX36" s="17"/>
      <c r="JY36" s="17"/>
      <c r="JZ36" s="17"/>
      <c r="KA36" s="17"/>
      <c r="KB36" s="17"/>
      <c r="KC36" s="17"/>
      <c r="KD36" s="17"/>
      <c r="KE36" s="17"/>
      <c r="KF36" s="17"/>
      <c r="KG36" s="17"/>
      <c r="KH36" s="17"/>
      <c r="KI36" s="17"/>
      <c r="KJ36" s="17"/>
      <c r="KK36" s="17"/>
      <c r="KL36" s="17"/>
      <c r="KM36" s="17"/>
      <c r="KN36" s="17"/>
      <c r="KO36" s="17"/>
      <c r="KP36" s="17"/>
      <c r="KQ36" s="17"/>
      <c r="KR36" s="17"/>
      <c r="KS36" s="17"/>
      <c r="KT36" s="17"/>
      <c r="KU36" s="17"/>
      <c r="KV36" s="17"/>
      <c r="KW36" s="17"/>
      <c r="KX36" s="17"/>
      <c r="KY36" s="17"/>
    </row>
    <row r="37" spans="1:311" x14ac:dyDescent="0.25">
      <c r="A37" s="17"/>
      <c r="B37" s="17"/>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c r="AK37" s="17"/>
      <c r="AL37" s="17"/>
      <c r="AM37" s="17"/>
      <c r="AN37" s="17"/>
      <c r="AO37" s="17"/>
      <c r="AP37" s="17"/>
      <c r="AQ37" s="17"/>
      <c r="AR37" s="17"/>
      <c r="AS37" s="17"/>
      <c r="AT37" s="17"/>
      <c r="AU37" s="17"/>
      <c r="AV37" s="17"/>
      <c r="AW37" s="17"/>
      <c r="AX37" s="17"/>
      <c r="AY37" s="17"/>
      <c r="AZ37" s="17"/>
      <c r="BA37" s="17"/>
      <c r="BB37" s="17"/>
      <c r="BC37" s="17"/>
      <c r="BD37" s="17"/>
      <c r="BE37" s="17"/>
      <c r="BF37" s="17"/>
      <c r="BG37" s="17"/>
      <c r="BH37" s="17"/>
      <c r="BI37" s="17"/>
      <c r="BJ37" s="17"/>
      <c r="BK37" s="17"/>
      <c r="BL37" s="17"/>
      <c r="BM37" s="17"/>
      <c r="BN37" s="17"/>
      <c r="BO37" s="17"/>
      <c r="BP37" s="17"/>
      <c r="BQ37" s="17"/>
      <c r="BR37" s="17"/>
      <c r="BS37" s="17"/>
      <c r="BT37" s="17"/>
      <c r="BU37" s="17"/>
      <c r="BV37" s="17"/>
      <c r="BW37" s="17"/>
      <c r="BX37" s="17"/>
      <c r="BY37" s="17"/>
      <c r="BZ37" s="17"/>
      <c r="CA37" s="17"/>
      <c r="CB37" s="17"/>
      <c r="CC37" s="17"/>
      <c r="CD37" s="17"/>
      <c r="CE37" s="17"/>
      <c r="CF37" s="17"/>
      <c r="CG37" s="17"/>
      <c r="CH37" s="17"/>
      <c r="CI37" s="17"/>
      <c r="CJ37" s="17"/>
      <c r="CK37" s="17"/>
      <c r="CL37" s="17"/>
      <c r="CM37" s="17"/>
      <c r="CN37" s="17"/>
      <c r="CO37" s="17"/>
      <c r="CP37" s="17"/>
      <c r="CQ37" s="17"/>
      <c r="CR37" s="17"/>
      <c r="CS37" s="17"/>
      <c r="CT37" s="17"/>
      <c r="CU37" s="17"/>
      <c r="CV37" s="17"/>
      <c r="CW37" s="17"/>
      <c r="CX37" s="17"/>
      <c r="CY37" s="17"/>
      <c r="CZ37" s="17"/>
      <c r="DA37" s="17"/>
      <c r="DB37" s="17"/>
      <c r="DC37" s="17"/>
      <c r="DD37" s="17"/>
      <c r="DE37" s="17"/>
      <c r="DF37" s="17"/>
      <c r="DG37" s="17"/>
      <c r="DH37" s="17"/>
      <c r="DI37" s="17"/>
      <c r="DJ37" s="17"/>
      <c r="DK37" s="17"/>
      <c r="DL37" s="17"/>
      <c r="DM37" s="17"/>
      <c r="DN37" s="17"/>
      <c r="DO37" s="17"/>
      <c r="DP37" s="17"/>
      <c r="DQ37" s="17"/>
      <c r="DR37" s="17"/>
      <c r="DS37" s="17"/>
      <c r="DT37" s="17"/>
      <c r="DU37" s="17"/>
      <c r="DV37" s="17"/>
      <c r="DW37" s="17"/>
      <c r="DX37" s="17"/>
      <c r="DY37" s="17"/>
      <c r="DZ37" s="17"/>
      <c r="EA37" s="17"/>
      <c r="EB37" s="17"/>
      <c r="EC37" s="17"/>
      <c r="ED37" s="17"/>
      <c r="EE37" s="17"/>
      <c r="EF37" s="17"/>
      <c r="EG37" s="17"/>
      <c r="EH37" s="17"/>
      <c r="EI37" s="17"/>
      <c r="EJ37" s="17"/>
      <c r="EK37" s="17"/>
      <c r="EL37" s="17"/>
      <c r="EM37" s="17"/>
      <c r="EN37" s="17"/>
      <c r="EO37" s="17"/>
      <c r="EP37" s="17"/>
      <c r="EQ37" s="17"/>
      <c r="ER37" s="17"/>
      <c r="ES37" s="17"/>
      <c r="ET37" s="17"/>
      <c r="EU37" s="17"/>
      <c r="EV37" s="17"/>
      <c r="EW37" s="17"/>
      <c r="EX37" s="17"/>
      <c r="EY37" s="17"/>
      <c r="EZ37" s="17"/>
      <c r="FA37" s="17"/>
      <c r="FB37" s="17"/>
      <c r="FC37" s="17"/>
      <c r="FD37" s="17"/>
      <c r="FE37" s="17"/>
      <c r="FF37" s="17"/>
      <c r="FG37" s="17"/>
      <c r="FH37" s="17"/>
      <c r="FI37" s="17"/>
      <c r="FJ37" s="17"/>
      <c r="FK37" s="17"/>
      <c r="FL37" s="17"/>
      <c r="FM37" s="17"/>
      <c r="FN37" s="17"/>
      <c r="FO37" s="17"/>
      <c r="FP37" s="17"/>
      <c r="FQ37" s="17"/>
      <c r="FR37" s="17"/>
      <c r="FS37" s="17"/>
      <c r="FT37" s="17"/>
      <c r="FU37" s="17"/>
      <c r="FV37" s="17"/>
      <c r="FW37" s="17"/>
      <c r="FX37" s="17"/>
      <c r="FY37" s="17"/>
      <c r="FZ37" s="17"/>
      <c r="GA37" s="17"/>
      <c r="GB37" s="17"/>
      <c r="GC37" s="17"/>
      <c r="GD37" s="17"/>
      <c r="GE37" s="17"/>
      <c r="GF37" s="17"/>
      <c r="GG37" s="17"/>
      <c r="GH37" s="17"/>
      <c r="GI37" s="17"/>
      <c r="GJ37" s="17"/>
      <c r="GK37" s="17"/>
      <c r="GL37" s="17"/>
      <c r="GM37" s="17"/>
      <c r="GN37" s="17"/>
      <c r="GO37" s="17"/>
      <c r="GP37" s="17"/>
      <c r="GQ37" s="17"/>
      <c r="GR37" s="17"/>
      <c r="GS37" s="17"/>
      <c r="GT37" s="17"/>
      <c r="GU37" s="17"/>
      <c r="GV37" s="17"/>
      <c r="GW37" s="17"/>
      <c r="GX37" s="17"/>
      <c r="GY37" s="17"/>
      <c r="GZ37" s="17"/>
      <c r="HA37" s="17"/>
      <c r="HB37" s="17"/>
      <c r="HC37" s="17"/>
      <c r="HD37" s="17"/>
      <c r="HE37" s="17"/>
      <c r="HF37" s="17"/>
      <c r="HG37" s="17"/>
      <c r="HH37" s="17"/>
      <c r="HI37" s="17"/>
      <c r="HJ37" s="17"/>
      <c r="HK37" s="17"/>
      <c r="HL37" s="17"/>
      <c r="HM37" s="17"/>
      <c r="HN37" s="17"/>
      <c r="HO37" s="17"/>
      <c r="HP37" s="17"/>
      <c r="HQ37" s="17"/>
      <c r="HR37" s="17"/>
      <c r="HS37" s="17"/>
      <c r="HT37" s="17"/>
      <c r="HU37" s="17"/>
      <c r="HV37" s="17"/>
      <c r="HW37" s="17"/>
      <c r="HX37" s="17"/>
      <c r="HY37" s="17"/>
      <c r="HZ37" s="17"/>
      <c r="IA37" s="17"/>
      <c r="IB37" s="17"/>
      <c r="IC37" s="17"/>
      <c r="ID37" s="17"/>
      <c r="IE37" s="17"/>
      <c r="IF37" s="17"/>
      <c r="IG37" s="17"/>
      <c r="IH37" s="17"/>
      <c r="II37" s="17"/>
      <c r="IJ37" s="17"/>
      <c r="IK37" s="17"/>
      <c r="IL37" s="17"/>
      <c r="IM37" s="17"/>
      <c r="IN37" s="17"/>
      <c r="IO37" s="17"/>
      <c r="IP37" s="17"/>
      <c r="IQ37" s="17"/>
      <c r="IR37" s="17"/>
      <c r="IS37" s="17"/>
      <c r="IT37" s="17"/>
      <c r="IU37" s="17"/>
      <c r="IV37" s="17"/>
      <c r="IW37" s="17"/>
      <c r="IX37" s="17"/>
      <c r="IY37" s="17"/>
      <c r="IZ37" s="17"/>
      <c r="JA37" s="17"/>
      <c r="JB37" s="17"/>
      <c r="JC37" s="17"/>
      <c r="JD37" s="17"/>
      <c r="JE37" s="17"/>
      <c r="JF37" s="17"/>
      <c r="JG37" s="17"/>
      <c r="JH37" s="17"/>
      <c r="JI37" s="17"/>
      <c r="JJ37" s="17"/>
      <c r="JK37" s="17"/>
      <c r="JL37" s="17"/>
      <c r="JM37" s="17"/>
      <c r="JN37" s="17"/>
      <c r="JO37" s="17"/>
      <c r="JP37" s="17"/>
      <c r="JQ37" s="17"/>
      <c r="JR37" s="17"/>
      <c r="JS37" s="17"/>
      <c r="JT37" s="17"/>
      <c r="JU37" s="17"/>
      <c r="JV37" s="17"/>
      <c r="JW37" s="17"/>
      <c r="JX37" s="17"/>
      <c r="JY37" s="17"/>
      <c r="JZ37" s="17"/>
      <c r="KA37" s="17"/>
      <c r="KB37" s="17"/>
      <c r="KC37" s="17"/>
      <c r="KD37" s="17"/>
      <c r="KE37" s="17"/>
      <c r="KF37" s="17"/>
      <c r="KG37" s="17"/>
      <c r="KH37" s="17"/>
      <c r="KI37" s="17"/>
      <c r="KJ37" s="17"/>
      <c r="KK37" s="17"/>
      <c r="KL37" s="17"/>
      <c r="KM37" s="17"/>
      <c r="KN37" s="17"/>
      <c r="KO37" s="17"/>
      <c r="KP37" s="17"/>
      <c r="KQ37" s="17"/>
      <c r="KR37" s="17"/>
      <c r="KS37" s="17"/>
      <c r="KT37" s="17"/>
      <c r="KU37" s="17"/>
      <c r="KV37" s="17"/>
      <c r="KW37" s="17"/>
      <c r="KX37" s="17"/>
      <c r="KY37" s="17"/>
    </row>
    <row r="38" spans="1:311" x14ac:dyDescent="0.25">
      <c r="A38" s="17"/>
      <c r="B38" s="17"/>
      <c r="C38" s="17"/>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c r="AK38" s="17"/>
      <c r="AL38" s="17"/>
      <c r="AM38" s="17"/>
      <c r="AN38" s="17"/>
      <c r="AO38" s="17"/>
      <c r="AP38" s="17"/>
      <c r="AQ38" s="17"/>
      <c r="AR38" s="17"/>
      <c r="AS38" s="17"/>
      <c r="AT38" s="17"/>
      <c r="AU38" s="17"/>
      <c r="AV38" s="17"/>
      <c r="AW38" s="17"/>
      <c r="AX38" s="17"/>
      <c r="AY38" s="17"/>
      <c r="AZ38" s="17"/>
      <c r="BA38" s="17"/>
      <c r="BB38" s="17"/>
      <c r="BC38" s="17"/>
      <c r="BD38" s="17"/>
      <c r="BE38" s="17"/>
      <c r="BF38" s="17"/>
      <c r="BG38" s="17"/>
      <c r="BH38" s="17"/>
      <c r="BI38" s="17"/>
      <c r="BJ38" s="17"/>
      <c r="BK38" s="17"/>
      <c r="BL38" s="17"/>
      <c r="BM38" s="17"/>
      <c r="BN38" s="17"/>
      <c r="BO38" s="17"/>
      <c r="BP38" s="17"/>
      <c r="BQ38" s="17"/>
      <c r="BR38" s="17"/>
      <c r="BS38" s="17"/>
      <c r="BT38" s="17"/>
      <c r="BU38" s="17"/>
      <c r="BV38" s="17"/>
      <c r="BW38" s="17"/>
      <c r="BX38" s="17"/>
      <c r="BY38" s="17"/>
      <c r="BZ38" s="17"/>
      <c r="CA38" s="17"/>
      <c r="CB38" s="17"/>
      <c r="CC38" s="17"/>
      <c r="CD38" s="17"/>
      <c r="CE38" s="17"/>
      <c r="CF38" s="17"/>
      <c r="CG38" s="17"/>
      <c r="CH38" s="17"/>
      <c r="CI38" s="17"/>
      <c r="CJ38" s="17"/>
      <c r="CK38" s="17"/>
      <c r="CL38" s="17"/>
      <c r="CM38" s="17"/>
      <c r="CN38" s="17"/>
      <c r="CO38" s="17"/>
      <c r="CP38" s="17"/>
      <c r="CQ38" s="17"/>
      <c r="CR38" s="17"/>
      <c r="CS38" s="17"/>
      <c r="CT38" s="17"/>
      <c r="CU38" s="17"/>
      <c r="CV38" s="17"/>
      <c r="CW38" s="17"/>
      <c r="CX38" s="17"/>
      <c r="CY38" s="17"/>
      <c r="CZ38" s="17"/>
      <c r="DA38" s="17"/>
      <c r="DB38" s="17"/>
      <c r="DC38" s="17"/>
      <c r="DD38" s="17"/>
      <c r="DE38" s="17"/>
      <c r="DF38" s="17"/>
      <c r="DG38" s="17"/>
      <c r="DH38" s="17"/>
      <c r="DI38" s="17"/>
      <c r="DJ38" s="17"/>
      <c r="DK38" s="17"/>
      <c r="DL38" s="17"/>
      <c r="DM38" s="17"/>
      <c r="DN38" s="17"/>
      <c r="DO38" s="17"/>
      <c r="DP38" s="17"/>
      <c r="DQ38" s="17"/>
      <c r="DR38" s="17"/>
      <c r="DS38" s="17"/>
      <c r="DT38" s="17"/>
      <c r="DU38" s="17"/>
      <c r="DV38" s="17"/>
      <c r="DW38" s="17"/>
      <c r="DX38" s="17"/>
      <c r="DY38" s="17"/>
      <c r="DZ38" s="17"/>
      <c r="EA38" s="17"/>
      <c r="EB38" s="17"/>
      <c r="EC38" s="17"/>
      <c r="ED38" s="17"/>
      <c r="EE38" s="17"/>
      <c r="EF38" s="17"/>
      <c r="EG38" s="17"/>
      <c r="EH38" s="17"/>
      <c r="EI38" s="17"/>
      <c r="EJ38" s="17"/>
      <c r="EK38" s="17"/>
      <c r="EL38" s="17"/>
      <c r="EM38" s="17"/>
      <c r="EN38" s="17"/>
      <c r="EO38" s="17"/>
      <c r="EP38" s="17"/>
      <c r="EQ38" s="17"/>
      <c r="ER38" s="17"/>
      <c r="ES38" s="17"/>
      <c r="ET38" s="17"/>
      <c r="EU38" s="17"/>
      <c r="EV38" s="17"/>
      <c r="EW38" s="17"/>
      <c r="EX38" s="17"/>
      <c r="EY38" s="17"/>
      <c r="EZ38" s="17"/>
      <c r="FA38" s="17"/>
      <c r="FB38" s="17"/>
      <c r="FC38" s="17"/>
      <c r="FD38" s="17"/>
      <c r="FE38" s="17"/>
      <c r="FF38" s="17"/>
      <c r="FG38" s="17"/>
      <c r="FH38" s="17"/>
      <c r="FI38" s="17"/>
      <c r="FJ38" s="17"/>
      <c r="FK38" s="17"/>
      <c r="FL38" s="17"/>
      <c r="FM38" s="17"/>
      <c r="FN38" s="17"/>
      <c r="FO38" s="17"/>
      <c r="FP38" s="17"/>
      <c r="FQ38" s="17"/>
      <c r="FR38" s="17"/>
      <c r="FS38" s="17"/>
      <c r="FT38" s="17"/>
      <c r="FU38" s="17"/>
      <c r="FV38" s="17"/>
      <c r="FW38" s="17"/>
      <c r="FX38" s="17"/>
      <c r="FY38" s="17"/>
      <c r="FZ38" s="17"/>
      <c r="GA38" s="17"/>
      <c r="GB38" s="17"/>
      <c r="GC38" s="17"/>
      <c r="GD38" s="17"/>
      <c r="GE38" s="17"/>
      <c r="GF38" s="17"/>
      <c r="GG38" s="17"/>
      <c r="GH38" s="17"/>
      <c r="GI38" s="17"/>
      <c r="GJ38" s="17"/>
      <c r="GK38" s="17"/>
      <c r="GL38" s="17"/>
      <c r="GM38" s="17"/>
      <c r="GN38" s="17"/>
      <c r="GO38" s="17"/>
      <c r="GP38" s="17"/>
      <c r="GQ38" s="17"/>
      <c r="GR38" s="17"/>
      <c r="GS38" s="17"/>
      <c r="GT38" s="17"/>
      <c r="GU38" s="17"/>
      <c r="GV38" s="17"/>
      <c r="GW38" s="17"/>
      <c r="GX38" s="17"/>
      <c r="GY38" s="17"/>
      <c r="GZ38" s="17"/>
      <c r="HA38" s="17"/>
      <c r="HB38" s="17"/>
      <c r="HC38" s="17"/>
      <c r="HD38" s="17"/>
      <c r="HE38" s="17"/>
      <c r="HF38" s="17"/>
      <c r="HG38" s="17"/>
      <c r="HH38" s="17"/>
      <c r="HI38" s="17"/>
      <c r="HJ38" s="17"/>
      <c r="HK38" s="17"/>
      <c r="HL38" s="17"/>
      <c r="HM38" s="17"/>
      <c r="HN38" s="17"/>
      <c r="HO38" s="17"/>
      <c r="HP38" s="17"/>
      <c r="HQ38" s="17"/>
      <c r="HR38" s="17"/>
      <c r="HS38" s="17"/>
      <c r="HT38" s="17"/>
      <c r="HU38" s="17"/>
      <c r="HV38" s="17"/>
      <c r="HW38" s="17"/>
      <c r="HX38" s="17"/>
      <c r="HY38" s="17"/>
      <c r="HZ38" s="17"/>
      <c r="IA38" s="17"/>
      <c r="IB38" s="17"/>
      <c r="IC38" s="17"/>
      <c r="ID38" s="17"/>
      <c r="IE38" s="17"/>
      <c r="IF38" s="17"/>
      <c r="IG38" s="17"/>
      <c r="IH38" s="17"/>
      <c r="II38" s="17"/>
      <c r="IJ38" s="17"/>
      <c r="IK38" s="17"/>
      <c r="IL38" s="17"/>
      <c r="IM38" s="17"/>
      <c r="IN38" s="17"/>
      <c r="IO38" s="17"/>
      <c r="IP38" s="17"/>
      <c r="IQ38" s="17"/>
      <c r="IR38" s="17"/>
      <c r="IS38" s="17"/>
      <c r="IT38" s="17"/>
      <c r="IU38" s="17"/>
      <c r="IV38" s="17"/>
      <c r="IW38" s="17"/>
      <c r="IX38" s="17"/>
      <c r="IY38" s="17"/>
      <c r="IZ38" s="17"/>
      <c r="JA38" s="17"/>
      <c r="JB38" s="17"/>
      <c r="JC38" s="17"/>
      <c r="JD38" s="17"/>
      <c r="JE38" s="17"/>
      <c r="JF38" s="17"/>
      <c r="JG38" s="17"/>
      <c r="JH38" s="17"/>
      <c r="JI38" s="17"/>
      <c r="JJ38" s="17"/>
      <c r="JK38" s="17"/>
      <c r="JL38" s="17"/>
      <c r="JM38" s="17"/>
      <c r="JN38" s="17"/>
      <c r="JO38" s="17"/>
      <c r="JP38" s="17"/>
      <c r="JQ38" s="17"/>
      <c r="JR38" s="17"/>
      <c r="JS38" s="17"/>
      <c r="JT38" s="17"/>
      <c r="JU38" s="17"/>
      <c r="JV38" s="17"/>
      <c r="JW38" s="17"/>
      <c r="JX38" s="17"/>
      <c r="JY38" s="17"/>
      <c r="JZ38" s="17"/>
      <c r="KA38" s="17"/>
      <c r="KB38" s="17"/>
      <c r="KC38" s="17"/>
      <c r="KD38" s="17"/>
      <c r="KE38" s="17"/>
      <c r="KF38" s="17"/>
      <c r="KG38" s="17"/>
      <c r="KH38" s="17"/>
      <c r="KI38" s="17"/>
      <c r="KJ38" s="17"/>
      <c r="KK38" s="17"/>
      <c r="KL38" s="17"/>
      <c r="KM38" s="17"/>
      <c r="KN38" s="17"/>
      <c r="KO38" s="17"/>
      <c r="KP38" s="17"/>
      <c r="KQ38" s="17"/>
      <c r="KR38" s="17"/>
      <c r="KS38" s="17"/>
      <c r="KT38" s="17"/>
      <c r="KU38" s="17"/>
      <c r="KV38" s="17"/>
      <c r="KW38" s="17"/>
      <c r="KX38" s="17"/>
      <c r="KY38" s="17"/>
    </row>
    <row r="39" spans="1:311" x14ac:dyDescent="0.25">
      <c r="A39" s="17"/>
      <c r="B39" s="17"/>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c r="AK39" s="17"/>
      <c r="AL39" s="17"/>
      <c r="AM39" s="17"/>
      <c r="AN39" s="17"/>
      <c r="AO39" s="17"/>
      <c r="AP39" s="17"/>
      <c r="AQ39" s="17"/>
      <c r="AR39" s="17"/>
      <c r="AS39" s="17"/>
      <c r="AT39" s="17"/>
      <c r="AU39" s="17"/>
      <c r="AV39" s="17"/>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17"/>
      <c r="CE39" s="17"/>
      <c r="CF39" s="17"/>
      <c r="CG39" s="17"/>
      <c r="CH39" s="17"/>
      <c r="CI39" s="17"/>
      <c r="CJ39" s="17"/>
      <c r="CK39" s="17"/>
      <c r="CL39" s="17"/>
      <c r="CM39" s="17"/>
      <c r="CN39" s="17"/>
      <c r="CO39" s="17"/>
      <c r="CP39" s="17"/>
      <c r="CQ39" s="17"/>
      <c r="CR39" s="17"/>
      <c r="CS39" s="17"/>
      <c r="CT39" s="17"/>
      <c r="CU39" s="17"/>
      <c r="CV39" s="17"/>
      <c r="CW39" s="17"/>
      <c r="CX39" s="17"/>
      <c r="CY39" s="17"/>
      <c r="CZ39" s="17"/>
      <c r="DA39" s="17"/>
      <c r="DB39" s="17"/>
      <c r="DC39" s="17"/>
      <c r="DD39" s="17"/>
      <c r="DE39" s="17"/>
      <c r="DF39" s="17"/>
      <c r="DG39" s="17"/>
      <c r="DH39" s="17"/>
      <c r="DI39" s="17"/>
      <c r="DJ39" s="17"/>
      <c r="DK39" s="17"/>
      <c r="DL39" s="17"/>
      <c r="DM39" s="17"/>
      <c r="DN39" s="17"/>
      <c r="DO39" s="17"/>
      <c r="DP39" s="17"/>
      <c r="DQ39" s="17"/>
      <c r="DR39" s="17"/>
      <c r="DS39" s="17"/>
      <c r="DT39" s="17"/>
      <c r="DU39" s="17"/>
      <c r="DV39" s="17"/>
      <c r="DW39" s="17"/>
      <c r="DX39" s="17"/>
      <c r="DY39" s="17"/>
      <c r="DZ39" s="17"/>
      <c r="EA39" s="17"/>
      <c r="EB39" s="17"/>
      <c r="EC39" s="17"/>
      <c r="ED39" s="17"/>
      <c r="EE39" s="17"/>
      <c r="EF39" s="17"/>
      <c r="EG39" s="17"/>
      <c r="EH39" s="17"/>
      <c r="EI39" s="17"/>
      <c r="EJ39" s="17"/>
      <c r="EK39" s="17"/>
      <c r="EL39" s="17"/>
      <c r="EM39" s="17"/>
      <c r="EN39" s="17"/>
      <c r="EO39" s="17"/>
      <c r="EP39" s="17"/>
      <c r="EQ39" s="17"/>
      <c r="ER39" s="17"/>
      <c r="ES39" s="17"/>
      <c r="ET39" s="17"/>
      <c r="EU39" s="17"/>
      <c r="EV39" s="17"/>
      <c r="EW39" s="17"/>
      <c r="EX39" s="17"/>
      <c r="EY39" s="17"/>
      <c r="EZ39" s="17"/>
      <c r="FA39" s="17"/>
      <c r="FB39" s="17"/>
      <c r="FC39" s="17"/>
      <c r="FD39" s="17"/>
      <c r="FE39" s="17"/>
      <c r="FF39" s="17"/>
      <c r="FG39" s="17"/>
      <c r="FH39" s="17"/>
      <c r="FI39" s="17"/>
      <c r="FJ39" s="17"/>
      <c r="FK39" s="17"/>
      <c r="FL39" s="17"/>
      <c r="FM39" s="17"/>
      <c r="FN39" s="17"/>
      <c r="FO39" s="17"/>
      <c r="FP39" s="17"/>
      <c r="FQ39" s="17"/>
      <c r="FR39" s="17"/>
      <c r="FS39" s="17"/>
      <c r="FT39" s="17"/>
      <c r="FU39" s="17"/>
      <c r="FV39" s="17"/>
      <c r="FW39" s="17"/>
      <c r="FX39" s="17"/>
      <c r="FY39" s="17"/>
      <c r="FZ39" s="17"/>
      <c r="GA39" s="17"/>
      <c r="GB39" s="17"/>
      <c r="GC39" s="17"/>
      <c r="GD39" s="17"/>
      <c r="GE39" s="17"/>
      <c r="GF39" s="17"/>
      <c r="GG39" s="17"/>
      <c r="GH39" s="17"/>
      <c r="GI39" s="17"/>
      <c r="GJ39" s="17"/>
      <c r="GK39" s="17"/>
      <c r="GL39" s="17"/>
      <c r="GM39" s="17"/>
      <c r="GN39" s="17"/>
      <c r="GO39" s="17"/>
      <c r="GP39" s="17"/>
      <c r="GQ39" s="17"/>
      <c r="GR39" s="17"/>
      <c r="GS39" s="17"/>
      <c r="GT39" s="17"/>
      <c r="GU39" s="17"/>
      <c r="GV39" s="17"/>
      <c r="GW39" s="17"/>
      <c r="GX39" s="17"/>
      <c r="GY39" s="17"/>
      <c r="GZ39" s="17"/>
      <c r="HA39" s="17"/>
      <c r="HB39" s="17"/>
      <c r="HC39" s="17"/>
      <c r="HD39" s="17"/>
      <c r="HE39" s="17"/>
      <c r="HF39" s="17"/>
      <c r="HG39" s="17"/>
      <c r="HH39" s="17"/>
      <c r="HI39" s="17"/>
      <c r="HJ39" s="17"/>
      <c r="HK39" s="17"/>
      <c r="HL39" s="17"/>
      <c r="HM39" s="17"/>
      <c r="HN39" s="17"/>
      <c r="HO39" s="17"/>
      <c r="HP39" s="17"/>
      <c r="HQ39" s="17"/>
      <c r="HR39" s="17"/>
      <c r="HS39" s="17"/>
      <c r="HT39" s="17"/>
      <c r="HU39" s="17"/>
      <c r="HV39" s="17"/>
      <c r="HW39" s="17"/>
      <c r="HX39" s="17"/>
      <c r="HY39" s="17"/>
      <c r="HZ39" s="17"/>
      <c r="IA39" s="17"/>
      <c r="IB39" s="17"/>
      <c r="IC39" s="17"/>
      <c r="ID39" s="17"/>
      <c r="IE39" s="17"/>
      <c r="IF39" s="17"/>
      <c r="IG39" s="17"/>
      <c r="IH39" s="17"/>
      <c r="II39" s="17"/>
      <c r="IJ39" s="17"/>
      <c r="IK39" s="17"/>
      <c r="IL39" s="17"/>
      <c r="IM39" s="17"/>
      <c r="IN39" s="17"/>
      <c r="IO39" s="17"/>
      <c r="IP39" s="17"/>
      <c r="IQ39" s="17"/>
      <c r="IR39" s="17"/>
      <c r="IS39" s="17"/>
      <c r="IT39" s="17"/>
      <c r="IU39" s="17"/>
      <c r="IV39" s="17"/>
      <c r="IW39" s="17"/>
      <c r="IX39" s="17"/>
      <c r="IY39" s="17"/>
      <c r="IZ39" s="17"/>
      <c r="JA39" s="17"/>
      <c r="JB39" s="17"/>
      <c r="JC39" s="17"/>
      <c r="JD39" s="17"/>
      <c r="JE39" s="17"/>
      <c r="JF39" s="17"/>
      <c r="JG39" s="17"/>
      <c r="JH39" s="17"/>
      <c r="JI39" s="17"/>
      <c r="JJ39" s="17"/>
      <c r="JK39" s="17"/>
      <c r="JL39" s="17"/>
      <c r="JM39" s="17"/>
      <c r="JN39" s="17"/>
      <c r="JO39" s="17"/>
      <c r="JP39" s="17"/>
      <c r="JQ39" s="17"/>
      <c r="JR39" s="17"/>
      <c r="JS39" s="17"/>
      <c r="JT39" s="17"/>
      <c r="JU39" s="17"/>
      <c r="JV39" s="17"/>
      <c r="JW39" s="17"/>
      <c r="JX39" s="17"/>
      <c r="JY39" s="17"/>
      <c r="JZ39" s="17"/>
      <c r="KA39" s="17"/>
      <c r="KB39" s="17"/>
      <c r="KC39" s="17"/>
      <c r="KD39" s="17"/>
      <c r="KE39" s="17"/>
      <c r="KF39" s="17"/>
      <c r="KG39" s="17"/>
      <c r="KH39" s="17"/>
      <c r="KI39" s="17"/>
      <c r="KJ39" s="17"/>
      <c r="KK39" s="17"/>
      <c r="KL39" s="17"/>
      <c r="KM39" s="17"/>
      <c r="KN39" s="17"/>
      <c r="KO39" s="17"/>
      <c r="KP39" s="17"/>
      <c r="KQ39" s="17"/>
      <c r="KR39" s="17"/>
      <c r="KS39" s="17"/>
      <c r="KT39" s="17"/>
      <c r="KU39" s="17"/>
      <c r="KV39" s="17"/>
      <c r="KW39" s="17"/>
      <c r="KX39" s="17"/>
      <c r="KY39" s="17"/>
    </row>
    <row r="40" spans="1:311" x14ac:dyDescent="0.25">
      <c r="A40" s="17"/>
      <c r="B40" s="17"/>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c r="AK40" s="17"/>
      <c r="AL40" s="17"/>
      <c r="AM40" s="17"/>
      <c r="AN40" s="17"/>
      <c r="AO40" s="17"/>
      <c r="AP40" s="17"/>
      <c r="AQ40" s="17"/>
      <c r="AR40" s="17"/>
      <c r="AS40" s="17"/>
      <c r="AT40" s="17"/>
      <c r="AU40" s="17"/>
      <c r="AV40" s="17"/>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17"/>
      <c r="CE40" s="17"/>
      <c r="CF40" s="17"/>
      <c r="CG40" s="17"/>
      <c r="CH40" s="17"/>
      <c r="CI40" s="17"/>
      <c r="CJ40" s="17"/>
      <c r="CK40" s="17"/>
      <c r="CL40" s="17"/>
      <c r="CM40" s="17"/>
      <c r="CN40" s="17"/>
      <c r="CO40" s="17"/>
      <c r="CP40" s="17"/>
      <c r="CQ40" s="17"/>
      <c r="CR40" s="17"/>
      <c r="CS40" s="17"/>
      <c r="CT40" s="17"/>
      <c r="CU40" s="17"/>
      <c r="CV40" s="17"/>
      <c r="CW40" s="17"/>
      <c r="CX40" s="17"/>
      <c r="CY40" s="17"/>
      <c r="CZ40" s="17"/>
      <c r="DA40" s="17"/>
      <c r="DB40" s="17"/>
      <c r="DC40" s="17"/>
      <c r="DD40" s="17"/>
      <c r="DE40" s="17"/>
      <c r="DF40" s="17"/>
      <c r="DG40" s="17"/>
      <c r="DH40" s="17"/>
      <c r="DI40" s="17"/>
      <c r="DJ40" s="17"/>
      <c r="DK40" s="17"/>
      <c r="DL40" s="17"/>
      <c r="DM40" s="17"/>
      <c r="DN40" s="17"/>
      <c r="DO40" s="17"/>
      <c r="DP40" s="17"/>
      <c r="DQ40" s="17"/>
      <c r="DR40" s="17"/>
      <c r="DS40" s="17"/>
      <c r="DT40" s="17"/>
      <c r="DU40" s="17"/>
      <c r="DV40" s="17"/>
      <c r="DW40" s="17"/>
      <c r="DX40" s="17"/>
      <c r="DY40" s="17"/>
      <c r="DZ40" s="17"/>
      <c r="EA40" s="17"/>
      <c r="EB40" s="17"/>
      <c r="EC40" s="17"/>
      <c r="ED40" s="17"/>
      <c r="EE40" s="17"/>
      <c r="EF40" s="17"/>
      <c r="EG40" s="17"/>
      <c r="EH40" s="17"/>
      <c r="EI40" s="17"/>
      <c r="EJ40" s="17"/>
      <c r="EK40" s="17"/>
      <c r="EL40" s="17"/>
      <c r="EM40" s="17"/>
      <c r="EN40" s="17"/>
      <c r="EO40" s="17"/>
      <c r="EP40" s="17"/>
      <c r="EQ40" s="17"/>
      <c r="ER40" s="17"/>
      <c r="ES40" s="17"/>
      <c r="ET40" s="17"/>
      <c r="EU40" s="17"/>
      <c r="EV40" s="17"/>
      <c r="EW40" s="17"/>
      <c r="EX40" s="17"/>
      <c r="EY40" s="17"/>
      <c r="EZ40" s="17"/>
      <c r="FA40" s="17"/>
      <c r="FB40" s="17"/>
      <c r="FC40" s="17"/>
      <c r="FD40" s="17"/>
      <c r="FE40" s="17"/>
      <c r="FF40" s="17"/>
      <c r="FG40" s="17"/>
      <c r="FH40" s="17"/>
      <c r="FI40" s="17"/>
      <c r="FJ40" s="17"/>
      <c r="FK40" s="17"/>
      <c r="FL40" s="17"/>
      <c r="FM40" s="17"/>
      <c r="FN40" s="17"/>
      <c r="FO40" s="17"/>
      <c r="FP40" s="17"/>
      <c r="FQ40" s="17"/>
      <c r="FR40" s="17"/>
      <c r="FS40" s="17"/>
      <c r="FT40" s="17"/>
      <c r="FU40" s="17"/>
      <c r="FV40" s="17"/>
      <c r="FW40" s="17"/>
      <c r="FX40" s="17"/>
      <c r="FY40" s="17"/>
      <c r="FZ40" s="17"/>
      <c r="GA40" s="17"/>
      <c r="GB40" s="17"/>
      <c r="GC40" s="17"/>
      <c r="GD40" s="17"/>
      <c r="GE40" s="17"/>
      <c r="GF40" s="17"/>
      <c r="GG40" s="17"/>
      <c r="GH40" s="17"/>
      <c r="GI40" s="17"/>
      <c r="GJ40" s="17"/>
      <c r="GK40" s="17"/>
      <c r="GL40" s="17"/>
      <c r="GM40" s="17"/>
      <c r="GN40" s="17"/>
      <c r="GO40" s="17"/>
      <c r="GP40" s="17"/>
      <c r="GQ40" s="17"/>
      <c r="GR40" s="17"/>
      <c r="GS40" s="17"/>
      <c r="GT40" s="17"/>
      <c r="GU40" s="17"/>
      <c r="GV40" s="17"/>
      <c r="GW40" s="17"/>
      <c r="GX40" s="17"/>
      <c r="GY40" s="17"/>
      <c r="GZ40" s="17"/>
      <c r="HA40" s="17"/>
      <c r="HB40" s="17"/>
      <c r="HC40" s="17"/>
      <c r="HD40" s="17"/>
      <c r="HE40" s="17"/>
      <c r="HF40" s="17"/>
      <c r="HG40" s="17"/>
      <c r="HH40" s="17"/>
      <c r="HI40" s="17"/>
      <c r="HJ40" s="17"/>
      <c r="HK40" s="17"/>
      <c r="HL40" s="17"/>
      <c r="HM40" s="17"/>
      <c r="HN40" s="17"/>
      <c r="HO40" s="17"/>
      <c r="HP40" s="17"/>
      <c r="HQ40" s="17"/>
      <c r="HR40" s="17"/>
      <c r="HS40" s="17"/>
      <c r="HT40" s="17"/>
      <c r="HU40" s="17"/>
      <c r="HV40" s="17"/>
      <c r="HW40" s="17"/>
      <c r="HX40" s="17"/>
      <c r="HY40" s="17"/>
      <c r="HZ40" s="17"/>
      <c r="IA40" s="17"/>
      <c r="IB40" s="17"/>
      <c r="IC40" s="17"/>
      <c r="ID40" s="17"/>
      <c r="IE40" s="17"/>
      <c r="IF40" s="17"/>
      <c r="IG40" s="17"/>
      <c r="IH40" s="17"/>
      <c r="II40" s="17"/>
      <c r="IJ40" s="17"/>
      <c r="IK40" s="17"/>
      <c r="IL40" s="17"/>
      <c r="IM40" s="17"/>
      <c r="IN40" s="17"/>
      <c r="IO40" s="17"/>
      <c r="IP40" s="17"/>
      <c r="IQ40" s="17"/>
      <c r="IR40" s="17"/>
      <c r="IS40" s="17"/>
      <c r="IT40" s="17"/>
      <c r="IU40" s="17"/>
      <c r="IV40" s="17"/>
      <c r="IW40" s="17"/>
      <c r="IX40" s="17"/>
      <c r="IY40" s="17"/>
      <c r="IZ40" s="17"/>
      <c r="JA40" s="17"/>
      <c r="JB40" s="17"/>
      <c r="JC40" s="17"/>
      <c r="JD40" s="17"/>
      <c r="JE40" s="17"/>
      <c r="JF40" s="17"/>
      <c r="JG40" s="17"/>
      <c r="JH40" s="17"/>
      <c r="JI40" s="17"/>
      <c r="JJ40" s="17"/>
      <c r="JK40" s="17"/>
      <c r="JL40" s="17"/>
      <c r="JM40" s="17"/>
      <c r="JN40" s="17"/>
      <c r="JO40" s="17"/>
      <c r="JP40" s="17"/>
      <c r="JQ40" s="17"/>
      <c r="JR40" s="17"/>
      <c r="JS40" s="17"/>
      <c r="JT40" s="17"/>
      <c r="JU40" s="17"/>
      <c r="JV40" s="17"/>
      <c r="JW40" s="17"/>
      <c r="JX40" s="17"/>
      <c r="JY40" s="17"/>
      <c r="JZ40" s="17"/>
      <c r="KA40" s="17"/>
      <c r="KB40" s="17"/>
      <c r="KC40" s="17"/>
      <c r="KD40" s="17"/>
      <c r="KE40" s="17"/>
      <c r="KF40" s="17"/>
      <c r="KG40" s="17"/>
      <c r="KH40" s="17"/>
      <c r="KI40" s="17"/>
      <c r="KJ40" s="17"/>
      <c r="KK40" s="17"/>
      <c r="KL40" s="17"/>
      <c r="KM40" s="17"/>
      <c r="KN40" s="17"/>
      <c r="KO40" s="17"/>
      <c r="KP40" s="17"/>
      <c r="KQ40" s="17"/>
      <c r="KR40" s="17"/>
      <c r="KS40" s="17"/>
      <c r="KT40" s="17"/>
      <c r="KU40" s="17"/>
      <c r="KV40" s="17"/>
      <c r="KW40" s="17"/>
      <c r="KX40" s="17"/>
      <c r="KY40" s="17"/>
    </row>
    <row r="41" spans="1:311" x14ac:dyDescent="0.25">
      <c r="A41" s="17"/>
      <c r="B41" s="17"/>
      <c r="C41" s="17"/>
      <c r="D41" s="17"/>
      <c r="E41" s="17"/>
      <c r="F41" s="17"/>
      <c r="G41" s="17"/>
      <c r="H41" s="17"/>
      <c r="I41" s="17"/>
      <c r="J41" s="17"/>
      <c r="K41" s="17"/>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c r="AK41" s="17"/>
      <c r="AL41" s="17"/>
      <c r="AM41" s="17"/>
      <c r="AN41" s="17"/>
      <c r="AO41" s="17"/>
      <c r="AP41" s="17"/>
      <c r="AQ41" s="17"/>
      <c r="AR41" s="17"/>
      <c r="AS41" s="17"/>
      <c r="AT41" s="17"/>
      <c r="AU41" s="17"/>
      <c r="AV41" s="17"/>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17"/>
      <c r="CE41" s="17"/>
      <c r="CF41" s="17"/>
      <c r="CG41" s="17"/>
      <c r="CH41" s="17"/>
      <c r="CI41" s="17"/>
      <c r="CJ41" s="17"/>
      <c r="CK41" s="17"/>
      <c r="CL41" s="17"/>
      <c r="CM41" s="17"/>
      <c r="CN41" s="17"/>
      <c r="CO41" s="17"/>
      <c r="CP41" s="17"/>
      <c r="CQ41" s="17"/>
      <c r="CR41" s="17"/>
      <c r="CS41" s="17"/>
      <c r="CT41" s="17"/>
      <c r="CU41" s="17"/>
      <c r="CV41" s="17"/>
      <c r="CW41" s="17"/>
      <c r="CX41" s="17"/>
      <c r="CY41" s="17"/>
      <c r="CZ41" s="17"/>
      <c r="DA41" s="17"/>
      <c r="DB41" s="17"/>
      <c r="DC41" s="17"/>
      <c r="DD41" s="17"/>
      <c r="DE41" s="17"/>
      <c r="DF41" s="17"/>
      <c r="DG41" s="17"/>
      <c r="DH41" s="17"/>
      <c r="DI41" s="17"/>
      <c r="DJ41" s="17"/>
      <c r="DK41" s="17"/>
      <c r="DL41" s="17"/>
      <c r="DM41" s="17"/>
      <c r="DN41" s="17"/>
      <c r="DO41" s="17"/>
      <c r="DP41" s="17"/>
      <c r="DQ41" s="17"/>
      <c r="DR41" s="17"/>
      <c r="DS41" s="17"/>
      <c r="DT41" s="17"/>
      <c r="DU41" s="17"/>
      <c r="DV41" s="17"/>
      <c r="DW41" s="17"/>
      <c r="DX41" s="17"/>
      <c r="DY41" s="17"/>
      <c r="DZ41" s="17"/>
      <c r="EA41" s="17"/>
      <c r="EB41" s="17"/>
      <c r="EC41" s="17"/>
      <c r="ED41" s="17"/>
      <c r="EE41" s="17"/>
      <c r="EF41" s="17"/>
      <c r="EG41" s="17"/>
      <c r="EH41" s="17"/>
      <c r="EI41" s="17"/>
      <c r="EJ41" s="17"/>
      <c r="EK41" s="17"/>
      <c r="EL41" s="17"/>
      <c r="EM41" s="17"/>
      <c r="EN41" s="17"/>
      <c r="EO41" s="17"/>
      <c r="EP41" s="17"/>
      <c r="EQ41" s="17"/>
      <c r="ER41" s="17"/>
      <c r="ES41" s="17"/>
      <c r="ET41" s="17"/>
      <c r="EU41" s="17"/>
      <c r="EV41" s="17"/>
      <c r="EW41" s="17"/>
      <c r="EX41" s="17"/>
      <c r="EY41" s="17"/>
      <c r="EZ41" s="17"/>
      <c r="FA41" s="17"/>
      <c r="FB41" s="17"/>
      <c r="FC41" s="17"/>
      <c r="FD41" s="17"/>
      <c r="FE41" s="17"/>
      <c r="FF41" s="17"/>
      <c r="FG41" s="17"/>
      <c r="FH41" s="17"/>
      <c r="FI41" s="17"/>
      <c r="FJ41" s="17"/>
      <c r="FK41" s="17"/>
      <c r="FL41" s="17"/>
      <c r="FM41" s="17"/>
      <c r="FN41" s="17"/>
      <c r="FO41" s="17"/>
      <c r="FP41" s="17"/>
      <c r="FQ41" s="17"/>
      <c r="FR41" s="17"/>
      <c r="FS41" s="17"/>
      <c r="FT41" s="17"/>
      <c r="FU41" s="17"/>
      <c r="FV41" s="17"/>
      <c r="FW41" s="17"/>
      <c r="FX41" s="17"/>
      <c r="FY41" s="17"/>
      <c r="FZ41" s="17"/>
      <c r="GA41" s="17"/>
      <c r="GB41" s="17"/>
      <c r="GC41" s="17"/>
      <c r="GD41" s="17"/>
      <c r="GE41" s="17"/>
      <c r="GF41" s="17"/>
      <c r="GG41" s="17"/>
      <c r="GH41" s="17"/>
      <c r="GI41" s="17"/>
      <c r="GJ41" s="17"/>
      <c r="GK41" s="17"/>
      <c r="GL41" s="17"/>
      <c r="GM41" s="17"/>
      <c r="GN41" s="17"/>
      <c r="GO41" s="17"/>
      <c r="GP41" s="17"/>
      <c r="GQ41" s="17"/>
      <c r="GR41" s="17"/>
      <c r="GS41" s="17"/>
      <c r="GT41" s="17"/>
      <c r="GU41" s="17"/>
      <c r="GV41" s="17"/>
      <c r="GW41" s="17"/>
      <c r="GX41" s="17"/>
      <c r="GY41" s="17"/>
      <c r="GZ41" s="17"/>
      <c r="HA41" s="17"/>
      <c r="HB41" s="17"/>
      <c r="HC41" s="17"/>
      <c r="HD41" s="17"/>
      <c r="HE41" s="17"/>
      <c r="HF41" s="17"/>
      <c r="HG41" s="17"/>
      <c r="HH41" s="17"/>
      <c r="HI41" s="17"/>
      <c r="HJ41" s="17"/>
      <c r="HK41" s="17"/>
      <c r="HL41" s="17"/>
      <c r="HM41" s="17"/>
      <c r="HN41" s="17"/>
      <c r="HO41" s="17"/>
      <c r="HP41" s="17"/>
      <c r="HQ41" s="17"/>
      <c r="HR41" s="17"/>
      <c r="HS41" s="17"/>
      <c r="HT41" s="17"/>
      <c r="HU41" s="17"/>
      <c r="HV41" s="17"/>
      <c r="HW41" s="17"/>
      <c r="HX41" s="17"/>
      <c r="HY41" s="17"/>
      <c r="HZ41" s="17"/>
      <c r="IA41" s="17"/>
      <c r="IB41" s="17"/>
      <c r="IC41" s="17"/>
      <c r="ID41" s="17"/>
      <c r="IE41" s="17"/>
      <c r="IF41" s="17"/>
      <c r="IG41" s="17"/>
      <c r="IH41" s="17"/>
      <c r="II41" s="17"/>
      <c r="IJ41" s="17"/>
      <c r="IK41" s="17"/>
      <c r="IL41" s="17"/>
      <c r="IM41" s="17"/>
      <c r="IN41" s="17"/>
      <c r="IO41" s="17"/>
      <c r="IP41" s="17"/>
      <c r="IQ41" s="17"/>
      <c r="IR41" s="17"/>
      <c r="IS41" s="17"/>
      <c r="IT41" s="17"/>
      <c r="IU41" s="17"/>
      <c r="IV41" s="17"/>
      <c r="IW41" s="17"/>
      <c r="IX41" s="17"/>
      <c r="IY41" s="17"/>
      <c r="IZ41" s="17"/>
      <c r="JA41" s="17"/>
      <c r="JB41" s="17"/>
      <c r="JC41" s="17"/>
      <c r="JD41" s="17"/>
      <c r="JE41" s="17"/>
      <c r="JF41" s="17"/>
      <c r="JG41" s="17"/>
      <c r="JH41" s="17"/>
      <c r="JI41" s="17"/>
      <c r="JJ41" s="17"/>
      <c r="JK41" s="17"/>
      <c r="JL41" s="17"/>
      <c r="JM41" s="17"/>
      <c r="JN41" s="17"/>
      <c r="JO41" s="17"/>
      <c r="JP41" s="17"/>
      <c r="JQ41" s="17"/>
      <c r="JR41" s="17"/>
      <c r="JS41" s="17"/>
      <c r="JT41" s="17"/>
      <c r="JU41" s="17"/>
      <c r="JV41" s="17"/>
      <c r="JW41" s="17"/>
      <c r="JX41" s="17"/>
      <c r="JY41" s="17"/>
      <c r="JZ41" s="17"/>
      <c r="KA41" s="17"/>
      <c r="KB41" s="17"/>
      <c r="KC41" s="17"/>
      <c r="KD41" s="17"/>
      <c r="KE41" s="17"/>
      <c r="KF41" s="17"/>
      <c r="KG41" s="17"/>
      <c r="KH41" s="17"/>
      <c r="KI41" s="17"/>
      <c r="KJ41" s="17"/>
      <c r="KK41" s="17"/>
      <c r="KL41" s="17"/>
      <c r="KM41" s="17"/>
      <c r="KN41" s="17"/>
      <c r="KO41" s="17"/>
      <c r="KP41" s="17"/>
      <c r="KQ41" s="17"/>
      <c r="KR41" s="17"/>
      <c r="KS41" s="17"/>
      <c r="KT41" s="17"/>
      <c r="KU41" s="17"/>
      <c r="KV41" s="17"/>
      <c r="KW41" s="17"/>
      <c r="KX41" s="17"/>
      <c r="KY41" s="17"/>
    </row>
    <row r="42" spans="1:311" x14ac:dyDescent="0.25">
      <c r="A42" s="17"/>
      <c r="B42" s="17"/>
      <c r="C42" s="17"/>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c r="AK42" s="17"/>
      <c r="AL42" s="17"/>
      <c r="AM42" s="17"/>
      <c r="AN42" s="17"/>
      <c r="AO42" s="17"/>
      <c r="AP42" s="17"/>
      <c r="AQ42" s="17"/>
      <c r="AR42" s="17"/>
      <c r="AS42" s="17"/>
      <c r="AT42" s="17"/>
      <c r="AU42" s="17"/>
      <c r="AV42" s="17"/>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17"/>
      <c r="CE42" s="17"/>
      <c r="CF42" s="17"/>
      <c r="CG42" s="17"/>
      <c r="CH42" s="17"/>
      <c r="CI42" s="17"/>
      <c r="CJ42" s="17"/>
      <c r="CK42" s="17"/>
      <c r="CL42" s="17"/>
      <c r="CM42" s="17"/>
      <c r="CN42" s="17"/>
      <c r="CO42" s="17"/>
      <c r="CP42" s="17"/>
      <c r="CQ42" s="17"/>
      <c r="CR42" s="17"/>
      <c r="CS42" s="17"/>
      <c r="CT42" s="17"/>
      <c r="CU42" s="17"/>
      <c r="CV42" s="17"/>
      <c r="CW42" s="17"/>
      <c r="CX42" s="17"/>
      <c r="CY42" s="17"/>
      <c r="CZ42" s="17"/>
      <c r="DA42" s="17"/>
      <c r="DB42" s="17"/>
      <c r="DC42" s="17"/>
      <c r="DD42" s="17"/>
      <c r="DE42" s="17"/>
      <c r="DF42" s="17"/>
      <c r="DG42" s="17"/>
      <c r="DH42" s="17"/>
      <c r="DI42" s="17"/>
      <c r="DJ42" s="17"/>
      <c r="DK42" s="17"/>
      <c r="DL42" s="17"/>
      <c r="DM42" s="17"/>
      <c r="DN42" s="17"/>
      <c r="DO42" s="17"/>
      <c r="DP42" s="17"/>
      <c r="DQ42" s="17"/>
      <c r="DR42" s="17"/>
      <c r="DS42" s="17"/>
      <c r="DT42" s="17"/>
      <c r="DU42" s="17"/>
      <c r="DV42" s="17"/>
      <c r="DW42" s="17"/>
      <c r="DX42" s="17"/>
      <c r="DY42" s="17"/>
      <c r="DZ42" s="17"/>
      <c r="EA42" s="17"/>
      <c r="EB42" s="17"/>
      <c r="EC42" s="17"/>
      <c r="ED42" s="17"/>
      <c r="EE42" s="17"/>
      <c r="EF42" s="17"/>
      <c r="EG42" s="17"/>
      <c r="EH42" s="17"/>
      <c r="EI42" s="17"/>
      <c r="EJ42" s="17"/>
      <c r="EK42" s="17"/>
      <c r="EL42" s="17"/>
      <c r="EM42" s="17"/>
      <c r="EN42" s="17"/>
      <c r="EO42" s="17"/>
      <c r="EP42" s="17"/>
      <c r="EQ42" s="17"/>
      <c r="ER42" s="17"/>
      <c r="ES42" s="17"/>
      <c r="ET42" s="17"/>
      <c r="EU42" s="17"/>
      <c r="EV42" s="17"/>
      <c r="EW42" s="17"/>
      <c r="EX42" s="17"/>
      <c r="EY42" s="17"/>
      <c r="EZ42" s="17"/>
      <c r="FA42" s="17"/>
      <c r="FB42" s="17"/>
      <c r="FC42" s="17"/>
      <c r="FD42" s="17"/>
      <c r="FE42" s="17"/>
      <c r="FF42" s="17"/>
      <c r="FG42" s="17"/>
      <c r="FH42" s="17"/>
      <c r="FI42" s="17"/>
      <c r="FJ42" s="17"/>
      <c r="FK42" s="17"/>
      <c r="FL42" s="17"/>
      <c r="FM42" s="17"/>
      <c r="FN42" s="17"/>
      <c r="FO42" s="17"/>
      <c r="FP42" s="17"/>
      <c r="FQ42" s="17"/>
      <c r="FR42" s="17"/>
      <c r="FS42" s="17"/>
      <c r="FT42" s="17"/>
      <c r="FU42" s="17"/>
      <c r="FV42" s="17"/>
      <c r="FW42" s="17"/>
      <c r="FX42" s="17"/>
      <c r="FY42" s="17"/>
      <c r="FZ42" s="17"/>
      <c r="GA42" s="17"/>
      <c r="GB42" s="17"/>
      <c r="GC42" s="17"/>
      <c r="GD42" s="17"/>
      <c r="GE42" s="17"/>
      <c r="GF42" s="17"/>
      <c r="GG42" s="17"/>
      <c r="GH42" s="17"/>
      <c r="GI42" s="17"/>
      <c r="GJ42" s="17"/>
      <c r="GK42" s="17"/>
      <c r="GL42" s="17"/>
      <c r="GM42" s="17"/>
      <c r="GN42" s="17"/>
      <c r="GO42" s="17"/>
      <c r="GP42" s="17"/>
      <c r="GQ42" s="17"/>
      <c r="GR42" s="17"/>
      <c r="GS42" s="17"/>
      <c r="GT42" s="17"/>
      <c r="GU42" s="17"/>
      <c r="GV42" s="17"/>
      <c r="GW42" s="17"/>
      <c r="GX42" s="17"/>
      <c r="GY42" s="17"/>
      <c r="GZ42" s="17"/>
      <c r="HA42" s="17"/>
      <c r="HB42" s="17"/>
      <c r="HC42" s="17"/>
      <c r="HD42" s="17"/>
      <c r="HE42" s="17"/>
      <c r="HF42" s="17"/>
      <c r="HG42" s="17"/>
      <c r="HH42" s="17"/>
      <c r="HI42" s="17"/>
      <c r="HJ42" s="17"/>
      <c r="HK42" s="17"/>
      <c r="HL42" s="17"/>
      <c r="HM42" s="17"/>
      <c r="HN42" s="17"/>
      <c r="HO42" s="17"/>
      <c r="HP42" s="17"/>
      <c r="HQ42" s="17"/>
      <c r="HR42" s="17"/>
      <c r="HS42" s="17"/>
      <c r="HT42" s="17"/>
      <c r="HU42" s="17"/>
      <c r="HV42" s="17"/>
      <c r="HW42" s="17"/>
      <c r="HX42" s="17"/>
      <c r="HY42" s="17"/>
      <c r="HZ42" s="17"/>
      <c r="IA42" s="17"/>
      <c r="IB42" s="17"/>
      <c r="IC42" s="17"/>
      <c r="ID42" s="17"/>
      <c r="IE42" s="17"/>
      <c r="IF42" s="17"/>
      <c r="IG42" s="17"/>
      <c r="IH42" s="17"/>
      <c r="II42" s="17"/>
      <c r="IJ42" s="17"/>
      <c r="IK42" s="17"/>
      <c r="IL42" s="17"/>
      <c r="IM42" s="17"/>
      <c r="IN42" s="17"/>
      <c r="IO42" s="17"/>
      <c r="IP42" s="17"/>
      <c r="IQ42" s="17"/>
      <c r="IR42" s="17"/>
      <c r="IS42" s="17"/>
      <c r="IT42" s="17"/>
      <c r="IU42" s="17"/>
      <c r="IV42" s="17"/>
      <c r="IW42" s="17"/>
      <c r="IX42" s="17"/>
      <c r="IY42" s="17"/>
      <c r="IZ42" s="17"/>
      <c r="JA42" s="17"/>
      <c r="JB42" s="17"/>
      <c r="JC42" s="17"/>
      <c r="JD42" s="17"/>
      <c r="JE42" s="17"/>
      <c r="JF42" s="17"/>
      <c r="JG42" s="17"/>
      <c r="JH42" s="17"/>
      <c r="JI42" s="17"/>
      <c r="JJ42" s="17"/>
      <c r="JK42" s="17"/>
      <c r="JL42" s="17"/>
      <c r="JM42" s="17"/>
      <c r="JN42" s="17"/>
      <c r="JO42" s="17"/>
      <c r="JP42" s="17"/>
      <c r="JQ42" s="17"/>
      <c r="JR42" s="17"/>
      <c r="JS42" s="17"/>
      <c r="JT42" s="17"/>
      <c r="JU42" s="17"/>
      <c r="JV42" s="17"/>
      <c r="JW42" s="17"/>
      <c r="JX42" s="17"/>
      <c r="JY42" s="17"/>
      <c r="JZ42" s="17"/>
      <c r="KA42" s="17"/>
      <c r="KB42" s="17"/>
      <c r="KC42" s="17"/>
      <c r="KD42" s="17"/>
      <c r="KE42" s="17"/>
      <c r="KF42" s="17"/>
      <c r="KG42" s="17"/>
      <c r="KH42" s="17"/>
      <c r="KI42" s="17"/>
      <c r="KJ42" s="17"/>
      <c r="KK42" s="17"/>
      <c r="KL42" s="17"/>
      <c r="KM42" s="17"/>
      <c r="KN42" s="17"/>
      <c r="KO42" s="17"/>
      <c r="KP42" s="17"/>
      <c r="KQ42" s="17"/>
      <c r="KR42" s="17"/>
      <c r="KS42" s="17"/>
      <c r="KT42" s="17"/>
      <c r="KU42" s="17"/>
      <c r="KV42" s="17"/>
      <c r="KW42" s="17"/>
      <c r="KX42" s="17"/>
      <c r="KY42" s="17"/>
    </row>
    <row r="43" spans="1:311" x14ac:dyDescent="0.25">
      <c r="A43" s="17"/>
      <c r="B43" s="17"/>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c r="AK43" s="17"/>
      <c r="AL43" s="17"/>
      <c r="AM43" s="17"/>
      <c r="AN43" s="17"/>
      <c r="AO43" s="17"/>
      <c r="AP43" s="17"/>
      <c r="AQ43" s="17"/>
      <c r="AR43" s="17"/>
      <c r="AS43" s="17"/>
      <c r="AT43" s="17"/>
      <c r="AU43" s="17"/>
      <c r="AV43" s="17"/>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17"/>
      <c r="CE43" s="17"/>
      <c r="CF43" s="17"/>
      <c r="CG43" s="17"/>
      <c r="CH43" s="17"/>
      <c r="CI43" s="17"/>
      <c r="CJ43" s="17"/>
      <c r="CK43" s="17"/>
      <c r="CL43" s="17"/>
      <c r="CM43" s="17"/>
      <c r="CN43" s="17"/>
      <c r="CO43" s="17"/>
      <c r="CP43" s="17"/>
      <c r="CQ43" s="17"/>
      <c r="CR43" s="17"/>
      <c r="CS43" s="17"/>
      <c r="CT43" s="17"/>
      <c r="CU43" s="17"/>
      <c r="CV43" s="17"/>
      <c r="CW43" s="17"/>
      <c r="CX43" s="17"/>
      <c r="CY43" s="17"/>
      <c r="CZ43" s="17"/>
      <c r="DA43" s="17"/>
      <c r="DB43" s="17"/>
      <c r="DC43" s="17"/>
      <c r="DD43" s="17"/>
      <c r="DE43" s="17"/>
      <c r="DF43" s="17"/>
      <c r="DG43" s="17"/>
      <c r="DH43" s="17"/>
      <c r="DI43" s="17"/>
      <c r="DJ43" s="17"/>
      <c r="DK43" s="17"/>
      <c r="DL43" s="17"/>
      <c r="DM43" s="17"/>
      <c r="DN43" s="17"/>
      <c r="DO43" s="17"/>
      <c r="DP43" s="17"/>
      <c r="DQ43" s="17"/>
      <c r="DR43" s="17"/>
      <c r="DS43" s="17"/>
      <c r="DT43" s="17"/>
      <c r="DU43" s="17"/>
      <c r="DV43" s="17"/>
      <c r="DW43" s="17"/>
      <c r="DX43" s="17"/>
      <c r="DY43" s="17"/>
      <c r="DZ43" s="17"/>
      <c r="EA43" s="17"/>
      <c r="EB43" s="17"/>
      <c r="EC43" s="17"/>
      <c r="ED43" s="17"/>
      <c r="EE43" s="17"/>
      <c r="EF43" s="17"/>
      <c r="EG43" s="17"/>
      <c r="EH43" s="17"/>
      <c r="EI43" s="17"/>
      <c r="EJ43" s="17"/>
      <c r="EK43" s="17"/>
      <c r="EL43" s="17"/>
      <c r="EM43" s="17"/>
      <c r="EN43" s="17"/>
      <c r="EO43" s="17"/>
      <c r="EP43" s="17"/>
      <c r="EQ43" s="17"/>
      <c r="ER43" s="17"/>
      <c r="ES43" s="17"/>
      <c r="ET43" s="17"/>
      <c r="EU43" s="17"/>
      <c r="EV43" s="17"/>
      <c r="EW43" s="17"/>
      <c r="EX43" s="17"/>
      <c r="EY43" s="17"/>
      <c r="EZ43" s="17"/>
      <c r="FA43" s="17"/>
      <c r="FB43" s="17"/>
      <c r="FC43" s="17"/>
      <c r="FD43" s="17"/>
      <c r="FE43" s="17"/>
      <c r="FF43" s="17"/>
      <c r="FG43" s="17"/>
      <c r="FH43" s="17"/>
      <c r="FI43" s="17"/>
      <c r="FJ43" s="17"/>
      <c r="FK43" s="17"/>
      <c r="FL43" s="17"/>
      <c r="FM43" s="17"/>
      <c r="FN43" s="17"/>
      <c r="FO43" s="17"/>
      <c r="FP43" s="17"/>
      <c r="FQ43" s="17"/>
      <c r="FR43" s="17"/>
      <c r="FS43" s="17"/>
      <c r="FT43" s="17"/>
      <c r="FU43" s="17"/>
      <c r="FV43" s="17"/>
      <c r="FW43" s="17"/>
      <c r="FX43" s="17"/>
      <c r="FY43" s="17"/>
      <c r="FZ43" s="17"/>
      <c r="GA43" s="17"/>
      <c r="GB43" s="17"/>
      <c r="GC43" s="17"/>
      <c r="GD43" s="17"/>
      <c r="GE43" s="17"/>
      <c r="GF43" s="17"/>
      <c r="GG43" s="17"/>
      <c r="GH43" s="17"/>
      <c r="GI43" s="17"/>
      <c r="GJ43" s="17"/>
      <c r="GK43" s="17"/>
      <c r="GL43" s="17"/>
      <c r="GM43" s="17"/>
      <c r="GN43" s="17"/>
      <c r="GO43" s="17"/>
      <c r="GP43" s="17"/>
      <c r="GQ43" s="17"/>
      <c r="GR43" s="17"/>
      <c r="GS43" s="17"/>
      <c r="GT43" s="17"/>
      <c r="GU43" s="17"/>
      <c r="GV43" s="17"/>
      <c r="GW43" s="17"/>
      <c r="GX43" s="17"/>
      <c r="GY43" s="17"/>
      <c r="GZ43" s="17"/>
      <c r="HA43" s="17"/>
      <c r="HB43" s="17"/>
      <c r="HC43" s="17"/>
      <c r="HD43" s="17"/>
      <c r="HE43" s="17"/>
      <c r="HF43" s="17"/>
      <c r="HG43" s="17"/>
      <c r="HH43" s="17"/>
      <c r="HI43" s="17"/>
      <c r="HJ43" s="17"/>
      <c r="HK43" s="17"/>
      <c r="HL43" s="17"/>
      <c r="HM43" s="17"/>
      <c r="HN43" s="17"/>
      <c r="HO43" s="17"/>
      <c r="HP43" s="17"/>
      <c r="HQ43" s="17"/>
      <c r="HR43" s="17"/>
      <c r="HS43" s="17"/>
      <c r="HT43" s="17"/>
      <c r="HU43" s="17"/>
      <c r="HV43" s="17"/>
      <c r="HW43" s="17"/>
      <c r="HX43" s="17"/>
      <c r="HY43" s="17"/>
      <c r="HZ43" s="17"/>
      <c r="IA43" s="17"/>
      <c r="IB43" s="17"/>
      <c r="IC43" s="17"/>
      <c r="ID43" s="17"/>
      <c r="IE43" s="17"/>
      <c r="IF43" s="17"/>
      <c r="IG43" s="17"/>
      <c r="IH43" s="17"/>
      <c r="II43" s="17"/>
      <c r="IJ43" s="17"/>
      <c r="IK43" s="17"/>
      <c r="IL43" s="17"/>
      <c r="IM43" s="17"/>
      <c r="IN43" s="17"/>
      <c r="IO43" s="17"/>
      <c r="IP43" s="17"/>
      <c r="IQ43" s="17"/>
      <c r="IR43" s="17"/>
      <c r="IS43" s="17"/>
      <c r="IT43" s="17"/>
      <c r="IU43" s="17"/>
      <c r="IV43" s="17"/>
      <c r="IW43" s="17"/>
      <c r="IX43" s="17"/>
      <c r="IY43" s="17"/>
      <c r="IZ43" s="17"/>
      <c r="JA43" s="17"/>
      <c r="JB43" s="17"/>
      <c r="JC43" s="17"/>
      <c r="JD43" s="17"/>
      <c r="JE43" s="17"/>
      <c r="JF43" s="17"/>
      <c r="JG43" s="17"/>
      <c r="JH43" s="17"/>
      <c r="JI43" s="17"/>
      <c r="JJ43" s="17"/>
      <c r="JK43" s="17"/>
      <c r="JL43" s="17"/>
      <c r="JM43" s="17"/>
      <c r="JN43" s="17"/>
      <c r="JO43" s="17"/>
      <c r="JP43" s="17"/>
      <c r="JQ43" s="17"/>
      <c r="JR43" s="17"/>
      <c r="JS43" s="17"/>
      <c r="JT43" s="17"/>
      <c r="JU43" s="17"/>
      <c r="JV43" s="17"/>
      <c r="JW43" s="17"/>
      <c r="JX43" s="17"/>
      <c r="JY43" s="17"/>
      <c r="JZ43" s="17"/>
      <c r="KA43" s="17"/>
      <c r="KB43" s="17"/>
      <c r="KC43" s="17"/>
      <c r="KD43" s="17"/>
      <c r="KE43" s="17"/>
      <c r="KF43" s="17"/>
      <c r="KG43" s="17"/>
      <c r="KH43" s="17"/>
      <c r="KI43" s="17"/>
      <c r="KJ43" s="17"/>
      <c r="KK43" s="17"/>
      <c r="KL43" s="17"/>
      <c r="KM43" s="17"/>
      <c r="KN43" s="17"/>
      <c r="KO43" s="17"/>
      <c r="KP43" s="17"/>
      <c r="KQ43" s="17"/>
      <c r="KR43" s="17"/>
      <c r="KS43" s="17"/>
      <c r="KT43" s="17"/>
      <c r="KU43" s="17"/>
      <c r="KV43" s="17"/>
      <c r="KW43" s="17"/>
      <c r="KX43" s="17"/>
      <c r="KY43" s="17"/>
    </row>
    <row r="44" spans="1:311" x14ac:dyDescent="0.25">
      <c r="A44" s="17"/>
      <c r="B44" s="17"/>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c r="AK44" s="17"/>
      <c r="AL44" s="17"/>
      <c r="AM44" s="17"/>
      <c r="AN44" s="17"/>
      <c r="AO44" s="17"/>
      <c r="AP44" s="17"/>
      <c r="AQ44" s="17"/>
      <c r="AR44" s="17"/>
      <c r="AS44" s="17"/>
      <c r="AT44" s="17"/>
      <c r="AU44" s="17"/>
      <c r="AV44" s="17"/>
      <c r="AW44" s="17"/>
      <c r="AX44" s="17"/>
      <c r="AY44" s="17"/>
      <c r="AZ44" s="17"/>
      <c r="BA44" s="17"/>
      <c r="BB44" s="17"/>
      <c r="BC44" s="17"/>
      <c r="BD44" s="17"/>
      <c r="BE44" s="17"/>
      <c r="BF44" s="17"/>
      <c r="BG44" s="17"/>
      <c r="BH44" s="17"/>
      <c r="BI44" s="17"/>
      <c r="BJ44" s="17"/>
      <c r="BK44" s="17"/>
      <c r="BL44" s="17"/>
      <c r="BM44" s="17"/>
      <c r="BN44" s="17"/>
      <c r="BO44" s="17"/>
      <c r="BP44" s="17"/>
      <c r="BQ44" s="17"/>
      <c r="BR44" s="17"/>
      <c r="BS44" s="17"/>
      <c r="BT44" s="17"/>
      <c r="BU44" s="17"/>
      <c r="BV44" s="17"/>
      <c r="BW44" s="17"/>
      <c r="BX44" s="17"/>
      <c r="BY44" s="17"/>
      <c r="BZ44" s="17"/>
      <c r="CA44" s="17"/>
      <c r="CB44" s="17"/>
      <c r="CC44" s="17"/>
      <c r="CD44" s="17"/>
      <c r="CE44" s="17"/>
      <c r="CF44" s="17"/>
      <c r="CG44" s="17"/>
      <c r="CH44" s="17"/>
      <c r="CI44" s="17"/>
      <c r="CJ44" s="17"/>
      <c r="CK44" s="17"/>
      <c r="CL44" s="17"/>
      <c r="CM44" s="17"/>
      <c r="CN44" s="17"/>
      <c r="CO44" s="17"/>
      <c r="CP44" s="17"/>
      <c r="CQ44" s="17"/>
      <c r="CR44" s="17"/>
      <c r="CS44" s="17"/>
      <c r="CT44" s="17"/>
      <c r="CU44" s="17"/>
      <c r="CV44" s="17"/>
      <c r="CW44" s="17"/>
      <c r="CX44" s="17"/>
      <c r="CY44" s="17"/>
      <c r="CZ44" s="17"/>
      <c r="DA44" s="17"/>
      <c r="DB44" s="17"/>
      <c r="DC44" s="17"/>
      <c r="DD44" s="17"/>
      <c r="DE44" s="17"/>
      <c r="DF44" s="17"/>
      <c r="DG44" s="17"/>
      <c r="DH44" s="17"/>
      <c r="DI44" s="17"/>
      <c r="DJ44" s="17"/>
      <c r="DK44" s="17"/>
      <c r="DL44" s="17"/>
      <c r="DM44" s="17"/>
      <c r="DN44" s="17"/>
      <c r="DO44" s="17"/>
      <c r="DP44" s="17"/>
      <c r="DQ44" s="17"/>
      <c r="DR44" s="17"/>
      <c r="DS44" s="17"/>
      <c r="DT44" s="17"/>
      <c r="DU44" s="17"/>
      <c r="DV44" s="17"/>
      <c r="DW44" s="17"/>
      <c r="DX44" s="17"/>
      <c r="DY44" s="17"/>
      <c r="DZ44" s="17"/>
      <c r="EA44" s="17"/>
      <c r="EB44" s="17"/>
      <c r="EC44" s="17"/>
      <c r="ED44" s="17"/>
      <c r="EE44" s="17"/>
      <c r="EF44" s="17"/>
      <c r="EG44" s="17"/>
      <c r="EH44" s="17"/>
      <c r="EI44" s="17"/>
      <c r="EJ44" s="17"/>
      <c r="EK44" s="17"/>
      <c r="EL44" s="17"/>
      <c r="EM44" s="17"/>
      <c r="EN44" s="17"/>
      <c r="EO44" s="17"/>
      <c r="EP44" s="17"/>
      <c r="EQ44" s="17"/>
      <c r="ER44" s="17"/>
      <c r="ES44" s="17"/>
      <c r="ET44" s="17"/>
      <c r="EU44" s="17"/>
      <c r="EV44" s="17"/>
      <c r="EW44" s="17"/>
      <c r="EX44" s="17"/>
      <c r="EY44" s="17"/>
      <c r="EZ44" s="17"/>
      <c r="FA44" s="17"/>
      <c r="FB44" s="17"/>
      <c r="FC44" s="17"/>
      <c r="FD44" s="17"/>
      <c r="FE44" s="17"/>
      <c r="FF44" s="17"/>
      <c r="FG44" s="17"/>
      <c r="FH44" s="17"/>
      <c r="FI44" s="17"/>
      <c r="FJ44" s="17"/>
      <c r="FK44" s="17"/>
      <c r="FL44" s="17"/>
      <c r="FM44" s="17"/>
      <c r="FN44" s="17"/>
      <c r="FO44" s="17"/>
      <c r="FP44" s="17"/>
      <c r="FQ44" s="17"/>
      <c r="FR44" s="17"/>
      <c r="FS44" s="17"/>
      <c r="FT44" s="17"/>
      <c r="FU44" s="17"/>
      <c r="FV44" s="17"/>
      <c r="FW44" s="17"/>
      <c r="FX44" s="17"/>
      <c r="FY44" s="17"/>
      <c r="FZ44" s="17"/>
      <c r="GA44" s="17"/>
      <c r="GB44" s="17"/>
      <c r="GC44" s="17"/>
      <c r="GD44" s="17"/>
      <c r="GE44" s="17"/>
      <c r="GF44" s="17"/>
      <c r="GG44" s="17"/>
      <c r="GH44" s="17"/>
      <c r="GI44" s="17"/>
      <c r="GJ44" s="17"/>
      <c r="GK44" s="17"/>
      <c r="GL44" s="17"/>
      <c r="GM44" s="17"/>
      <c r="GN44" s="17"/>
      <c r="GO44" s="17"/>
      <c r="GP44" s="17"/>
      <c r="GQ44" s="17"/>
      <c r="GR44" s="17"/>
      <c r="GS44" s="17"/>
      <c r="GT44" s="17"/>
      <c r="GU44" s="17"/>
      <c r="GV44" s="17"/>
      <c r="GW44" s="17"/>
      <c r="GX44" s="17"/>
      <c r="GY44" s="17"/>
      <c r="GZ44" s="17"/>
      <c r="HA44" s="17"/>
      <c r="HB44" s="17"/>
      <c r="HC44" s="17"/>
      <c r="HD44" s="17"/>
      <c r="HE44" s="17"/>
      <c r="HF44" s="17"/>
      <c r="HG44" s="17"/>
      <c r="HH44" s="17"/>
      <c r="HI44" s="17"/>
      <c r="HJ44" s="17"/>
      <c r="HK44" s="17"/>
      <c r="HL44" s="17"/>
      <c r="HM44" s="17"/>
      <c r="HN44" s="17"/>
      <c r="HO44" s="17"/>
      <c r="HP44" s="17"/>
      <c r="HQ44" s="17"/>
      <c r="HR44" s="17"/>
      <c r="HS44" s="17"/>
      <c r="HT44" s="17"/>
      <c r="HU44" s="17"/>
      <c r="HV44" s="17"/>
      <c r="HW44" s="17"/>
      <c r="HX44" s="17"/>
      <c r="HY44" s="17"/>
      <c r="HZ44" s="17"/>
      <c r="IA44" s="17"/>
      <c r="IB44" s="17"/>
      <c r="IC44" s="17"/>
      <c r="ID44" s="17"/>
      <c r="IE44" s="17"/>
      <c r="IF44" s="17"/>
      <c r="IG44" s="17"/>
      <c r="IH44" s="17"/>
      <c r="II44" s="17"/>
      <c r="IJ44" s="17"/>
      <c r="IK44" s="17"/>
      <c r="IL44" s="17"/>
      <c r="IM44" s="17"/>
      <c r="IN44" s="17"/>
      <c r="IO44" s="17"/>
      <c r="IP44" s="17"/>
      <c r="IQ44" s="17"/>
      <c r="IR44" s="17"/>
      <c r="IS44" s="17"/>
      <c r="IT44" s="17"/>
      <c r="IU44" s="17"/>
      <c r="IV44" s="17"/>
      <c r="IW44" s="17"/>
      <c r="IX44" s="17"/>
      <c r="IY44" s="17"/>
      <c r="IZ44" s="17"/>
      <c r="JA44" s="17"/>
      <c r="JB44" s="17"/>
      <c r="JC44" s="17"/>
      <c r="JD44" s="17"/>
      <c r="JE44" s="17"/>
      <c r="JF44" s="17"/>
      <c r="JG44" s="17"/>
      <c r="JH44" s="17"/>
      <c r="JI44" s="17"/>
      <c r="JJ44" s="17"/>
      <c r="JK44" s="17"/>
      <c r="JL44" s="17"/>
      <c r="JM44" s="17"/>
      <c r="JN44" s="17"/>
      <c r="JO44" s="17"/>
      <c r="JP44" s="17"/>
      <c r="JQ44" s="17"/>
      <c r="JR44" s="17"/>
      <c r="JS44" s="17"/>
      <c r="JT44" s="17"/>
      <c r="JU44" s="17"/>
      <c r="JV44" s="17"/>
      <c r="JW44" s="17"/>
      <c r="JX44" s="17"/>
      <c r="JY44" s="17"/>
      <c r="JZ44" s="17"/>
      <c r="KA44" s="17"/>
      <c r="KB44" s="17"/>
      <c r="KC44" s="17"/>
      <c r="KD44" s="17"/>
      <c r="KE44" s="17"/>
      <c r="KF44" s="17"/>
      <c r="KG44" s="17"/>
      <c r="KH44" s="17"/>
      <c r="KI44" s="17"/>
      <c r="KJ44" s="17"/>
      <c r="KK44" s="17"/>
      <c r="KL44" s="17"/>
      <c r="KM44" s="17"/>
      <c r="KN44" s="17"/>
      <c r="KO44" s="17"/>
      <c r="KP44" s="17"/>
      <c r="KQ44" s="17"/>
      <c r="KR44" s="17"/>
      <c r="KS44" s="17"/>
      <c r="KT44" s="17"/>
      <c r="KU44" s="17"/>
      <c r="KV44" s="17"/>
      <c r="KW44" s="17"/>
      <c r="KX44" s="17"/>
      <c r="KY44" s="17"/>
    </row>
    <row r="45" spans="1:311" x14ac:dyDescent="0.25">
      <c r="A45" s="17"/>
      <c r="B45" s="17"/>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c r="AK45" s="17"/>
      <c r="AL45" s="17"/>
      <c r="AM45" s="17"/>
      <c r="AN45" s="17"/>
      <c r="AO45" s="17"/>
      <c r="AP45" s="17"/>
      <c r="AQ45" s="17"/>
      <c r="AR45" s="17"/>
      <c r="AS45" s="17"/>
      <c r="AT45" s="17"/>
      <c r="AU45" s="17"/>
      <c r="AV45" s="17"/>
      <c r="AW45" s="17"/>
      <c r="AX45" s="17"/>
      <c r="AY45" s="17"/>
      <c r="AZ45" s="17"/>
      <c r="BA45" s="17"/>
      <c r="BB45" s="17"/>
      <c r="BC45" s="17"/>
      <c r="BD45" s="17"/>
      <c r="BE45" s="17"/>
      <c r="BF45" s="17"/>
      <c r="BG45" s="17"/>
      <c r="BH45" s="17"/>
      <c r="BI45" s="17"/>
      <c r="BJ45" s="17"/>
      <c r="BK45" s="17"/>
      <c r="BL45" s="17"/>
      <c r="BM45" s="17"/>
      <c r="BN45" s="17"/>
      <c r="BO45" s="17"/>
      <c r="BP45" s="17"/>
      <c r="BQ45" s="17"/>
      <c r="BR45" s="17"/>
      <c r="BS45" s="17"/>
      <c r="BT45" s="17"/>
      <c r="BU45" s="17"/>
      <c r="BV45" s="17"/>
      <c r="BW45" s="17"/>
      <c r="BX45" s="17"/>
      <c r="BY45" s="17"/>
      <c r="BZ45" s="17"/>
      <c r="CA45" s="17"/>
      <c r="CB45" s="17"/>
      <c r="CC45" s="17"/>
      <c r="CD45" s="17"/>
      <c r="CE45" s="17"/>
      <c r="CF45" s="17"/>
      <c r="CG45" s="17"/>
      <c r="CH45" s="17"/>
      <c r="CI45" s="17"/>
      <c r="CJ45" s="17"/>
      <c r="CK45" s="17"/>
      <c r="CL45" s="17"/>
      <c r="CM45" s="17"/>
      <c r="CN45" s="17"/>
      <c r="CO45" s="17"/>
      <c r="CP45" s="17"/>
      <c r="CQ45" s="17"/>
      <c r="CR45" s="17"/>
      <c r="CS45" s="17"/>
      <c r="CT45" s="17"/>
      <c r="CU45" s="17"/>
      <c r="CV45" s="17"/>
      <c r="CW45" s="17"/>
      <c r="CX45" s="17"/>
      <c r="CY45" s="17"/>
      <c r="CZ45" s="17"/>
      <c r="DA45" s="17"/>
      <c r="DB45" s="17"/>
      <c r="DC45" s="17"/>
      <c r="DD45" s="17"/>
      <c r="DE45" s="17"/>
      <c r="DF45" s="17"/>
      <c r="DG45" s="17"/>
      <c r="DH45" s="17"/>
      <c r="DI45" s="17"/>
      <c r="DJ45" s="17"/>
      <c r="DK45" s="17"/>
      <c r="DL45" s="17"/>
      <c r="DM45" s="17"/>
      <c r="DN45" s="17"/>
      <c r="DO45" s="17"/>
      <c r="DP45" s="17"/>
      <c r="DQ45" s="17"/>
      <c r="DR45" s="17"/>
      <c r="DS45" s="17"/>
      <c r="DT45" s="17"/>
      <c r="DU45" s="17"/>
      <c r="DV45" s="17"/>
      <c r="DW45" s="17"/>
      <c r="DX45" s="17"/>
      <c r="DY45" s="17"/>
      <c r="DZ45" s="17"/>
      <c r="EA45" s="17"/>
      <c r="EB45" s="17"/>
      <c r="EC45" s="17"/>
      <c r="ED45" s="17"/>
      <c r="EE45" s="17"/>
      <c r="EF45" s="17"/>
      <c r="EG45" s="17"/>
      <c r="EH45" s="17"/>
      <c r="EI45" s="17"/>
      <c r="EJ45" s="17"/>
      <c r="EK45" s="17"/>
      <c r="EL45" s="17"/>
      <c r="EM45" s="17"/>
      <c r="EN45" s="17"/>
      <c r="EO45" s="17"/>
      <c r="EP45" s="17"/>
      <c r="EQ45" s="17"/>
      <c r="ER45" s="17"/>
      <c r="ES45" s="17"/>
      <c r="ET45" s="17"/>
      <c r="EU45" s="17"/>
      <c r="EV45" s="17"/>
      <c r="EW45" s="17"/>
      <c r="EX45" s="17"/>
      <c r="EY45" s="17"/>
      <c r="EZ45" s="17"/>
      <c r="FA45" s="17"/>
      <c r="FB45" s="17"/>
      <c r="FC45" s="17"/>
      <c r="FD45" s="17"/>
      <c r="FE45" s="17"/>
      <c r="FF45" s="17"/>
      <c r="FG45" s="17"/>
      <c r="FH45" s="17"/>
      <c r="FI45" s="17"/>
      <c r="FJ45" s="17"/>
      <c r="FK45" s="17"/>
      <c r="FL45" s="17"/>
      <c r="FM45" s="17"/>
      <c r="FN45" s="17"/>
      <c r="FO45" s="17"/>
      <c r="FP45" s="17"/>
      <c r="FQ45" s="17"/>
      <c r="FR45" s="17"/>
      <c r="FS45" s="17"/>
      <c r="FT45" s="17"/>
      <c r="FU45" s="17"/>
      <c r="FV45" s="17"/>
      <c r="FW45" s="17"/>
      <c r="FX45" s="17"/>
      <c r="FY45" s="17"/>
      <c r="FZ45" s="17"/>
      <c r="GA45" s="17"/>
      <c r="GB45" s="17"/>
      <c r="GC45" s="17"/>
      <c r="GD45" s="17"/>
      <c r="GE45" s="17"/>
      <c r="GF45" s="17"/>
      <c r="GG45" s="17"/>
      <c r="GH45" s="17"/>
      <c r="GI45" s="17"/>
      <c r="GJ45" s="17"/>
      <c r="GK45" s="17"/>
      <c r="GL45" s="17"/>
      <c r="GM45" s="17"/>
      <c r="GN45" s="17"/>
      <c r="GO45" s="17"/>
      <c r="GP45" s="17"/>
      <c r="GQ45" s="17"/>
      <c r="GR45" s="17"/>
      <c r="GS45" s="17"/>
      <c r="GT45" s="17"/>
      <c r="GU45" s="17"/>
      <c r="GV45" s="17"/>
      <c r="GW45" s="17"/>
      <c r="GX45" s="17"/>
      <c r="GY45" s="17"/>
      <c r="GZ45" s="17"/>
      <c r="HA45" s="17"/>
      <c r="HB45" s="17"/>
      <c r="HC45" s="17"/>
      <c r="HD45" s="17"/>
      <c r="HE45" s="17"/>
      <c r="HF45" s="17"/>
      <c r="HG45" s="17"/>
      <c r="HH45" s="17"/>
      <c r="HI45" s="17"/>
      <c r="HJ45" s="17"/>
      <c r="HK45" s="17"/>
      <c r="HL45" s="17"/>
      <c r="HM45" s="17"/>
      <c r="HN45" s="17"/>
      <c r="HO45" s="17"/>
      <c r="HP45" s="17"/>
      <c r="HQ45" s="17"/>
      <c r="HR45" s="17"/>
      <c r="HS45" s="17"/>
      <c r="HT45" s="17"/>
      <c r="HU45" s="17"/>
      <c r="HV45" s="17"/>
      <c r="HW45" s="17"/>
      <c r="HX45" s="17"/>
      <c r="HY45" s="17"/>
      <c r="HZ45" s="17"/>
      <c r="IA45" s="17"/>
      <c r="IB45" s="17"/>
      <c r="IC45" s="17"/>
      <c r="ID45" s="17"/>
      <c r="IE45" s="17"/>
      <c r="IF45" s="17"/>
      <c r="IG45" s="17"/>
      <c r="IH45" s="17"/>
      <c r="II45" s="17"/>
      <c r="IJ45" s="17"/>
      <c r="IK45" s="17"/>
      <c r="IL45" s="17"/>
      <c r="IM45" s="17"/>
      <c r="IN45" s="17"/>
      <c r="IO45" s="17"/>
      <c r="IP45" s="17"/>
      <c r="IQ45" s="17"/>
      <c r="IR45" s="17"/>
      <c r="IS45" s="17"/>
      <c r="IT45" s="17"/>
      <c r="IU45" s="17"/>
      <c r="IV45" s="17"/>
      <c r="IW45" s="17"/>
      <c r="IX45" s="17"/>
      <c r="IY45" s="17"/>
      <c r="IZ45" s="17"/>
      <c r="JA45" s="17"/>
      <c r="JB45" s="17"/>
      <c r="JC45" s="17"/>
      <c r="JD45" s="17"/>
      <c r="JE45" s="17"/>
      <c r="JF45" s="17"/>
      <c r="JG45" s="17"/>
      <c r="JH45" s="17"/>
      <c r="JI45" s="17"/>
      <c r="JJ45" s="17"/>
      <c r="JK45" s="17"/>
      <c r="JL45" s="17"/>
      <c r="JM45" s="17"/>
      <c r="JN45" s="17"/>
      <c r="JO45" s="17"/>
      <c r="JP45" s="17"/>
      <c r="JQ45" s="17"/>
      <c r="JR45" s="17"/>
      <c r="JS45" s="17"/>
      <c r="JT45" s="17"/>
      <c r="JU45" s="17"/>
      <c r="JV45" s="17"/>
      <c r="JW45" s="17"/>
      <c r="JX45" s="17"/>
      <c r="JY45" s="17"/>
      <c r="JZ45" s="17"/>
      <c r="KA45" s="17"/>
      <c r="KB45" s="17"/>
      <c r="KC45" s="17"/>
      <c r="KD45" s="17"/>
      <c r="KE45" s="17"/>
      <c r="KF45" s="17"/>
      <c r="KG45" s="17"/>
      <c r="KH45" s="17"/>
      <c r="KI45" s="17"/>
      <c r="KJ45" s="17"/>
      <c r="KK45" s="17"/>
      <c r="KL45" s="17"/>
      <c r="KM45" s="17"/>
      <c r="KN45" s="17"/>
      <c r="KO45" s="17"/>
      <c r="KP45" s="17"/>
      <c r="KQ45" s="17"/>
      <c r="KR45" s="17"/>
      <c r="KS45" s="17"/>
      <c r="KT45" s="17"/>
      <c r="KU45" s="17"/>
      <c r="KV45" s="17"/>
      <c r="KW45" s="17"/>
      <c r="KX45" s="17"/>
      <c r="KY45" s="17"/>
    </row>
    <row r="46" spans="1:311" x14ac:dyDescent="0.25">
      <c r="A46" s="17"/>
      <c r="B46" s="17"/>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c r="AK46" s="17"/>
      <c r="AL46" s="17"/>
      <c r="AM46" s="17"/>
      <c r="AN46" s="17"/>
      <c r="AO46" s="17"/>
      <c r="AP46" s="17"/>
      <c r="AQ46" s="17"/>
      <c r="AR46" s="17"/>
      <c r="AS46" s="17"/>
      <c r="AT46" s="17"/>
      <c r="AU46" s="17"/>
      <c r="AV46" s="17"/>
      <c r="AW46" s="17"/>
      <c r="AX46" s="17"/>
      <c r="AY46" s="17"/>
      <c r="AZ46" s="17"/>
      <c r="BA46" s="17"/>
      <c r="BB46" s="17"/>
      <c r="BC46" s="17"/>
      <c r="BD46" s="17"/>
      <c r="BE46" s="17"/>
      <c r="BF46" s="17"/>
      <c r="BG46" s="17"/>
      <c r="BH46" s="17"/>
      <c r="BI46" s="17"/>
      <c r="BJ46" s="17"/>
      <c r="BK46" s="17"/>
      <c r="BL46" s="17"/>
      <c r="BM46" s="17"/>
      <c r="BN46" s="17"/>
      <c r="BO46" s="17"/>
      <c r="BP46" s="17"/>
      <c r="BQ46" s="17"/>
      <c r="BR46" s="17"/>
      <c r="BS46" s="17"/>
      <c r="BT46" s="17"/>
      <c r="BU46" s="17"/>
      <c r="BV46" s="17"/>
      <c r="BW46" s="17"/>
      <c r="BX46" s="17"/>
      <c r="BY46" s="17"/>
      <c r="BZ46" s="17"/>
      <c r="CA46" s="17"/>
      <c r="CB46" s="17"/>
      <c r="CC46" s="17"/>
      <c r="CD46" s="17"/>
      <c r="CE46" s="17"/>
      <c r="CF46" s="17"/>
      <c r="CG46" s="17"/>
      <c r="CH46" s="17"/>
      <c r="CI46" s="17"/>
      <c r="CJ46" s="17"/>
      <c r="CK46" s="17"/>
      <c r="CL46" s="17"/>
      <c r="CM46" s="17"/>
      <c r="CN46" s="17"/>
      <c r="CO46" s="17"/>
      <c r="CP46" s="17"/>
      <c r="CQ46" s="17"/>
      <c r="CR46" s="17"/>
      <c r="CS46" s="17"/>
      <c r="CT46" s="17"/>
      <c r="CU46" s="17"/>
      <c r="CV46" s="17"/>
      <c r="CW46" s="17"/>
      <c r="CX46" s="17"/>
      <c r="CY46" s="17"/>
      <c r="CZ46" s="17"/>
      <c r="DA46" s="17"/>
      <c r="DB46" s="17"/>
      <c r="DC46" s="17"/>
      <c r="DD46" s="17"/>
      <c r="DE46" s="17"/>
      <c r="DF46" s="17"/>
      <c r="DG46" s="17"/>
      <c r="DH46" s="17"/>
      <c r="DI46" s="17"/>
      <c r="DJ46" s="17"/>
      <c r="DK46" s="17"/>
      <c r="DL46" s="17"/>
      <c r="DM46" s="17"/>
      <c r="DN46" s="17"/>
      <c r="DO46" s="17"/>
      <c r="DP46" s="17"/>
      <c r="DQ46" s="17"/>
      <c r="DR46" s="17"/>
      <c r="DS46" s="17"/>
      <c r="DT46" s="17"/>
      <c r="DU46" s="17"/>
      <c r="DV46" s="17"/>
      <c r="DW46" s="17"/>
      <c r="DX46" s="17"/>
      <c r="DY46" s="17"/>
      <c r="DZ46" s="17"/>
      <c r="EA46" s="17"/>
      <c r="EB46" s="17"/>
      <c r="EC46" s="17"/>
      <c r="ED46" s="17"/>
      <c r="EE46" s="17"/>
      <c r="EF46" s="17"/>
      <c r="EG46" s="17"/>
      <c r="EH46" s="17"/>
      <c r="EI46" s="17"/>
      <c r="EJ46" s="17"/>
      <c r="EK46" s="17"/>
      <c r="EL46" s="17"/>
      <c r="EM46" s="17"/>
      <c r="EN46" s="17"/>
      <c r="EO46" s="17"/>
      <c r="EP46" s="17"/>
      <c r="EQ46" s="17"/>
      <c r="ER46" s="17"/>
      <c r="ES46" s="17"/>
      <c r="ET46" s="17"/>
      <c r="EU46" s="17"/>
      <c r="EV46" s="17"/>
      <c r="EW46" s="17"/>
      <c r="EX46" s="17"/>
      <c r="EY46" s="17"/>
      <c r="EZ46" s="17"/>
      <c r="FA46" s="17"/>
      <c r="FB46" s="17"/>
      <c r="FC46" s="17"/>
      <c r="FD46" s="17"/>
      <c r="FE46" s="17"/>
      <c r="FF46" s="17"/>
      <c r="FG46" s="17"/>
      <c r="FH46" s="17"/>
      <c r="FI46" s="17"/>
      <c r="FJ46" s="17"/>
      <c r="FK46" s="17"/>
      <c r="FL46" s="17"/>
      <c r="FM46" s="17"/>
      <c r="FN46" s="17"/>
      <c r="FO46" s="17"/>
      <c r="FP46" s="17"/>
      <c r="FQ46" s="17"/>
      <c r="FR46" s="17"/>
      <c r="FS46" s="17"/>
      <c r="FT46" s="17"/>
      <c r="FU46" s="17"/>
      <c r="FV46" s="17"/>
      <c r="FW46" s="17"/>
      <c r="FX46" s="17"/>
      <c r="FY46" s="17"/>
      <c r="FZ46" s="17"/>
      <c r="GA46" s="17"/>
      <c r="GB46" s="17"/>
      <c r="GC46" s="17"/>
      <c r="GD46" s="17"/>
      <c r="GE46" s="17"/>
      <c r="GF46" s="17"/>
      <c r="GG46" s="17"/>
      <c r="GH46" s="17"/>
      <c r="GI46" s="17"/>
      <c r="GJ46" s="17"/>
      <c r="GK46" s="17"/>
      <c r="GL46" s="17"/>
      <c r="GM46" s="17"/>
      <c r="GN46" s="17"/>
      <c r="GO46" s="17"/>
      <c r="GP46" s="17"/>
      <c r="GQ46" s="17"/>
      <c r="GR46" s="17"/>
      <c r="GS46" s="17"/>
      <c r="GT46" s="17"/>
      <c r="GU46" s="17"/>
      <c r="GV46" s="17"/>
      <c r="GW46" s="17"/>
      <c r="GX46" s="17"/>
      <c r="GY46" s="17"/>
      <c r="GZ46" s="17"/>
      <c r="HA46" s="17"/>
      <c r="HB46" s="17"/>
      <c r="HC46" s="17"/>
      <c r="HD46" s="17"/>
      <c r="HE46" s="17"/>
      <c r="HF46" s="17"/>
      <c r="HG46" s="17"/>
      <c r="HH46" s="17"/>
      <c r="HI46" s="17"/>
      <c r="HJ46" s="17"/>
      <c r="HK46" s="17"/>
      <c r="HL46" s="17"/>
      <c r="HM46" s="17"/>
      <c r="HN46" s="17"/>
      <c r="HO46" s="17"/>
      <c r="HP46" s="17"/>
      <c r="HQ46" s="17"/>
      <c r="HR46" s="17"/>
      <c r="HS46" s="17"/>
      <c r="HT46" s="17"/>
      <c r="HU46" s="17"/>
      <c r="HV46" s="17"/>
      <c r="HW46" s="17"/>
      <c r="HX46" s="17"/>
      <c r="HY46" s="17"/>
      <c r="HZ46" s="17"/>
      <c r="IA46" s="17"/>
      <c r="IB46" s="17"/>
      <c r="IC46" s="17"/>
      <c r="ID46" s="17"/>
      <c r="IE46" s="17"/>
      <c r="IF46" s="17"/>
      <c r="IG46" s="17"/>
      <c r="IH46" s="17"/>
      <c r="II46" s="17"/>
      <c r="IJ46" s="17"/>
      <c r="IK46" s="17"/>
      <c r="IL46" s="17"/>
      <c r="IM46" s="17"/>
      <c r="IN46" s="17"/>
      <c r="IO46" s="17"/>
      <c r="IP46" s="17"/>
      <c r="IQ46" s="17"/>
      <c r="IR46" s="17"/>
      <c r="IS46" s="17"/>
      <c r="IT46" s="17"/>
      <c r="IU46" s="17"/>
      <c r="IV46" s="17"/>
      <c r="IW46" s="17"/>
      <c r="IX46" s="17"/>
      <c r="IY46" s="17"/>
      <c r="IZ46" s="17"/>
      <c r="JA46" s="17"/>
      <c r="JB46" s="17"/>
      <c r="JC46" s="17"/>
      <c r="JD46" s="17"/>
      <c r="JE46" s="17"/>
      <c r="JF46" s="17"/>
      <c r="JG46" s="17"/>
      <c r="JH46" s="17"/>
      <c r="JI46" s="17"/>
      <c r="JJ46" s="17"/>
      <c r="JK46" s="17"/>
      <c r="JL46" s="17"/>
      <c r="JM46" s="17"/>
      <c r="JN46" s="17"/>
      <c r="JO46" s="17"/>
      <c r="JP46" s="17"/>
      <c r="JQ46" s="17"/>
      <c r="JR46" s="17"/>
      <c r="JS46" s="17"/>
      <c r="JT46" s="17"/>
      <c r="JU46" s="17"/>
      <c r="JV46" s="17"/>
      <c r="JW46" s="17"/>
      <c r="JX46" s="17"/>
      <c r="JY46" s="17"/>
      <c r="JZ46" s="17"/>
      <c r="KA46" s="17"/>
      <c r="KB46" s="17"/>
      <c r="KC46" s="17"/>
      <c r="KD46" s="17"/>
      <c r="KE46" s="17"/>
      <c r="KF46" s="17"/>
      <c r="KG46" s="17"/>
      <c r="KH46" s="17"/>
      <c r="KI46" s="17"/>
      <c r="KJ46" s="17"/>
      <c r="KK46" s="17"/>
      <c r="KL46" s="17"/>
      <c r="KM46" s="17"/>
      <c r="KN46" s="17"/>
      <c r="KO46" s="17"/>
      <c r="KP46" s="17"/>
      <c r="KQ46" s="17"/>
      <c r="KR46" s="17"/>
      <c r="KS46" s="17"/>
      <c r="KT46" s="17"/>
      <c r="KU46" s="17"/>
      <c r="KV46" s="17"/>
      <c r="KW46" s="17"/>
      <c r="KX46" s="17"/>
      <c r="KY46" s="17"/>
    </row>
    <row r="47" spans="1:311" x14ac:dyDescent="0.25">
      <c r="A47" s="17"/>
      <c r="B47" s="17"/>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c r="AK47" s="17"/>
      <c r="AL47" s="17"/>
      <c r="AM47" s="17"/>
      <c r="AN47" s="17"/>
      <c r="AO47" s="17"/>
      <c r="AP47" s="17"/>
      <c r="AQ47" s="17"/>
      <c r="AR47" s="17"/>
      <c r="AS47" s="17"/>
      <c r="AT47" s="17"/>
      <c r="AU47" s="17"/>
      <c r="AV47" s="17"/>
      <c r="AW47" s="17"/>
      <c r="AX47" s="17"/>
      <c r="AY47" s="17"/>
      <c r="AZ47" s="17"/>
      <c r="BA47" s="17"/>
      <c r="BB47" s="17"/>
      <c r="BC47" s="17"/>
      <c r="BD47" s="17"/>
      <c r="BE47" s="17"/>
      <c r="BF47" s="17"/>
      <c r="BG47" s="17"/>
      <c r="BH47" s="17"/>
      <c r="BI47" s="17"/>
      <c r="BJ47" s="17"/>
      <c r="BK47" s="17"/>
      <c r="BL47" s="17"/>
      <c r="BM47" s="17"/>
      <c r="BN47" s="17"/>
      <c r="BO47" s="17"/>
      <c r="BP47" s="17"/>
      <c r="BQ47" s="17"/>
      <c r="BR47" s="17"/>
      <c r="BS47" s="17"/>
      <c r="BT47" s="17"/>
      <c r="BU47" s="17"/>
      <c r="BV47" s="17"/>
      <c r="BW47" s="17"/>
      <c r="BX47" s="17"/>
      <c r="BY47" s="17"/>
      <c r="BZ47" s="17"/>
      <c r="CA47" s="17"/>
      <c r="CB47" s="17"/>
      <c r="CC47" s="17"/>
      <c r="CD47" s="17"/>
      <c r="CE47" s="17"/>
      <c r="CF47" s="17"/>
      <c r="CG47" s="17"/>
      <c r="CH47" s="17"/>
      <c r="CI47" s="17"/>
      <c r="CJ47" s="17"/>
      <c r="CK47" s="17"/>
      <c r="CL47" s="17"/>
      <c r="CM47" s="17"/>
      <c r="CN47" s="17"/>
      <c r="CO47" s="17"/>
      <c r="CP47" s="17"/>
      <c r="CQ47" s="17"/>
      <c r="CR47" s="17"/>
      <c r="CS47" s="17"/>
      <c r="CT47" s="17"/>
      <c r="CU47" s="17"/>
      <c r="CV47" s="17"/>
      <c r="CW47" s="17"/>
      <c r="CX47" s="17"/>
      <c r="CY47" s="17"/>
      <c r="CZ47" s="17"/>
      <c r="DA47" s="17"/>
      <c r="DB47" s="17"/>
      <c r="DC47" s="17"/>
      <c r="DD47" s="17"/>
      <c r="DE47" s="17"/>
      <c r="DF47" s="17"/>
      <c r="DG47" s="17"/>
      <c r="DH47" s="17"/>
      <c r="DI47" s="17"/>
      <c r="DJ47" s="17"/>
      <c r="DK47" s="17"/>
      <c r="DL47" s="17"/>
      <c r="DM47" s="17"/>
      <c r="DN47" s="17"/>
      <c r="DO47" s="17"/>
      <c r="DP47" s="17"/>
      <c r="DQ47" s="17"/>
      <c r="DR47" s="17"/>
      <c r="DS47" s="17"/>
      <c r="DT47" s="17"/>
      <c r="DU47" s="17"/>
      <c r="DV47" s="17"/>
      <c r="DW47" s="17"/>
      <c r="DX47" s="17"/>
      <c r="DY47" s="17"/>
      <c r="DZ47" s="17"/>
      <c r="EA47" s="17"/>
      <c r="EB47" s="17"/>
      <c r="EC47" s="17"/>
      <c r="ED47" s="17"/>
      <c r="EE47" s="17"/>
      <c r="EF47" s="17"/>
      <c r="EG47" s="17"/>
      <c r="EH47" s="17"/>
      <c r="EI47" s="17"/>
      <c r="EJ47" s="17"/>
      <c r="EK47" s="17"/>
      <c r="EL47" s="17"/>
      <c r="EM47" s="17"/>
      <c r="EN47" s="17"/>
      <c r="EO47" s="17"/>
      <c r="EP47" s="17"/>
      <c r="EQ47" s="17"/>
      <c r="ER47" s="17"/>
      <c r="ES47" s="17"/>
      <c r="ET47" s="17"/>
      <c r="EU47" s="17"/>
      <c r="EV47" s="17"/>
      <c r="EW47" s="17"/>
      <c r="EX47" s="17"/>
      <c r="EY47" s="17"/>
      <c r="EZ47" s="17"/>
      <c r="FA47" s="17"/>
      <c r="FB47" s="17"/>
      <c r="FC47" s="17"/>
      <c r="FD47" s="17"/>
      <c r="FE47" s="17"/>
      <c r="FF47" s="17"/>
      <c r="FG47" s="17"/>
      <c r="FH47" s="17"/>
      <c r="FI47" s="17"/>
      <c r="FJ47" s="17"/>
      <c r="FK47" s="17"/>
      <c r="FL47" s="17"/>
      <c r="FM47" s="17"/>
      <c r="FN47" s="17"/>
      <c r="FO47" s="17"/>
      <c r="FP47" s="17"/>
      <c r="FQ47" s="17"/>
      <c r="FR47" s="17"/>
      <c r="FS47" s="17"/>
      <c r="FT47" s="17"/>
      <c r="FU47" s="17"/>
      <c r="FV47" s="17"/>
      <c r="FW47" s="17"/>
      <c r="FX47" s="17"/>
      <c r="FY47" s="17"/>
      <c r="FZ47" s="17"/>
      <c r="GA47" s="17"/>
      <c r="GB47" s="17"/>
      <c r="GC47" s="17"/>
      <c r="GD47" s="17"/>
      <c r="GE47" s="17"/>
      <c r="GF47" s="17"/>
      <c r="GG47" s="17"/>
      <c r="GH47" s="17"/>
      <c r="GI47" s="17"/>
      <c r="GJ47" s="17"/>
      <c r="GK47" s="17"/>
      <c r="GL47" s="17"/>
      <c r="GM47" s="17"/>
      <c r="GN47" s="17"/>
      <c r="GO47" s="17"/>
      <c r="GP47" s="17"/>
      <c r="GQ47" s="17"/>
      <c r="GR47" s="17"/>
      <c r="GS47" s="17"/>
      <c r="GT47" s="17"/>
      <c r="GU47" s="17"/>
      <c r="GV47" s="17"/>
      <c r="GW47" s="17"/>
      <c r="GX47" s="17"/>
      <c r="GY47" s="17"/>
      <c r="GZ47" s="17"/>
      <c r="HA47" s="17"/>
      <c r="HB47" s="17"/>
      <c r="HC47" s="17"/>
      <c r="HD47" s="17"/>
      <c r="HE47" s="17"/>
      <c r="HF47" s="17"/>
      <c r="HG47" s="17"/>
      <c r="HH47" s="17"/>
      <c r="HI47" s="17"/>
      <c r="HJ47" s="17"/>
      <c r="HK47" s="17"/>
      <c r="HL47" s="17"/>
      <c r="HM47" s="17"/>
      <c r="HN47" s="17"/>
      <c r="HO47" s="17"/>
      <c r="HP47" s="17"/>
      <c r="HQ47" s="17"/>
      <c r="HR47" s="17"/>
      <c r="HS47" s="17"/>
      <c r="HT47" s="17"/>
      <c r="HU47" s="17"/>
      <c r="HV47" s="17"/>
      <c r="HW47" s="17"/>
      <c r="HX47" s="17"/>
      <c r="HY47" s="17"/>
      <c r="HZ47" s="17"/>
      <c r="IA47" s="17"/>
      <c r="IB47" s="17"/>
      <c r="IC47" s="17"/>
      <c r="ID47" s="17"/>
      <c r="IE47" s="17"/>
      <c r="IF47" s="17"/>
      <c r="IG47" s="17"/>
      <c r="IH47" s="17"/>
      <c r="II47" s="17"/>
      <c r="IJ47" s="17"/>
      <c r="IK47" s="17"/>
      <c r="IL47" s="17"/>
      <c r="IM47" s="17"/>
      <c r="IN47" s="17"/>
      <c r="IO47" s="17"/>
      <c r="IP47" s="17"/>
      <c r="IQ47" s="17"/>
      <c r="IR47" s="17"/>
      <c r="IS47" s="17"/>
      <c r="IT47" s="17"/>
      <c r="IU47" s="17"/>
      <c r="IV47" s="17"/>
      <c r="IW47" s="17"/>
      <c r="IX47" s="17"/>
      <c r="IY47" s="17"/>
      <c r="IZ47" s="17"/>
      <c r="JA47" s="17"/>
      <c r="JB47" s="17"/>
      <c r="JC47" s="17"/>
      <c r="JD47" s="17"/>
      <c r="JE47" s="17"/>
      <c r="JF47" s="17"/>
      <c r="JG47" s="17"/>
      <c r="JH47" s="17"/>
      <c r="JI47" s="17"/>
      <c r="JJ47" s="17"/>
      <c r="JK47" s="17"/>
      <c r="JL47" s="17"/>
      <c r="JM47" s="17"/>
      <c r="JN47" s="17"/>
      <c r="JO47" s="17"/>
      <c r="JP47" s="17"/>
      <c r="JQ47" s="17"/>
      <c r="JR47" s="17"/>
      <c r="JS47" s="17"/>
      <c r="JT47" s="17"/>
      <c r="JU47" s="17"/>
      <c r="JV47" s="17"/>
      <c r="JW47" s="17"/>
      <c r="JX47" s="17"/>
      <c r="JY47" s="17"/>
      <c r="JZ47" s="17"/>
      <c r="KA47" s="17"/>
      <c r="KB47" s="17"/>
      <c r="KC47" s="17"/>
      <c r="KD47" s="17"/>
      <c r="KE47" s="17"/>
      <c r="KF47" s="17"/>
      <c r="KG47" s="17"/>
      <c r="KH47" s="17"/>
      <c r="KI47" s="17"/>
      <c r="KJ47" s="17"/>
      <c r="KK47" s="17"/>
      <c r="KL47" s="17"/>
      <c r="KM47" s="17"/>
      <c r="KN47" s="17"/>
      <c r="KO47" s="17"/>
      <c r="KP47" s="17"/>
      <c r="KQ47" s="17"/>
      <c r="KR47" s="17"/>
      <c r="KS47" s="17"/>
      <c r="KT47" s="17"/>
      <c r="KU47" s="17"/>
      <c r="KV47" s="17"/>
      <c r="KW47" s="17"/>
      <c r="KX47" s="17"/>
      <c r="KY47" s="17"/>
    </row>
    <row r="48" spans="1:311" x14ac:dyDescent="0.25">
      <c r="A48" s="17"/>
      <c r="B48" s="17"/>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c r="AK48" s="17"/>
      <c r="AL48" s="17"/>
      <c r="AM48" s="17"/>
      <c r="AN48" s="17"/>
      <c r="AO48" s="17"/>
      <c r="AP48" s="17"/>
      <c r="AQ48" s="17"/>
      <c r="AR48" s="17"/>
      <c r="AS48" s="17"/>
      <c r="AT48" s="17"/>
      <c r="AU48" s="17"/>
      <c r="AV48" s="17"/>
      <c r="AW48" s="17"/>
      <c r="AX48" s="17"/>
      <c r="AY48" s="17"/>
      <c r="AZ48" s="17"/>
      <c r="BA48" s="17"/>
      <c r="BB48" s="17"/>
      <c r="BC48" s="17"/>
      <c r="BD48" s="17"/>
      <c r="BE48" s="17"/>
      <c r="BF48" s="17"/>
      <c r="BG48" s="17"/>
      <c r="BH48" s="17"/>
      <c r="BI48" s="17"/>
      <c r="BJ48" s="17"/>
      <c r="BK48" s="17"/>
      <c r="BL48" s="17"/>
      <c r="BM48" s="17"/>
      <c r="BN48" s="17"/>
      <c r="BO48" s="17"/>
      <c r="BP48" s="17"/>
      <c r="BQ48" s="17"/>
      <c r="BR48" s="17"/>
      <c r="BS48" s="17"/>
      <c r="BT48" s="17"/>
      <c r="BU48" s="17"/>
      <c r="BV48" s="17"/>
      <c r="BW48" s="17"/>
      <c r="BX48" s="17"/>
      <c r="BY48" s="17"/>
      <c r="BZ48" s="17"/>
      <c r="CA48" s="17"/>
      <c r="CB48" s="17"/>
      <c r="CC48" s="17"/>
      <c r="CD48" s="17"/>
      <c r="CE48" s="17"/>
      <c r="CF48" s="17"/>
      <c r="CG48" s="17"/>
      <c r="CH48" s="17"/>
      <c r="CI48" s="17"/>
      <c r="CJ48" s="17"/>
      <c r="CK48" s="17"/>
      <c r="CL48" s="17"/>
      <c r="CM48" s="17"/>
      <c r="CN48" s="17"/>
      <c r="CO48" s="17"/>
      <c r="CP48" s="17"/>
      <c r="CQ48" s="17"/>
      <c r="CR48" s="17"/>
      <c r="CS48" s="17"/>
      <c r="CT48" s="17"/>
      <c r="CU48" s="17"/>
      <c r="CV48" s="17"/>
      <c r="CW48" s="17"/>
      <c r="CX48" s="17"/>
      <c r="CY48" s="17"/>
      <c r="CZ48" s="17"/>
      <c r="DA48" s="17"/>
      <c r="DB48" s="17"/>
      <c r="DC48" s="17"/>
      <c r="DD48" s="17"/>
      <c r="DE48" s="17"/>
      <c r="DF48" s="17"/>
      <c r="DG48" s="17"/>
      <c r="DH48" s="17"/>
      <c r="DI48" s="17"/>
      <c r="DJ48" s="17"/>
      <c r="DK48" s="17"/>
      <c r="DL48" s="17"/>
      <c r="DM48" s="17"/>
      <c r="DN48" s="17"/>
      <c r="DO48" s="17"/>
      <c r="DP48" s="17"/>
      <c r="DQ48" s="17"/>
      <c r="DR48" s="17"/>
      <c r="DS48" s="17"/>
      <c r="DT48" s="17"/>
      <c r="DU48" s="17"/>
      <c r="DV48" s="17"/>
      <c r="DW48" s="17"/>
      <c r="DX48" s="17"/>
      <c r="DY48" s="17"/>
      <c r="DZ48" s="17"/>
      <c r="EA48" s="17"/>
      <c r="EB48" s="17"/>
      <c r="EC48" s="17"/>
      <c r="ED48" s="17"/>
      <c r="EE48" s="17"/>
      <c r="EF48" s="17"/>
      <c r="EG48" s="17"/>
      <c r="EH48" s="17"/>
      <c r="EI48" s="17"/>
      <c r="EJ48" s="17"/>
      <c r="EK48" s="17"/>
      <c r="EL48" s="17"/>
      <c r="EM48" s="17"/>
      <c r="EN48" s="17"/>
      <c r="EO48" s="17"/>
      <c r="EP48" s="17"/>
      <c r="EQ48" s="17"/>
      <c r="ER48" s="17"/>
      <c r="ES48" s="17"/>
      <c r="ET48" s="17"/>
      <c r="EU48" s="17"/>
      <c r="EV48" s="17"/>
      <c r="EW48" s="17"/>
      <c r="EX48" s="17"/>
      <c r="EY48" s="17"/>
      <c r="EZ48" s="17"/>
      <c r="FA48" s="17"/>
      <c r="FB48" s="17"/>
      <c r="FC48" s="17"/>
      <c r="FD48" s="17"/>
      <c r="FE48" s="17"/>
      <c r="FF48" s="17"/>
      <c r="FG48" s="17"/>
      <c r="FH48" s="17"/>
      <c r="FI48" s="17"/>
      <c r="FJ48" s="17"/>
      <c r="FK48" s="17"/>
      <c r="FL48" s="17"/>
      <c r="FM48" s="17"/>
      <c r="FN48" s="17"/>
      <c r="FO48" s="17"/>
      <c r="FP48" s="17"/>
      <c r="FQ48" s="17"/>
      <c r="FR48" s="17"/>
      <c r="FS48" s="17"/>
      <c r="FT48" s="17"/>
      <c r="FU48" s="17"/>
      <c r="FV48" s="17"/>
      <c r="FW48" s="17"/>
      <c r="FX48" s="17"/>
      <c r="FY48" s="17"/>
      <c r="FZ48" s="17"/>
      <c r="GA48" s="17"/>
      <c r="GB48" s="17"/>
      <c r="GC48" s="17"/>
      <c r="GD48" s="17"/>
      <c r="GE48" s="17"/>
      <c r="GF48" s="17"/>
      <c r="GG48" s="17"/>
      <c r="GH48" s="17"/>
      <c r="GI48" s="17"/>
      <c r="GJ48" s="17"/>
      <c r="GK48" s="17"/>
      <c r="GL48" s="17"/>
      <c r="GM48" s="17"/>
      <c r="GN48" s="17"/>
      <c r="GO48" s="17"/>
      <c r="GP48" s="17"/>
      <c r="GQ48" s="17"/>
      <c r="GR48" s="17"/>
      <c r="GS48" s="17"/>
      <c r="GT48" s="17"/>
      <c r="GU48" s="17"/>
      <c r="GV48" s="17"/>
      <c r="GW48" s="17"/>
      <c r="GX48" s="17"/>
      <c r="GY48" s="17"/>
      <c r="GZ48" s="17"/>
      <c r="HA48" s="17"/>
      <c r="HB48" s="17"/>
      <c r="HC48" s="17"/>
      <c r="HD48" s="17"/>
      <c r="HE48" s="17"/>
      <c r="HF48" s="17"/>
      <c r="HG48" s="17"/>
      <c r="HH48" s="17"/>
      <c r="HI48" s="17"/>
      <c r="HJ48" s="17"/>
      <c r="HK48" s="17"/>
      <c r="HL48" s="17"/>
      <c r="HM48" s="17"/>
      <c r="HN48" s="17"/>
      <c r="HO48" s="17"/>
      <c r="HP48" s="17"/>
      <c r="HQ48" s="17"/>
      <c r="HR48" s="17"/>
      <c r="HS48" s="17"/>
      <c r="HT48" s="17"/>
      <c r="HU48" s="17"/>
      <c r="HV48" s="17"/>
      <c r="HW48" s="17"/>
      <c r="HX48" s="17"/>
      <c r="HY48" s="17"/>
      <c r="HZ48" s="17"/>
      <c r="IA48" s="17"/>
      <c r="IB48" s="17"/>
      <c r="IC48" s="17"/>
      <c r="ID48" s="17"/>
      <c r="IE48" s="17"/>
      <c r="IF48" s="17"/>
      <c r="IG48" s="17"/>
      <c r="IH48" s="17"/>
      <c r="II48" s="17"/>
      <c r="IJ48" s="17"/>
      <c r="IK48" s="17"/>
      <c r="IL48" s="17"/>
      <c r="IM48" s="17"/>
      <c r="IN48" s="17"/>
      <c r="IO48" s="17"/>
      <c r="IP48" s="17"/>
      <c r="IQ48" s="17"/>
      <c r="IR48" s="17"/>
      <c r="IS48" s="17"/>
      <c r="IT48" s="17"/>
      <c r="IU48" s="17"/>
      <c r="IV48" s="17"/>
      <c r="IW48" s="17"/>
      <c r="IX48" s="17"/>
      <c r="IY48" s="17"/>
      <c r="IZ48" s="17"/>
      <c r="JA48" s="17"/>
      <c r="JB48" s="17"/>
      <c r="JC48" s="17"/>
      <c r="JD48" s="17"/>
      <c r="JE48" s="17"/>
      <c r="JF48" s="17"/>
      <c r="JG48" s="17"/>
      <c r="JH48" s="17"/>
      <c r="JI48" s="17"/>
      <c r="JJ48" s="17"/>
      <c r="JK48" s="17"/>
      <c r="JL48" s="17"/>
      <c r="JM48" s="17"/>
      <c r="JN48" s="17"/>
      <c r="JO48" s="17"/>
      <c r="JP48" s="17"/>
      <c r="JQ48" s="17"/>
      <c r="JR48" s="17"/>
      <c r="JS48" s="17"/>
      <c r="JT48" s="17"/>
      <c r="JU48" s="17"/>
      <c r="JV48" s="17"/>
      <c r="JW48" s="17"/>
      <c r="JX48" s="17"/>
      <c r="JY48" s="17"/>
      <c r="JZ48" s="17"/>
      <c r="KA48" s="17"/>
      <c r="KB48" s="17"/>
      <c r="KC48" s="17"/>
      <c r="KD48" s="17"/>
      <c r="KE48" s="17"/>
      <c r="KF48" s="17"/>
      <c r="KG48" s="17"/>
      <c r="KH48" s="17"/>
      <c r="KI48" s="17"/>
      <c r="KJ48" s="17"/>
      <c r="KK48" s="17"/>
      <c r="KL48" s="17"/>
      <c r="KM48" s="17"/>
      <c r="KN48" s="17"/>
      <c r="KO48" s="17"/>
      <c r="KP48" s="17"/>
      <c r="KQ48" s="17"/>
      <c r="KR48" s="17"/>
      <c r="KS48" s="17"/>
      <c r="KT48" s="17"/>
      <c r="KU48" s="17"/>
      <c r="KV48" s="17"/>
      <c r="KW48" s="17"/>
      <c r="KX48" s="17"/>
      <c r="KY48" s="17"/>
    </row>
    <row r="49" spans="1:311" x14ac:dyDescent="0.25">
      <c r="A49" s="17"/>
      <c r="B49" s="17"/>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c r="AK49" s="17"/>
      <c r="AL49" s="17"/>
      <c r="AM49" s="17"/>
      <c r="AN49" s="17"/>
      <c r="AO49" s="17"/>
      <c r="AP49" s="17"/>
      <c r="AQ49" s="17"/>
      <c r="AR49" s="17"/>
      <c r="AS49" s="17"/>
      <c r="AT49" s="17"/>
      <c r="AU49" s="17"/>
      <c r="AV49" s="17"/>
      <c r="AW49" s="17"/>
      <c r="AX49" s="17"/>
      <c r="AY49" s="17"/>
      <c r="AZ49" s="17"/>
      <c r="BA49" s="17"/>
      <c r="BB49" s="17"/>
      <c r="BC49" s="17"/>
      <c r="BD49" s="17"/>
      <c r="BE49" s="17"/>
      <c r="BF49" s="17"/>
      <c r="BG49" s="17"/>
      <c r="BH49" s="17"/>
      <c r="BI49" s="17"/>
      <c r="BJ49" s="17"/>
      <c r="BK49" s="17"/>
      <c r="BL49" s="17"/>
      <c r="BM49" s="17"/>
      <c r="BN49" s="17"/>
      <c r="BO49" s="17"/>
      <c r="BP49" s="17"/>
      <c r="BQ49" s="17"/>
      <c r="BR49" s="17"/>
      <c r="BS49" s="17"/>
      <c r="BT49" s="17"/>
      <c r="BU49" s="17"/>
      <c r="BV49" s="17"/>
      <c r="BW49" s="17"/>
      <c r="BX49" s="17"/>
      <c r="BY49" s="17"/>
      <c r="BZ49" s="17"/>
      <c r="CA49" s="17"/>
      <c r="CB49" s="17"/>
      <c r="CC49" s="17"/>
      <c r="CD49" s="17"/>
      <c r="CE49" s="17"/>
      <c r="CF49" s="17"/>
      <c r="CG49" s="17"/>
      <c r="CH49" s="17"/>
      <c r="CI49" s="17"/>
      <c r="CJ49" s="17"/>
      <c r="CK49" s="17"/>
      <c r="CL49" s="17"/>
      <c r="CM49" s="17"/>
      <c r="CN49" s="17"/>
      <c r="CO49" s="17"/>
      <c r="CP49" s="17"/>
      <c r="CQ49" s="17"/>
      <c r="CR49" s="17"/>
      <c r="CS49" s="17"/>
      <c r="CT49" s="17"/>
      <c r="CU49" s="17"/>
      <c r="CV49" s="17"/>
      <c r="CW49" s="17"/>
      <c r="CX49" s="17"/>
      <c r="CY49" s="17"/>
      <c r="CZ49" s="17"/>
      <c r="DA49" s="17"/>
      <c r="DB49" s="17"/>
      <c r="DC49" s="17"/>
      <c r="DD49" s="17"/>
      <c r="DE49" s="17"/>
      <c r="DF49" s="17"/>
      <c r="DG49" s="17"/>
      <c r="DH49" s="17"/>
      <c r="DI49" s="17"/>
      <c r="DJ49" s="17"/>
      <c r="DK49" s="17"/>
      <c r="DL49" s="17"/>
      <c r="DM49" s="17"/>
      <c r="DN49" s="17"/>
      <c r="DO49" s="17"/>
      <c r="DP49" s="17"/>
      <c r="DQ49" s="17"/>
      <c r="DR49" s="17"/>
      <c r="DS49" s="17"/>
      <c r="DT49" s="17"/>
      <c r="DU49" s="17"/>
      <c r="DV49" s="17"/>
      <c r="DW49" s="17"/>
      <c r="DX49" s="17"/>
      <c r="DY49" s="17"/>
      <c r="DZ49" s="17"/>
      <c r="EA49" s="17"/>
      <c r="EB49" s="17"/>
      <c r="EC49" s="17"/>
      <c r="ED49" s="17"/>
      <c r="EE49" s="17"/>
      <c r="EF49" s="17"/>
      <c r="EG49" s="17"/>
      <c r="EH49" s="17"/>
      <c r="EI49" s="17"/>
      <c r="EJ49" s="17"/>
      <c r="EK49" s="17"/>
      <c r="EL49" s="17"/>
      <c r="EM49" s="17"/>
      <c r="EN49" s="17"/>
      <c r="EO49" s="17"/>
      <c r="EP49" s="17"/>
      <c r="EQ49" s="17"/>
      <c r="ER49" s="17"/>
      <c r="ES49" s="17"/>
      <c r="ET49" s="17"/>
      <c r="EU49" s="17"/>
      <c r="EV49" s="17"/>
      <c r="EW49" s="17"/>
      <c r="EX49" s="17"/>
      <c r="EY49" s="17"/>
      <c r="EZ49" s="17"/>
      <c r="FA49" s="17"/>
      <c r="FB49" s="17"/>
      <c r="FC49" s="17"/>
      <c r="FD49" s="17"/>
      <c r="FE49" s="17"/>
      <c r="FF49" s="17"/>
      <c r="FG49" s="17"/>
      <c r="FH49" s="17"/>
      <c r="FI49" s="17"/>
      <c r="FJ49" s="17"/>
      <c r="FK49" s="17"/>
      <c r="FL49" s="17"/>
      <c r="FM49" s="17"/>
      <c r="FN49" s="17"/>
      <c r="FO49" s="17"/>
      <c r="FP49" s="17"/>
      <c r="FQ49" s="17"/>
      <c r="FR49" s="17"/>
      <c r="FS49" s="17"/>
      <c r="FT49" s="17"/>
      <c r="FU49" s="17"/>
      <c r="FV49" s="17"/>
      <c r="FW49" s="17"/>
      <c r="FX49" s="17"/>
      <c r="FY49" s="17"/>
      <c r="FZ49" s="17"/>
      <c r="GA49" s="17"/>
      <c r="GB49" s="17"/>
      <c r="GC49" s="17"/>
      <c r="GD49" s="17"/>
      <c r="GE49" s="17"/>
      <c r="GF49" s="17"/>
      <c r="GG49" s="17"/>
      <c r="GH49" s="17"/>
      <c r="GI49" s="17"/>
      <c r="GJ49" s="17"/>
      <c r="GK49" s="17"/>
      <c r="GL49" s="17"/>
      <c r="GM49" s="17"/>
      <c r="GN49" s="17"/>
      <c r="GO49" s="17"/>
      <c r="GP49" s="17"/>
      <c r="GQ49" s="17"/>
      <c r="GR49" s="17"/>
      <c r="GS49" s="17"/>
      <c r="GT49" s="17"/>
      <c r="GU49" s="17"/>
      <c r="GV49" s="17"/>
      <c r="GW49" s="17"/>
      <c r="GX49" s="17"/>
      <c r="GY49" s="17"/>
      <c r="GZ49" s="17"/>
      <c r="HA49" s="17"/>
      <c r="HB49" s="17"/>
      <c r="HC49" s="17"/>
      <c r="HD49" s="17"/>
      <c r="HE49" s="17"/>
      <c r="HF49" s="17"/>
      <c r="HG49" s="17"/>
      <c r="HH49" s="17"/>
      <c r="HI49" s="17"/>
      <c r="HJ49" s="17"/>
      <c r="HK49" s="17"/>
      <c r="HL49" s="17"/>
      <c r="HM49" s="17"/>
      <c r="HN49" s="17"/>
      <c r="HO49" s="17"/>
      <c r="HP49" s="17"/>
      <c r="HQ49" s="17"/>
      <c r="HR49" s="17"/>
      <c r="HS49" s="17"/>
      <c r="HT49" s="17"/>
      <c r="HU49" s="17"/>
      <c r="HV49" s="17"/>
      <c r="HW49" s="17"/>
      <c r="HX49" s="17"/>
      <c r="HY49" s="17"/>
      <c r="HZ49" s="17"/>
      <c r="IA49" s="17"/>
      <c r="IB49" s="17"/>
      <c r="IC49" s="17"/>
      <c r="ID49" s="17"/>
      <c r="IE49" s="17"/>
      <c r="IF49" s="17"/>
      <c r="IG49" s="17"/>
      <c r="IH49" s="17"/>
      <c r="II49" s="17"/>
      <c r="IJ49" s="17"/>
      <c r="IK49" s="17"/>
      <c r="IL49" s="17"/>
      <c r="IM49" s="17"/>
      <c r="IN49" s="17"/>
      <c r="IO49" s="17"/>
      <c r="IP49" s="17"/>
      <c r="IQ49" s="17"/>
      <c r="IR49" s="17"/>
      <c r="IS49" s="17"/>
      <c r="IT49" s="17"/>
      <c r="IU49" s="17"/>
      <c r="IV49" s="17"/>
      <c r="IW49" s="17"/>
      <c r="IX49" s="17"/>
      <c r="IY49" s="17"/>
      <c r="IZ49" s="17"/>
      <c r="JA49" s="17"/>
      <c r="JB49" s="17"/>
      <c r="JC49" s="17"/>
      <c r="JD49" s="17"/>
      <c r="JE49" s="17"/>
      <c r="JF49" s="17"/>
      <c r="JG49" s="17"/>
      <c r="JH49" s="17"/>
      <c r="JI49" s="17"/>
      <c r="JJ49" s="17"/>
      <c r="JK49" s="17"/>
      <c r="JL49" s="17"/>
      <c r="JM49" s="17"/>
      <c r="JN49" s="17"/>
      <c r="JO49" s="17"/>
      <c r="JP49" s="17"/>
      <c r="JQ49" s="17"/>
      <c r="JR49" s="17"/>
      <c r="JS49" s="17"/>
      <c r="JT49" s="17"/>
      <c r="JU49" s="17"/>
      <c r="JV49" s="17"/>
      <c r="JW49" s="17"/>
      <c r="JX49" s="17"/>
      <c r="JY49" s="17"/>
      <c r="JZ49" s="17"/>
      <c r="KA49" s="17"/>
      <c r="KB49" s="17"/>
      <c r="KC49" s="17"/>
      <c r="KD49" s="17"/>
      <c r="KE49" s="17"/>
      <c r="KF49" s="17"/>
      <c r="KG49" s="17"/>
      <c r="KH49" s="17"/>
      <c r="KI49" s="17"/>
      <c r="KJ49" s="17"/>
      <c r="KK49" s="17"/>
      <c r="KL49" s="17"/>
      <c r="KM49" s="17"/>
      <c r="KN49" s="17"/>
      <c r="KO49" s="17"/>
      <c r="KP49" s="17"/>
      <c r="KQ49" s="17"/>
      <c r="KR49" s="17"/>
      <c r="KS49" s="17"/>
      <c r="KT49" s="17"/>
      <c r="KU49" s="17"/>
      <c r="KV49" s="17"/>
      <c r="KW49" s="17"/>
      <c r="KX49" s="17"/>
      <c r="KY49" s="17"/>
    </row>
    <row r="50" spans="1:311" x14ac:dyDescent="0.25">
      <c r="A50" s="17"/>
      <c r="B50" s="17"/>
      <c r="C50" s="17"/>
      <c r="D50" s="17"/>
      <c r="E50" s="17"/>
      <c r="F50" s="17"/>
      <c r="G50" s="17"/>
      <c r="H50" s="17"/>
      <c r="I50" s="17"/>
      <c r="J50" s="17"/>
      <c r="K50" s="17"/>
      <c r="L50" s="17"/>
      <c r="M50" s="17"/>
      <c r="N50" s="17"/>
      <c r="O50" s="17"/>
      <c r="P50" s="17"/>
      <c r="Q50" s="17"/>
      <c r="R50" s="17"/>
      <c r="S50" s="17"/>
      <c r="T50" s="17"/>
      <c r="U50" s="17"/>
      <c r="V50" s="17"/>
      <c r="W50" s="17"/>
      <c r="X50" s="17"/>
      <c r="Y50" s="17"/>
      <c r="Z50" s="17"/>
      <c r="AA50" s="17"/>
      <c r="AB50" s="17"/>
      <c r="AC50" s="17"/>
      <c r="AD50" s="17"/>
      <c r="AE50" s="17"/>
      <c r="AF50" s="17"/>
      <c r="AG50" s="17"/>
      <c r="AH50" s="17"/>
      <c r="AI50" s="17"/>
      <c r="AJ50" s="17"/>
      <c r="AK50" s="17"/>
      <c r="AL50" s="17"/>
      <c r="AM50" s="17"/>
      <c r="AN50" s="17"/>
      <c r="AO50" s="17"/>
      <c r="AP50" s="17"/>
      <c r="AQ50" s="17"/>
      <c r="AR50" s="17"/>
      <c r="AS50" s="17"/>
      <c r="AT50" s="17"/>
      <c r="AU50" s="17"/>
      <c r="AV50" s="17"/>
      <c r="AW50" s="17"/>
      <c r="AX50" s="17"/>
      <c r="AY50" s="17"/>
      <c r="AZ50" s="17"/>
      <c r="BA50" s="17"/>
      <c r="BB50" s="17"/>
      <c r="BC50" s="17"/>
      <c r="BD50" s="17"/>
      <c r="BE50" s="17"/>
      <c r="BF50" s="17"/>
      <c r="BG50" s="17"/>
      <c r="BH50" s="17"/>
      <c r="BI50" s="17"/>
      <c r="BJ50" s="17"/>
      <c r="BK50" s="17"/>
      <c r="BL50" s="17"/>
      <c r="BM50" s="17"/>
      <c r="BN50" s="17"/>
      <c r="BO50" s="17"/>
      <c r="BP50" s="17"/>
      <c r="BQ50" s="17"/>
      <c r="BR50" s="17"/>
      <c r="BS50" s="17"/>
      <c r="BT50" s="17"/>
      <c r="BU50" s="17"/>
      <c r="BV50" s="17"/>
      <c r="BW50" s="17"/>
      <c r="BX50" s="17"/>
      <c r="BY50" s="17"/>
      <c r="BZ50" s="17"/>
      <c r="CA50" s="17"/>
      <c r="CB50" s="17"/>
      <c r="CC50" s="17"/>
      <c r="CD50" s="17"/>
      <c r="CE50" s="17"/>
      <c r="CF50" s="17"/>
      <c r="CG50" s="17"/>
      <c r="CH50" s="17"/>
      <c r="CI50" s="17"/>
      <c r="CJ50" s="17"/>
      <c r="CK50" s="17"/>
      <c r="CL50" s="17"/>
      <c r="CM50" s="17"/>
      <c r="CN50" s="17"/>
      <c r="CO50" s="17"/>
      <c r="CP50" s="17"/>
      <c r="CQ50" s="17"/>
      <c r="CR50" s="17"/>
      <c r="CS50" s="17"/>
      <c r="CT50" s="17"/>
      <c r="CU50" s="17"/>
      <c r="CV50" s="17"/>
      <c r="CW50" s="17"/>
      <c r="CX50" s="17"/>
      <c r="CY50" s="17"/>
      <c r="CZ50" s="17"/>
      <c r="DA50" s="17"/>
      <c r="DB50" s="17"/>
      <c r="DC50" s="17"/>
      <c r="DD50" s="17"/>
      <c r="DE50" s="17"/>
      <c r="DF50" s="17"/>
      <c r="DG50" s="17"/>
      <c r="DH50" s="17"/>
      <c r="DI50" s="17"/>
      <c r="DJ50" s="17"/>
      <c r="DK50" s="17"/>
      <c r="DL50" s="17"/>
      <c r="DM50" s="17"/>
      <c r="DN50" s="17"/>
      <c r="DO50" s="17"/>
      <c r="DP50" s="17"/>
      <c r="DQ50" s="17"/>
      <c r="DR50" s="17"/>
      <c r="DS50" s="17"/>
      <c r="DT50" s="17"/>
      <c r="DU50" s="17"/>
      <c r="DV50" s="17"/>
      <c r="DW50" s="17"/>
      <c r="DX50" s="17"/>
      <c r="DY50" s="17"/>
      <c r="DZ50" s="17"/>
      <c r="EA50" s="17"/>
      <c r="EB50" s="17"/>
      <c r="EC50" s="17"/>
      <c r="ED50" s="17"/>
      <c r="EE50" s="17"/>
      <c r="EF50" s="17"/>
      <c r="EG50" s="17"/>
      <c r="EH50" s="17"/>
      <c r="EI50" s="17"/>
      <c r="EJ50" s="17"/>
      <c r="EK50" s="17"/>
      <c r="EL50" s="17"/>
      <c r="EM50" s="17"/>
      <c r="EN50" s="17"/>
      <c r="EO50" s="17"/>
      <c r="EP50" s="17"/>
      <c r="EQ50" s="17"/>
      <c r="ER50" s="17"/>
      <c r="ES50" s="17"/>
      <c r="ET50" s="17"/>
      <c r="EU50" s="17"/>
      <c r="EV50" s="17"/>
      <c r="EW50" s="17"/>
      <c r="EX50" s="17"/>
      <c r="EY50" s="17"/>
      <c r="EZ50" s="17"/>
      <c r="FA50" s="17"/>
      <c r="FB50" s="17"/>
      <c r="FC50" s="17"/>
      <c r="FD50" s="17"/>
      <c r="FE50" s="17"/>
      <c r="FF50" s="17"/>
      <c r="FG50" s="17"/>
      <c r="FH50" s="17"/>
      <c r="FI50" s="17"/>
      <c r="FJ50" s="17"/>
      <c r="FK50" s="17"/>
      <c r="FL50" s="17"/>
      <c r="FM50" s="17"/>
      <c r="FN50" s="17"/>
      <c r="FO50" s="17"/>
      <c r="FP50" s="17"/>
      <c r="FQ50" s="17"/>
      <c r="FR50" s="17"/>
      <c r="FS50" s="17"/>
      <c r="FT50" s="17"/>
      <c r="FU50" s="17"/>
      <c r="FV50" s="17"/>
      <c r="FW50" s="17"/>
      <c r="FX50" s="17"/>
      <c r="FY50" s="17"/>
      <c r="FZ50" s="17"/>
      <c r="GA50" s="17"/>
      <c r="GB50" s="17"/>
      <c r="GC50" s="17"/>
      <c r="GD50" s="17"/>
      <c r="GE50" s="17"/>
      <c r="GF50" s="17"/>
      <c r="GG50" s="17"/>
      <c r="GH50" s="17"/>
      <c r="GI50" s="17"/>
      <c r="GJ50" s="17"/>
      <c r="GK50" s="17"/>
      <c r="GL50" s="17"/>
      <c r="GM50" s="17"/>
      <c r="GN50" s="17"/>
      <c r="GO50" s="17"/>
      <c r="GP50" s="17"/>
      <c r="GQ50" s="17"/>
      <c r="GR50" s="17"/>
      <c r="GS50" s="17"/>
      <c r="GT50" s="17"/>
      <c r="GU50" s="17"/>
      <c r="GV50" s="17"/>
      <c r="GW50" s="17"/>
      <c r="GX50" s="17"/>
      <c r="GY50" s="17"/>
      <c r="GZ50" s="17"/>
      <c r="HA50" s="17"/>
      <c r="HB50" s="17"/>
      <c r="HC50" s="17"/>
      <c r="HD50" s="17"/>
      <c r="HE50" s="17"/>
      <c r="HF50" s="17"/>
      <c r="HG50" s="17"/>
      <c r="HH50" s="17"/>
      <c r="HI50" s="17"/>
      <c r="HJ50" s="17"/>
      <c r="HK50" s="17"/>
      <c r="HL50" s="17"/>
      <c r="HM50" s="17"/>
      <c r="HN50" s="17"/>
      <c r="HO50" s="17"/>
      <c r="HP50" s="17"/>
      <c r="HQ50" s="17"/>
      <c r="HR50" s="17"/>
      <c r="HS50" s="17"/>
      <c r="HT50" s="17"/>
      <c r="HU50" s="17"/>
      <c r="HV50" s="17"/>
      <c r="HW50" s="17"/>
      <c r="HX50" s="17"/>
      <c r="HY50" s="17"/>
      <c r="HZ50" s="17"/>
      <c r="IA50" s="17"/>
      <c r="IB50" s="17"/>
      <c r="IC50" s="17"/>
      <c r="ID50" s="17"/>
      <c r="IE50" s="17"/>
      <c r="IF50" s="17"/>
      <c r="IG50" s="17"/>
      <c r="IH50" s="17"/>
      <c r="II50" s="17"/>
      <c r="IJ50" s="17"/>
      <c r="IK50" s="17"/>
      <c r="IL50" s="17"/>
      <c r="IM50" s="17"/>
      <c r="IN50" s="17"/>
      <c r="IO50" s="17"/>
      <c r="IP50" s="17"/>
      <c r="IQ50" s="17"/>
      <c r="IR50" s="17"/>
      <c r="IS50" s="17"/>
      <c r="IT50" s="17"/>
      <c r="IU50" s="17"/>
      <c r="IV50" s="17"/>
      <c r="IW50" s="17"/>
      <c r="IX50" s="17"/>
      <c r="IY50" s="17"/>
      <c r="IZ50" s="17"/>
      <c r="JA50" s="17"/>
      <c r="JB50" s="17"/>
      <c r="JC50" s="17"/>
      <c r="JD50" s="17"/>
      <c r="JE50" s="17"/>
      <c r="JF50" s="17"/>
      <c r="JG50" s="17"/>
      <c r="JH50" s="17"/>
      <c r="JI50" s="17"/>
      <c r="JJ50" s="17"/>
      <c r="JK50" s="17"/>
      <c r="JL50" s="17"/>
      <c r="JM50" s="17"/>
      <c r="JN50" s="17"/>
      <c r="JO50" s="17"/>
      <c r="JP50" s="17"/>
      <c r="JQ50" s="17"/>
      <c r="JR50" s="17"/>
      <c r="JS50" s="17"/>
      <c r="JT50" s="17"/>
      <c r="JU50" s="17"/>
      <c r="JV50" s="17"/>
      <c r="JW50" s="17"/>
      <c r="JX50" s="17"/>
      <c r="JY50" s="17"/>
      <c r="JZ50" s="17"/>
      <c r="KA50" s="17"/>
      <c r="KB50" s="17"/>
      <c r="KC50" s="17"/>
      <c r="KD50" s="17"/>
      <c r="KE50" s="17"/>
      <c r="KF50" s="17"/>
      <c r="KG50" s="17"/>
      <c r="KH50" s="17"/>
      <c r="KI50" s="17"/>
      <c r="KJ50" s="17"/>
      <c r="KK50" s="17"/>
      <c r="KL50" s="17"/>
      <c r="KM50" s="17"/>
      <c r="KN50" s="17"/>
      <c r="KO50" s="17"/>
      <c r="KP50" s="17"/>
      <c r="KQ50" s="17"/>
      <c r="KR50" s="17"/>
      <c r="KS50" s="17"/>
      <c r="KT50" s="17"/>
      <c r="KU50" s="17"/>
      <c r="KV50" s="17"/>
      <c r="KW50" s="17"/>
      <c r="KX50" s="17"/>
      <c r="KY50" s="17"/>
    </row>
    <row r="51" spans="1:311" x14ac:dyDescent="0.25">
      <c r="A51" s="17"/>
      <c r="B51" s="17"/>
      <c r="C51" s="17"/>
      <c r="D51" s="17"/>
      <c r="E51" s="17"/>
      <c r="F51" s="17"/>
      <c r="G51" s="17"/>
      <c r="H51" s="17"/>
      <c r="I51" s="17"/>
      <c r="J51" s="17"/>
      <c r="K51" s="17"/>
      <c r="L51" s="17"/>
      <c r="M51" s="17"/>
      <c r="N51" s="17"/>
      <c r="O51" s="17"/>
      <c r="P51" s="17"/>
      <c r="Q51" s="17"/>
      <c r="R51" s="17"/>
      <c r="S51" s="17"/>
      <c r="T51" s="17"/>
      <c r="U51" s="17"/>
      <c r="V51" s="17"/>
      <c r="W51" s="17"/>
      <c r="X51" s="17"/>
      <c r="Y51" s="17"/>
      <c r="Z51" s="17"/>
      <c r="AA51" s="17"/>
      <c r="AB51" s="17"/>
      <c r="AC51" s="17"/>
      <c r="AD51" s="17"/>
      <c r="AE51" s="17"/>
      <c r="AF51" s="17"/>
      <c r="AG51" s="17"/>
      <c r="AH51" s="17"/>
      <c r="AI51" s="17"/>
      <c r="AJ51" s="17"/>
      <c r="AK51" s="17"/>
      <c r="AL51" s="17"/>
      <c r="AM51" s="17"/>
      <c r="AN51" s="17"/>
      <c r="AO51" s="17"/>
      <c r="AP51" s="17"/>
      <c r="AQ51" s="17"/>
      <c r="AR51" s="17"/>
      <c r="AS51" s="17"/>
      <c r="AT51" s="17"/>
      <c r="AU51" s="17"/>
      <c r="AV51" s="17"/>
      <c r="AW51" s="17"/>
      <c r="AX51" s="17"/>
      <c r="AY51" s="17"/>
      <c r="AZ51" s="17"/>
      <c r="BA51" s="17"/>
      <c r="BB51" s="17"/>
      <c r="BC51" s="17"/>
      <c r="BD51" s="17"/>
      <c r="BE51" s="17"/>
      <c r="BF51" s="17"/>
      <c r="BG51" s="17"/>
      <c r="BH51" s="17"/>
      <c r="BI51" s="17"/>
      <c r="BJ51" s="17"/>
      <c r="BK51" s="17"/>
      <c r="BL51" s="17"/>
      <c r="BM51" s="17"/>
      <c r="BN51" s="17"/>
      <c r="BO51" s="17"/>
      <c r="BP51" s="17"/>
      <c r="BQ51" s="17"/>
      <c r="BR51" s="17"/>
      <c r="BS51" s="17"/>
      <c r="BT51" s="17"/>
      <c r="BU51" s="17"/>
      <c r="BV51" s="17"/>
      <c r="BW51" s="17"/>
      <c r="BX51" s="17"/>
      <c r="BY51" s="17"/>
      <c r="BZ51" s="17"/>
      <c r="CA51" s="17"/>
      <c r="CB51" s="17"/>
      <c r="CC51" s="17"/>
      <c r="CD51" s="17"/>
      <c r="CE51" s="17"/>
      <c r="CF51" s="17"/>
      <c r="CG51" s="17"/>
      <c r="CH51" s="17"/>
      <c r="CI51" s="17"/>
      <c r="CJ51" s="17"/>
      <c r="CK51" s="17"/>
      <c r="CL51" s="17"/>
      <c r="CM51" s="17"/>
      <c r="CN51" s="17"/>
      <c r="CO51" s="17"/>
      <c r="CP51" s="17"/>
      <c r="CQ51" s="17"/>
      <c r="CR51" s="17"/>
      <c r="CS51" s="17"/>
      <c r="CT51" s="17"/>
      <c r="CU51" s="17"/>
      <c r="CV51" s="17"/>
      <c r="CW51" s="17"/>
      <c r="CX51" s="17"/>
      <c r="CY51" s="17"/>
      <c r="CZ51" s="17"/>
      <c r="DA51" s="17"/>
      <c r="DB51" s="17"/>
      <c r="DC51" s="17"/>
      <c r="DD51" s="17"/>
      <c r="DE51" s="17"/>
      <c r="DF51" s="17"/>
      <c r="DG51" s="17"/>
      <c r="DH51" s="17"/>
      <c r="DI51" s="17"/>
      <c r="DJ51" s="17"/>
      <c r="DK51" s="17"/>
      <c r="DL51" s="17"/>
      <c r="DM51" s="17"/>
      <c r="DN51" s="17"/>
      <c r="DO51" s="17"/>
      <c r="DP51" s="17"/>
      <c r="DQ51" s="17"/>
      <c r="DR51" s="17"/>
      <c r="DS51" s="17"/>
      <c r="DT51" s="17"/>
      <c r="DU51" s="17"/>
      <c r="DV51" s="17"/>
      <c r="DW51" s="17"/>
      <c r="DX51" s="17"/>
      <c r="DY51" s="17"/>
      <c r="DZ51" s="17"/>
      <c r="EA51" s="17"/>
      <c r="EB51" s="17"/>
      <c r="EC51" s="17"/>
      <c r="ED51" s="17"/>
      <c r="EE51" s="17"/>
      <c r="EF51" s="17"/>
      <c r="EG51" s="17"/>
      <c r="EH51" s="17"/>
      <c r="EI51" s="17"/>
      <c r="EJ51" s="17"/>
      <c r="EK51" s="17"/>
      <c r="EL51" s="17"/>
      <c r="EM51" s="17"/>
      <c r="EN51" s="17"/>
      <c r="EO51" s="17"/>
      <c r="EP51" s="17"/>
      <c r="EQ51" s="17"/>
      <c r="ER51" s="17"/>
      <c r="ES51" s="17"/>
      <c r="ET51" s="17"/>
      <c r="EU51" s="17"/>
      <c r="EV51" s="17"/>
      <c r="EW51" s="17"/>
      <c r="EX51" s="17"/>
      <c r="EY51" s="17"/>
      <c r="EZ51" s="17"/>
      <c r="FA51" s="17"/>
      <c r="FB51" s="17"/>
      <c r="FC51" s="17"/>
      <c r="FD51" s="17"/>
      <c r="FE51" s="17"/>
      <c r="FF51" s="17"/>
      <c r="FG51" s="17"/>
      <c r="FH51" s="17"/>
      <c r="FI51" s="17"/>
      <c r="FJ51" s="17"/>
      <c r="FK51" s="17"/>
      <c r="FL51" s="17"/>
      <c r="FM51" s="17"/>
      <c r="FN51" s="17"/>
      <c r="FO51" s="17"/>
      <c r="FP51" s="17"/>
      <c r="FQ51" s="17"/>
      <c r="FR51" s="17"/>
      <c r="FS51" s="17"/>
      <c r="FT51" s="17"/>
      <c r="FU51" s="17"/>
      <c r="FV51" s="17"/>
      <c r="FW51" s="17"/>
      <c r="FX51" s="17"/>
      <c r="FY51" s="17"/>
      <c r="FZ51" s="17"/>
      <c r="GA51" s="17"/>
      <c r="GB51" s="17"/>
      <c r="GC51" s="17"/>
      <c r="GD51" s="17"/>
      <c r="GE51" s="17"/>
      <c r="GF51" s="17"/>
      <c r="GG51" s="17"/>
      <c r="GH51" s="17"/>
      <c r="GI51" s="17"/>
      <c r="GJ51" s="17"/>
      <c r="GK51" s="17"/>
      <c r="GL51" s="17"/>
      <c r="GM51" s="17"/>
      <c r="GN51" s="17"/>
      <c r="GO51" s="17"/>
      <c r="GP51" s="17"/>
      <c r="GQ51" s="17"/>
      <c r="GR51" s="17"/>
      <c r="GS51" s="17"/>
      <c r="GT51" s="17"/>
      <c r="GU51" s="17"/>
      <c r="GV51" s="17"/>
      <c r="GW51" s="17"/>
      <c r="GX51" s="17"/>
      <c r="GY51" s="17"/>
      <c r="GZ51" s="17"/>
      <c r="HA51" s="17"/>
      <c r="HB51" s="17"/>
      <c r="HC51" s="17"/>
      <c r="HD51" s="17"/>
      <c r="HE51" s="17"/>
      <c r="HF51" s="17"/>
      <c r="HG51" s="17"/>
      <c r="HH51" s="17"/>
      <c r="HI51" s="17"/>
      <c r="HJ51" s="17"/>
      <c r="HK51" s="17"/>
      <c r="HL51" s="17"/>
      <c r="HM51" s="17"/>
      <c r="HN51" s="17"/>
      <c r="HO51" s="17"/>
      <c r="HP51" s="17"/>
      <c r="HQ51" s="17"/>
      <c r="HR51" s="17"/>
      <c r="HS51" s="17"/>
      <c r="HT51" s="17"/>
      <c r="HU51" s="17"/>
      <c r="HV51" s="17"/>
      <c r="HW51" s="17"/>
      <c r="HX51" s="17"/>
      <c r="HY51" s="17"/>
      <c r="HZ51" s="17"/>
      <c r="IA51" s="17"/>
      <c r="IB51" s="17"/>
      <c r="IC51" s="17"/>
      <c r="ID51" s="17"/>
      <c r="IE51" s="17"/>
      <c r="IF51" s="17"/>
      <c r="IG51" s="17"/>
      <c r="IH51" s="17"/>
      <c r="II51" s="17"/>
      <c r="IJ51" s="17"/>
      <c r="IK51" s="17"/>
      <c r="IL51" s="17"/>
      <c r="IM51" s="17"/>
      <c r="IN51" s="17"/>
      <c r="IO51" s="17"/>
      <c r="IP51" s="17"/>
      <c r="IQ51" s="17"/>
      <c r="IR51" s="17"/>
      <c r="IS51" s="17"/>
      <c r="IT51" s="17"/>
      <c r="IU51" s="17"/>
      <c r="IV51" s="17"/>
      <c r="IW51" s="17"/>
      <c r="IX51" s="17"/>
      <c r="IY51" s="17"/>
      <c r="IZ51" s="17"/>
      <c r="JA51" s="17"/>
      <c r="JB51" s="17"/>
      <c r="JC51" s="17"/>
      <c r="JD51" s="17"/>
      <c r="JE51" s="17"/>
      <c r="JF51" s="17"/>
      <c r="JG51" s="17"/>
      <c r="JH51" s="17"/>
      <c r="JI51" s="17"/>
      <c r="JJ51" s="17"/>
      <c r="JK51" s="17"/>
      <c r="JL51" s="17"/>
      <c r="JM51" s="17"/>
      <c r="JN51" s="17"/>
      <c r="JO51" s="17"/>
      <c r="JP51" s="17"/>
      <c r="JQ51" s="17"/>
      <c r="JR51" s="17"/>
      <c r="JS51" s="17"/>
      <c r="JT51" s="17"/>
      <c r="JU51" s="17"/>
      <c r="JV51" s="17"/>
      <c r="JW51" s="17"/>
      <c r="JX51" s="17"/>
      <c r="JY51" s="17"/>
      <c r="JZ51" s="17"/>
      <c r="KA51" s="17"/>
      <c r="KB51" s="17"/>
      <c r="KC51" s="17"/>
      <c r="KD51" s="17"/>
      <c r="KE51" s="17"/>
      <c r="KF51" s="17"/>
      <c r="KG51" s="17"/>
      <c r="KH51" s="17"/>
      <c r="KI51" s="17"/>
      <c r="KJ51" s="17"/>
      <c r="KK51" s="17"/>
      <c r="KL51" s="17"/>
      <c r="KM51" s="17"/>
      <c r="KN51" s="17"/>
      <c r="KO51" s="17"/>
      <c r="KP51" s="17"/>
      <c r="KQ51" s="17"/>
      <c r="KR51" s="17"/>
      <c r="KS51" s="17"/>
      <c r="KT51" s="17"/>
      <c r="KU51" s="17"/>
      <c r="KV51" s="17"/>
      <c r="KW51" s="17"/>
      <c r="KX51" s="17"/>
      <c r="KY51" s="17"/>
    </row>
    <row r="52" spans="1:311" x14ac:dyDescent="0.25">
      <c r="A52" s="17"/>
      <c r="B52" s="17"/>
      <c r="C52" s="17"/>
      <c r="D52" s="17"/>
      <c r="E52" s="17"/>
      <c r="F52" s="17"/>
      <c r="G52" s="17"/>
      <c r="H52" s="17"/>
      <c r="I52" s="17"/>
      <c r="J52" s="17"/>
      <c r="K52" s="17"/>
      <c r="L52" s="17"/>
      <c r="M52" s="17"/>
      <c r="N52" s="17"/>
      <c r="O52" s="17"/>
      <c r="P52" s="17"/>
      <c r="Q52" s="17"/>
      <c r="R52" s="17"/>
      <c r="S52" s="17"/>
      <c r="T52" s="17"/>
      <c r="U52" s="17"/>
      <c r="V52" s="17"/>
      <c r="W52" s="17"/>
      <c r="X52" s="17"/>
      <c r="Y52" s="17"/>
      <c r="Z52" s="17"/>
      <c r="AA52" s="17"/>
      <c r="AB52" s="17"/>
      <c r="AC52" s="17"/>
      <c r="AD52" s="17"/>
      <c r="AE52" s="17"/>
      <c r="AF52" s="17"/>
      <c r="AG52" s="17"/>
      <c r="AH52" s="17"/>
      <c r="AI52" s="17"/>
      <c r="AJ52" s="17"/>
      <c r="AK52" s="17"/>
      <c r="AL52" s="17"/>
      <c r="AM52" s="17"/>
      <c r="AN52" s="17"/>
      <c r="AO52" s="17"/>
      <c r="AP52" s="17"/>
      <c r="AQ52" s="17"/>
      <c r="AR52" s="17"/>
      <c r="AS52" s="17"/>
      <c r="AT52" s="17"/>
      <c r="AU52" s="17"/>
      <c r="AV52" s="17"/>
      <c r="AW52" s="17"/>
      <c r="AX52" s="17"/>
      <c r="AY52" s="17"/>
      <c r="AZ52" s="17"/>
      <c r="BA52" s="17"/>
      <c r="BB52" s="17"/>
      <c r="BC52" s="17"/>
      <c r="BD52" s="17"/>
      <c r="BE52" s="17"/>
      <c r="BF52" s="17"/>
      <c r="BG52" s="17"/>
      <c r="BH52" s="17"/>
      <c r="BI52" s="17"/>
      <c r="BJ52" s="17"/>
      <c r="BK52" s="17"/>
      <c r="BL52" s="17"/>
      <c r="BM52" s="17"/>
      <c r="BN52" s="17"/>
      <c r="BO52" s="17"/>
      <c r="BP52" s="17"/>
      <c r="BQ52" s="17"/>
      <c r="BR52" s="17"/>
      <c r="BS52" s="17"/>
      <c r="BT52" s="17"/>
      <c r="BU52" s="17"/>
      <c r="BV52" s="17"/>
      <c r="BW52" s="17"/>
      <c r="BX52" s="17"/>
      <c r="BY52" s="17"/>
      <c r="BZ52" s="17"/>
      <c r="CA52" s="17"/>
      <c r="CB52" s="17"/>
      <c r="CC52" s="17"/>
      <c r="CD52" s="17"/>
      <c r="CE52" s="17"/>
      <c r="CF52" s="17"/>
      <c r="CG52" s="17"/>
      <c r="CH52" s="17"/>
      <c r="CI52" s="17"/>
      <c r="CJ52" s="17"/>
      <c r="CK52" s="17"/>
      <c r="CL52" s="17"/>
      <c r="CM52" s="17"/>
      <c r="CN52" s="17"/>
      <c r="CO52" s="17"/>
      <c r="CP52" s="17"/>
      <c r="CQ52" s="17"/>
      <c r="CR52" s="17"/>
      <c r="CS52" s="17"/>
      <c r="CT52" s="17"/>
      <c r="CU52" s="17"/>
      <c r="CV52" s="17"/>
      <c r="CW52" s="17"/>
      <c r="CX52" s="17"/>
      <c r="CY52" s="17"/>
      <c r="CZ52" s="17"/>
      <c r="DA52" s="17"/>
      <c r="DB52" s="17"/>
      <c r="DC52" s="17"/>
      <c r="DD52" s="17"/>
      <c r="DE52" s="17"/>
      <c r="DF52" s="17"/>
      <c r="DG52" s="17"/>
      <c r="DH52" s="17"/>
      <c r="DI52" s="17"/>
      <c r="DJ52" s="17"/>
      <c r="DK52" s="17"/>
      <c r="DL52" s="17"/>
      <c r="DM52" s="17"/>
      <c r="DN52" s="17"/>
      <c r="DO52" s="17"/>
      <c r="DP52" s="17"/>
      <c r="DQ52" s="17"/>
      <c r="DR52" s="17"/>
      <c r="DS52" s="17"/>
      <c r="DT52" s="17"/>
      <c r="DU52" s="17"/>
      <c r="DV52" s="17"/>
      <c r="DW52" s="17"/>
      <c r="DX52" s="17"/>
      <c r="DY52" s="17"/>
      <c r="DZ52" s="17"/>
      <c r="EA52" s="17"/>
      <c r="EB52" s="17"/>
      <c r="EC52" s="17"/>
      <c r="ED52" s="17"/>
      <c r="EE52" s="17"/>
      <c r="EF52" s="17"/>
      <c r="EG52" s="17"/>
      <c r="EH52" s="17"/>
      <c r="EI52" s="17"/>
      <c r="EJ52" s="17"/>
      <c r="EK52" s="17"/>
      <c r="EL52" s="17"/>
      <c r="EM52" s="17"/>
      <c r="EN52" s="17"/>
      <c r="EO52" s="17"/>
      <c r="EP52" s="17"/>
      <c r="EQ52" s="17"/>
      <c r="ER52" s="17"/>
      <c r="ES52" s="17"/>
      <c r="ET52" s="17"/>
      <c r="EU52" s="17"/>
      <c r="EV52" s="17"/>
      <c r="EW52" s="17"/>
      <c r="EX52" s="17"/>
      <c r="EY52" s="17"/>
      <c r="EZ52" s="17"/>
      <c r="FA52" s="17"/>
      <c r="FB52" s="17"/>
      <c r="FC52" s="17"/>
      <c r="FD52" s="17"/>
      <c r="FE52" s="17"/>
      <c r="FF52" s="17"/>
      <c r="FG52" s="17"/>
      <c r="FH52" s="17"/>
      <c r="FI52" s="17"/>
      <c r="FJ52" s="17"/>
      <c r="FK52" s="17"/>
      <c r="FL52" s="17"/>
      <c r="FM52" s="17"/>
      <c r="FN52" s="17"/>
      <c r="FO52" s="17"/>
      <c r="FP52" s="17"/>
      <c r="FQ52" s="17"/>
      <c r="FR52" s="17"/>
      <c r="FS52" s="17"/>
      <c r="FT52" s="17"/>
      <c r="FU52" s="17"/>
      <c r="FV52" s="17"/>
      <c r="FW52" s="17"/>
      <c r="FX52" s="17"/>
      <c r="FY52" s="17"/>
      <c r="FZ52" s="17"/>
      <c r="GA52" s="17"/>
      <c r="GB52" s="17"/>
      <c r="GC52" s="17"/>
      <c r="GD52" s="17"/>
      <c r="GE52" s="17"/>
      <c r="GF52" s="17"/>
      <c r="GG52" s="17"/>
      <c r="GH52" s="17"/>
      <c r="GI52" s="17"/>
      <c r="GJ52" s="17"/>
      <c r="GK52" s="17"/>
      <c r="GL52" s="17"/>
      <c r="GM52" s="17"/>
      <c r="GN52" s="17"/>
      <c r="GO52" s="17"/>
      <c r="GP52" s="17"/>
      <c r="GQ52" s="17"/>
      <c r="GR52" s="17"/>
      <c r="GS52" s="17"/>
      <c r="GT52" s="17"/>
      <c r="GU52" s="17"/>
      <c r="GV52" s="17"/>
      <c r="GW52" s="17"/>
      <c r="GX52" s="17"/>
      <c r="GY52" s="17"/>
      <c r="GZ52" s="17"/>
      <c r="HA52" s="17"/>
      <c r="HB52" s="17"/>
      <c r="HC52" s="17"/>
      <c r="HD52" s="17"/>
      <c r="HE52" s="17"/>
      <c r="HF52" s="17"/>
      <c r="HG52" s="17"/>
      <c r="HH52" s="17"/>
      <c r="HI52" s="17"/>
      <c r="HJ52" s="17"/>
      <c r="HK52" s="17"/>
      <c r="HL52" s="17"/>
      <c r="HM52" s="17"/>
      <c r="HN52" s="17"/>
      <c r="HO52" s="17"/>
      <c r="HP52" s="17"/>
      <c r="HQ52" s="17"/>
      <c r="HR52" s="17"/>
      <c r="HS52" s="17"/>
      <c r="HT52" s="17"/>
      <c r="HU52" s="17"/>
      <c r="HV52" s="17"/>
      <c r="HW52" s="17"/>
      <c r="HX52" s="17"/>
      <c r="HY52" s="17"/>
      <c r="HZ52" s="17"/>
      <c r="IA52" s="17"/>
      <c r="IB52" s="17"/>
      <c r="IC52" s="17"/>
      <c r="ID52" s="17"/>
      <c r="IE52" s="17"/>
      <c r="IF52" s="17"/>
      <c r="IG52" s="17"/>
      <c r="IH52" s="17"/>
      <c r="II52" s="17"/>
      <c r="IJ52" s="17"/>
      <c r="IK52" s="17"/>
      <c r="IL52" s="17"/>
      <c r="IM52" s="17"/>
      <c r="IN52" s="17"/>
      <c r="IO52" s="17"/>
      <c r="IP52" s="17"/>
      <c r="IQ52" s="17"/>
      <c r="IR52" s="17"/>
      <c r="IS52" s="17"/>
      <c r="IT52" s="17"/>
      <c r="IU52" s="17"/>
      <c r="IV52" s="17"/>
      <c r="IW52" s="17"/>
      <c r="IX52" s="17"/>
      <c r="IY52" s="17"/>
      <c r="IZ52" s="17"/>
      <c r="JA52" s="17"/>
      <c r="JB52" s="17"/>
      <c r="JC52" s="17"/>
      <c r="JD52" s="17"/>
      <c r="JE52" s="17"/>
      <c r="JF52" s="17"/>
      <c r="JG52" s="17"/>
      <c r="JH52" s="17"/>
      <c r="JI52" s="17"/>
      <c r="JJ52" s="17"/>
      <c r="JK52" s="17"/>
      <c r="JL52" s="17"/>
      <c r="JM52" s="17"/>
      <c r="JN52" s="17"/>
      <c r="JO52" s="17"/>
      <c r="JP52" s="17"/>
      <c r="JQ52" s="17"/>
      <c r="JR52" s="17"/>
      <c r="JS52" s="17"/>
      <c r="JT52" s="17"/>
      <c r="JU52" s="17"/>
      <c r="JV52" s="17"/>
      <c r="JW52" s="17"/>
      <c r="JX52" s="17"/>
      <c r="JY52" s="17"/>
      <c r="JZ52" s="17"/>
      <c r="KA52" s="17"/>
      <c r="KB52" s="17"/>
      <c r="KC52" s="17"/>
      <c r="KD52" s="17"/>
      <c r="KE52" s="17"/>
      <c r="KF52" s="17"/>
      <c r="KG52" s="17"/>
      <c r="KH52" s="17"/>
      <c r="KI52" s="17"/>
      <c r="KJ52" s="17"/>
      <c r="KK52" s="17"/>
      <c r="KL52" s="17"/>
      <c r="KM52" s="17"/>
      <c r="KN52" s="17"/>
      <c r="KO52" s="17"/>
      <c r="KP52" s="17"/>
      <c r="KQ52" s="17"/>
      <c r="KR52" s="17"/>
      <c r="KS52" s="17"/>
      <c r="KT52" s="17"/>
      <c r="KU52" s="17"/>
      <c r="KV52" s="17"/>
      <c r="KW52" s="17"/>
      <c r="KX52" s="17"/>
      <c r="KY52" s="17"/>
    </row>
    <row r="53" spans="1:311" x14ac:dyDescent="0.25">
      <c r="A53" s="17"/>
      <c r="B53" s="17"/>
      <c r="C53" s="17"/>
      <c r="D53" s="17"/>
      <c r="E53" s="17"/>
      <c r="F53" s="17"/>
      <c r="G53" s="17"/>
      <c r="H53" s="17"/>
      <c r="I53" s="17"/>
      <c r="J53" s="17"/>
      <c r="K53" s="17"/>
      <c r="L53" s="17"/>
      <c r="M53" s="17"/>
      <c r="N53" s="17"/>
      <c r="O53" s="17"/>
      <c r="P53" s="17"/>
      <c r="Q53" s="17"/>
      <c r="R53" s="17"/>
      <c r="S53" s="17"/>
      <c r="T53" s="17"/>
      <c r="U53" s="17"/>
      <c r="V53" s="17"/>
      <c r="W53" s="17"/>
      <c r="X53" s="17"/>
      <c r="Y53" s="17"/>
      <c r="Z53" s="17"/>
      <c r="AA53" s="17"/>
      <c r="AB53" s="17"/>
      <c r="AC53" s="17"/>
      <c r="AD53" s="17"/>
      <c r="AE53" s="17"/>
      <c r="AF53" s="17"/>
      <c r="AG53" s="17"/>
      <c r="AH53" s="17"/>
      <c r="AI53" s="17"/>
      <c r="AJ53" s="17"/>
      <c r="AK53" s="17"/>
      <c r="AL53" s="17"/>
      <c r="AM53" s="17"/>
      <c r="AN53" s="17"/>
      <c r="AO53" s="17"/>
      <c r="AP53" s="17"/>
      <c r="AQ53" s="17"/>
      <c r="AR53" s="17"/>
      <c r="AS53" s="17"/>
      <c r="AT53" s="17"/>
      <c r="AU53" s="17"/>
      <c r="AV53" s="17"/>
      <c r="AW53" s="17"/>
      <c r="AX53" s="17"/>
      <c r="AY53" s="17"/>
      <c r="AZ53" s="17"/>
      <c r="BA53" s="17"/>
      <c r="BB53" s="17"/>
      <c r="BC53" s="17"/>
      <c r="BD53" s="17"/>
      <c r="BE53" s="17"/>
      <c r="BF53" s="17"/>
      <c r="BG53" s="17"/>
      <c r="BH53" s="17"/>
      <c r="BI53" s="17"/>
      <c r="BJ53" s="17"/>
      <c r="BK53" s="17"/>
      <c r="BL53" s="17"/>
      <c r="BM53" s="17"/>
      <c r="BN53" s="17"/>
      <c r="BO53" s="17"/>
      <c r="BP53" s="17"/>
      <c r="BQ53" s="17"/>
      <c r="BR53" s="17"/>
      <c r="BS53" s="17"/>
      <c r="BT53" s="17"/>
      <c r="BU53" s="17"/>
      <c r="BV53" s="17"/>
      <c r="BW53" s="17"/>
      <c r="BX53" s="17"/>
      <c r="BY53" s="17"/>
      <c r="BZ53" s="17"/>
      <c r="CA53" s="17"/>
      <c r="CB53" s="17"/>
      <c r="CC53" s="17"/>
      <c r="CD53" s="17"/>
      <c r="CE53" s="17"/>
      <c r="CF53" s="17"/>
      <c r="CG53" s="17"/>
      <c r="CH53" s="17"/>
      <c r="CI53" s="17"/>
      <c r="CJ53" s="17"/>
      <c r="CK53" s="17"/>
      <c r="CL53" s="17"/>
      <c r="CM53" s="17"/>
      <c r="CN53" s="17"/>
      <c r="CO53" s="17"/>
      <c r="CP53" s="17"/>
      <c r="CQ53" s="17"/>
      <c r="CR53" s="17"/>
      <c r="CS53" s="17"/>
      <c r="CT53" s="17"/>
      <c r="CU53" s="17"/>
      <c r="CV53" s="17"/>
      <c r="CW53" s="17"/>
      <c r="CX53" s="17"/>
      <c r="CY53" s="17"/>
      <c r="CZ53" s="17"/>
      <c r="DA53" s="17"/>
      <c r="DB53" s="17"/>
      <c r="DC53" s="17"/>
      <c r="DD53" s="17"/>
      <c r="DE53" s="17"/>
      <c r="DF53" s="17"/>
      <c r="DG53" s="17"/>
      <c r="DH53" s="17"/>
      <c r="DI53" s="17"/>
      <c r="DJ53" s="17"/>
      <c r="DK53" s="17"/>
      <c r="DL53" s="17"/>
      <c r="DM53" s="17"/>
      <c r="DN53" s="17"/>
      <c r="DO53" s="17"/>
      <c r="DP53" s="17"/>
      <c r="DQ53" s="17"/>
      <c r="DR53" s="17"/>
      <c r="DS53" s="17"/>
      <c r="DT53" s="17"/>
      <c r="DU53" s="17"/>
      <c r="DV53" s="17"/>
      <c r="DW53" s="17"/>
      <c r="DX53" s="17"/>
      <c r="DY53" s="17"/>
      <c r="DZ53" s="17"/>
      <c r="EA53" s="17"/>
      <c r="EB53" s="17"/>
      <c r="EC53" s="17"/>
      <c r="ED53" s="17"/>
      <c r="EE53" s="17"/>
      <c r="EF53" s="17"/>
      <c r="EG53" s="17"/>
      <c r="EH53" s="17"/>
      <c r="EI53" s="17"/>
      <c r="EJ53" s="17"/>
      <c r="EK53" s="17"/>
      <c r="EL53" s="17"/>
      <c r="EM53" s="17"/>
      <c r="EN53" s="17"/>
      <c r="EO53" s="17"/>
      <c r="EP53" s="17"/>
      <c r="EQ53" s="17"/>
      <c r="ER53" s="17"/>
      <c r="ES53" s="17"/>
      <c r="ET53" s="17"/>
      <c r="EU53" s="17"/>
      <c r="EV53" s="17"/>
      <c r="EW53" s="17"/>
      <c r="EX53" s="17"/>
      <c r="EY53" s="17"/>
      <c r="EZ53" s="17"/>
      <c r="FA53" s="17"/>
      <c r="FB53" s="17"/>
      <c r="FC53" s="17"/>
      <c r="FD53" s="17"/>
      <c r="FE53" s="17"/>
      <c r="FF53" s="17"/>
      <c r="FG53" s="17"/>
      <c r="FH53" s="17"/>
      <c r="FI53" s="17"/>
      <c r="FJ53" s="17"/>
      <c r="FK53" s="17"/>
      <c r="FL53" s="17"/>
      <c r="FM53" s="17"/>
      <c r="FN53" s="17"/>
      <c r="FO53" s="17"/>
      <c r="FP53" s="17"/>
      <c r="FQ53" s="17"/>
      <c r="FR53" s="17"/>
      <c r="FS53" s="17"/>
      <c r="FT53" s="17"/>
      <c r="FU53" s="17"/>
      <c r="FV53" s="17"/>
      <c r="FW53" s="17"/>
      <c r="FX53" s="17"/>
      <c r="FY53" s="17"/>
      <c r="FZ53" s="17"/>
      <c r="GA53" s="17"/>
      <c r="GB53" s="17"/>
      <c r="GC53" s="17"/>
      <c r="GD53" s="17"/>
      <c r="GE53" s="17"/>
      <c r="GF53" s="17"/>
      <c r="GG53" s="17"/>
      <c r="GH53" s="17"/>
      <c r="GI53" s="17"/>
      <c r="GJ53" s="17"/>
      <c r="GK53" s="17"/>
      <c r="GL53" s="17"/>
      <c r="GM53" s="17"/>
      <c r="GN53" s="17"/>
      <c r="GO53" s="17"/>
      <c r="GP53" s="17"/>
      <c r="GQ53" s="17"/>
      <c r="GR53" s="17"/>
      <c r="GS53" s="17"/>
      <c r="GT53" s="17"/>
      <c r="GU53" s="17"/>
      <c r="GV53" s="17"/>
      <c r="GW53" s="17"/>
      <c r="GX53" s="17"/>
      <c r="GY53" s="17"/>
      <c r="GZ53" s="17"/>
      <c r="HA53" s="17"/>
      <c r="HB53" s="17"/>
      <c r="HC53" s="17"/>
      <c r="HD53" s="17"/>
      <c r="HE53" s="17"/>
      <c r="HF53" s="17"/>
      <c r="HG53" s="17"/>
      <c r="HH53" s="17"/>
      <c r="HI53" s="17"/>
      <c r="HJ53" s="17"/>
      <c r="HK53" s="17"/>
      <c r="HL53" s="17"/>
      <c r="HM53" s="17"/>
      <c r="HN53" s="17"/>
      <c r="HO53" s="17"/>
      <c r="HP53" s="17"/>
      <c r="HQ53" s="17"/>
      <c r="HR53" s="17"/>
      <c r="HS53" s="17"/>
      <c r="HT53" s="17"/>
      <c r="HU53" s="17"/>
      <c r="HV53" s="17"/>
      <c r="HW53" s="17"/>
      <c r="HX53" s="17"/>
      <c r="HY53" s="17"/>
      <c r="HZ53" s="17"/>
      <c r="IA53" s="17"/>
      <c r="IB53" s="17"/>
      <c r="IC53" s="17"/>
      <c r="ID53" s="17"/>
      <c r="IE53" s="17"/>
      <c r="IF53" s="17"/>
      <c r="IG53" s="17"/>
      <c r="IH53" s="17"/>
      <c r="II53" s="17"/>
      <c r="IJ53" s="17"/>
      <c r="IK53" s="17"/>
      <c r="IL53" s="17"/>
      <c r="IM53" s="17"/>
      <c r="IN53" s="17"/>
      <c r="IO53" s="17"/>
      <c r="IP53" s="17"/>
      <c r="IQ53" s="17"/>
      <c r="IR53" s="17"/>
      <c r="IS53" s="17"/>
      <c r="IT53" s="17"/>
      <c r="IU53" s="17"/>
      <c r="IV53" s="17"/>
      <c r="IW53" s="17"/>
      <c r="IX53" s="17"/>
      <c r="IY53" s="17"/>
      <c r="IZ53" s="17"/>
      <c r="JA53" s="17"/>
      <c r="JB53" s="17"/>
      <c r="JC53" s="17"/>
      <c r="JD53" s="17"/>
      <c r="JE53" s="17"/>
      <c r="JF53" s="17"/>
      <c r="JG53" s="17"/>
      <c r="JH53" s="17"/>
      <c r="JI53" s="17"/>
      <c r="JJ53" s="17"/>
      <c r="JK53" s="17"/>
      <c r="JL53" s="17"/>
      <c r="JM53" s="17"/>
      <c r="JN53" s="17"/>
      <c r="JO53" s="17"/>
      <c r="JP53" s="17"/>
      <c r="JQ53" s="17"/>
      <c r="JR53" s="17"/>
      <c r="JS53" s="17"/>
      <c r="JT53" s="17"/>
      <c r="JU53" s="17"/>
      <c r="JV53" s="17"/>
      <c r="JW53" s="17"/>
      <c r="JX53" s="17"/>
      <c r="JY53" s="17"/>
      <c r="JZ53" s="17"/>
      <c r="KA53" s="17"/>
      <c r="KB53" s="17"/>
      <c r="KC53" s="17"/>
      <c r="KD53" s="17"/>
      <c r="KE53" s="17"/>
      <c r="KF53" s="17"/>
      <c r="KG53" s="17"/>
      <c r="KH53" s="17"/>
      <c r="KI53" s="17"/>
      <c r="KJ53" s="17"/>
      <c r="KK53" s="17"/>
      <c r="KL53" s="17"/>
      <c r="KM53" s="17"/>
      <c r="KN53" s="17"/>
      <c r="KO53" s="17"/>
      <c r="KP53" s="17"/>
      <c r="KQ53" s="17"/>
      <c r="KR53" s="17"/>
      <c r="KS53" s="17"/>
      <c r="KT53" s="17"/>
      <c r="KU53" s="17"/>
      <c r="KV53" s="17"/>
      <c r="KW53" s="17"/>
      <c r="KX53" s="17"/>
      <c r="KY53" s="17"/>
    </row>
    <row r="54" spans="1:311" x14ac:dyDescent="0.25">
      <c r="A54" s="17"/>
      <c r="B54" s="17"/>
      <c r="C54" s="17"/>
      <c r="D54" s="17"/>
      <c r="E54" s="17"/>
      <c r="F54" s="17"/>
      <c r="G54" s="17"/>
      <c r="H54" s="17"/>
      <c r="I54" s="17"/>
      <c r="J54" s="17"/>
      <c r="K54" s="17"/>
      <c r="L54" s="17"/>
      <c r="M54" s="17"/>
      <c r="N54" s="17"/>
      <c r="O54" s="17"/>
      <c r="P54" s="17"/>
      <c r="Q54" s="17"/>
      <c r="R54" s="17"/>
      <c r="S54" s="17"/>
      <c r="T54" s="17"/>
      <c r="U54" s="17"/>
      <c r="V54" s="17"/>
      <c r="W54" s="17"/>
      <c r="X54" s="17"/>
      <c r="Y54" s="17"/>
      <c r="Z54" s="17"/>
      <c r="AA54" s="17"/>
      <c r="AB54" s="17"/>
      <c r="AC54" s="17"/>
      <c r="AD54" s="17"/>
      <c r="AE54" s="17"/>
      <c r="AF54" s="17"/>
      <c r="AG54" s="17"/>
      <c r="AH54" s="17"/>
      <c r="AI54" s="17"/>
      <c r="AJ54" s="17"/>
      <c r="AK54" s="17"/>
      <c r="AL54" s="17"/>
      <c r="AM54" s="17"/>
      <c r="AN54" s="17"/>
      <c r="AO54" s="17"/>
      <c r="AP54" s="17"/>
      <c r="AQ54" s="17"/>
      <c r="AR54" s="17"/>
      <c r="AS54" s="17"/>
      <c r="AT54" s="17"/>
      <c r="AU54" s="17"/>
      <c r="AV54" s="17"/>
      <c r="AW54" s="17"/>
      <c r="AX54" s="17"/>
      <c r="AY54" s="17"/>
      <c r="AZ54" s="17"/>
      <c r="BA54" s="17"/>
      <c r="BB54" s="17"/>
      <c r="BC54" s="17"/>
      <c r="BD54" s="17"/>
      <c r="BE54" s="17"/>
      <c r="BF54" s="17"/>
      <c r="BG54" s="17"/>
      <c r="BH54" s="17"/>
      <c r="BI54" s="17"/>
      <c r="BJ54" s="17"/>
      <c r="BK54" s="17"/>
      <c r="BL54" s="17"/>
      <c r="BM54" s="17"/>
      <c r="BN54" s="17"/>
      <c r="BO54" s="17"/>
      <c r="BP54" s="17"/>
      <c r="BQ54" s="17"/>
      <c r="BR54" s="17"/>
      <c r="BS54" s="17"/>
      <c r="BT54" s="17"/>
      <c r="BU54" s="17"/>
      <c r="BV54" s="17"/>
      <c r="BW54" s="17"/>
      <c r="BX54" s="17"/>
      <c r="BY54" s="17"/>
      <c r="BZ54" s="17"/>
      <c r="CA54" s="17"/>
      <c r="CB54" s="17"/>
      <c r="CC54" s="17"/>
      <c r="CD54" s="17"/>
      <c r="CE54" s="17"/>
      <c r="CF54" s="17"/>
      <c r="CG54" s="17"/>
      <c r="CH54" s="17"/>
      <c r="CI54" s="17"/>
      <c r="CJ54" s="17"/>
      <c r="CK54" s="17"/>
      <c r="CL54" s="17"/>
      <c r="CM54" s="17"/>
      <c r="CN54" s="17"/>
      <c r="CO54" s="17"/>
      <c r="CP54" s="17"/>
      <c r="CQ54" s="17"/>
      <c r="CR54" s="17"/>
      <c r="CS54" s="17"/>
      <c r="CT54" s="17"/>
      <c r="CU54" s="17"/>
      <c r="CV54" s="17"/>
      <c r="CW54" s="17"/>
      <c r="CX54" s="17"/>
      <c r="CY54" s="17"/>
      <c r="CZ54" s="17"/>
      <c r="DA54" s="17"/>
      <c r="DB54" s="17"/>
      <c r="DC54" s="17"/>
      <c r="DD54" s="17"/>
      <c r="DE54" s="17"/>
      <c r="DF54" s="17"/>
      <c r="DG54" s="17"/>
      <c r="DH54" s="17"/>
      <c r="DI54" s="17"/>
      <c r="DJ54" s="17"/>
      <c r="DK54" s="17"/>
      <c r="DL54" s="17"/>
      <c r="DM54" s="17"/>
      <c r="DN54" s="17"/>
      <c r="DO54" s="17"/>
      <c r="DP54" s="17"/>
      <c r="DQ54" s="17"/>
      <c r="DR54" s="17"/>
      <c r="DS54" s="17"/>
      <c r="DT54" s="17"/>
      <c r="DU54" s="17"/>
      <c r="DV54" s="17"/>
      <c r="DW54" s="17"/>
      <c r="DX54" s="17"/>
      <c r="DY54" s="17"/>
      <c r="DZ54" s="17"/>
      <c r="EA54" s="17"/>
      <c r="EB54" s="17"/>
      <c r="EC54" s="17"/>
      <c r="ED54" s="17"/>
      <c r="EE54" s="17"/>
      <c r="EF54" s="17"/>
      <c r="EG54" s="17"/>
      <c r="EH54" s="17"/>
      <c r="EI54" s="17"/>
      <c r="EJ54" s="17"/>
      <c r="EK54" s="17"/>
      <c r="EL54" s="17"/>
      <c r="EM54" s="17"/>
      <c r="EN54" s="17"/>
      <c r="EO54" s="17"/>
      <c r="EP54" s="17"/>
      <c r="EQ54" s="17"/>
      <c r="ER54" s="17"/>
      <c r="ES54" s="17"/>
      <c r="ET54" s="17"/>
      <c r="EU54" s="17"/>
      <c r="EV54" s="17"/>
      <c r="EW54" s="17"/>
      <c r="EX54" s="17"/>
      <c r="EY54" s="17"/>
      <c r="EZ54" s="17"/>
      <c r="FA54" s="17"/>
      <c r="FB54" s="17"/>
      <c r="FC54" s="17"/>
      <c r="FD54" s="17"/>
      <c r="FE54" s="17"/>
      <c r="FF54" s="17"/>
      <c r="FG54" s="17"/>
      <c r="FH54" s="17"/>
      <c r="FI54" s="17"/>
      <c r="FJ54" s="17"/>
      <c r="FK54" s="17"/>
      <c r="FL54" s="17"/>
      <c r="FM54" s="17"/>
      <c r="FN54" s="17"/>
      <c r="FO54" s="17"/>
      <c r="FP54" s="17"/>
      <c r="FQ54" s="17"/>
      <c r="FR54" s="17"/>
      <c r="FS54" s="17"/>
      <c r="FT54" s="17"/>
      <c r="FU54" s="17"/>
      <c r="FV54" s="17"/>
      <c r="FW54" s="17"/>
      <c r="FX54" s="17"/>
      <c r="FY54" s="17"/>
      <c r="FZ54" s="17"/>
      <c r="GA54" s="17"/>
      <c r="GB54" s="17"/>
      <c r="GC54" s="17"/>
      <c r="GD54" s="17"/>
      <c r="GE54" s="17"/>
      <c r="GF54" s="17"/>
      <c r="GG54" s="17"/>
      <c r="GH54" s="17"/>
      <c r="GI54" s="17"/>
      <c r="GJ54" s="17"/>
      <c r="GK54" s="17"/>
      <c r="GL54" s="17"/>
      <c r="GM54" s="17"/>
      <c r="GN54" s="17"/>
      <c r="GO54" s="17"/>
      <c r="GP54" s="17"/>
      <c r="GQ54" s="17"/>
      <c r="GR54" s="17"/>
      <c r="GS54" s="17"/>
      <c r="GT54" s="17"/>
      <c r="GU54" s="17"/>
      <c r="GV54" s="17"/>
      <c r="GW54" s="17"/>
      <c r="GX54" s="17"/>
      <c r="GY54" s="17"/>
      <c r="GZ54" s="17"/>
      <c r="HA54" s="17"/>
      <c r="HB54" s="17"/>
      <c r="HC54" s="17"/>
      <c r="HD54" s="17"/>
      <c r="HE54" s="17"/>
      <c r="HF54" s="17"/>
      <c r="HG54" s="17"/>
      <c r="HH54" s="17"/>
      <c r="HI54" s="17"/>
      <c r="HJ54" s="17"/>
      <c r="HK54" s="17"/>
      <c r="HL54" s="17"/>
      <c r="HM54" s="17"/>
      <c r="HN54" s="17"/>
      <c r="HO54" s="17"/>
      <c r="HP54" s="17"/>
      <c r="HQ54" s="17"/>
      <c r="HR54" s="17"/>
      <c r="HS54" s="17"/>
      <c r="HT54" s="17"/>
      <c r="HU54" s="17"/>
      <c r="HV54" s="17"/>
      <c r="HW54" s="17"/>
      <c r="HX54" s="17"/>
      <c r="HY54" s="17"/>
      <c r="HZ54" s="17"/>
      <c r="IA54" s="17"/>
      <c r="IB54" s="17"/>
      <c r="IC54" s="17"/>
      <c r="ID54" s="17"/>
      <c r="IE54" s="17"/>
      <c r="IF54" s="17"/>
      <c r="IG54" s="17"/>
      <c r="IH54" s="17"/>
      <c r="II54" s="17"/>
      <c r="IJ54" s="17"/>
      <c r="IK54" s="17"/>
      <c r="IL54" s="17"/>
      <c r="IM54" s="17"/>
      <c r="IN54" s="17"/>
      <c r="IO54" s="17"/>
      <c r="IP54" s="17"/>
      <c r="IQ54" s="17"/>
      <c r="IR54" s="17"/>
      <c r="IS54" s="17"/>
      <c r="IT54" s="17"/>
      <c r="IU54" s="17"/>
      <c r="IV54" s="17"/>
      <c r="IW54" s="17"/>
      <c r="IX54" s="17"/>
      <c r="IY54" s="17"/>
      <c r="IZ54" s="17"/>
      <c r="JA54" s="17"/>
      <c r="JB54" s="17"/>
      <c r="JC54" s="17"/>
      <c r="JD54" s="17"/>
      <c r="JE54" s="17"/>
      <c r="JF54" s="17"/>
      <c r="JG54" s="17"/>
      <c r="JH54" s="17"/>
      <c r="JI54" s="17"/>
      <c r="JJ54" s="17"/>
      <c r="JK54" s="17"/>
      <c r="JL54" s="17"/>
      <c r="JM54" s="17"/>
      <c r="JN54" s="17"/>
      <c r="JO54" s="17"/>
      <c r="JP54" s="17"/>
      <c r="JQ54" s="17"/>
      <c r="JR54" s="17"/>
      <c r="JS54" s="17"/>
      <c r="JT54" s="17"/>
      <c r="JU54" s="17"/>
      <c r="JV54" s="17"/>
      <c r="JW54" s="17"/>
      <c r="JX54" s="17"/>
      <c r="JY54" s="17"/>
      <c r="JZ54" s="17"/>
      <c r="KA54" s="17"/>
      <c r="KB54" s="17"/>
      <c r="KC54" s="17"/>
      <c r="KD54" s="17"/>
      <c r="KE54" s="17"/>
      <c r="KF54" s="17"/>
      <c r="KG54" s="17"/>
      <c r="KH54" s="17"/>
      <c r="KI54" s="17"/>
      <c r="KJ54" s="17"/>
      <c r="KK54" s="17"/>
      <c r="KL54" s="17"/>
      <c r="KM54" s="17"/>
      <c r="KN54" s="17"/>
      <c r="KO54" s="17"/>
      <c r="KP54" s="17"/>
      <c r="KQ54" s="17"/>
      <c r="KR54" s="17"/>
      <c r="KS54" s="17"/>
      <c r="KT54" s="17"/>
      <c r="KU54" s="17"/>
      <c r="KV54" s="17"/>
      <c r="KW54" s="17"/>
      <c r="KX54" s="17"/>
      <c r="KY54" s="17"/>
    </row>
    <row r="55" spans="1:311" x14ac:dyDescent="0.25">
      <c r="A55" s="17"/>
      <c r="B55" s="17"/>
      <c r="C55" s="17"/>
      <c r="D55" s="17"/>
      <c r="E55" s="17"/>
      <c r="F55" s="17"/>
      <c r="G55" s="17"/>
      <c r="H55" s="17"/>
      <c r="I55" s="17"/>
      <c r="J55" s="17"/>
      <c r="K55" s="17"/>
      <c r="L55" s="17"/>
      <c r="M55" s="17"/>
      <c r="N55" s="17"/>
      <c r="O55" s="17"/>
      <c r="P55" s="17"/>
      <c r="Q55" s="17"/>
      <c r="R55" s="17"/>
      <c r="S55" s="17"/>
      <c r="T55" s="17"/>
      <c r="U55" s="17"/>
      <c r="V55" s="17"/>
      <c r="W55" s="17"/>
      <c r="X55" s="17"/>
      <c r="Y55" s="17"/>
      <c r="Z55" s="17"/>
      <c r="AA55" s="17"/>
      <c r="AB55" s="17"/>
      <c r="AC55" s="17"/>
      <c r="AD55" s="17"/>
      <c r="AE55" s="17"/>
      <c r="AF55" s="17"/>
      <c r="AG55" s="17"/>
      <c r="AH55" s="17"/>
      <c r="AI55" s="17"/>
      <c r="AJ55" s="17"/>
      <c r="AK55" s="17"/>
      <c r="AL55" s="17"/>
      <c r="AM55" s="17"/>
      <c r="AN55" s="17"/>
      <c r="AO55" s="17"/>
      <c r="AP55" s="17"/>
      <c r="AQ55" s="17"/>
      <c r="AR55" s="17"/>
      <c r="AS55" s="17"/>
      <c r="AT55" s="17"/>
      <c r="AU55" s="17"/>
      <c r="AV55" s="17"/>
      <c r="AW55" s="17"/>
      <c r="AX55" s="17"/>
      <c r="AY55" s="17"/>
      <c r="AZ55" s="17"/>
      <c r="BA55" s="17"/>
      <c r="BB55" s="17"/>
      <c r="BC55" s="17"/>
      <c r="BD55" s="17"/>
      <c r="BE55" s="17"/>
      <c r="BF55" s="17"/>
      <c r="BG55" s="17"/>
      <c r="BH55" s="17"/>
      <c r="BI55" s="17"/>
      <c r="BJ55" s="17"/>
      <c r="BK55" s="17"/>
      <c r="BL55" s="17"/>
      <c r="BM55" s="17"/>
      <c r="BN55" s="17"/>
      <c r="BO55" s="17"/>
      <c r="BP55" s="17"/>
      <c r="BQ55" s="17"/>
      <c r="BR55" s="17"/>
      <c r="BS55" s="17"/>
      <c r="BT55" s="17"/>
      <c r="BU55" s="17"/>
      <c r="BV55" s="17"/>
      <c r="BW55" s="17"/>
      <c r="BX55" s="17"/>
      <c r="BY55" s="17"/>
      <c r="BZ55" s="17"/>
      <c r="CA55" s="17"/>
      <c r="CB55" s="17"/>
      <c r="CC55" s="17"/>
      <c r="CD55" s="17"/>
      <c r="CE55" s="17"/>
      <c r="CF55" s="17"/>
      <c r="CG55" s="17"/>
      <c r="CH55" s="17"/>
      <c r="CI55" s="17"/>
      <c r="CJ55" s="17"/>
      <c r="CK55" s="17"/>
      <c r="CL55" s="17"/>
      <c r="CM55" s="17"/>
      <c r="CN55" s="17"/>
      <c r="CO55" s="17"/>
      <c r="CP55" s="17"/>
      <c r="CQ55" s="17"/>
      <c r="CR55" s="17"/>
      <c r="CS55" s="17"/>
      <c r="CT55" s="17"/>
      <c r="CU55" s="17"/>
      <c r="CV55" s="17"/>
      <c r="CW55" s="17"/>
      <c r="CX55" s="17"/>
      <c r="CY55" s="17"/>
      <c r="CZ55" s="17"/>
      <c r="DA55" s="17"/>
      <c r="DB55" s="17"/>
      <c r="DC55" s="17"/>
      <c r="DD55" s="17"/>
      <c r="DE55" s="17"/>
      <c r="DF55" s="17"/>
      <c r="DG55" s="17"/>
      <c r="DH55" s="17"/>
      <c r="DI55" s="17"/>
      <c r="DJ55" s="17"/>
      <c r="DK55" s="17"/>
      <c r="DL55" s="17"/>
      <c r="DM55" s="17"/>
      <c r="DN55" s="17"/>
      <c r="DO55" s="17"/>
      <c r="DP55" s="17"/>
      <c r="DQ55" s="17"/>
      <c r="DR55" s="17"/>
      <c r="DS55" s="17"/>
      <c r="DT55" s="17"/>
      <c r="DU55" s="17"/>
      <c r="DV55" s="17"/>
      <c r="DW55" s="17"/>
      <c r="DX55" s="17"/>
      <c r="DY55" s="17"/>
      <c r="DZ55" s="17"/>
      <c r="EA55" s="17"/>
      <c r="EB55" s="17"/>
      <c r="EC55" s="17"/>
      <c r="ED55" s="17"/>
      <c r="EE55" s="17"/>
      <c r="EF55" s="17"/>
      <c r="EG55" s="17"/>
      <c r="EH55" s="17"/>
      <c r="EI55" s="17"/>
      <c r="EJ55" s="17"/>
      <c r="EK55" s="17"/>
      <c r="EL55" s="17"/>
      <c r="EM55" s="17"/>
      <c r="EN55" s="17"/>
      <c r="EO55" s="17"/>
      <c r="EP55" s="17"/>
      <c r="EQ55" s="17"/>
      <c r="ER55" s="17"/>
      <c r="ES55" s="17"/>
      <c r="ET55" s="17"/>
      <c r="EU55" s="17"/>
      <c r="EV55" s="17"/>
      <c r="EW55" s="17"/>
      <c r="EX55" s="17"/>
      <c r="EY55" s="17"/>
      <c r="EZ55" s="17"/>
      <c r="FA55" s="17"/>
      <c r="FB55" s="17"/>
      <c r="FC55" s="17"/>
      <c r="FD55" s="17"/>
      <c r="FE55" s="17"/>
      <c r="FF55" s="17"/>
      <c r="FG55" s="17"/>
      <c r="FH55" s="17"/>
      <c r="FI55" s="17"/>
      <c r="FJ55" s="17"/>
      <c r="FK55" s="17"/>
      <c r="FL55" s="17"/>
      <c r="FM55" s="17"/>
      <c r="FN55" s="17"/>
      <c r="FO55" s="17"/>
      <c r="FP55" s="17"/>
      <c r="FQ55" s="17"/>
      <c r="FR55" s="17"/>
      <c r="FS55" s="17"/>
      <c r="FT55" s="17"/>
      <c r="FU55" s="17"/>
      <c r="FV55" s="17"/>
      <c r="FW55" s="17"/>
      <c r="FX55" s="17"/>
      <c r="FY55" s="17"/>
      <c r="FZ55" s="17"/>
      <c r="GA55" s="17"/>
      <c r="GB55" s="17"/>
      <c r="GC55" s="17"/>
      <c r="GD55" s="17"/>
      <c r="GE55" s="17"/>
      <c r="GF55" s="17"/>
      <c r="GG55" s="17"/>
      <c r="GH55" s="17"/>
      <c r="GI55" s="17"/>
      <c r="GJ55" s="17"/>
      <c r="GK55" s="17"/>
      <c r="GL55" s="17"/>
      <c r="GM55" s="17"/>
      <c r="GN55" s="17"/>
      <c r="GO55" s="17"/>
      <c r="GP55" s="17"/>
      <c r="GQ55" s="17"/>
      <c r="GR55" s="17"/>
      <c r="GS55" s="17"/>
      <c r="GT55" s="17"/>
      <c r="GU55" s="17"/>
      <c r="GV55" s="17"/>
      <c r="GW55" s="17"/>
      <c r="GX55" s="17"/>
      <c r="GY55" s="17"/>
      <c r="GZ55" s="17"/>
      <c r="HA55" s="17"/>
      <c r="HB55" s="17"/>
      <c r="HC55" s="17"/>
      <c r="HD55" s="17"/>
      <c r="HE55" s="17"/>
      <c r="HF55" s="17"/>
      <c r="HG55" s="17"/>
      <c r="HH55" s="17"/>
      <c r="HI55" s="17"/>
      <c r="HJ55" s="17"/>
      <c r="HK55" s="17"/>
      <c r="HL55" s="17"/>
      <c r="HM55" s="17"/>
      <c r="HN55" s="17"/>
      <c r="HO55" s="17"/>
      <c r="HP55" s="17"/>
      <c r="HQ55" s="17"/>
      <c r="HR55" s="17"/>
      <c r="HS55" s="17"/>
      <c r="HT55" s="17"/>
      <c r="HU55" s="17"/>
      <c r="HV55" s="17"/>
      <c r="HW55" s="17"/>
      <c r="HX55" s="17"/>
      <c r="HY55" s="17"/>
      <c r="HZ55" s="17"/>
      <c r="IA55" s="17"/>
      <c r="IB55" s="17"/>
      <c r="IC55" s="17"/>
      <c r="ID55" s="17"/>
      <c r="IE55" s="17"/>
      <c r="IF55" s="17"/>
      <c r="IG55" s="17"/>
      <c r="IH55" s="17"/>
      <c r="II55" s="17"/>
      <c r="IJ55" s="17"/>
      <c r="IK55" s="17"/>
      <c r="IL55" s="17"/>
      <c r="IM55" s="17"/>
      <c r="IN55" s="17"/>
      <c r="IO55" s="17"/>
      <c r="IP55" s="17"/>
      <c r="IQ55" s="17"/>
      <c r="IR55" s="17"/>
      <c r="IS55" s="17"/>
      <c r="IT55" s="17"/>
      <c r="IU55" s="17"/>
      <c r="IV55" s="17"/>
      <c r="IW55" s="17"/>
      <c r="IX55" s="17"/>
      <c r="IY55" s="17"/>
      <c r="IZ55" s="17"/>
      <c r="JA55" s="17"/>
      <c r="JB55" s="17"/>
      <c r="JC55" s="17"/>
      <c r="JD55" s="17"/>
      <c r="JE55" s="17"/>
      <c r="JF55" s="17"/>
      <c r="JG55" s="17"/>
      <c r="JH55" s="17"/>
      <c r="JI55" s="17"/>
      <c r="JJ55" s="17"/>
      <c r="JK55" s="17"/>
      <c r="JL55" s="17"/>
      <c r="JM55" s="17"/>
      <c r="JN55" s="17"/>
      <c r="JO55" s="17"/>
      <c r="JP55" s="17"/>
      <c r="JQ55" s="17"/>
      <c r="JR55" s="17"/>
      <c r="JS55" s="17"/>
      <c r="JT55" s="17"/>
      <c r="JU55" s="17"/>
      <c r="JV55" s="17"/>
      <c r="JW55" s="17"/>
      <c r="JX55" s="17"/>
      <c r="JY55" s="17"/>
      <c r="JZ55" s="17"/>
      <c r="KA55" s="17"/>
      <c r="KB55" s="17"/>
      <c r="KC55" s="17"/>
      <c r="KD55" s="17"/>
      <c r="KE55" s="17"/>
      <c r="KF55" s="17"/>
      <c r="KG55" s="17"/>
      <c r="KH55" s="17"/>
      <c r="KI55" s="17"/>
      <c r="KJ55" s="17"/>
      <c r="KK55" s="17"/>
      <c r="KL55" s="17"/>
      <c r="KM55" s="17"/>
      <c r="KN55" s="17"/>
      <c r="KO55" s="17"/>
      <c r="KP55" s="17"/>
      <c r="KQ55" s="17"/>
      <c r="KR55" s="17"/>
      <c r="KS55" s="17"/>
      <c r="KT55" s="17"/>
      <c r="KU55" s="17"/>
      <c r="KV55" s="17"/>
      <c r="KW55" s="17"/>
      <c r="KX55" s="17"/>
      <c r="KY55" s="17"/>
    </row>
    <row r="56" spans="1:311" x14ac:dyDescent="0.25">
      <c r="A56" s="17"/>
      <c r="B56" s="17"/>
      <c r="C56" s="17"/>
      <c r="D56" s="17"/>
      <c r="E56" s="17"/>
      <c r="F56" s="17"/>
      <c r="G56" s="17"/>
      <c r="H56" s="17"/>
      <c r="I56" s="17"/>
      <c r="J56" s="17"/>
      <c r="K56" s="17"/>
      <c r="L56" s="17"/>
      <c r="M56" s="17"/>
      <c r="N56" s="17"/>
      <c r="O56" s="17"/>
      <c r="P56" s="17"/>
      <c r="Q56" s="17"/>
      <c r="R56" s="17"/>
      <c r="S56" s="17"/>
      <c r="T56" s="17"/>
      <c r="U56" s="17"/>
      <c r="V56" s="17"/>
      <c r="W56" s="17"/>
      <c r="X56" s="17"/>
      <c r="Y56" s="17"/>
      <c r="Z56" s="17"/>
      <c r="AA56" s="17"/>
      <c r="AB56" s="17"/>
      <c r="AC56" s="17"/>
      <c r="AD56" s="17"/>
      <c r="AE56" s="17"/>
      <c r="AF56" s="17"/>
      <c r="AG56" s="17"/>
      <c r="AH56" s="17"/>
      <c r="AI56" s="17"/>
      <c r="AJ56" s="17"/>
      <c r="AK56" s="17"/>
      <c r="AL56" s="17"/>
      <c r="AM56" s="17"/>
      <c r="AN56" s="17"/>
      <c r="AO56" s="17"/>
      <c r="AP56" s="17"/>
      <c r="AQ56" s="17"/>
      <c r="AR56" s="17"/>
      <c r="AS56" s="17"/>
      <c r="AT56" s="17"/>
      <c r="AU56" s="17"/>
      <c r="AV56" s="17"/>
      <c r="AW56" s="17"/>
      <c r="AX56" s="17"/>
      <c r="AY56" s="17"/>
      <c r="AZ56" s="17"/>
      <c r="BA56" s="17"/>
      <c r="BB56" s="17"/>
      <c r="BC56" s="17"/>
      <c r="BD56" s="17"/>
      <c r="BE56" s="17"/>
      <c r="BF56" s="17"/>
      <c r="BG56" s="17"/>
      <c r="BH56" s="17"/>
      <c r="BI56" s="17"/>
      <c r="BJ56" s="17"/>
      <c r="BK56" s="17"/>
      <c r="BL56" s="17"/>
      <c r="BM56" s="17"/>
      <c r="BN56" s="17"/>
      <c r="BO56" s="17"/>
      <c r="BP56" s="17"/>
      <c r="BQ56" s="17"/>
      <c r="BR56" s="17"/>
      <c r="BS56" s="17"/>
      <c r="BT56" s="17"/>
      <c r="BU56" s="17"/>
      <c r="BV56" s="17"/>
      <c r="BW56" s="17"/>
      <c r="BX56" s="17"/>
      <c r="BY56" s="17"/>
      <c r="BZ56" s="17"/>
      <c r="CA56" s="17"/>
      <c r="CB56" s="17"/>
      <c r="CC56" s="17"/>
      <c r="CD56" s="17"/>
      <c r="CE56" s="17"/>
      <c r="CF56" s="17"/>
      <c r="CG56" s="17"/>
      <c r="CH56" s="17"/>
      <c r="CI56" s="17"/>
      <c r="CJ56" s="17"/>
      <c r="CK56" s="17"/>
      <c r="CL56" s="17"/>
      <c r="CM56" s="17"/>
      <c r="CN56" s="17"/>
      <c r="CO56" s="17"/>
      <c r="CP56" s="17"/>
      <c r="CQ56" s="17"/>
      <c r="CR56" s="17"/>
      <c r="CS56" s="17"/>
      <c r="CT56" s="17"/>
      <c r="CU56" s="17"/>
      <c r="CV56" s="17"/>
      <c r="CW56" s="17"/>
      <c r="CX56" s="17"/>
      <c r="CY56" s="17"/>
      <c r="CZ56" s="17"/>
      <c r="DA56" s="17"/>
      <c r="DB56" s="17"/>
      <c r="DC56" s="17"/>
      <c r="DD56" s="17"/>
      <c r="DE56" s="17"/>
      <c r="DF56" s="17"/>
      <c r="DG56" s="17"/>
      <c r="DH56" s="17"/>
      <c r="DI56" s="17"/>
      <c r="DJ56" s="17"/>
      <c r="DK56" s="17"/>
      <c r="DL56" s="17"/>
      <c r="DM56" s="17"/>
      <c r="DN56" s="17"/>
      <c r="DO56" s="17"/>
      <c r="DP56" s="17"/>
      <c r="DQ56" s="17"/>
      <c r="DR56" s="17"/>
      <c r="DS56" s="17"/>
      <c r="DT56" s="17"/>
      <c r="DU56" s="17"/>
      <c r="DV56" s="17"/>
      <c r="DW56" s="17"/>
      <c r="DX56" s="17"/>
      <c r="DY56" s="17"/>
      <c r="DZ56" s="17"/>
      <c r="EA56" s="17"/>
      <c r="EB56" s="17"/>
      <c r="EC56" s="17"/>
      <c r="ED56" s="17"/>
      <c r="EE56" s="17"/>
      <c r="EF56" s="17"/>
      <c r="EG56" s="17"/>
      <c r="EH56" s="17"/>
      <c r="EI56" s="17"/>
      <c r="EJ56" s="17"/>
      <c r="EK56" s="17"/>
      <c r="EL56" s="17"/>
      <c r="EM56" s="17"/>
      <c r="EN56" s="17"/>
      <c r="EO56" s="17"/>
      <c r="EP56" s="17"/>
      <c r="EQ56" s="17"/>
      <c r="ER56" s="17"/>
      <c r="ES56" s="17"/>
      <c r="ET56" s="17"/>
      <c r="EU56" s="17"/>
      <c r="EV56" s="17"/>
      <c r="EW56" s="17"/>
      <c r="EX56" s="17"/>
      <c r="EY56" s="17"/>
      <c r="EZ56" s="17"/>
      <c r="FA56" s="17"/>
      <c r="FB56" s="17"/>
      <c r="FC56" s="17"/>
      <c r="FD56" s="17"/>
      <c r="FE56" s="17"/>
      <c r="FF56" s="17"/>
      <c r="FG56" s="17"/>
      <c r="FH56" s="17"/>
      <c r="FI56" s="17"/>
      <c r="FJ56" s="17"/>
      <c r="FK56" s="17"/>
      <c r="FL56" s="17"/>
      <c r="FM56" s="17"/>
      <c r="FN56" s="17"/>
      <c r="FO56" s="17"/>
      <c r="FP56" s="17"/>
      <c r="FQ56" s="17"/>
      <c r="FR56" s="17"/>
      <c r="FS56" s="17"/>
      <c r="FT56" s="17"/>
      <c r="FU56" s="17"/>
      <c r="FV56" s="17"/>
      <c r="FW56" s="17"/>
      <c r="FX56" s="17"/>
      <c r="FY56" s="17"/>
      <c r="FZ56" s="17"/>
      <c r="GA56" s="17"/>
      <c r="GB56" s="17"/>
      <c r="GC56" s="17"/>
      <c r="GD56" s="17"/>
      <c r="GE56" s="17"/>
      <c r="GF56" s="17"/>
      <c r="GG56" s="17"/>
      <c r="GH56" s="17"/>
      <c r="GI56" s="17"/>
      <c r="GJ56" s="17"/>
      <c r="GK56" s="17"/>
      <c r="GL56" s="17"/>
      <c r="GM56" s="17"/>
      <c r="GN56" s="17"/>
      <c r="GO56" s="17"/>
      <c r="GP56" s="17"/>
      <c r="GQ56" s="17"/>
      <c r="GR56" s="17"/>
      <c r="GS56" s="17"/>
      <c r="GT56" s="17"/>
      <c r="GU56" s="17"/>
      <c r="GV56" s="17"/>
      <c r="GW56" s="17"/>
      <c r="GX56" s="17"/>
      <c r="GY56" s="17"/>
      <c r="GZ56" s="17"/>
      <c r="HA56" s="17"/>
      <c r="HB56" s="17"/>
      <c r="HC56" s="17"/>
      <c r="HD56" s="17"/>
      <c r="HE56" s="17"/>
      <c r="HF56" s="17"/>
      <c r="HG56" s="17"/>
      <c r="HH56" s="17"/>
      <c r="HI56" s="17"/>
      <c r="HJ56" s="17"/>
      <c r="HK56" s="17"/>
      <c r="HL56" s="17"/>
      <c r="HM56" s="17"/>
      <c r="HN56" s="17"/>
      <c r="HO56" s="17"/>
      <c r="HP56" s="17"/>
      <c r="HQ56" s="17"/>
      <c r="HR56" s="17"/>
      <c r="HS56" s="17"/>
      <c r="HT56" s="17"/>
      <c r="HU56" s="17"/>
      <c r="HV56" s="17"/>
      <c r="HW56" s="17"/>
      <c r="HX56" s="17"/>
      <c r="HY56" s="17"/>
      <c r="HZ56" s="17"/>
      <c r="IA56" s="17"/>
      <c r="IB56" s="17"/>
      <c r="IC56" s="17"/>
      <c r="ID56" s="17"/>
      <c r="IE56" s="17"/>
      <c r="IF56" s="17"/>
      <c r="IG56" s="17"/>
      <c r="IH56" s="17"/>
      <c r="II56" s="17"/>
      <c r="IJ56" s="17"/>
      <c r="IK56" s="17"/>
      <c r="IL56" s="17"/>
      <c r="IM56" s="17"/>
      <c r="IN56" s="17"/>
      <c r="IO56" s="17"/>
      <c r="IP56" s="17"/>
      <c r="IQ56" s="17"/>
      <c r="IR56" s="17"/>
      <c r="IS56" s="17"/>
      <c r="IT56" s="17"/>
      <c r="IU56" s="17"/>
      <c r="IV56" s="17"/>
      <c r="IW56" s="17"/>
      <c r="IX56" s="17"/>
      <c r="IY56" s="17"/>
      <c r="IZ56" s="17"/>
      <c r="JA56" s="17"/>
      <c r="JB56" s="17"/>
      <c r="JC56" s="17"/>
      <c r="JD56" s="17"/>
      <c r="JE56" s="17"/>
      <c r="JF56" s="17"/>
      <c r="JG56" s="17"/>
      <c r="JH56" s="17"/>
      <c r="JI56" s="17"/>
      <c r="JJ56" s="17"/>
      <c r="JK56" s="17"/>
      <c r="JL56" s="17"/>
      <c r="JM56" s="17"/>
      <c r="JN56" s="17"/>
      <c r="JO56" s="17"/>
      <c r="JP56" s="17"/>
      <c r="JQ56" s="17"/>
      <c r="JR56" s="17"/>
      <c r="JS56" s="17"/>
      <c r="JT56" s="17"/>
      <c r="JU56" s="17"/>
      <c r="JV56" s="17"/>
      <c r="JW56" s="17"/>
      <c r="JX56" s="17"/>
      <c r="JY56" s="17"/>
      <c r="JZ56" s="17"/>
      <c r="KA56" s="17"/>
      <c r="KB56" s="17"/>
      <c r="KC56" s="17"/>
      <c r="KD56" s="17"/>
      <c r="KE56" s="17"/>
      <c r="KF56" s="17"/>
      <c r="KG56" s="17"/>
      <c r="KH56" s="17"/>
      <c r="KI56" s="17"/>
      <c r="KJ56" s="17"/>
      <c r="KK56" s="17"/>
      <c r="KL56" s="17"/>
      <c r="KM56" s="17"/>
      <c r="KN56" s="17"/>
      <c r="KO56" s="17"/>
      <c r="KP56" s="17"/>
      <c r="KQ56" s="17"/>
      <c r="KR56" s="17"/>
      <c r="KS56" s="17"/>
      <c r="KT56" s="17"/>
      <c r="KU56" s="17"/>
      <c r="KV56" s="17"/>
      <c r="KW56" s="17"/>
      <c r="KX56" s="17"/>
      <c r="KY56" s="17"/>
    </row>
    <row r="57" spans="1:311" x14ac:dyDescent="0.25">
      <c r="A57" s="17"/>
      <c r="B57" s="17"/>
      <c r="C57" s="17"/>
      <c r="D57" s="17"/>
      <c r="E57" s="17"/>
      <c r="F57" s="17"/>
      <c r="G57" s="17"/>
      <c r="H57" s="17"/>
      <c r="I57" s="17"/>
      <c r="J57" s="17"/>
      <c r="K57" s="17"/>
      <c r="L57" s="17"/>
      <c r="M57" s="17"/>
      <c r="N57" s="17"/>
      <c r="O57" s="17"/>
      <c r="P57" s="17"/>
      <c r="Q57" s="17"/>
      <c r="R57" s="17"/>
      <c r="S57" s="17"/>
      <c r="T57" s="17"/>
      <c r="U57" s="17"/>
      <c r="V57" s="17"/>
      <c r="W57" s="17"/>
      <c r="X57" s="17"/>
      <c r="Y57" s="17"/>
      <c r="Z57" s="17"/>
      <c r="AA57" s="17"/>
      <c r="AB57" s="17"/>
      <c r="AC57" s="17"/>
      <c r="AD57" s="17"/>
      <c r="AE57" s="17"/>
      <c r="AF57" s="17"/>
      <c r="AG57" s="17"/>
      <c r="AH57" s="17"/>
      <c r="AI57" s="17"/>
      <c r="AJ57" s="17"/>
      <c r="AK57" s="17"/>
      <c r="AL57" s="17"/>
      <c r="AM57" s="17"/>
      <c r="AN57" s="17"/>
      <c r="AO57" s="17"/>
      <c r="AP57" s="17"/>
      <c r="AQ57" s="17"/>
      <c r="AR57" s="17"/>
      <c r="AS57" s="17"/>
      <c r="AT57" s="17"/>
      <c r="AU57" s="17"/>
      <c r="AV57" s="17"/>
      <c r="AW57" s="17"/>
      <c r="AX57" s="17"/>
      <c r="AY57" s="17"/>
      <c r="AZ57" s="17"/>
      <c r="BA57" s="17"/>
      <c r="BB57" s="17"/>
      <c r="BC57" s="17"/>
      <c r="BD57" s="17"/>
      <c r="BE57" s="17"/>
      <c r="BF57" s="17"/>
      <c r="BG57" s="17"/>
      <c r="BH57" s="17"/>
      <c r="BI57" s="17"/>
      <c r="BJ57" s="17"/>
      <c r="BK57" s="17"/>
      <c r="BL57" s="17"/>
      <c r="BM57" s="17"/>
      <c r="BN57" s="17"/>
      <c r="BO57" s="17"/>
      <c r="BP57" s="17"/>
      <c r="BQ57" s="17"/>
      <c r="BR57" s="17"/>
      <c r="BS57" s="17"/>
      <c r="BT57" s="17"/>
      <c r="BU57" s="17"/>
      <c r="BV57" s="17"/>
      <c r="BW57" s="17"/>
      <c r="BX57" s="17"/>
      <c r="BY57" s="17"/>
      <c r="BZ57" s="17"/>
      <c r="CA57" s="17"/>
      <c r="CB57" s="17"/>
      <c r="CC57" s="17"/>
      <c r="CD57" s="17"/>
      <c r="CE57" s="17"/>
      <c r="CF57" s="17"/>
      <c r="CG57" s="17"/>
      <c r="CH57" s="17"/>
      <c r="CI57" s="17"/>
      <c r="CJ57" s="17"/>
      <c r="CK57" s="17"/>
      <c r="CL57" s="17"/>
      <c r="CM57" s="17"/>
      <c r="CN57" s="17"/>
      <c r="CO57" s="17"/>
      <c r="CP57" s="17"/>
      <c r="CQ57" s="17"/>
      <c r="CR57" s="17"/>
      <c r="CS57" s="17"/>
      <c r="CT57" s="17"/>
      <c r="CU57" s="17"/>
      <c r="CV57" s="17"/>
      <c r="CW57" s="17"/>
      <c r="CX57" s="17"/>
      <c r="CY57" s="17"/>
      <c r="CZ57" s="17"/>
      <c r="DA57" s="17"/>
      <c r="DB57" s="17"/>
      <c r="DC57" s="17"/>
      <c r="DD57" s="17"/>
      <c r="DE57" s="17"/>
      <c r="DF57" s="17"/>
      <c r="DG57" s="17"/>
      <c r="DH57" s="17"/>
      <c r="DI57" s="17"/>
      <c r="DJ57" s="17"/>
      <c r="DK57" s="17"/>
      <c r="DL57" s="17"/>
      <c r="DM57" s="17"/>
      <c r="DN57" s="17"/>
      <c r="DO57" s="17"/>
      <c r="DP57" s="17"/>
      <c r="DQ57" s="17"/>
      <c r="DR57" s="17"/>
      <c r="DS57" s="17"/>
      <c r="DT57" s="17"/>
      <c r="DU57" s="17"/>
      <c r="DV57" s="17"/>
      <c r="DW57" s="17"/>
      <c r="DX57" s="17"/>
      <c r="DY57" s="17"/>
      <c r="DZ57" s="17"/>
      <c r="EA57" s="17"/>
      <c r="EB57" s="17"/>
      <c r="EC57" s="17"/>
      <c r="ED57" s="17"/>
      <c r="EE57" s="17"/>
      <c r="EF57" s="17"/>
      <c r="EG57" s="17"/>
      <c r="EH57" s="17"/>
      <c r="EI57" s="17"/>
      <c r="EJ57" s="17"/>
      <c r="EK57" s="17"/>
      <c r="EL57" s="17"/>
      <c r="EM57" s="17"/>
      <c r="EN57" s="17"/>
      <c r="EO57" s="17"/>
      <c r="EP57" s="17"/>
      <c r="EQ57" s="17"/>
      <c r="ER57" s="17"/>
      <c r="ES57" s="17"/>
      <c r="ET57" s="17"/>
      <c r="EU57" s="17"/>
      <c r="EV57" s="17"/>
      <c r="EW57" s="17"/>
      <c r="EX57" s="17"/>
      <c r="EY57" s="17"/>
      <c r="EZ57" s="17"/>
      <c r="FA57" s="17"/>
      <c r="FB57" s="17"/>
      <c r="FC57" s="17"/>
      <c r="FD57" s="17"/>
      <c r="FE57" s="17"/>
      <c r="FF57" s="17"/>
      <c r="FG57" s="17"/>
      <c r="FH57" s="17"/>
      <c r="FI57" s="17"/>
      <c r="FJ57" s="17"/>
      <c r="FK57" s="17"/>
      <c r="FL57" s="17"/>
      <c r="FM57" s="17"/>
      <c r="FN57" s="17"/>
      <c r="FO57" s="17"/>
      <c r="FP57" s="17"/>
      <c r="FQ57" s="17"/>
      <c r="FR57" s="17"/>
      <c r="FS57" s="17"/>
      <c r="FT57" s="17"/>
      <c r="FU57" s="17"/>
      <c r="FV57" s="17"/>
      <c r="FW57" s="17"/>
      <c r="FX57" s="17"/>
      <c r="FY57" s="17"/>
      <c r="FZ57" s="17"/>
      <c r="GA57" s="17"/>
      <c r="GB57" s="17"/>
      <c r="GC57" s="17"/>
      <c r="GD57" s="17"/>
      <c r="GE57" s="17"/>
      <c r="GF57" s="17"/>
      <c r="GG57" s="17"/>
      <c r="GH57" s="17"/>
      <c r="GI57" s="17"/>
      <c r="GJ57" s="17"/>
      <c r="GK57" s="17"/>
      <c r="GL57" s="17"/>
      <c r="GM57" s="17"/>
      <c r="GN57" s="17"/>
      <c r="GO57" s="17"/>
      <c r="GP57" s="17"/>
      <c r="GQ57" s="17"/>
      <c r="GR57" s="17"/>
      <c r="GS57" s="17"/>
      <c r="GT57" s="17"/>
      <c r="GU57" s="17"/>
      <c r="GV57" s="17"/>
      <c r="GW57" s="17"/>
      <c r="GX57" s="17"/>
      <c r="GY57" s="17"/>
      <c r="GZ57" s="17"/>
      <c r="HA57" s="17"/>
      <c r="HB57" s="17"/>
      <c r="HC57" s="17"/>
      <c r="HD57" s="17"/>
      <c r="HE57" s="17"/>
      <c r="HF57" s="17"/>
      <c r="HG57" s="17"/>
      <c r="HH57" s="17"/>
      <c r="HI57" s="17"/>
      <c r="HJ57" s="17"/>
      <c r="HK57" s="17"/>
      <c r="HL57" s="17"/>
      <c r="HM57" s="17"/>
      <c r="HN57" s="17"/>
      <c r="HO57" s="17"/>
      <c r="HP57" s="17"/>
      <c r="HQ57" s="17"/>
      <c r="HR57" s="17"/>
      <c r="HS57" s="17"/>
      <c r="HT57" s="17"/>
      <c r="HU57" s="17"/>
      <c r="HV57" s="17"/>
      <c r="HW57" s="17"/>
      <c r="HX57" s="17"/>
      <c r="HY57" s="17"/>
      <c r="HZ57" s="17"/>
      <c r="IA57" s="17"/>
      <c r="IB57" s="17"/>
      <c r="IC57" s="17"/>
      <c r="ID57" s="17"/>
      <c r="IE57" s="17"/>
      <c r="IF57" s="17"/>
      <c r="IG57" s="17"/>
      <c r="IH57" s="17"/>
      <c r="II57" s="17"/>
      <c r="IJ57" s="17"/>
      <c r="IK57" s="17"/>
      <c r="IL57" s="17"/>
      <c r="IM57" s="17"/>
      <c r="IN57" s="17"/>
      <c r="IO57" s="17"/>
      <c r="IP57" s="17"/>
      <c r="IQ57" s="17"/>
      <c r="IR57" s="17"/>
      <c r="IS57" s="17"/>
      <c r="IT57" s="17"/>
      <c r="IU57" s="17"/>
      <c r="IV57" s="17"/>
      <c r="IW57" s="17"/>
      <c r="IX57" s="17"/>
      <c r="IY57" s="17"/>
      <c r="IZ57" s="17"/>
      <c r="JA57" s="17"/>
      <c r="JB57" s="17"/>
      <c r="JC57" s="17"/>
      <c r="JD57" s="17"/>
      <c r="JE57" s="17"/>
      <c r="JF57" s="17"/>
      <c r="JG57" s="17"/>
      <c r="JH57" s="17"/>
      <c r="JI57" s="17"/>
      <c r="JJ57" s="17"/>
      <c r="JK57" s="17"/>
      <c r="JL57" s="17"/>
      <c r="JM57" s="17"/>
      <c r="JN57" s="17"/>
      <c r="JO57" s="17"/>
      <c r="JP57" s="17"/>
      <c r="JQ57" s="17"/>
      <c r="JR57" s="17"/>
      <c r="JS57" s="17"/>
      <c r="JT57" s="17"/>
      <c r="JU57" s="17"/>
      <c r="JV57" s="17"/>
      <c r="JW57" s="17"/>
      <c r="JX57" s="17"/>
      <c r="JY57" s="17"/>
      <c r="JZ57" s="17"/>
      <c r="KA57" s="17"/>
      <c r="KB57" s="17"/>
      <c r="KC57" s="17"/>
      <c r="KD57" s="17"/>
      <c r="KE57" s="17"/>
      <c r="KF57" s="17"/>
      <c r="KG57" s="17"/>
      <c r="KH57" s="17"/>
      <c r="KI57" s="17"/>
      <c r="KJ57" s="17"/>
      <c r="KK57" s="17"/>
      <c r="KL57" s="17"/>
      <c r="KM57" s="17"/>
      <c r="KN57" s="17"/>
      <c r="KO57" s="17"/>
      <c r="KP57" s="17"/>
      <c r="KQ57" s="17"/>
      <c r="KR57" s="17"/>
      <c r="KS57" s="17"/>
      <c r="KT57" s="17"/>
      <c r="KU57" s="17"/>
      <c r="KV57" s="17"/>
      <c r="KW57" s="17"/>
      <c r="KX57" s="17"/>
      <c r="KY57" s="17"/>
    </row>
    <row r="58" spans="1:311" x14ac:dyDescent="0.25">
      <c r="A58" s="17"/>
      <c r="B58" s="17"/>
      <c r="C58" s="17"/>
      <c r="D58" s="17"/>
      <c r="E58" s="17"/>
      <c r="F58" s="17"/>
      <c r="G58" s="17"/>
      <c r="H58" s="17"/>
      <c r="I58" s="17"/>
      <c r="J58" s="17"/>
      <c r="K58" s="17"/>
      <c r="L58" s="17"/>
      <c r="M58" s="17"/>
      <c r="N58" s="17"/>
      <c r="O58" s="17"/>
      <c r="P58" s="17"/>
      <c r="Q58" s="17"/>
      <c r="R58" s="17"/>
      <c r="S58" s="17"/>
      <c r="T58" s="17"/>
      <c r="U58" s="17"/>
      <c r="V58" s="17"/>
      <c r="W58" s="17"/>
      <c r="X58" s="17"/>
      <c r="Y58" s="17"/>
      <c r="Z58" s="17"/>
      <c r="AA58" s="17"/>
      <c r="AB58" s="17"/>
      <c r="AC58" s="17"/>
      <c r="AD58" s="17"/>
      <c r="AE58" s="17"/>
      <c r="AF58" s="17"/>
      <c r="AG58" s="17"/>
      <c r="AH58" s="17"/>
      <c r="AI58" s="17"/>
      <c r="AJ58" s="17"/>
      <c r="AK58" s="17"/>
      <c r="AL58" s="17"/>
      <c r="AM58" s="17"/>
      <c r="AN58" s="17"/>
      <c r="AO58" s="17"/>
      <c r="AP58" s="17"/>
      <c r="AQ58" s="17"/>
      <c r="AR58" s="17"/>
      <c r="AS58" s="17"/>
      <c r="AT58" s="17"/>
      <c r="AU58" s="17"/>
      <c r="AV58" s="17"/>
      <c r="AW58" s="17"/>
      <c r="AX58" s="17"/>
      <c r="AY58" s="17"/>
      <c r="AZ58" s="17"/>
      <c r="BA58" s="17"/>
      <c r="BB58" s="17"/>
      <c r="BC58" s="17"/>
      <c r="BD58" s="17"/>
      <c r="BE58" s="17"/>
      <c r="BF58" s="17"/>
      <c r="BG58" s="17"/>
      <c r="BH58" s="17"/>
      <c r="BI58" s="17"/>
      <c r="BJ58" s="17"/>
      <c r="BK58" s="17"/>
      <c r="BL58" s="17"/>
      <c r="BM58" s="17"/>
      <c r="BN58" s="17"/>
      <c r="BO58" s="17"/>
      <c r="BP58" s="17"/>
      <c r="BQ58" s="17"/>
      <c r="BR58" s="17"/>
      <c r="BS58" s="17"/>
      <c r="BT58" s="17"/>
      <c r="BU58" s="17"/>
      <c r="BV58" s="17"/>
      <c r="BW58" s="17"/>
      <c r="BX58" s="17"/>
      <c r="BY58" s="17"/>
      <c r="BZ58" s="17"/>
      <c r="CA58" s="17"/>
      <c r="CB58" s="17"/>
      <c r="CC58" s="17"/>
      <c r="CD58" s="17"/>
      <c r="CE58" s="17"/>
      <c r="CF58" s="17"/>
      <c r="CG58" s="17"/>
      <c r="CH58" s="17"/>
      <c r="CI58" s="17"/>
      <c r="CJ58" s="17"/>
      <c r="CK58" s="17"/>
      <c r="CL58" s="17"/>
      <c r="CM58" s="17"/>
      <c r="CN58" s="17"/>
      <c r="CO58" s="17"/>
      <c r="CP58" s="17"/>
      <c r="CQ58" s="17"/>
      <c r="CR58" s="17"/>
      <c r="CS58" s="17"/>
      <c r="CT58" s="17"/>
      <c r="CU58" s="17"/>
      <c r="CV58" s="17"/>
      <c r="CW58" s="17"/>
      <c r="CX58" s="17"/>
      <c r="CY58" s="17"/>
      <c r="CZ58" s="17"/>
      <c r="DA58" s="17"/>
      <c r="DB58" s="17"/>
      <c r="DC58" s="17"/>
      <c r="DD58" s="17"/>
      <c r="DE58" s="17"/>
      <c r="DF58" s="17"/>
      <c r="DG58" s="17"/>
      <c r="DH58" s="17"/>
      <c r="DI58" s="17"/>
      <c r="DJ58" s="17"/>
      <c r="DK58" s="17"/>
      <c r="DL58" s="17"/>
      <c r="DM58" s="17"/>
      <c r="DN58" s="17"/>
      <c r="DO58" s="17"/>
      <c r="DP58" s="17"/>
      <c r="DQ58" s="17"/>
      <c r="DR58" s="17"/>
      <c r="DS58" s="17"/>
      <c r="DT58" s="17"/>
      <c r="DU58" s="17"/>
      <c r="DV58" s="17"/>
      <c r="DW58" s="17"/>
      <c r="DX58" s="17"/>
      <c r="DY58" s="17"/>
      <c r="DZ58" s="17"/>
      <c r="EA58" s="17"/>
      <c r="EB58" s="17"/>
      <c r="EC58" s="17"/>
      <c r="ED58" s="17"/>
      <c r="EE58" s="17"/>
      <c r="EF58" s="17"/>
      <c r="EG58" s="17"/>
      <c r="EH58" s="17"/>
      <c r="EI58" s="17"/>
      <c r="EJ58" s="17"/>
      <c r="EK58" s="17"/>
      <c r="EL58" s="17"/>
      <c r="EM58" s="17"/>
      <c r="EN58" s="17"/>
      <c r="EO58" s="17"/>
      <c r="EP58" s="17"/>
      <c r="EQ58" s="17"/>
      <c r="ER58" s="17"/>
      <c r="ES58" s="17"/>
      <c r="ET58" s="17"/>
      <c r="EU58" s="17"/>
      <c r="EV58" s="17"/>
      <c r="EW58" s="17"/>
      <c r="EX58" s="17"/>
      <c r="EY58" s="17"/>
      <c r="EZ58" s="17"/>
      <c r="FA58" s="17"/>
      <c r="FB58" s="17"/>
      <c r="FC58" s="17"/>
      <c r="FD58" s="17"/>
      <c r="FE58" s="17"/>
      <c r="FF58" s="17"/>
      <c r="FG58" s="17"/>
      <c r="FH58" s="17"/>
      <c r="FI58" s="17"/>
      <c r="FJ58" s="17"/>
      <c r="FK58" s="17"/>
      <c r="FL58" s="17"/>
      <c r="FM58" s="17"/>
      <c r="FN58" s="17"/>
      <c r="FO58" s="17"/>
      <c r="FP58" s="17"/>
      <c r="FQ58" s="17"/>
      <c r="FR58" s="17"/>
      <c r="FS58" s="17"/>
      <c r="FT58" s="17"/>
      <c r="FU58" s="17"/>
      <c r="FV58" s="17"/>
      <c r="FW58" s="17"/>
      <c r="FX58" s="17"/>
      <c r="FY58" s="17"/>
      <c r="FZ58" s="17"/>
      <c r="GA58" s="17"/>
      <c r="GB58" s="17"/>
      <c r="GC58" s="17"/>
      <c r="GD58" s="17"/>
      <c r="GE58" s="17"/>
      <c r="GF58" s="17"/>
      <c r="GG58" s="17"/>
      <c r="GH58" s="17"/>
      <c r="GI58" s="17"/>
      <c r="GJ58" s="17"/>
      <c r="GK58" s="17"/>
      <c r="GL58" s="17"/>
      <c r="GM58" s="17"/>
      <c r="GN58" s="17"/>
      <c r="GO58" s="17"/>
      <c r="GP58" s="17"/>
      <c r="GQ58" s="17"/>
      <c r="GR58" s="17"/>
      <c r="GS58" s="17"/>
      <c r="GT58" s="17"/>
      <c r="GU58" s="17"/>
      <c r="GV58" s="17"/>
      <c r="GW58" s="17"/>
      <c r="GX58" s="17"/>
      <c r="GY58" s="17"/>
      <c r="GZ58" s="17"/>
      <c r="HA58" s="17"/>
      <c r="HB58" s="17"/>
      <c r="HC58" s="17"/>
      <c r="HD58" s="17"/>
      <c r="HE58" s="17"/>
      <c r="HF58" s="17"/>
      <c r="HG58" s="17"/>
      <c r="HH58" s="17"/>
      <c r="HI58" s="17"/>
      <c r="HJ58" s="17"/>
      <c r="HK58" s="17"/>
      <c r="HL58" s="17"/>
      <c r="HM58" s="17"/>
      <c r="HN58" s="17"/>
      <c r="HO58" s="17"/>
      <c r="HP58" s="17"/>
      <c r="HQ58" s="17"/>
      <c r="HR58" s="17"/>
      <c r="HS58" s="17"/>
      <c r="HT58" s="17"/>
      <c r="HU58" s="17"/>
      <c r="HV58" s="17"/>
      <c r="HW58" s="17"/>
      <c r="HX58" s="17"/>
      <c r="HY58" s="17"/>
      <c r="HZ58" s="17"/>
      <c r="IA58" s="17"/>
      <c r="IB58" s="17"/>
      <c r="IC58" s="17"/>
      <c r="ID58" s="17"/>
      <c r="IE58" s="17"/>
      <c r="IF58" s="17"/>
      <c r="IG58" s="17"/>
      <c r="IH58" s="17"/>
      <c r="II58" s="17"/>
      <c r="IJ58" s="17"/>
      <c r="IK58" s="17"/>
      <c r="IL58" s="17"/>
      <c r="IM58" s="17"/>
      <c r="IN58" s="17"/>
      <c r="IO58" s="17"/>
      <c r="IP58" s="17"/>
      <c r="IQ58" s="17"/>
      <c r="IR58" s="17"/>
      <c r="IS58" s="17"/>
      <c r="IT58" s="17"/>
      <c r="IU58" s="17"/>
      <c r="IV58" s="17"/>
      <c r="IW58" s="17"/>
      <c r="IX58" s="17"/>
      <c r="IY58" s="17"/>
      <c r="IZ58" s="17"/>
      <c r="JA58" s="17"/>
      <c r="JB58" s="17"/>
      <c r="JC58" s="17"/>
      <c r="JD58" s="17"/>
      <c r="JE58" s="17"/>
      <c r="JF58" s="17"/>
      <c r="JG58" s="17"/>
      <c r="JH58" s="17"/>
      <c r="JI58" s="17"/>
      <c r="JJ58" s="17"/>
      <c r="JK58" s="17"/>
      <c r="JL58" s="17"/>
      <c r="JM58" s="17"/>
      <c r="JN58" s="17"/>
      <c r="JO58" s="17"/>
      <c r="JP58" s="17"/>
      <c r="JQ58" s="17"/>
      <c r="JR58" s="17"/>
      <c r="JS58" s="17"/>
      <c r="JT58" s="17"/>
      <c r="JU58" s="17"/>
      <c r="JV58" s="17"/>
      <c r="JW58" s="17"/>
      <c r="JX58" s="17"/>
      <c r="JY58" s="17"/>
      <c r="JZ58" s="17"/>
      <c r="KA58" s="17"/>
      <c r="KB58" s="17"/>
      <c r="KC58" s="17"/>
      <c r="KD58" s="17"/>
      <c r="KE58" s="17"/>
      <c r="KF58" s="17"/>
      <c r="KG58" s="17"/>
      <c r="KH58" s="17"/>
      <c r="KI58" s="17"/>
      <c r="KJ58" s="17"/>
      <c r="KK58" s="17"/>
      <c r="KL58" s="17"/>
      <c r="KM58" s="17"/>
      <c r="KN58" s="17"/>
      <c r="KO58" s="17"/>
      <c r="KP58" s="17"/>
      <c r="KQ58" s="17"/>
      <c r="KR58" s="17"/>
      <c r="KS58" s="17"/>
      <c r="KT58" s="17"/>
      <c r="KU58" s="17"/>
      <c r="KV58" s="17"/>
      <c r="KW58" s="17"/>
      <c r="KX58" s="17"/>
      <c r="KY58" s="17"/>
    </row>
    <row r="59" spans="1:311" x14ac:dyDescent="0.25">
      <c r="A59" s="17"/>
      <c r="B59" s="17"/>
      <c r="C59" s="17"/>
      <c r="D59" s="17"/>
      <c r="E59" s="17"/>
      <c r="F59" s="17"/>
      <c r="G59" s="17"/>
      <c r="H59" s="17"/>
      <c r="I59" s="17"/>
      <c r="J59" s="17"/>
      <c r="K59" s="17"/>
      <c r="L59" s="17"/>
      <c r="M59" s="17"/>
      <c r="N59" s="17"/>
      <c r="O59" s="17"/>
      <c r="P59" s="17"/>
      <c r="Q59" s="17"/>
      <c r="R59" s="17"/>
      <c r="S59" s="17"/>
      <c r="T59" s="17"/>
      <c r="U59" s="17"/>
      <c r="V59" s="17"/>
      <c r="W59" s="17"/>
      <c r="X59" s="17"/>
      <c r="Y59" s="17"/>
      <c r="Z59" s="17"/>
      <c r="AA59" s="17"/>
      <c r="AB59" s="17"/>
      <c r="AC59" s="17"/>
      <c r="AD59" s="17"/>
      <c r="AE59" s="17"/>
      <c r="AF59" s="17"/>
      <c r="AG59" s="17"/>
      <c r="AH59" s="17"/>
      <c r="AI59" s="17"/>
      <c r="AJ59" s="17"/>
      <c r="AK59" s="17"/>
      <c r="AL59" s="17"/>
      <c r="AM59" s="17"/>
      <c r="AN59" s="17"/>
      <c r="AO59" s="17"/>
      <c r="AP59" s="17"/>
      <c r="AQ59" s="17"/>
      <c r="AR59" s="17"/>
      <c r="AS59" s="17"/>
      <c r="AT59" s="17"/>
      <c r="AU59" s="17"/>
      <c r="AV59" s="17"/>
      <c r="AW59" s="17"/>
      <c r="AX59" s="17"/>
      <c r="AY59" s="17"/>
      <c r="AZ59" s="17"/>
      <c r="BA59" s="17"/>
      <c r="BB59" s="17"/>
      <c r="BC59" s="17"/>
      <c r="BD59" s="17"/>
      <c r="BE59" s="17"/>
      <c r="BF59" s="17"/>
      <c r="BG59" s="17"/>
      <c r="BH59" s="17"/>
      <c r="BI59" s="17"/>
      <c r="BJ59" s="17"/>
      <c r="BK59" s="17"/>
      <c r="BL59" s="17"/>
      <c r="BM59" s="17"/>
      <c r="BN59" s="17"/>
      <c r="BO59" s="17"/>
      <c r="BP59" s="17"/>
      <c r="BQ59" s="17"/>
      <c r="BR59" s="17"/>
      <c r="BS59" s="17"/>
      <c r="BT59" s="17"/>
      <c r="BU59" s="17"/>
      <c r="BV59" s="17"/>
      <c r="BW59" s="17"/>
      <c r="BX59" s="17"/>
      <c r="BY59" s="17"/>
      <c r="BZ59" s="17"/>
      <c r="CA59" s="17"/>
      <c r="CB59" s="17"/>
      <c r="CC59" s="17"/>
      <c r="CD59" s="17"/>
      <c r="CE59" s="17"/>
      <c r="CF59" s="17"/>
      <c r="CG59" s="17"/>
      <c r="CH59" s="17"/>
      <c r="CI59" s="17"/>
      <c r="CJ59" s="17"/>
      <c r="CK59" s="17"/>
      <c r="CL59" s="17"/>
      <c r="CM59" s="17"/>
      <c r="CN59" s="17"/>
      <c r="CO59" s="17"/>
      <c r="CP59" s="17"/>
      <c r="CQ59" s="17"/>
      <c r="CR59" s="17"/>
      <c r="CS59" s="17"/>
      <c r="CT59" s="17"/>
      <c r="CU59" s="17"/>
      <c r="CV59" s="17"/>
      <c r="CW59" s="17"/>
      <c r="CX59" s="17"/>
      <c r="CY59" s="17"/>
      <c r="CZ59" s="17"/>
      <c r="DA59" s="17"/>
      <c r="DB59" s="17"/>
      <c r="DC59" s="17"/>
      <c r="DD59" s="17"/>
      <c r="DE59" s="17"/>
      <c r="DF59" s="17"/>
      <c r="DG59" s="17"/>
      <c r="DH59" s="17"/>
      <c r="DI59" s="17"/>
      <c r="DJ59" s="17"/>
      <c r="DK59" s="17"/>
      <c r="DL59" s="17"/>
      <c r="DM59" s="17"/>
      <c r="DN59" s="17"/>
      <c r="DO59" s="17"/>
      <c r="DP59" s="17"/>
      <c r="DQ59" s="17"/>
      <c r="DR59" s="17"/>
      <c r="DS59" s="17"/>
      <c r="DT59" s="17"/>
      <c r="DU59" s="17"/>
      <c r="DV59" s="17"/>
      <c r="DW59" s="17"/>
      <c r="DX59" s="17"/>
      <c r="DY59" s="17"/>
      <c r="DZ59" s="17"/>
      <c r="EA59" s="17"/>
      <c r="EB59" s="17"/>
      <c r="EC59" s="17"/>
      <c r="ED59" s="17"/>
      <c r="EE59" s="17"/>
      <c r="EF59" s="17"/>
      <c r="EG59" s="17"/>
      <c r="EH59" s="17"/>
      <c r="EI59" s="17"/>
      <c r="EJ59" s="17"/>
      <c r="EK59" s="17"/>
      <c r="EL59" s="17"/>
      <c r="EM59" s="17"/>
      <c r="EN59" s="17"/>
      <c r="EO59" s="17"/>
      <c r="EP59" s="17"/>
      <c r="EQ59" s="17"/>
      <c r="ER59" s="17"/>
      <c r="ES59" s="17"/>
      <c r="ET59" s="17"/>
      <c r="EU59" s="17"/>
      <c r="EV59" s="17"/>
      <c r="EW59" s="17"/>
      <c r="EX59" s="17"/>
      <c r="EY59" s="17"/>
      <c r="EZ59" s="17"/>
      <c r="FA59" s="17"/>
      <c r="FB59" s="17"/>
      <c r="FC59" s="17"/>
      <c r="FD59" s="17"/>
      <c r="FE59" s="17"/>
      <c r="FF59" s="17"/>
      <c r="FG59" s="17"/>
      <c r="FH59" s="17"/>
      <c r="FI59" s="17"/>
      <c r="FJ59" s="17"/>
      <c r="FK59" s="17"/>
      <c r="FL59" s="17"/>
      <c r="FM59" s="17"/>
      <c r="FN59" s="17"/>
      <c r="FO59" s="17"/>
      <c r="FP59" s="17"/>
      <c r="FQ59" s="17"/>
      <c r="FR59" s="17"/>
      <c r="FS59" s="17"/>
      <c r="FT59" s="17"/>
      <c r="FU59" s="17"/>
      <c r="FV59" s="17"/>
      <c r="FW59" s="17"/>
      <c r="FX59" s="17"/>
      <c r="FY59" s="17"/>
      <c r="FZ59" s="17"/>
      <c r="GA59" s="17"/>
      <c r="GB59" s="17"/>
      <c r="GC59" s="17"/>
      <c r="GD59" s="17"/>
      <c r="GE59" s="17"/>
      <c r="GF59" s="17"/>
      <c r="GG59" s="17"/>
      <c r="GH59" s="17"/>
      <c r="GI59" s="17"/>
      <c r="GJ59" s="17"/>
      <c r="GK59" s="17"/>
      <c r="GL59" s="17"/>
      <c r="GM59" s="17"/>
      <c r="GN59" s="17"/>
      <c r="GO59" s="17"/>
      <c r="GP59" s="17"/>
      <c r="GQ59" s="17"/>
      <c r="GR59" s="17"/>
      <c r="GS59" s="17"/>
      <c r="GT59" s="17"/>
      <c r="GU59" s="17"/>
      <c r="GV59" s="17"/>
      <c r="GW59" s="17"/>
      <c r="GX59" s="17"/>
      <c r="GY59" s="17"/>
      <c r="GZ59" s="17"/>
      <c r="HA59" s="17"/>
      <c r="HB59" s="17"/>
      <c r="HC59" s="17"/>
      <c r="HD59" s="17"/>
      <c r="HE59" s="17"/>
      <c r="HF59" s="17"/>
      <c r="HG59" s="17"/>
      <c r="HH59" s="17"/>
      <c r="HI59" s="17"/>
      <c r="HJ59" s="17"/>
      <c r="HK59" s="17"/>
      <c r="HL59" s="17"/>
      <c r="HM59" s="17"/>
      <c r="HN59" s="17"/>
      <c r="HO59" s="17"/>
      <c r="HP59" s="17"/>
      <c r="HQ59" s="17"/>
      <c r="HR59" s="17"/>
      <c r="HS59" s="17"/>
      <c r="HT59" s="17"/>
      <c r="HU59" s="17"/>
      <c r="HV59" s="17"/>
      <c r="HW59" s="17"/>
      <c r="HX59" s="17"/>
      <c r="HY59" s="17"/>
      <c r="HZ59" s="17"/>
      <c r="IA59" s="17"/>
      <c r="IB59" s="17"/>
      <c r="IC59" s="17"/>
      <c r="ID59" s="17"/>
      <c r="IE59" s="17"/>
      <c r="IF59" s="17"/>
      <c r="IG59" s="17"/>
      <c r="IH59" s="17"/>
      <c r="II59" s="17"/>
      <c r="IJ59" s="17"/>
      <c r="IK59" s="17"/>
      <c r="IL59" s="17"/>
      <c r="IM59" s="17"/>
      <c r="IN59" s="17"/>
      <c r="IO59" s="17"/>
      <c r="IP59" s="17"/>
      <c r="IQ59" s="17"/>
      <c r="IR59" s="17"/>
      <c r="IS59" s="17"/>
      <c r="IT59" s="17"/>
      <c r="IU59" s="17"/>
      <c r="IV59" s="17"/>
      <c r="IW59" s="17"/>
      <c r="IX59" s="17"/>
      <c r="IY59" s="17"/>
      <c r="IZ59" s="17"/>
      <c r="JA59" s="17"/>
      <c r="JB59" s="17"/>
      <c r="JC59" s="17"/>
      <c r="JD59" s="17"/>
      <c r="JE59" s="17"/>
      <c r="JF59" s="17"/>
      <c r="JG59" s="17"/>
      <c r="JH59" s="17"/>
      <c r="JI59" s="17"/>
      <c r="JJ59" s="17"/>
      <c r="JK59" s="17"/>
      <c r="JL59" s="17"/>
      <c r="JM59" s="17"/>
      <c r="JN59" s="17"/>
      <c r="JO59" s="17"/>
      <c r="JP59" s="17"/>
      <c r="JQ59" s="17"/>
      <c r="JR59" s="17"/>
      <c r="JS59" s="17"/>
      <c r="JT59" s="17"/>
      <c r="JU59" s="17"/>
      <c r="JV59" s="17"/>
      <c r="JW59" s="17"/>
      <c r="JX59" s="17"/>
      <c r="JY59" s="17"/>
      <c r="JZ59" s="17"/>
      <c r="KA59" s="17"/>
      <c r="KB59" s="17"/>
      <c r="KC59" s="17"/>
      <c r="KD59" s="17"/>
      <c r="KE59" s="17"/>
      <c r="KF59" s="17"/>
      <c r="KG59" s="17"/>
      <c r="KH59" s="17"/>
      <c r="KI59" s="17"/>
      <c r="KJ59" s="17"/>
      <c r="KK59" s="17"/>
      <c r="KL59" s="17"/>
      <c r="KM59" s="17"/>
      <c r="KN59" s="17"/>
      <c r="KO59" s="17"/>
      <c r="KP59" s="17"/>
      <c r="KQ59" s="17"/>
      <c r="KR59" s="17"/>
      <c r="KS59" s="17"/>
      <c r="KT59" s="17"/>
      <c r="KU59" s="17"/>
      <c r="KV59" s="17"/>
      <c r="KW59" s="17"/>
      <c r="KX59" s="17"/>
      <c r="KY59" s="17"/>
    </row>
    <row r="60" spans="1:311" x14ac:dyDescent="0.25">
      <c r="A60" s="17"/>
      <c r="B60" s="17"/>
      <c r="C60" s="17"/>
      <c r="D60" s="17"/>
      <c r="E60" s="17"/>
      <c r="F60" s="17"/>
      <c r="G60" s="17"/>
      <c r="H60" s="17"/>
      <c r="I60" s="17"/>
      <c r="J60" s="17"/>
      <c r="K60" s="17"/>
      <c r="L60" s="17"/>
      <c r="M60" s="17"/>
      <c r="N60" s="17"/>
      <c r="O60" s="17"/>
      <c r="P60" s="17"/>
      <c r="Q60" s="17"/>
      <c r="R60" s="17"/>
      <c r="S60" s="17"/>
      <c r="T60" s="17"/>
      <c r="U60" s="17"/>
      <c r="V60" s="17"/>
      <c r="W60" s="17"/>
      <c r="X60" s="17"/>
      <c r="Y60" s="17"/>
      <c r="Z60" s="17"/>
      <c r="AA60" s="17"/>
      <c r="AB60" s="17"/>
      <c r="AC60" s="17"/>
      <c r="AD60" s="17"/>
      <c r="AE60" s="17"/>
      <c r="AF60" s="17"/>
      <c r="AG60" s="17"/>
      <c r="AH60" s="17"/>
      <c r="AI60" s="17"/>
      <c r="AJ60" s="17"/>
      <c r="AK60" s="17"/>
      <c r="AL60" s="17"/>
      <c r="AM60" s="17"/>
      <c r="AN60" s="17"/>
      <c r="AO60" s="17"/>
      <c r="AP60" s="17"/>
      <c r="AQ60" s="17"/>
      <c r="AR60" s="17"/>
      <c r="AS60" s="17"/>
      <c r="AT60" s="17"/>
      <c r="AU60" s="17"/>
      <c r="AV60" s="17"/>
      <c r="AW60" s="17"/>
      <c r="AX60" s="17"/>
      <c r="AY60" s="17"/>
      <c r="AZ60" s="17"/>
      <c r="BA60" s="17"/>
      <c r="BB60" s="17"/>
      <c r="BC60" s="17"/>
      <c r="BD60" s="17"/>
      <c r="BE60" s="17"/>
      <c r="BF60" s="17"/>
      <c r="BG60" s="17"/>
      <c r="BH60" s="17"/>
      <c r="BI60" s="17"/>
      <c r="BJ60" s="17"/>
      <c r="BK60" s="17"/>
      <c r="BL60" s="17"/>
      <c r="BM60" s="17"/>
      <c r="BN60" s="17"/>
      <c r="BO60" s="17"/>
      <c r="BP60" s="17"/>
      <c r="BQ60" s="17"/>
      <c r="BR60" s="17"/>
      <c r="BS60" s="17"/>
      <c r="BT60" s="17"/>
      <c r="BU60" s="17"/>
      <c r="BV60" s="17"/>
      <c r="BW60" s="17"/>
      <c r="BX60" s="17"/>
      <c r="BY60" s="17"/>
      <c r="BZ60" s="17"/>
      <c r="CA60" s="17"/>
      <c r="CB60" s="17"/>
      <c r="CC60" s="17"/>
      <c r="CD60" s="17"/>
      <c r="CE60" s="17"/>
      <c r="CF60" s="17"/>
      <c r="CG60" s="17"/>
      <c r="CH60" s="17"/>
      <c r="CI60" s="17"/>
      <c r="CJ60" s="17"/>
      <c r="CK60" s="17"/>
      <c r="CL60" s="17"/>
      <c r="CM60" s="17"/>
      <c r="CN60" s="17"/>
      <c r="CO60" s="17"/>
      <c r="CP60" s="17"/>
      <c r="CQ60" s="17"/>
      <c r="CR60" s="17"/>
      <c r="CS60" s="17"/>
      <c r="CT60" s="17"/>
      <c r="CU60" s="17"/>
      <c r="CV60" s="17"/>
      <c r="CW60" s="17"/>
      <c r="CX60" s="17"/>
      <c r="CY60" s="17"/>
      <c r="CZ60" s="17"/>
      <c r="DA60" s="17"/>
      <c r="DB60" s="17"/>
      <c r="DC60" s="17"/>
      <c r="DD60" s="17"/>
      <c r="DE60" s="17"/>
      <c r="DF60" s="17"/>
      <c r="DG60" s="17"/>
      <c r="DH60" s="17"/>
      <c r="DI60" s="17"/>
      <c r="DJ60" s="17"/>
      <c r="DK60" s="17"/>
      <c r="DL60" s="17"/>
      <c r="DM60" s="17"/>
      <c r="DN60" s="17"/>
      <c r="DO60" s="17"/>
      <c r="DP60" s="17"/>
      <c r="DQ60" s="17"/>
      <c r="DR60" s="17"/>
      <c r="DS60" s="17"/>
      <c r="DT60" s="17"/>
      <c r="DU60" s="17"/>
      <c r="DV60" s="17"/>
      <c r="DW60" s="17"/>
      <c r="DX60" s="17"/>
      <c r="DY60" s="17"/>
      <c r="DZ60" s="17"/>
      <c r="EA60" s="17"/>
      <c r="EB60" s="17"/>
      <c r="EC60" s="17"/>
      <c r="ED60" s="17"/>
      <c r="EE60" s="17"/>
      <c r="EF60" s="17"/>
      <c r="EG60" s="17"/>
      <c r="EH60" s="17"/>
      <c r="EI60" s="17"/>
      <c r="EJ60" s="17"/>
      <c r="EK60" s="17"/>
      <c r="EL60" s="17"/>
      <c r="EM60" s="17"/>
      <c r="EN60" s="17"/>
      <c r="EO60" s="17"/>
      <c r="EP60" s="17"/>
      <c r="EQ60" s="17"/>
      <c r="ER60" s="17"/>
      <c r="ES60" s="17"/>
      <c r="ET60" s="17"/>
      <c r="EU60" s="17"/>
      <c r="EV60" s="17"/>
      <c r="EW60" s="17"/>
      <c r="EX60" s="17"/>
      <c r="EY60" s="17"/>
      <c r="EZ60" s="17"/>
      <c r="FA60" s="17"/>
      <c r="FB60" s="17"/>
      <c r="FC60" s="17"/>
      <c r="FD60" s="17"/>
      <c r="FE60" s="17"/>
      <c r="FF60" s="17"/>
      <c r="FG60" s="17"/>
      <c r="FH60" s="17"/>
      <c r="FI60" s="17"/>
      <c r="FJ60" s="17"/>
      <c r="FK60" s="17"/>
      <c r="FL60" s="17"/>
      <c r="FM60" s="17"/>
      <c r="FN60" s="17"/>
      <c r="FO60" s="17"/>
      <c r="FP60" s="17"/>
      <c r="FQ60" s="17"/>
      <c r="FR60" s="17"/>
      <c r="FS60" s="17"/>
      <c r="FT60" s="17"/>
      <c r="FU60" s="17"/>
      <c r="FV60" s="17"/>
      <c r="FW60" s="17"/>
      <c r="FX60" s="17"/>
      <c r="FY60" s="17"/>
      <c r="FZ60" s="17"/>
      <c r="GA60" s="17"/>
      <c r="GB60" s="17"/>
      <c r="GC60" s="17"/>
      <c r="GD60" s="17"/>
      <c r="GE60" s="17"/>
      <c r="GF60" s="17"/>
      <c r="GG60" s="17"/>
      <c r="GH60" s="17"/>
      <c r="GI60" s="17"/>
      <c r="GJ60" s="17"/>
      <c r="GK60" s="17"/>
      <c r="GL60" s="17"/>
      <c r="GM60" s="17"/>
      <c r="GN60" s="17"/>
      <c r="GO60" s="17"/>
      <c r="GP60" s="17"/>
      <c r="GQ60" s="17"/>
      <c r="GR60" s="17"/>
      <c r="GS60" s="17"/>
      <c r="GT60" s="17"/>
      <c r="GU60" s="17"/>
      <c r="GV60" s="17"/>
      <c r="GW60" s="17"/>
      <c r="GX60" s="17"/>
      <c r="GY60" s="17"/>
      <c r="GZ60" s="17"/>
      <c r="HA60" s="17"/>
      <c r="HB60" s="17"/>
      <c r="HC60" s="17"/>
      <c r="HD60" s="17"/>
      <c r="HE60" s="17"/>
      <c r="HF60" s="17"/>
      <c r="HG60" s="17"/>
      <c r="HH60" s="17"/>
      <c r="HI60" s="17"/>
      <c r="HJ60" s="17"/>
      <c r="HK60" s="17"/>
      <c r="HL60" s="17"/>
      <c r="HM60" s="17"/>
      <c r="HN60" s="17"/>
      <c r="HO60" s="17"/>
      <c r="HP60" s="17"/>
      <c r="HQ60" s="17"/>
      <c r="HR60" s="17"/>
      <c r="HS60" s="17"/>
      <c r="HT60" s="17"/>
      <c r="HU60" s="17"/>
      <c r="HV60" s="17"/>
      <c r="HW60" s="17"/>
      <c r="HX60" s="17"/>
      <c r="HY60" s="17"/>
      <c r="HZ60" s="17"/>
      <c r="IA60" s="17"/>
      <c r="IB60" s="17"/>
      <c r="IC60" s="17"/>
      <c r="ID60" s="17"/>
      <c r="IE60" s="17"/>
      <c r="IF60" s="17"/>
      <c r="IG60" s="17"/>
      <c r="IH60" s="17"/>
      <c r="II60" s="17"/>
      <c r="IJ60" s="17"/>
      <c r="IK60" s="17"/>
      <c r="IL60" s="17"/>
      <c r="IM60" s="17"/>
      <c r="IN60" s="17"/>
      <c r="IO60" s="17"/>
      <c r="IP60" s="17"/>
      <c r="IQ60" s="17"/>
      <c r="IR60" s="17"/>
      <c r="IS60" s="17"/>
      <c r="IT60" s="17"/>
      <c r="IU60" s="17"/>
      <c r="IV60" s="17"/>
      <c r="IW60" s="17"/>
      <c r="IX60" s="17"/>
      <c r="IY60" s="17"/>
      <c r="IZ60" s="17"/>
      <c r="JA60" s="17"/>
      <c r="JB60" s="17"/>
      <c r="JC60" s="17"/>
      <c r="JD60" s="17"/>
      <c r="JE60" s="17"/>
      <c r="JF60" s="17"/>
      <c r="JG60" s="17"/>
      <c r="JH60" s="17"/>
      <c r="JI60" s="17"/>
      <c r="JJ60" s="17"/>
      <c r="JK60" s="17"/>
      <c r="JL60" s="17"/>
      <c r="JM60" s="17"/>
      <c r="JN60" s="17"/>
      <c r="JO60" s="17"/>
      <c r="JP60" s="17"/>
      <c r="JQ60" s="17"/>
      <c r="JR60" s="17"/>
      <c r="JS60" s="17"/>
      <c r="JT60" s="17"/>
      <c r="JU60" s="17"/>
      <c r="JV60" s="17"/>
      <c r="JW60" s="17"/>
      <c r="JX60" s="17"/>
      <c r="JY60" s="17"/>
      <c r="JZ60" s="17"/>
      <c r="KA60" s="17"/>
      <c r="KB60" s="17"/>
      <c r="KC60" s="17"/>
      <c r="KD60" s="17"/>
      <c r="KE60" s="17"/>
      <c r="KF60" s="17"/>
      <c r="KG60" s="17"/>
      <c r="KH60" s="17"/>
      <c r="KI60" s="17"/>
      <c r="KJ60" s="17"/>
      <c r="KK60" s="17"/>
      <c r="KL60" s="17"/>
      <c r="KM60" s="17"/>
      <c r="KN60" s="17"/>
      <c r="KO60" s="17"/>
      <c r="KP60" s="17"/>
      <c r="KQ60" s="17"/>
      <c r="KR60" s="17"/>
      <c r="KS60" s="17"/>
      <c r="KT60" s="17"/>
      <c r="KU60" s="17"/>
      <c r="KV60" s="17"/>
      <c r="KW60" s="17"/>
      <c r="KX60" s="17"/>
      <c r="KY60" s="17"/>
    </row>
    <row r="61" spans="1:311" x14ac:dyDescent="0.25">
      <c r="A61" s="17"/>
      <c r="B61" s="17"/>
      <c r="C61" s="17"/>
      <c r="D61" s="17"/>
      <c r="E61" s="17"/>
      <c r="F61" s="17"/>
      <c r="G61" s="17"/>
      <c r="H61" s="17"/>
      <c r="I61" s="17"/>
      <c r="J61" s="17"/>
      <c r="K61" s="17"/>
      <c r="L61" s="17"/>
      <c r="M61" s="17"/>
      <c r="N61" s="17"/>
      <c r="O61" s="17"/>
      <c r="P61" s="17"/>
      <c r="Q61" s="17"/>
      <c r="R61" s="17"/>
      <c r="S61" s="17"/>
      <c r="T61" s="17"/>
      <c r="U61" s="17"/>
      <c r="V61" s="17"/>
      <c r="W61" s="17"/>
      <c r="X61" s="17"/>
      <c r="Y61" s="17"/>
      <c r="Z61" s="17"/>
      <c r="AA61" s="17"/>
      <c r="AB61" s="17"/>
      <c r="AC61" s="17"/>
      <c r="AD61" s="17"/>
      <c r="AE61" s="17"/>
      <c r="AF61" s="17"/>
      <c r="AG61" s="17"/>
      <c r="AH61" s="17"/>
      <c r="AI61" s="17"/>
      <c r="AJ61" s="17"/>
      <c r="AK61" s="17"/>
      <c r="AL61" s="17"/>
      <c r="AM61" s="17"/>
      <c r="AN61" s="17"/>
      <c r="AO61" s="17"/>
      <c r="AP61" s="17"/>
      <c r="AQ61" s="17"/>
      <c r="AR61" s="17"/>
      <c r="AS61" s="17"/>
      <c r="AT61" s="17"/>
      <c r="AU61" s="17"/>
      <c r="AV61" s="17"/>
      <c r="AW61" s="17"/>
      <c r="AX61" s="17"/>
      <c r="AY61" s="17"/>
      <c r="AZ61" s="17"/>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17"/>
      <c r="CE61" s="17"/>
      <c r="CF61" s="17"/>
      <c r="CG61" s="17"/>
      <c r="CH61" s="17"/>
      <c r="CI61" s="17"/>
      <c r="CJ61" s="17"/>
      <c r="CK61" s="17"/>
      <c r="CL61" s="17"/>
      <c r="CM61" s="17"/>
      <c r="CN61" s="17"/>
      <c r="CO61" s="17"/>
      <c r="CP61" s="17"/>
      <c r="CQ61" s="17"/>
      <c r="CR61" s="17"/>
      <c r="CS61" s="17"/>
      <c r="CT61" s="17"/>
      <c r="CU61" s="17"/>
      <c r="CV61" s="17"/>
      <c r="CW61" s="17"/>
      <c r="CX61" s="17"/>
      <c r="CY61" s="17"/>
      <c r="CZ61" s="17"/>
      <c r="DA61" s="17"/>
      <c r="DB61" s="17"/>
      <c r="DC61" s="17"/>
      <c r="DD61" s="17"/>
      <c r="DE61" s="17"/>
      <c r="DF61" s="17"/>
      <c r="DG61" s="17"/>
      <c r="DH61" s="17"/>
      <c r="DI61" s="17"/>
      <c r="DJ61" s="17"/>
      <c r="DK61" s="17"/>
      <c r="DL61" s="17"/>
      <c r="DM61" s="17"/>
      <c r="DN61" s="17"/>
      <c r="DO61" s="17"/>
      <c r="DP61" s="17"/>
      <c r="DQ61" s="17"/>
      <c r="DR61" s="17"/>
      <c r="DS61" s="17"/>
      <c r="DT61" s="17"/>
      <c r="DU61" s="17"/>
      <c r="DV61" s="17"/>
      <c r="DW61" s="17"/>
      <c r="DX61" s="17"/>
      <c r="DY61" s="17"/>
      <c r="DZ61" s="17"/>
      <c r="EA61" s="17"/>
      <c r="EB61" s="17"/>
      <c r="EC61" s="17"/>
      <c r="ED61" s="17"/>
      <c r="EE61" s="17"/>
      <c r="EF61" s="17"/>
      <c r="EG61" s="17"/>
      <c r="EH61" s="17"/>
      <c r="EI61" s="17"/>
      <c r="EJ61" s="17"/>
      <c r="EK61" s="17"/>
      <c r="EL61" s="17"/>
      <c r="EM61" s="17"/>
      <c r="EN61" s="17"/>
      <c r="EO61" s="17"/>
      <c r="EP61" s="17"/>
      <c r="EQ61" s="17"/>
      <c r="ER61" s="17"/>
      <c r="ES61" s="17"/>
      <c r="ET61" s="17"/>
      <c r="EU61" s="17"/>
      <c r="EV61" s="17"/>
      <c r="EW61" s="17"/>
      <c r="EX61" s="17"/>
      <c r="EY61" s="17"/>
      <c r="EZ61" s="17"/>
      <c r="FA61" s="17"/>
      <c r="FB61" s="17"/>
      <c r="FC61" s="17"/>
      <c r="FD61" s="17"/>
      <c r="FE61" s="17"/>
      <c r="FF61" s="17"/>
      <c r="FG61" s="17"/>
      <c r="FH61" s="17"/>
      <c r="FI61" s="17"/>
      <c r="FJ61" s="17"/>
      <c r="FK61" s="17"/>
      <c r="FL61" s="17"/>
      <c r="FM61" s="17"/>
      <c r="FN61" s="17"/>
      <c r="FO61" s="17"/>
      <c r="FP61" s="17"/>
      <c r="FQ61" s="17"/>
      <c r="FR61" s="17"/>
      <c r="FS61" s="17"/>
      <c r="FT61" s="17"/>
      <c r="FU61" s="17"/>
      <c r="FV61" s="17"/>
      <c r="FW61" s="17"/>
      <c r="FX61" s="17"/>
      <c r="FY61" s="17"/>
      <c r="FZ61" s="17"/>
      <c r="GA61" s="17"/>
      <c r="GB61" s="17"/>
      <c r="GC61" s="17"/>
      <c r="GD61" s="17"/>
      <c r="GE61" s="17"/>
      <c r="GF61" s="17"/>
      <c r="GG61" s="17"/>
      <c r="GH61" s="17"/>
      <c r="GI61" s="17"/>
      <c r="GJ61" s="17"/>
      <c r="GK61" s="17"/>
      <c r="GL61" s="17"/>
      <c r="GM61" s="17"/>
      <c r="GN61" s="17"/>
      <c r="GO61" s="17"/>
      <c r="GP61" s="17"/>
      <c r="GQ61" s="17"/>
      <c r="GR61" s="17"/>
      <c r="GS61" s="17"/>
      <c r="GT61" s="17"/>
      <c r="GU61" s="17"/>
      <c r="GV61" s="17"/>
      <c r="GW61" s="17"/>
      <c r="GX61" s="17"/>
      <c r="GY61" s="17"/>
      <c r="GZ61" s="17"/>
      <c r="HA61" s="17"/>
      <c r="HB61" s="17"/>
      <c r="HC61" s="17"/>
      <c r="HD61" s="17"/>
      <c r="HE61" s="17"/>
      <c r="HF61" s="17"/>
      <c r="HG61" s="17"/>
      <c r="HH61" s="17"/>
      <c r="HI61" s="17"/>
      <c r="HJ61" s="17"/>
      <c r="HK61" s="17"/>
      <c r="HL61" s="17"/>
      <c r="HM61" s="17"/>
      <c r="HN61" s="17"/>
      <c r="HO61" s="17"/>
      <c r="HP61" s="17"/>
      <c r="HQ61" s="17"/>
      <c r="HR61" s="17"/>
      <c r="HS61" s="17"/>
      <c r="HT61" s="17"/>
      <c r="HU61" s="17"/>
      <c r="HV61" s="17"/>
      <c r="HW61" s="17"/>
      <c r="HX61" s="17"/>
      <c r="HY61" s="17"/>
      <c r="HZ61" s="17"/>
      <c r="IA61" s="17"/>
      <c r="IB61" s="17"/>
      <c r="IC61" s="17"/>
      <c r="ID61" s="17"/>
      <c r="IE61" s="17"/>
      <c r="IF61" s="17"/>
      <c r="IG61" s="17"/>
      <c r="IH61" s="17"/>
      <c r="II61" s="17"/>
      <c r="IJ61" s="17"/>
      <c r="IK61" s="17"/>
      <c r="IL61" s="17"/>
      <c r="IM61" s="17"/>
      <c r="IN61" s="17"/>
      <c r="IO61" s="17"/>
      <c r="IP61" s="17"/>
      <c r="IQ61" s="17"/>
      <c r="IR61" s="17"/>
      <c r="IS61" s="17"/>
      <c r="IT61" s="17"/>
      <c r="IU61" s="17"/>
      <c r="IV61" s="17"/>
      <c r="IW61" s="17"/>
      <c r="IX61" s="17"/>
      <c r="IY61" s="17"/>
      <c r="IZ61" s="17"/>
      <c r="JA61" s="17"/>
      <c r="JB61" s="17"/>
      <c r="JC61" s="17"/>
      <c r="JD61" s="17"/>
      <c r="JE61" s="17"/>
      <c r="JF61" s="17"/>
      <c r="JG61" s="17"/>
      <c r="JH61" s="17"/>
      <c r="JI61" s="17"/>
      <c r="JJ61" s="17"/>
      <c r="JK61" s="17"/>
      <c r="JL61" s="17"/>
      <c r="JM61" s="17"/>
      <c r="JN61" s="17"/>
      <c r="JO61" s="17"/>
      <c r="JP61" s="17"/>
      <c r="JQ61" s="17"/>
      <c r="JR61" s="17"/>
      <c r="JS61" s="17"/>
      <c r="JT61" s="17"/>
      <c r="JU61" s="17"/>
      <c r="JV61" s="17"/>
      <c r="JW61" s="17"/>
      <c r="JX61" s="17"/>
      <c r="JY61" s="17"/>
      <c r="JZ61" s="17"/>
      <c r="KA61" s="17"/>
      <c r="KB61" s="17"/>
      <c r="KC61" s="17"/>
      <c r="KD61" s="17"/>
      <c r="KE61" s="17"/>
      <c r="KF61" s="17"/>
      <c r="KG61" s="17"/>
      <c r="KH61" s="17"/>
      <c r="KI61" s="17"/>
      <c r="KJ61" s="17"/>
      <c r="KK61" s="17"/>
      <c r="KL61" s="17"/>
      <c r="KM61" s="17"/>
      <c r="KN61" s="17"/>
      <c r="KO61" s="17"/>
      <c r="KP61" s="17"/>
      <c r="KQ61" s="17"/>
      <c r="KR61" s="17"/>
      <c r="KS61" s="17"/>
      <c r="KT61" s="17"/>
      <c r="KU61" s="17"/>
      <c r="KV61" s="17"/>
      <c r="KW61" s="17"/>
      <c r="KX61" s="17"/>
      <c r="KY61" s="17"/>
    </row>
    <row r="62" spans="1:311" x14ac:dyDescent="0.25">
      <c r="A62" s="17"/>
      <c r="B62" s="17"/>
      <c r="C62" s="17"/>
      <c r="D62" s="17"/>
      <c r="E62" s="17"/>
      <c r="F62" s="17"/>
      <c r="G62" s="17"/>
      <c r="H62" s="17"/>
      <c r="I62" s="17"/>
      <c r="J62" s="17"/>
      <c r="K62" s="17"/>
      <c r="L62" s="17"/>
      <c r="M62" s="17"/>
      <c r="N62" s="17"/>
      <c r="O62" s="17"/>
      <c r="P62" s="17"/>
      <c r="Q62" s="17"/>
      <c r="R62" s="17"/>
      <c r="S62" s="17"/>
      <c r="T62" s="17"/>
      <c r="U62" s="17"/>
      <c r="V62" s="17"/>
      <c r="W62" s="17"/>
      <c r="X62" s="17"/>
      <c r="Y62" s="17"/>
      <c r="Z62" s="17"/>
      <c r="AA62" s="17"/>
      <c r="AB62" s="17"/>
      <c r="AC62" s="17"/>
      <c r="AD62" s="17"/>
      <c r="AE62" s="17"/>
      <c r="AF62" s="17"/>
      <c r="AG62" s="17"/>
      <c r="AH62" s="17"/>
      <c r="AI62" s="17"/>
      <c r="AJ62" s="17"/>
      <c r="AK62" s="17"/>
      <c r="AL62" s="17"/>
      <c r="AM62" s="17"/>
      <c r="AN62" s="17"/>
      <c r="AO62" s="17"/>
      <c r="AP62" s="17"/>
      <c r="AQ62" s="17"/>
      <c r="AR62" s="17"/>
      <c r="AS62" s="17"/>
      <c r="AT62" s="17"/>
      <c r="AU62" s="17"/>
      <c r="AV62" s="17"/>
      <c r="AW62" s="17"/>
      <c r="AX62" s="17"/>
      <c r="AY62" s="17"/>
      <c r="AZ62" s="17"/>
      <c r="BA62" s="17"/>
      <c r="BB62" s="17"/>
      <c r="BC62" s="17"/>
      <c r="BD62" s="17"/>
      <c r="BE62" s="17"/>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17"/>
      <c r="CE62" s="17"/>
      <c r="CF62" s="17"/>
      <c r="CG62" s="17"/>
      <c r="CH62" s="17"/>
      <c r="CI62" s="17"/>
      <c r="CJ62" s="17"/>
      <c r="CK62" s="17"/>
      <c r="CL62" s="17"/>
      <c r="CM62" s="17"/>
      <c r="CN62" s="17"/>
      <c r="CO62" s="17"/>
      <c r="CP62" s="17"/>
      <c r="CQ62" s="17"/>
      <c r="CR62" s="17"/>
      <c r="CS62" s="17"/>
      <c r="CT62" s="17"/>
      <c r="CU62" s="17"/>
      <c r="CV62" s="17"/>
      <c r="CW62" s="17"/>
      <c r="CX62" s="17"/>
      <c r="CY62" s="17"/>
      <c r="CZ62" s="17"/>
      <c r="DA62" s="17"/>
      <c r="DB62" s="17"/>
      <c r="DC62" s="17"/>
      <c r="DD62" s="17"/>
      <c r="DE62" s="17"/>
      <c r="DF62" s="17"/>
      <c r="DG62" s="17"/>
      <c r="DH62" s="17"/>
      <c r="DI62" s="17"/>
      <c r="DJ62" s="17"/>
      <c r="DK62" s="17"/>
      <c r="DL62" s="17"/>
      <c r="DM62" s="17"/>
      <c r="DN62" s="17"/>
      <c r="DO62" s="17"/>
      <c r="DP62" s="17"/>
      <c r="DQ62" s="17"/>
      <c r="DR62" s="17"/>
      <c r="DS62" s="17"/>
      <c r="DT62" s="17"/>
      <c r="DU62" s="17"/>
      <c r="DV62" s="17"/>
      <c r="DW62" s="17"/>
      <c r="DX62" s="17"/>
      <c r="DY62" s="17"/>
      <c r="DZ62" s="17"/>
      <c r="EA62" s="17"/>
      <c r="EB62" s="17"/>
      <c r="EC62" s="17"/>
      <c r="ED62" s="17"/>
      <c r="EE62" s="17"/>
      <c r="EF62" s="17"/>
      <c r="EG62" s="17"/>
      <c r="EH62" s="17"/>
      <c r="EI62" s="17"/>
      <c r="EJ62" s="17"/>
      <c r="EK62" s="17"/>
      <c r="EL62" s="17"/>
      <c r="EM62" s="17"/>
      <c r="EN62" s="17"/>
      <c r="EO62" s="17"/>
      <c r="EP62" s="17"/>
      <c r="EQ62" s="17"/>
      <c r="ER62" s="17"/>
      <c r="ES62" s="17"/>
      <c r="ET62" s="17"/>
      <c r="EU62" s="17"/>
      <c r="EV62" s="17"/>
      <c r="EW62" s="17"/>
      <c r="EX62" s="17"/>
      <c r="EY62" s="17"/>
      <c r="EZ62" s="17"/>
      <c r="FA62" s="17"/>
      <c r="FB62" s="17"/>
      <c r="FC62" s="17"/>
      <c r="FD62" s="17"/>
      <c r="FE62" s="17"/>
      <c r="FF62" s="17"/>
      <c r="FG62" s="17"/>
      <c r="FH62" s="17"/>
      <c r="FI62" s="17"/>
      <c r="FJ62" s="17"/>
      <c r="FK62" s="17"/>
      <c r="FL62" s="17"/>
      <c r="FM62" s="17"/>
      <c r="FN62" s="17"/>
      <c r="FO62" s="17"/>
      <c r="FP62" s="17"/>
      <c r="FQ62" s="17"/>
      <c r="FR62" s="17"/>
      <c r="FS62" s="17"/>
      <c r="FT62" s="17"/>
      <c r="FU62" s="17"/>
      <c r="FV62" s="17"/>
      <c r="FW62" s="17"/>
      <c r="FX62" s="17"/>
      <c r="FY62" s="17"/>
      <c r="FZ62" s="17"/>
      <c r="GA62" s="17"/>
      <c r="GB62" s="17"/>
      <c r="GC62" s="17"/>
      <c r="GD62" s="17"/>
      <c r="GE62" s="17"/>
      <c r="GF62" s="17"/>
      <c r="GG62" s="17"/>
      <c r="GH62" s="17"/>
      <c r="GI62" s="17"/>
      <c r="GJ62" s="17"/>
      <c r="GK62" s="17"/>
      <c r="GL62" s="17"/>
      <c r="GM62" s="17"/>
      <c r="GN62" s="17"/>
      <c r="GO62" s="17"/>
      <c r="GP62" s="17"/>
      <c r="GQ62" s="17"/>
      <c r="GR62" s="17"/>
      <c r="GS62" s="17"/>
      <c r="GT62" s="17"/>
      <c r="GU62" s="17"/>
      <c r="GV62" s="17"/>
      <c r="GW62" s="17"/>
      <c r="GX62" s="17"/>
      <c r="GY62" s="17"/>
      <c r="GZ62" s="17"/>
      <c r="HA62" s="17"/>
      <c r="HB62" s="17"/>
      <c r="HC62" s="17"/>
      <c r="HD62" s="17"/>
      <c r="HE62" s="17"/>
      <c r="HF62" s="17"/>
      <c r="HG62" s="17"/>
      <c r="HH62" s="17"/>
      <c r="HI62" s="17"/>
      <c r="HJ62" s="17"/>
      <c r="HK62" s="17"/>
      <c r="HL62" s="17"/>
      <c r="HM62" s="17"/>
      <c r="HN62" s="17"/>
      <c r="HO62" s="17"/>
      <c r="HP62" s="17"/>
      <c r="HQ62" s="17"/>
      <c r="HR62" s="17"/>
      <c r="HS62" s="17"/>
      <c r="HT62" s="17"/>
      <c r="HU62" s="17"/>
      <c r="HV62" s="17"/>
      <c r="HW62" s="17"/>
      <c r="HX62" s="17"/>
      <c r="HY62" s="17"/>
      <c r="HZ62" s="17"/>
      <c r="IA62" s="17"/>
      <c r="IB62" s="17"/>
      <c r="IC62" s="17"/>
      <c r="ID62" s="17"/>
      <c r="IE62" s="17"/>
      <c r="IF62" s="17"/>
      <c r="IG62" s="17"/>
      <c r="IH62" s="17"/>
      <c r="II62" s="17"/>
      <c r="IJ62" s="17"/>
      <c r="IK62" s="17"/>
      <c r="IL62" s="17"/>
      <c r="IM62" s="17"/>
      <c r="IN62" s="17"/>
      <c r="IO62" s="17"/>
      <c r="IP62" s="17"/>
      <c r="IQ62" s="17"/>
      <c r="IR62" s="17"/>
      <c r="IS62" s="17"/>
      <c r="IT62" s="17"/>
      <c r="IU62" s="17"/>
      <c r="IV62" s="17"/>
      <c r="IW62" s="17"/>
      <c r="IX62" s="17"/>
      <c r="IY62" s="17"/>
      <c r="IZ62" s="17"/>
      <c r="JA62" s="17"/>
      <c r="JB62" s="17"/>
      <c r="JC62" s="17"/>
      <c r="JD62" s="17"/>
      <c r="JE62" s="17"/>
      <c r="JF62" s="17"/>
      <c r="JG62" s="17"/>
      <c r="JH62" s="17"/>
      <c r="JI62" s="17"/>
      <c r="JJ62" s="17"/>
      <c r="JK62" s="17"/>
      <c r="JL62" s="17"/>
      <c r="JM62" s="17"/>
      <c r="JN62" s="17"/>
      <c r="JO62" s="17"/>
      <c r="JP62" s="17"/>
      <c r="JQ62" s="17"/>
      <c r="JR62" s="17"/>
      <c r="JS62" s="17"/>
      <c r="JT62" s="17"/>
      <c r="JU62" s="17"/>
      <c r="JV62" s="17"/>
      <c r="JW62" s="17"/>
      <c r="JX62" s="17"/>
      <c r="JY62" s="17"/>
      <c r="JZ62" s="17"/>
      <c r="KA62" s="17"/>
      <c r="KB62" s="17"/>
      <c r="KC62" s="17"/>
      <c r="KD62" s="17"/>
      <c r="KE62" s="17"/>
      <c r="KF62" s="17"/>
      <c r="KG62" s="17"/>
      <c r="KH62" s="17"/>
      <c r="KI62" s="17"/>
      <c r="KJ62" s="17"/>
      <c r="KK62" s="17"/>
      <c r="KL62" s="17"/>
      <c r="KM62" s="17"/>
      <c r="KN62" s="17"/>
      <c r="KO62" s="17"/>
      <c r="KP62" s="17"/>
      <c r="KQ62" s="17"/>
      <c r="KR62" s="17"/>
      <c r="KS62" s="17"/>
      <c r="KT62" s="17"/>
      <c r="KU62" s="17"/>
      <c r="KV62" s="17"/>
      <c r="KW62" s="17"/>
      <c r="KX62" s="17"/>
      <c r="KY62" s="17"/>
    </row>
    <row r="63" spans="1:311" x14ac:dyDescent="0.25">
      <c r="A63" s="17"/>
      <c r="B63" s="17"/>
      <c r="C63" s="17"/>
      <c r="D63" s="17"/>
      <c r="E63" s="17"/>
      <c r="F63" s="17"/>
      <c r="G63" s="17"/>
      <c r="H63" s="17"/>
      <c r="I63" s="17"/>
      <c r="J63" s="17"/>
      <c r="K63" s="17"/>
      <c r="L63" s="17"/>
      <c r="M63" s="17"/>
      <c r="N63" s="17"/>
      <c r="O63" s="17"/>
      <c r="P63" s="17"/>
      <c r="Q63" s="17"/>
      <c r="R63" s="17"/>
      <c r="S63" s="17"/>
      <c r="T63" s="17"/>
      <c r="U63" s="17"/>
      <c r="V63" s="17"/>
      <c r="W63" s="17"/>
      <c r="X63" s="17"/>
      <c r="Y63" s="17"/>
      <c r="Z63" s="17"/>
      <c r="AA63" s="17"/>
      <c r="AB63" s="17"/>
      <c r="AC63" s="17"/>
      <c r="AD63" s="17"/>
      <c r="AE63" s="17"/>
      <c r="AF63" s="17"/>
      <c r="AG63" s="17"/>
      <c r="AH63" s="17"/>
      <c r="AI63" s="17"/>
      <c r="AJ63" s="17"/>
      <c r="AK63" s="17"/>
      <c r="AL63" s="17"/>
      <c r="AM63" s="17"/>
      <c r="AN63" s="17"/>
      <c r="AO63" s="17"/>
      <c r="AP63" s="17"/>
      <c r="AQ63" s="17"/>
      <c r="AR63" s="17"/>
      <c r="AS63" s="17"/>
      <c r="AT63" s="17"/>
      <c r="AU63" s="17"/>
      <c r="AV63" s="17"/>
      <c r="AW63" s="17"/>
      <c r="AX63" s="17"/>
      <c r="AY63" s="17"/>
      <c r="AZ63" s="17"/>
      <c r="BA63" s="17"/>
      <c r="BB63" s="17"/>
      <c r="BC63" s="17"/>
      <c r="BD63" s="17"/>
      <c r="BE63" s="17"/>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17"/>
      <c r="CE63" s="17"/>
      <c r="CF63" s="17"/>
      <c r="CG63" s="17"/>
      <c r="CH63" s="17"/>
      <c r="CI63" s="17"/>
      <c r="CJ63" s="17"/>
      <c r="CK63" s="17"/>
      <c r="CL63" s="17"/>
      <c r="CM63" s="17"/>
      <c r="CN63" s="17"/>
      <c r="CO63" s="17"/>
      <c r="CP63" s="17"/>
      <c r="CQ63" s="17"/>
      <c r="CR63" s="17"/>
      <c r="CS63" s="17"/>
      <c r="CT63" s="17"/>
      <c r="CU63" s="17"/>
      <c r="CV63" s="17"/>
      <c r="CW63" s="17"/>
      <c r="CX63" s="17"/>
      <c r="CY63" s="17"/>
      <c r="CZ63" s="17"/>
      <c r="DA63" s="17"/>
      <c r="DB63" s="17"/>
      <c r="DC63" s="17"/>
      <c r="DD63" s="17"/>
      <c r="DE63" s="17"/>
      <c r="DF63" s="17"/>
      <c r="DG63" s="17"/>
      <c r="DH63" s="17"/>
      <c r="DI63" s="17"/>
      <c r="DJ63" s="17"/>
      <c r="DK63" s="17"/>
      <c r="DL63" s="17"/>
      <c r="DM63" s="17"/>
      <c r="DN63" s="17"/>
      <c r="DO63" s="17"/>
      <c r="DP63" s="17"/>
      <c r="DQ63" s="17"/>
      <c r="DR63" s="17"/>
      <c r="DS63" s="17"/>
      <c r="DT63" s="17"/>
      <c r="DU63" s="17"/>
      <c r="DV63" s="17"/>
      <c r="DW63" s="17"/>
      <c r="DX63" s="17"/>
      <c r="DY63" s="17"/>
      <c r="DZ63" s="17"/>
      <c r="EA63" s="17"/>
      <c r="EB63" s="17"/>
      <c r="EC63" s="17"/>
      <c r="ED63" s="17"/>
      <c r="EE63" s="17"/>
      <c r="EF63" s="17"/>
      <c r="EG63" s="17"/>
      <c r="EH63" s="17"/>
      <c r="EI63" s="17"/>
      <c r="EJ63" s="17"/>
      <c r="EK63" s="17"/>
      <c r="EL63" s="17"/>
      <c r="EM63" s="17"/>
      <c r="EN63" s="17"/>
      <c r="EO63" s="17"/>
      <c r="EP63" s="17"/>
      <c r="EQ63" s="17"/>
      <c r="ER63" s="17"/>
      <c r="ES63" s="17"/>
      <c r="ET63" s="17"/>
      <c r="EU63" s="17"/>
      <c r="EV63" s="17"/>
      <c r="EW63" s="17"/>
      <c r="EX63" s="17"/>
      <c r="EY63" s="17"/>
      <c r="EZ63" s="17"/>
      <c r="FA63" s="17"/>
      <c r="FB63" s="17"/>
      <c r="FC63" s="17"/>
      <c r="FD63" s="17"/>
      <c r="FE63" s="17"/>
      <c r="FF63" s="17"/>
      <c r="FG63" s="17"/>
      <c r="FH63" s="17"/>
      <c r="FI63" s="17"/>
      <c r="FJ63" s="17"/>
      <c r="FK63" s="17"/>
      <c r="FL63" s="17"/>
      <c r="FM63" s="17"/>
      <c r="FN63" s="17"/>
      <c r="FO63" s="17"/>
      <c r="FP63" s="17"/>
      <c r="FQ63" s="17"/>
      <c r="FR63" s="17"/>
      <c r="FS63" s="17"/>
      <c r="FT63" s="17"/>
      <c r="FU63" s="17"/>
      <c r="FV63" s="17"/>
      <c r="FW63" s="17"/>
      <c r="FX63" s="17"/>
      <c r="FY63" s="17"/>
      <c r="FZ63" s="17"/>
      <c r="GA63" s="17"/>
      <c r="GB63" s="17"/>
      <c r="GC63" s="17"/>
      <c r="GD63" s="17"/>
      <c r="GE63" s="17"/>
      <c r="GF63" s="17"/>
      <c r="GG63" s="17"/>
      <c r="GH63" s="17"/>
      <c r="GI63" s="17"/>
      <c r="GJ63" s="17"/>
      <c r="GK63" s="17"/>
      <c r="GL63" s="17"/>
      <c r="GM63" s="17"/>
      <c r="GN63" s="17"/>
      <c r="GO63" s="17"/>
      <c r="GP63" s="17"/>
      <c r="GQ63" s="17"/>
      <c r="GR63" s="17"/>
      <c r="GS63" s="17"/>
      <c r="GT63" s="17"/>
      <c r="GU63" s="17"/>
      <c r="GV63" s="17"/>
      <c r="GW63" s="17"/>
      <c r="GX63" s="17"/>
      <c r="GY63" s="17"/>
      <c r="GZ63" s="17"/>
      <c r="HA63" s="17"/>
      <c r="HB63" s="17"/>
      <c r="HC63" s="17"/>
      <c r="HD63" s="17"/>
      <c r="HE63" s="17"/>
      <c r="HF63" s="17"/>
      <c r="HG63" s="17"/>
      <c r="HH63" s="17"/>
      <c r="HI63" s="17"/>
      <c r="HJ63" s="17"/>
      <c r="HK63" s="17"/>
      <c r="HL63" s="17"/>
      <c r="HM63" s="17"/>
      <c r="HN63" s="17"/>
      <c r="HO63" s="17"/>
      <c r="HP63" s="17"/>
      <c r="HQ63" s="17"/>
      <c r="HR63" s="17"/>
      <c r="HS63" s="17"/>
      <c r="HT63" s="17"/>
      <c r="HU63" s="17"/>
      <c r="HV63" s="17"/>
      <c r="HW63" s="17"/>
      <c r="HX63" s="17"/>
      <c r="HY63" s="17"/>
      <c r="HZ63" s="17"/>
      <c r="IA63" s="17"/>
      <c r="IB63" s="17"/>
      <c r="IC63" s="17"/>
      <c r="ID63" s="17"/>
      <c r="IE63" s="17"/>
      <c r="IF63" s="17"/>
      <c r="IG63" s="17"/>
      <c r="IH63" s="17"/>
      <c r="II63" s="17"/>
      <c r="IJ63" s="17"/>
      <c r="IK63" s="17"/>
      <c r="IL63" s="17"/>
      <c r="IM63" s="17"/>
      <c r="IN63" s="17"/>
      <c r="IO63" s="17"/>
      <c r="IP63" s="17"/>
      <c r="IQ63" s="17"/>
      <c r="IR63" s="17"/>
      <c r="IS63" s="17"/>
      <c r="IT63" s="17"/>
      <c r="IU63" s="17"/>
      <c r="IV63" s="17"/>
      <c r="IW63" s="17"/>
      <c r="IX63" s="17"/>
      <c r="IY63" s="17"/>
      <c r="IZ63" s="17"/>
      <c r="JA63" s="17"/>
      <c r="JB63" s="17"/>
      <c r="JC63" s="17"/>
      <c r="JD63" s="17"/>
      <c r="JE63" s="17"/>
      <c r="JF63" s="17"/>
      <c r="JG63" s="17"/>
      <c r="JH63" s="17"/>
      <c r="JI63" s="17"/>
      <c r="JJ63" s="17"/>
      <c r="JK63" s="17"/>
      <c r="JL63" s="17"/>
      <c r="JM63" s="17"/>
      <c r="JN63" s="17"/>
      <c r="JO63" s="17"/>
      <c r="JP63" s="17"/>
      <c r="JQ63" s="17"/>
      <c r="JR63" s="17"/>
      <c r="JS63" s="17"/>
      <c r="JT63" s="17"/>
      <c r="JU63" s="17"/>
      <c r="JV63" s="17"/>
      <c r="JW63" s="17"/>
      <c r="JX63" s="17"/>
      <c r="JY63" s="17"/>
      <c r="JZ63" s="17"/>
      <c r="KA63" s="17"/>
      <c r="KB63" s="17"/>
      <c r="KC63" s="17"/>
      <c r="KD63" s="17"/>
      <c r="KE63" s="17"/>
      <c r="KF63" s="17"/>
      <c r="KG63" s="17"/>
      <c r="KH63" s="17"/>
      <c r="KI63" s="17"/>
      <c r="KJ63" s="17"/>
      <c r="KK63" s="17"/>
      <c r="KL63" s="17"/>
      <c r="KM63" s="17"/>
      <c r="KN63" s="17"/>
      <c r="KO63" s="17"/>
      <c r="KP63" s="17"/>
      <c r="KQ63" s="17"/>
      <c r="KR63" s="17"/>
      <c r="KS63" s="17"/>
      <c r="KT63" s="17"/>
      <c r="KU63" s="17"/>
      <c r="KV63" s="17"/>
      <c r="KW63" s="17"/>
      <c r="KX63" s="17"/>
      <c r="KY63" s="17"/>
    </row>
    <row r="64" spans="1:311" x14ac:dyDescent="0.25">
      <c r="A64" s="17"/>
      <c r="B64" s="17"/>
      <c r="C64" s="17"/>
      <c r="D64" s="17"/>
      <c r="E64" s="17"/>
      <c r="F64" s="17"/>
      <c r="G64" s="17"/>
      <c r="H64" s="17"/>
      <c r="I64" s="17"/>
      <c r="J64" s="17"/>
      <c r="K64" s="17"/>
      <c r="L64" s="17"/>
      <c r="M64" s="17"/>
      <c r="N64" s="17"/>
      <c r="O64" s="17"/>
      <c r="P64" s="17"/>
      <c r="Q64" s="17"/>
      <c r="R64" s="17"/>
      <c r="S64" s="17"/>
      <c r="T64" s="17"/>
      <c r="U64" s="17"/>
      <c r="V64" s="17"/>
      <c r="W64" s="17"/>
      <c r="X64" s="17"/>
      <c r="Y64" s="17"/>
      <c r="Z64" s="17"/>
      <c r="AA64" s="17"/>
      <c r="AB64" s="17"/>
      <c r="AC64" s="17"/>
      <c r="AD64" s="17"/>
      <c r="AE64" s="17"/>
      <c r="AF64" s="17"/>
      <c r="AG64" s="17"/>
      <c r="AH64" s="17"/>
      <c r="AI64" s="17"/>
      <c r="AJ64" s="17"/>
      <c r="AK64" s="17"/>
      <c r="AL64" s="17"/>
      <c r="AM64" s="17"/>
      <c r="AN64" s="17"/>
      <c r="AO64" s="17"/>
      <c r="AP64" s="17"/>
      <c r="AQ64" s="17"/>
      <c r="AR64" s="17"/>
      <c r="AS64" s="17"/>
      <c r="AT64" s="17"/>
      <c r="AU64" s="17"/>
      <c r="AV64" s="17"/>
      <c r="AW64" s="17"/>
      <c r="AX64" s="17"/>
      <c r="AY64" s="17"/>
      <c r="AZ64" s="17"/>
      <c r="BA64" s="17"/>
      <c r="BB64" s="17"/>
      <c r="BC64" s="17"/>
      <c r="BD64" s="17"/>
      <c r="BE64" s="17"/>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17"/>
      <c r="CE64" s="17"/>
      <c r="CF64" s="17"/>
      <c r="CG64" s="17"/>
      <c r="CH64" s="17"/>
      <c r="CI64" s="17"/>
      <c r="CJ64" s="17"/>
      <c r="CK64" s="17"/>
      <c r="CL64" s="17"/>
      <c r="CM64" s="17"/>
      <c r="CN64" s="17"/>
      <c r="CO64" s="17"/>
      <c r="CP64" s="17"/>
      <c r="CQ64" s="17"/>
      <c r="CR64" s="17"/>
      <c r="CS64" s="17"/>
      <c r="CT64" s="17"/>
      <c r="CU64" s="17"/>
      <c r="CV64" s="17"/>
      <c r="CW64" s="17"/>
      <c r="CX64" s="17"/>
      <c r="CY64" s="17"/>
      <c r="CZ64" s="17"/>
      <c r="DA64" s="17"/>
      <c r="DB64" s="17"/>
      <c r="DC64" s="17"/>
      <c r="DD64" s="17"/>
      <c r="DE64" s="17"/>
      <c r="DF64" s="17"/>
      <c r="DG64" s="17"/>
      <c r="DH64" s="17"/>
      <c r="DI64" s="17"/>
      <c r="DJ64" s="17"/>
      <c r="DK64" s="17"/>
      <c r="DL64" s="17"/>
      <c r="DM64" s="17"/>
      <c r="DN64" s="17"/>
      <c r="DO64" s="17"/>
      <c r="DP64" s="17"/>
      <c r="DQ64" s="17"/>
      <c r="DR64" s="17"/>
      <c r="DS64" s="17"/>
      <c r="DT64" s="17"/>
      <c r="DU64" s="17"/>
      <c r="DV64" s="17"/>
      <c r="DW64" s="17"/>
      <c r="DX64" s="17"/>
      <c r="DY64" s="17"/>
      <c r="DZ64" s="17"/>
      <c r="EA64" s="17"/>
      <c r="EB64" s="17"/>
      <c r="EC64" s="17"/>
      <c r="ED64" s="17"/>
      <c r="EE64" s="17"/>
      <c r="EF64" s="17"/>
      <c r="EG64" s="17"/>
      <c r="EH64" s="17"/>
      <c r="EI64" s="17"/>
      <c r="EJ64" s="17"/>
      <c r="EK64" s="17"/>
      <c r="EL64" s="17"/>
      <c r="EM64" s="17"/>
      <c r="EN64" s="17"/>
      <c r="EO64" s="17"/>
      <c r="EP64" s="17"/>
      <c r="EQ64" s="17"/>
      <c r="ER64" s="17"/>
      <c r="ES64" s="17"/>
      <c r="ET64" s="17"/>
      <c r="EU64" s="17"/>
      <c r="EV64" s="17"/>
      <c r="EW64" s="17"/>
      <c r="EX64" s="17"/>
      <c r="EY64" s="17"/>
      <c r="EZ64" s="17"/>
      <c r="FA64" s="17"/>
      <c r="FB64" s="17"/>
      <c r="FC64" s="17"/>
      <c r="FD64" s="17"/>
      <c r="FE64" s="17"/>
      <c r="FF64" s="17"/>
      <c r="FG64" s="17"/>
      <c r="FH64" s="17"/>
      <c r="FI64" s="17"/>
      <c r="FJ64" s="17"/>
      <c r="FK64" s="17"/>
      <c r="FL64" s="17"/>
      <c r="FM64" s="17"/>
      <c r="FN64" s="17"/>
      <c r="FO64" s="17"/>
      <c r="FP64" s="17"/>
      <c r="FQ64" s="17"/>
      <c r="FR64" s="17"/>
      <c r="FS64" s="17"/>
      <c r="FT64" s="17"/>
      <c r="FU64" s="17"/>
      <c r="FV64" s="17"/>
      <c r="FW64" s="17"/>
      <c r="FX64" s="17"/>
      <c r="FY64" s="17"/>
      <c r="FZ64" s="17"/>
      <c r="GA64" s="17"/>
      <c r="GB64" s="17"/>
      <c r="GC64" s="17"/>
      <c r="GD64" s="17"/>
      <c r="GE64" s="17"/>
      <c r="GF64" s="17"/>
      <c r="GG64" s="17"/>
      <c r="GH64" s="17"/>
      <c r="GI64" s="17"/>
      <c r="GJ64" s="17"/>
      <c r="GK64" s="17"/>
      <c r="GL64" s="17"/>
      <c r="GM64" s="17"/>
      <c r="GN64" s="17"/>
      <c r="GO64" s="17"/>
      <c r="GP64" s="17"/>
      <c r="GQ64" s="17"/>
      <c r="GR64" s="17"/>
      <c r="GS64" s="17"/>
      <c r="GT64" s="17"/>
      <c r="GU64" s="17"/>
      <c r="GV64" s="17"/>
      <c r="GW64" s="17"/>
      <c r="GX64" s="17"/>
      <c r="GY64" s="17"/>
      <c r="GZ64" s="17"/>
      <c r="HA64" s="17"/>
      <c r="HB64" s="17"/>
      <c r="HC64" s="17"/>
      <c r="HD64" s="17"/>
      <c r="HE64" s="17"/>
      <c r="HF64" s="17"/>
      <c r="HG64" s="17"/>
      <c r="HH64" s="17"/>
      <c r="HI64" s="17"/>
      <c r="HJ64" s="17"/>
      <c r="HK64" s="17"/>
      <c r="HL64" s="17"/>
      <c r="HM64" s="17"/>
      <c r="HN64" s="17"/>
      <c r="HO64" s="17"/>
      <c r="HP64" s="17"/>
      <c r="HQ64" s="17"/>
      <c r="HR64" s="17"/>
      <c r="HS64" s="17"/>
      <c r="HT64" s="17"/>
      <c r="HU64" s="17"/>
      <c r="HV64" s="17"/>
      <c r="HW64" s="17"/>
      <c r="HX64" s="17"/>
      <c r="HY64" s="17"/>
      <c r="HZ64" s="17"/>
      <c r="IA64" s="17"/>
      <c r="IB64" s="17"/>
      <c r="IC64" s="17"/>
      <c r="ID64" s="17"/>
      <c r="IE64" s="17"/>
      <c r="IF64" s="17"/>
      <c r="IG64" s="17"/>
      <c r="IH64" s="17"/>
      <c r="II64" s="17"/>
      <c r="IJ64" s="17"/>
      <c r="IK64" s="17"/>
      <c r="IL64" s="17"/>
      <c r="IM64" s="17"/>
      <c r="IN64" s="17"/>
      <c r="IO64" s="17"/>
      <c r="IP64" s="17"/>
      <c r="IQ64" s="17"/>
      <c r="IR64" s="17"/>
      <c r="IS64" s="17"/>
      <c r="IT64" s="17"/>
      <c r="IU64" s="17"/>
      <c r="IV64" s="17"/>
      <c r="IW64" s="17"/>
      <c r="IX64" s="17"/>
      <c r="IY64" s="17"/>
      <c r="IZ64" s="17"/>
      <c r="JA64" s="17"/>
      <c r="JB64" s="17"/>
      <c r="JC64" s="17"/>
      <c r="JD64" s="17"/>
      <c r="JE64" s="17"/>
      <c r="JF64" s="17"/>
      <c r="JG64" s="17"/>
      <c r="JH64" s="17"/>
      <c r="JI64" s="17"/>
      <c r="JJ64" s="17"/>
      <c r="JK64" s="17"/>
      <c r="JL64" s="17"/>
      <c r="JM64" s="17"/>
      <c r="JN64" s="17"/>
      <c r="JO64" s="17"/>
      <c r="JP64" s="17"/>
      <c r="JQ64" s="17"/>
      <c r="JR64" s="17"/>
      <c r="JS64" s="17"/>
      <c r="JT64" s="17"/>
      <c r="JU64" s="17"/>
      <c r="JV64" s="17"/>
      <c r="JW64" s="17"/>
      <c r="JX64" s="17"/>
      <c r="JY64" s="17"/>
      <c r="JZ64" s="17"/>
      <c r="KA64" s="17"/>
      <c r="KB64" s="17"/>
      <c r="KC64" s="17"/>
      <c r="KD64" s="17"/>
      <c r="KE64" s="17"/>
      <c r="KF64" s="17"/>
      <c r="KG64" s="17"/>
      <c r="KH64" s="17"/>
      <c r="KI64" s="17"/>
      <c r="KJ64" s="17"/>
      <c r="KK64" s="17"/>
      <c r="KL64" s="17"/>
      <c r="KM64" s="17"/>
      <c r="KN64" s="17"/>
      <c r="KO64" s="17"/>
      <c r="KP64" s="17"/>
      <c r="KQ64" s="17"/>
      <c r="KR64" s="17"/>
      <c r="KS64" s="17"/>
      <c r="KT64" s="17"/>
      <c r="KU64" s="17"/>
      <c r="KV64" s="17"/>
      <c r="KW64" s="17"/>
      <c r="KX64" s="17"/>
      <c r="KY64" s="17"/>
    </row>
    <row r="65" spans="1:311" x14ac:dyDescent="0.25">
      <c r="A65" s="17"/>
      <c r="B65" s="17"/>
      <c r="C65" s="17"/>
      <c r="D65" s="17"/>
      <c r="E65" s="17"/>
      <c r="F65" s="17"/>
      <c r="G65" s="17"/>
      <c r="H65" s="17"/>
      <c r="I65" s="17"/>
      <c r="J65" s="17"/>
      <c r="K65" s="17"/>
      <c r="L65" s="17"/>
      <c r="M65" s="17"/>
      <c r="N65" s="17"/>
      <c r="O65" s="17"/>
      <c r="P65" s="17"/>
      <c r="Q65" s="17"/>
      <c r="R65" s="17"/>
      <c r="S65" s="17"/>
      <c r="T65" s="17"/>
      <c r="U65" s="17"/>
      <c r="V65" s="17"/>
      <c r="W65" s="17"/>
      <c r="X65" s="17"/>
      <c r="Y65" s="17"/>
      <c r="Z65" s="17"/>
      <c r="AA65" s="17"/>
      <c r="AB65" s="17"/>
      <c r="AC65" s="17"/>
      <c r="AD65" s="17"/>
      <c r="AE65" s="17"/>
      <c r="AF65" s="17"/>
      <c r="AG65" s="17"/>
      <c r="AH65" s="17"/>
      <c r="AI65" s="17"/>
      <c r="AJ65" s="17"/>
      <c r="AK65" s="17"/>
      <c r="AL65" s="17"/>
      <c r="AM65" s="17"/>
      <c r="AN65" s="17"/>
      <c r="AO65" s="17"/>
      <c r="AP65" s="17"/>
      <c r="AQ65" s="17"/>
      <c r="AR65" s="17"/>
      <c r="AS65" s="17"/>
      <c r="AT65" s="17"/>
      <c r="AU65" s="17"/>
      <c r="AV65" s="17"/>
      <c r="AW65" s="17"/>
      <c r="AX65" s="17"/>
      <c r="AY65" s="17"/>
      <c r="AZ65" s="17"/>
      <c r="BA65" s="17"/>
      <c r="BB65" s="17"/>
      <c r="BC65" s="17"/>
      <c r="BD65" s="17"/>
      <c r="BE65" s="17"/>
      <c r="BF65" s="17"/>
      <c r="BG65" s="17"/>
      <c r="BH65" s="17"/>
      <c r="BI65" s="17"/>
      <c r="BJ65" s="17"/>
      <c r="BK65" s="17"/>
      <c r="BL65" s="17"/>
      <c r="BM65" s="17"/>
      <c r="BN65" s="17"/>
      <c r="BO65" s="17"/>
      <c r="BP65" s="17"/>
      <c r="BQ65" s="17"/>
      <c r="BR65" s="17"/>
      <c r="BS65" s="17"/>
      <c r="BT65" s="17"/>
      <c r="BU65" s="17"/>
      <c r="BV65" s="17"/>
      <c r="BW65" s="17"/>
      <c r="BX65" s="17"/>
      <c r="BY65" s="17"/>
      <c r="BZ65" s="17"/>
      <c r="CA65" s="17"/>
      <c r="CB65" s="17"/>
      <c r="CC65" s="17"/>
      <c r="CD65" s="17"/>
      <c r="CE65" s="17"/>
      <c r="CF65" s="17"/>
      <c r="CG65" s="17"/>
      <c r="CH65" s="17"/>
      <c r="CI65" s="17"/>
      <c r="CJ65" s="17"/>
      <c r="CK65" s="17"/>
      <c r="CL65" s="17"/>
      <c r="CM65" s="17"/>
      <c r="CN65" s="17"/>
      <c r="CO65" s="17"/>
      <c r="CP65" s="17"/>
      <c r="CQ65" s="17"/>
      <c r="CR65" s="17"/>
      <c r="CS65" s="17"/>
      <c r="CT65" s="17"/>
      <c r="CU65" s="17"/>
      <c r="CV65" s="17"/>
      <c r="CW65" s="17"/>
      <c r="CX65" s="17"/>
      <c r="CY65" s="17"/>
      <c r="CZ65" s="17"/>
      <c r="DA65" s="17"/>
      <c r="DB65" s="17"/>
      <c r="DC65" s="17"/>
      <c r="DD65" s="17"/>
      <c r="DE65" s="17"/>
      <c r="DF65" s="17"/>
      <c r="DG65" s="17"/>
      <c r="DH65" s="17"/>
      <c r="DI65" s="17"/>
      <c r="DJ65" s="17"/>
      <c r="DK65" s="17"/>
      <c r="DL65" s="17"/>
      <c r="DM65" s="17"/>
      <c r="DN65" s="17"/>
      <c r="DO65" s="17"/>
      <c r="DP65" s="17"/>
      <c r="DQ65" s="17"/>
      <c r="DR65" s="17"/>
      <c r="DS65" s="17"/>
      <c r="DT65" s="17"/>
      <c r="DU65" s="17"/>
      <c r="DV65" s="17"/>
      <c r="DW65" s="17"/>
      <c r="DX65" s="17"/>
      <c r="DY65" s="17"/>
      <c r="DZ65" s="17"/>
      <c r="EA65" s="17"/>
      <c r="EB65" s="17"/>
      <c r="EC65" s="17"/>
      <c r="ED65" s="17"/>
      <c r="EE65" s="17"/>
      <c r="EF65" s="17"/>
      <c r="EG65" s="17"/>
      <c r="EH65" s="17"/>
      <c r="EI65" s="17"/>
      <c r="EJ65" s="17"/>
      <c r="EK65" s="17"/>
      <c r="EL65" s="17"/>
      <c r="EM65" s="17"/>
      <c r="EN65" s="17"/>
      <c r="EO65" s="17"/>
      <c r="EP65" s="17"/>
      <c r="EQ65" s="17"/>
      <c r="ER65" s="17"/>
      <c r="ES65" s="17"/>
      <c r="ET65" s="17"/>
      <c r="EU65" s="17"/>
      <c r="EV65" s="17"/>
      <c r="EW65" s="17"/>
      <c r="EX65" s="17"/>
      <c r="EY65" s="17"/>
      <c r="EZ65" s="17"/>
      <c r="FA65" s="17"/>
      <c r="FB65" s="17"/>
      <c r="FC65" s="17"/>
      <c r="FD65" s="17"/>
      <c r="FE65" s="17"/>
      <c r="FF65" s="17"/>
      <c r="FG65" s="17"/>
      <c r="FH65" s="17"/>
      <c r="FI65" s="17"/>
      <c r="FJ65" s="17"/>
      <c r="FK65" s="17"/>
      <c r="FL65" s="17"/>
      <c r="FM65" s="17"/>
      <c r="FN65" s="17"/>
      <c r="FO65" s="17"/>
      <c r="FP65" s="17"/>
      <c r="FQ65" s="17"/>
      <c r="FR65" s="17"/>
      <c r="FS65" s="17"/>
      <c r="FT65" s="17"/>
      <c r="FU65" s="17"/>
      <c r="FV65" s="17"/>
      <c r="FW65" s="17"/>
      <c r="FX65" s="17"/>
      <c r="FY65" s="17"/>
      <c r="FZ65" s="17"/>
      <c r="GA65" s="17"/>
      <c r="GB65" s="17"/>
      <c r="GC65" s="17"/>
      <c r="GD65" s="17"/>
      <c r="GE65" s="17"/>
      <c r="GF65" s="17"/>
      <c r="GG65" s="17"/>
      <c r="GH65" s="17"/>
      <c r="GI65" s="17"/>
      <c r="GJ65" s="17"/>
      <c r="GK65" s="17"/>
      <c r="GL65" s="17"/>
      <c r="GM65" s="17"/>
      <c r="GN65" s="17"/>
      <c r="GO65" s="17"/>
      <c r="GP65" s="17"/>
      <c r="GQ65" s="17"/>
      <c r="GR65" s="17"/>
      <c r="GS65" s="17"/>
      <c r="GT65" s="17"/>
      <c r="GU65" s="17"/>
      <c r="GV65" s="17"/>
      <c r="GW65" s="17"/>
      <c r="GX65" s="17"/>
      <c r="GY65" s="17"/>
      <c r="GZ65" s="17"/>
      <c r="HA65" s="17"/>
      <c r="HB65" s="17"/>
      <c r="HC65" s="17"/>
      <c r="HD65" s="17"/>
      <c r="HE65" s="17"/>
      <c r="HF65" s="17"/>
      <c r="HG65" s="17"/>
      <c r="HH65" s="17"/>
      <c r="HI65" s="17"/>
      <c r="HJ65" s="17"/>
      <c r="HK65" s="17"/>
      <c r="HL65" s="17"/>
      <c r="HM65" s="17"/>
      <c r="HN65" s="17"/>
      <c r="HO65" s="17"/>
      <c r="HP65" s="17"/>
      <c r="HQ65" s="17"/>
      <c r="HR65" s="17"/>
      <c r="HS65" s="17"/>
      <c r="HT65" s="17"/>
      <c r="HU65" s="17"/>
      <c r="HV65" s="17"/>
      <c r="HW65" s="17"/>
      <c r="HX65" s="17"/>
      <c r="HY65" s="17"/>
      <c r="HZ65" s="17"/>
      <c r="IA65" s="17"/>
      <c r="IB65" s="17"/>
      <c r="IC65" s="17"/>
      <c r="ID65" s="17"/>
      <c r="IE65" s="17"/>
      <c r="IF65" s="17"/>
      <c r="IG65" s="17"/>
      <c r="IH65" s="17"/>
      <c r="II65" s="17"/>
      <c r="IJ65" s="17"/>
      <c r="IK65" s="17"/>
      <c r="IL65" s="17"/>
      <c r="IM65" s="17"/>
      <c r="IN65" s="17"/>
      <c r="IO65" s="17"/>
      <c r="IP65" s="17"/>
      <c r="IQ65" s="17"/>
      <c r="IR65" s="17"/>
      <c r="IS65" s="17"/>
      <c r="IT65" s="17"/>
      <c r="IU65" s="17"/>
      <c r="IV65" s="17"/>
      <c r="IW65" s="17"/>
      <c r="IX65" s="17"/>
      <c r="IY65" s="17"/>
      <c r="IZ65" s="17"/>
      <c r="JA65" s="17"/>
      <c r="JB65" s="17"/>
      <c r="JC65" s="17"/>
      <c r="JD65" s="17"/>
      <c r="JE65" s="17"/>
      <c r="JF65" s="17"/>
      <c r="JG65" s="17"/>
      <c r="JH65" s="17"/>
      <c r="JI65" s="17"/>
      <c r="JJ65" s="17"/>
      <c r="JK65" s="17"/>
      <c r="JL65" s="17"/>
      <c r="JM65" s="17"/>
      <c r="JN65" s="17"/>
      <c r="JO65" s="17"/>
      <c r="JP65" s="17"/>
      <c r="JQ65" s="17"/>
      <c r="JR65" s="17"/>
      <c r="JS65" s="17"/>
      <c r="JT65" s="17"/>
      <c r="JU65" s="17"/>
      <c r="JV65" s="17"/>
      <c r="JW65" s="17"/>
      <c r="JX65" s="17"/>
      <c r="JY65" s="17"/>
      <c r="JZ65" s="17"/>
      <c r="KA65" s="17"/>
      <c r="KB65" s="17"/>
      <c r="KC65" s="17"/>
      <c r="KD65" s="17"/>
      <c r="KE65" s="17"/>
      <c r="KF65" s="17"/>
      <c r="KG65" s="17"/>
      <c r="KH65" s="17"/>
      <c r="KI65" s="17"/>
      <c r="KJ65" s="17"/>
      <c r="KK65" s="17"/>
      <c r="KL65" s="17"/>
      <c r="KM65" s="17"/>
      <c r="KN65" s="17"/>
      <c r="KO65" s="17"/>
      <c r="KP65" s="17"/>
      <c r="KQ65" s="17"/>
      <c r="KR65" s="17"/>
      <c r="KS65" s="17"/>
      <c r="KT65" s="17"/>
      <c r="KU65" s="17"/>
      <c r="KV65" s="17"/>
      <c r="KW65" s="17"/>
      <c r="KX65" s="17"/>
      <c r="KY65" s="17"/>
    </row>
    <row r="66" spans="1:311" x14ac:dyDescent="0.25">
      <c r="A66" s="17"/>
      <c r="B66" s="17"/>
      <c r="C66" s="17"/>
      <c r="D66" s="17"/>
      <c r="E66" s="17"/>
      <c r="F66" s="17"/>
      <c r="G66" s="17"/>
      <c r="H66" s="17"/>
      <c r="I66" s="17"/>
      <c r="J66" s="17"/>
      <c r="K66" s="17"/>
      <c r="L66" s="17"/>
      <c r="M66" s="17"/>
      <c r="N66" s="17"/>
      <c r="O66" s="17"/>
      <c r="P66" s="17"/>
      <c r="Q66" s="17"/>
      <c r="R66" s="17"/>
      <c r="S66" s="17"/>
      <c r="T66" s="17"/>
      <c r="U66" s="17"/>
      <c r="V66" s="17"/>
      <c r="W66" s="17"/>
      <c r="X66" s="17"/>
      <c r="Y66" s="17"/>
      <c r="Z66" s="17"/>
      <c r="AA66" s="17"/>
      <c r="AB66" s="17"/>
      <c r="AC66" s="17"/>
      <c r="AD66" s="17"/>
      <c r="AE66" s="17"/>
      <c r="AF66" s="17"/>
      <c r="AG66" s="17"/>
      <c r="AH66" s="17"/>
      <c r="AI66" s="17"/>
      <c r="AJ66" s="17"/>
      <c r="AK66" s="17"/>
      <c r="AL66" s="17"/>
      <c r="AM66" s="17"/>
      <c r="AN66" s="17"/>
      <c r="AO66" s="17"/>
      <c r="AP66" s="17"/>
      <c r="AQ66" s="17"/>
      <c r="AR66" s="17"/>
      <c r="AS66" s="17"/>
      <c r="AT66" s="17"/>
      <c r="AU66" s="17"/>
      <c r="AV66" s="17"/>
      <c r="AW66" s="17"/>
      <c r="AX66" s="17"/>
      <c r="AY66" s="17"/>
      <c r="AZ66" s="17"/>
      <c r="BA66" s="17"/>
      <c r="BB66" s="17"/>
      <c r="BC66" s="17"/>
      <c r="BD66" s="17"/>
      <c r="BE66" s="17"/>
      <c r="BF66" s="17"/>
      <c r="BG66" s="17"/>
      <c r="BH66" s="17"/>
      <c r="BI66" s="17"/>
      <c r="BJ66" s="17"/>
      <c r="BK66" s="17"/>
      <c r="BL66" s="17"/>
      <c r="BM66" s="17"/>
      <c r="BN66" s="17"/>
      <c r="BO66" s="17"/>
      <c r="BP66" s="17"/>
      <c r="BQ66" s="17"/>
      <c r="BR66" s="17"/>
      <c r="BS66" s="17"/>
      <c r="BT66" s="17"/>
      <c r="BU66" s="17"/>
      <c r="BV66" s="17"/>
      <c r="BW66" s="17"/>
      <c r="BX66" s="17"/>
      <c r="BY66" s="17"/>
      <c r="BZ66" s="17"/>
      <c r="CA66" s="17"/>
      <c r="CB66" s="17"/>
      <c r="CC66" s="17"/>
      <c r="CD66" s="17"/>
      <c r="CE66" s="17"/>
      <c r="CF66" s="17"/>
      <c r="CG66" s="17"/>
      <c r="CH66" s="17"/>
      <c r="CI66" s="17"/>
      <c r="CJ66" s="17"/>
      <c r="CK66" s="17"/>
      <c r="CL66" s="17"/>
      <c r="CM66" s="17"/>
      <c r="CN66" s="17"/>
      <c r="CO66" s="17"/>
      <c r="CP66" s="17"/>
      <c r="CQ66" s="17"/>
      <c r="CR66" s="17"/>
      <c r="CS66" s="17"/>
      <c r="CT66" s="17"/>
      <c r="CU66" s="17"/>
      <c r="CV66" s="17"/>
      <c r="CW66" s="17"/>
      <c r="CX66" s="17"/>
      <c r="CY66" s="17"/>
      <c r="CZ66" s="17"/>
      <c r="DA66" s="17"/>
      <c r="DB66" s="17"/>
      <c r="DC66" s="17"/>
      <c r="DD66" s="17"/>
      <c r="DE66" s="17"/>
      <c r="DF66" s="17"/>
      <c r="DG66" s="17"/>
      <c r="DH66" s="17"/>
      <c r="DI66" s="17"/>
      <c r="DJ66" s="17"/>
      <c r="DK66" s="17"/>
      <c r="DL66" s="17"/>
      <c r="DM66" s="17"/>
      <c r="DN66" s="17"/>
      <c r="DO66" s="17"/>
      <c r="DP66" s="17"/>
      <c r="DQ66" s="17"/>
      <c r="DR66" s="17"/>
      <c r="DS66" s="17"/>
      <c r="DT66" s="17"/>
      <c r="DU66" s="17"/>
      <c r="DV66" s="17"/>
      <c r="DW66" s="17"/>
      <c r="DX66" s="17"/>
      <c r="DY66" s="17"/>
      <c r="DZ66" s="17"/>
      <c r="EA66" s="17"/>
      <c r="EB66" s="17"/>
      <c r="EC66" s="17"/>
      <c r="ED66" s="17"/>
      <c r="EE66" s="17"/>
      <c r="EF66" s="17"/>
      <c r="EG66" s="17"/>
      <c r="EH66" s="17"/>
      <c r="EI66" s="17"/>
      <c r="EJ66" s="17"/>
      <c r="EK66" s="17"/>
      <c r="EL66" s="17"/>
      <c r="EM66" s="17"/>
      <c r="EN66" s="17"/>
      <c r="EO66" s="17"/>
      <c r="EP66" s="17"/>
      <c r="EQ66" s="17"/>
      <c r="ER66" s="17"/>
      <c r="ES66" s="17"/>
      <c r="ET66" s="17"/>
      <c r="EU66" s="17"/>
      <c r="EV66" s="17"/>
      <c r="EW66" s="17"/>
      <c r="EX66" s="17"/>
      <c r="EY66" s="17"/>
      <c r="EZ66" s="17"/>
      <c r="FA66" s="17"/>
      <c r="FB66" s="17"/>
      <c r="FC66" s="17"/>
      <c r="FD66" s="17"/>
      <c r="FE66" s="17"/>
      <c r="FF66" s="17"/>
      <c r="FG66" s="17"/>
      <c r="FH66" s="17"/>
      <c r="FI66" s="17"/>
      <c r="FJ66" s="17"/>
      <c r="FK66" s="17"/>
      <c r="FL66" s="17"/>
      <c r="FM66" s="17"/>
      <c r="FN66" s="17"/>
      <c r="FO66" s="17"/>
      <c r="FP66" s="17"/>
      <c r="FQ66" s="17"/>
      <c r="FR66" s="17"/>
      <c r="FS66" s="17"/>
      <c r="FT66" s="17"/>
      <c r="FU66" s="17"/>
      <c r="FV66" s="17"/>
      <c r="FW66" s="17"/>
      <c r="FX66" s="17"/>
      <c r="FY66" s="17"/>
      <c r="FZ66" s="17"/>
      <c r="GA66" s="17"/>
      <c r="GB66" s="17"/>
      <c r="GC66" s="17"/>
      <c r="GD66" s="17"/>
      <c r="GE66" s="17"/>
      <c r="GF66" s="17"/>
      <c r="GG66" s="17"/>
      <c r="GH66" s="17"/>
      <c r="GI66" s="17"/>
      <c r="GJ66" s="17"/>
      <c r="GK66" s="17"/>
      <c r="GL66" s="17"/>
      <c r="GM66" s="17"/>
      <c r="GN66" s="17"/>
      <c r="GO66" s="17"/>
      <c r="GP66" s="17"/>
      <c r="GQ66" s="17"/>
      <c r="GR66" s="17"/>
      <c r="GS66" s="17"/>
      <c r="GT66" s="17"/>
      <c r="GU66" s="17"/>
      <c r="GV66" s="17"/>
      <c r="GW66" s="17"/>
      <c r="GX66" s="17"/>
      <c r="GY66" s="17"/>
      <c r="GZ66" s="17"/>
      <c r="HA66" s="17"/>
      <c r="HB66" s="17"/>
      <c r="HC66" s="17"/>
      <c r="HD66" s="17"/>
      <c r="HE66" s="17"/>
      <c r="HF66" s="17"/>
      <c r="HG66" s="17"/>
      <c r="HH66" s="17"/>
      <c r="HI66" s="17"/>
      <c r="HJ66" s="17"/>
      <c r="HK66" s="17"/>
      <c r="HL66" s="17"/>
      <c r="HM66" s="17"/>
      <c r="HN66" s="17"/>
      <c r="HO66" s="17"/>
      <c r="HP66" s="17"/>
      <c r="HQ66" s="17"/>
      <c r="HR66" s="17"/>
      <c r="HS66" s="17"/>
      <c r="HT66" s="17"/>
      <c r="HU66" s="17"/>
      <c r="HV66" s="17"/>
      <c r="HW66" s="17"/>
      <c r="HX66" s="17"/>
      <c r="HY66" s="17"/>
      <c r="HZ66" s="17"/>
      <c r="IA66" s="17"/>
      <c r="IB66" s="17"/>
      <c r="IC66" s="17"/>
      <c r="ID66" s="17"/>
      <c r="IE66" s="17"/>
      <c r="IF66" s="17"/>
      <c r="IG66" s="17"/>
      <c r="IH66" s="17"/>
      <c r="II66" s="17"/>
      <c r="IJ66" s="17"/>
      <c r="IK66" s="17"/>
      <c r="IL66" s="17"/>
      <c r="IM66" s="17"/>
      <c r="IN66" s="17"/>
      <c r="IO66" s="17"/>
      <c r="IP66" s="17"/>
      <c r="IQ66" s="17"/>
      <c r="IR66" s="17"/>
      <c r="IS66" s="17"/>
      <c r="IT66" s="17"/>
      <c r="IU66" s="17"/>
      <c r="IV66" s="17"/>
      <c r="IW66" s="17"/>
      <c r="IX66" s="17"/>
      <c r="IY66" s="17"/>
      <c r="IZ66" s="17"/>
      <c r="JA66" s="17"/>
      <c r="JB66" s="17"/>
      <c r="JC66" s="17"/>
      <c r="JD66" s="17"/>
      <c r="JE66" s="17"/>
      <c r="JF66" s="17"/>
      <c r="JG66" s="17"/>
      <c r="JH66" s="17"/>
      <c r="JI66" s="17"/>
      <c r="JJ66" s="17"/>
      <c r="JK66" s="17"/>
      <c r="JL66" s="17"/>
      <c r="JM66" s="17"/>
      <c r="JN66" s="17"/>
      <c r="JO66" s="17"/>
      <c r="JP66" s="17"/>
      <c r="JQ66" s="17"/>
      <c r="JR66" s="17"/>
      <c r="JS66" s="17"/>
      <c r="JT66" s="17"/>
      <c r="JU66" s="17"/>
      <c r="JV66" s="17"/>
      <c r="JW66" s="17"/>
      <c r="JX66" s="17"/>
      <c r="JY66" s="17"/>
      <c r="JZ66" s="17"/>
      <c r="KA66" s="17"/>
      <c r="KB66" s="17"/>
      <c r="KC66" s="17"/>
      <c r="KD66" s="17"/>
      <c r="KE66" s="17"/>
      <c r="KF66" s="17"/>
      <c r="KG66" s="17"/>
      <c r="KH66" s="17"/>
      <c r="KI66" s="17"/>
      <c r="KJ66" s="17"/>
      <c r="KK66" s="17"/>
      <c r="KL66" s="17"/>
      <c r="KM66" s="17"/>
      <c r="KN66" s="17"/>
      <c r="KO66" s="17"/>
      <c r="KP66" s="17"/>
      <c r="KQ66" s="17"/>
      <c r="KR66" s="17"/>
      <c r="KS66" s="17"/>
      <c r="KT66" s="17"/>
      <c r="KU66" s="17"/>
      <c r="KV66" s="17"/>
      <c r="KW66" s="17"/>
      <c r="KX66" s="17"/>
      <c r="KY66" s="17"/>
    </row>
    <row r="67" spans="1:311" x14ac:dyDescent="0.25">
      <c r="A67" s="17"/>
      <c r="B67" s="17"/>
      <c r="C67" s="17"/>
      <c r="D67" s="17"/>
      <c r="E67" s="17"/>
      <c r="F67" s="17"/>
      <c r="G67" s="17"/>
      <c r="H67" s="17"/>
      <c r="I67" s="17"/>
      <c r="J67" s="17"/>
      <c r="K67" s="17"/>
      <c r="L67" s="17"/>
      <c r="M67" s="17"/>
      <c r="N67" s="17"/>
      <c r="O67" s="17"/>
      <c r="P67" s="17"/>
      <c r="Q67" s="17"/>
      <c r="R67" s="17"/>
      <c r="S67" s="17"/>
      <c r="T67" s="17"/>
      <c r="U67" s="17"/>
      <c r="V67" s="17"/>
      <c r="W67" s="17"/>
      <c r="X67" s="17"/>
      <c r="Y67" s="17"/>
      <c r="Z67" s="17"/>
      <c r="AA67" s="17"/>
      <c r="AB67" s="17"/>
      <c r="AC67" s="17"/>
      <c r="AD67" s="17"/>
      <c r="AE67" s="17"/>
      <c r="AF67" s="17"/>
      <c r="AG67" s="17"/>
      <c r="AH67" s="17"/>
      <c r="AI67" s="17"/>
      <c r="AJ67" s="17"/>
      <c r="AK67" s="17"/>
      <c r="AL67" s="17"/>
      <c r="AM67" s="17"/>
      <c r="AN67" s="17"/>
      <c r="AO67" s="17"/>
      <c r="AP67" s="17"/>
      <c r="AQ67" s="17"/>
      <c r="AR67" s="17"/>
      <c r="AS67" s="17"/>
      <c r="AT67" s="17"/>
      <c r="AU67" s="17"/>
      <c r="AV67" s="17"/>
      <c r="AW67" s="17"/>
      <c r="AX67" s="17"/>
      <c r="AY67" s="17"/>
      <c r="AZ67" s="17"/>
      <c r="BA67" s="17"/>
      <c r="BB67" s="17"/>
      <c r="BC67" s="17"/>
      <c r="BD67" s="17"/>
      <c r="BE67" s="17"/>
      <c r="BF67" s="17"/>
      <c r="BG67" s="17"/>
      <c r="BH67" s="17"/>
      <c r="BI67" s="17"/>
      <c r="BJ67" s="17"/>
      <c r="BK67" s="17"/>
      <c r="BL67" s="17"/>
      <c r="BM67" s="17"/>
      <c r="BN67" s="17"/>
      <c r="BO67" s="17"/>
      <c r="BP67" s="17"/>
      <c r="BQ67" s="17"/>
      <c r="BR67" s="17"/>
      <c r="BS67" s="17"/>
      <c r="BT67" s="17"/>
      <c r="BU67" s="17"/>
      <c r="BV67" s="17"/>
      <c r="BW67" s="17"/>
      <c r="BX67" s="17"/>
      <c r="BY67" s="17"/>
      <c r="BZ67" s="17"/>
      <c r="CA67" s="17"/>
      <c r="CB67" s="17"/>
      <c r="CC67" s="17"/>
      <c r="CD67" s="17"/>
      <c r="CE67" s="17"/>
      <c r="CF67" s="17"/>
      <c r="CG67" s="17"/>
      <c r="CH67" s="17"/>
      <c r="CI67" s="17"/>
      <c r="CJ67" s="17"/>
      <c r="CK67" s="17"/>
      <c r="CL67" s="17"/>
      <c r="CM67" s="17"/>
      <c r="CN67" s="17"/>
      <c r="CO67" s="17"/>
      <c r="CP67" s="17"/>
      <c r="CQ67" s="17"/>
      <c r="CR67" s="17"/>
      <c r="CS67" s="17"/>
      <c r="CT67" s="17"/>
      <c r="CU67" s="17"/>
      <c r="CV67" s="17"/>
      <c r="CW67" s="17"/>
      <c r="CX67" s="17"/>
      <c r="CY67" s="17"/>
      <c r="CZ67" s="17"/>
      <c r="DA67" s="17"/>
      <c r="DB67" s="17"/>
      <c r="DC67" s="17"/>
      <c r="DD67" s="17"/>
      <c r="DE67" s="17"/>
      <c r="DF67" s="17"/>
      <c r="DG67" s="17"/>
      <c r="DH67" s="17"/>
      <c r="DI67" s="17"/>
      <c r="DJ67" s="17"/>
      <c r="DK67" s="17"/>
      <c r="DL67" s="17"/>
      <c r="DM67" s="17"/>
      <c r="DN67" s="17"/>
      <c r="DO67" s="17"/>
      <c r="DP67" s="17"/>
      <c r="DQ67" s="17"/>
      <c r="DR67" s="17"/>
      <c r="DS67" s="17"/>
      <c r="DT67" s="17"/>
      <c r="DU67" s="17"/>
      <c r="DV67" s="17"/>
      <c r="DW67" s="17"/>
      <c r="DX67" s="17"/>
      <c r="DY67" s="17"/>
      <c r="DZ67" s="17"/>
      <c r="EA67" s="17"/>
      <c r="EB67" s="17"/>
      <c r="EC67" s="17"/>
      <c r="ED67" s="17"/>
      <c r="EE67" s="17"/>
      <c r="EF67" s="17"/>
      <c r="EG67" s="17"/>
      <c r="EH67" s="17"/>
      <c r="EI67" s="17"/>
      <c r="EJ67" s="17"/>
      <c r="EK67" s="17"/>
      <c r="EL67" s="17"/>
      <c r="EM67" s="17"/>
      <c r="EN67" s="17"/>
      <c r="EO67" s="17"/>
      <c r="EP67" s="17"/>
      <c r="EQ67" s="17"/>
      <c r="ER67" s="17"/>
      <c r="ES67" s="17"/>
      <c r="ET67" s="17"/>
      <c r="EU67" s="17"/>
      <c r="EV67" s="17"/>
      <c r="EW67" s="17"/>
      <c r="EX67" s="17"/>
      <c r="EY67" s="17"/>
      <c r="EZ67" s="17"/>
      <c r="FA67" s="17"/>
      <c r="FB67" s="17"/>
      <c r="FC67" s="17"/>
      <c r="FD67" s="17"/>
      <c r="FE67" s="17"/>
      <c r="FF67" s="17"/>
      <c r="FG67" s="17"/>
      <c r="FH67" s="17"/>
      <c r="FI67" s="17"/>
      <c r="FJ67" s="17"/>
      <c r="FK67" s="17"/>
      <c r="FL67" s="17"/>
      <c r="FM67" s="17"/>
      <c r="FN67" s="17"/>
      <c r="FO67" s="17"/>
      <c r="FP67" s="17"/>
      <c r="FQ67" s="17"/>
      <c r="FR67" s="17"/>
      <c r="FS67" s="17"/>
      <c r="FT67" s="17"/>
      <c r="FU67" s="17"/>
      <c r="FV67" s="17"/>
      <c r="FW67" s="17"/>
      <c r="FX67" s="17"/>
      <c r="FY67" s="17"/>
      <c r="FZ67" s="17"/>
      <c r="GA67" s="17"/>
      <c r="GB67" s="17"/>
      <c r="GC67" s="17"/>
      <c r="GD67" s="17"/>
      <c r="GE67" s="17"/>
      <c r="GF67" s="17"/>
      <c r="GG67" s="17"/>
      <c r="GH67" s="17"/>
      <c r="GI67" s="17"/>
      <c r="GJ67" s="17"/>
      <c r="GK67" s="17"/>
      <c r="GL67" s="17"/>
      <c r="GM67" s="17"/>
      <c r="GN67" s="17"/>
      <c r="GO67" s="17"/>
      <c r="GP67" s="17"/>
      <c r="GQ67" s="17"/>
      <c r="GR67" s="17"/>
      <c r="GS67" s="17"/>
      <c r="GT67" s="17"/>
      <c r="GU67" s="17"/>
      <c r="GV67" s="17"/>
      <c r="GW67" s="17"/>
      <c r="GX67" s="17"/>
      <c r="GY67" s="17"/>
      <c r="GZ67" s="17"/>
      <c r="HA67" s="17"/>
      <c r="HB67" s="17"/>
      <c r="HC67" s="17"/>
      <c r="HD67" s="17"/>
      <c r="HE67" s="17"/>
      <c r="HF67" s="17"/>
      <c r="HG67" s="17"/>
      <c r="HH67" s="17"/>
      <c r="HI67" s="17"/>
      <c r="HJ67" s="17"/>
      <c r="HK67" s="17"/>
      <c r="HL67" s="17"/>
      <c r="HM67" s="17"/>
      <c r="HN67" s="17"/>
      <c r="HO67" s="17"/>
      <c r="HP67" s="17"/>
      <c r="HQ67" s="17"/>
      <c r="HR67" s="17"/>
      <c r="HS67" s="17"/>
      <c r="HT67" s="17"/>
      <c r="HU67" s="17"/>
      <c r="HV67" s="17"/>
      <c r="HW67" s="17"/>
      <c r="HX67" s="17"/>
      <c r="HY67" s="17"/>
      <c r="HZ67" s="17"/>
      <c r="IA67" s="17"/>
      <c r="IB67" s="17"/>
      <c r="IC67" s="17"/>
      <c r="ID67" s="17"/>
      <c r="IE67" s="17"/>
      <c r="IF67" s="17"/>
      <c r="IG67" s="17"/>
      <c r="IH67" s="17"/>
      <c r="II67" s="17"/>
      <c r="IJ67" s="17"/>
      <c r="IK67" s="17"/>
      <c r="IL67" s="17"/>
      <c r="IM67" s="17"/>
      <c r="IN67" s="17"/>
      <c r="IO67" s="17"/>
      <c r="IP67" s="17"/>
      <c r="IQ67" s="17"/>
      <c r="IR67" s="17"/>
      <c r="IS67" s="17"/>
      <c r="IT67" s="17"/>
      <c r="IU67" s="17"/>
      <c r="IV67" s="17"/>
      <c r="IW67" s="17"/>
      <c r="IX67" s="17"/>
      <c r="IY67" s="17"/>
      <c r="IZ67" s="17"/>
      <c r="JA67" s="17"/>
      <c r="JB67" s="17"/>
      <c r="JC67" s="17"/>
      <c r="JD67" s="17"/>
      <c r="JE67" s="17"/>
      <c r="JF67" s="17"/>
      <c r="JG67" s="17"/>
      <c r="JH67" s="17"/>
      <c r="JI67" s="17"/>
      <c r="JJ67" s="17"/>
      <c r="JK67" s="17"/>
      <c r="JL67" s="17"/>
      <c r="JM67" s="17"/>
      <c r="JN67" s="17"/>
      <c r="JO67" s="17"/>
      <c r="JP67" s="17"/>
      <c r="JQ67" s="17"/>
      <c r="JR67" s="17"/>
      <c r="JS67" s="17"/>
      <c r="JT67" s="17"/>
      <c r="JU67" s="17"/>
      <c r="JV67" s="17"/>
      <c r="JW67" s="17"/>
      <c r="JX67" s="17"/>
      <c r="JY67" s="17"/>
      <c r="JZ67" s="17"/>
      <c r="KA67" s="17"/>
      <c r="KB67" s="17"/>
      <c r="KC67" s="17"/>
      <c r="KD67" s="17"/>
      <c r="KE67" s="17"/>
      <c r="KF67" s="17"/>
      <c r="KG67" s="17"/>
      <c r="KH67" s="17"/>
      <c r="KI67" s="17"/>
      <c r="KJ67" s="17"/>
      <c r="KK67" s="17"/>
      <c r="KL67" s="17"/>
      <c r="KM67" s="17"/>
      <c r="KN67" s="17"/>
      <c r="KO67" s="17"/>
      <c r="KP67" s="17"/>
      <c r="KQ67" s="17"/>
      <c r="KR67" s="17"/>
      <c r="KS67" s="17"/>
      <c r="KT67" s="17"/>
      <c r="KU67" s="17"/>
      <c r="KV67" s="17"/>
      <c r="KW67" s="17"/>
      <c r="KX67" s="17"/>
      <c r="KY67" s="17"/>
    </row>
    <row r="68" spans="1:311" x14ac:dyDescent="0.25">
      <c r="A68" s="17"/>
      <c r="B68" s="17"/>
      <c r="C68" s="17"/>
      <c r="D68" s="17"/>
      <c r="E68" s="17"/>
      <c r="F68" s="17"/>
      <c r="G68" s="17"/>
      <c r="H68" s="17"/>
      <c r="I68" s="17"/>
      <c r="J68" s="17"/>
      <c r="K68" s="17"/>
      <c r="L68" s="17"/>
      <c r="M68" s="17"/>
      <c r="N68" s="17"/>
      <c r="O68" s="17"/>
      <c r="P68" s="17"/>
      <c r="Q68" s="17"/>
      <c r="R68" s="17"/>
      <c r="S68" s="17"/>
      <c r="T68" s="17"/>
      <c r="U68" s="17"/>
      <c r="V68" s="17"/>
      <c r="W68" s="17"/>
      <c r="X68" s="17"/>
      <c r="Y68" s="17"/>
      <c r="Z68" s="17"/>
      <c r="AA68" s="17"/>
      <c r="AB68" s="17"/>
      <c r="AC68" s="17"/>
      <c r="AD68" s="17"/>
      <c r="AE68" s="17"/>
      <c r="AF68" s="17"/>
      <c r="AG68" s="17"/>
      <c r="AH68" s="17"/>
      <c r="AI68" s="17"/>
      <c r="AJ68" s="17"/>
      <c r="AK68" s="17"/>
      <c r="AL68" s="17"/>
      <c r="AM68" s="17"/>
      <c r="AN68" s="17"/>
      <c r="AO68" s="17"/>
      <c r="AP68" s="17"/>
      <c r="AQ68" s="17"/>
      <c r="AR68" s="17"/>
      <c r="AS68" s="17"/>
      <c r="AT68" s="17"/>
      <c r="AU68" s="17"/>
      <c r="AV68" s="17"/>
      <c r="AW68" s="17"/>
      <c r="AX68" s="17"/>
      <c r="AY68" s="17"/>
      <c r="AZ68" s="17"/>
      <c r="BA68" s="17"/>
      <c r="BB68" s="17"/>
      <c r="BC68" s="17"/>
      <c r="BD68" s="17"/>
      <c r="BE68" s="17"/>
      <c r="BF68" s="17"/>
      <c r="BG68" s="17"/>
      <c r="BH68" s="17"/>
      <c r="BI68" s="17"/>
      <c r="BJ68" s="17"/>
      <c r="BK68" s="17"/>
      <c r="BL68" s="17"/>
      <c r="BM68" s="17"/>
      <c r="BN68" s="17"/>
      <c r="BO68" s="17"/>
      <c r="BP68" s="17"/>
      <c r="BQ68" s="17"/>
      <c r="BR68" s="17"/>
      <c r="BS68" s="17"/>
      <c r="BT68" s="17"/>
      <c r="BU68" s="17"/>
      <c r="BV68" s="17"/>
      <c r="BW68" s="17"/>
      <c r="BX68" s="17"/>
      <c r="BY68" s="17"/>
      <c r="BZ68" s="17"/>
      <c r="CA68" s="17"/>
      <c r="CB68" s="17"/>
      <c r="CC68" s="17"/>
      <c r="CD68" s="17"/>
      <c r="CE68" s="17"/>
      <c r="CF68" s="17"/>
      <c r="CG68" s="17"/>
      <c r="CH68" s="17"/>
      <c r="CI68" s="17"/>
      <c r="CJ68" s="17"/>
      <c r="CK68" s="17"/>
      <c r="CL68" s="17"/>
      <c r="CM68" s="17"/>
      <c r="CN68" s="17"/>
      <c r="CO68" s="17"/>
      <c r="CP68" s="17"/>
      <c r="CQ68" s="17"/>
      <c r="CR68" s="17"/>
      <c r="CS68" s="17"/>
      <c r="CT68" s="17"/>
      <c r="CU68" s="17"/>
      <c r="CV68" s="17"/>
      <c r="CW68" s="17"/>
      <c r="CX68" s="17"/>
      <c r="CY68" s="17"/>
      <c r="CZ68" s="17"/>
      <c r="DA68" s="17"/>
      <c r="DB68" s="17"/>
      <c r="DC68" s="17"/>
      <c r="DD68" s="17"/>
      <c r="DE68" s="17"/>
      <c r="DF68" s="17"/>
      <c r="DG68" s="17"/>
      <c r="DH68" s="17"/>
      <c r="DI68" s="17"/>
      <c r="DJ68" s="17"/>
      <c r="DK68" s="17"/>
      <c r="DL68" s="17"/>
      <c r="DM68" s="17"/>
      <c r="DN68" s="17"/>
      <c r="DO68" s="17"/>
      <c r="DP68" s="17"/>
      <c r="DQ68" s="17"/>
      <c r="DR68" s="17"/>
      <c r="DS68" s="17"/>
      <c r="DT68" s="17"/>
      <c r="DU68" s="17"/>
      <c r="DV68" s="17"/>
      <c r="DW68" s="17"/>
      <c r="DX68" s="17"/>
      <c r="DY68" s="17"/>
      <c r="DZ68" s="17"/>
      <c r="EA68" s="17"/>
      <c r="EB68" s="17"/>
      <c r="EC68" s="17"/>
      <c r="ED68" s="17"/>
      <c r="EE68" s="17"/>
      <c r="EF68" s="17"/>
      <c r="EG68" s="17"/>
      <c r="EH68" s="17"/>
      <c r="EI68" s="17"/>
      <c r="EJ68" s="17"/>
      <c r="EK68" s="17"/>
      <c r="EL68" s="17"/>
      <c r="EM68" s="17"/>
      <c r="EN68" s="17"/>
      <c r="EO68" s="17"/>
      <c r="EP68" s="17"/>
      <c r="EQ68" s="17"/>
      <c r="ER68" s="17"/>
      <c r="ES68" s="17"/>
      <c r="ET68" s="17"/>
      <c r="EU68" s="17"/>
      <c r="EV68" s="17"/>
      <c r="EW68" s="17"/>
      <c r="EX68" s="17"/>
      <c r="EY68" s="17"/>
      <c r="EZ68" s="17"/>
      <c r="FA68" s="17"/>
      <c r="FB68" s="17"/>
      <c r="FC68" s="17"/>
      <c r="FD68" s="17"/>
      <c r="FE68" s="17"/>
      <c r="FF68" s="17"/>
      <c r="FG68" s="17"/>
      <c r="FH68" s="17"/>
      <c r="FI68" s="17"/>
      <c r="FJ68" s="17"/>
      <c r="FK68" s="17"/>
      <c r="FL68" s="17"/>
      <c r="FM68" s="17"/>
      <c r="FN68" s="17"/>
      <c r="FO68" s="17"/>
      <c r="FP68" s="17"/>
      <c r="FQ68" s="17"/>
      <c r="FR68" s="17"/>
      <c r="FS68" s="17"/>
      <c r="FT68" s="17"/>
      <c r="FU68" s="17"/>
      <c r="FV68" s="17"/>
      <c r="FW68" s="17"/>
      <c r="FX68" s="17"/>
      <c r="FY68" s="17"/>
      <c r="FZ68" s="17"/>
      <c r="GA68" s="17"/>
      <c r="GB68" s="17"/>
      <c r="GC68" s="17"/>
      <c r="GD68" s="17"/>
      <c r="GE68" s="17"/>
      <c r="GF68" s="17"/>
      <c r="GG68" s="17"/>
      <c r="GH68" s="17"/>
      <c r="GI68" s="17"/>
      <c r="GJ68" s="17"/>
      <c r="GK68" s="17"/>
      <c r="GL68" s="17"/>
      <c r="GM68" s="17"/>
      <c r="GN68" s="17"/>
      <c r="GO68" s="17"/>
      <c r="GP68" s="17"/>
      <c r="GQ68" s="17"/>
      <c r="GR68" s="17"/>
      <c r="GS68" s="17"/>
      <c r="GT68" s="17"/>
      <c r="GU68" s="17"/>
      <c r="GV68" s="17"/>
      <c r="GW68" s="17"/>
      <c r="GX68" s="17"/>
      <c r="GY68" s="17"/>
      <c r="GZ68" s="17"/>
      <c r="HA68" s="17"/>
      <c r="HB68" s="17"/>
      <c r="HC68" s="17"/>
      <c r="HD68" s="17"/>
      <c r="HE68" s="17"/>
      <c r="HF68" s="17"/>
      <c r="HG68" s="17"/>
      <c r="HH68" s="17"/>
      <c r="HI68" s="17"/>
      <c r="HJ68" s="17"/>
      <c r="HK68" s="17"/>
      <c r="HL68" s="17"/>
      <c r="HM68" s="17"/>
      <c r="HN68" s="17"/>
      <c r="HO68" s="17"/>
      <c r="HP68" s="17"/>
      <c r="HQ68" s="17"/>
      <c r="HR68" s="17"/>
      <c r="HS68" s="17"/>
      <c r="HT68" s="17"/>
      <c r="HU68" s="17"/>
      <c r="HV68" s="17"/>
      <c r="HW68" s="17"/>
      <c r="HX68" s="17"/>
      <c r="HY68" s="17"/>
      <c r="HZ68" s="17"/>
      <c r="IA68" s="17"/>
      <c r="IB68" s="17"/>
      <c r="IC68" s="17"/>
      <c r="ID68" s="17"/>
      <c r="IE68" s="17"/>
      <c r="IF68" s="17"/>
      <c r="IG68" s="17"/>
      <c r="IH68" s="17"/>
      <c r="II68" s="17"/>
      <c r="IJ68" s="17"/>
      <c r="IK68" s="17"/>
      <c r="IL68" s="17"/>
      <c r="IM68" s="17"/>
      <c r="IN68" s="17"/>
      <c r="IO68" s="17"/>
      <c r="IP68" s="17"/>
      <c r="IQ68" s="17"/>
      <c r="IR68" s="17"/>
      <c r="IS68" s="17"/>
      <c r="IT68" s="17"/>
      <c r="IU68" s="17"/>
      <c r="IV68" s="17"/>
      <c r="IW68" s="17"/>
      <c r="IX68" s="17"/>
      <c r="IY68" s="17"/>
      <c r="IZ68" s="17"/>
      <c r="JA68" s="17"/>
      <c r="JB68" s="17"/>
      <c r="JC68" s="17"/>
      <c r="JD68" s="17"/>
      <c r="JE68" s="17"/>
      <c r="JF68" s="17"/>
      <c r="JG68" s="17"/>
      <c r="JH68" s="17"/>
      <c r="JI68" s="17"/>
      <c r="JJ68" s="17"/>
      <c r="JK68" s="17"/>
      <c r="JL68" s="17"/>
      <c r="JM68" s="17"/>
      <c r="JN68" s="17"/>
      <c r="JO68" s="17"/>
      <c r="JP68" s="17"/>
      <c r="JQ68" s="17"/>
      <c r="JR68" s="17"/>
      <c r="JS68" s="17"/>
      <c r="JT68" s="17"/>
      <c r="JU68" s="17"/>
      <c r="JV68" s="17"/>
      <c r="JW68" s="17"/>
      <c r="JX68" s="17"/>
      <c r="JY68" s="17"/>
      <c r="JZ68" s="17"/>
      <c r="KA68" s="17"/>
      <c r="KB68" s="17"/>
      <c r="KC68" s="17"/>
      <c r="KD68" s="17"/>
      <c r="KE68" s="17"/>
      <c r="KF68" s="17"/>
      <c r="KG68" s="17"/>
      <c r="KH68" s="17"/>
      <c r="KI68" s="17"/>
      <c r="KJ68" s="17"/>
      <c r="KK68" s="17"/>
      <c r="KL68" s="17"/>
      <c r="KM68" s="17"/>
      <c r="KN68" s="17"/>
      <c r="KO68" s="17"/>
      <c r="KP68" s="17"/>
      <c r="KQ68" s="17"/>
      <c r="KR68" s="17"/>
      <c r="KS68" s="17"/>
      <c r="KT68" s="17"/>
      <c r="KU68" s="17"/>
      <c r="KV68" s="17"/>
      <c r="KW68" s="17"/>
      <c r="KX68" s="17"/>
      <c r="KY68" s="17"/>
    </row>
    <row r="69" spans="1:311" x14ac:dyDescent="0.25">
      <c r="A69" s="17"/>
      <c r="B69" s="17"/>
      <c r="C69" s="17"/>
      <c r="D69" s="17"/>
      <c r="E69" s="17"/>
      <c r="F69" s="17"/>
      <c r="G69" s="17"/>
      <c r="H69" s="17"/>
      <c r="I69" s="17"/>
      <c r="J69" s="17"/>
      <c r="K69" s="17"/>
      <c r="L69" s="17"/>
      <c r="M69" s="17"/>
      <c r="N69" s="17"/>
      <c r="O69" s="17"/>
      <c r="P69" s="17"/>
      <c r="Q69" s="17"/>
      <c r="R69" s="17"/>
      <c r="S69" s="17"/>
      <c r="T69" s="17"/>
      <c r="U69" s="17"/>
      <c r="V69" s="17"/>
      <c r="W69" s="17"/>
      <c r="X69" s="17"/>
      <c r="Y69" s="17"/>
      <c r="Z69" s="17"/>
      <c r="AA69" s="17"/>
      <c r="AB69" s="17"/>
      <c r="AC69" s="17"/>
      <c r="AD69" s="17"/>
      <c r="AE69" s="17"/>
      <c r="AF69" s="17"/>
      <c r="AG69" s="17"/>
      <c r="AH69" s="17"/>
      <c r="AI69" s="17"/>
      <c r="AJ69" s="17"/>
      <c r="AK69" s="17"/>
      <c r="AL69" s="17"/>
      <c r="AM69" s="17"/>
      <c r="AN69" s="17"/>
      <c r="AO69" s="17"/>
      <c r="AP69" s="17"/>
      <c r="AQ69" s="17"/>
      <c r="AR69" s="17"/>
      <c r="AS69" s="17"/>
      <c r="AT69" s="17"/>
      <c r="AU69" s="17"/>
      <c r="AV69" s="17"/>
      <c r="AW69" s="17"/>
      <c r="AX69" s="17"/>
      <c r="AY69" s="17"/>
      <c r="AZ69" s="17"/>
      <c r="BA69" s="17"/>
      <c r="BB69" s="17"/>
      <c r="BC69" s="17"/>
      <c r="BD69" s="17"/>
      <c r="BE69" s="17"/>
      <c r="BF69" s="17"/>
      <c r="BG69" s="17"/>
      <c r="BH69" s="17"/>
      <c r="BI69" s="17"/>
      <c r="BJ69" s="17"/>
      <c r="BK69" s="17"/>
      <c r="BL69" s="17"/>
      <c r="BM69" s="17"/>
      <c r="BN69" s="17"/>
      <c r="BO69" s="17"/>
      <c r="BP69" s="17"/>
      <c r="BQ69" s="17"/>
      <c r="BR69" s="17"/>
      <c r="BS69" s="17"/>
      <c r="BT69" s="17"/>
      <c r="BU69" s="17"/>
      <c r="BV69" s="17"/>
      <c r="BW69" s="17"/>
      <c r="BX69" s="17"/>
      <c r="BY69" s="17"/>
      <c r="BZ69" s="17"/>
      <c r="CA69" s="17"/>
      <c r="CB69" s="17"/>
      <c r="CC69" s="17"/>
      <c r="CD69" s="17"/>
      <c r="CE69" s="17"/>
      <c r="CF69" s="17"/>
      <c r="CG69" s="17"/>
      <c r="CH69" s="17"/>
      <c r="CI69" s="17"/>
      <c r="CJ69" s="17"/>
      <c r="CK69" s="17"/>
      <c r="CL69" s="17"/>
      <c r="CM69" s="17"/>
      <c r="CN69" s="17"/>
      <c r="CO69" s="17"/>
      <c r="CP69" s="17"/>
      <c r="CQ69" s="17"/>
      <c r="CR69" s="17"/>
      <c r="CS69" s="17"/>
      <c r="CT69" s="17"/>
      <c r="CU69" s="17"/>
      <c r="CV69" s="17"/>
      <c r="CW69" s="17"/>
      <c r="CX69" s="17"/>
      <c r="CY69" s="17"/>
      <c r="CZ69" s="17"/>
      <c r="DA69" s="17"/>
      <c r="DB69" s="17"/>
      <c r="DC69" s="17"/>
      <c r="DD69" s="17"/>
      <c r="DE69" s="17"/>
      <c r="DF69" s="17"/>
      <c r="DG69" s="17"/>
      <c r="DH69" s="17"/>
      <c r="DI69" s="17"/>
      <c r="DJ69" s="17"/>
      <c r="DK69" s="17"/>
      <c r="DL69" s="17"/>
      <c r="DM69" s="17"/>
      <c r="DN69" s="17"/>
      <c r="DO69" s="17"/>
      <c r="DP69" s="17"/>
      <c r="DQ69" s="17"/>
      <c r="DR69" s="17"/>
      <c r="DS69" s="17"/>
      <c r="DT69" s="17"/>
      <c r="DU69" s="17"/>
      <c r="DV69" s="17"/>
      <c r="DW69" s="17"/>
      <c r="DX69" s="17"/>
      <c r="DY69" s="17"/>
      <c r="DZ69" s="17"/>
      <c r="EA69" s="17"/>
      <c r="EB69" s="17"/>
      <c r="EC69" s="17"/>
      <c r="ED69" s="17"/>
      <c r="EE69" s="17"/>
      <c r="EF69" s="17"/>
      <c r="EG69" s="17"/>
      <c r="EH69" s="17"/>
      <c r="EI69" s="17"/>
      <c r="EJ69" s="17"/>
      <c r="EK69" s="17"/>
      <c r="EL69" s="17"/>
      <c r="EM69" s="17"/>
      <c r="EN69" s="17"/>
      <c r="EO69" s="17"/>
      <c r="EP69" s="17"/>
      <c r="EQ69" s="17"/>
      <c r="ER69" s="17"/>
      <c r="ES69" s="17"/>
      <c r="ET69" s="17"/>
      <c r="EU69" s="17"/>
      <c r="EV69" s="17"/>
      <c r="EW69" s="17"/>
      <c r="EX69" s="17"/>
      <c r="EY69" s="17"/>
      <c r="EZ69" s="17"/>
      <c r="FA69" s="17"/>
      <c r="FB69" s="17"/>
      <c r="FC69" s="17"/>
      <c r="FD69" s="17"/>
      <c r="FE69" s="17"/>
      <c r="FF69" s="17"/>
      <c r="FG69" s="17"/>
      <c r="FH69" s="17"/>
      <c r="FI69" s="17"/>
      <c r="FJ69" s="17"/>
      <c r="FK69" s="17"/>
      <c r="FL69" s="17"/>
      <c r="FM69" s="17"/>
      <c r="FN69" s="17"/>
      <c r="FO69" s="17"/>
      <c r="FP69" s="17"/>
      <c r="FQ69" s="17"/>
      <c r="FR69" s="17"/>
      <c r="FS69" s="17"/>
      <c r="FT69" s="17"/>
      <c r="FU69" s="17"/>
      <c r="FV69" s="17"/>
      <c r="FW69" s="17"/>
      <c r="FX69" s="17"/>
      <c r="FY69" s="17"/>
      <c r="FZ69" s="17"/>
      <c r="GA69" s="17"/>
      <c r="GB69" s="17"/>
      <c r="GC69" s="17"/>
      <c r="GD69" s="17"/>
      <c r="GE69" s="17"/>
      <c r="GF69" s="17"/>
      <c r="GG69" s="17"/>
      <c r="GH69" s="17"/>
      <c r="GI69" s="17"/>
      <c r="GJ69" s="17"/>
      <c r="GK69" s="17"/>
      <c r="GL69" s="17"/>
      <c r="GM69" s="17"/>
      <c r="GN69" s="17"/>
      <c r="GO69" s="17"/>
      <c r="GP69" s="17"/>
      <c r="GQ69" s="17"/>
      <c r="GR69" s="17"/>
      <c r="GS69" s="17"/>
      <c r="GT69" s="17"/>
      <c r="GU69" s="17"/>
      <c r="GV69" s="17"/>
      <c r="GW69" s="17"/>
      <c r="GX69" s="17"/>
      <c r="GY69" s="17"/>
      <c r="GZ69" s="17"/>
      <c r="HA69" s="17"/>
      <c r="HB69" s="17"/>
      <c r="HC69" s="17"/>
      <c r="HD69" s="17"/>
      <c r="HE69" s="17"/>
      <c r="HF69" s="17"/>
      <c r="HG69" s="17"/>
      <c r="HH69" s="17"/>
      <c r="HI69" s="17"/>
      <c r="HJ69" s="17"/>
      <c r="HK69" s="17"/>
      <c r="HL69" s="17"/>
      <c r="HM69" s="17"/>
      <c r="HN69" s="17"/>
      <c r="HO69" s="17"/>
      <c r="HP69" s="17"/>
      <c r="HQ69" s="17"/>
      <c r="HR69" s="17"/>
      <c r="HS69" s="17"/>
      <c r="HT69" s="17"/>
      <c r="HU69" s="17"/>
      <c r="HV69" s="17"/>
      <c r="HW69" s="17"/>
      <c r="HX69" s="17"/>
      <c r="HY69" s="17"/>
      <c r="HZ69" s="17"/>
      <c r="IA69" s="17"/>
      <c r="IB69" s="17"/>
      <c r="IC69" s="17"/>
      <c r="ID69" s="17"/>
      <c r="IE69" s="17"/>
      <c r="IF69" s="17"/>
      <c r="IG69" s="17"/>
      <c r="IH69" s="17"/>
      <c r="II69" s="17"/>
      <c r="IJ69" s="17"/>
      <c r="IK69" s="17"/>
      <c r="IL69" s="17"/>
      <c r="IM69" s="17"/>
      <c r="IN69" s="17"/>
      <c r="IO69" s="17"/>
      <c r="IP69" s="17"/>
      <c r="IQ69" s="17"/>
      <c r="IR69" s="17"/>
      <c r="IS69" s="17"/>
      <c r="IT69" s="17"/>
      <c r="IU69" s="17"/>
      <c r="IV69" s="17"/>
      <c r="IW69" s="17"/>
      <c r="IX69" s="17"/>
      <c r="IY69" s="17"/>
      <c r="IZ69" s="17"/>
      <c r="JA69" s="17"/>
      <c r="JB69" s="17"/>
      <c r="JC69" s="17"/>
      <c r="JD69" s="17"/>
      <c r="JE69" s="17"/>
      <c r="JF69" s="17"/>
      <c r="JG69" s="17"/>
      <c r="JH69" s="17"/>
      <c r="JI69" s="17"/>
      <c r="JJ69" s="17"/>
      <c r="JK69" s="17"/>
      <c r="JL69" s="17"/>
      <c r="JM69" s="17"/>
      <c r="JN69" s="17"/>
      <c r="JO69" s="17"/>
      <c r="JP69" s="17"/>
      <c r="JQ69" s="17"/>
      <c r="JR69" s="17"/>
      <c r="JS69" s="17"/>
      <c r="JT69" s="17"/>
      <c r="JU69" s="17"/>
      <c r="JV69" s="17"/>
      <c r="JW69" s="17"/>
      <c r="JX69" s="17"/>
      <c r="JY69" s="17"/>
      <c r="JZ69" s="17"/>
      <c r="KA69" s="17"/>
      <c r="KB69" s="17"/>
      <c r="KC69" s="17"/>
      <c r="KD69" s="17"/>
      <c r="KE69" s="17"/>
      <c r="KF69" s="17"/>
      <c r="KG69" s="17"/>
      <c r="KH69" s="17"/>
      <c r="KI69" s="17"/>
      <c r="KJ69" s="17"/>
      <c r="KK69" s="17"/>
      <c r="KL69" s="17"/>
      <c r="KM69" s="17"/>
      <c r="KN69" s="17"/>
      <c r="KO69" s="17"/>
      <c r="KP69" s="17"/>
      <c r="KQ69" s="17"/>
      <c r="KR69" s="17"/>
      <c r="KS69" s="17"/>
      <c r="KT69" s="17"/>
      <c r="KU69" s="17"/>
      <c r="KV69" s="17"/>
      <c r="KW69" s="17"/>
      <c r="KX69" s="17"/>
      <c r="KY69" s="17"/>
    </row>
    <row r="70" spans="1:311" x14ac:dyDescent="0.25">
      <c r="A70" s="17"/>
      <c r="B70" s="17"/>
      <c r="C70" s="17"/>
      <c r="D70" s="17"/>
      <c r="E70" s="17"/>
      <c r="F70" s="17"/>
      <c r="G70" s="17"/>
      <c r="H70" s="17"/>
      <c r="I70" s="17"/>
      <c r="J70" s="17"/>
      <c r="K70" s="17"/>
      <c r="L70" s="17"/>
      <c r="M70" s="17"/>
      <c r="N70" s="17"/>
      <c r="O70" s="17"/>
      <c r="P70" s="17"/>
      <c r="Q70" s="17"/>
      <c r="R70" s="17"/>
      <c r="S70" s="17"/>
      <c r="T70" s="17"/>
      <c r="U70" s="17"/>
      <c r="V70" s="17"/>
      <c r="W70" s="17"/>
      <c r="X70" s="17"/>
      <c r="Y70" s="17"/>
      <c r="Z70" s="17"/>
      <c r="AA70" s="17"/>
      <c r="AB70" s="17"/>
      <c r="AC70" s="17"/>
      <c r="AD70" s="17"/>
      <c r="AE70" s="17"/>
      <c r="AF70" s="17"/>
      <c r="AG70" s="17"/>
      <c r="AH70" s="17"/>
      <c r="AI70" s="17"/>
      <c r="AJ70" s="17"/>
      <c r="AK70" s="17"/>
      <c r="AL70" s="17"/>
      <c r="AM70" s="17"/>
      <c r="AN70" s="17"/>
      <c r="AO70" s="17"/>
      <c r="AP70" s="17"/>
      <c r="AQ70" s="17"/>
      <c r="AR70" s="17"/>
      <c r="AS70" s="17"/>
      <c r="AT70" s="17"/>
      <c r="AU70" s="17"/>
      <c r="AV70" s="17"/>
      <c r="AW70" s="17"/>
      <c r="AX70" s="17"/>
      <c r="AY70" s="17"/>
      <c r="AZ70" s="17"/>
      <c r="BA70" s="17"/>
      <c r="BB70" s="17"/>
      <c r="BC70" s="17"/>
      <c r="BD70" s="17"/>
      <c r="BE70" s="17"/>
      <c r="BF70" s="17"/>
      <c r="BG70" s="17"/>
      <c r="BH70" s="17"/>
      <c r="BI70" s="17"/>
      <c r="BJ70" s="17"/>
      <c r="BK70" s="17"/>
      <c r="BL70" s="17"/>
      <c r="BM70" s="17"/>
      <c r="BN70" s="17"/>
      <c r="BO70" s="17"/>
      <c r="BP70" s="17"/>
      <c r="BQ70" s="17"/>
      <c r="BR70" s="17"/>
      <c r="BS70" s="17"/>
      <c r="BT70" s="17"/>
      <c r="BU70" s="17"/>
      <c r="BV70" s="17"/>
      <c r="BW70" s="17"/>
      <c r="BX70" s="17"/>
      <c r="BY70" s="17"/>
      <c r="BZ70" s="17"/>
      <c r="CA70" s="17"/>
      <c r="CB70" s="17"/>
      <c r="CC70" s="17"/>
      <c r="CD70" s="17"/>
      <c r="CE70" s="17"/>
      <c r="CF70" s="17"/>
      <c r="CG70" s="17"/>
      <c r="CH70" s="17"/>
      <c r="CI70" s="17"/>
      <c r="CJ70" s="17"/>
      <c r="CK70" s="17"/>
      <c r="CL70" s="17"/>
      <c r="CM70" s="17"/>
      <c r="CN70" s="17"/>
      <c r="CO70" s="17"/>
      <c r="CP70" s="17"/>
      <c r="CQ70" s="17"/>
      <c r="CR70" s="17"/>
      <c r="CS70" s="17"/>
      <c r="CT70" s="17"/>
      <c r="CU70" s="17"/>
      <c r="CV70" s="17"/>
      <c r="CW70" s="17"/>
      <c r="CX70" s="17"/>
      <c r="CY70" s="17"/>
      <c r="CZ70" s="17"/>
      <c r="DA70" s="17"/>
      <c r="DB70" s="17"/>
      <c r="DC70" s="17"/>
      <c r="DD70" s="17"/>
      <c r="DE70" s="17"/>
      <c r="DF70" s="17"/>
      <c r="DG70" s="17"/>
      <c r="DH70" s="17"/>
      <c r="DI70" s="17"/>
      <c r="DJ70" s="17"/>
      <c r="DK70" s="17"/>
      <c r="DL70" s="17"/>
      <c r="DM70" s="17"/>
      <c r="DN70" s="17"/>
      <c r="DO70" s="17"/>
      <c r="DP70" s="17"/>
      <c r="DQ70" s="17"/>
      <c r="DR70" s="17"/>
      <c r="DS70" s="17"/>
      <c r="DT70" s="17"/>
      <c r="DU70" s="17"/>
      <c r="DV70" s="17"/>
      <c r="DW70" s="17"/>
      <c r="DX70" s="17"/>
      <c r="DY70" s="17"/>
      <c r="DZ70" s="17"/>
      <c r="EA70" s="17"/>
      <c r="EB70" s="17"/>
      <c r="EC70" s="17"/>
      <c r="ED70" s="17"/>
      <c r="EE70" s="17"/>
      <c r="EF70" s="17"/>
      <c r="EG70" s="17"/>
      <c r="EH70" s="17"/>
      <c r="EI70" s="17"/>
      <c r="EJ70" s="17"/>
      <c r="EK70" s="17"/>
      <c r="EL70" s="17"/>
      <c r="EM70" s="17"/>
      <c r="EN70" s="17"/>
      <c r="EO70" s="17"/>
      <c r="EP70" s="17"/>
      <c r="EQ70" s="17"/>
      <c r="ER70" s="17"/>
      <c r="ES70" s="17"/>
      <c r="ET70" s="17"/>
      <c r="EU70" s="17"/>
      <c r="EV70" s="17"/>
      <c r="EW70" s="17"/>
      <c r="EX70" s="17"/>
      <c r="EY70" s="17"/>
      <c r="EZ70" s="17"/>
      <c r="FA70" s="17"/>
      <c r="FB70" s="17"/>
      <c r="FC70" s="17"/>
      <c r="FD70" s="17"/>
      <c r="FE70" s="17"/>
      <c r="FF70" s="17"/>
      <c r="FG70" s="17"/>
      <c r="FH70" s="17"/>
      <c r="FI70" s="17"/>
      <c r="FJ70" s="17"/>
      <c r="FK70" s="17"/>
      <c r="FL70" s="17"/>
      <c r="FM70" s="17"/>
      <c r="FN70" s="17"/>
      <c r="FO70" s="17"/>
      <c r="FP70" s="17"/>
      <c r="FQ70" s="17"/>
      <c r="FR70" s="17"/>
      <c r="FS70" s="17"/>
      <c r="FT70" s="17"/>
      <c r="FU70" s="17"/>
      <c r="FV70" s="17"/>
      <c r="FW70" s="17"/>
      <c r="FX70" s="17"/>
      <c r="FY70" s="17"/>
      <c r="FZ70" s="17"/>
      <c r="GA70" s="17"/>
      <c r="GB70" s="17"/>
      <c r="GC70" s="17"/>
      <c r="GD70" s="17"/>
      <c r="GE70" s="17"/>
      <c r="GF70" s="17"/>
      <c r="GG70" s="17"/>
      <c r="GH70" s="17"/>
      <c r="GI70" s="17"/>
      <c r="GJ70" s="17"/>
      <c r="GK70" s="17"/>
      <c r="GL70" s="17"/>
      <c r="GM70" s="17"/>
      <c r="GN70" s="17"/>
      <c r="GO70" s="17"/>
      <c r="GP70" s="17"/>
      <c r="GQ70" s="17"/>
      <c r="GR70" s="17"/>
      <c r="GS70" s="17"/>
      <c r="GT70" s="17"/>
      <c r="GU70" s="17"/>
      <c r="GV70" s="17"/>
      <c r="GW70" s="17"/>
      <c r="GX70" s="17"/>
      <c r="GY70" s="17"/>
      <c r="GZ70" s="17"/>
      <c r="HA70" s="17"/>
      <c r="HB70" s="17"/>
      <c r="HC70" s="17"/>
      <c r="HD70" s="17"/>
      <c r="HE70" s="17"/>
      <c r="HF70" s="17"/>
      <c r="HG70" s="17"/>
      <c r="HH70" s="17"/>
      <c r="HI70" s="17"/>
      <c r="HJ70" s="17"/>
      <c r="HK70" s="17"/>
      <c r="HL70" s="17"/>
      <c r="HM70" s="17"/>
      <c r="HN70" s="17"/>
      <c r="HO70" s="17"/>
      <c r="HP70" s="17"/>
      <c r="HQ70" s="17"/>
      <c r="HR70" s="17"/>
      <c r="HS70" s="17"/>
      <c r="HT70" s="17"/>
      <c r="HU70" s="17"/>
      <c r="HV70" s="17"/>
      <c r="HW70" s="17"/>
      <c r="HX70" s="17"/>
      <c r="HY70" s="17"/>
      <c r="HZ70" s="17"/>
      <c r="IA70" s="17"/>
      <c r="IB70" s="17"/>
      <c r="IC70" s="17"/>
      <c r="ID70" s="17"/>
      <c r="IE70" s="17"/>
      <c r="IF70" s="17"/>
      <c r="IG70" s="17"/>
      <c r="IH70" s="17"/>
      <c r="II70" s="17"/>
      <c r="IJ70" s="17"/>
      <c r="IK70" s="17"/>
      <c r="IL70" s="17"/>
      <c r="IM70" s="17"/>
      <c r="IN70" s="17"/>
      <c r="IO70" s="17"/>
      <c r="IP70" s="17"/>
      <c r="IQ70" s="17"/>
      <c r="IR70" s="17"/>
      <c r="IS70" s="17"/>
      <c r="IT70" s="17"/>
      <c r="IU70" s="17"/>
      <c r="IV70" s="17"/>
      <c r="IW70" s="17"/>
      <c r="IX70" s="17"/>
      <c r="IY70" s="17"/>
      <c r="IZ70" s="17"/>
      <c r="JA70" s="17"/>
      <c r="JB70" s="17"/>
      <c r="JC70" s="17"/>
      <c r="JD70" s="17"/>
      <c r="JE70" s="17"/>
      <c r="JF70" s="17"/>
      <c r="JG70" s="17"/>
      <c r="JH70" s="17"/>
      <c r="JI70" s="17"/>
      <c r="JJ70" s="17"/>
      <c r="JK70" s="17"/>
      <c r="JL70" s="17"/>
      <c r="JM70" s="17"/>
      <c r="JN70" s="17"/>
      <c r="JO70" s="17"/>
      <c r="JP70" s="17"/>
      <c r="JQ70" s="17"/>
      <c r="JR70" s="17"/>
      <c r="JS70" s="17"/>
      <c r="JT70" s="17"/>
      <c r="JU70" s="17"/>
      <c r="JV70" s="17"/>
      <c r="JW70" s="17"/>
      <c r="JX70" s="17"/>
      <c r="JY70" s="17"/>
      <c r="JZ70" s="17"/>
      <c r="KA70" s="17"/>
      <c r="KB70" s="17"/>
      <c r="KC70" s="17"/>
      <c r="KD70" s="17"/>
      <c r="KE70" s="17"/>
      <c r="KF70" s="17"/>
      <c r="KG70" s="17"/>
      <c r="KH70" s="17"/>
      <c r="KI70" s="17"/>
      <c r="KJ70" s="17"/>
      <c r="KK70" s="17"/>
      <c r="KL70" s="17"/>
      <c r="KM70" s="17"/>
      <c r="KN70" s="17"/>
      <c r="KO70" s="17"/>
      <c r="KP70" s="17"/>
      <c r="KQ70" s="17"/>
      <c r="KR70" s="17"/>
      <c r="KS70" s="17"/>
      <c r="KT70" s="17"/>
      <c r="KU70" s="17"/>
      <c r="KV70" s="17"/>
      <c r="KW70" s="17"/>
      <c r="KX70" s="17"/>
      <c r="KY70" s="17"/>
    </row>
    <row r="71" spans="1:311" x14ac:dyDescent="0.25">
      <c r="A71" s="17"/>
      <c r="B71" s="17"/>
      <c r="C71" s="17"/>
      <c r="D71" s="17"/>
      <c r="E71" s="17"/>
      <c r="F71" s="17"/>
      <c r="G71" s="17"/>
      <c r="H71" s="17"/>
      <c r="I71" s="17"/>
      <c r="J71" s="17"/>
      <c r="K71" s="17"/>
      <c r="L71" s="17"/>
      <c r="M71" s="17"/>
      <c r="N71" s="17"/>
      <c r="O71" s="17"/>
      <c r="P71" s="17"/>
      <c r="Q71" s="17"/>
      <c r="R71" s="17"/>
      <c r="S71" s="17"/>
      <c r="T71" s="17"/>
      <c r="U71" s="17"/>
      <c r="V71" s="17"/>
      <c r="W71" s="17"/>
      <c r="X71" s="17"/>
      <c r="Y71" s="17"/>
      <c r="Z71" s="17"/>
      <c r="AA71" s="17"/>
      <c r="AB71" s="17"/>
      <c r="AC71" s="17"/>
      <c r="AD71" s="17"/>
      <c r="AE71" s="17"/>
      <c r="AF71" s="17"/>
      <c r="AG71" s="17"/>
      <c r="AH71" s="17"/>
      <c r="AI71" s="17"/>
      <c r="AJ71" s="17"/>
      <c r="AK71" s="17"/>
      <c r="AL71" s="17"/>
      <c r="AM71" s="17"/>
      <c r="AN71" s="17"/>
      <c r="AO71" s="17"/>
      <c r="AP71" s="17"/>
      <c r="AQ71" s="17"/>
      <c r="AR71" s="17"/>
      <c r="AS71" s="17"/>
      <c r="AT71" s="17"/>
      <c r="AU71" s="17"/>
      <c r="AV71" s="17"/>
      <c r="AW71" s="17"/>
      <c r="AX71" s="17"/>
      <c r="AY71" s="17"/>
      <c r="AZ71" s="17"/>
      <c r="BA71" s="17"/>
      <c r="BB71" s="17"/>
      <c r="BC71" s="17"/>
      <c r="BD71" s="17"/>
      <c r="BE71" s="17"/>
      <c r="BF71" s="17"/>
      <c r="BG71" s="17"/>
      <c r="BH71" s="17"/>
      <c r="BI71" s="17"/>
      <c r="BJ71" s="17"/>
      <c r="BK71" s="17"/>
      <c r="BL71" s="17"/>
      <c r="BM71" s="17"/>
      <c r="BN71" s="17"/>
      <c r="BO71" s="17"/>
      <c r="BP71" s="17"/>
      <c r="BQ71" s="17"/>
      <c r="BR71" s="17"/>
      <c r="BS71" s="17"/>
      <c r="BT71" s="17"/>
      <c r="BU71" s="17"/>
      <c r="BV71" s="17"/>
      <c r="BW71" s="17"/>
      <c r="BX71" s="17"/>
      <c r="BY71" s="17"/>
      <c r="BZ71" s="17"/>
      <c r="CA71" s="17"/>
      <c r="CB71" s="17"/>
      <c r="CC71" s="17"/>
      <c r="CD71" s="17"/>
      <c r="CE71" s="17"/>
      <c r="CF71" s="17"/>
      <c r="CG71" s="17"/>
      <c r="CH71" s="17"/>
      <c r="CI71" s="17"/>
      <c r="CJ71" s="17"/>
      <c r="CK71" s="17"/>
      <c r="CL71" s="17"/>
      <c r="CM71" s="17"/>
      <c r="CN71" s="17"/>
      <c r="CO71" s="17"/>
      <c r="CP71" s="17"/>
      <c r="CQ71" s="17"/>
      <c r="CR71" s="17"/>
      <c r="CS71" s="17"/>
      <c r="CT71" s="17"/>
      <c r="CU71" s="17"/>
      <c r="CV71" s="17"/>
      <c r="CW71" s="17"/>
      <c r="CX71" s="17"/>
      <c r="CY71" s="17"/>
      <c r="CZ71" s="17"/>
      <c r="DA71" s="17"/>
      <c r="DB71" s="17"/>
      <c r="DC71" s="17"/>
      <c r="DD71" s="17"/>
      <c r="DE71" s="17"/>
      <c r="DF71" s="17"/>
      <c r="DG71" s="17"/>
      <c r="DH71" s="17"/>
      <c r="DI71" s="17"/>
      <c r="DJ71" s="17"/>
      <c r="DK71" s="17"/>
      <c r="DL71" s="17"/>
      <c r="DM71" s="17"/>
      <c r="DN71" s="17"/>
      <c r="DO71" s="17"/>
      <c r="DP71" s="17"/>
      <c r="DQ71" s="17"/>
      <c r="DR71" s="17"/>
      <c r="DS71" s="17"/>
      <c r="DT71" s="17"/>
      <c r="DU71" s="17"/>
      <c r="DV71" s="17"/>
      <c r="DW71" s="17"/>
      <c r="DX71" s="17"/>
      <c r="DY71" s="17"/>
      <c r="DZ71" s="17"/>
      <c r="EA71" s="17"/>
      <c r="EB71" s="17"/>
      <c r="EC71" s="17"/>
      <c r="ED71" s="17"/>
      <c r="EE71" s="17"/>
      <c r="EF71" s="17"/>
      <c r="EG71" s="17"/>
      <c r="EH71" s="17"/>
      <c r="EI71" s="17"/>
      <c r="EJ71" s="17"/>
      <c r="EK71" s="17"/>
      <c r="EL71" s="17"/>
      <c r="EM71" s="17"/>
      <c r="EN71" s="17"/>
      <c r="EO71" s="17"/>
      <c r="EP71" s="17"/>
      <c r="EQ71" s="17"/>
      <c r="ER71" s="17"/>
      <c r="ES71" s="17"/>
      <c r="ET71" s="17"/>
      <c r="EU71" s="17"/>
      <c r="EV71" s="17"/>
      <c r="EW71" s="17"/>
      <c r="EX71" s="17"/>
      <c r="EY71" s="17"/>
      <c r="EZ71" s="17"/>
      <c r="FA71" s="17"/>
      <c r="FB71" s="17"/>
      <c r="FC71" s="17"/>
      <c r="FD71" s="17"/>
      <c r="FE71" s="17"/>
      <c r="FF71" s="17"/>
      <c r="FG71" s="17"/>
      <c r="FH71" s="17"/>
      <c r="FI71" s="17"/>
      <c r="FJ71" s="17"/>
      <c r="FK71" s="17"/>
      <c r="FL71" s="17"/>
      <c r="FM71" s="17"/>
      <c r="FN71" s="17"/>
      <c r="FO71" s="17"/>
      <c r="FP71" s="17"/>
      <c r="FQ71" s="17"/>
      <c r="FR71" s="17"/>
      <c r="FS71" s="17"/>
      <c r="FT71" s="17"/>
      <c r="FU71" s="17"/>
      <c r="FV71" s="17"/>
      <c r="FW71" s="17"/>
      <c r="FX71" s="17"/>
      <c r="FY71" s="17"/>
      <c r="FZ71" s="17"/>
      <c r="GA71" s="17"/>
      <c r="GB71" s="17"/>
      <c r="GC71" s="17"/>
      <c r="GD71" s="17"/>
      <c r="GE71" s="17"/>
      <c r="GF71" s="17"/>
      <c r="GG71" s="17"/>
      <c r="GH71" s="17"/>
      <c r="GI71" s="17"/>
      <c r="GJ71" s="17"/>
      <c r="GK71" s="17"/>
      <c r="GL71" s="17"/>
      <c r="GM71" s="17"/>
      <c r="GN71" s="17"/>
      <c r="GO71" s="17"/>
      <c r="GP71" s="17"/>
      <c r="GQ71" s="17"/>
      <c r="GR71" s="17"/>
      <c r="GS71" s="17"/>
      <c r="GT71" s="17"/>
      <c r="GU71" s="17"/>
      <c r="GV71" s="17"/>
      <c r="GW71" s="17"/>
      <c r="GX71" s="17"/>
      <c r="GY71" s="17"/>
      <c r="GZ71" s="17"/>
      <c r="HA71" s="17"/>
      <c r="HB71" s="17"/>
      <c r="HC71" s="17"/>
      <c r="HD71" s="17"/>
      <c r="HE71" s="17"/>
      <c r="HF71" s="17"/>
      <c r="HG71" s="17"/>
      <c r="HH71" s="17"/>
      <c r="HI71" s="17"/>
      <c r="HJ71" s="17"/>
      <c r="HK71" s="17"/>
      <c r="HL71" s="17"/>
      <c r="HM71" s="17"/>
      <c r="HN71" s="17"/>
      <c r="HO71" s="17"/>
      <c r="HP71" s="17"/>
      <c r="HQ71" s="17"/>
      <c r="HR71" s="17"/>
      <c r="HS71" s="17"/>
      <c r="HT71" s="17"/>
      <c r="HU71" s="17"/>
      <c r="HV71" s="17"/>
      <c r="HW71" s="17"/>
      <c r="HX71" s="17"/>
      <c r="HY71" s="17"/>
      <c r="HZ71" s="17"/>
      <c r="IA71" s="17"/>
      <c r="IB71" s="17"/>
      <c r="IC71" s="17"/>
      <c r="ID71" s="17"/>
      <c r="IE71" s="17"/>
      <c r="IF71" s="17"/>
      <c r="IG71" s="17"/>
      <c r="IH71" s="17"/>
      <c r="II71" s="17"/>
      <c r="IJ71" s="17"/>
      <c r="IK71" s="17"/>
      <c r="IL71" s="17"/>
      <c r="IM71" s="17"/>
      <c r="IN71" s="17"/>
      <c r="IO71" s="17"/>
      <c r="IP71" s="17"/>
      <c r="IQ71" s="17"/>
      <c r="IR71" s="17"/>
      <c r="IS71" s="17"/>
      <c r="IT71" s="17"/>
      <c r="IU71" s="17"/>
      <c r="IV71" s="17"/>
      <c r="IW71" s="17"/>
      <c r="IX71" s="17"/>
      <c r="IY71" s="17"/>
      <c r="IZ71" s="17"/>
      <c r="JA71" s="17"/>
      <c r="JB71" s="17"/>
      <c r="JC71" s="17"/>
      <c r="JD71" s="17"/>
      <c r="JE71" s="17"/>
      <c r="JF71" s="17"/>
      <c r="JG71" s="17"/>
      <c r="JH71" s="17"/>
      <c r="JI71" s="17"/>
      <c r="JJ71" s="17"/>
      <c r="JK71" s="17"/>
      <c r="JL71" s="17"/>
      <c r="JM71" s="17"/>
      <c r="JN71" s="17"/>
      <c r="JO71" s="17"/>
      <c r="JP71" s="17"/>
      <c r="JQ71" s="17"/>
      <c r="JR71" s="17"/>
      <c r="JS71" s="17"/>
      <c r="JT71" s="17"/>
      <c r="JU71" s="17"/>
      <c r="JV71" s="17"/>
      <c r="JW71" s="17"/>
      <c r="JX71" s="17"/>
      <c r="JY71" s="17"/>
      <c r="JZ71" s="17"/>
      <c r="KA71" s="17"/>
      <c r="KB71" s="17"/>
      <c r="KC71" s="17"/>
      <c r="KD71" s="17"/>
      <c r="KE71" s="17"/>
      <c r="KF71" s="17"/>
      <c r="KG71" s="17"/>
      <c r="KH71" s="17"/>
      <c r="KI71" s="17"/>
      <c r="KJ71" s="17"/>
      <c r="KK71" s="17"/>
      <c r="KL71" s="17"/>
      <c r="KM71" s="17"/>
      <c r="KN71" s="17"/>
      <c r="KO71" s="17"/>
      <c r="KP71" s="17"/>
      <c r="KQ71" s="17"/>
      <c r="KR71" s="17"/>
      <c r="KS71" s="17"/>
      <c r="KT71" s="17"/>
      <c r="KU71" s="17"/>
      <c r="KV71" s="17"/>
      <c r="KW71" s="17"/>
      <c r="KX71" s="17"/>
      <c r="KY71" s="17"/>
    </row>
    <row r="72" spans="1:311" x14ac:dyDescent="0.25">
      <c r="A72" s="17"/>
      <c r="B72" s="17"/>
      <c r="C72" s="17"/>
      <c r="D72" s="17"/>
      <c r="E72" s="17"/>
      <c r="F72" s="17"/>
      <c r="G72" s="17"/>
      <c r="H72" s="17"/>
      <c r="I72" s="17"/>
      <c r="J72" s="17"/>
      <c r="K72" s="17"/>
      <c r="L72" s="17"/>
      <c r="M72" s="17"/>
      <c r="N72" s="17"/>
      <c r="O72" s="17"/>
      <c r="P72" s="17"/>
      <c r="Q72" s="17"/>
      <c r="R72" s="17"/>
      <c r="S72" s="17"/>
      <c r="T72" s="17"/>
      <c r="U72" s="17"/>
      <c r="V72" s="17"/>
      <c r="W72" s="17"/>
      <c r="X72" s="17"/>
      <c r="Y72" s="17"/>
      <c r="Z72" s="17"/>
      <c r="AA72" s="17"/>
      <c r="AB72" s="17"/>
      <c r="AC72" s="17"/>
      <c r="AD72" s="17"/>
      <c r="AE72" s="17"/>
      <c r="AF72" s="17"/>
      <c r="AG72" s="17"/>
      <c r="AH72" s="17"/>
      <c r="AI72" s="17"/>
      <c r="AJ72" s="17"/>
      <c r="AK72" s="17"/>
      <c r="AL72" s="17"/>
      <c r="AM72" s="17"/>
      <c r="AN72" s="17"/>
      <c r="AO72" s="17"/>
      <c r="AP72" s="17"/>
      <c r="AQ72" s="17"/>
      <c r="AR72" s="17"/>
      <c r="AS72" s="17"/>
      <c r="AT72" s="17"/>
      <c r="AU72" s="17"/>
      <c r="AV72" s="17"/>
      <c r="AW72" s="17"/>
      <c r="AX72" s="17"/>
      <c r="AY72" s="17"/>
      <c r="AZ72" s="17"/>
      <c r="BA72" s="17"/>
      <c r="BB72" s="17"/>
      <c r="BC72" s="17"/>
      <c r="BD72" s="17"/>
      <c r="BE72" s="17"/>
      <c r="BF72" s="17"/>
      <c r="BG72" s="17"/>
      <c r="BH72" s="17"/>
      <c r="BI72" s="17"/>
      <c r="BJ72" s="17"/>
      <c r="BK72" s="17"/>
      <c r="BL72" s="17"/>
      <c r="BM72" s="17"/>
      <c r="BN72" s="17"/>
      <c r="BO72" s="17"/>
      <c r="BP72" s="17"/>
      <c r="BQ72" s="17"/>
      <c r="BR72" s="17"/>
      <c r="BS72" s="17"/>
      <c r="BT72" s="17"/>
      <c r="BU72" s="17"/>
      <c r="BV72" s="17"/>
      <c r="BW72" s="17"/>
      <c r="BX72" s="17"/>
      <c r="BY72" s="17"/>
      <c r="BZ72" s="17"/>
      <c r="CA72" s="17"/>
      <c r="CB72" s="17"/>
      <c r="CC72" s="17"/>
      <c r="CD72" s="17"/>
      <c r="CE72" s="17"/>
      <c r="CF72" s="17"/>
      <c r="CG72" s="17"/>
      <c r="CH72" s="17"/>
      <c r="CI72" s="17"/>
      <c r="CJ72" s="17"/>
      <c r="CK72" s="17"/>
      <c r="CL72" s="17"/>
      <c r="CM72" s="17"/>
      <c r="CN72" s="17"/>
      <c r="CO72" s="17"/>
      <c r="CP72" s="17"/>
      <c r="CQ72" s="17"/>
      <c r="CR72" s="17"/>
      <c r="CS72" s="17"/>
      <c r="CT72" s="17"/>
      <c r="CU72" s="17"/>
      <c r="CV72" s="17"/>
      <c r="CW72" s="17"/>
      <c r="CX72" s="17"/>
      <c r="CY72" s="17"/>
      <c r="CZ72" s="17"/>
      <c r="DA72" s="17"/>
      <c r="DB72" s="17"/>
      <c r="DC72" s="17"/>
      <c r="DD72" s="17"/>
      <c r="DE72" s="17"/>
      <c r="DF72" s="17"/>
      <c r="DG72" s="17"/>
      <c r="DH72" s="17"/>
      <c r="DI72" s="17"/>
      <c r="DJ72" s="17"/>
      <c r="DK72" s="17"/>
      <c r="DL72" s="17"/>
      <c r="DM72" s="17"/>
      <c r="DN72" s="17"/>
      <c r="DO72" s="17"/>
      <c r="DP72" s="17"/>
      <c r="DQ72" s="17"/>
      <c r="DR72" s="17"/>
      <c r="DS72" s="17"/>
      <c r="DT72" s="17"/>
      <c r="DU72" s="17"/>
      <c r="DV72" s="17"/>
      <c r="DW72" s="17"/>
      <c r="DX72" s="17"/>
      <c r="DY72" s="17"/>
      <c r="DZ72" s="17"/>
      <c r="EA72" s="17"/>
      <c r="EB72" s="17"/>
      <c r="EC72" s="17"/>
      <c r="ED72" s="17"/>
      <c r="EE72" s="17"/>
      <c r="EF72" s="17"/>
      <c r="EG72" s="17"/>
      <c r="EH72" s="17"/>
      <c r="EI72" s="17"/>
      <c r="EJ72" s="17"/>
      <c r="EK72" s="17"/>
      <c r="EL72" s="17"/>
      <c r="EM72" s="17"/>
      <c r="EN72" s="17"/>
      <c r="EO72" s="17"/>
      <c r="EP72" s="17"/>
      <c r="EQ72" s="17"/>
      <c r="ER72" s="17"/>
      <c r="ES72" s="17"/>
      <c r="ET72" s="17"/>
      <c r="EU72" s="17"/>
      <c r="EV72" s="17"/>
      <c r="EW72" s="17"/>
      <c r="EX72" s="17"/>
      <c r="EY72" s="17"/>
      <c r="EZ72" s="17"/>
      <c r="FA72" s="17"/>
      <c r="FB72" s="17"/>
      <c r="FC72" s="17"/>
      <c r="FD72" s="17"/>
      <c r="FE72" s="17"/>
      <c r="FF72" s="17"/>
      <c r="FG72" s="17"/>
      <c r="FH72" s="17"/>
      <c r="FI72" s="17"/>
      <c r="FJ72" s="17"/>
      <c r="FK72" s="17"/>
      <c r="FL72" s="17"/>
      <c r="FM72" s="17"/>
      <c r="FN72" s="17"/>
      <c r="FO72" s="17"/>
      <c r="FP72" s="17"/>
      <c r="FQ72" s="17"/>
      <c r="FR72" s="17"/>
      <c r="FS72" s="17"/>
      <c r="FT72" s="17"/>
      <c r="FU72" s="17"/>
      <c r="FV72" s="17"/>
      <c r="FW72" s="17"/>
      <c r="FX72" s="17"/>
      <c r="FY72" s="17"/>
      <c r="FZ72" s="17"/>
      <c r="GA72" s="17"/>
      <c r="GB72" s="17"/>
      <c r="GC72" s="17"/>
      <c r="GD72" s="17"/>
      <c r="GE72" s="17"/>
      <c r="GF72" s="17"/>
      <c r="GG72" s="17"/>
      <c r="GH72" s="17"/>
      <c r="GI72" s="17"/>
      <c r="GJ72" s="17"/>
      <c r="GK72" s="17"/>
      <c r="GL72" s="17"/>
      <c r="GM72" s="17"/>
      <c r="GN72" s="17"/>
      <c r="GO72" s="17"/>
      <c r="GP72" s="17"/>
      <c r="GQ72" s="17"/>
      <c r="GR72" s="17"/>
      <c r="GS72" s="17"/>
      <c r="GT72" s="17"/>
      <c r="GU72" s="17"/>
      <c r="GV72" s="17"/>
      <c r="GW72" s="17"/>
      <c r="GX72" s="17"/>
      <c r="GY72" s="17"/>
      <c r="GZ72" s="17"/>
      <c r="HA72" s="17"/>
      <c r="HB72" s="17"/>
      <c r="HC72" s="17"/>
      <c r="HD72" s="17"/>
      <c r="HE72" s="17"/>
      <c r="HF72" s="17"/>
      <c r="HG72" s="17"/>
      <c r="HH72" s="17"/>
      <c r="HI72" s="17"/>
      <c r="HJ72" s="17"/>
      <c r="HK72" s="17"/>
      <c r="HL72" s="17"/>
      <c r="HM72" s="17"/>
      <c r="HN72" s="17"/>
      <c r="HO72" s="17"/>
      <c r="HP72" s="17"/>
      <c r="HQ72" s="17"/>
      <c r="HR72" s="17"/>
      <c r="HS72" s="17"/>
      <c r="HT72" s="17"/>
      <c r="HU72" s="17"/>
      <c r="HV72" s="17"/>
      <c r="HW72" s="17"/>
      <c r="HX72" s="17"/>
      <c r="HY72" s="17"/>
      <c r="HZ72" s="17"/>
      <c r="IA72" s="17"/>
      <c r="IB72" s="17"/>
      <c r="IC72" s="17"/>
      <c r="ID72" s="17"/>
      <c r="IE72" s="17"/>
      <c r="IF72" s="17"/>
      <c r="IG72" s="17"/>
      <c r="IH72" s="17"/>
      <c r="II72" s="17"/>
      <c r="IJ72" s="17"/>
      <c r="IK72" s="17"/>
      <c r="IL72" s="17"/>
      <c r="IM72" s="17"/>
      <c r="IN72" s="17"/>
      <c r="IO72" s="17"/>
      <c r="IP72" s="17"/>
      <c r="IQ72" s="17"/>
      <c r="IR72" s="17"/>
      <c r="IS72" s="17"/>
      <c r="IT72" s="17"/>
      <c r="IU72" s="17"/>
      <c r="IV72" s="17"/>
      <c r="IW72" s="17"/>
      <c r="IX72" s="17"/>
      <c r="IY72" s="17"/>
      <c r="IZ72" s="17"/>
      <c r="JA72" s="17"/>
      <c r="JB72" s="17"/>
      <c r="JC72" s="17"/>
      <c r="JD72" s="17"/>
      <c r="JE72" s="17"/>
      <c r="JF72" s="17"/>
      <c r="JG72" s="17"/>
      <c r="JH72" s="17"/>
      <c r="JI72" s="17"/>
      <c r="JJ72" s="17"/>
      <c r="JK72" s="17"/>
      <c r="JL72" s="17"/>
      <c r="JM72" s="17"/>
      <c r="JN72" s="17"/>
      <c r="JO72" s="17"/>
      <c r="JP72" s="17"/>
      <c r="JQ72" s="17"/>
      <c r="JR72" s="17"/>
      <c r="JS72" s="17"/>
      <c r="JT72" s="17"/>
      <c r="JU72" s="17"/>
      <c r="JV72" s="17"/>
      <c r="JW72" s="17"/>
      <c r="JX72" s="17"/>
      <c r="JY72" s="17"/>
      <c r="JZ72" s="17"/>
      <c r="KA72" s="17"/>
      <c r="KB72" s="17"/>
      <c r="KC72" s="17"/>
      <c r="KD72" s="17"/>
      <c r="KE72" s="17"/>
      <c r="KF72" s="17"/>
      <c r="KG72" s="17"/>
      <c r="KH72" s="17"/>
      <c r="KI72" s="17"/>
      <c r="KJ72" s="17"/>
      <c r="KK72" s="17"/>
      <c r="KL72" s="17"/>
      <c r="KM72" s="17"/>
      <c r="KN72" s="17"/>
      <c r="KO72" s="17"/>
      <c r="KP72" s="17"/>
      <c r="KQ72" s="17"/>
      <c r="KR72" s="17"/>
      <c r="KS72" s="17"/>
      <c r="KT72" s="17"/>
      <c r="KU72" s="17"/>
      <c r="KV72" s="17"/>
      <c r="KW72" s="17"/>
      <c r="KX72" s="17"/>
      <c r="KY72" s="17"/>
    </row>
    <row r="73" spans="1:311" x14ac:dyDescent="0.25">
      <c r="A73" s="17"/>
      <c r="B73" s="17"/>
      <c r="C73" s="17"/>
      <c r="D73" s="17"/>
      <c r="E73" s="17"/>
      <c r="F73" s="17"/>
      <c r="G73" s="17"/>
      <c r="H73" s="17"/>
      <c r="I73" s="17"/>
      <c r="J73" s="17"/>
      <c r="K73" s="17"/>
      <c r="L73" s="17"/>
      <c r="M73" s="17"/>
      <c r="N73" s="17"/>
      <c r="O73" s="17"/>
      <c r="P73" s="17"/>
      <c r="Q73" s="17"/>
      <c r="R73" s="17"/>
      <c r="S73" s="17"/>
      <c r="T73" s="17"/>
      <c r="U73" s="17"/>
      <c r="V73" s="17"/>
      <c r="W73" s="17"/>
      <c r="X73" s="17"/>
      <c r="Y73" s="17"/>
      <c r="Z73" s="17"/>
      <c r="AA73" s="17"/>
      <c r="AB73" s="17"/>
      <c r="AC73" s="17"/>
      <c r="AD73" s="17"/>
      <c r="AE73" s="17"/>
      <c r="AF73" s="17"/>
      <c r="AG73" s="17"/>
      <c r="AH73" s="17"/>
      <c r="AI73" s="17"/>
      <c r="AJ73" s="17"/>
      <c r="AK73" s="17"/>
      <c r="AL73" s="17"/>
      <c r="AM73" s="17"/>
      <c r="AN73" s="17"/>
      <c r="AO73" s="17"/>
      <c r="AP73" s="17"/>
      <c r="AQ73" s="17"/>
      <c r="AR73" s="17"/>
      <c r="AS73" s="17"/>
      <c r="AT73" s="17"/>
      <c r="AU73" s="17"/>
      <c r="AV73" s="17"/>
      <c r="AW73" s="17"/>
      <c r="AX73" s="17"/>
      <c r="AY73" s="17"/>
      <c r="AZ73" s="17"/>
      <c r="BA73" s="17"/>
      <c r="BB73" s="17"/>
      <c r="BC73" s="17"/>
      <c r="BD73" s="17"/>
      <c r="BE73" s="17"/>
      <c r="BF73" s="17"/>
      <c r="BG73" s="17"/>
      <c r="BH73" s="17"/>
      <c r="BI73" s="17"/>
      <c r="BJ73" s="17"/>
      <c r="BK73" s="17"/>
      <c r="BL73" s="17"/>
      <c r="BM73" s="17"/>
      <c r="BN73" s="17"/>
      <c r="BO73" s="17"/>
      <c r="BP73" s="17"/>
      <c r="BQ73" s="17"/>
      <c r="BR73" s="17"/>
      <c r="BS73" s="17"/>
      <c r="BT73" s="17"/>
      <c r="BU73" s="17"/>
      <c r="BV73" s="17"/>
      <c r="BW73" s="17"/>
      <c r="BX73" s="17"/>
      <c r="BY73" s="17"/>
      <c r="BZ73" s="17"/>
      <c r="CA73" s="17"/>
      <c r="CB73" s="17"/>
      <c r="CC73" s="17"/>
      <c r="CD73" s="17"/>
      <c r="CE73" s="17"/>
      <c r="CF73" s="17"/>
      <c r="CG73" s="17"/>
      <c r="CH73" s="17"/>
      <c r="CI73" s="17"/>
      <c r="CJ73" s="17"/>
      <c r="CK73" s="17"/>
      <c r="CL73" s="17"/>
      <c r="CM73" s="17"/>
      <c r="CN73" s="17"/>
      <c r="CO73" s="17"/>
      <c r="CP73" s="17"/>
      <c r="CQ73" s="17"/>
      <c r="CR73" s="17"/>
      <c r="CS73" s="17"/>
      <c r="CT73" s="17"/>
      <c r="CU73" s="17"/>
      <c r="CV73" s="17"/>
      <c r="CW73" s="17"/>
      <c r="CX73" s="17"/>
      <c r="CY73" s="17"/>
      <c r="CZ73" s="17"/>
      <c r="DA73" s="17"/>
      <c r="DB73" s="17"/>
      <c r="DC73" s="17"/>
      <c r="DD73" s="17"/>
      <c r="DE73" s="17"/>
      <c r="DF73" s="17"/>
      <c r="DG73" s="17"/>
      <c r="DH73" s="17"/>
      <c r="DI73" s="17"/>
      <c r="DJ73" s="17"/>
      <c r="DK73" s="17"/>
      <c r="DL73" s="17"/>
      <c r="DM73" s="17"/>
      <c r="DN73" s="17"/>
      <c r="DO73" s="17"/>
      <c r="DP73" s="17"/>
      <c r="DQ73" s="17"/>
      <c r="DR73" s="17"/>
      <c r="DS73" s="17"/>
      <c r="DT73" s="17"/>
      <c r="DU73" s="17"/>
      <c r="DV73" s="17"/>
      <c r="DW73" s="17"/>
      <c r="DX73" s="17"/>
      <c r="DY73" s="17"/>
      <c r="DZ73" s="17"/>
      <c r="EA73" s="17"/>
      <c r="EB73" s="17"/>
      <c r="EC73" s="17"/>
      <c r="ED73" s="17"/>
      <c r="EE73" s="17"/>
      <c r="EF73" s="17"/>
      <c r="EG73" s="17"/>
      <c r="EH73" s="17"/>
      <c r="EI73" s="17"/>
      <c r="EJ73" s="17"/>
      <c r="EK73" s="17"/>
      <c r="EL73" s="17"/>
      <c r="EM73" s="17"/>
      <c r="EN73" s="17"/>
      <c r="EO73" s="17"/>
      <c r="EP73" s="17"/>
      <c r="EQ73" s="17"/>
      <c r="ER73" s="17"/>
      <c r="ES73" s="17"/>
      <c r="ET73" s="17"/>
      <c r="EU73" s="17"/>
      <c r="EV73" s="17"/>
      <c r="EW73" s="17"/>
      <c r="EX73" s="17"/>
      <c r="EY73" s="17"/>
      <c r="EZ73" s="17"/>
      <c r="FA73" s="17"/>
      <c r="FB73" s="17"/>
      <c r="FC73" s="17"/>
      <c r="FD73" s="17"/>
      <c r="FE73" s="17"/>
      <c r="FF73" s="17"/>
      <c r="FG73" s="17"/>
      <c r="FH73" s="17"/>
      <c r="FI73" s="17"/>
      <c r="FJ73" s="17"/>
      <c r="FK73" s="17"/>
      <c r="FL73" s="17"/>
      <c r="FM73" s="17"/>
      <c r="FN73" s="17"/>
      <c r="FO73" s="17"/>
      <c r="FP73" s="17"/>
      <c r="FQ73" s="17"/>
      <c r="FR73" s="17"/>
      <c r="FS73" s="17"/>
      <c r="FT73" s="17"/>
      <c r="FU73" s="17"/>
      <c r="FV73" s="17"/>
      <c r="FW73" s="17"/>
      <c r="FX73" s="17"/>
      <c r="FY73" s="17"/>
      <c r="FZ73" s="17"/>
      <c r="GA73" s="17"/>
      <c r="GB73" s="17"/>
      <c r="GC73" s="17"/>
      <c r="GD73" s="17"/>
      <c r="GE73" s="17"/>
      <c r="GF73" s="17"/>
      <c r="GG73" s="17"/>
      <c r="GH73" s="17"/>
      <c r="GI73" s="17"/>
      <c r="GJ73" s="17"/>
      <c r="GK73" s="17"/>
      <c r="GL73" s="17"/>
      <c r="GM73" s="17"/>
      <c r="GN73" s="17"/>
      <c r="GO73" s="17"/>
      <c r="GP73" s="17"/>
      <c r="GQ73" s="17"/>
      <c r="GR73" s="17"/>
      <c r="GS73" s="17"/>
      <c r="GT73" s="17"/>
      <c r="GU73" s="17"/>
      <c r="GV73" s="17"/>
      <c r="GW73" s="17"/>
      <c r="GX73" s="17"/>
      <c r="GY73" s="17"/>
      <c r="GZ73" s="17"/>
      <c r="HA73" s="17"/>
      <c r="HB73" s="17"/>
      <c r="HC73" s="17"/>
      <c r="HD73" s="17"/>
      <c r="HE73" s="17"/>
      <c r="HF73" s="17"/>
      <c r="HG73" s="17"/>
      <c r="HH73" s="17"/>
      <c r="HI73" s="17"/>
      <c r="HJ73" s="17"/>
      <c r="HK73" s="17"/>
      <c r="HL73" s="17"/>
      <c r="HM73" s="17"/>
      <c r="HN73" s="17"/>
      <c r="HO73" s="17"/>
      <c r="HP73" s="17"/>
      <c r="HQ73" s="17"/>
      <c r="HR73" s="17"/>
      <c r="HS73" s="17"/>
      <c r="HT73" s="17"/>
      <c r="HU73" s="17"/>
      <c r="HV73" s="17"/>
      <c r="HW73" s="17"/>
      <c r="HX73" s="17"/>
      <c r="HY73" s="17"/>
      <c r="HZ73" s="17"/>
      <c r="IA73" s="17"/>
      <c r="IB73" s="17"/>
      <c r="IC73" s="17"/>
      <c r="ID73" s="17"/>
      <c r="IE73" s="17"/>
      <c r="IF73" s="17"/>
      <c r="IG73" s="17"/>
      <c r="IH73" s="17"/>
      <c r="II73" s="17"/>
      <c r="IJ73" s="17"/>
      <c r="IK73" s="17"/>
      <c r="IL73" s="17"/>
      <c r="IM73" s="17"/>
      <c r="IN73" s="17"/>
      <c r="IO73" s="17"/>
      <c r="IP73" s="17"/>
      <c r="IQ73" s="17"/>
      <c r="IR73" s="17"/>
      <c r="IS73" s="17"/>
      <c r="IT73" s="17"/>
      <c r="IU73" s="17"/>
      <c r="IV73" s="17"/>
      <c r="IW73" s="17"/>
      <c r="IX73" s="17"/>
      <c r="IY73" s="17"/>
      <c r="IZ73" s="17"/>
      <c r="JA73" s="17"/>
      <c r="JB73" s="17"/>
      <c r="JC73" s="17"/>
      <c r="JD73" s="17"/>
      <c r="JE73" s="17"/>
      <c r="JF73" s="17"/>
      <c r="JG73" s="17"/>
      <c r="JH73" s="17"/>
      <c r="JI73" s="17"/>
      <c r="JJ73" s="17"/>
      <c r="JK73" s="17"/>
      <c r="JL73" s="17"/>
      <c r="JM73" s="17"/>
      <c r="JN73" s="17"/>
      <c r="JO73" s="17"/>
      <c r="JP73" s="17"/>
      <c r="JQ73" s="17"/>
      <c r="JR73" s="17"/>
      <c r="JS73" s="17"/>
      <c r="JT73" s="17"/>
      <c r="JU73" s="17"/>
      <c r="JV73" s="17"/>
      <c r="JW73" s="17"/>
      <c r="JX73" s="17"/>
      <c r="JY73" s="17"/>
      <c r="JZ73" s="17"/>
      <c r="KA73" s="17"/>
      <c r="KB73" s="17"/>
      <c r="KC73" s="17"/>
      <c r="KD73" s="17"/>
      <c r="KE73" s="17"/>
      <c r="KF73" s="17"/>
      <c r="KG73" s="17"/>
      <c r="KH73" s="17"/>
      <c r="KI73" s="17"/>
      <c r="KJ73" s="17"/>
      <c r="KK73" s="17"/>
      <c r="KL73" s="17"/>
      <c r="KM73" s="17"/>
      <c r="KN73" s="17"/>
      <c r="KO73" s="17"/>
      <c r="KP73" s="17"/>
      <c r="KQ73" s="17"/>
      <c r="KR73" s="17"/>
      <c r="KS73" s="17"/>
      <c r="KT73" s="17"/>
      <c r="KU73" s="17"/>
      <c r="KV73" s="17"/>
      <c r="KW73" s="17"/>
      <c r="KX73" s="17"/>
      <c r="KY73" s="17"/>
    </row>
    <row r="74" spans="1:311" x14ac:dyDescent="0.25">
      <c r="A74" s="17"/>
      <c r="B74" s="17"/>
      <c r="C74" s="17"/>
      <c r="D74" s="17"/>
      <c r="E74" s="17"/>
      <c r="F74" s="17"/>
      <c r="G74" s="17"/>
      <c r="H74" s="17"/>
      <c r="I74" s="17"/>
      <c r="J74" s="17"/>
      <c r="K74" s="17"/>
      <c r="L74" s="17"/>
      <c r="M74" s="17"/>
      <c r="N74" s="17"/>
      <c r="O74" s="17"/>
      <c r="P74" s="17"/>
      <c r="Q74" s="17"/>
      <c r="R74" s="17"/>
      <c r="S74" s="17"/>
      <c r="T74" s="17"/>
      <c r="U74" s="17"/>
      <c r="V74" s="17"/>
      <c r="W74" s="17"/>
      <c r="X74" s="17"/>
      <c r="Y74" s="17"/>
      <c r="Z74" s="17"/>
      <c r="AA74" s="17"/>
      <c r="AB74" s="17"/>
      <c r="AC74" s="17"/>
      <c r="AD74" s="17"/>
      <c r="AE74" s="17"/>
      <c r="AF74" s="17"/>
      <c r="AG74" s="17"/>
      <c r="AH74" s="17"/>
      <c r="AI74" s="17"/>
      <c r="AJ74" s="17"/>
      <c r="AK74" s="17"/>
      <c r="AL74" s="17"/>
      <c r="AM74" s="17"/>
      <c r="AN74" s="17"/>
      <c r="AO74" s="17"/>
      <c r="AP74" s="17"/>
      <c r="AQ74" s="17"/>
      <c r="AR74" s="17"/>
      <c r="AS74" s="17"/>
      <c r="AT74" s="17"/>
      <c r="AU74" s="17"/>
      <c r="AV74" s="17"/>
      <c r="AW74" s="17"/>
      <c r="AX74" s="17"/>
      <c r="AY74" s="17"/>
      <c r="AZ74" s="17"/>
      <c r="BA74" s="17"/>
      <c r="BB74" s="17"/>
      <c r="BC74" s="17"/>
      <c r="BD74" s="17"/>
      <c r="BE74" s="17"/>
      <c r="BF74" s="17"/>
      <c r="BG74" s="17"/>
      <c r="BH74" s="17"/>
      <c r="BI74" s="17"/>
      <c r="BJ74" s="17"/>
      <c r="BK74" s="17"/>
      <c r="BL74" s="17"/>
      <c r="BM74" s="17"/>
      <c r="BN74" s="17"/>
      <c r="BO74" s="17"/>
      <c r="BP74" s="17"/>
      <c r="BQ74" s="17"/>
      <c r="BR74" s="17"/>
      <c r="BS74" s="17"/>
      <c r="BT74" s="17"/>
      <c r="BU74" s="17"/>
      <c r="BV74" s="17"/>
      <c r="BW74" s="17"/>
      <c r="BX74" s="17"/>
      <c r="BY74" s="17"/>
      <c r="BZ74" s="17"/>
      <c r="CA74" s="17"/>
      <c r="CB74" s="17"/>
      <c r="CC74" s="17"/>
      <c r="CD74" s="17"/>
      <c r="CE74" s="17"/>
      <c r="CF74" s="17"/>
      <c r="CG74" s="17"/>
      <c r="CH74" s="17"/>
      <c r="CI74" s="17"/>
      <c r="CJ74" s="17"/>
      <c r="CK74" s="17"/>
      <c r="CL74" s="17"/>
      <c r="CM74" s="17"/>
      <c r="CN74" s="17"/>
      <c r="CO74" s="17"/>
      <c r="CP74" s="17"/>
      <c r="CQ74" s="17"/>
      <c r="CR74" s="17"/>
      <c r="CS74" s="17"/>
      <c r="CT74" s="17"/>
      <c r="CU74" s="17"/>
      <c r="CV74" s="17"/>
      <c r="CW74" s="17"/>
      <c r="CX74" s="17"/>
      <c r="CY74" s="17"/>
      <c r="CZ74" s="17"/>
      <c r="DA74" s="17"/>
      <c r="DB74" s="17"/>
      <c r="DC74" s="17"/>
      <c r="DD74" s="17"/>
      <c r="DE74" s="17"/>
      <c r="DF74" s="17"/>
      <c r="DG74" s="17"/>
      <c r="DH74" s="17"/>
      <c r="DI74" s="17"/>
      <c r="DJ74" s="17"/>
      <c r="DK74" s="17"/>
      <c r="DL74" s="17"/>
      <c r="DM74" s="17"/>
      <c r="DN74" s="17"/>
      <c r="DO74" s="17"/>
      <c r="DP74" s="17"/>
      <c r="DQ74" s="17"/>
      <c r="DR74" s="17"/>
      <c r="DS74" s="17"/>
      <c r="DT74" s="17"/>
      <c r="DU74" s="17"/>
      <c r="DV74" s="17"/>
      <c r="DW74" s="17"/>
      <c r="DX74" s="17"/>
      <c r="DY74" s="17"/>
      <c r="DZ74" s="17"/>
      <c r="EA74" s="17"/>
      <c r="EB74" s="17"/>
      <c r="EC74" s="17"/>
      <c r="ED74" s="17"/>
      <c r="EE74" s="17"/>
      <c r="EF74" s="17"/>
      <c r="EG74" s="17"/>
      <c r="EH74" s="17"/>
      <c r="EI74" s="17"/>
      <c r="EJ74" s="17"/>
      <c r="EK74" s="17"/>
      <c r="EL74" s="17"/>
      <c r="EM74" s="17"/>
      <c r="EN74" s="17"/>
      <c r="EO74" s="17"/>
      <c r="EP74" s="17"/>
      <c r="EQ74" s="17"/>
      <c r="ER74" s="17"/>
      <c r="ES74" s="17"/>
      <c r="ET74" s="17"/>
      <c r="EU74" s="17"/>
      <c r="EV74" s="17"/>
      <c r="EW74" s="17"/>
      <c r="EX74" s="17"/>
      <c r="EY74" s="17"/>
      <c r="EZ74" s="17"/>
      <c r="FA74" s="17"/>
      <c r="FB74" s="17"/>
      <c r="FC74" s="17"/>
      <c r="FD74" s="17"/>
      <c r="FE74" s="17"/>
      <c r="FF74" s="17"/>
      <c r="FG74" s="17"/>
      <c r="FH74" s="17"/>
      <c r="FI74" s="17"/>
      <c r="FJ74" s="17"/>
      <c r="FK74" s="17"/>
      <c r="FL74" s="17"/>
      <c r="FM74" s="17"/>
      <c r="FN74" s="17"/>
      <c r="FO74" s="17"/>
      <c r="FP74" s="17"/>
      <c r="FQ74" s="17"/>
      <c r="FR74" s="17"/>
      <c r="FS74" s="17"/>
      <c r="FT74" s="17"/>
      <c r="FU74" s="17"/>
      <c r="FV74" s="17"/>
      <c r="FW74" s="17"/>
      <c r="FX74" s="17"/>
      <c r="FY74" s="17"/>
      <c r="FZ74" s="17"/>
      <c r="GA74" s="17"/>
      <c r="GB74" s="17"/>
      <c r="GC74" s="17"/>
      <c r="GD74" s="17"/>
      <c r="GE74" s="17"/>
      <c r="GF74" s="17"/>
      <c r="GG74" s="17"/>
      <c r="GH74" s="17"/>
      <c r="GI74" s="17"/>
      <c r="GJ74" s="17"/>
      <c r="GK74" s="17"/>
      <c r="GL74" s="17"/>
      <c r="GM74" s="17"/>
      <c r="GN74" s="17"/>
      <c r="GO74" s="17"/>
      <c r="GP74" s="17"/>
      <c r="GQ74" s="17"/>
      <c r="GR74" s="17"/>
      <c r="GS74" s="17"/>
      <c r="GT74" s="17"/>
      <c r="GU74" s="17"/>
      <c r="GV74" s="17"/>
      <c r="GW74" s="17"/>
      <c r="GX74" s="17"/>
      <c r="GY74" s="17"/>
      <c r="GZ74" s="17"/>
      <c r="HA74" s="17"/>
      <c r="HB74" s="17"/>
      <c r="HC74" s="17"/>
      <c r="HD74" s="17"/>
      <c r="HE74" s="17"/>
      <c r="HF74" s="17"/>
      <c r="HG74" s="17"/>
      <c r="HH74" s="17"/>
      <c r="HI74" s="17"/>
      <c r="HJ74" s="17"/>
      <c r="HK74" s="17"/>
      <c r="HL74" s="17"/>
      <c r="HM74" s="17"/>
      <c r="HN74" s="17"/>
      <c r="HO74" s="17"/>
      <c r="HP74" s="17"/>
      <c r="HQ74" s="17"/>
      <c r="HR74" s="17"/>
      <c r="HS74" s="17"/>
      <c r="HT74" s="17"/>
      <c r="HU74" s="17"/>
      <c r="HV74" s="17"/>
      <c r="HW74" s="17"/>
      <c r="HX74" s="17"/>
      <c r="HY74" s="17"/>
      <c r="HZ74" s="17"/>
      <c r="IA74" s="17"/>
      <c r="IB74" s="17"/>
      <c r="IC74" s="17"/>
      <c r="ID74" s="17"/>
      <c r="IE74" s="17"/>
      <c r="IF74" s="17"/>
      <c r="IG74" s="17"/>
      <c r="IH74" s="17"/>
      <c r="II74" s="17"/>
      <c r="IJ74" s="17"/>
      <c r="IK74" s="17"/>
      <c r="IL74" s="17"/>
      <c r="IM74" s="17"/>
      <c r="IN74" s="17"/>
      <c r="IO74" s="17"/>
      <c r="IP74" s="17"/>
      <c r="IQ74" s="17"/>
      <c r="IR74" s="17"/>
      <c r="IS74" s="17"/>
      <c r="IT74" s="17"/>
      <c r="IU74" s="17"/>
      <c r="IV74" s="17"/>
      <c r="IW74" s="17"/>
      <c r="IX74" s="17"/>
      <c r="IY74" s="17"/>
      <c r="IZ74" s="17"/>
      <c r="JA74" s="17"/>
      <c r="JB74" s="17"/>
      <c r="JC74" s="17"/>
      <c r="JD74" s="17"/>
      <c r="JE74" s="17"/>
      <c r="JF74" s="17"/>
      <c r="JG74" s="17"/>
      <c r="JH74" s="17"/>
      <c r="JI74" s="17"/>
      <c r="JJ74" s="17"/>
      <c r="JK74" s="17"/>
      <c r="JL74" s="17"/>
      <c r="JM74" s="17"/>
      <c r="JN74" s="17"/>
      <c r="JO74" s="17"/>
      <c r="JP74" s="17"/>
      <c r="JQ74" s="17"/>
      <c r="JR74" s="17"/>
      <c r="JS74" s="17"/>
      <c r="JT74" s="17"/>
      <c r="JU74" s="17"/>
      <c r="JV74" s="17"/>
      <c r="JW74" s="17"/>
      <c r="JX74" s="17"/>
      <c r="JY74" s="17"/>
      <c r="JZ74" s="17"/>
      <c r="KA74" s="17"/>
      <c r="KB74" s="17"/>
      <c r="KC74" s="17"/>
      <c r="KD74" s="17"/>
      <c r="KE74" s="17"/>
      <c r="KF74" s="17"/>
      <c r="KG74" s="17"/>
      <c r="KH74" s="17"/>
      <c r="KI74" s="17"/>
      <c r="KJ74" s="17"/>
      <c r="KK74" s="17"/>
      <c r="KL74" s="17"/>
      <c r="KM74" s="17"/>
      <c r="KN74" s="17"/>
      <c r="KO74" s="17"/>
      <c r="KP74" s="17"/>
      <c r="KQ74" s="17"/>
      <c r="KR74" s="17"/>
      <c r="KS74" s="17"/>
      <c r="KT74" s="17"/>
      <c r="KU74" s="17"/>
      <c r="KV74" s="17"/>
      <c r="KW74" s="17"/>
      <c r="KX74" s="17"/>
      <c r="KY74" s="17"/>
    </row>
    <row r="75" spans="1:311" x14ac:dyDescent="0.25">
      <c r="A75" s="17"/>
      <c r="B75" s="17"/>
      <c r="C75" s="17"/>
      <c r="D75" s="17"/>
      <c r="E75" s="17"/>
      <c r="F75" s="17"/>
      <c r="G75" s="17"/>
      <c r="H75" s="17"/>
      <c r="I75" s="17"/>
      <c r="J75" s="17"/>
      <c r="K75" s="17"/>
      <c r="L75" s="17"/>
      <c r="M75" s="17"/>
      <c r="N75" s="17"/>
      <c r="O75" s="17"/>
      <c r="P75" s="17"/>
      <c r="Q75" s="17"/>
      <c r="R75" s="17"/>
      <c r="S75" s="17"/>
      <c r="T75" s="17"/>
      <c r="U75" s="17"/>
      <c r="V75" s="17"/>
      <c r="W75" s="17"/>
      <c r="X75" s="17"/>
      <c r="Y75" s="17"/>
      <c r="Z75" s="17"/>
      <c r="AA75" s="17"/>
      <c r="AB75" s="17"/>
      <c r="AC75" s="17"/>
      <c r="AD75" s="17"/>
      <c r="AE75" s="17"/>
      <c r="AF75" s="17"/>
      <c r="AG75" s="17"/>
      <c r="AH75" s="17"/>
      <c r="AI75" s="17"/>
      <c r="AJ75" s="17"/>
      <c r="AK75" s="17"/>
      <c r="AL75" s="17"/>
      <c r="AM75" s="17"/>
      <c r="AN75" s="17"/>
      <c r="AO75" s="17"/>
      <c r="AP75" s="17"/>
      <c r="AQ75" s="17"/>
      <c r="AR75" s="17"/>
      <c r="AS75" s="17"/>
      <c r="AT75" s="17"/>
      <c r="AU75" s="17"/>
      <c r="AV75" s="17"/>
      <c r="AW75" s="17"/>
      <c r="AX75" s="17"/>
      <c r="AY75" s="17"/>
      <c r="AZ75" s="17"/>
      <c r="BA75" s="17"/>
      <c r="BB75" s="17"/>
      <c r="BC75" s="17"/>
      <c r="BD75" s="17"/>
      <c r="BE75" s="17"/>
      <c r="BF75" s="17"/>
      <c r="BG75" s="17"/>
      <c r="BH75" s="17"/>
      <c r="BI75" s="17"/>
      <c r="BJ75" s="17"/>
      <c r="BK75" s="17"/>
      <c r="BL75" s="17"/>
      <c r="BM75" s="17"/>
      <c r="BN75" s="17"/>
      <c r="BO75" s="17"/>
      <c r="BP75" s="17"/>
      <c r="BQ75" s="17"/>
      <c r="BR75" s="17"/>
      <c r="BS75" s="17"/>
      <c r="BT75" s="17"/>
      <c r="BU75" s="17"/>
      <c r="BV75" s="17"/>
      <c r="BW75" s="17"/>
      <c r="BX75" s="17"/>
      <c r="BY75" s="17"/>
      <c r="BZ75" s="17"/>
      <c r="CA75" s="17"/>
      <c r="CB75" s="17"/>
      <c r="CC75" s="17"/>
      <c r="CD75" s="17"/>
      <c r="CE75" s="17"/>
      <c r="CF75" s="17"/>
      <c r="CG75" s="17"/>
      <c r="CH75" s="17"/>
      <c r="CI75" s="17"/>
      <c r="CJ75" s="17"/>
      <c r="CK75" s="17"/>
      <c r="CL75" s="17"/>
      <c r="CM75" s="17"/>
      <c r="CN75" s="17"/>
      <c r="CO75" s="17"/>
      <c r="CP75" s="17"/>
      <c r="CQ75" s="17"/>
      <c r="CR75" s="17"/>
      <c r="CS75" s="17"/>
      <c r="CT75" s="17"/>
      <c r="CU75" s="17"/>
      <c r="CV75" s="17"/>
      <c r="CW75" s="17"/>
      <c r="CX75" s="17"/>
      <c r="CY75" s="17"/>
      <c r="CZ75" s="17"/>
      <c r="DA75" s="17"/>
      <c r="DB75" s="17"/>
      <c r="DC75" s="17"/>
      <c r="DD75" s="17"/>
      <c r="DE75" s="17"/>
      <c r="DF75" s="17"/>
      <c r="DG75" s="17"/>
      <c r="DH75" s="17"/>
      <c r="DI75" s="17"/>
      <c r="DJ75" s="17"/>
      <c r="DK75" s="17"/>
      <c r="DL75" s="17"/>
      <c r="DM75" s="17"/>
      <c r="DN75" s="17"/>
      <c r="DO75" s="17"/>
      <c r="DP75" s="17"/>
      <c r="DQ75" s="17"/>
      <c r="DR75" s="17"/>
      <c r="DS75" s="17"/>
      <c r="DT75" s="17"/>
      <c r="DU75" s="17"/>
      <c r="DV75" s="17"/>
      <c r="DW75" s="17"/>
      <c r="DX75" s="17"/>
      <c r="DY75" s="17"/>
      <c r="DZ75" s="17"/>
      <c r="EA75" s="17"/>
      <c r="EB75" s="17"/>
      <c r="EC75" s="17"/>
      <c r="ED75" s="17"/>
      <c r="EE75" s="17"/>
      <c r="EF75" s="17"/>
      <c r="EG75" s="17"/>
      <c r="EH75" s="17"/>
      <c r="EI75" s="17"/>
      <c r="EJ75" s="17"/>
      <c r="EK75" s="17"/>
      <c r="EL75" s="17"/>
      <c r="EM75" s="17"/>
      <c r="EN75" s="17"/>
      <c r="EO75" s="17"/>
      <c r="EP75" s="17"/>
      <c r="EQ75" s="17"/>
      <c r="ER75" s="17"/>
      <c r="ES75" s="17"/>
      <c r="ET75" s="17"/>
      <c r="EU75" s="17"/>
      <c r="EV75" s="17"/>
      <c r="EW75" s="17"/>
      <c r="EX75" s="17"/>
      <c r="EY75" s="17"/>
      <c r="EZ75" s="17"/>
      <c r="FA75" s="17"/>
      <c r="FB75" s="17"/>
      <c r="FC75" s="17"/>
      <c r="FD75" s="17"/>
      <c r="FE75" s="17"/>
      <c r="FF75" s="17"/>
      <c r="FG75" s="17"/>
      <c r="FH75" s="17"/>
      <c r="FI75" s="17"/>
      <c r="FJ75" s="17"/>
      <c r="FK75" s="17"/>
      <c r="FL75" s="17"/>
      <c r="FM75" s="17"/>
      <c r="FN75" s="17"/>
      <c r="FO75" s="17"/>
      <c r="FP75" s="17"/>
      <c r="FQ75" s="17"/>
      <c r="FR75" s="17"/>
      <c r="FS75" s="17"/>
      <c r="FT75" s="17"/>
      <c r="FU75" s="17"/>
      <c r="FV75" s="17"/>
      <c r="FW75" s="17"/>
      <c r="FX75" s="17"/>
      <c r="FY75" s="17"/>
      <c r="FZ75" s="17"/>
      <c r="GA75" s="17"/>
      <c r="GB75" s="17"/>
      <c r="GC75" s="17"/>
      <c r="GD75" s="17"/>
      <c r="GE75" s="17"/>
      <c r="GF75" s="17"/>
      <c r="GG75" s="17"/>
      <c r="GH75" s="17"/>
      <c r="GI75" s="17"/>
      <c r="GJ75" s="17"/>
      <c r="GK75" s="17"/>
      <c r="GL75" s="17"/>
      <c r="GM75" s="17"/>
      <c r="GN75" s="17"/>
      <c r="GO75" s="17"/>
      <c r="GP75" s="17"/>
      <c r="GQ75" s="17"/>
      <c r="GR75" s="17"/>
      <c r="GS75" s="17"/>
      <c r="GT75" s="17"/>
      <c r="GU75" s="17"/>
      <c r="GV75" s="17"/>
      <c r="GW75" s="17"/>
      <c r="GX75" s="17"/>
      <c r="GY75" s="17"/>
      <c r="GZ75" s="17"/>
      <c r="HA75" s="17"/>
      <c r="HB75" s="17"/>
      <c r="HC75" s="17"/>
      <c r="HD75" s="17"/>
      <c r="HE75" s="17"/>
      <c r="HF75" s="17"/>
      <c r="HG75" s="17"/>
      <c r="HH75" s="17"/>
      <c r="HI75" s="17"/>
      <c r="HJ75" s="17"/>
      <c r="HK75" s="17"/>
      <c r="HL75" s="17"/>
      <c r="HM75" s="17"/>
      <c r="HN75" s="17"/>
      <c r="HO75" s="17"/>
      <c r="HP75" s="17"/>
      <c r="HQ75" s="17"/>
      <c r="HR75" s="17"/>
      <c r="HS75" s="17"/>
      <c r="HT75" s="17"/>
      <c r="HU75" s="17"/>
      <c r="HV75" s="17"/>
      <c r="HW75" s="17"/>
      <c r="HX75" s="17"/>
      <c r="HY75" s="17"/>
      <c r="HZ75" s="17"/>
      <c r="IA75" s="17"/>
      <c r="IB75" s="17"/>
      <c r="IC75" s="17"/>
      <c r="ID75" s="17"/>
      <c r="IE75" s="17"/>
      <c r="IF75" s="17"/>
      <c r="IG75" s="17"/>
      <c r="IH75" s="17"/>
      <c r="II75" s="17"/>
      <c r="IJ75" s="17"/>
      <c r="IK75" s="17"/>
      <c r="IL75" s="17"/>
      <c r="IM75" s="17"/>
      <c r="IN75" s="17"/>
      <c r="IO75" s="17"/>
      <c r="IP75" s="17"/>
      <c r="IQ75" s="17"/>
      <c r="IR75" s="17"/>
      <c r="IS75" s="17"/>
      <c r="IT75" s="17"/>
      <c r="IU75" s="17"/>
      <c r="IV75" s="17"/>
      <c r="IW75" s="17"/>
      <c r="IX75" s="17"/>
      <c r="IY75" s="17"/>
      <c r="IZ75" s="17"/>
      <c r="JA75" s="17"/>
      <c r="JB75" s="17"/>
      <c r="JC75" s="17"/>
      <c r="JD75" s="17"/>
      <c r="JE75" s="17"/>
      <c r="JF75" s="17"/>
      <c r="JG75" s="17"/>
      <c r="JH75" s="17"/>
      <c r="JI75" s="17"/>
      <c r="JJ75" s="17"/>
      <c r="JK75" s="17"/>
      <c r="JL75" s="17"/>
      <c r="JM75" s="17"/>
      <c r="JN75" s="17"/>
      <c r="JO75" s="17"/>
      <c r="JP75" s="17"/>
      <c r="JQ75" s="17"/>
      <c r="JR75" s="17"/>
      <c r="JS75" s="17"/>
      <c r="JT75" s="17"/>
      <c r="JU75" s="17"/>
      <c r="JV75" s="17"/>
      <c r="JW75" s="17"/>
      <c r="JX75" s="17"/>
      <c r="JY75" s="17"/>
      <c r="JZ75" s="17"/>
      <c r="KA75" s="17"/>
      <c r="KB75" s="17"/>
      <c r="KC75" s="17"/>
      <c r="KD75" s="17"/>
      <c r="KE75" s="17"/>
      <c r="KF75" s="17"/>
      <c r="KG75" s="17"/>
      <c r="KH75" s="17"/>
      <c r="KI75" s="17"/>
      <c r="KJ75" s="17"/>
      <c r="KK75" s="17"/>
      <c r="KL75" s="17"/>
      <c r="KM75" s="17"/>
      <c r="KN75" s="17"/>
      <c r="KO75" s="17"/>
      <c r="KP75" s="17"/>
      <c r="KQ75" s="17"/>
      <c r="KR75" s="17"/>
      <c r="KS75" s="17"/>
      <c r="KT75" s="17"/>
      <c r="KU75" s="17"/>
      <c r="KV75" s="17"/>
      <c r="KW75" s="17"/>
      <c r="KX75" s="17"/>
      <c r="KY75" s="17"/>
    </row>
    <row r="76" spans="1:311" x14ac:dyDescent="0.25">
      <c r="A76" s="17"/>
      <c r="B76" s="17"/>
      <c r="C76" s="17"/>
      <c r="D76" s="17"/>
      <c r="E76" s="17"/>
      <c r="F76" s="17"/>
      <c r="G76" s="17"/>
      <c r="H76" s="17"/>
      <c r="I76" s="17"/>
      <c r="J76" s="17"/>
      <c r="K76" s="17"/>
      <c r="L76" s="17"/>
      <c r="M76" s="17"/>
      <c r="N76" s="17"/>
      <c r="O76" s="17"/>
      <c r="P76" s="17"/>
      <c r="Q76" s="17"/>
      <c r="R76" s="17"/>
      <c r="S76" s="17"/>
      <c r="T76" s="17"/>
      <c r="U76" s="17"/>
      <c r="V76" s="17"/>
      <c r="W76" s="17"/>
      <c r="X76" s="17"/>
      <c r="Y76" s="17"/>
      <c r="Z76" s="17"/>
      <c r="AA76" s="17"/>
      <c r="AB76" s="17"/>
      <c r="AC76" s="17"/>
      <c r="AD76" s="17"/>
      <c r="AE76" s="17"/>
      <c r="AF76" s="17"/>
      <c r="AG76" s="17"/>
      <c r="AH76" s="17"/>
      <c r="AI76" s="17"/>
      <c r="AJ76" s="17"/>
      <c r="AK76" s="17"/>
      <c r="AL76" s="17"/>
      <c r="AM76" s="17"/>
      <c r="AN76" s="17"/>
      <c r="AO76" s="17"/>
      <c r="AP76" s="17"/>
      <c r="AQ76" s="17"/>
      <c r="AR76" s="17"/>
      <c r="AS76" s="17"/>
      <c r="AT76" s="17"/>
      <c r="AU76" s="17"/>
      <c r="AV76" s="17"/>
      <c r="AW76" s="17"/>
      <c r="AX76" s="17"/>
      <c r="AY76" s="17"/>
      <c r="AZ76" s="17"/>
      <c r="BA76" s="17"/>
      <c r="BB76" s="17"/>
      <c r="BC76" s="17"/>
      <c r="BD76" s="17"/>
      <c r="BE76" s="17"/>
      <c r="BF76" s="17"/>
      <c r="BG76" s="17"/>
      <c r="BH76" s="17"/>
      <c r="BI76" s="17"/>
      <c r="BJ76" s="17"/>
      <c r="BK76" s="17"/>
      <c r="BL76" s="17"/>
      <c r="BM76" s="17"/>
      <c r="BN76" s="17"/>
      <c r="BO76" s="17"/>
      <c r="BP76" s="17"/>
      <c r="BQ76" s="17"/>
      <c r="BR76" s="17"/>
      <c r="BS76" s="17"/>
      <c r="BT76" s="17"/>
      <c r="BU76" s="17"/>
      <c r="BV76" s="17"/>
      <c r="BW76" s="17"/>
      <c r="BX76" s="17"/>
      <c r="BY76" s="17"/>
      <c r="BZ76" s="17"/>
      <c r="CA76" s="17"/>
      <c r="CB76" s="17"/>
      <c r="CC76" s="17"/>
      <c r="CD76" s="17"/>
      <c r="CE76" s="17"/>
      <c r="CF76" s="17"/>
      <c r="CG76" s="17"/>
      <c r="CH76" s="17"/>
      <c r="CI76" s="17"/>
      <c r="CJ76" s="17"/>
      <c r="CK76" s="17"/>
      <c r="CL76" s="17"/>
      <c r="CM76" s="17"/>
      <c r="CN76" s="17"/>
      <c r="CO76" s="17"/>
      <c r="CP76" s="17"/>
      <c r="CQ76" s="17"/>
      <c r="CR76" s="17"/>
      <c r="CS76" s="17"/>
      <c r="CT76" s="17"/>
      <c r="CU76" s="17"/>
      <c r="CV76" s="17"/>
      <c r="CW76" s="17"/>
      <c r="CX76" s="17"/>
      <c r="CY76" s="17"/>
      <c r="CZ76" s="17"/>
      <c r="DA76" s="17"/>
      <c r="DB76" s="17"/>
      <c r="DC76" s="17"/>
      <c r="DD76" s="17"/>
      <c r="DE76" s="17"/>
      <c r="DF76" s="17"/>
      <c r="DG76" s="17"/>
      <c r="DH76" s="17"/>
      <c r="DI76" s="17"/>
      <c r="DJ76" s="17"/>
      <c r="DK76" s="17"/>
      <c r="DL76" s="17"/>
      <c r="DM76" s="17"/>
      <c r="DN76" s="17"/>
      <c r="DO76" s="17"/>
      <c r="DP76" s="17"/>
      <c r="DQ76" s="17"/>
      <c r="DR76" s="17"/>
      <c r="DS76" s="17"/>
      <c r="DT76" s="17"/>
      <c r="DU76" s="17"/>
      <c r="DV76" s="17"/>
      <c r="DW76" s="17"/>
      <c r="DX76" s="17"/>
      <c r="DY76" s="17"/>
      <c r="DZ76" s="17"/>
      <c r="EA76" s="17"/>
      <c r="EB76" s="17"/>
      <c r="EC76" s="17"/>
      <c r="ED76" s="17"/>
      <c r="EE76" s="17"/>
      <c r="EF76" s="17"/>
      <c r="EG76" s="17"/>
      <c r="EH76" s="17"/>
      <c r="EI76" s="17"/>
      <c r="EJ76" s="17"/>
      <c r="EK76" s="17"/>
      <c r="EL76" s="17"/>
      <c r="EM76" s="17"/>
      <c r="EN76" s="17"/>
      <c r="EO76" s="17"/>
      <c r="EP76" s="17"/>
      <c r="EQ76" s="17"/>
      <c r="ER76" s="17"/>
      <c r="ES76" s="17"/>
      <c r="ET76" s="17"/>
      <c r="EU76" s="17"/>
      <c r="EV76" s="17"/>
      <c r="EW76" s="17"/>
      <c r="EX76" s="17"/>
      <c r="EY76" s="17"/>
      <c r="EZ76" s="17"/>
      <c r="FA76" s="17"/>
      <c r="FB76" s="17"/>
      <c r="FC76" s="17"/>
      <c r="FD76" s="17"/>
      <c r="FE76" s="17"/>
      <c r="FF76" s="17"/>
      <c r="FG76" s="17"/>
      <c r="FH76" s="17"/>
      <c r="FI76" s="17"/>
      <c r="FJ76" s="17"/>
      <c r="FK76" s="17"/>
      <c r="FL76" s="17"/>
      <c r="FM76" s="17"/>
      <c r="FN76" s="17"/>
      <c r="FO76" s="17"/>
      <c r="FP76" s="17"/>
      <c r="FQ76" s="17"/>
      <c r="FR76" s="17"/>
      <c r="FS76" s="17"/>
      <c r="FT76" s="17"/>
      <c r="FU76" s="17"/>
      <c r="FV76" s="17"/>
      <c r="FW76" s="17"/>
      <c r="FX76" s="17"/>
      <c r="FY76" s="17"/>
      <c r="FZ76" s="17"/>
      <c r="GA76" s="17"/>
      <c r="GB76" s="17"/>
      <c r="GC76" s="17"/>
      <c r="GD76" s="17"/>
      <c r="GE76" s="17"/>
      <c r="GF76" s="17"/>
      <c r="GG76" s="17"/>
      <c r="GH76" s="17"/>
      <c r="GI76" s="17"/>
      <c r="GJ76" s="17"/>
      <c r="GK76" s="17"/>
      <c r="GL76" s="17"/>
      <c r="GM76" s="17"/>
      <c r="GN76" s="17"/>
      <c r="GO76" s="17"/>
      <c r="GP76" s="17"/>
      <c r="GQ76" s="17"/>
      <c r="GR76" s="17"/>
      <c r="GS76" s="17"/>
      <c r="GT76" s="17"/>
      <c r="GU76" s="17"/>
      <c r="GV76" s="17"/>
      <c r="GW76" s="17"/>
      <c r="GX76" s="17"/>
      <c r="GY76" s="17"/>
      <c r="GZ76" s="17"/>
      <c r="HA76" s="17"/>
      <c r="HB76" s="17"/>
      <c r="HC76" s="17"/>
      <c r="HD76" s="17"/>
      <c r="HE76" s="17"/>
      <c r="HF76" s="17"/>
      <c r="HG76" s="17"/>
      <c r="HH76" s="17"/>
      <c r="HI76" s="17"/>
      <c r="HJ76" s="17"/>
      <c r="HK76" s="17"/>
      <c r="HL76" s="17"/>
      <c r="HM76" s="17"/>
      <c r="HN76" s="17"/>
      <c r="HO76" s="17"/>
      <c r="HP76" s="17"/>
      <c r="HQ76" s="17"/>
      <c r="HR76" s="17"/>
      <c r="HS76" s="17"/>
      <c r="HT76" s="17"/>
      <c r="HU76" s="17"/>
      <c r="HV76" s="17"/>
      <c r="HW76" s="17"/>
      <c r="HX76" s="17"/>
      <c r="HY76" s="17"/>
      <c r="HZ76" s="17"/>
      <c r="IA76" s="17"/>
      <c r="IB76" s="17"/>
      <c r="IC76" s="17"/>
      <c r="ID76" s="17"/>
      <c r="IE76" s="17"/>
      <c r="IF76" s="17"/>
      <c r="IG76" s="17"/>
      <c r="IH76" s="17"/>
      <c r="II76" s="17"/>
      <c r="IJ76" s="17"/>
      <c r="IK76" s="17"/>
      <c r="IL76" s="17"/>
      <c r="IM76" s="17"/>
      <c r="IN76" s="17"/>
      <c r="IO76" s="17"/>
      <c r="IP76" s="17"/>
      <c r="IQ76" s="17"/>
      <c r="IR76" s="17"/>
      <c r="IS76" s="17"/>
      <c r="IT76" s="17"/>
      <c r="IU76" s="17"/>
      <c r="IV76" s="17"/>
      <c r="IW76" s="17"/>
      <c r="IX76" s="17"/>
      <c r="IY76" s="17"/>
      <c r="IZ76" s="17"/>
      <c r="JA76" s="17"/>
      <c r="JB76" s="17"/>
      <c r="JC76" s="17"/>
      <c r="JD76" s="17"/>
      <c r="JE76" s="17"/>
      <c r="JF76" s="17"/>
      <c r="JG76" s="17"/>
      <c r="JH76" s="17"/>
      <c r="JI76" s="17"/>
      <c r="JJ76" s="17"/>
      <c r="JK76" s="17"/>
      <c r="JL76" s="17"/>
      <c r="JM76" s="17"/>
      <c r="JN76" s="17"/>
      <c r="JO76" s="17"/>
      <c r="JP76" s="17"/>
      <c r="JQ76" s="17"/>
      <c r="JR76" s="17"/>
      <c r="JS76" s="17"/>
      <c r="JT76" s="17"/>
      <c r="JU76" s="17"/>
      <c r="JV76" s="17"/>
      <c r="JW76" s="17"/>
      <c r="JX76" s="17"/>
      <c r="JY76" s="17"/>
      <c r="JZ76" s="17"/>
      <c r="KA76" s="17"/>
      <c r="KB76" s="17"/>
      <c r="KC76" s="17"/>
      <c r="KD76" s="17"/>
      <c r="KE76" s="17"/>
      <c r="KF76" s="17"/>
      <c r="KG76" s="17"/>
      <c r="KH76" s="17"/>
      <c r="KI76" s="17"/>
      <c r="KJ76" s="17"/>
      <c r="KK76" s="17"/>
      <c r="KL76" s="17"/>
      <c r="KM76" s="17"/>
      <c r="KN76" s="17"/>
      <c r="KO76" s="17"/>
      <c r="KP76" s="17"/>
      <c r="KQ76" s="17"/>
      <c r="KR76" s="17"/>
      <c r="KS76" s="17"/>
      <c r="KT76" s="17"/>
      <c r="KU76" s="17"/>
      <c r="KV76" s="17"/>
      <c r="KW76" s="17"/>
      <c r="KX76" s="17"/>
      <c r="KY76" s="17"/>
    </row>
    <row r="77" spans="1:311" x14ac:dyDescent="0.25">
      <c r="A77" s="17"/>
      <c r="B77" s="17"/>
      <c r="C77" s="17"/>
      <c r="D77" s="17"/>
      <c r="E77" s="17"/>
      <c r="F77" s="17"/>
      <c r="G77" s="17"/>
      <c r="H77" s="17"/>
      <c r="I77" s="17"/>
      <c r="J77" s="17"/>
      <c r="K77" s="17"/>
      <c r="L77" s="17"/>
      <c r="M77" s="17"/>
      <c r="N77" s="17"/>
      <c r="O77" s="17"/>
      <c r="P77" s="17"/>
      <c r="Q77" s="17"/>
      <c r="R77" s="17"/>
      <c r="S77" s="17"/>
      <c r="T77" s="17"/>
      <c r="U77" s="17"/>
      <c r="V77" s="17"/>
      <c r="W77" s="17"/>
      <c r="X77" s="17"/>
      <c r="Y77" s="17"/>
      <c r="Z77" s="17"/>
      <c r="AA77" s="17"/>
      <c r="AB77" s="17"/>
      <c r="AC77" s="17"/>
      <c r="AD77" s="17"/>
      <c r="AE77" s="17"/>
      <c r="AF77" s="17"/>
      <c r="AG77" s="17"/>
      <c r="AH77" s="17"/>
      <c r="AI77" s="17"/>
      <c r="AJ77" s="17"/>
      <c r="AK77" s="17"/>
      <c r="AL77" s="17"/>
      <c r="AM77" s="17"/>
      <c r="AN77" s="17"/>
      <c r="AO77" s="17"/>
      <c r="AP77" s="17"/>
      <c r="AQ77" s="17"/>
      <c r="AR77" s="17"/>
      <c r="AS77" s="17"/>
      <c r="AT77" s="17"/>
      <c r="AU77" s="17"/>
      <c r="AV77" s="17"/>
      <c r="AW77" s="17"/>
      <c r="AX77" s="17"/>
      <c r="AY77" s="17"/>
      <c r="AZ77" s="17"/>
      <c r="BA77" s="17"/>
      <c r="BB77" s="17"/>
      <c r="BC77" s="17"/>
      <c r="BD77" s="17"/>
      <c r="BE77" s="17"/>
      <c r="BF77" s="17"/>
      <c r="BG77" s="17"/>
      <c r="BH77" s="17"/>
      <c r="BI77" s="17"/>
      <c r="BJ77" s="17"/>
      <c r="BK77" s="17"/>
      <c r="BL77" s="17"/>
      <c r="BM77" s="17"/>
      <c r="BN77" s="17"/>
      <c r="BO77" s="17"/>
      <c r="BP77" s="17"/>
      <c r="BQ77" s="17"/>
      <c r="BR77" s="17"/>
      <c r="BS77" s="17"/>
      <c r="BT77" s="17"/>
      <c r="BU77" s="17"/>
      <c r="BV77" s="17"/>
      <c r="BW77" s="17"/>
      <c r="BX77" s="17"/>
      <c r="BY77" s="17"/>
      <c r="BZ77" s="17"/>
      <c r="CA77" s="17"/>
      <c r="CB77" s="17"/>
      <c r="CC77" s="17"/>
      <c r="CD77" s="17"/>
      <c r="CE77" s="17"/>
      <c r="CF77" s="17"/>
      <c r="CG77" s="17"/>
      <c r="CH77" s="17"/>
      <c r="CI77" s="17"/>
      <c r="CJ77" s="17"/>
      <c r="CK77" s="17"/>
      <c r="CL77" s="17"/>
      <c r="CM77" s="17"/>
      <c r="CN77" s="17"/>
      <c r="CO77" s="17"/>
      <c r="CP77" s="17"/>
      <c r="CQ77" s="17"/>
      <c r="CR77" s="17"/>
      <c r="CS77" s="17"/>
      <c r="CT77" s="17"/>
      <c r="CU77" s="17"/>
      <c r="CV77" s="17"/>
      <c r="CW77" s="17"/>
      <c r="CX77" s="17"/>
      <c r="CY77" s="17"/>
      <c r="CZ77" s="17"/>
      <c r="DA77" s="17"/>
      <c r="DB77" s="17"/>
      <c r="DC77" s="17"/>
      <c r="DD77" s="17"/>
      <c r="DE77" s="17"/>
      <c r="DF77" s="17"/>
      <c r="DG77" s="17"/>
      <c r="DH77" s="17"/>
      <c r="DI77" s="17"/>
      <c r="DJ77" s="17"/>
      <c r="DK77" s="17"/>
      <c r="DL77" s="17"/>
      <c r="DM77" s="17"/>
      <c r="DN77" s="17"/>
      <c r="DO77" s="17"/>
      <c r="DP77" s="17"/>
      <c r="DQ77" s="17"/>
      <c r="DR77" s="17"/>
      <c r="DS77" s="17"/>
      <c r="DT77" s="17"/>
      <c r="DU77" s="17"/>
      <c r="DV77" s="17"/>
      <c r="DW77" s="17"/>
      <c r="DX77" s="17"/>
      <c r="DY77" s="17"/>
      <c r="DZ77" s="17"/>
      <c r="EA77" s="17"/>
      <c r="EB77" s="17"/>
      <c r="EC77" s="17"/>
      <c r="ED77" s="17"/>
      <c r="EE77" s="17"/>
      <c r="EF77" s="17"/>
      <c r="EG77" s="17"/>
      <c r="EH77" s="17"/>
      <c r="EI77" s="17"/>
      <c r="EJ77" s="17"/>
      <c r="EK77" s="17"/>
      <c r="EL77" s="17"/>
      <c r="EM77" s="17"/>
      <c r="EN77" s="17"/>
      <c r="EO77" s="17"/>
      <c r="EP77" s="17"/>
      <c r="EQ77" s="17"/>
      <c r="ER77" s="17"/>
      <c r="ES77" s="17"/>
      <c r="ET77" s="17"/>
      <c r="EU77" s="17"/>
      <c r="EV77" s="17"/>
      <c r="EW77" s="17"/>
      <c r="EX77" s="17"/>
      <c r="EY77" s="17"/>
      <c r="EZ77" s="17"/>
      <c r="FA77" s="17"/>
      <c r="FB77" s="17"/>
      <c r="FC77" s="17"/>
      <c r="FD77" s="17"/>
      <c r="FE77" s="17"/>
      <c r="FF77" s="17"/>
      <c r="FG77" s="17"/>
      <c r="FH77" s="17"/>
      <c r="FI77" s="17"/>
      <c r="FJ77" s="17"/>
      <c r="FK77" s="17"/>
      <c r="FL77" s="17"/>
      <c r="FM77" s="17"/>
      <c r="FN77" s="17"/>
      <c r="FO77" s="17"/>
      <c r="FP77" s="17"/>
      <c r="FQ77" s="17"/>
      <c r="FR77" s="17"/>
      <c r="FS77" s="17"/>
      <c r="FT77" s="17"/>
      <c r="FU77" s="17"/>
      <c r="FV77" s="17"/>
      <c r="FW77" s="17"/>
      <c r="FX77" s="17"/>
      <c r="FY77" s="17"/>
      <c r="FZ77" s="17"/>
      <c r="GA77" s="17"/>
      <c r="GB77" s="17"/>
      <c r="GC77" s="17"/>
      <c r="GD77" s="17"/>
      <c r="GE77" s="17"/>
      <c r="GF77" s="17"/>
      <c r="GG77" s="17"/>
      <c r="GH77" s="17"/>
      <c r="GI77" s="17"/>
      <c r="GJ77" s="17"/>
      <c r="GK77" s="17"/>
      <c r="GL77" s="17"/>
      <c r="GM77" s="17"/>
      <c r="GN77" s="17"/>
      <c r="GO77" s="17"/>
      <c r="GP77" s="17"/>
      <c r="GQ77" s="17"/>
      <c r="GR77" s="17"/>
      <c r="GS77" s="17"/>
      <c r="GT77" s="17"/>
      <c r="GU77" s="17"/>
      <c r="GV77" s="17"/>
      <c r="GW77" s="17"/>
      <c r="GX77" s="17"/>
      <c r="GY77" s="17"/>
      <c r="GZ77" s="17"/>
      <c r="HA77" s="17"/>
      <c r="HB77" s="17"/>
      <c r="HC77" s="17"/>
      <c r="HD77" s="17"/>
      <c r="HE77" s="17"/>
      <c r="HF77" s="17"/>
      <c r="HG77" s="17"/>
      <c r="HH77" s="17"/>
      <c r="HI77" s="17"/>
      <c r="HJ77" s="17"/>
      <c r="HK77" s="17"/>
      <c r="HL77" s="17"/>
      <c r="HM77" s="17"/>
      <c r="HN77" s="17"/>
      <c r="HO77" s="17"/>
      <c r="HP77" s="17"/>
      <c r="HQ77" s="17"/>
      <c r="HR77" s="17"/>
      <c r="HS77" s="17"/>
      <c r="HT77" s="17"/>
      <c r="HU77" s="17"/>
      <c r="HV77" s="17"/>
      <c r="HW77" s="17"/>
      <c r="HX77" s="17"/>
      <c r="HY77" s="17"/>
      <c r="HZ77" s="17"/>
      <c r="IA77" s="17"/>
      <c r="IB77" s="17"/>
      <c r="IC77" s="17"/>
      <c r="ID77" s="17"/>
      <c r="IE77" s="17"/>
      <c r="IF77" s="17"/>
      <c r="IG77" s="17"/>
      <c r="IH77" s="17"/>
      <c r="II77" s="17"/>
      <c r="IJ77" s="17"/>
      <c r="IK77" s="17"/>
      <c r="IL77" s="17"/>
      <c r="IM77" s="17"/>
      <c r="IN77" s="17"/>
      <c r="IO77" s="17"/>
      <c r="IP77" s="17"/>
      <c r="IQ77" s="17"/>
      <c r="IR77" s="17"/>
      <c r="IS77" s="17"/>
      <c r="IT77" s="17"/>
      <c r="IU77" s="17"/>
      <c r="IV77" s="17"/>
      <c r="IW77" s="17"/>
      <c r="IX77" s="17"/>
      <c r="IY77" s="17"/>
      <c r="IZ77" s="17"/>
      <c r="JA77" s="17"/>
      <c r="JB77" s="17"/>
      <c r="JC77" s="17"/>
      <c r="JD77" s="17"/>
      <c r="JE77" s="17"/>
      <c r="JF77" s="17"/>
      <c r="JG77" s="17"/>
      <c r="JH77" s="17"/>
      <c r="JI77" s="17"/>
      <c r="JJ77" s="17"/>
      <c r="JK77" s="17"/>
      <c r="JL77" s="17"/>
      <c r="JM77" s="17"/>
      <c r="JN77" s="17"/>
      <c r="JO77" s="17"/>
      <c r="JP77" s="17"/>
      <c r="JQ77" s="17"/>
      <c r="JR77" s="17"/>
      <c r="JS77" s="17"/>
      <c r="JT77" s="17"/>
      <c r="JU77" s="17"/>
      <c r="JV77" s="17"/>
      <c r="JW77" s="17"/>
      <c r="JX77" s="17"/>
      <c r="JY77" s="17"/>
      <c r="JZ77" s="17"/>
      <c r="KA77" s="17"/>
      <c r="KB77" s="17"/>
      <c r="KC77" s="17"/>
      <c r="KD77" s="17"/>
      <c r="KE77" s="17"/>
      <c r="KF77" s="17"/>
      <c r="KG77" s="17"/>
      <c r="KH77" s="17"/>
      <c r="KI77" s="17"/>
      <c r="KJ77" s="17"/>
      <c r="KK77" s="17"/>
      <c r="KL77" s="17"/>
      <c r="KM77" s="17"/>
      <c r="KN77" s="17"/>
      <c r="KO77" s="17"/>
      <c r="KP77" s="17"/>
      <c r="KQ77" s="17"/>
      <c r="KR77" s="17"/>
      <c r="KS77" s="17"/>
      <c r="KT77" s="17"/>
      <c r="KU77" s="17"/>
      <c r="KV77" s="17"/>
      <c r="KW77" s="17"/>
      <c r="KX77" s="17"/>
      <c r="KY77" s="17"/>
    </row>
    <row r="78" spans="1:311" x14ac:dyDescent="0.25">
      <c r="A78" s="17"/>
      <c r="B78" s="17"/>
      <c r="C78" s="17"/>
      <c r="D78" s="17"/>
      <c r="E78" s="17"/>
      <c r="F78" s="17"/>
      <c r="G78" s="17"/>
      <c r="H78" s="17"/>
      <c r="I78" s="17"/>
      <c r="J78" s="17"/>
      <c r="K78" s="17"/>
      <c r="L78" s="17"/>
      <c r="M78" s="17"/>
      <c r="N78" s="17"/>
      <c r="O78" s="17"/>
      <c r="P78" s="17"/>
      <c r="Q78" s="17"/>
      <c r="R78" s="17"/>
      <c r="S78" s="17"/>
      <c r="T78" s="17"/>
      <c r="U78" s="17"/>
      <c r="V78" s="17"/>
      <c r="W78" s="17"/>
      <c r="X78" s="17"/>
      <c r="Y78" s="17"/>
      <c r="Z78" s="17"/>
      <c r="AA78" s="17"/>
      <c r="AB78" s="17"/>
      <c r="AC78" s="17"/>
      <c r="AD78" s="17"/>
      <c r="AE78" s="17"/>
      <c r="AF78" s="17"/>
      <c r="AG78" s="17"/>
      <c r="AH78" s="17"/>
      <c r="AI78" s="17"/>
      <c r="AJ78" s="17"/>
      <c r="AK78" s="17"/>
      <c r="AL78" s="17"/>
      <c r="AM78" s="17"/>
      <c r="AN78" s="17"/>
      <c r="AO78" s="17"/>
      <c r="AP78" s="17"/>
      <c r="AQ78" s="17"/>
      <c r="AR78" s="17"/>
      <c r="AS78" s="17"/>
      <c r="AT78" s="17"/>
      <c r="AU78" s="17"/>
      <c r="AV78" s="17"/>
      <c r="AW78" s="17"/>
      <c r="AX78" s="17"/>
      <c r="AY78" s="17"/>
      <c r="AZ78" s="17"/>
      <c r="BA78" s="17"/>
      <c r="BB78" s="17"/>
      <c r="BC78" s="17"/>
      <c r="BD78" s="17"/>
      <c r="BE78" s="17"/>
      <c r="BF78" s="17"/>
      <c r="BG78" s="17"/>
      <c r="BH78" s="17"/>
      <c r="BI78" s="17"/>
      <c r="BJ78" s="17"/>
      <c r="BK78" s="17"/>
      <c r="BL78" s="17"/>
      <c r="BM78" s="17"/>
      <c r="BN78" s="17"/>
      <c r="BO78" s="17"/>
      <c r="BP78" s="17"/>
      <c r="BQ78" s="17"/>
      <c r="BR78" s="17"/>
      <c r="BS78" s="17"/>
      <c r="BT78" s="17"/>
      <c r="BU78" s="17"/>
      <c r="BV78" s="17"/>
      <c r="BW78" s="17"/>
      <c r="BX78" s="17"/>
      <c r="BY78" s="17"/>
      <c r="BZ78" s="17"/>
      <c r="CA78" s="17"/>
      <c r="CB78" s="17"/>
      <c r="CC78" s="17"/>
      <c r="CD78" s="17"/>
      <c r="CE78" s="17"/>
      <c r="CF78" s="17"/>
      <c r="CG78" s="17"/>
      <c r="CH78" s="17"/>
      <c r="CI78" s="17"/>
      <c r="CJ78" s="17"/>
      <c r="CK78" s="17"/>
      <c r="CL78" s="17"/>
      <c r="CM78" s="17"/>
      <c r="CN78" s="17"/>
      <c r="CO78" s="17"/>
      <c r="CP78" s="17"/>
      <c r="CQ78" s="17"/>
      <c r="CR78" s="17"/>
      <c r="CS78" s="17"/>
      <c r="CT78" s="17"/>
      <c r="CU78" s="17"/>
      <c r="CV78" s="17"/>
      <c r="CW78" s="17"/>
      <c r="CX78" s="17"/>
      <c r="CY78" s="17"/>
      <c r="CZ78" s="17"/>
      <c r="DA78" s="17"/>
      <c r="DB78" s="17"/>
      <c r="DC78" s="17"/>
      <c r="DD78" s="17"/>
      <c r="DE78" s="17"/>
      <c r="DF78" s="17"/>
      <c r="DG78" s="17"/>
      <c r="DH78" s="17"/>
      <c r="DI78" s="17"/>
      <c r="DJ78" s="17"/>
      <c r="DK78" s="17"/>
      <c r="DL78" s="17"/>
      <c r="DM78" s="17"/>
      <c r="DN78" s="17"/>
      <c r="DO78" s="17"/>
      <c r="DP78" s="17"/>
      <c r="DQ78" s="17"/>
      <c r="DR78" s="17"/>
      <c r="DS78" s="17"/>
      <c r="DT78" s="17"/>
      <c r="DU78" s="17"/>
      <c r="DV78" s="17"/>
      <c r="DW78" s="17"/>
      <c r="DX78" s="17"/>
      <c r="DY78" s="17"/>
      <c r="DZ78" s="17"/>
      <c r="EA78" s="17"/>
      <c r="EB78" s="17"/>
      <c r="EC78" s="17"/>
      <c r="ED78" s="17"/>
      <c r="EE78" s="17"/>
      <c r="EF78" s="17"/>
      <c r="EG78" s="17"/>
      <c r="EH78" s="17"/>
      <c r="EI78" s="17"/>
      <c r="EJ78" s="17"/>
      <c r="EK78" s="17"/>
      <c r="EL78" s="17"/>
      <c r="EM78" s="17"/>
      <c r="EN78" s="17"/>
      <c r="EO78" s="17"/>
      <c r="EP78" s="17"/>
      <c r="EQ78" s="17"/>
      <c r="ER78" s="17"/>
      <c r="ES78" s="17"/>
      <c r="ET78" s="17"/>
      <c r="EU78" s="17"/>
      <c r="EV78" s="17"/>
      <c r="EW78" s="17"/>
      <c r="EX78" s="17"/>
      <c r="EY78" s="17"/>
      <c r="EZ78" s="17"/>
      <c r="FA78" s="17"/>
      <c r="FB78" s="17"/>
      <c r="FC78" s="17"/>
      <c r="FD78" s="17"/>
      <c r="FE78" s="17"/>
      <c r="FF78" s="17"/>
      <c r="FG78" s="17"/>
      <c r="FH78" s="17"/>
      <c r="FI78" s="17"/>
      <c r="FJ78" s="17"/>
      <c r="FK78" s="17"/>
      <c r="FL78" s="17"/>
      <c r="FM78" s="17"/>
      <c r="FN78" s="17"/>
      <c r="FO78" s="17"/>
      <c r="FP78" s="17"/>
      <c r="FQ78" s="17"/>
      <c r="FR78" s="17"/>
      <c r="FS78" s="17"/>
      <c r="FT78" s="17"/>
      <c r="FU78" s="17"/>
      <c r="FV78" s="17"/>
      <c r="FW78" s="17"/>
      <c r="FX78" s="17"/>
      <c r="FY78" s="17"/>
      <c r="FZ78" s="17"/>
      <c r="GA78" s="17"/>
      <c r="GB78" s="17"/>
      <c r="GC78" s="17"/>
      <c r="GD78" s="17"/>
      <c r="GE78" s="17"/>
      <c r="GF78" s="17"/>
      <c r="GG78" s="17"/>
      <c r="GH78" s="17"/>
      <c r="GI78" s="17"/>
      <c r="GJ78" s="17"/>
      <c r="GK78" s="17"/>
      <c r="GL78" s="17"/>
      <c r="GM78" s="17"/>
      <c r="GN78" s="17"/>
      <c r="GO78" s="17"/>
      <c r="GP78" s="17"/>
      <c r="GQ78" s="17"/>
      <c r="GR78" s="17"/>
      <c r="GS78" s="17"/>
      <c r="GT78" s="17"/>
      <c r="GU78" s="17"/>
      <c r="GV78" s="17"/>
      <c r="GW78" s="17"/>
      <c r="GX78" s="17"/>
      <c r="GY78" s="17"/>
      <c r="GZ78" s="17"/>
      <c r="HA78" s="17"/>
      <c r="HB78" s="17"/>
      <c r="HC78" s="17"/>
      <c r="HD78" s="17"/>
      <c r="HE78" s="17"/>
      <c r="HF78" s="17"/>
      <c r="HG78" s="17"/>
      <c r="HH78" s="17"/>
      <c r="HI78" s="17"/>
      <c r="HJ78" s="17"/>
      <c r="HK78" s="17"/>
      <c r="HL78" s="17"/>
      <c r="HM78" s="17"/>
      <c r="HN78" s="17"/>
      <c r="HO78" s="17"/>
      <c r="HP78" s="17"/>
      <c r="HQ78" s="17"/>
      <c r="HR78" s="17"/>
      <c r="HS78" s="17"/>
      <c r="HT78" s="17"/>
      <c r="HU78" s="17"/>
      <c r="HV78" s="17"/>
      <c r="HW78" s="17"/>
      <c r="HX78" s="17"/>
      <c r="HY78" s="17"/>
      <c r="HZ78" s="17"/>
      <c r="IA78" s="17"/>
      <c r="IB78" s="17"/>
      <c r="IC78" s="17"/>
      <c r="ID78" s="17"/>
      <c r="IE78" s="17"/>
      <c r="IF78" s="17"/>
      <c r="IG78" s="17"/>
      <c r="IH78" s="17"/>
      <c r="II78" s="17"/>
      <c r="IJ78" s="17"/>
      <c r="IK78" s="17"/>
      <c r="IL78" s="17"/>
      <c r="IM78" s="17"/>
      <c r="IN78" s="17"/>
      <c r="IO78" s="17"/>
      <c r="IP78" s="17"/>
      <c r="IQ78" s="17"/>
      <c r="IR78" s="17"/>
      <c r="IS78" s="17"/>
      <c r="IT78" s="17"/>
      <c r="IU78" s="17"/>
      <c r="IV78" s="17"/>
      <c r="IW78" s="17"/>
      <c r="IX78" s="17"/>
      <c r="IY78" s="17"/>
      <c r="IZ78" s="17"/>
      <c r="JA78" s="17"/>
      <c r="JB78" s="17"/>
      <c r="JC78" s="17"/>
      <c r="JD78" s="17"/>
      <c r="JE78" s="17"/>
      <c r="JF78" s="17"/>
      <c r="JG78" s="17"/>
      <c r="JH78" s="17"/>
      <c r="JI78" s="17"/>
      <c r="JJ78" s="17"/>
      <c r="JK78" s="17"/>
      <c r="JL78" s="17"/>
      <c r="JM78" s="17"/>
      <c r="JN78" s="17"/>
      <c r="JO78" s="17"/>
      <c r="JP78" s="17"/>
      <c r="JQ78" s="17"/>
      <c r="JR78" s="17"/>
      <c r="JS78" s="17"/>
      <c r="JT78" s="17"/>
      <c r="JU78" s="17"/>
      <c r="JV78" s="17"/>
      <c r="JW78" s="17"/>
      <c r="JX78" s="17"/>
      <c r="JY78" s="17"/>
      <c r="JZ78" s="17"/>
      <c r="KA78" s="17"/>
      <c r="KB78" s="17"/>
      <c r="KC78" s="17"/>
      <c r="KD78" s="17"/>
      <c r="KE78" s="17"/>
      <c r="KF78" s="17"/>
      <c r="KG78" s="17"/>
      <c r="KH78" s="17"/>
      <c r="KI78" s="17"/>
      <c r="KJ78" s="17"/>
      <c r="KK78" s="17"/>
      <c r="KL78" s="17"/>
      <c r="KM78" s="17"/>
      <c r="KN78" s="17"/>
      <c r="KO78" s="17"/>
      <c r="KP78" s="17"/>
      <c r="KQ78" s="17"/>
      <c r="KR78" s="17"/>
      <c r="KS78" s="17"/>
      <c r="KT78" s="17"/>
      <c r="KU78" s="17"/>
      <c r="KV78" s="17"/>
      <c r="KW78" s="17"/>
      <c r="KX78" s="17"/>
      <c r="KY78" s="17"/>
    </row>
    <row r="79" spans="1:311" x14ac:dyDescent="0.25">
      <c r="A79" s="17"/>
      <c r="B79" s="17"/>
      <c r="C79" s="17"/>
      <c r="D79" s="17"/>
      <c r="E79" s="17"/>
      <c r="F79" s="17"/>
      <c r="G79" s="17"/>
      <c r="H79" s="17"/>
      <c r="I79" s="17"/>
      <c r="J79" s="17"/>
      <c r="K79" s="17"/>
      <c r="L79" s="17"/>
      <c r="M79" s="17"/>
      <c r="N79" s="17"/>
      <c r="O79" s="17"/>
      <c r="P79" s="17"/>
      <c r="Q79" s="17"/>
      <c r="R79" s="17"/>
      <c r="S79" s="17"/>
      <c r="T79" s="17"/>
      <c r="U79" s="17"/>
      <c r="V79" s="17"/>
      <c r="W79" s="17"/>
      <c r="X79" s="17"/>
      <c r="Y79" s="17"/>
      <c r="Z79" s="17"/>
      <c r="AA79" s="17"/>
      <c r="AB79" s="17"/>
      <c r="AC79" s="17"/>
      <c r="AD79" s="17"/>
      <c r="AE79" s="17"/>
      <c r="AF79" s="17"/>
      <c r="AG79" s="17"/>
      <c r="AH79" s="17"/>
      <c r="AI79" s="17"/>
      <c r="AJ79" s="17"/>
      <c r="AK79" s="17"/>
      <c r="AL79" s="17"/>
      <c r="AM79" s="17"/>
      <c r="AN79" s="17"/>
      <c r="AO79" s="17"/>
      <c r="AP79" s="17"/>
      <c r="AQ79" s="17"/>
      <c r="AR79" s="17"/>
      <c r="AS79" s="17"/>
      <c r="AT79" s="17"/>
      <c r="AU79" s="17"/>
      <c r="AV79" s="17"/>
      <c r="AW79" s="17"/>
      <c r="AX79" s="17"/>
      <c r="AY79" s="17"/>
      <c r="AZ79" s="17"/>
      <c r="BA79" s="17"/>
      <c r="BB79" s="17"/>
      <c r="BC79" s="17"/>
      <c r="BD79" s="17"/>
      <c r="BE79" s="17"/>
      <c r="BF79" s="17"/>
      <c r="BG79" s="17"/>
      <c r="BH79" s="17"/>
      <c r="BI79" s="17"/>
      <c r="BJ79" s="17"/>
      <c r="BK79" s="17"/>
      <c r="BL79" s="17"/>
      <c r="BM79" s="17"/>
      <c r="BN79" s="17"/>
      <c r="BO79" s="17"/>
      <c r="BP79" s="17"/>
      <c r="BQ79" s="17"/>
      <c r="BR79" s="17"/>
      <c r="BS79" s="17"/>
      <c r="BT79" s="17"/>
      <c r="BU79" s="17"/>
      <c r="BV79" s="17"/>
      <c r="BW79" s="17"/>
      <c r="BX79" s="17"/>
      <c r="BY79" s="17"/>
      <c r="BZ79" s="17"/>
      <c r="CA79" s="17"/>
      <c r="CB79" s="17"/>
      <c r="CC79" s="17"/>
      <c r="CD79" s="17"/>
      <c r="CE79" s="17"/>
      <c r="CF79" s="17"/>
      <c r="CG79" s="17"/>
      <c r="CH79" s="17"/>
      <c r="CI79" s="17"/>
      <c r="CJ79" s="17"/>
      <c r="CK79" s="17"/>
      <c r="CL79" s="17"/>
      <c r="CM79" s="17"/>
      <c r="CN79" s="17"/>
      <c r="CO79" s="17"/>
      <c r="CP79" s="17"/>
      <c r="CQ79" s="17"/>
      <c r="CR79" s="17"/>
      <c r="CS79" s="17"/>
      <c r="CT79" s="17"/>
      <c r="CU79" s="17"/>
      <c r="CV79" s="17"/>
      <c r="CW79" s="17"/>
      <c r="CX79" s="17"/>
      <c r="CY79" s="17"/>
      <c r="CZ79" s="17"/>
      <c r="DA79" s="17"/>
      <c r="DB79" s="17"/>
      <c r="DC79" s="17"/>
      <c r="DD79" s="17"/>
      <c r="DE79" s="17"/>
      <c r="DF79" s="17"/>
      <c r="DG79" s="17"/>
      <c r="DH79" s="17"/>
      <c r="DI79" s="17"/>
      <c r="DJ79" s="17"/>
      <c r="DK79" s="17"/>
      <c r="DL79" s="17"/>
      <c r="DM79" s="17"/>
      <c r="DN79" s="17"/>
      <c r="DO79" s="17"/>
      <c r="DP79" s="17"/>
      <c r="DQ79" s="17"/>
      <c r="DR79" s="17"/>
      <c r="DS79" s="17"/>
      <c r="DT79" s="17"/>
      <c r="DU79" s="17"/>
      <c r="DV79" s="17"/>
      <c r="DW79" s="17"/>
      <c r="DX79" s="17"/>
      <c r="DY79" s="17"/>
      <c r="DZ79" s="17"/>
      <c r="EA79" s="17"/>
      <c r="EB79" s="17"/>
      <c r="EC79" s="17"/>
      <c r="ED79" s="17"/>
      <c r="EE79" s="17"/>
      <c r="EF79" s="17"/>
      <c r="EG79" s="17"/>
      <c r="EH79" s="17"/>
      <c r="EI79" s="17"/>
      <c r="EJ79" s="17"/>
      <c r="EK79" s="17"/>
      <c r="EL79" s="17"/>
      <c r="EM79" s="17"/>
      <c r="EN79" s="17"/>
      <c r="EO79" s="17"/>
      <c r="EP79" s="17"/>
      <c r="EQ79" s="17"/>
      <c r="ER79" s="17"/>
      <c r="ES79" s="17"/>
      <c r="ET79" s="17"/>
      <c r="EU79" s="17"/>
      <c r="EV79" s="17"/>
      <c r="EW79" s="17"/>
      <c r="EX79" s="17"/>
      <c r="EY79" s="17"/>
      <c r="EZ79" s="17"/>
      <c r="FA79" s="17"/>
      <c r="FB79" s="17"/>
      <c r="FC79" s="17"/>
      <c r="FD79" s="17"/>
      <c r="FE79" s="17"/>
      <c r="FF79" s="17"/>
      <c r="FG79" s="17"/>
      <c r="FH79" s="17"/>
      <c r="FI79" s="17"/>
      <c r="FJ79" s="17"/>
      <c r="FK79" s="17"/>
      <c r="FL79" s="17"/>
      <c r="FM79" s="17"/>
      <c r="FN79" s="17"/>
      <c r="FO79" s="17"/>
      <c r="FP79" s="17"/>
      <c r="FQ79" s="17"/>
      <c r="FR79" s="17"/>
      <c r="FS79" s="17"/>
      <c r="FT79" s="17"/>
      <c r="FU79" s="17"/>
      <c r="FV79" s="17"/>
      <c r="FW79" s="17"/>
      <c r="FX79" s="17"/>
      <c r="FY79" s="17"/>
      <c r="FZ79" s="17"/>
      <c r="GA79" s="17"/>
      <c r="GB79" s="17"/>
      <c r="GC79" s="17"/>
      <c r="GD79" s="17"/>
      <c r="GE79" s="17"/>
      <c r="GF79" s="17"/>
      <c r="GG79" s="17"/>
      <c r="GH79" s="17"/>
      <c r="GI79" s="17"/>
      <c r="GJ79" s="17"/>
      <c r="GK79" s="17"/>
      <c r="GL79" s="17"/>
      <c r="GM79" s="17"/>
      <c r="GN79" s="17"/>
      <c r="GO79" s="17"/>
      <c r="GP79" s="17"/>
      <c r="GQ79" s="17"/>
      <c r="GR79" s="17"/>
      <c r="GS79" s="17"/>
      <c r="GT79" s="17"/>
      <c r="GU79" s="17"/>
      <c r="GV79" s="17"/>
      <c r="GW79" s="17"/>
      <c r="GX79" s="17"/>
      <c r="GY79" s="17"/>
      <c r="GZ79" s="17"/>
      <c r="HA79" s="17"/>
      <c r="HB79" s="17"/>
      <c r="HC79" s="17"/>
      <c r="HD79" s="17"/>
      <c r="HE79" s="17"/>
      <c r="HF79" s="17"/>
      <c r="HG79" s="17"/>
      <c r="HH79" s="17"/>
      <c r="HI79" s="17"/>
      <c r="HJ79" s="17"/>
      <c r="HK79" s="17"/>
      <c r="HL79" s="17"/>
      <c r="HM79" s="17"/>
      <c r="HN79" s="17"/>
      <c r="HO79" s="17"/>
      <c r="HP79" s="17"/>
      <c r="HQ79" s="17"/>
      <c r="HR79" s="17"/>
      <c r="HS79" s="17"/>
      <c r="HT79" s="17"/>
      <c r="HU79" s="17"/>
      <c r="HV79" s="17"/>
      <c r="HW79" s="17"/>
      <c r="HX79" s="17"/>
      <c r="HY79" s="17"/>
      <c r="HZ79" s="17"/>
      <c r="IA79" s="17"/>
      <c r="IB79" s="17"/>
      <c r="IC79" s="17"/>
      <c r="ID79" s="17"/>
      <c r="IE79" s="17"/>
      <c r="IF79" s="17"/>
      <c r="IG79" s="17"/>
      <c r="IH79" s="17"/>
      <c r="II79" s="17"/>
      <c r="IJ79" s="17"/>
      <c r="IK79" s="17"/>
      <c r="IL79" s="17"/>
      <c r="IM79" s="17"/>
      <c r="IN79" s="17"/>
      <c r="IO79" s="17"/>
      <c r="IP79" s="17"/>
      <c r="IQ79" s="17"/>
      <c r="IR79" s="17"/>
      <c r="IS79" s="17"/>
      <c r="IT79" s="17"/>
      <c r="IU79" s="17"/>
      <c r="IV79" s="17"/>
      <c r="IW79" s="17"/>
      <c r="IX79" s="17"/>
      <c r="IY79" s="17"/>
      <c r="IZ79" s="17"/>
      <c r="JA79" s="17"/>
      <c r="JB79" s="17"/>
      <c r="JC79" s="17"/>
      <c r="JD79" s="17"/>
      <c r="JE79" s="17"/>
      <c r="JF79" s="17"/>
      <c r="JG79" s="17"/>
      <c r="JH79" s="17"/>
      <c r="JI79" s="17"/>
      <c r="JJ79" s="17"/>
      <c r="JK79" s="17"/>
      <c r="JL79" s="17"/>
      <c r="JM79" s="17"/>
      <c r="JN79" s="17"/>
      <c r="JO79" s="17"/>
      <c r="JP79" s="17"/>
      <c r="JQ79" s="17"/>
      <c r="JR79" s="17"/>
      <c r="JS79" s="17"/>
      <c r="JT79" s="17"/>
      <c r="JU79" s="17"/>
      <c r="JV79" s="17"/>
      <c r="JW79" s="17"/>
      <c r="JX79" s="17"/>
      <c r="JY79" s="17"/>
      <c r="JZ79" s="17"/>
      <c r="KA79" s="17"/>
      <c r="KB79" s="17"/>
      <c r="KC79" s="17"/>
      <c r="KD79" s="17"/>
      <c r="KE79" s="17"/>
      <c r="KF79" s="17"/>
      <c r="KG79" s="17"/>
      <c r="KH79" s="17"/>
      <c r="KI79" s="17"/>
      <c r="KJ79" s="17"/>
      <c r="KK79" s="17"/>
      <c r="KL79" s="17"/>
      <c r="KM79" s="17"/>
      <c r="KN79" s="17"/>
      <c r="KO79" s="17"/>
      <c r="KP79" s="17"/>
      <c r="KQ79" s="17"/>
      <c r="KR79" s="17"/>
      <c r="KS79" s="17"/>
      <c r="KT79" s="17"/>
      <c r="KU79" s="17"/>
      <c r="KV79" s="17"/>
      <c r="KW79" s="17"/>
      <c r="KX79" s="17"/>
      <c r="KY79" s="17"/>
    </row>
    <row r="80" spans="1:311" x14ac:dyDescent="0.25">
      <c r="A80" s="17"/>
      <c r="B80" s="17"/>
      <c r="C80" s="17"/>
      <c r="D80" s="17"/>
      <c r="E80" s="17"/>
      <c r="F80" s="17"/>
      <c r="G80" s="17"/>
      <c r="H80" s="17"/>
      <c r="I80" s="17"/>
      <c r="J80" s="17"/>
      <c r="K80" s="17"/>
      <c r="L80" s="17"/>
      <c r="M80" s="17"/>
      <c r="N80" s="17"/>
      <c r="O80" s="17"/>
      <c r="P80" s="17"/>
      <c r="Q80" s="17"/>
      <c r="R80" s="17"/>
      <c r="S80" s="17"/>
      <c r="T80" s="17"/>
      <c r="U80" s="17"/>
      <c r="V80" s="17"/>
      <c r="W80" s="17"/>
      <c r="X80" s="17"/>
      <c r="Y80" s="17"/>
      <c r="Z80" s="17"/>
      <c r="AA80" s="17"/>
      <c r="AB80" s="17"/>
      <c r="AC80" s="17"/>
      <c r="AD80" s="17"/>
      <c r="AE80" s="17"/>
      <c r="AF80" s="17"/>
      <c r="AG80" s="17"/>
      <c r="AH80" s="17"/>
      <c r="AI80" s="17"/>
      <c r="AJ80" s="17"/>
      <c r="AK80" s="17"/>
      <c r="AL80" s="17"/>
      <c r="AM80" s="17"/>
      <c r="AN80" s="17"/>
      <c r="AO80" s="17"/>
      <c r="AP80" s="17"/>
      <c r="AQ80" s="17"/>
      <c r="AR80" s="17"/>
      <c r="AS80" s="17"/>
      <c r="AT80" s="17"/>
      <c r="AU80" s="17"/>
      <c r="AV80" s="17"/>
      <c r="AW80" s="17"/>
      <c r="AX80" s="17"/>
      <c r="AY80" s="17"/>
      <c r="AZ80" s="17"/>
      <c r="BA80" s="17"/>
      <c r="BB80" s="17"/>
      <c r="BC80" s="17"/>
      <c r="BD80" s="17"/>
      <c r="BE80" s="17"/>
      <c r="BF80" s="17"/>
      <c r="BG80" s="17"/>
      <c r="BH80" s="17"/>
      <c r="BI80" s="17"/>
      <c r="BJ80" s="17"/>
      <c r="BK80" s="17"/>
      <c r="BL80" s="17"/>
      <c r="BM80" s="17"/>
      <c r="BN80" s="17"/>
      <c r="BO80" s="17"/>
      <c r="BP80" s="17"/>
      <c r="BQ80" s="17"/>
      <c r="BR80" s="17"/>
      <c r="BS80" s="17"/>
      <c r="BT80" s="17"/>
      <c r="BU80" s="17"/>
      <c r="BV80" s="17"/>
      <c r="BW80" s="17"/>
      <c r="BX80" s="17"/>
      <c r="BY80" s="17"/>
      <c r="BZ80" s="17"/>
      <c r="CA80" s="17"/>
      <c r="CB80" s="17"/>
      <c r="CC80" s="17"/>
      <c r="CD80" s="17"/>
      <c r="CE80" s="17"/>
      <c r="CF80" s="17"/>
      <c r="CG80" s="17"/>
      <c r="CH80" s="17"/>
      <c r="CI80" s="17"/>
      <c r="CJ80" s="17"/>
      <c r="CK80" s="17"/>
      <c r="CL80" s="17"/>
      <c r="CM80" s="17"/>
      <c r="CN80" s="17"/>
      <c r="CO80" s="17"/>
      <c r="CP80" s="17"/>
      <c r="CQ80" s="17"/>
      <c r="CR80" s="17"/>
      <c r="CS80" s="17"/>
      <c r="CT80" s="17"/>
      <c r="CU80" s="17"/>
      <c r="CV80" s="17"/>
      <c r="CW80" s="17"/>
      <c r="CX80" s="17"/>
      <c r="CY80" s="17"/>
      <c r="CZ80" s="17"/>
      <c r="DA80" s="17"/>
      <c r="DB80" s="17"/>
      <c r="DC80" s="17"/>
      <c r="DD80" s="17"/>
      <c r="DE80" s="17"/>
      <c r="DF80" s="17"/>
      <c r="DG80" s="17"/>
      <c r="DH80" s="17"/>
      <c r="DI80" s="17"/>
      <c r="DJ80" s="17"/>
      <c r="DK80" s="17"/>
      <c r="DL80" s="17"/>
      <c r="DM80" s="17"/>
      <c r="DN80" s="17"/>
      <c r="DO80" s="17"/>
      <c r="DP80" s="17"/>
      <c r="DQ80" s="17"/>
      <c r="DR80" s="17"/>
      <c r="DS80" s="17"/>
      <c r="DT80" s="17"/>
      <c r="DU80" s="17"/>
      <c r="DV80" s="17"/>
      <c r="DW80" s="17"/>
      <c r="DX80" s="17"/>
      <c r="DY80" s="17"/>
      <c r="DZ80" s="17"/>
      <c r="EA80" s="17"/>
      <c r="EB80" s="17"/>
      <c r="EC80" s="17"/>
      <c r="ED80" s="17"/>
      <c r="EE80" s="17"/>
      <c r="EF80" s="17"/>
      <c r="EG80" s="17"/>
      <c r="EH80" s="17"/>
      <c r="EI80" s="17"/>
      <c r="EJ80" s="17"/>
      <c r="EK80" s="17"/>
      <c r="EL80" s="17"/>
      <c r="EM80" s="17"/>
      <c r="EN80" s="17"/>
      <c r="EO80" s="17"/>
      <c r="EP80" s="17"/>
      <c r="EQ80" s="17"/>
      <c r="ER80" s="17"/>
      <c r="ES80" s="17"/>
      <c r="ET80" s="17"/>
      <c r="EU80" s="17"/>
      <c r="EV80" s="17"/>
      <c r="EW80" s="17"/>
      <c r="EX80" s="17"/>
      <c r="EY80" s="17"/>
      <c r="EZ80" s="17"/>
      <c r="FA80" s="17"/>
      <c r="FB80" s="17"/>
      <c r="FC80" s="17"/>
      <c r="FD80" s="17"/>
      <c r="FE80" s="17"/>
      <c r="FF80" s="17"/>
      <c r="FG80" s="17"/>
      <c r="FH80" s="17"/>
      <c r="FI80" s="17"/>
      <c r="FJ80" s="17"/>
      <c r="FK80" s="17"/>
      <c r="FL80" s="17"/>
      <c r="FM80" s="17"/>
      <c r="FN80" s="17"/>
      <c r="FO80" s="17"/>
      <c r="FP80" s="17"/>
      <c r="FQ80" s="17"/>
      <c r="FR80" s="17"/>
      <c r="FS80" s="17"/>
      <c r="FT80" s="17"/>
      <c r="FU80" s="17"/>
      <c r="FV80" s="17"/>
      <c r="FW80" s="17"/>
      <c r="FX80" s="17"/>
      <c r="FY80" s="17"/>
      <c r="FZ80" s="17"/>
      <c r="GA80" s="17"/>
      <c r="GB80" s="17"/>
      <c r="GC80" s="17"/>
      <c r="GD80" s="17"/>
      <c r="GE80" s="17"/>
      <c r="GF80" s="17"/>
      <c r="GG80" s="17"/>
      <c r="GH80" s="17"/>
      <c r="GI80" s="17"/>
      <c r="GJ80" s="17"/>
      <c r="GK80" s="17"/>
      <c r="GL80" s="17"/>
      <c r="GM80" s="17"/>
      <c r="GN80" s="17"/>
      <c r="GO80" s="17"/>
      <c r="GP80" s="17"/>
      <c r="GQ80" s="17"/>
      <c r="GR80" s="17"/>
      <c r="GS80" s="17"/>
      <c r="GT80" s="17"/>
      <c r="GU80" s="17"/>
      <c r="GV80" s="17"/>
      <c r="GW80" s="17"/>
      <c r="GX80" s="17"/>
      <c r="GY80" s="17"/>
      <c r="GZ80" s="17"/>
      <c r="HA80" s="17"/>
      <c r="HB80" s="17"/>
      <c r="HC80" s="17"/>
      <c r="HD80" s="17"/>
      <c r="HE80" s="17"/>
      <c r="HF80" s="17"/>
      <c r="HG80" s="17"/>
      <c r="HH80" s="17"/>
      <c r="HI80" s="17"/>
      <c r="HJ80" s="17"/>
      <c r="HK80" s="17"/>
      <c r="HL80" s="17"/>
      <c r="HM80" s="17"/>
      <c r="HN80" s="17"/>
      <c r="HO80" s="17"/>
      <c r="HP80" s="17"/>
      <c r="HQ80" s="17"/>
      <c r="HR80" s="17"/>
      <c r="HS80" s="17"/>
      <c r="HT80" s="17"/>
      <c r="HU80" s="17"/>
      <c r="HV80" s="17"/>
      <c r="HW80" s="17"/>
      <c r="HX80" s="17"/>
      <c r="HY80" s="17"/>
      <c r="HZ80" s="17"/>
      <c r="IA80" s="17"/>
      <c r="IB80" s="17"/>
      <c r="IC80" s="17"/>
      <c r="ID80" s="17"/>
      <c r="IE80" s="17"/>
      <c r="IF80" s="17"/>
      <c r="IG80" s="17"/>
      <c r="IH80" s="17"/>
      <c r="II80" s="17"/>
      <c r="IJ80" s="17"/>
      <c r="IK80" s="17"/>
      <c r="IL80" s="17"/>
      <c r="IM80" s="17"/>
      <c r="IN80" s="17"/>
      <c r="IO80" s="17"/>
      <c r="IP80" s="17"/>
      <c r="IQ80" s="17"/>
      <c r="IR80" s="17"/>
      <c r="IS80" s="17"/>
      <c r="IT80" s="17"/>
      <c r="IU80" s="17"/>
      <c r="IV80" s="17"/>
      <c r="IW80" s="17"/>
      <c r="IX80" s="17"/>
      <c r="IY80" s="17"/>
      <c r="IZ80" s="17"/>
      <c r="JA80" s="17"/>
      <c r="JB80" s="17"/>
      <c r="JC80" s="17"/>
      <c r="JD80" s="17"/>
      <c r="JE80" s="17"/>
      <c r="JF80" s="17"/>
      <c r="JG80" s="17"/>
      <c r="JH80" s="17"/>
      <c r="JI80" s="17"/>
      <c r="JJ80" s="17"/>
      <c r="JK80" s="17"/>
      <c r="JL80" s="17"/>
      <c r="JM80" s="17"/>
      <c r="JN80" s="17"/>
      <c r="JO80" s="17"/>
      <c r="JP80" s="17"/>
      <c r="JQ80" s="17"/>
      <c r="JR80" s="17"/>
      <c r="JS80" s="17"/>
      <c r="JT80" s="17"/>
      <c r="JU80" s="17"/>
      <c r="JV80" s="17"/>
      <c r="JW80" s="17"/>
      <c r="JX80" s="17"/>
      <c r="JY80" s="17"/>
      <c r="JZ80" s="17"/>
      <c r="KA80" s="17"/>
      <c r="KB80" s="17"/>
      <c r="KC80" s="17"/>
      <c r="KD80" s="17"/>
      <c r="KE80" s="17"/>
      <c r="KF80" s="17"/>
      <c r="KG80" s="17"/>
      <c r="KH80" s="17"/>
      <c r="KI80" s="17"/>
      <c r="KJ80" s="17"/>
      <c r="KK80" s="17"/>
      <c r="KL80" s="17"/>
      <c r="KM80" s="17"/>
      <c r="KN80" s="17"/>
      <c r="KO80" s="17"/>
      <c r="KP80" s="17"/>
      <c r="KQ80" s="17"/>
      <c r="KR80" s="17"/>
      <c r="KS80" s="17"/>
      <c r="KT80" s="17"/>
      <c r="KU80" s="17"/>
      <c r="KV80" s="17"/>
      <c r="KW80" s="17"/>
      <c r="KX80" s="17"/>
      <c r="KY80" s="17"/>
    </row>
    <row r="81" spans="1:311" x14ac:dyDescent="0.25">
      <c r="A81" s="17"/>
      <c r="B81" s="17"/>
      <c r="C81" s="17"/>
      <c r="D81" s="17"/>
      <c r="E81" s="17"/>
      <c r="F81" s="17"/>
      <c r="G81" s="17"/>
      <c r="H81" s="17"/>
      <c r="I81" s="17"/>
      <c r="J81" s="17"/>
      <c r="K81" s="17"/>
      <c r="L81" s="17"/>
      <c r="M81" s="17"/>
      <c r="N81" s="17"/>
      <c r="O81" s="17"/>
      <c r="P81" s="17"/>
      <c r="Q81" s="17"/>
      <c r="R81" s="17"/>
      <c r="S81" s="17"/>
      <c r="T81" s="17"/>
      <c r="U81" s="17"/>
      <c r="V81" s="17"/>
      <c r="W81" s="17"/>
      <c r="X81" s="17"/>
      <c r="Y81" s="17"/>
      <c r="Z81" s="17"/>
      <c r="AA81" s="17"/>
      <c r="AB81" s="17"/>
      <c r="AC81" s="17"/>
      <c r="AD81" s="17"/>
      <c r="AE81" s="17"/>
      <c r="AF81" s="17"/>
      <c r="AG81" s="17"/>
      <c r="AH81" s="17"/>
      <c r="AI81" s="17"/>
      <c r="AJ81" s="17"/>
      <c r="AK81" s="17"/>
      <c r="AL81" s="17"/>
      <c r="AM81" s="17"/>
      <c r="AN81" s="17"/>
      <c r="AO81" s="17"/>
      <c r="AP81" s="17"/>
      <c r="AQ81" s="17"/>
      <c r="AR81" s="17"/>
      <c r="AS81" s="17"/>
      <c r="AT81" s="17"/>
      <c r="AU81" s="17"/>
      <c r="AV81" s="17"/>
      <c r="AW81" s="17"/>
      <c r="AX81" s="17"/>
      <c r="AY81" s="17"/>
      <c r="AZ81" s="17"/>
      <c r="BA81" s="17"/>
      <c r="BB81" s="17"/>
      <c r="BC81" s="17"/>
      <c r="BD81" s="17"/>
      <c r="BE81" s="17"/>
      <c r="BF81" s="17"/>
      <c r="BG81" s="17"/>
      <c r="BH81" s="17"/>
      <c r="BI81" s="17"/>
      <c r="BJ81" s="17"/>
      <c r="BK81" s="17"/>
      <c r="BL81" s="17"/>
      <c r="BM81" s="17"/>
      <c r="BN81" s="17"/>
      <c r="BO81" s="17"/>
      <c r="BP81" s="17"/>
      <c r="BQ81" s="17"/>
      <c r="BR81" s="17"/>
      <c r="BS81" s="17"/>
      <c r="BT81" s="17"/>
      <c r="BU81" s="17"/>
      <c r="BV81" s="17"/>
      <c r="BW81" s="17"/>
      <c r="BX81" s="17"/>
      <c r="BY81" s="17"/>
      <c r="BZ81" s="17"/>
      <c r="CA81" s="17"/>
      <c r="CB81" s="17"/>
      <c r="CC81" s="17"/>
      <c r="CD81" s="17"/>
      <c r="CE81" s="17"/>
      <c r="CF81" s="17"/>
      <c r="CG81" s="17"/>
      <c r="CH81" s="17"/>
      <c r="CI81" s="17"/>
      <c r="CJ81" s="17"/>
      <c r="CK81" s="17"/>
      <c r="CL81" s="17"/>
      <c r="CM81" s="17"/>
      <c r="CN81" s="17"/>
      <c r="CO81" s="17"/>
      <c r="CP81" s="17"/>
      <c r="CQ81" s="17"/>
      <c r="CR81" s="17"/>
      <c r="CS81" s="17"/>
      <c r="CT81" s="17"/>
      <c r="CU81" s="17"/>
      <c r="CV81" s="17"/>
      <c r="CW81" s="17"/>
      <c r="CX81" s="17"/>
      <c r="CY81" s="17"/>
      <c r="CZ81" s="17"/>
      <c r="DA81" s="17"/>
      <c r="DB81" s="17"/>
      <c r="DC81" s="17"/>
      <c r="DD81" s="17"/>
      <c r="DE81" s="17"/>
      <c r="DF81" s="17"/>
      <c r="DG81" s="17"/>
      <c r="DH81" s="17"/>
      <c r="DI81" s="17"/>
      <c r="DJ81" s="17"/>
      <c r="DK81" s="17"/>
      <c r="DL81" s="17"/>
      <c r="DM81" s="17"/>
      <c r="DN81" s="17"/>
      <c r="DO81" s="17"/>
      <c r="DP81" s="17"/>
      <c r="DQ81" s="17"/>
      <c r="DR81" s="17"/>
      <c r="DS81" s="17"/>
      <c r="DT81" s="17"/>
      <c r="DU81" s="17"/>
      <c r="DV81" s="17"/>
      <c r="DW81" s="17"/>
      <c r="DX81" s="17"/>
      <c r="DY81" s="17"/>
      <c r="DZ81" s="17"/>
      <c r="EA81" s="17"/>
      <c r="EB81" s="17"/>
      <c r="EC81" s="17"/>
      <c r="ED81" s="17"/>
      <c r="EE81" s="17"/>
      <c r="EF81" s="17"/>
      <c r="EG81" s="17"/>
      <c r="EH81" s="17"/>
      <c r="EI81" s="17"/>
      <c r="EJ81" s="17"/>
      <c r="EK81" s="17"/>
      <c r="EL81" s="17"/>
      <c r="EM81" s="17"/>
      <c r="EN81" s="17"/>
      <c r="EO81" s="17"/>
      <c r="EP81" s="17"/>
      <c r="EQ81" s="17"/>
      <c r="ER81" s="17"/>
      <c r="ES81" s="17"/>
      <c r="ET81" s="17"/>
      <c r="EU81" s="17"/>
      <c r="EV81" s="17"/>
      <c r="EW81" s="17"/>
      <c r="EX81" s="17"/>
      <c r="EY81" s="17"/>
      <c r="EZ81" s="17"/>
      <c r="FA81" s="17"/>
      <c r="FB81" s="17"/>
      <c r="FC81" s="17"/>
      <c r="FD81" s="17"/>
      <c r="FE81" s="17"/>
      <c r="FF81" s="17"/>
      <c r="FG81" s="17"/>
      <c r="FH81" s="17"/>
      <c r="FI81" s="17"/>
      <c r="FJ81" s="17"/>
      <c r="FK81" s="17"/>
      <c r="FL81" s="17"/>
      <c r="FM81" s="17"/>
      <c r="FN81" s="17"/>
      <c r="FO81" s="17"/>
      <c r="FP81" s="17"/>
      <c r="FQ81" s="17"/>
      <c r="FR81" s="17"/>
      <c r="FS81" s="17"/>
      <c r="FT81" s="17"/>
      <c r="FU81" s="17"/>
      <c r="FV81" s="17"/>
      <c r="FW81" s="17"/>
      <c r="FX81" s="17"/>
      <c r="FY81" s="17"/>
      <c r="FZ81" s="17"/>
      <c r="GA81" s="17"/>
      <c r="GB81" s="17"/>
      <c r="GC81" s="17"/>
      <c r="GD81" s="17"/>
      <c r="GE81" s="17"/>
      <c r="GF81" s="17"/>
      <c r="GG81" s="17"/>
      <c r="GH81" s="17"/>
      <c r="GI81" s="17"/>
      <c r="GJ81" s="17"/>
      <c r="GK81" s="17"/>
      <c r="GL81" s="17"/>
      <c r="GM81" s="17"/>
      <c r="GN81" s="17"/>
      <c r="GO81" s="17"/>
      <c r="GP81" s="17"/>
      <c r="GQ81" s="17"/>
      <c r="GR81" s="17"/>
      <c r="GS81" s="17"/>
      <c r="GT81" s="17"/>
      <c r="GU81" s="17"/>
      <c r="GV81" s="17"/>
      <c r="GW81" s="17"/>
      <c r="GX81" s="17"/>
      <c r="GY81" s="17"/>
      <c r="GZ81" s="17"/>
      <c r="HA81" s="17"/>
      <c r="HB81" s="17"/>
      <c r="HC81" s="17"/>
      <c r="HD81" s="17"/>
      <c r="HE81" s="17"/>
      <c r="HF81" s="17"/>
      <c r="HG81" s="17"/>
      <c r="HH81" s="17"/>
      <c r="HI81" s="17"/>
      <c r="HJ81" s="17"/>
      <c r="HK81" s="17"/>
      <c r="HL81" s="17"/>
      <c r="HM81" s="17"/>
      <c r="HN81" s="17"/>
      <c r="HO81" s="17"/>
      <c r="HP81" s="17"/>
      <c r="HQ81" s="17"/>
      <c r="HR81" s="17"/>
      <c r="HS81" s="17"/>
      <c r="HT81" s="17"/>
      <c r="HU81" s="17"/>
      <c r="HV81" s="17"/>
      <c r="HW81" s="17"/>
      <c r="HX81" s="17"/>
      <c r="HY81" s="17"/>
      <c r="HZ81" s="17"/>
      <c r="IA81" s="17"/>
      <c r="IB81" s="17"/>
      <c r="IC81" s="17"/>
      <c r="ID81" s="17"/>
      <c r="IE81" s="17"/>
      <c r="IF81" s="17"/>
      <c r="IG81" s="17"/>
      <c r="IH81" s="17"/>
      <c r="II81" s="17"/>
      <c r="IJ81" s="17"/>
      <c r="IK81" s="17"/>
      <c r="IL81" s="17"/>
      <c r="IM81" s="17"/>
      <c r="IN81" s="17"/>
      <c r="IO81" s="17"/>
      <c r="IP81" s="17"/>
      <c r="IQ81" s="17"/>
      <c r="IR81" s="17"/>
      <c r="IS81" s="17"/>
      <c r="IT81" s="17"/>
      <c r="IU81" s="17"/>
      <c r="IV81" s="17"/>
      <c r="IW81" s="17"/>
      <c r="IX81" s="17"/>
      <c r="IY81" s="17"/>
      <c r="IZ81" s="17"/>
      <c r="JA81" s="17"/>
      <c r="JB81" s="17"/>
      <c r="JC81" s="17"/>
      <c r="JD81" s="17"/>
      <c r="JE81" s="17"/>
      <c r="JF81" s="17"/>
      <c r="JG81" s="17"/>
      <c r="JH81" s="17"/>
      <c r="JI81" s="17"/>
      <c r="JJ81" s="17"/>
      <c r="JK81" s="17"/>
      <c r="JL81" s="17"/>
      <c r="JM81" s="17"/>
      <c r="JN81" s="17"/>
      <c r="JO81" s="17"/>
      <c r="JP81" s="17"/>
      <c r="JQ81" s="17"/>
      <c r="JR81" s="17"/>
      <c r="JS81" s="17"/>
      <c r="JT81" s="17"/>
      <c r="JU81" s="17"/>
      <c r="JV81" s="17"/>
      <c r="JW81" s="17"/>
      <c r="JX81" s="17"/>
      <c r="JY81" s="17"/>
      <c r="JZ81" s="17"/>
      <c r="KA81" s="17"/>
      <c r="KB81" s="17"/>
      <c r="KC81" s="17"/>
      <c r="KD81" s="17"/>
      <c r="KE81" s="17"/>
      <c r="KF81" s="17"/>
      <c r="KG81" s="17"/>
      <c r="KH81" s="17"/>
      <c r="KI81" s="17"/>
      <c r="KJ81" s="17"/>
      <c r="KK81" s="17"/>
      <c r="KL81" s="17"/>
      <c r="KM81" s="17"/>
      <c r="KN81" s="17"/>
      <c r="KO81" s="17"/>
      <c r="KP81" s="17"/>
      <c r="KQ81" s="17"/>
      <c r="KR81" s="17"/>
      <c r="KS81" s="17"/>
      <c r="KT81" s="17"/>
      <c r="KU81" s="17"/>
      <c r="KV81" s="17"/>
      <c r="KW81" s="17"/>
      <c r="KX81" s="17"/>
      <c r="KY81" s="17"/>
    </row>
    <row r="82" spans="1:311" x14ac:dyDescent="0.25">
      <c r="A82" s="17"/>
      <c r="B82" s="17"/>
      <c r="C82" s="17"/>
      <c r="D82" s="17"/>
      <c r="E82" s="17"/>
      <c r="F82" s="17"/>
      <c r="G82" s="17"/>
      <c r="H82" s="17"/>
      <c r="I82" s="17"/>
      <c r="J82" s="17"/>
      <c r="K82" s="17"/>
      <c r="L82" s="17"/>
      <c r="M82" s="17"/>
      <c r="N82" s="17"/>
      <c r="O82" s="17"/>
      <c r="P82" s="17"/>
      <c r="Q82" s="17"/>
      <c r="R82" s="17"/>
      <c r="S82" s="17"/>
      <c r="T82" s="17"/>
      <c r="U82" s="17"/>
      <c r="V82" s="17"/>
      <c r="W82" s="17"/>
      <c r="X82" s="17"/>
      <c r="Y82" s="17"/>
      <c r="Z82" s="17"/>
      <c r="AA82" s="17"/>
      <c r="AB82" s="17"/>
      <c r="AC82" s="17"/>
      <c r="AD82" s="17"/>
      <c r="AE82" s="17"/>
      <c r="AF82" s="17"/>
      <c r="AG82" s="17"/>
      <c r="AH82" s="17"/>
      <c r="AI82" s="17"/>
      <c r="AJ82" s="17"/>
      <c r="AK82" s="17"/>
      <c r="AL82" s="17"/>
      <c r="AM82" s="17"/>
      <c r="AN82" s="17"/>
      <c r="AO82" s="17"/>
      <c r="AP82" s="17"/>
      <c r="AQ82" s="17"/>
      <c r="AR82" s="17"/>
      <c r="AS82" s="17"/>
      <c r="AT82" s="17"/>
      <c r="AU82" s="17"/>
      <c r="AV82" s="17"/>
      <c r="AW82" s="17"/>
      <c r="AX82" s="17"/>
      <c r="AY82" s="17"/>
      <c r="AZ82" s="17"/>
      <c r="BA82" s="17"/>
      <c r="BB82" s="17"/>
      <c r="BC82" s="17"/>
      <c r="BD82" s="17"/>
      <c r="BE82" s="17"/>
      <c r="BF82" s="17"/>
      <c r="BG82" s="17"/>
      <c r="BH82" s="17"/>
      <c r="BI82" s="17"/>
      <c r="BJ82" s="17"/>
      <c r="BK82" s="17"/>
      <c r="BL82" s="17"/>
      <c r="BM82" s="17"/>
      <c r="BN82" s="17"/>
      <c r="BO82" s="17"/>
      <c r="BP82" s="17"/>
      <c r="BQ82" s="17"/>
      <c r="BR82" s="17"/>
      <c r="BS82" s="17"/>
      <c r="BT82" s="17"/>
      <c r="BU82" s="17"/>
      <c r="BV82" s="17"/>
      <c r="BW82" s="17"/>
      <c r="BX82" s="17"/>
      <c r="BY82" s="17"/>
      <c r="BZ82" s="17"/>
      <c r="CA82" s="17"/>
      <c r="CB82" s="17"/>
      <c r="CC82" s="17"/>
      <c r="CD82" s="17"/>
      <c r="CE82" s="17"/>
      <c r="CF82" s="17"/>
      <c r="CG82" s="17"/>
      <c r="CH82" s="17"/>
      <c r="CI82" s="17"/>
      <c r="CJ82" s="17"/>
      <c r="CK82" s="17"/>
      <c r="CL82" s="17"/>
      <c r="CM82" s="17"/>
      <c r="CN82" s="17"/>
      <c r="CO82" s="17"/>
      <c r="CP82" s="17"/>
      <c r="CQ82" s="17"/>
      <c r="CR82" s="17"/>
      <c r="CS82" s="17"/>
      <c r="CT82" s="17"/>
      <c r="CU82" s="17"/>
      <c r="CV82" s="17"/>
      <c r="CW82" s="17"/>
      <c r="CX82" s="17"/>
      <c r="CY82" s="17"/>
      <c r="CZ82" s="17"/>
      <c r="DA82" s="17"/>
      <c r="DB82" s="17"/>
      <c r="DC82" s="17"/>
      <c r="DD82" s="17"/>
      <c r="DE82" s="17"/>
      <c r="DF82" s="17"/>
      <c r="DG82" s="17"/>
      <c r="DH82" s="17"/>
      <c r="DI82" s="17"/>
      <c r="DJ82" s="17"/>
      <c r="DK82" s="17"/>
      <c r="DL82" s="17"/>
      <c r="DM82" s="17"/>
      <c r="DN82" s="17"/>
      <c r="DO82" s="17"/>
      <c r="DP82" s="17"/>
      <c r="DQ82" s="17"/>
      <c r="DR82" s="17"/>
      <c r="DS82" s="17"/>
      <c r="DT82" s="17"/>
      <c r="DU82" s="17"/>
      <c r="DV82" s="17"/>
      <c r="DW82" s="17"/>
      <c r="DX82" s="17"/>
      <c r="DY82" s="17"/>
      <c r="DZ82" s="17"/>
      <c r="EA82" s="17"/>
      <c r="EB82" s="17"/>
      <c r="EC82" s="17"/>
      <c r="ED82" s="17"/>
      <c r="EE82" s="17"/>
      <c r="EF82" s="17"/>
      <c r="EG82" s="17"/>
      <c r="EH82" s="17"/>
      <c r="EI82" s="17"/>
      <c r="EJ82" s="17"/>
      <c r="EK82" s="17"/>
      <c r="EL82" s="17"/>
      <c r="EM82" s="17"/>
      <c r="EN82" s="17"/>
      <c r="EO82" s="17"/>
      <c r="EP82" s="17"/>
      <c r="EQ82" s="17"/>
      <c r="ER82" s="17"/>
      <c r="ES82" s="17"/>
      <c r="ET82" s="17"/>
      <c r="EU82" s="17"/>
      <c r="EV82" s="17"/>
      <c r="EW82" s="17"/>
      <c r="EX82" s="17"/>
      <c r="EY82" s="17"/>
      <c r="EZ82" s="17"/>
      <c r="FA82" s="17"/>
      <c r="FB82" s="17"/>
      <c r="FC82" s="17"/>
      <c r="FD82" s="17"/>
      <c r="FE82" s="17"/>
      <c r="FF82" s="17"/>
      <c r="FG82" s="17"/>
      <c r="FH82" s="17"/>
      <c r="FI82" s="17"/>
      <c r="FJ82" s="17"/>
      <c r="FK82" s="17"/>
      <c r="FL82" s="17"/>
      <c r="FM82" s="17"/>
      <c r="FN82" s="17"/>
      <c r="FO82" s="17"/>
      <c r="FP82" s="17"/>
      <c r="FQ82" s="17"/>
      <c r="FR82" s="17"/>
      <c r="FS82" s="17"/>
      <c r="FT82" s="17"/>
      <c r="FU82" s="17"/>
      <c r="FV82" s="17"/>
      <c r="FW82" s="17"/>
      <c r="FX82" s="17"/>
      <c r="FY82" s="17"/>
      <c r="FZ82" s="17"/>
      <c r="GA82" s="17"/>
      <c r="GB82" s="17"/>
      <c r="GC82" s="17"/>
      <c r="GD82" s="17"/>
      <c r="GE82" s="17"/>
      <c r="GF82" s="17"/>
      <c r="GG82" s="17"/>
      <c r="GH82" s="17"/>
      <c r="GI82" s="17"/>
      <c r="GJ82" s="17"/>
      <c r="GK82" s="17"/>
      <c r="GL82" s="17"/>
      <c r="GM82" s="17"/>
      <c r="GN82" s="17"/>
      <c r="GO82" s="17"/>
      <c r="GP82" s="17"/>
      <c r="GQ82" s="17"/>
      <c r="GR82" s="17"/>
      <c r="GS82" s="17"/>
      <c r="GT82" s="17"/>
      <c r="GU82" s="17"/>
      <c r="GV82" s="17"/>
      <c r="GW82" s="17"/>
      <c r="GX82" s="17"/>
      <c r="GY82" s="17"/>
      <c r="GZ82" s="17"/>
      <c r="HA82" s="17"/>
      <c r="HB82" s="17"/>
      <c r="HC82" s="17"/>
      <c r="HD82" s="17"/>
      <c r="HE82" s="17"/>
      <c r="HF82" s="17"/>
      <c r="HG82" s="17"/>
      <c r="HH82" s="17"/>
      <c r="HI82" s="17"/>
      <c r="HJ82" s="17"/>
      <c r="HK82" s="17"/>
      <c r="HL82" s="17"/>
      <c r="HM82" s="17"/>
      <c r="HN82" s="17"/>
      <c r="HO82" s="17"/>
      <c r="HP82" s="17"/>
      <c r="HQ82" s="17"/>
      <c r="HR82" s="17"/>
      <c r="HS82" s="17"/>
      <c r="HT82" s="17"/>
      <c r="HU82" s="17"/>
      <c r="HV82" s="17"/>
      <c r="HW82" s="17"/>
      <c r="HX82" s="17"/>
      <c r="HY82" s="17"/>
      <c r="HZ82" s="17"/>
      <c r="IA82" s="17"/>
      <c r="IB82" s="17"/>
      <c r="IC82" s="17"/>
      <c r="ID82" s="17"/>
      <c r="IE82" s="17"/>
      <c r="IF82" s="17"/>
      <c r="IG82" s="17"/>
      <c r="IH82" s="17"/>
      <c r="II82" s="17"/>
      <c r="IJ82" s="17"/>
      <c r="IK82" s="17"/>
      <c r="IL82" s="17"/>
      <c r="IM82" s="17"/>
      <c r="IN82" s="17"/>
      <c r="IO82" s="17"/>
      <c r="IP82" s="17"/>
      <c r="IQ82" s="17"/>
      <c r="IR82" s="17"/>
      <c r="IS82" s="17"/>
      <c r="IT82" s="17"/>
      <c r="IU82" s="17"/>
      <c r="IV82" s="17"/>
      <c r="IW82" s="17"/>
      <c r="IX82" s="17"/>
      <c r="IY82" s="17"/>
      <c r="IZ82" s="17"/>
      <c r="JA82" s="17"/>
      <c r="JB82" s="17"/>
      <c r="JC82" s="17"/>
      <c r="JD82" s="17"/>
      <c r="JE82" s="17"/>
      <c r="JF82" s="17"/>
      <c r="JG82" s="17"/>
      <c r="JH82" s="17"/>
      <c r="JI82" s="17"/>
      <c r="JJ82" s="17"/>
      <c r="JK82" s="17"/>
      <c r="JL82" s="17"/>
      <c r="JM82" s="17"/>
      <c r="JN82" s="17"/>
      <c r="JO82" s="17"/>
      <c r="JP82" s="17"/>
      <c r="JQ82" s="17"/>
      <c r="JR82" s="17"/>
      <c r="JS82" s="17"/>
      <c r="JT82" s="17"/>
      <c r="JU82" s="17"/>
      <c r="JV82" s="17"/>
      <c r="JW82" s="17"/>
      <c r="JX82" s="17"/>
      <c r="JY82" s="17"/>
      <c r="JZ82" s="17"/>
      <c r="KA82" s="17"/>
      <c r="KB82" s="17"/>
      <c r="KC82" s="17"/>
      <c r="KD82" s="17"/>
      <c r="KE82" s="17"/>
      <c r="KF82" s="17"/>
      <c r="KG82" s="17"/>
      <c r="KH82" s="17"/>
      <c r="KI82" s="17"/>
      <c r="KJ82" s="17"/>
      <c r="KK82" s="17"/>
      <c r="KL82" s="17"/>
      <c r="KM82" s="17"/>
      <c r="KN82" s="17"/>
      <c r="KO82" s="17"/>
      <c r="KP82" s="17"/>
      <c r="KQ82" s="17"/>
      <c r="KR82" s="17"/>
      <c r="KS82" s="17"/>
      <c r="KT82" s="17"/>
      <c r="KU82" s="17"/>
      <c r="KV82" s="17"/>
      <c r="KW82" s="17"/>
      <c r="KX82" s="17"/>
      <c r="KY82" s="17"/>
    </row>
    <row r="83" spans="1:311" x14ac:dyDescent="0.25">
      <c r="A83" s="17"/>
      <c r="B83" s="17"/>
      <c r="C83" s="17"/>
      <c r="D83" s="17"/>
      <c r="E83" s="17"/>
      <c r="F83" s="17"/>
      <c r="G83" s="17"/>
      <c r="H83" s="17"/>
      <c r="I83" s="17"/>
      <c r="J83" s="17"/>
      <c r="K83" s="17"/>
      <c r="L83" s="17"/>
      <c r="M83" s="17"/>
      <c r="N83" s="17"/>
      <c r="O83" s="17"/>
      <c r="P83" s="17"/>
      <c r="Q83" s="17"/>
      <c r="R83" s="17"/>
      <c r="S83" s="17"/>
      <c r="T83" s="17"/>
      <c r="U83" s="17"/>
      <c r="V83" s="17"/>
      <c r="W83" s="17"/>
      <c r="X83" s="17"/>
      <c r="Y83" s="17"/>
      <c r="Z83" s="17"/>
      <c r="AA83" s="17"/>
      <c r="AB83" s="17"/>
      <c r="AC83" s="17"/>
      <c r="AD83" s="17"/>
      <c r="AE83" s="17"/>
      <c r="AF83" s="17"/>
      <c r="AG83" s="17"/>
      <c r="AH83" s="17"/>
      <c r="AI83" s="17"/>
      <c r="AJ83" s="17"/>
      <c r="AK83" s="17"/>
      <c r="AL83" s="17"/>
      <c r="AM83" s="17"/>
      <c r="AN83" s="17"/>
      <c r="AO83" s="17"/>
      <c r="AP83" s="17"/>
      <c r="AQ83" s="17"/>
      <c r="AR83" s="17"/>
      <c r="AS83" s="17"/>
      <c r="AT83" s="17"/>
      <c r="AU83" s="17"/>
      <c r="AV83" s="17"/>
      <c r="AW83" s="17"/>
      <c r="AX83" s="17"/>
      <c r="AY83" s="17"/>
      <c r="AZ83" s="17"/>
      <c r="BA83" s="17"/>
      <c r="BB83" s="17"/>
      <c r="BC83" s="17"/>
      <c r="BD83" s="17"/>
      <c r="BE83" s="17"/>
      <c r="BF83" s="17"/>
      <c r="BG83" s="17"/>
      <c r="BH83" s="17"/>
      <c r="BI83" s="17"/>
      <c r="BJ83" s="17"/>
      <c r="BK83" s="17"/>
      <c r="BL83" s="17"/>
      <c r="BM83" s="17"/>
      <c r="BN83" s="17"/>
      <c r="BO83" s="17"/>
      <c r="BP83" s="17"/>
      <c r="BQ83" s="17"/>
      <c r="BR83" s="17"/>
      <c r="BS83" s="17"/>
      <c r="BT83" s="17"/>
      <c r="BU83" s="17"/>
      <c r="BV83" s="17"/>
      <c r="BW83" s="17"/>
      <c r="BX83" s="17"/>
      <c r="BY83" s="17"/>
      <c r="BZ83" s="17"/>
      <c r="CA83" s="17"/>
      <c r="CB83" s="17"/>
      <c r="CC83" s="17"/>
      <c r="CD83" s="17"/>
      <c r="CE83" s="17"/>
      <c r="CF83" s="17"/>
      <c r="CG83" s="17"/>
      <c r="CH83" s="17"/>
      <c r="CI83" s="17"/>
      <c r="CJ83" s="17"/>
      <c r="CK83" s="17"/>
      <c r="CL83" s="17"/>
      <c r="CM83" s="17"/>
      <c r="CN83" s="17"/>
      <c r="CO83" s="17"/>
      <c r="CP83" s="17"/>
      <c r="CQ83" s="17"/>
      <c r="CR83" s="17"/>
      <c r="CS83" s="17"/>
      <c r="CT83" s="17"/>
      <c r="CU83" s="17"/>
      <c r="CV83" s="17"/>
      <c r="CW83" s="17"/>
      <c r="CX83" s="17"/>
      <c r="CY83" s="17"/>
      <c r="CZ83" s="17"/>
      <c r="DA83" s="17"/>
      <c r="DB83" s="17"/>
      <c r="DC83" s="17"/>
      <c r="DD83" s="17"/>
      <c r="DE83" s="17"/>
      <c r="DF83" s="17"/>
      <c r="DG83" s="17"/>
      <c r="DH83" s="17"/>
      <c r="DI83" s="17"/>
      <c r="DJ83" s="17"/>
      <c r="DK83" s="17"/>
      <c r="DL83" s="17"/>
      <c r="DM83" s="17"/>
      <c r="DN83" s="17"/>
      <c r="DO83" s="17"/>
      <c r="DP83" s="17"/>
      <c r="DQ83" s="17"/>
      <c r="DR83" s="17"/>
      <c r="DS83" s="17"/>
      <c r="DT83" s="17"/>
      <c r="DU83" s="17"/>
      <c r="DV83" s="17"/>
      <c r="DW83" s="17"/>
      <c r="DX83" s="17"/>
      <c r="DY83" s="17"/>
      <c r="DZ83" s="17"/>
      <c r="EA83" s="17"/>
      <c r="EB83" s="17"/>
      <c r="EC83" s="17"/>
      <c r="ED83" s="17"/>
      <c r="EE83" s="17"/>
      <c r="EF83" s="17"/>
      <c r="EG83" s="17"/>
      <c r="EH83" s="17"/>
      <c r="EI83" s="17"/>
      <c r="EJ83" s="17"/>
      <c r="EK83" s="17"/>
      <c r="EL83" s="17"/>
      <c r="EM83" s="17"/>
      <c r="EN83" s="17"/>
      <c r="EO83" s="17"/>
      <c r="EP83" s="17"/>
      <c r="EQ83" s="17"/>
      <c r="ER83" s="17"/>
      <c r="ES83" s="17"/>
      <c r="ET83" s="17"/>
      <c r="EU83" s="17"/>
      <c r="EV83" s="17"/>
      <c r="EW83" s="17"/>
      <c r="EX83" s="17"/>
      <c r="EY83" s="17"/>
      <c r="EZ83" s="17"/>
      <c r="FA83" s="17"/>
      <c r="FB83" s="17"/>
      <c r="FC83" s="17"/>
      <c r="FD83" s="17"/>
      <c r="FE83" s="17"/>
      <c r="FF83" s="17"/>
      <c r="FG83" s="17"/>
      <c r="FH83" s="17"/>
      <c r="FI83" s="17"/>
      <c r="FJ83" s="17"/>
      <c r="FK83" s="17"/>
      <c r="FL83" s="17"/>
      <c r="FM83" s="17"/>
      <c r="FN83" s="17"/>
      <c r="FO83" s="17"/>
      <c r="FP83" s="17"/>
      <c r="FQ83" s="17"/>
      <c r="FR83" s="17"/>
      <c r="FS83" s="17"/>
      <c r="FT83" s="17"/>
      <c r="FU83" s="17"/>
      <c r="FV83" s="17"/>
      <c r="FW83" s="17"/>
      <c r="FX83" s="17"/>
      <c r="FY83" s="17"/>
      <c r="FZ83" s="17"/>
      <c r="GA83" s="17"/>
      <c r="GB83" s="17"/>
      <c r="GC83" s="17"/>
      <c r="GD83" s="17"/>
      <c r="GE83" s="17"/>
      <c r="GF83" s="17"/>
      <c r="GG83" s="17"/>
      <c r="GH83" s="17"/>
      <c r="GI83" s="17"/>
      <c r="GJ83" s="17"/>
      <c r="GK83" s="17"/>
      <c r="GL83" s="17"/>
      <c r="GM83" s="17"/>
      <c r="GN83" s="17"/>
      <c r="GO83" s="17"/>
      <c r="GP83" s="17"/>
      <c r="GQ83" s="17"/>
      <c r="GR83" s="17"/>
      <c r="GS83" s="17"/>
      <c r="GT83" s="17"/>
      <c r="GU83" s="17"/>
      <c r="GV83" s="17"/>
      <c r="GW83" s="17"/>
      <c r="GX83" s="17"/>
      <c r="GY83" s="17"/>
      <c r="GZ83" s="17"/>
      <c r="HA83" s="17"/>
      <c r="HB83" s="17"/>
      <c r="HC83" s="17"/>
      <c r="HD83" s="17"/>
      <c r="HE83" s="17"/>
      <c r="HF83" s="17"/>
      <c r="HG83" s="17"/>
      <c r="HH83" s="17"/>
      <c r="HI83" s="17"/>
      <c r="HJ83" s="17"/>
      <c r="HK83" s="17"/>
      <c r="HL83" s="17"/>
      <c r="HM83" s="17"/>
      <c r="HN83" s="17"/>
      <c r="HO83" s="17"/>
      <c r="HP83" s="17"/>
      <c r="HQ83" s="17"/>
      <c r="HR83" s="17"/>
      <c r="HS83" s="17"/>
      <c r="HT83" s="17"/>
      <c r="HU83" s="17"/>
      <c r="HV83" s="17"/>
      <c r="HW83" s="17"/>
      <c r="HX83" s="17"/>
      <c r="HY83" s="17"/>
      <c r="HZ83" s="17"/>
      <c r="IA83" s="17"/>
      <c r="IB83" s="17"/>
      <c r="IC83" s="17"/>
      <c r="ID83" s="17"/>
      <c r="IE83" s="17"/>
      <c r="IF83" s="17"/>
      <c r="IG83" s="17"/>
      <c r="IH83" s="17"/>
      <c r="II83" s="17"/>
      <c r="IJ83" s="17"/>
      <c r="IK83" s="17"/>
      <c r="IL83" s="17"/>
      <c r="IM83" s="17"/>
      <c r="IN83" s="17"/>
      <c r="IO83" s="17"/>
      <c r="IP83" s="17"/>
      <c r="IQ83" s="17"/>
      <c r="IR83" s="17"/>
      <c r="IS83" s="17"/>
      <c r="IT83" s="17"/>
      <c r="IU83" s="17"/>
      <c r="IV83" s="17"/>
      <c r="IW83" s="17"/>
      <c r="IX83" s="17"/>
      <c r="IY83" s="17"/>
      <c r="IZ83" s="17"/>
      <c r="JA83" s="17"/>
      <c r="JB83" s="17"/>
      <c r="JC83" s="17"/>
      <c r="JD83" s="17"/>
      <c r="JE83" s="17"/>
      <c r="JF83" s="17"/>
      <c r="JG83" s="17"/>
      <c r="JH83" s="17"/>
      <c r="JI83" s="17"/>
      <c r="JJ83" s="17"/>
      <c r="JK83" s="17"/>
      <c r="JL83" s="17"/>
      <c r="JM83" s="17"/>
      <c r="JN83" s="17"/>
      <c r="JO83" s="17"/>
      <c r="JP83" s="17"/>
      <c r="JQ83" s="17"/>
      <c r="JR83" s="17"/>
      <c r="JS83" s="17"/>
      <c r="JT83" s="17"/>
      <c r="JU83" s="17"/>
      <c r="JV83" s="17"/>
      <c r="JW83" s="17"/>
      <c r="JX83" s="17"/>
      <c r="JY83" s="17"/>
      <c r="JZ83" s="17"/>
      <c r="KA83" s="17"/>
      <c r="KB83" s="17"/>
      <c r="KC83" s="17"/>
      <c r="KD83" s="17"/>
      <c r="KE83" s="17"/>
      <c r="KF83" s="17"/>
      <c r="KG83" s="17"/>
      <c r="KH83" s="17"/>
      <c r="KI83" s="17"/>
      <c r="KJ83" s="17"/>
      <c r="KK83" s="17"/>
      <c r="KL83" s="17"/>
      <c r="KM83" s="17"/>
      <c r="KN83" s="17"/>
      <c r="KO83" s="17"/>
      <c r="KP83" s="17"/>
      <c r="KQ83" s="17"/>
      <c r="KR83" s="17"/>
      <c r="KS83" s="17"/>
      <c r="KT83" s="17"/>
      <c r="KU83" s="17"/>
      <c r="KV83" s="17"/>
      <c r="KW83" s="17"/>
      <c r="KX83" s="17"/>
      <c r="KY83" s="17"/>
    </row>
    <row r="84" spans="1:311" x14ac:dyDescent="0.25">
      <c r="A84" s="17"/>
      <c r="B84" s="17"/>
      <c r="C84" s="17"/>
      <c r="D84" s="17"/>
      <c r="E84" s="17"/>
      <c r="F84" s="17"/>
      <c r="G84" s="17"/>
      <c r="H84" s="17"/>
      <c r="I84" s="17"/>
      <c r="J84" s="17"/>
      <c r="K84" s="17"/>
      <c r="L84" s="17"/>
      <c r="M84" s="17"/>
      <c r="N84" s="17"/>
      <c r="O84" s="17"/>
      <c r="P84" s="17"/>
      <c r="Q84" s="17"/>
      <c r="R84" s="17"/>
      <c r="S84" s="17"/>
      <c r="T84" s="17"/>
      <c r="U84" s="17"/>
      <c r="V84" s="17"/>
      <c r="W84" s="17"/>
      <c r="X84" s="17"/>
      <c r="Y84" s="17"/>
      <c r="Z84" s="17"/>
      <c r="AA84" s="17"/>
      <c r="AB84" s="17"/>
      <c r="AC84" s="17"/>
      <c r="AD84" s="17"/>
      <c r="AE84" s="17"/>
      <c r="AF84" s="17"/>
      <c r="AG84" s="17"/>
      <c r="AH84" s="17"/>
      <c r="AI84" s="17"/>
      <c r="AJ84" s="17"/>
      <c r="AK84" s="17"/>
      <c r="AL84" s="17"/>
      <c r="AM84" s="17"/>
      <c r="AN84" s="17"/>
      <c r="AO84" s="17"/>
      <c r="AP84" s="17"/>
      <c r="AQ84" s="17"/>
      <c r="AR84" s="17"/>
      <c r="AS84" s="17"/>
      <c r="AT84" s="17"/>
      <c r="AU84" s="17"/>
      <c r="AV84" s="17"/>
      <c r="AW84" s="17"/>
      <c r="AX84" s="17"/>
      <c r="AY84" s="17"/>
      <c r="AZ84" s="17"/>
      <c r="BA84" s="17"/>
      <c r="BB84" s="17"/>
      <c r="BC84" s="17"/>
      <c r="BD84" s="17"/>
      <c r="BE84" s="17"/>
      <c r="BF84" s="17"/>
      <c r="BG84" s="17"/>
      <c r="BH84" s="17"/>
      <c r="BI84" s="17"/>
      <c r="BJ84" s="17"/>
      <c r="BK84" s="17"/>
      <c r="BL84" s="17"/>
      <c r="BM84" s="17"/>
      <c r="BN84" s="17"/>
      <c r="BO84" s="17"/>
      <c r="BP84" s="17"/>
      <c r="BQ84" s="17"/>
      <c r="BR84" s="17"/>
      <c r="BS84" s="17"/>
      <c r="BT84" s="17"/>
      <c r="BU84" s="17"/>
      <c r="BV84" s="17"/>
      <c r="BW84" s="17"/>
      <c r="BX84" s="17"/>
      <c r="BY84" s="17"/>
      <c r="BZ84" s="17"/>
      <c r="CA84" s="17"/>
      <c r="CB84" s="17"/>
      <c r="CC84" s="17"/>
      <c r="CD84" s="17"/>
      <c r="CE84" s="17"/>
      <c r="CF84" s="17"/>
      <c r="CG84" s="17"/>
      <c r="CH84" s="17"/>
      <c r="CI84" s="17"/>
      <c r="CJ84" s="17"/>
      <c r="CK84" s="17"/>
      <c r="CL84" s="17"/>
      <c r="CM84" s="17"/>
      <c r="CN84" s="17"/>
      <c r="CO84" s="17"/>
      <c r="CP84" s="17"/>
      <c r="CQ84" s="17"/>
      <c r="CR84" s="17"/>
      <c r="CS84" s="17"/>
      <c r="CT84" s="17"/>
      <c r="CU84" s="17"/>
      <c r="CV84" s="17"/>
      <c r="CW84" s="17"/>
      <c r="CX84" s="17"/>
      <c r="CY84" s="17"/>
      <c r="CZ84" s="17"/>
      <c r="DA84" s="17"/>
      <c r="DB84" s="17"/>
      <c r="DC84" s="17"/>
      <c r="DD84" s="17"/>
      <c r="DE84" s="17"/>
      <c r="DF84" s="17"/>
      <c r="DG84" s="17"/>
      <c r="DH84" s="17"/>
      <c r="DI84" s="17"/>
      <c r="DJ84" s="17"/>
      <c r="DK84" s="17"/>
      <c r="DL84" s="17"/>
      <c r="DM84" s="17"/>
      <c r="DN84" s="17"/>
      <c r="DO84" s="17"/>
      <c r="DP84" s="17"/>
      <c r="DQ84" s="17"/>
      <c r="DR84" s="17"/>
      <c r="DS84" s="17"/>
      <c r="DT84" s="17"/>
      <c r="DU84" s="17"/>
      <c r="DV84" s="17"/>
      <c r="DW84" s="17"/>
      <c r="DX84" s="17"/>
      <c r="DY84" s="17"/>
      <c r="DZ84" s="17"/>
      <c r="EA84" s="17"/>
      <c r="EB84" s="17"/>
      <c r="EC84" s="17"/>
      <c r="ED84" s="17"/>
      <c r="EE84" s="17"/>
      <c r="EF84" s="17"/>
      <c r="EG84" s="17"/>
      <c r="EH84" s="17"/>
      <c r="EI84" s="17"/>
      <c r="EJ84" s="17"/>
      <c r="EK84" s="17"/>
      <c r="EL84" s="17"/>
      <c r="EM84" s="17"/>
      <c r="EN84" s="17"/>
      <c r="EO84" s="17"/>
      <c r="EP84" s="17"/>
      <c r="EQ84" s="17"/>
      <c r="ER84" s="17"/>
      <c r="ES84" s="17"/>
      <c r="ET84" s="17"/>
      <c r="EU84" s="17"/>
      <c r="EV84" s="17"/>
      <c r="EW84" s="17"/>
      <c r="EX84" s="17"/>
      <c r="EY84" s="17"/>
      <c r="EZ84" s="17"/>
      <c r="FA84" s="17"/>
      <c r="FB84" s="17"/>
      <c r="FC84" s="17"/>
      <c r="FD84" s="17"/>
      <c r="FE84" s="17"/>
      <c r="FF84" s="17"/>
      <c r="FG84" s="17"/>
      <c r="FH84" s="17"/>
      <c r="FI84" s="17"/>
      <c r="FJ84" s="17"/>
      <c r="FK84" s="17"/>
      <c r="FL84" s="17"/>
      <c r="FM84" s="17"/>
      <c r="FN84" s="17"/>
      <c r="FO84" s="17"/>
      <c r="FP84" s="17"/>
      <c r="FQ84" s="17"/>
      <c r="FR84" s="17"/>
      <c r="FS84" s="17"/>
      <c r="FT84" s="17"/>
      <c r="FU84" s="17"/>
      <c r="FV84" s="17"/>
      <c r="FW84" s="17"/>
      <c r="FX84" s="17"/>
      <c r="FY84" s="17"/>
      <c r="FZ84" s="17"/>
      <c r="GA84" s="17"/>
      <c r="GB84" s="17"/>
      <c r="GC84" s="17"/>
      <c r="GD84" s="17"/>
      <c r="GE84" s="17"/>
      <c r="GF84" s="17"/>
      <c r="GG84" s="17"/>
      <c r="GH84" s="17"/>
      <c r="GI84" s="17"/>
      <c r="GJ84" s="17"/>
      <c r="GK84" s="17"/>
      <c r="GL84" s="17"/>
      <c r="GM84" s="17"/>
      <c r="GN84" s="17"/>
      <c r="GO84" s="17"/>
      <c r="GP84" s="17"/>
      <c r="GQ84" s="17"/>
      <c r="GR84" s="17"/>
      <c r="GS84" s="17"/>
      <c r="GT84" s="17"/>
      <c r="GU84" s="17"/>
      <c r="GV84" s="17"/>
      <c r="GW84" s="17"/>
      <c r="GX84" s="17"/>
      <c r="GY84" s="17"/>
      <c r="GZ84" s="17"/>
      <c r="HA84" s="17"/>
      <c r="HB84" s="17"/>
      <c r="HC84" s="17"/>
      <c r="HD84" s="17"/>
      <c r="HE84" s="17"/>
      <c r="HF84" s="17"/>
      <c r="HG84" s="17"/>
      <c r="HH84" s="17"/>
      <c r="HI84" s="17"/>
      <c r="HJ84" s="17"/>
      <c r="HK84" s="17"/>
      <c r="HL84" s="17"/>
      <c r="HM84" s="17"/>
      <c r="HN84" s="17"/>
      <c r="HO84" s="17"/>
      <c r="HP84" s="17"/>
      <c r="HQ84" s="17"/>
      <c r="HR84" s="17"/>
      <c r="HS84" s="17"/>
      <c r="HT84" s="17"/>
      <c r="HU84" s="17"/>
      <c r="HV84" s="17"/>
      <c r="HW84" s="17"/>
      <c r="HX84" s="17"/>
      <c r="HY84" s="17"/>
      <c r="HZ84" s="17"/>
      <c r="IA84" s="17"/>
      <c r="IB84" s="17"/>
      <c r="IC84" s="17"/>
      <c r="ID84" s="17"/>
      <c r="IE84" s="17"/>
      <c r="IF84" s="17"/>
      <c r="IG84" s="17"/>
      <c r="IH84" s="17"/>
      <c r="II84" s="17"/>
      <c r="IJ84" s="17"/>
      <c r="IK84" s="17"/>
      <c r="IL84" s="17"/>
      <c r="IM84" s="17"/>
      <c r="IN84" s="17"/>
      <c r="IO84" s="17"/>
      <c r="IP84" s="17"/>
      <c r="IQ84" s="17"/>
      <c r="IR84" s="17"/>
      <c r="IS84" s="17"/>
      <c r="IT84" s="17"/>
      <c r="IU84" s="17"/>
      <c r="IV84" s="17"/>
      <c r="IW84" s="17"/>
      <c r="IX84" s="17"/>
      <c r="IY84" s="17"/>
      <c r="IZ84" s="17"/>
      <c r="JA84" s="17"/>
      <c r="JB84" s="17"/>
      <c r="JC84" s="17"/>
      <c r="JD84" s="17"/>
      <c r="JE84" s="17"/>
      <c r="JF84" s="17"/>
      <c r="JG84" s="17"/>
      <c r="JH84" s="17"/>
      <c r="JI84" s="17"/>
      <c r="JJ84" s="17"/>
      <c r="JK84" s="17"/>
      <c r="JL84" s="17"/>
      <c r="JM84" s="17"/>
      <c r="JN84" s="17"/>
      <c r="JO84" s="17"/>
      <c r="JP84" s="17"/>
      <c r="JQ84" s="17"/>
      <c r="JR84" s="17"/>
      <c r="JS84" s="17"/>
      <c r="JT84" s="17"/>
      <c r="JU84" s="17"/>
      <c r="JV84" s="17"/>
      <c r="JW84" s="17"/>
      <c r="JX84" s="17"/>
      <c r="JY84" s="17"/>
      <c r="JZ84" s="17"/>
      <c r="KA84" s="17"/>
      <c r="KB84" s="17"/>
      <c r="KC84" s="17"/>
      <c r="KD84" s="17"/>
      <c r="KE84" s="17"/>
      <c r="KF84" s="17"/>
      <c r="KG84" s="17"/>
      <c r="KH84" s="17"/>
      <c r="KI84" s="17"/>
      <c r="KJ84" s="17"/>
      <c r="KK84" s="17"/>
      <c r="KL84" s="17"/>
      <c r="KM84" s="17"/>
      <c r="KN84" s="17"/>
      <c r="KO84" s="17"/>
      <c r="KP84" s="17"/>
      <c r="KQ84" s="17"/>
      <c r="KR84" s="17"/>
      <c r="KS84" s="17"/>
      <c r="KT84" s="17"/>
      <c r="KU84" s="17"/>
      <c r="KV84" s="17"/>
      <c r="KW84" s="17"/>
      <c r="KX84" s="17"/>
      <c r="KY84" s="17"/>
    </row>
    <row r="85" spans="1:311" x14ac:dyDescent="0.25">
      <c r="A85" s="17"/>
      <c r="B85" s="17"/>
      <c r="C85" s="17"/>
      <c r="D85" s="17"/>
      <c r="E85" s="17"/>
      <c r="F85" s="17"/>
      <c r="G85" s="17"/>
      <c r="H85" s="17"/>
      <c r="I85" s="17"/>
      <c r="J85" s="17"/>
      <c r="K85" s="17"/>
      <c r="L85" s="17"/>
      <c r="M85" s="17"/>
      <c r="N85" s="17"/>
      <c r="O85" s="17"/>
      <c r="P85" s="17"/>
      <c r="Q85" s="17"/>
      <c r="R85" s="17"/>
      <c r="S85" s="17"/>
      <c r="T85" s="17"/>
      <c r="U85" s="17"/>
      <c r="V85" s="17"/>
      <c r="W85" s="17"/>
      <c r="X85" s="17"/>
      <c r="Y85" s="17"/>
      <c r="Z85" s="17"/>
      <c r="AA85" s="17"/>
      <c r="AB85" s="17"/>
      <c r="AC85" s="17"/>
      <c r="AD85" s="17"/>
      <c r="AE85" s="17"/>
      <c r="AF85" s="17"/>
      <c r="AG85" s="17"/>
      <c r="AH85" s="17"/>
      <c r="AI85" s="17"/>
      <c r="AJ85" s="17"/>
      <c r="AK85" s="17"/>
      <c r="AL85" s="17"/>
      <c r="AM85" s="17"/>
      <c r="AN85" s="17"/>
      <c r="AO85" s="17"/>
      <c r="AP85" s="17"/>
      <c r="AQ85" s="17"/>
      <c r="AR85" s="17"/>
      <c r="AS85" s="17"/>
      <c r="AT85" s="17"/>
      <c r="AU85" s="17"/>
      <c r="AV85" s="17"/>
      <c r="AW85" s="17"/>
      <c r="AX85" s="17"/>
      <c r="AY85" s="17"/>
      <c r="AZ85" s="17"/>
      <c r="BA85" s="17"/>
      <c r="BB85" s="17"/>
      <c r="BC85" s="17"/>
      <c r="BD85" s="17"/>
      <c r="BE85" s="17"/>
      <c r="BF85" s="17"/>
      <c r="BG85" s="17"/>
      <c r="BH85" s="17"/>
      <c r="BI85" s="17"/>
      <c r="BJ85" s="17"/>
      <c r="BK85" s="17"/>
      <c r="BL85" s="17"/>
      <c r="BM85" s="17"/>
      <c r="BN85" s="17"/>
      <c r="BO85" s="17"/>
      <c r="BP85" s="17"/>
      <c r="BQ85" s="17"/>
      <c r="BR85" s="17"/>
      <c r="BS85" s="17"/>
      <c r="BT85" s="17"/>
      <c r="BU85" s="17"/>
      <c r="BV85" s="17"/>
      <c r="BW85" s="17"/>
      <c r="BX85" s="17"/>
      <c r="BY85" s="17"/>
      <c r="BZ85" s="17"/>
      <c r="CA85" s="17"/>
      <c r="CB85" s="17"/>
      <c r="CC85" s="17"/>
      <c r="CD85" s="17"/>
      <c r="CE85" s="17"/>
      <c r="CF85" s="17"/>
      <c r="CG85" s="17"/>
      <c r="CH85" s="17"/>
      <c r="CI85" s="17"/>
      <c r="CJ85" s="17"/>
      <c r="CK85" s="17"/>
      <c r="CL85" s="17"/>
      <c r="CM85" s="17"/>
      <c r="CN85" s="17"/>
      <c r="CO85" s="17"/>
      <c r="CP85" s="17"/>
      <c r="CQ85" s="17"/>
      <c r="CR85" s="17"/>
      <c r="CS85" s="17"/>
      <c r="CT85" s="17"/>
      <c r="CU85" s="17"/>
      <c r="CV85" s="17"/>
      <c r="CW85" s="17"/>
      <c r="CX85" s="17"/>
      <c r="CY85" s="17"/>
      <c r="CZ85" s="17"/>
      <c r="DA85" s="17"/>
      <c r="DB85" s="17"/>
      <c r="DC85" s="17"/>
      <c r="DD85" s="17"/>
      <c r="DE85" s="17"/>
      <c r="DF85" s="17"/>
      <c r="DG85" s="17"/>
      <c r="DH85" s="17"/>
      <c r="DI85" s="17"/>
      <c r="DJ85" s="17"/>
      <c r="DK85" s="17"/>
      <c r="DL85" s="17"/>
      <c r="DM85" s="17"/>
      <c r="DN85" s="17"/>
      <c r="DO85" s="17"/>
      <c r="DP85" s="17"/>
      <c r="DQ85" s="17"/>
      <c r="DR85" s="17"/>
      <c r="DS85" s="17"/>
      <c r="DT85" s="17"/>
      <c r="DU85" s="17"/>
      <c r="DV85" s="17"/>
      <c r="DW85" s="17"/>
      <c r="DX85" s="17"/>
      <c r="DY85" s="17"/>
      <c r="DZ85" s="17"/>
      <c r="EA85" s="17"/>
      <c r="EB85" s="17"/>
      <c r="EC85" s="17"/>
      <c r="ED85" s="17"/>
      <c r="EE85" s="17"/>
      <c r="EF85" s="17"/>
      <c r="EG85" s="17"/>
      <c r="EH85" s="17"/>
      <c r="EI85" s="17"/>
      <c r="EJ85" s="17"/>
      <c r="EK85" s="17"/>
      <c r="EL85" s="17"/>
      <c r="EM85" s="17"/>
      <c r="EN85" s="17"/>
      <c r="EO85" s="17"/>
      <c r="EP85" s="17"/>
      <c r="EQ85" s="17"/>
      <c r="ER85" s="17"/>
      <c r="ES85" s="17"/>
      <c r="ET85" s="17"/>
      <c r="EU85" s="17"/>
      <c r="EV85" s="17"/>
      <c r="EW85" s="17"/>
      <c r="EX85" s="17"/>
      <c r="EY85" s="17"/>
      <c r="EZ85" s="17"/>
      <c r="FA85" s="17"/>
      <c r="FB85" s="17"/>
      <c r="FC85" s="17"/>
      <c r="FD85" s="17"/>
      <c r="FE85" s="17"/>
      <c r="FF85" s="17"/>
      <c r="FG85" s="17"/>
      <c r="FH85" s="17"/>
      <c r="FI85" s="17"/>
      <c r="FJ85" s="17"/>
      <c r="FK85" s="17"/>
      <c r="FL85" s="17"/>
      <c r="FM85" s="17"/>
      <c r="FN85" s="17"/>
      <c r="FO85" s="17"/>
      <c r="FP85" s="17"/>
      <c r="FQ85" s="17"/>
      <c r="FR85" s="17"/>
      <c r="FS85" s="17"/>
      <c r="FT85" s="17"/>
      <c r="FU85" s="17"/>
      <c r="FV85" s="17"/>
      <c r="FW85" s="17"/>
      <c r="FX85" s="17"/>
      <c r="FY85" s="17"/>
      <c r="FZ85" s="17"/>
      <c r="GA85" s="17"/>
      <c r="GB85" s="17"/>
      <c r="GC85" s="17"/>
      <c r="GD85" s="17"/>
      <c r="GE85" s="17"/>
      <c r="GF85" s="17"/>
      <c r="GG85" s="17"/>
      <c r="GH85" s="17"/>
      <c r="GI85" s="17"/>
      <c r="GJ85" s="17"/>
      <c r="GK85" s="17"/>
      <c r="GL85" s="17"/>
      <c r="GM85" s="17"/>
      <c r="GN85" s="17"/>
      <c r="GO85" s="17"/>
      <c r="GP85" s="17"/>
      <c r="GQ85" s="17"/>
      <c r="GR85" s="17"/>
      <c r="GS85" s="17"/>
      <c r="GT85" s="17"/>
      <c r="GU85" s="17"/>
      <c r="GV85" s="17"/>
      <c r="GW85" s="17"/>
      <c r="GX85" s="17"/>
      <c r="GY85" s="17"/>
      <c r="GZ85" s="17"/>
      <c r="HA85" s="17"/>
      <c r="HB85" s="17"/>
      <c r="HC85" s="17"/>
      <c r="HD85" s="17"/>
      <c r="HE85" s="17"/>
      <c r="HF85" s="17"/>
      <c r="HG85" s="17"/>
      <c r="HH85" s="17"/>
      <c r="HI85" s="17"/>
      <c r="HJ85" s="17"/>
      <c r="HK85" s="17"/>
      <c r="HL85" s="17"/>
      <c r="HM85" s="17"/>
      <c r="HN85" s="17"/>
      <c r="HO85" s="17"/>
      <c r="HP85" s="17"/>
      <c r="HQ85" s="17"/>
      <c r="HR85" s="17"/>
      <c r="HS85" s="17"/>
      <c r="HT85" s="17"/>
      <c r="HU85" s="17"/>
      <c r="HV85" s="17"/>
      <c r="HW85" s="17"/>
      <c r="HX85" s="17"/>
      <c r="HY85" s="17"/>
      <c r="HZ85" s="17"/>
      <c r="IA85" s="17"/>
      <c r="IB85" s="17"/>
      <c r="IC85" s="17"/>
      <c r="ID85" s="17"/>
      <c r="IE85" s="17"/>
      <c r="IF85" s="17"/>
      <c r="IG85" s="17"/>
      <c r="IH85" s="17"/>
      <c r="II85" s="17"/>
      <c r="IJ85" s="17"/>
      <c r="IK85" s="17"/>
      <c r="IL85" s="17"/>
      <c r="IM85" s="17"/>
      <c r="IN85" s="17"/>
      <c r="IO85" s="17"/>
      <c r="IP85" s="17"/>
      <c r="IQ85" s="17"/>
      <c r="IR85" s="17"/>
      <c r="IS85" s="17"/>
      <c r="IT85" s="17"/>
      <c r="IU85" s="17"/>
      <c r="IV85" s="17"/>
      <c r="IW85" s="17"/>
      <c r="IX85" s="17"/>
      <c r="IY85" s="17"/>
      <c r="IZ85" s="17"/>
      <c r="JA85" s="17"/>
      <c r="JB85" s="17"/>
      <c r="JC85" s="17"/>
      <c r="JD85" s="17"/>
      <c r="JE85" s="17"/>
      <c r="JF85" s="17"/>
      <c r="JG85" s="17"/>
      <c r="JH85" s="17"/>
      <c r="JI85" s="17"/>
      <c r="JJ85" s="17"/>
      <c r="JK85" s="17"/>
      <c r="JL85" s="17"/>
      <c r="JM85" s="17"/>
      <c r="JN85" s="17"/>
      <c r="JO85" s="17"/>
      <c r="JP85" s="17"/>
      <c r="JQ85" s="17"/>
      <c r="JR85" s="17"/>
      <c r="JS85" s="17"/>
      <c r="JT85" s="17"/>
      <c r="JU85" s="17"/>
      <c r="JV85" s="17"/>
      <c r="JW85" s="17"/>
      <c r="JX85" s="17"/>
      <c r="JY85" s="17"/>
      <c r="JZ85" s="17"/>
      <c r="KA85" s="17"/>
      <c r="KB85" s="17"/>
      <c r="KC85" s="17"/>
      <c r="KD85" s="17"/>
      <c r="KE85" s="17"/>
      <c r="KF85" s="17"/>
      <c r="KG85" s="17"/>
      <c r="KH85" s="17"/>
      <c r="KI85" s="17"/>
      <c r="KJ85" s="17"/>
      <c r="KK85" s="17"/>
      <c r="KL85" s="17"/>
      <c r="KM85" s="17"/>
      <c r="KN85" s="17"/>
      <c r="KO85" s="17"/>
      <c r="KP85" s="17"/>
      <c r="KQ85" s="17"/>
      <c r="KR85" s="17"/>
      <c r="KS85" s="17"/>
      <c r="KT85" s="17"/>
      <c r="KU85" s="17"/>
      <c r="KV85" s="17"/>
      <c r="KW85" s="17"/>
      <c r="KX85" s="17"/>
      <c r="KY85" s="17"/>
    </row>
    <row r="86" spans="1:311" x14ac:dyDescent="0.25">
      <c r="A86" s="17"/>
      <c r="B86" s="17"/>
      <c r="C86" s="17"/>
      <c r="D86" s="17"/>
      <c r="E86" s="17"/>
      <c r="F86" s="17"/>
      <c r="G86" s="17"/>
      <c r="H86" s="17"/>
      <c r="I86" s="17"/>
      <c r="J86" s="17"/>
      <c r="K86" s="17"/>
      <c r="L86" s="17"/>
      <c r="M86" s="17"/>
      <c r="N86" s="17"/>
      <c r="O86" s="17"/>
      <c r="P86" s="17"/>
      <c r="Q86" s="17"/>
      <c r="R86" s="17"/>
      <c r="S86" s="17"/>
      <c r="T86" s="17"/>
      <c r="U86" s="17"/>
      <c r="V86" s="17"/>
      <c r="W86" s="17"/>
      <c r="X86" s="17"/>
      <c r="Y86" s="17"/>
      <c r="Z86" s="17"/>
      <c r="AA86" s="17"/>
      <c r="AB86" s="17"/>
      <c r="AC86" s="17"/>
      <c r="AD86" s="17"/>
      <c r="AE86" s="17"/>
      <c r="AF86" s="17"/>
      <c r="AG86" s="17"/>
      <c r="AH86" s="17"/>
      <c r="AI86" s="17"/>
      <c r="AJ86" s="17"/>
      <c r="AK86" s="17"/>
      <c r="AL86" s="17"/>
      <c r="AM86" s="17"/>
      <c r="AN86" s="17"/>
      <c r="AO86" s="17"/>
      <c r="AP86" s="17"/>
      <c r="AQ86" s="17"/>
      <c r="AR86" s="17"/>
      <c r="AS86" s="17"/>
      <c r="AT86" s="17"/>
      <c r="AU86" s="17"/>
      <c r="AV86" s="17"/>
      <c r="AW86" s="17"/>
      <c r="AX86" s="17"/>
      <c r="AY86" s="17"/>
      <c r="AZ86" s="17"/>
      <c r="BA86" s="17"/>
      <c r="BB86" s="17"/>
      <c r="BC86" s="17"/>
      <c r="BD86" s="17"/>
      <c r="BE86" s="17"/>
      <c r="BF86" s="17"/>
      <c r="BG86" s="17"/>
      <c r="BH86" s="17"/>
      <c r="BI86" s="17"/>
      <c r="BJ86" s="17"/>
      <c r="BK86" s="17"/>
      <c r="BL86" s="17"/>
      <c r="BM86" s="17"/>
      <c r="BN86" s="17"/>
      <c r="BO86" s="17"/>
      <c r="BP86" s="17"/>
      <c r="BQ86" s="17"/>
      <c r="BR86" s="17"/>
      <c r="BS86" s="17"/>
      <c r="BT86" s="17"/>
      <c r="BU86" s="17"/>
      <c r="BV86" s="17"/>
      <c r="BW86" s="17"/>
      <c r="BX86" s="17"/>
      <c r="BY86" s="17"/>
      <c r="BZ86" s="17"/>
      <c r="CA86" s="17"/>
      <c r="CB86" s="17"/>
      <c r="CC86" s="17"/>
      <c r="CD86" s="17"/>
      <c r="CE86" s="17"/>
      <c r="CF86" s="17"/>
      <c r="CG86" s="17"/>
      <c r="CH86" s="17"/>
      <c r="CI86" s="17"/>
      <c r="CJ86" s="17"/>
      <c r="CK86" s="17"/>
      <c r="CL86" s="17"/>
      <c r="CM86" s="17"/>
      <c r="CN86" s="17"/>
      <c r="CO86" s="17"/>
      <c r="CP86" s="17"/>
      <c r="CQ86" s="17"/>
      <c r="CR86" s="17"/>
      <c r="CS86" s="17"/>
      <c r="CT86" s="17"/>
      <c r="CU86" s="17"/>
      <c r="CV86" s="17"/>
      <c r="CW86" s="17"/>
      <c r="CX86" s="17"/>
      <c r="CY86" s="17"/>
      <c r="CZ86" s="17"/>
      <c r="DA86" s="17"/>
      <c r="DB86" s="17"/>
      <c r="DC86" s="17"/>
      <c r="DD86" s="17"/>
      <c r="DE86" s="17"/>
      <c r="DF86" s="17"/>
      <c r="DG86" s="17"/>
      <c r="DH86" s="17"/>
      <c r="DI86" s="17"/>
      <c r="DJ86" s="17"/>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7"/>
      <c r="HL86" s="17"/>
      <c r="HM86" s="17"/>
      <c r="HN86" s="17"/>
      <c r="HO86" s="17"/>
      <c r="HP86" s="17"/>
      <c r="HQ86" s="17"/>
      <c r="HR86" s="17"/>
      <c r="HS86" s="17"/>
      <c r="HT86" s="17"/>
      <c r="HU86" s="17"/>
      <c r="HV86" s="17"/>
      <c r="HW86" s="17"/>
      <c r="HX86" s="17"/>
      <c r="HY86" s="17"/>
      <c r="HZ86" s="17"/>
      <c r="IA86" s="17"/>
      <c r="IB86" s="17"/>
      <c r="IC86" s="17"/>
      <c r="ID86" s="17"/>
      <c r="IE86" s="17"/>
      <c r="IF86" s="17"/>
      <c r="IG86" s="17"/>
      <c r="IH86" s="17"/>
      <c r="II86" s="17"/>
      <c r="IJ86" s="17"/>
      <c r="IK86" s="17"/>
      <c r="IL86" s="17"/>
      <c r="IM86" s="17"/>
      <c r="IN86" s="17"/>
      <c r="IO86" s="17"/>
      <c r="IP86" s="17"/>
      <c r="IQ86" s="17"/>
      <c r="IR86" s="17"/>
      <c r="IS86" s="17"/>
      <c r="IT86" s="17"/>
      <c r="IU86" s="17"/>
      <c r="IV86" s="17"/>
      <c r="IW86" s="17"/>
      <c r="IX86" s="17"/>
      <c r="IY86" s="17"/>
      <c r="IZ86" s="17"/>
      <c r="JA86" s="17"/>
      <c r="JB86" s="17"/>
      <c r="JC86" s="17"/>
      <c r="JD86" s="17"/>
      <c r="JE86" s="17"/>
      <c r="JF86" s="17"/>
      <c r="JG86" s="17"/>
      <c r="JH86" s="17"/>
      <c r="JI86" s="17"/>
      <c r="JJ86" s="17"/>
      <c r="JK86" s="17"/>
      <c r="JL86" s="17"/>
      <c r="JM86" s="17"/>
      <c r="JN86" s="17"/>
      <c r="JO86" s="17"/>
      <c r="JP86" s="17"/>
      <c r="JQ86" s="17"/>
      <c r="JR86" s="17"/>
      <c r="JS86" s="17"/>
      <c r="JT86" s="17"/>
      <c r="JU86" s="17"/>
      <c r="JV86" s="17"/>
      <c r="JW86" s="17"/>
      <c r="JX86" s="17"/>
      <c r="JY86" s="17"/>
      <c r="JZ86" s="17"/>
      <c r="KA86" s="17"/>
      <c r="KB86" s="17"/>
      <c r="KC86" s="17"/>
      <c r="KD86" s="17"/>
      <c r="KE86" s="17"/>
      <c r="KF86" s="17"/>
      <c r="KG86" s="17"/>
      <c r="KH86" s="17"/>
      <c r="KI86" s="17"/>
      <c r="KJ86" s="17"/>
      <c r="KK86" s="17"/>
      <c r="KL86" s="17"/>
      <c r="KM86" s="17"/>
      <c r="KN86" s="17"/>
      <c r="KO86" s="17"/>
      <c r="KP86" s="17"/>
      <c r="KQ86" s="17"/>
      <c r="KR86" s="17"/>
      <c r="KS86" s="17"/>
      <c r="KT86" s="17"/>
      <c r="KU86" s="17"/>
      <c r="KV86" s="17"/>
      <c r="KW86" s="17"/>
      <c r="KX86" s="17"/>
      <c r="KY86" s="17"/>
    </row>
    <row r="87" spans="1:311" x14ac:dyDescent="0.25">
      <c r="A87" s="17"/>
      <c r="B87" s="17"/>
      <c r="C87" s="17"/>
      <c r="D87" s="17"/>
      <c r="E87" s="17"/>
      <c r="F87" s="17"/>
      <c r="G87" s="17"/>
      <c r="H87" s="17"/>
      <c r="I87" s="17"/>
      <c r="J87" s="17"/>
      <c r="K87" s="17"/>
      <c r="L87" s="17"/>
      <c r="M87" s="17"/>
      <c r="N87" s="17"/>
      <c r="O87" s="17"/>
      <c r="P87" s="17"/>
      <c r="Q87" s="17"/>
      <c r="R87" s="17"/>
      <c r="S87" s="17"/>
      <c r="T87" s="17"/>
      <c r="U87" s="17"/>
      <c r="V87" s="17"/>
      <c r="W87" s="17"/>
      <c r="X87" s="17"/>
      <c r="Y87" s="17"/>
      <c r="Z87" s="17"/>
      <c r="AA87" s="17"/>
      <c r="AB87" s="17"/>
      <c r="AC87" s="17"/>
      <c r="AD87" s="17"/>
      <c r="AE87" s="17"/>
      <c r="AF87" s="17"/>
      <c r="AG87" s="17"/>
      <c r="AH87" s="17"/>
      <c r="AI87" s="17"/>
      <c r="AJ87" s="17"/>
      <c r="AK87" s="17"/>
      <c r="AL87" s="17"/>
      <c r="AM87" s="17"/>
      <c r="AN87" s="17"/>
      <c r="AO87" s="17"/>
      <c r="AP87" s="17"/>
      <c r="AQ87" s="17"/>
      <c r="AR87" s="17"/>
      <c r="AS87" s="17"/>
      <c r="AT87" s="17"/>
      <c r="AU87" s="17"/>
      <c r="AV87" s="17"/>
      <c r="AW87" s="17"/>
      <c r="AX87" s="17"/>
      <c r="AY87" s="17"/>
      <c r="AZ87" s="17"/>
      <c r="BA87" s="17"/>
      <c r="BB87" s="17"/>
      <c r="BC87" s="17"/>
      <c r="BD87" s="17"/>
      <c r="BE87" s="17"/>
      <c r="BF87" s="17"/>
      <c r="BG87" s="17"/>
      <c r="BH87" s="17"/>
      <c r="BI87" s="17"/>
      <c r="BJ87" s="17"/>
      <c r="BK87" s="17"/>
      <c r="BL87" s="17"/>
      <c r="BM87" s="17"/>
      <c r="BN87" s="17"/>
      <c r="BO87" s="17"/>
      <c r="BP87" s="17"/>
      <c r="BQ87" s="17"/>
      <c r="BR87" s="17"/>
      <c r="BS87" s="17"/>
      <c r="BT87" s="17"/>
      <c r="BU87" s="17"/>
      <c r="BV87" s="17"/>
      <c r="BW87" s="17"/>
      <c r="BX87" s="17"/>
      <c r="BY87" s="17"/>
      <c r="BZ87" s="17"/>
      <c r="CA87" s="17"/>
      <c r="CB87" s="17"/>
      <c r="CC87" s="17"/>
      <c r="CD87" s="17"/>
      <c r="CE87" s="17"/>
      <c r="CF87" s="17"/>
      <c r="CG87" s="17"/>
      <c r="CH87" s="17"/>
      <c r="CI87" s="17"/>
      <c r="CJ87" s="17"/>
      <c r="CK87" s="17"/>
      <c r="CL87" s="17"/>
      <c r="CM87" s="17"/>
      <c r="CN87" s="17"/>
      <c r="CO87" s="17"/>
      <c r="CP87" s="17"/>
      <c r="CQ87" s="17"/>
      <c r="CR87" s="17"/>
      <c r="CS87" s="17"/>
      <c r="CT87" s="17"/>
      <c r="CU87" s="17"/>
      <c r="CV87" s="17"/>
      <c r="CW87" s="17"/>
      <c r="CX87" s="17"/>
      <c r="CY87" s="17"/>
      <c r="CZ87" s="17"/>
      <c r="DA87" s="17"/>
      <c r="DB87" s="17"/>
      <c r="DC87" s="17"/>
      <c r="DD87" s="17"/>
      <c r="DE87" s="17"/>
      <c r="DF87" s="17"/>
      <c r="DG87" s="17"/>
      <c r="DH87" s="17"/>
      <c r="DI87" s="17"/>
      <c r="DJ87" s="17"/>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7"/>
      <c r="HL87" s="17"/>
      <c r="HM87" s="17"/>
      <c r="HN87" s="17"/>
      <c r="HO87" s="17"/>
      <c r="HP87" s="17"/>
      <c r="HQ87" s="17"/>
      <c r="HR87" s="17"/>
      <c r="HS87" s="17"/>
      <c r="HT87" s="17"/>
      <c r="HU87" s="17"/>
      <c r="HV87" s="17"/>
      <c r="HW87" s="17"/>
      <c r="HX87" s="17"/>
      <c r="HY87" s="17"/>
      <c r="HZ87" s="17"/>
      <c r="IA87" s="17"/>
      <c r="IB87" s="17"/>
      <c r="IC87" s="17"/>
      <c r="ID87" s="17"/>
      <c r="IE87" s="17"/>
      <c r="IF87" s="17"/>
      <c r="IG87" s="17"/>
      <c r="IH87" s="17"/>
      <c r="II87" s="17"/>
      <c r="IJ87" s="17"/>
      <c r="IK87" s="17"/>
      <c r="IL87" s="17"/>
      <c r="IM87" s="17"/>
      <c r="IN87" s="17"/>
      <c r="IO87" s="17"/>
      <c r="IP87" s="17"/>
      <c r="IQ87" s="17"/>
      <c r="IR87" s="17"/>
      <c r="IS87" s="17"/>
      <c r="IT87" s="17"/>
      <c r="IU87" s="17"/>
      <c r="IV87" s="17"/>
      <c r="IW87" s="17"/>
      <c r="IX87" s="17"/>
      <c r="IY87" s="17"/>
      <c r="IZ87" s="17"/>
      <c r="JA87" s="17"/>
      <c r="JB87" s="17"/>
      <c r="JC87" s="17"/>
      <c r="JD87" s="17"/>
      <c r="JE87" s="17"/>
      <c r="JF87" s="17"/>
      <c r="JG87" s="17"/>
      <c r="JH87" s="17"/>
      <c r="JI87" s="17"/>
      <c r="JJ87" s="17"/>
      <c r="JK87" s="17"/>
      <c r="JL87" s="17"/>
      <c r="JM87" s="17"/>
      <c r="JN87" s="17"/>
      <c r="JO87" s="17"/>
      <c r="JP87" s="17"/>
      <c r="JQ87" s="17"/>
      <c r="JR87" s="17"/>
      <c r="JS87" s="17"/>
      <c r="JT87" s="17"/>
      <c r="JU87" s="17"/>
      <c r="JV87" s="17"/>
      <c r="JW87" s="17"/>
      <c r="JX87" s="17"/>
      <c r="JY87" s="17"/>
      <c r="JZ87" s="17"/>
      <c r="KA87" s="17"/>
      <c r="KB87" s="17"/>
      <c r="KC87" s="17"/>
      <c r="KD87" s="17"/>
      <c r="KE87" s="17"/>
      <c r="KF87" s="17"/>
      <c r="KG87" s="17"/>
      <c r="KH87" s="17"/>
      <c r="KI87" s="17"/>
      <c r="KJ87" s="17"/>
      <c r="KK87" s="17"/>
      <c r="KL87" s="17"/>
      <c r="KM87" s="17"/>
      <c r="KN87" s="17"/>
      <c r="KO87" s="17"/>
      <c r="KP87" s="17"/>
      <c r="KQ87" s="17"/>
      <c r="KR87" s="17"/>
      <c r="KS87" s="17"/>
      <c r="KT87" s="17"/>
      <c r="KU87" s="17"/>
      <c r="KV87" s="17"/>
      <c r="KW87" s="17"/>
      <c r="KX87" s="17"/>
      <c r="KY87" s="17"/>
    </row>
    <row r="88" spans="1:311" x14ac:dyDescent="0.25">
      <c r="A88" s="17"/>
      <c r="B88" s="17"/>
      <c r="C88" s="17"/>
      <c r="D88" s="17"/>
      <c r="E88" s="17"/>
      <c r="F88" s="17"/>
      <c r="G88" s="17"/>
      <c r="H88" s="17"/>
      <c r="I88" s="17"/>
      <c r="J88" s="17"/>
      <c r="K88" s="17"/>
      <c r="L88" s="17"/>
      <c r="M88" s="17"/>
      <c r="N88" s="17"/>
      <c r="O88" s="17"/>
      <c r="P88" s="17"/>
      <c r="Q88" s="17"/>
      <c r="R88" s="17"/>
      <c r="S88" s="17"/>
      <c r="T88" s="17"/>
      <c r="U88" s="17"/>
      <c r="V88" s="17"/>
      <c r="W88" s="17"/>
      <c r="X88" s="17"/>
      <c r="Y88" s="17"/>
      <c r="Z88" s="17"/>
      <c r="AA88" s="17"/>
      <c r="AB88" s="17"/>
      <c r="AC88" s="17"/>
      <c r="AD88" s="17"/>
      <c r="AE88" s="17"/>
      <c r="AF88" s="17"/>
      <c r="AG88" s="17"/>
      <c r="AH88" s="17"/>
      <c r="AI88" s="17"/>
      <c r="AJ88" s="17"/>
      <c r="AK88" s="17"/>
      <c r="AL88" s="17"/>
      <c r="AM88" s="17"/>
      <c r="AN88" s="17"/>
      <c r="AO88" s="17"/>
      <c r="AP88" s="17"/>
      <c r="AQ88" s="17"/>
      <c r="AR88" s="17"/>
      <c r="AS88" s="17"/>
      <c r="AT88" s="17"/>
      <c r="AU88" s="17"/>
      <c r="AV88" s="17"/>
      <c r="AW88" s="17"/>
      <c r="AX88" s="17"/>
      <c r="AY88" s="17"/>
      <c r="AZ88" s="17"/>
      <c r="BA88" s="17"/>
      <c r="BB88" s="17"/>
      <c r="BC88" s="17"/>
      <c r="BD88" s="17"/>
      <c r="BE88" s="17"/>
      <c r="BF88" s="17"/>
      <c r="BG88" s="17"/>
      <c r="BH88" s="17"/>
      <c r="BI88" s="17"/>
      <c r="BJ88" s="17"/>
      <c r="BK88" s="17"/>
      <c r="BL88" s="17"/>
      <c r="BM88" s="17"/>
      <c r="BN88" s="17"/>
      <c r="BO88" s="17"/>
      <c r="BP88" s="17"/>
      <c r="BQ88" s="17"/>
      <c r="BR88" s="17"/>
      <c r="BS88" s="17"/>
      <c r="BT88" s="17"/>
      <c r="BU88" s="17"/>
      <c r="BV88" s="17"/>
      <c r="BW88" s="17"/>
      <c r="BX88" s="17"/>
      <c r="BY88" s="17"/>
      <c r="BZ88" s="17"/>
      <c r="CA88" s="17"/>
      <c r="CB88" s="17"/>
      <c r="CC88" s="17"/>
      <c r="CD88" s="17"/>
      <c r="CE88" s="17"/>
      <c r="CF88" s="17"/>
      <c r="CG88" s="17"/>
      <c r="CH88" s="17"/>
      <c r="CI88" s="17"/>
      <c r="CJ88" s="17"/>
      <c r="CK88" s="17"/>
      <c r="CL88" s="17"/>
      <c r="CM88" s="17"/>
      <c r="CN88" s="17"/>
      <c r="CO88" s="17"/>
      <c r="CP88" s="17"/>
      <c r="CQ88" s="17"/>
      <c r="CR88" s="17"/>
      <c r="CS88" s="17"/>
      <c r="CT88" s="17"/>
      <c r="CU88" s="17"/>
      <c r="CV88" s="17"/>
      <c r="CW88" s="17"/>
      <c r="CX88" s="17"/>
      <c r="CY88" s="17"/>
      <c r="CZ88" s="17"/>
      <c r="DA88" s="17"/>
      <c r="DB88" s="17"/>
      <c r="DC88" s="17"/>
      <c r="DD88" s="17"/>
      <c r="DE88" s="17"/>
      <c r="DF88" s="17"/>
      <c r="DG88" s="17"/>
      <c r="DH88" s="17"/>
      <c r="DI88" s="17"/>
      <c r="DJ88" s="17"/>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7"/>
      <c r="HL88" s="17"/>
      <c r="HM88" s="17"/>
      <c r="HN88" s="17"/>
      <c r="HO88" s="17"/>
      <c r="HP88" s="17"/>
      <c r="HQ88" s="17"/>
      <c r="HR88" s="17"/>
      <c r="HS88" s="17"/>
      <c r="HT88" s="17"/>
      <c r="HU88" s="17"/>
      <c r="HV88" s="17"/>
      <c r="HW88" s="17"/>
      <c r="HX88" s="17"/>
      <c r="HY88" s="17"/>
      <c r="HZ88" s="17"/>
      <c r="IA88" s="17"/>
      <c r="IB88" s="17"/>
      <c r="IC88" s="17"/>
      <c r="ID88" s="17"/>
      <c r="IE88" s="17"/>
      <c r="IF88" s="17"/>
      <c r="IG88" s="17"/>
      <c r="IH88" s="17"/>
      <c r="II88" s="17"/>
      <c r="IJ88" s="17"/>
      <c r="IK88" s="17"/>
      <c r="IL88" s="17"/>
      <c r="IM88" s="17"/>
      <c r="IN88" s="17"/>
      <c r="IO88" s="17"/>
      <c r="IP88" s="17"/>
      <c r="IQ88" s="17"/>
      <c r="IR88" s="17"/>
      <c r="IS88" s="17"/>
      <c r="IT88" s="17"/>
      <c r="IU88" s="17"/>
      <c r="IV88" s="17"/>
      <c r="IW88" s="17"/>
      <c r="IX88" s="17"/>
      <c r="IY88" s="17"/>
      <c r="IZ88" s="17"/>
      <c r="JA88" s="17"/>
      <c r="JB88" s="17"/>
      <c r="JC88" s="17"/>
      <c r="JD88" s="17"/>
      <c r="JE88" s="17"/>
      <c r="JF88" s="17"/>
      <c r="JG88" s="17"/>
      <c r="JH88" s="17"/>
      <c r="JI88" s="17"/>
      <c r="JJ88" s="17"/>
      <c r="JK88" s="17"/>
      <c r="JL88" s="17"/>
      <c r="JM88" s="17"/>
      <c r="JN88" s="17"/>
      <c r="JO88" s="17"/>
      <c r="JP88" s="17"/>
      <c r="JQ88" s="17"/>
      <c r="JR88" s="17"/>
      <c r="JS88" s="17"/>
      <c r="JT88" s="17"/>
      <c r="JU88" s="17"/>
      <c r="JV88" s="17"/>
      <c r="JW88" s="17"/>
      <c r="JX88" s="17"/>
      <c r="JY88" s="17"/>
      <c r="JZ88" s="17"/>
      <c r="KA88" s="17"/>
      <c r="KB88" s="17"/>
      <c r="KC88" s="17"/>
      <c r="KD88" s="17"/>
      <c r="KE88" s="17"/>
      <c r="KF88" s="17"/>
      <c r="KG88" s="17"/>
      <c r="KH88" s="17"/>
      <c r="KI88" s="17"/>
      <c r="KJ88" s="17"/>
      <c r="KK88" s="17"/>
      <c r="KL88" s="17"/>
      <c r="KM88" s="17"/>
      <c r="KN88" s="17"/>
      <c r="KO88" s="17"/>
      <c r="KP88" s="17"/>
      <c r="KQ88" s="17"/>
      <c r="KR88" s="17"/>
      <c r="KS88" s="17"/>
      <c r="KT88" s="17"/>
      <c r="KU88" s="17"/>
      <c r="KV88" s="17"/>
      <c r="KW88" s="17"/>
      <c r="KX88" s="17"/>
      <c r="KY88" s="17"/>
    </row>
    <row r="89" spans="1:311" x14ac:dyDescent="0.25">
      <c r="A89" s="17"/>
      <c r="B89" s="17"/>
      <c r="C89" s="17"/>
      <c r="D89" s="17"/>
      <c r="E89" s="17"/>
      <c r="F89" s="17"/>
      <c r="G89" s="17"/>
      <c r="H89" s="17"/>
      <c r="I89" s="17"/>
      <c r="J89" s="17"/>
      <c r="K89" s="17"/>
      <c r="L89" s="17"/>
      <c r="M89" s="17"/>
      <c r="N89" s="17"/>
      <c r="O89" s="17"/>
      <c r="P89" s="17"/>
      <c r="Q89" s="17"/>
      <c r="R89" s="17"/>
      <c r="S89" s="17"/>
      <c r="T89" s="17"/>
      <c r="U89" s="17"/>
      <c r="V89" s="17"/>
      <c r="W89" s="17"/>
      <c r="X89" s="17"/>
      <c r="Y89" s="17"/>
      <c r="Z89" s="17"/>
      <c r="AA89" s="17"/>
      <c r="AB89" s="17"/>
      <c r="AC89" s="17"/>
      <c r="AD89" s="17"/>
      <c r="AE89" s="17"/>
      <c r="AF89" s="17"/>
      <c r="AG89" s="17"/>
      <c r="AH89" s="17"/>
      <c r="AI89" s="17"/>
      <c r="AJ89" s="17"/>
      <c r="AK89" s="17"/>
      <c r="AL89" s="17"/>
      <c r="AM89" s="17"/>
      <c r="AN89" s="17"/>
      <c r="AO89" s="17"/>
      <c r="AP89" s="17"/>
      <c r="AQ89" s="17"/>
      <c r="AR89" s="17"/>
      <c r="AS89" s="17"/>
      <c r="AT89" s="17"/>
      <c r="AU89" s="17"/>
      <c r="AV89" s="17"/>
      <c r="AW89" s="17"/>
      <c r="AX89" s="17"/>
      <c r="AY89" s="17"/>
      <c r="AZ89" s="17"/>
      <c r="BA89" s="17"/>
      <c r="BB89" s="17"/>
      <c r="BC89" s="17"/>
      <c r="BD89" s="17"/>
      <c r="BE89" s="17"/>
      <c r="BF89" s="17"/>
      <c r="BG89" s="17"/>
      <c r="BH89" s="17"/>
      <c r="BI89" s="17"/>
      <c r="BJ89" s="17"/>
      <c r="BK89" s="17"/>
      <c r="BL89" s="17"/>
      <c r="BM89" s="17"/>
      <c r="BN89" s="17"/>
      <c r="BO89" s="17"/>
      <c r="BP89" s="17"/>
      <c r="BQ89" s="17"/>
      <c r="BR89" s="17"/>
      <c r="BS89" s="17"/>
      <c r="BT89" s="17"/>
      <c r="BU89" s="17"/>
      <c r="BV89" s="17"/>
      <c r="BW89" s="17"/>
      <c r="BX89" s="17"/>
      <c r="BY89" s="17"/>
      <c r="BZ89" s="17"/>
      <c r="CA89" s="17"/>
      <c r="CB89" s="17"/>
      <c r="CC89" s="17"/>
      <c r="CD89" s="17"/>
      <c r="CE89" s="17"/>
      <c r="CF89" s="17"/>
      <c r="CG89" s="17"/>
      <c r="CH89" s="17"/>
      <c r="CI89" s="17"/>
      <c r="CJ89" s="17"/>
      <c r="CK89" s="17"/>
      <c r="CL89" s="17"/>
      <c r="CM89" s="17"/>
      <c r="CN89" s="17"/>
      <c r="CO89" s="17"/>
      <c r="CP89" s="17"/>
      <c r="CQ89" s="17"/>
      <c r="CR89" s="17"/>
      <c r="CS89" s="17"/>
      <c r="CT89" s="17"/>
      <c r="CU89" s="17"/>
      <c r="CV89" s="17"/>
      <c r="CW89" s="17"/>
      <c r="CX89" s="17"/>
      <c r="CY89" s="17"/>
      <c r="CZ89" s="17"/>
      <c r="DA89" s="17"/>
      <c r="DB89" s="17"/>
      <c r="DC89" s="17"/>
      <c r="DD89" s="17"/>
      <c r="DE89" s="17"/>
      <c r="DF89" s="17"/>
      <c r="DG89" s="17"/>
      <c r="DH89" s="17"/>
      <c r="DI89" s="17"/>
      <c r="DJ89" s="17"/>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7"/>
      <c r="HL89" s="17"/>
      <c r="HM89" s="17"/>
      <c r="HN89" s="17"/>
      <c r="HO89" s="17"/>
      <c r="HP89" s="17"/>
      <c r="HQ89" s="17"/>
      <c r="HR89" s="17"/>
      <c r="HS89" s="17"/>
      <c r="HT89" s="17"/>
      <c r="HU89" s="17"/>
      <c r="HV89" s="17"/>
      <c r="HW89" s="17"/>
      <c r="HX89" s="17"/>
      <c r="HY89" s="17"/>
      <c r="HZ89" s="17"/>
      <c r="IA89" s="17"/>
      <c r="IB89" s="17"/>
      <c r="IC89" s="17"/>
      <c r="ID89" s="17"/>
      <c r="IE89" s="17"/>
      <c r="IF89" s="17"/>
      <c r="IG89" s="17"/>
      <c r="IH89" s="17"/>
      <c r="II89" s="17"/>
      <c r="IJ89" s="17"/>
      <c r="IK89" s="17"/>
      <c r="IL89" s="17"/>
      <c r="IM89" s="17"/>
      <c r="IN89" s="17"/>
      <c r="IO89" s="17"/>
      <c r="IP89" s="17"/>
      <c r="IQ89" s="17"/>
      <c r="IR89" s="17"/>
      <c r="IS89" s="17"/>
      <c r="IT89" s="17"/>
      <c r="IU89" s="17"/>
      <c r="IV89" s="17"/>
      <c r="IW89" s="17"/>
      <c r="IX89" s="17"/>
      <c r="IY89" s="17"/>
      <c r="IZ89" s="17"/>
      <c r="JA89" s="17"/>
      <c r="JB89" s="17"/>
      <c r="JC89" s="17"/>
      <c r="JD89" s="17"/>
      <c r="JE89" s="17"/>
      <c r="JF89" s="17"/>
      <c r="JG89" s="17"/>
      <c r="JH89" s="17"/>
      <c r="JI89" s="17"/>
      <c r="JJ89" s="17"/>
      <c r="JK89" s="17"/>
      <c r="JL89" s="17"/>
      <c r="JM89" s="17"/>
      <c r="JN89" s="17"/>
      <c r="JO89" s="17"/>
      <c r="JP89" s="17"/>
      <c r="JQ89" s="17"/>
      <c r="JR89" s="17"/>
      <c r="JS89" s="17"/>
      <c r="JT89" s="17"/>
      <c r="JU89" s="17"/>
      <c r="JV89" s="17"/>
      <c r="JW89" s="17"/>
      <c r="JX89" s="17"/>
      <c r="JY89" s="17"/>
      <c r="JZ89" s="17"/>
      <c r="KA89" s="17"/>
      <c r="KB89" s="17"/>
      <c r="KC89" s="17"/>
      <c r="KD89" s="17"/>
      <c r="KE89" s="17"/>
      <c r="KF89" s="17"/>
      <c r="KG89" s="17"/>
      <c r="KH89" s="17"/>
      <c r="KI89" s="17"/>
      <c r="KJ89" s="17"/>
      <c r="KK89" s="17"/>
      <c r="KL89" s="17"/>
      <c r="KM89" s="17"/>
      <c r="KN89" s="17"/>
      <c r="KO89" s="17"/>
      <c r="KP89" s="17"/>
      <c r="KQ89" s="17"/>
      <c r="KR89" s="17"/>
      <c r="KS89" s="17"/>
      <c r="KT89" s="17"/>
      <c r="KU89" s="17"/>
      <c r="KV89" s="17"/>
      <c r="KW89" s="17"/>
      <c r="KX89" s="17"/>
      <c r="KY89" s="17"/>
    </row>
    <row r="90" spans="1:311" x14ac:dyDescent="0.25">
      <c r="A90" s="17"/>
      <c r="B90" s="17"/>
      <c r="C90" s="17"/>
      <c r="D90" s="17"/>
      <c r="E90" s="17"/>
      <c r="F90" s="17"/>
      <c r="G90" s="17"/>
      <c r="H90" s="17"/>
      <c r="I90" s="17"/>
      <c r="J90" s="17"/>
      <c r="K90" s="17"/>
      <c r="L90" s="17"/>
      <c r="M90" s="17"/>
      <c r="N90" s="17"/>
      <c r="O90" s="17"/>
      <c r="P90" s="17"/>
      <c r="Q90" s="17"/>
      <c r="R90" s="17"/>
      <c r="S90" s="17"/>
      <c r="T90" s="17"/>
      <c r="U90" s="17"/>
      <c r="V90" s="17"/>
      <c r="W90" s="17"/>
      <c r="X90" s="17"/>
      <c r="Y90" s="17"/>
      <c r="Z90" s="17"/>
      <c r="AA90" s="17"/>
      <c r="AB90" s="17"/>
      <c r="AC90" s="17"/>
      <c r="AD90" s="17"/>
      <c r="AE90" s="17"/>
      <c r="AF90" s="17"/>
      <c r="AG90" s="17"/>
      <c r="AH90" s="17"/>
      <c r="AI90" s="17"/>
      <c r="AJ90" s="17"/>
      <c r="AK90" s="17"/>
      <c r="AL90" s="17"/>
      <c r="AM90" s="17"/>
      <c r="AN90" s="17"/>
      <c r="AO90" s="17"/>
      <c r="AP90" s="17"/>
      <c r="AQ90" s="17"/>
      <c r="AR90" s="17"/>
      <c r="AS90" s="17"/>
      <c r="AT90" s="17"/>
      <c r="AU90" s="17"/>
      <c r="AV90" s="17"/>
      <c r="AW90" s="17"/>
      <c r="AX90" s="17"/>
      <c r="AY90" s="17"/>
      <c r="AZ90" s="17"/>
      <c r="BA90" s="17"/>
      <c r="BB90" s="17"/>
      <c r="BC90" s="17"/>
      <c r="BD90" s="17"/>
      <c r="BE90" s="17"/>
      <c r="BF90" s="17"/>
      <c r="BG90" s="17"/>
      <c r="BH90" s="17"/>
      <c r="BI90" s="17"/>
      <c r="BJ90" s="17"/>
      <c r="BK90" s="17"/>
      <c r="BL90" s="17"/>
      <c r="BM90" s="17"/>
      <c r="BN90" s="17"/>
      <c r="BO90" s="17"/>
      <c r="BP90" s="17"/>
      <c r="BQ90" s="17"/>
      <c r="BR90" s="17"/>
      <c r="BS90" s="17"/>
      <c r="BT90" s="17"/>
      <c r="BU90" s="17"/>
      <c r="BV90" s="17"/>
      <c r="BW90" s="17"/>
      <c r="BX90" s="17"/>
      <c r="BY90" s="17"/>
      <c r="BZ90" s="17"/>
      <c r="CA90" s="17"/>
      <c r="CB90" s="17"/>
      <c r="CC90" s="17"/>
      <c r="CD90" s="17"/>
      <c r="CE90" s="17"/>
      <c r="CF90" s="17"/>
      <c r="CG90" s="17"/>
      <c r="CH90" s="17"/>
      <c r="CI90" s="17"/>
      <c r="CJ90" s="17"/>
      <c r="CK90" s="17"/>
      <c r="CL90" s="17"/>
      <c r="CM90" s="17"/>
      <c r="CN90" s="17"/>
      <c r="CO90" s="17"/>
      <c r="CP90" s="17"/>
      <c r="CQ90" s="17"/>
      <c r="CR90" s="17"/>
      <c r="CS90" s="17"/>
      <c r="CT90" s="17"/>
      <c r="CU90" s="17"/>
      <c r="CV90" s="17"/>
      <c r="CW90" s="17"/>
      <c r="CX90" s="17"/>
      <c r="CY90" s="17"/>
      <c r="CZ90" s="17"/>
      <c r="DA90" s="17"/>
      <c r="DB90" s="17"/>
      <c r="DC90" s="17"/>
      <c r="DD90" s="17"/>
      <c r="DE90" s="17"/>
      <c r="DF90" s="17"/>
      <c r="DG90" s="17"/>
      <c r="DH90" s="17"/>
      <c r="DI90" s="17"/>
      <c r="DJ90" s="17"/>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7"/>
      <c r="HL90" s="17"/>
      <c r="HM90" s="17"/>
      <c r="HN90" s="17"/>
      <c r="HO90" s="17"/>
      <c r="HP90" s="17"/>
      <c r="HQ90" s="17"/>
      <c r="HR90" s="17"/>
      <c r="HS90" s="17"/>
      <c r="HT90" s="17"/>
      <c r="HU90" s="17"/>
      <c r="HV90" s="17"/>
      <c r="HW90" s="17"/>
      <c r="HX90" s="17"/>
      <c r="HY90" s="17"/>
      <c r="HZ90" s="17"/>
      <c r="IA90" s="17"/>
      <c r="IB90" s="17"/>
      <c r="IC90" s="17"/>
      <c r="ID90" s="17"/>
      <c r="IE90" s="17"/>
      <c r="IF90" s="17"/>
      <c r="IG90" s="17"/>
      <c r="IH90" s="17"/>
      <c r="II90" s="17"/>
      <c r="IJ90" s="17"/>
      <c r="IK90" s="17"/>
      <c r="IL90" s="17"/>
      <c r="IM90" s="17"/>
      <c r="IN90" s="17"/>
      <c r="IO90" s="17"/>
      <c r="IP90" s="17"/>
      <c r="IQ90" s="17"/>
      <c r="IR90" s="17"/>
      <c r="IS90" s="17"/>
      <c r="IT90" s="17"/>
      <c r="IU90" s="17"/>
      <c r="IV90" s="17"/>
      <c r="IW90" s="17"/>
      <c r="IX90" s="17"/>
      <c r="IY90" s="17"/>
      <c r="IZ90" s="17"/>
      <c r="JA90" s="17"/>
      <c r="JB90" s="17"/>
      <c r="JC90" s="17"/>
      <c r="JD90" s="17"/>
      <c r="JE90" s="17"/>
      <c r="JF90" s="17"/>
      <c r="JG90" s="17"/>
      <c r="JH90" s="17"/>
      <c r="JI90" s="17"/>
      <c r="JJ90" s="17"/>
      <c r="JK90" s="17"/>
      <c r="JL90" s="17"/>
      <c r="JM90" s="17"/>
      <c r="JN90" s="17"/>
      <c r="JO90" s="17"/>
      <c r="JP90" s="17"/>
      <c r="JQ90" s="17"/>
      <c r="JR90" s="17"/>
      <c r="JS90" s="17"/>
      <c r="JT90" s="17"/>
      <c r="JU90" s="17"/>
      <c r="JV90" s="17"/>
      <c r="JW90" s="17"/>
      <c r="JX90" s="17"/>
      <c r="JY90" s="17"/>
      <c r="JZ90" s="17"/>
      <c r="KA90" s="17"/>
      <c r="KB90" s="17"/>
      <c r="KC90" s="17"/>
      <c r="KD90" s="17"/>
      <c r="KE90" s="17"/>
      <c r="KF90" s="17"/>
      <c r="KG90" s="17"/>
      <c r="KH90" s="17"/>
      <c r="KI90" s="17"/>
      <c r="KJ90" s="17"/>
      <c r="KK90" s="17"/>
      <c r="KL90" s="17"/>
      <c r="KM90" s="17"/>
      <c r="KN90" s="17"/>
      <c r="KO90" s="17"/>
      <c r="KP90" s="17"/>
      <c r="KQ90" s="17"/>
      <c r="KR90" s="17"/>
      <c r="KS90" s="17"/>
      <c r="KT90" s="17"/>
      <c r="KU90" s="17"/>
      <c r="KV90" s="17"/>
      <c r="KW90" s="17"/>
      <c r="KX90" s="17"/>
      <c r="KY90" s="17"/>
    </row>
    <row r="91" spans="1:311" x14ac:dyDescent="0.25">
      <c r="A91" s="17"/>
      <c r="B91" s="17"/>
      <c r="C91" s="17"/>
      <c r="D91" s="17"/>
      <c r="E91" s="17"/>
      <c r="F91" s="17"/>
      <c r="G91" s="17"/>
      <c r="H91" s="17"/>
      <c r="I91" s="17"/>
      <c r="J91" s="17"/>
      <c r="K91" s="17"/>
      <c r="L91" s="17"/>
      <c r="M91" s="17"/>
      <c r="N91" s="17"/>
      <c r="O91" s="17"/>
      <c r="P91" s="17"/>
      <c r="Q91" s="17"/>
      <c r="R91" s="17"/>
      <c r="S91" s="17"/>
      <c r="T91" s="17"/>
      <c r="U91" s="17"/>
      <c r="V91" s="17"/>
      <c r="W91" s="17"/>
      <c r="X91" s="17"/>
      <c r="Y91" s="17"/>
      <c r="Z91" s="17"/>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17"/>
      <c r="BA91" s="17"/>
      <c r="BB91" s="17"/>
      <c r="BC91" s="17"/>
      <c r="BD91" s="17"/>
      <c r="BE91" s="17"/>
      <c r="BF91" s="17"/>
      <c r="BG91" s="17"/>
      <c r="BH91" s="17"/>
      <c r="BI91" s="17"/>
      <c r="BJ91" s="17"/>
      <c r="BK91" s="17"/>
      <c r="BL91" s="17"/>
      <c r="BM91" s="17"/>
      <c r="BN91" s="17"/>
      <c r="BO91" s="17"/>
      <c r="BP91" s="17"/>
      <c r="BQ91" s="17"/>
      <c r="BR91" s="17"/>
      <c r="BS91" s="17"/>
      <c r="BT91" s="17"/>
      <c r="BU91" s="17"/>
      <c r="BV91" s="17"/>
      <c r="BW91" s="17"/>
      <c r="BX91" s="17"/>
      <c r="BY91" s="17"/>
      <c r="BZ91" s="17"/>
      <c r="CA91" s="17"/>
      <c r="CB91" s="17"/>
      <c r="CC91" s="17"/>
      <c r="CD91" s="17"/>
      <c r="CE91" s="17"/>
      <c r="CF91" s="17"/>
      <c r="CG91" s="17"/>
      <c r="CH91" s="17"/>
      <c r="CI91" s="17"/>
      <c r="CJ91" s="17"/>
      <c r="CK91" s="17"/>
      <c r="CL91" s="17"/>
      <c r="CM91" s="17"/>
      <c r="CN91" s="17"/>
      <c r="CO91" s="17"/>
      <c r="CP91" s="17"/>
      <c r="CQ91" s="17"/>
      <c r="CR91" s="17"/>
      <c r="CS91" s="17"/>
      <c r="CT91" s="17"/>
      <c r="CU91" s="17"/>
      <c r="CV91" s="17"/>
      <c r="CW91" s="17"/>
      <c r="CX91" s="17"/>
      <c r="CY91" s="17"/>
      <c r="CZ91" s="17"/>
      <c r="DA91" s="17"/>
      <c r="DB91" s="17"/>
      <c r="DC91" s="17"/>
      <c r="DD91" s="17"/>
      <c r="DE91" s="17"/>
      <c r="DF91" s="17"/>
      <c r="DG91" s="17"/>
      <c r="DH91" s="17"/>
      <c r="DI91" s="17"/>
      <c r="DJ91" s="17"/>
      <c r="DK91" s="17"/>
      <c r="DL91" s="17"/>
      <c r="DM91" s="17"/>
      <c r="DN91" s="17"/>
      <c r="DO91" s="17"/>
      <c r="DP91" s="17"/>
      <c r="DQ91" s="17"/>
      <c r="DR91" s="17"/>
      <c r="DS91" s="17"/>
      <c r="DT91" s="17"/>
      <c r="DU91" s="17"/>
      <c r="DV91" s="17"/>
      <c r="DW91" s="17"/>
      <c r="DX91" s="17"/>
      <c r="DY91" s="17"/>
      <c r="DZ91" s="17"/>
      <c r="EA91" s="17"/>
      <c r="EB91" s="17"/>
      <c r="EC91" s="17"/>
      <c r="ED91" s="17"/>
      <c r="EE91" s="17"/>
      <c r="EF91" s="17"/>
      <c r="EG91" s="17"/>
      <c r="EH91" s="17"/>
      <c r="EI91" s="17"/>
      <c r="EJ91" s="17"/>
      <c r="EK91" s="17"/>
      <c r="EL91" s="17"/>
      <c r="EM91" s="17"/>
      <c r="EN91" s="17"/>
      <c r="EO91" s="17"/>
      <c r="EP91" s="17"/>
      <c r="EQ91" s="17"/>
      <c r="ER91" s="17"/>
      <c r="ES91" s="17"/>
      <c r="ET91" s="17"/>
      <c r="EU91" s="17"/>
      <c r="EV91" s="17"/>
      <c r="EW91" s="17"/>
      <c r="EX91" s="17"/>
      <c r="EY91" s="17"/>
      <c r="EZ91" s="17"/>
      <c r="FA91" s="17"/>
      <c r="FB91" s="17"/>
      <c r="FC91" s="17"/>
      <c r="FD91" s="17"/>
      <c r="FE91" s="17"/>
      <c r="FF91" s="17"/>
      <c r="FG91" s="17"/>
      <c r="FH91" s="17"/>
      <c r="FI91" s="17"/>
      <c r="FJ91" s="17"/>
      <c r="FK91" s="17"/>
      <c r="FL91" s="17"/>
      <c r="FM91" s="17"/>
      <c r="FN91" s="17"/>
      <c r="FO91" s="17"/>
      <c r="FP91" s="17"/>
      <c r="FQ91" s="17"/>
      <c r="FR91" s="17"/>
      <c r="FS91" s="17"/>
      <c r="FT91" s="17"/>
      <c r="FU91" s="17"/>
      <c r="FV91" s="17"/>
      <c r="FW91" s="17"/>
      <c r="FX91" s="17"/>
      <c r="FY91" s="17"/>
      <c r="FZ91" s="17"/>
      <c r="GA91" s="17"/>
      <c r="GB91" s="17"/>
      <c r="GC91" s="17"/>
      <c r="GD91" s="17"/>
      <c r="GE91" s="17"/>
      <c r="GF91" s="17"/>
      <c r="GG91" s="17"/>
      <c r="GH91" s="17"/>
      <c r="GI91" s="17"/>
      <c r="GJ91" s="17"/>
      <c r="GK91" s="17"/>
      <c r="GL91" s="17"/>
      <c r="GM91" s="17"/>
      <c r="GN91" s="17"/>
      <c r="GO91" s="17"/>
      <c r="GP91" s="17"/>
      <c r="GQ91" s="17"/>
      <c r="GR91" s="17"/>
      <c r="GS91" s="17"/>
      <c r="GT91" s="17"/>
      <c r="GU91" s="17"/>
      <c r="GV91" s="17"/>
      <c r="GW91" s="17"/>
      <c r="GX91" s="17"/>
      <c r="GY91" s="17"/>
      <c r="GZ91" s="17"/>
      <c r="HA91" s="17"/>
      <c r="HB91" s="17"/>
      <c r="HC91" s="17"/>
      <c r="HD91" s="17"/>
      <c r="HE91" s="17"/>
      <c r="HF91" s="17"/>
      <c r="HG91" s="17"/>
      <c r="HH91" s="17"/>
      <c r="HI91" s="17"/>
      <c r="HJ91" s="17"/>
      <c r="HK91" s="17"/>
      <c r="HL91" s="17"/>
      <c r="HM91" s="17"/>
      <c r="HN91" s="17"/>
      <c r="HO91" s="17"/>
      <c r="HP91" s="17"/>
      <c r="HQ91" s="17"/>
      <c r="HR91" s="17"/>
      <c r="HS91" s="17"/>
      <c r="HT91" s="17"/>
      <c r="HU91" s="17"/>
      <c r="HV91" s="17"/>
      <c r="HW91" s="17"/>
      <c r="HX91" s="17"/>
      <c r="HY91" s="17"/>
      <c r="HZ91" s="17"/>
      <c r="IA91" s="17"/>
      <c r="IB91" s="17"/>
      <c r="IC91" s="17"/>
      <c r="ID91" s="17"/>
      <c r="IE91" s="17"/>
      <c r="IF91" s="17"/>
      <c r="IG91" s="17"/>
      <c r="IH91" s="17"/>
      <c r="II91" s="17"/>
      <c r="IJ91" s="17"/>
      <c r="IK91" s="17"/>
      <c r="IL91" s="17"/>
      <c r="IM91" s="17"/>
      <c r="IN91" s="17"/>
      <c r="IO91" s="17"/>
      <c r="IP91" s="17"/>
      <c r="IQ91" s="17"/>
      <c r="IR91" s="17"/>
      <c r="IS91" s="17"/>
      <c r="IT91" s="17"/>
      <c r="IU91" s="17"/>
      <c r="IV91" s="17"/>
      <c r="IW91" s="17"/>
      <c r="IX91" s="17"/>
      <c r="IY91" s="17"/>
      <c r="IZ91" s="17"/>
      <c r="JA91" s="17"/>
      <c r="JB91" s="17"/>
      <c r="JC91" s="17"/>
      <c r="JD91" s="17"/>
      <c r="JE91" s="17"/>
      <c r="JF91" s="17"/>
      <c r="JG91" s="17"/>
      <c r="JH91" s="17"/>
      <c r="JI91" s="17"/>
      <c r="JJ91" s="17"/>
      <c r="JK91" s="17"/>
      <c r="JL91" s="17"/>
      <c r="JM91" s="17"/>
      <c r="JN91" s="17"/>
      <c r="JO91" s="17"/>
      <c r="JP91" s="17"/>
      <c r="JQ91" s="17"/>
      <c r="JR91" s="17"/>
      <c r="JS91" s="17"/>
      <c r="JT91" s="17"/>
      <c r="JU91" s="17"/>
      <c r="JV91" s="17"/>
      <c r="JW91" s="17"/>
      <c r="JX91" s="17"/>
      <c r="JY91" s="17"/>
      <c r="JZ91" s="17"/>
      <c r="KA91" s="17"/>
      <c r="KB91" s="17"/>
      <c r="KC91" s="17"/>
      <c r="KD91" s="17"/>
      <c r="KE91" s="17"/>
      <c r="KF91" s="17"/>
      <c r="KG91" s="17"/>
      <c r="KH91" s="17"/>
      <c r="KI91" s="17"/>
      <c r="KJ91" s="17"/>
      <c r="KK91" s="17"/>
      <c r="KL91" s="17"/>
      <c r="KM91" s="17"/>
      <c r="KN91" s="17"/>
      <c r="KO91" s="17"/>
      <c r="KP91" s="17"/>
      <c r="KQ91" s="17"/>
      <c r="KR91" s="17"/>
      <c r="KS91" s="17"/>
      <c r="KT91" s="17"/>
      <c r="KU91" s="17"/>
      <c r="KV91" s="17"/>
      <c r="KW91" s="17"/>
      <c r="KX91" s="17"/>
      <c r="KY91" s="17"/>
    </row>
    <row r="92" spans="1:311" x14ac:dyDescent="0.25">
      <c r="A92" s="17"/>
      <c r="B92" s="17"/>
      <c r="C92" s="17"/>
      <c r="D92" s="17"/>
      <c r="E92" s="17"/>
      <c r="F92" s="17"/>
      <c r="G92" s="17"/>
      <c r="H92" s="17"/>
      <c r="I92" s="17"/>
      <c r="J92" s="17"/>
      <c r="K92" s="17"/>
      <c r="L92" s="17"/>
      <c r="M92" s="17"/>
      <c r="N92" s="17"/>
      <c r="O92" s="17"/>
      <c r="P92" s="17"/>
      <c r="Q92" s="17"/>
      <c r="R92" s="17"/>
      <c r="S92" s="17"/>
      <c r="T92" s="17"/>
      <c r="U92" s="17"/>
      <c r="V92" s="17"/>
      <c r="W92" s="17"/>
      <c r="X92" s="17"/>
      <c r="Y92" s="17"/>
      <c r="Z92" s="17"/>
      <c r="AA92" s="17"/>
      <c r="AB92" s="17"/>
      <c r="AC92" s="17"/>
      <c r="AD92" s="17"/>
      <c r="AE92" s="17"/>
      <c r="AF92" s="17"/>
      <c r="AG92" s="17"/>
      <c r="AH92" s="17"/>
      <c r="AI92" s="17"/>
      <c r="AJ92" s="17"/>
      <c r="AK92" s="17"/>
      <c r="AL92" s="17"/>
      <c r="AM92" s="17"/>
      <c r="AN92" s="17"/>
      <c r="AO92" s="17"/>
      <c r="AP92" s="17"/>
      <c r="AQ92" s="17"/>
      <c r="AR92" s="17"/>
      <c r="AS92" s="17"/>
      <c r="AT92" s="17"/>
      <c r="AU92" s="17"/>
      <c r="AV92" s="17"/>
      <c r="AW92" s="17"/>
      <c r="AX92" s="17"/>
      <c r="AY92" s="17"/>
      <c r="AZ92" s="17"/>
      <c r="BA92" s="17"/>
      <c r="BB92" s="17"/>
      <c r="BC92" s="17"/>
      <c r="BD92" s="17"/>
      <c r="BE92" s="17"/>
      <c r="BF92" s="17"/>
      <c r="BG92" s="17"/>
      <c r="BH92" s="17"/>
      <c r="BI92" s="17"/>
      <c r="BJ92" s="17"/>
      <c r="BK92" s="17"/>
      <c r="BL92" s="17"/>
      <c r="BM92" s="17"/>
      <c r="BN92" s="17"/>
      <c r="BO92" s="17"/>
      <c r="BP92" s="17"/>
      <c r="BQ92" s="17"/>
      <c r="BR92" s="17"/>
      <c r="BS92" s="17"/>
      <c r="BT92" s="17"/>
      <c r="BU92" s="17"/>
      <c r="BV92" s="17"/>
      <c r="BW92" s="17"/>
      <c r="BX92" s="17"/>
      <c r="BY92" s="17"/>
      <c r="BZ92" s="17"/>
      <c r="CA92" s="17"/>
      <c r="CB92" s="17"/>
      <c r="CC92" s="17"/>
      <c r="CD92" s="17"/>
      <c r="CE92" s="17"/>
      <c r="CF92" s="17"/>
      <c r="CG92" s="17"/>
      <c r="CH92" s="17"/>
      <c r="CI92" s="17"/>
      <c r="CJ92" s="17"/>
      <c r="CK92" s="17"/>
      <c r="CL92" s="17"/>
      <c r="CM92" s="17"/>
      <c r="CN92" s="17"/>
      <c r="CO92" s="17"/>
      <c r="CP92" s="17"/>
      <c r="CQ92" s="17"/>
      <c r="CR92" s="17"/>
      <c r="CS92" s="17"/>
      <c r="CT92" s="17"/>
      <c r="CU92" s="17"/>
      <c r="CV92" s="17"/>
      <c r="CW92" s="17"/>
      <c r="CX92" s="17"/>
      <c r="CY92" s="17"/>
      <c r="CZ92" s="17"/>
      <c r="DA92" s="17"/>
      <c r="DB92" s="17"/>
      <c r="DC92" s="17"/>
      <c r="DD92" s="17"/>
      <c r="DE92" s="17"/>
      <c r="DF92" s="17"/>
      <c r="DG92" s="17"/>
      <c r="DH92" s="17"/>
      <c r="DI92" s="17"/>
      <c r="DJ92" s="17"/>
      <c r="DK92" s="17"/>
      <c r="DL92" s="17"/>
      <c r="DM92" s="17"/>
      <c r="DN92" s="17"/>
      <c r="DO92" s="17"/>
      <c r="DP92" s="17"/>
      <c r="DQ92" s="17"/>
      <c r="DR92" s="17"/>
      <c r="DS92" s="17"/>
      <c r="DT92" s="17"/>
      <c r="DU92" s="17"/>
      <c r="DV92" s="17"/>
      <c r="DW92" s="17"/>
      <c r="DX92" s="17"/>
      <c r="DY92" s="17"/>
      <c r="DZ92" s="17"/>
      <c r="EA92" s="17"/>
      <c r="EB92" s="17"/>
      <c r="EC92" s="17"/>
      <c r="ED92" s="17"/>
      <c r="EE92" s="17"/>
      <c r="EF92" s="17"/>
      <c r="EG92" s="17"/>
      <c r="EH92" s="17"/>
      <c r="EI92" s="17"/>
      <c r="EJ92" s="17"/>
      <c r="EK92" s="17"/>
      <c r="EL92" s="17"/>
      <c r="EM92" s="17"/>
      <c r="EN92" s="17"/>
      <c r="EO92" s="17"/>
      <c r="EP92" s="17"/>
      <c r="EQ92" s="17"/>
      <c r="ER92" s="17"/>
      <c r="ES92" s="17"/>
      <c r="ET92" s="17"/>
      <c r="EU92" s="17"/>
      <c r="EV92" s="17"/>
      <c r="EW92" s="17"/>
      <c r="EX92" s="17"/>
      <c r="EY92" s="17"/>
      <c r="EZ92" s="17"/>
      <c r="FA92" s="17"/>
      <c r="FB92" s="17"/>
      <c r="FC92" s="17"/>
      <c r="FD92" s="17"/>
      <c r="FE92" s="17"/>
      <c r="FF92" s="17"/>
      <c r="FG92" s="17"/>
      <c r="FH92" s="17"/>
      <c r="FI92" s="17"/>
      <c r="FJ92" s="17"/>
      <c r="FK92" s="17"/>
      <c r="FL92" s="17"/>
      <c r="FM92" s="17"/>
      <c r="FN92" s="17"/>
      <c r="FO92" s="17"/>
      <c r="FP92" s="17"/>
      <c r="FQ92" s="17"/>
      <c r="FR92" s="17"/>
      <c r="FS92" s="17"/>
      <c r="FT92" s="17"/>
      <c r="FU92" s="17"/>
      <c r="FV92" s="17"/>
      <c r="FW92" s="17"/>
      <c r="FX92" s="17"/>
      <c r="FY92" s="17"/>
      <c r="FZ92" s="17"/>
      <c r="GA92" s="17"/>
      <c r="GB92" s="17"/>
      <c r="GC92" s="17"/>
      <c r="GD92" s="17"/>
      <c r="GE92" s="17"/>
      <c r="GF92" s="17"/>
      <c r="GG92" s="17"/>
      <c r="GH92" s="17"/>
      <c r="GI92" s="17"/>
      <c r="GJ92" s="17"/>
      <c r="GK92" s="17"/>
      <c r="GL92" s="17"/>
      <c r="GM92" s="17"/>
      <c r="GN92" s="17"/>
      <c r="GO92" s="17"/>
      <c r="GP92" s="17"/>
      <c r="GQ92" s="17"/>
      <c r="GR92" s="17"/>
      <c r="GS92" s="17"/>
      <c r="GT92" s="17"/>
      <c r="GU92" s="17"/>
      <c r="GV92" s="17"/>
      <c r="GW92" s="17"/>
      <c r="GX92" s="17"/>
      <c r="GY92" s="17"/>
      <c r="GZ92" s="17"/>
      <c r="HA92" s="17"/>
      <c r="HB92" s="17"/>
      <c r="HC92" s="17"/>
      <c r="HD92" s="17"/>
      <c r="HE92" s="17"/>
      <c r="HF92" s="17"/>
      <c r="HG92" s="17"/>
      <c r="HH92" s="17"/>
      <c r="HI92" s="17"/>
      <c r="HJ92" s="17"/>
      <c r="HK92" s="17"/>
      <c r="HL92" s="17"/>
      <c r="HM92" s="17"/>
      <c r="HN92" s="17"/>
      <c r="HO92" s="17"/>
      <c r="HP92" s="17"/>
      <c r="HQ92" s="17"/>
      <c r="HR92" s="17"/>
      <c r="HS92" s="17"/>
      <c r="HT92" s="17"/>
      <c r="HU92" s="17"/>
      <c r="HV92" s="17"/>
      <c r="HW92" s="17"/>
      <c r="HX92" s="17"/>
      <c r="HY92" s="17"/>
      <c r="HZ92" s="17"/>
      <c r="IA92" s="17"/>
      <c r="IB92" s="17"/>
      <c r="IC92" s="17"/>
      <c r="ID92" s="17"/>
      <c r="IE92" s="17"/>
      <c r="IF92" s="17"/>
      <c r="IG92" s="17"/>
      <c r="IH92" s="17"/>
      <c r="II92" s="17"/>
      <c r="IJ92" s="17"/>
      <c r="IK92" s="17"/>
      <c r="IL92" s="17"/>
      <c r="IM92" s="17"/>
      <c r="IN92" s="17"/>
      <c r="IO92" s="17"/>
      <c r="IP92" s="17"/>
      <c r="IQ92" s="17"/>
      <c r="IR92" s="17"/>
      <c r="IS92" s="17"/>
      <c r="IT92" s="17"/>
      <c r="IU92" s="17"/>
      <c r="IV92" s="17"/>
      <c r="IW92" s="17"/>
      <c r="IX92" s="17"/>
      <c r="IY92" s="17"/>
      <c r="IZ92" s="17"/>
      <c r="JA92" s="17"/>
      <c r="JB92" s="17"/>
      <c r="JC92" s="17"/>
      <c r="JD92" s="17"/>
      <c r="JE92" s="17"/>
      <c r="JF92" s="17"/>
      <c r="JG92" s="17"/>
      <c r="JH92" s="17"/>
      <c r="JI92" s="17"/>
      <c r="JJ92" s="17"/>
      <c r="JK92" s="17"/>
      <c r="JL92" s="17"/>
      <c r="JM92" s="17"/>
      <c r="JN92" s="17"/>
      <c r="JO92" s="17"/>
      <c r="JP92" s="17"/>
      <c r="JQ92" s="17"/>
      <c r="JR92" s="17"/>
      <c r="JS92" s="17"/>
      <c r="JT92" s="17"/>
      <c r="JU92" s="17"/>
      <c r="JV92" s="17"/>
      <c r="JW92" s="17"/>
      <c r="JX92" s="17"/>
      <c r="JY92" s="17"/>
      <c r="JZ92" s="17"/>
      <c r="KA92" s="17"/>
      <c r="KB92" s="17"/>
      <c r="KC92" s="17"/>
      <c r="KD92" s="17"/>
      <c r="KE92" s="17"/>
      <c r="KF92" s="17"/>
      <c r="KG92" s="17"/>
      <c r="KH92" s="17"/>
      <c r="KI92" s="17"/>
      <c r="KJ92" s="17"/>
      <c r="KK92" s="17"/>
      <c r="KL92" s="17"/>
      <c r="KM92" s="17"/>
      <c r="KN92" s="17"/>
      <c r="KO92" s="17"/>
      <c r="KP92" s="17"/>
      <c r="KQ92" s="17"/>
      <c r="KR92" s="17"/>
      <c r="KS92" s="17"/>
      <c r="KT92" s="17"/>
      <c r="KU92" s="17"/>
      <c r="KV92" s="17"/>
      <c r="KW92" s="17"/>
      <c r="KX92" s="17"/>
      <c r="KY92" s="17"/>
    </row>
    <row r="93" spans="1:311" x14ac:dyDescent="0.25">
      <c r="A93" s="17"/>
      <c r="B93" s="17"/>
      <c r="C93" s="17"/>
      <c r="D93" s="17"/>
      <c r="E93" s="17"/>
      <c r="F93" s="17"/>
      <c r="G93" s="17"/>
      <c r="H93" s="17"/>
      <c r="I93" s="17"/>
      <c r="J93" s="17"/>
      <c r="K93" s="17"/>
      <c r="L93" s="17"/>
      <c r="M93" s="17"/>
      <c r="N93" s="17"/>
      <c r="O93" s="17"/>
      <c r="P93" s="17"/>
      <c r="Q93" s="17"/>
      <c r="R93" s="17"/>
      <c r="S93" s="17"/>
      <c r="T93" s="17"/>
      <c r="U93" s="17"/>
      <c r="V93" s="17"/>
      <c r="W93" s="17"/>
      <c r="X93" s="17"/>
      <c r="Y93" s="17"/>
      <c r="Z93" s="17"/>
      <c r="AA93" s="17"/>
      <c r="AB93" s="17"/>
      <c r="AC93" s="17"/>
      <c r="AD93" s="17"/>
      <c r="AE93" s="17"/>
      <c r="AF93" s="17"/>
      <c r="AG93" s="17"/>
      <c r="AH93" s="17"/>
      <c r="AI93" s="17"/>
      <c r="AJ93" s="17"/>
      <c r="AK93" s="17"/>
      <c r="AL93" s="17"/>
      <c r="AM93" s="17"/>
      <c r="AN93" s="17"/>
      <c r="AO93" s="17"/>
      <c r="AP93" s="17"/>
      <c r="AQ93" s="17"/>
      <c r="AR93" s="17"/>
      <c r="AS93" s="17"/>
      <c r="AT93" s="17"/>
      <c r="AU93" s="17"/>
      <c r="AV93" s="17"/>
      <c r="AW93" s="17"/>
      <c r="AX93" s="17"/>
      <c r="AY93" s="17"/>
      <c r="AZ93" s="17"/>
      <c r="BA93" s="17"/>
      <c r="BB93" s="17"/>
      <c r="BC93" s="17"/>
      <c r="BD93" s="17"/>
      <c r="BE93" s="17"/>
      <c r="BF93" s="17"/>
      <c r="BG93" s="17"/>
      <c r="BH93" s="17"/>
      <c r="BI93" s="17"/>
      <c r="BJ93" s="17"/>
      <c r="BK93" s="17"/>
      <c r="BL93" s="17"/>
      <c r="BM93" s="17"/>
      <c r="BN93" s="17"/>
      <c r="BO93" s="17"/>
      <c r="BP93" s="17"/>
      <c r="BQ93" s="17"/>
      <c r="BR93" s="17"/>
      <c r="BS93" s="17"/>
      <c r="BT93" s="17"/>
      <c r="BU93" s="17"/>
      <c r="BV93" s="17"/>
      <c r="BW93" s="17"/>
      <c r="BX93" s="17"/>
      <c r="BY93" s="17"/>
      <c r="BZ93" s="17"/>
      <c r="CA93" s="17"/>
      <c r="CB93" s="17"/>
      <c r="CC93" s="17"/>
      <c r="CD93" s="17"/>
      <c r="CE93" s="17"/>
      <c r="CF93" s="17"/>
      <c r="CG93" s="17"/>
      <c r="CH93" s="17"/>
      <c r="CI93" s="17"/>
      <c r="CJ93" s="17"/>
      <c r="CK93" s="17"/>
      <c r="CL93" s="17"/>
      <c r="CM93" s="17"/>
      <c r="CN93" s="17"/>
      <c r="CO93" s="17"/>
      <c r="CP93" s="17"/>
      <c r="CQ93" s="17"/>
      <c r="CR93" s="17"/>
      <c r="CS93" s="17"/>
      <c r="CT93" s="17"/>
      <c r="CU93" s="17"/>
      <c r="CV93" s="17"/>
      <c r="CW93" s="17"/>
      <c r="CX93" s="17"/>
      <c r="CY93" s="17"/>
      <c r="CZ93" s="17"/>
      <c r="DA93" s="17"/>
      <c r="DB93" s="17"/>
      <c r="DC93" s="17"/>
      <c r="DD93" s="17"/>
      <c r="DE93" s="17"/>
      <c r="DF93" s="17"/>
      <c r="DG93" s="17"/>
      <c r="DH93" s="17"/>
      <c r="DI93" s="17"/>
      <c r="DJ93" s="17"/>
      <c r="DK93" s="17"/>
      <c r="DL93" s="17"/>
      <c r="DM93" s="17"/>
      <c r="DN93" s="17"/>
      <c r="DO93" s="17"/>
      <c r="DP93" s="17"/>
      <c r="DQ93" s="17"/>
      <c r="DR93" s="17"/>
      <c r="DS93" s="17"/>
      <c r="DT93" s="17"/>
      <c r="DU93" s="17"/>
      <c r="DV93" s="17"/>
      <c r="DW93" s="17"/>
      <c r="DX93" s="17"/>
      <c r="DY93" s="17"/>
      <c r="DZ93" s="17"/>
      <c r="EA93" s="17"/>
      <c r="EB93" s="17"/>
      <c r="EC93" s="17"/>
      <c r="ED93" s="17"/>
      <c r="EE93" s="17"/>
      <c r="EF93" s="17"/>
      <c r="EG93" s="17"/>
      <c r="EH93" s="17"/>
      <c r="EI93" s="17"/>
      <c r="EJ93" s="17"/>
      <c r="EK93" s="17"/>
      <c r="EL93" s="17"/>
      <c r="EM93" s="17"/>
      <c r="EN93" s="17"/>
      <c r="EO93" s="17"/>
      <c r="EP93" s="17"/>
      <c r="EQ93" s="17"/>
      <c r="ER93" s="17"/>
      <c r="ES93" s="17"/>
      <c r="ET93" s="17"/>
      <c r="EU93" s="17"/>
      <c r="EV93" s="17"/>
      <c r="EW93" s="17"/>
      <c r="EX93" s="17"/>
      <c r="EY93" s="17"/>
      <c r="EZ93" s="17"/>
      <c r="FA93" s="17"/>
      <c r="FB93" s="17"/>
      <c r="FC93" s="17"/>
      <c r="FD93" s="17"/>
      <c r="FE93" s="17"/>
      <c r="FF93" s="17"/>
      <c r="FG93" s="17"/>
      <c r="FH93" s="17"/>
      <c r="FI93" s="17"/>
      <c r="FJ93" s="17"/>
      <c r="FK93" s="17"/>
      <c r="FL93" s="17"/>
      <c r="FM93" s="17"/>
      <c r="FN93" s="17"/>
      <c r="FO93" s="17"/>
      <c r="FP93" s="17"/>
      <c r="FQ93" s="17"/>
      <c r="FR93" s="17"/>
      <c r="FS93" s="17"/>
      <c r="FT93" s="17"/>
      <c r="FU93" s="17"/>
      <c r="FV93" s="17"/>
      <c r="FW93" s="17"/>
      <c r="FX93" s="17"/>
      <c r="FY93" s="17"/>
      <c r="FZ93" s="17"/>
      <c r="GA93" s="17"/>
      <c r="GB93" s="17"/>
      <c r="GC93" s="17"/>
      <c r="GD93" s="17"/>
      <c r="GE93" s="17"/>
      <c r="GF93" s="17"/>
      <c r="GG93" s="17"/>
      <c r="GH93" s="17"/>
      <c r="GI93" s="17"/>
      <c r="GJ93" s="17"/>
      <c r="GK93" s="17"/>
      <c r="GL93" s="17"/>
      <c r="GM93" s="17"/>
      <c r="GN93" s="17"/>
      <c r="GO93" s="17"/>
      <c r="GP93" s="17"/>
      <c r="GQ93" s="17"/>
      <c r="GR93" s="17"/>
      <c r="GS93" s="17"/>
      <c r="GT93" s="17"/>
      <c r="GU93" s="17"/>
      <c r="GV93" s="17"/>
      <c r="GW93" s="17"/>
      <c r="GX93" s="17"/>
      <c r="GY93" s="17"/>
      <c r="GZ93" s="17"/>
      <c r="HA93" s="17"/>
      <c r="HB93" s="17"/>
      <c r="HC93" s="17"/>
      <c r="HD93" s="17"/>
      <c r="HE93" s="17"/>
      <c r="HF93" s="17"/>
      <c r="HG93" s="17"/>
      <c r="HH93" s="17"/>
      <c r="HI93" s="17"/>
      <c r="HJ93" s="17"/>
      <c r="HK93" s="17"/>
      <c r="HL93" s="17"/>
      <c r="HM93" s="17"/>
      <c r="HN93" s="17"/>
      <c r="HO93" s="17"/>
      <c r="HP93" s="17"/>
      <c r="HQ93" s="17"/>
      <c r="HR93" s="17"/>
      <c r="HS93" s="17"/>
      <c r="HT93" s="17"/>
      <c r="HU93" s="17"/>
      <c r="HV93" s="17"/>
      <c r="HW93" s="17"/>
      <c r="HX93" s="17"/>
      <c r="HY93" s="17"/>
      <c r="HZ93" s="17"/>
      <c r="IA93" s="17"/>
      <c r="IB93" s="17"/>
      <c r="IC93" s="17"/>
      <c r="ID93" s="17"/>
      <c r="IE93" s="17"/>
      <c r="IF93" s="17"/>
      <c r="IG93" s="17"/>
      <c r="IH93" s="17"/>
      <c r="II93" s="17"/>
      <c r="IJ93" s="17"/>
      <c r="IK93" s="17"/>
      <c r="IL93" s="17"/>
      <c r="IM93" s="17"/>
      <c r="IN93" s="17"/>
      <c r="IO93" s="17"/>
      <c r="IP93" s="17"/>
      <c r="IQ93" s="17"/>
      <c r="IR93" s="17"/>
      <c r="IS93" s="17"/>
      <c r="IT93" s="17"/>
      <c r="IU93" s="17"/>
      <c r="IV93" s="17"/>
      <c r="IW93" s="17"/>
      <c r="IX93" s="17"/>
      <c r="IY93" s="17"/>
      <c r="IZ93" s="17"/>
      <c r="JA93" s="17"/>
      <c r="JB93" s="17"/>
      <c r="JC93" s="17"/>
      <c r="JD93" s="17"/>
      <c r="JE93" s="17"/>
      <c r="JF93" s="17"/>
      <c r="JG93" s="17"/>
      <c r="JH93" s="17"/>
      <c r="JI93" s="17"/>
      <c r="JJ93" s="17"/>
      <c r="JK93" s="17"/>
      <c r="JL93" s="17"/>
      <c r="JM93" s="17"/>
      <c r="JN93" s="17"/>
      <c r="JO93" s="17"/>
      <c r="JP93" s="17"/>
      <c r="JQ93" s="17"/>
      <c r="JR93" s="17"/>
      <c r="JS93" s="17"/>
      <c r="JT93" s="17"/>
      <c r="JU93" s="17"/>
      <c r="JV93" s="17"/>
      <c r="JW93" s="17"/>
      <c r="JX93" s="17"/>
      <c r="JY93" s="17"/>
      <c r="JZ93" s="17"/>
      <c r="KA93" s="17"/>
      <c r="KB93" s="17"/>
      <c r="KC93" s="17"/>
      <c r="KD93" s="17"/>
      <c r="KE93" s="17"/>
      <c r="KF93" s="17"/>
      <c r="KG93" s="17"/>
      <c r="KH93" s="17"/>
      <c r="KI93" s="17"/>
      <c r="KJ93" s="17"/>
      <c r="KK93" s="17"/>
      <c r="KL93" s="17"/>
      <c r="KM93" s="17"/>
      <c r="KN93" s="17"/>
      <c r="KO93" s="17"/>
      <c r="KP93" s="17"/>
      <c r="KQ93" s="17"/>
      <c r="KR93" s="17"/>
      <c r="KS93" s="17"/>
      <c r="KT93" s="17"/>
      <c r="KU93" s="17"/>
      <c r="KV93" s="17"/>
      <c r="KW93" s="17"/>
      <c r="KX93" s="17"/>
      <c r="KY93" s="17"/>
    </row>
    <row r="94" spans="1:311" x14ac:dyDescent="0.25">
      <c r="A94" s="17"/>
      <c r="B94" s="17"/>
      <c r="C94" s="17"/>
      <c r="D94" s="17"/>
      <c r="E94" s="17"/>
      <c r="F94" s="17"/>
      <c r="G94" s="17"/>
      <c r="H94" s="17"/>
      <c r="I94" s="17"/>
      <c r="J94" s="17"/>
      <c r="K94" s="17"/>
      <c r="L94" s="17"/>
      <c r="M94" s="17"/>
      <c r="N94" s="17"/>
      <c r="O94" s="17"/>
      <c r="P94" s="17"/>
      <c r="Q94" s="17"/>
      <c r="R94" s="17"/>
      <c r="S94" s="17"/>
      <c r="T94" s="17"/>
      <c r="U94" s="17"/>
      <c r="V94" s="17"/>
      <c r="W94" s="17"/>
      <c r="X94" s="17"/>
      <c r="Y94" s="17"/>
      <c r="Z94" s="17"/>
      <c r="AA94" s="17"/>
      <c r="AB94" s="17"/>
      <c r="AC94" s="17"/>
      <c r="AD94" s="17"/>
      <c r="AE94" s="17"/>
      <c r="AF94" s="17"/>
      <c r="AG94" s="17"/>
      <c r="AH94" s="17"/>
      <c r="AI94" s="17"/>
      <c r="AJ94" s="17"/>
      <c r="AK94" s="17"/>
      <c r="AL94" s="17"/>
      <c r="AM94" s="17"/>
      <c r="AN94" s="17"/>
      <c r="AO94" s="17"/>
      <c r="AP94" s="17"/>
      <c r="AQ94" s="17"/>
      <c r="AR94" s="17"/>
      <c r="AS94" s="17"/>
      <c r="AT94" s="17"/>
      <c r="AU94" s="17"/>
      <c r="AV94" s="17"/>
      <c r="AW94" s="17"/>
      <c r="AX94" s="17"/>
      <c r="AY94" s="17"/>
      <c r="AZ94" s="17"/>
      <c r="BA94" s="17"/>
      <c r="BB94" s="17"/>
      <c r="BC94" s="17"/>
      <c r="BD94" s="17"/>
      <c r="BE94" s="17"/>
      <c r="BF94" s="17"/>
      <c r="BG94" s="17"/>
      <c r="BH94" s="17"/>
      <c r="BI94" s="17"/>
      <c r="BJ94" s="17"/>
      <c r="BK94" s="17"/>
      <c r="BL94" s="17"/>
      <c r="BM94" s="17"/>
      <c r="BN94" s="17"/>
      <c r="BO94" s="17"/>
      <c r="BP94" s="17"/>
      <c r="BQ94" s="17"/>
      <c r="BR94" s="17"/>
      <c r="BS94" s="17"/>
      <c r="BT94" s="17"/>
      <c r="BU94" s="17"/>
      <c r="BV94" s="17"/>
      <c r="BW94" s="17"/>
      <c r="BX94" s="17"/>
      <c r="BY94" s="17"/>
      <c r="BZ94" s="17"/>
      <c r="CA94" s="17"/>
      <c r="CB94" s="17"/>
      <c r="CC94" s="17"/>
      <c r="CD94" s="17"/>
      <c r="CE94" s="17"/>
      <c r="CF94" s="17"/>
      <c r="CG94" s="17"/>
      <c r="CH94" s="17"/>
      <c r="CI94" s="17"/>
      <c r="CJ94" s="17"/>
      <c r="CK94" s="17"/>
      <c r="CL94" s="17"/>
      <c r="CM94" s="17"/>
      <c r="CN94" s="17"/>
      <c r="CO94" s="17"/>
      <c r="CP94" s="17"/>
      <c r="CQ94" s="17"/>
      <c r="CR94" s="17"/>
      <c r="CS94" s="17"/>
      <c r="CT94" s="17"/>
      <c r="CU94" s="17"/>
      <c r="CV94" s="17"/>
      <c r="CW94" s="17"/>
      <c r="CX94" s="17"/>
      <c r="CY94" s="17"/>
      <c r="CZ94" s="17"/>
      <c r="DA94" s="17"/>
      <c r="DB94" s="17"/>
      <c r="DC94" s="17"/>
      <c r="DD94" s="17"/>
      <c r="DE94" s="17"/>
      <c r="DF94" s="17"/>
      <c r="DG94" s="17"/>
      <c r="DH94" s="17"/>
      <c r="DI94" s="17"/>
      <c r="DJ94" s="17"/>
      <c r="DK94" s="17"/>
      <c r="DL94" s="17"/>
      <c r="DM94" s="17"/>
      <c r="DN94" s="17"/>
      <c r="DO94" s="17"/>
      <c r="DP94" s="17"/>
      <c r="DQ94" s="17"/>
      <c r="DR94" s="17"/>
      <c r="DS94" s="17"/>
      <c r="DT94" s="17"/>
      <c r="DU94" s="17"/>
      <c r="DV94" s="17"/>
      <c r="DW94" s="17"/>
      <c r="DX94" s="17"/>
      <c r="DY94" s="17"/>
      <c r="DZ94" s="17"/>
      <c r="EA94" s="17"/>
      <c r="EB94" s="17"/>
      <c r="EC94" s="17"/>
      <c r="ED94" s="17"/>
      <c r="EE94" s="17"/>
      <c r="EF94" s="17"/>
      <c r="EG94" s="17"/>
      <c r="EH94" s="17"/>
      <c r="EI94" s="17"/>
      <c r="EJ94" s="17"/>
      <c r="EK94" s="17"/>
      <c r="EL94" s="17"/>
      <c r="EM94" s="17"/>
      <c r="EN94" s="17"/>
      <c r="EO94" s="17"/>
      <c r="EP94" s="17"/>
      <c r="EQ94" s="17"/>
      <c r="ER94" s="17"/>
      <c r="ES94" s="17"/>
      <c r="ET94" s="17"/>
      <c r="EU94" s="17"/>
      <c r="EV94" s="17"/>
      <c r="EW94" s="17"/>
      <c r="EX94" s="17"/>
      <c r="EY94" s="17"/>
      <c r="EZ94" s="17"/>
      <c r="FA94" s="17"/>
      <c r="FB94" s="17"/>
      <c r="FC94" s="17"/>
      <c r="FD94" s="17"/>
      <c r="FE94" s="17"/>
      <c r="FF94" s="17"/>
      <c r="FG94" s="17"/>
      <c r="FH94" s="17"/>
      <c r="FI94" s="17"/>
      <c r="FJ94" s="17"/>
      <c r="FK94" s="17"/>
      <c r="FL94" s="17"/>
      <c r="FM94" s="17"/>
      <c r="FN94" s="17"/>
      <c r="FO94" s="17"/>
      <c r="FP94" s="17"/>
      <c r="FQ94" s="17"/>
      <c r="FR94" s="17"/>
      <c r="FS94" s="17"/>
      <c r="FT94" s="17"/>
      <c r="FU94" s="17"/>
      <c r="FV94" s="17"/>
      <c r="FW94" s="17"/>
      <c r="FX94" s="17"/>
      <c r="FY94" s="17"/>
      <c r="FZ94" s="17"/>
      <c r="GA94" s="17"/>
      <c r="GB94" s="17"/>
      <c r="GC94" s="17"/>
      <c r="GD94" s="17"/>
      <c r="GE94" s="17"/>
      <c r="GF94" s="17"/>
      <c r="GG94" s="17"/>
      <c r="GH94" s="17"/>
      <c r="GI94" s="17"/>
      <c r="GJ94" s="17"/>
      <c r="GK94" s="17"/>
      <c r="GL94" s="17"/>
      <c r="GM94" s="17"/>
      <c r="GN94" s="17"/>
      <c r="GO94" s="17"/>
      <c r="GP94" s="17"/>
      <c r="GQ94" s="17"/>
      <c r="GR94" s="17"/>
      <c r="GS94" s="17"/>
      <c r="GT94" s="17"/>
      <c r="GU94" s="17"/>
      <c r="GV94" s="17"/>
      <c r="GW94" s="17"/>
      <c r="GX94" s="17"/>
      <c r="GY94" s="17"/>
      <c r="GZ94" s="17"/>
      <c r="HA94" s="17"/>
      <c r="HB94" s="17"/>
      <c r="HC94" s="17"/>
      <c r="HD94" s="17"/>
      <c r="HE94" s="17"/>
      <c r="HF94" s="17"/>
      <c r="HG94" s="17"/>
      <c r="HH94" s="17"/>
      <c r="HI94" s="17"/>
      <c r="HJ94" s="17"/>
      <c r="HK94" s="17"/>
      <c r="HL94" s="17"/>
      <c r="HM94" s="17"/>
      <c r="HN94" s="17"/>
      <c r="HO94" s="17"/>
      <c r="HP94" s="17"/>
      <c r="HQ94" s="17"/>
      <c r="HR94" s="17"/>
      <c r="HS94" s="17"/>
      <c r="HT94" s="17"/>
      <c r="HU94" s="17"/>
      <c r="HV94" s="17"/>
      <c r="HW94" s="17"/>
      <c r="HX94" s="17"/>
      <c r="HY94" s="17"/>
      <c r="HZ94" s="17"/>
      <c r="IA94" s="17"/>
      <c r="IB94" s="17"/>
      <c r="IC94" s="17"/>
      <c r="ID94" s="17"/>
      <c r="IE94" s="17"/>
      <c r="IF94" s="17"/>
      <c r="IG94" s="17"/>
      <c r="IH94" s="17"/>
      <c r="II94" s="17"/>
      <c r="IJ94" s="17"/>
      <c r="IK94" s="17"/>
      <c r="IL94" s="17"/>
      <c r="IM94" s="17"/>
      <c r="IN94" s="17"/>
      <c r="IO94" s="17"/>
      <c r="IP94" s="17"/>
      <c r="IQ94" s="17"/>
      <c r="IR94" s="17"/>
      <c r="IS94" s="17"/>
      <c r="IT94" s="17"/>
      <c r="IU94" s="17"/>
      <c r="IV94" s="17"/>
      <c r="IW94" s="17"/>
      <c r="IX94" s="17"/>
      <c r="IY94" s="17"/>
      <c r="IZ94" s="17"/>
      <c r="JA94" s="17"/>
      <c r="JB94" s="17"/>
      <c r="JC94" s="17"/>
      <c r="JD94" s="17"/>
      <c r="JE94" s="17"/>
      <c r="JF94" s="17"/>
      <c r="JG94" s="17"/>
      <c r="JH94" s="17"/>
      <c r="JI94" s="17"/>
      <c r="JJ94" s="17"/>
      <c r="JK94" s="17"/>
      <c r="JL94" s="17"/>
      <c r="JM94" s="17"/>
      <c r="JN94" s="17"/>
      <c r="JO94" s="17"/>
      <c r="JP94" s="17"/>
      <c r="JQ94" s="17"/>
      <c r="JR94" s="17"/>
      <c r="JS94" s="17"/>
      <c r="JT94" s="17"/>
      <c r="JU94" s="17"/>
      <c r="JV94" s="17"/>
      <c r="JW94" s="17"/>
      <c r="JX94" s="17"/>
      <c r="JY94" s="17"/>
      <c r="JZ94" s="17"/>
      <c r="KA94" s="17"/>
      <c r="KB94" s="17"/>
      <c r="KC94" s="17"/>
      <c r="KD94" s="17"/>
      <c r="KE94" s="17"/>
      <c r="KF94" s="17"/>
      <c r="KG94" s="17"/>
      <c r="KH94" s="17"/>
      <c r="KI94" s="17"/>
      <c r="KJ94" s="17"/>
      <c r="KK94" s="17"/>
      <c r="KL94" s="17"/>
      <c r="KM94" s="17"/>
      <c r="KN94" s="17"/>
      <c r="KO94" s="17"/>
      <c r="KP94" s="17"/>
      <c r="KQ94" s="17"/>
      <c r="KR94" s="17"/>
      <c r="KS94" s="17"/>
      <c r="KT94" s="17"/>
      <c r="KU94" s="17"/>
      <c r="KV94" s="17"/>
      <c r="KW94" s="17"/>
      <c r="KX94" s="17"/>
      <c r="KY94" s="17"/>
    </row>
    <row r="95" spans="1:311" x14ac:dyDescent="0.25">
      <c r="A95" s="17"/>
      <c r="B95" s="17"/>
      <c r="C95" s="17"/>
      <c r="D95" s="17"/>
      <c r="E95" s="17"/>
      <c r="F95" s="17"/>
      <c r="G95" s="17"/>
      <c r="H95" s="17"/>
      <c r="I95" s="17"/>
      <c r="J95" s="17"/>
      <c r="K95" s="17"/>
      <c r="L95" s="17"/>
      <c r="M95" s="17"/>
      <c r="N95" s="17"/>
      <c r="O95" s="17"/>
      <c r="P95" s="17"/>
      <c r="Q95" s="17"/>
      <c r="R95" s="17"/>
      <c r="S95" s="17"/>
      <c r="T95" s="17"/>
      <c r="U95" s="17"/>
      <c r="V95" s="17"/>
      <c r="W95" s="17"/>
      <c r="X95" s="17"/>
      <c r="Y95" s="17"/>
      <c r="Z95" s="17"/>
      <c r="AA95" s="17"/>
      <c r="AB95" s="17"/>
      <c r="AC95" s="17"/>
      <c r="AD95" s="17"/>
      <c r="AE95" s="17"/>
      <c r="AF95" s="17"/>
      <c r="AG95" s="17"/>
      <c r="AH95" s="17"/>
      <c r="AI95" s="17"/>
      <c r="AJ95" s="17"/>
      <c r="AK95" s="17"/>
      <c r="AL95" s="17"/>
      <c r="AM95" s="17"/>
      <c r="AN95" s="17"/>
      <c r="AO95" s="17"/>
      <c r="AP95" s="17"/>
      <c r="AQ95" s="17"/>
      <c r="AR95" s="17"/>
      <c r="AS95" s="17"/>
      <c r="AT95" s="17"/>
      <c r="AU95" s="17"/>
      <c r="AV95" s="17"/>
      <c r="AW95" s="17"/>
      <c r="AX95" s="17"/>
      <c r="AY95" s="17"/>
      <c r="AZ95" s="17"/>
      <c r="BA95" s="17"/>
      <c r="BB95" s="17"/>
      <c r="BC95" s="17"/>
      <c r="BD95" s="17"/>
      <c r="BE95" s="17"/>
      <c r="BF95" s="17"/>
      <c r="BG95" s="17"/>
      <c r="BH95" s="17"/>
      <c r="BI95" s="17"/>
      <c r="BJ95" s="17"/>
      <c r="BK95" s="17"/>
      <c r="BL95" s="17"/>
      <c r="BM95" s="17"/>
      <c r="BN95" s="17"/>
      <c r="BO95" s="17"/>
      <c r="BP95" s="17"/>
      <c r="BQ95" s="17"/>
      <c r="BR95" s="17"/>
      <c r="BS95" s="17"/>
      <c r="BT95" s="17"/>
      <c r="BU95" s="17"/>
      <c r="BV95" s="17"/>
      <c r="BW95" s="17"/>
      <c r="BX95" s="17"/>
      <c r="BY95" s="17"/>
      <c r="BZ95" s="17"/>
      <c r="CA95" s="17"/>
      <c r="CB95" s="17"/>
      <c r="CC95" s="17"/>
      <c r="CD95" s="17"/>
      <c r="CE95" s="17"/>
      <c r="CF95" s="17"/>
      <c r="CG95" s="17"/>
      <c r="CH95" s="17"/>
      <c r="CI95" s="17"/>
      <c r="CJ95" s="17"/>
      <c r="CK95" s="17"/>
      <c r="CL95" s="17"/>
      <c r="CM95" s="17"/>
      <c r="CN95" s="17"/>
      <c r="CO95" s="17"/>
      <c r="CP95" s="17"/>
      <c r="CQ95" s="17"/>
      <c r="CR95" s="17"/>
      <c r="CS95" s="17"/>
      <c r="CT95" s="17"/>
      <c r="CU95" s="17"/>
      <c r="CV95" s="17"/>
      <c r="CW95" s="17"/>
      <c r="CX95" s="17"/>
      <c r="CY95" s="17"/>
      <c r="CZ95" s="17"/>
      <c r="DA95" s="17"/>
      <c r="DB95" s="17"/>
      <c r="DC95" s="17"/>
      <c r="DD95" s="17"/>
      <c r="DE95" s="17"/>
      <c r="DF95" s="17"/>
      <c r="DG95" s="17"/>
      <c r="DH95" s="17"/>
      <c r="DI95" s="17"/>
      <c r="DJ95" s="17"/>
      <c r="DK95" s="17"/>
      <c r="DL95" s="17"/>
      <c r="DM95" s="17"/>
      <c r="DN95" s="17"/>
      <c r="DO95" s="17"/>
      <c r="DP95" s="17"/>
      <c r="DQ95" s="17"/>
      <c r="DR95" s="17"/>
      <c r="DS95" s="17"/>
      <c r="DT95" s="17"/>
      <c r="DU95" s="17"/>
      <c r="DV95" s="17"/>
      <c r="DW95" s="17"/>
      <c r="DX95" s="17"/>
      <c r="DY95" s="17"/>
      <c r="DZ95" s="17"/>
      <c r="EA95" s="17"/>
      <c r="EB95" s="17"/>
      <c r="EC95" s="17"/>
      <c r="ED95" s="17"/>
      <c r="EE95" s="17"/>
      <c r="EF95" s="17"/>
      <c r="EG95" s="17"/>
      <c r="EH95" s="17"/>
      <c r="EI95" s="17"/>
      <c r="EJ95" s="17"/>
      <c r="EK95" s="17"/>
      <c r="EL95" s="17"/>
      <c r="EM95" s="17"/>
      <c r="EN95" s="17"/>
      <c r="EO95" s="17"/>
      <c r="EP95" s="17"/>
      <c r="EQ95" s="17"/>
      <c r="ER95" s="17"/>
      <c r="ES95" s="17"/>
      <c r="ET95" s="17"/>
      <c r="EU95" s="17"/>
      <c r="EV95" s="17"/>
      <c r="EW95" s="17"/>
      <c r="EX95" s="17"/>
      <c r="EY95" s="17"/>
      <c r="EZ95" s="17"/>
      <c r="FA95" s="17"/>
      <c r="FB95" s="17"/>
      <c r="FC95" s="17"/>
      <c r="FD95" s="17"/>
      <c r="FE95" s="17"/>
      <c r="FF95" s="17"/>
      <c r="FG95" s="17"/>
      <c r="FH95" s="17"/>
      <c r="FI95" s="17"/>
      <c r="FJ95" s="17"/>
      <c r="FK95" s="17"/>
      <c r="FL95" s="17"/>
      <c r="FM95" s="17"/>
      <c r="FN95" s="17"/>
      <c r="FO95" s="17"/>
      <c r="FP95" s="17"/>
      <c r="FQ95" s="17"/>
      <c r="FR95" s="17"/>
      <c r="FS95" s="17"/>
      <c r="FT95" s="17"/>
      <c r="FU95" s="17"/>
      <c r="FV95" s="17"/>
      <c r="FW95" s="17"/>
      <c r="FX95" s="17"/>
      <c r="FY95" s="17"/>
      <c r="FZ95" s="17"/>
      <c r="GA95" s="17"/>
      <c r="GB95" s="17"/>
      <c r="GC95" s="17"/>
      <c r="GD95" s="17"/>
      <c r="GE95" s="17"/>
      <c r="GF95" s="17"/>
      <c r="GG95" s="17"/>
      <c r="GH95" s="17"/>
      <c r="GI95" s="17"/>
      <c r="GJ95" s="17"/>
      <c r="GK95" s="17"/>
      <c r="GL95" s="17"/>
      <c r="GM95" s="17"/>
      <c r="GN95" s="17"/>
      <c r="GO95" s="17"/>
      <c r="GP95" s="17"/>
      <c r="GQ95" s="17"/>
      <c r="GR95" s="17"/>
      <c r="GS95" s="17"/>
      <c r="GT95" s="17"/>
      <c r="GU95" s="17"/>
      <c r="GV95" s="17"/>
      <c r="GW95" s="17"/>
      <c r="GX95" s="17"/>
      <c r="GY95" s="17"/>
      <c r="GZ95" s="17"/>
      <c r="HA95" s="17"/>
      <c r="HB95" s="17"/>
      <c r="HC95" s="17"/>
      <c r="HD95" s="17"/>
      <c r="HE95" s="17"/>
      <c r="HF95" s="17"/>
      <c r="HG95" s="17"/>
      <c r="HH95" s="17"/>
      <c r="HI95" s="17"/>
      <c r="HJ95" s="17"/>
      <c r="HK95" s="17"/>
      <c r="HL95" s="17"/>
      <c r="HM95" s="17"/>
      <c r="HN95" s="17"/>
      <c r="HO95" s="17"/>
      <c r="HP95" s="17"/>
      <c r="HQ95" s="17"/>
      <c r="HR95" s="17"/>
      <c r="HS95" s="17"/>
      <c r="HT95" s="17"/>
      <c r="HU95" s="17"/>
      <c r="HV95" s="17"/>
      <c r="HW95" s="17"/>
      <c r="HX95" s="17"/>
      <c r="HY95" s="17"/>
      <c r="HZ95" s="17"/>
      <c r="IA95" s="17"/>
      <c r="IB95" s="17"/>
      <c r="IC95" s="17"/>
      <c r="ID95" s="17"/>
      <c r="IE95" s="17"/>
      <c r="IF95" s="17"/>
      <c r="IG95" s="17"/>
      <c r="IH95" s="17"/>
      <c r="II95" s="17"/>
      <c r="IJ95" s="17"/>
      <c r="IK95" s="17"/>
      <c r="IL95" s="17"/>
      <c r="IM95" s="17"/>
      <c r="IN95" s="17"/>
      <c r="IO95" s="17"/>
      <c r="IP95" s="17"/>
      <c r="IQ95" s="17"/>
      <c r="IR95" s="17"/>
      <c r="IS95" s="17"/>
      <c r="IT95" s="17"/>
      <c r="IU95" s="17"/>
      <c r="IV95" s="17"/>
      <c r="IW95" s="17"/>
      <c r="IX95" s="17"/>
      <c r="IY95" s="17"/>
      <c r="IZ95" s="17"/>
      <c r="JA95" s="17"/>
      <c r="JB95" s="17"/>
      <c r="JC95" s="17"/>
      <c r="JD95" s="17"/>
      <c r="JE95" s="17"/>
      <c r="JF95" s="17"/>
      <c r="JG95" s="17"/>
      <c r="JH95" s="17"/>
      <c r="JI95" s="17"/>
      <c r="JJ95" s="17"/>
      <c r="JK95" s="17"/>
      <c r="JL95" s="17"/>
      <c r="JM95" s="17"/>
      <c r="JN95" s="17"/>
      <c r="JO95" s="17"/>
      <c r="JP95" s="17"/>
      <c r="JQ95" s="17"/>
      <c r="JR95" s="17"/>
      <c r="JS95" s="17"/>
      <c r="JT95" s="17"/>
      <c r="JU95" s="17"/>
      <c r="JV95" s="17"/>
      <c r="JW95" s="17"/>
      <c r="JX95" s="17"/>
      <c r="JY95" s="17"/>
      <c r="JZ95" s="17"/>
      <c r="KA95" s="17"/>
      <c r="KB95" s="17"/>
      <c r="KC95" s="17"/>
      <c r="KD95" s="17"/>
      <c r="KE95" s="17"/>
      <c r="KF95" s="17"/>
      <c r="KG95" s="17"/>
      <c r="KH95" s="17"/>
      <c r="KI95" s="17"/>
      <c r="KJ95" s="17"/>
      <c r="KK95" s="17"/>
      <c r="KL95" s="17"/>
      <c r="KM95" s="17"/>
      <c r="KN95" s="17"/>
      <c r="KO95" s="17"/>
      <c r="KP95" s="17"/>
      <c r="KQ95" s="17"/>
      <c r="KR95" s="17"/>
      <c r="KS95" s="17"/>
      <c r="KT95" s="17"/>
      <c r="KU95" s="17"/>
      <c r="KV95" s="17"/>
      <c r="KW95" s="17"/>
      <c r="KX95" s="17"/>
      <c r="KY95" s="17"/>
    </row>
    <row r="96" spans="1:311" x14ac:dyDescent="0.25">
      <c r="A96" s="17"/>
      <c r="B96" s="17"/>
      <c r="C96" s="17"/>
      <c r="D96" s="17"/>
      <c r="E96" s="17"/>
      <c r="F96" s="17"/>
      <c r="G96" s="17"/>
      <c r="H96" s="17"/>
      <c r="I96" s="17"/>
      <c r="J96" s="17"/>
      <c r="K96" s="17"/>
      <c r="L96" s="17"/>
      <c r="M96" s="17"/>
      <c r="N96" s="17"/>
      <c r="O96" s="17"/>
      <c r="P96" s="17"/>
      <c r="Q96" s="17"/>
      <c r="R96" s="17"/>
      <c r="S96" s="17"/>
      <c r="T96" s="17"/>
      <c r="U96" s="17"/>
      <c r="V96" s="17"/>
      <c r="W96" s="17"/>
      <c r="X96" s="17"/>
      <c r="Y96" s="17"/>
      <c r="Z96" s="17"/>
      <c r="AA96" s="17"/>
      <c r="AB96" s="17"/>
      <c r="AC96" s="17"/>
      <c r="AD96" s="17"/>
      <c r="AE96" s="17"/>
      <c r="AF96" s="17"/>
      <c r="AG96" s="17"/>
      <c r="AH96" s="17"/>
      <c r="AI96" s="17"/>
      <c r="AJ96" s="17"/>
      <c r="AK96" s="17"/>
      <c r="AL96" s="17"/>
      <c r="AM96" s="17"/>
      <c r="AN96" s="17"/>
      <c r="AO96" s="17"/>
      <c r="AP96" s="17"/>
      <c r="AQ96" s="17"/>
      <c r="AR96" s="17"/>
      <c r="AS96" s="17"/>
      <c r="AT96" s="17"/>
      <c r="AU96" s="17"/>
      <c r="AV96" s="17"/>
      <c r="AW96" s="17"/>
      <c r="AX96" s="17"/>
      <c r="AY96" s="17"/>
      <c r="AZ96" s="17"/>
      <c r="BA96" s="17"/>
      <c r="BB96" s="17"/>
      <c r="BC96" s="17"/>
      <c r="BD96" s="17"/>
      <c r="BE96" s="17"/>
      <c r="BF96" s="17"/>
      <c r="BG96" s="17"/>
      <c r="BH96" s="17"/>
      <c r="BI96" s="17"/>
      <c r="BJ96" s="17"/>
      <c r="BK96" s="17"/>
      <c r="BL96" s="17"/>
      <c r="BM96" s="17"/>
      <c r="BN96" s="17"/>
      <c r="BO96" s="17"/>
      <c r="BP96" s="17"/>
      <c r="BQ96" s="17"/>
      <c r="BR96" s="17"/>
      <c r="BS96" s="17"/>
      <c r="BT96" s="17"/>
      <c r="BU96" s="17"/>
      <c r="BV96" s="17"/>
      <c r="BW96" s="17"/>
      <c r="BX96" s="17"/>
      <c r="BY96" s="17"/>
      <c r="BZ96" s="17"/>
      <c r="CA96" s="17"/>
      <c r="CB96" s="17"/>
      <c r="CC96" s="17"/>
      <c r="CD96" s="17"/>
      <c r="CE96" s="17"/>
      <c r="CF96" s="17"/>
      <c r="CG96" s="17"/>
      <c r="CH96" s="17"/>
      <c r="CI96" s="17"/>
      <c r="CJ96" s="17"/>
      <c r="CK96" s="17"/>
      <c r="CL96" s="17"/>
      <c r="CM96" s="17"/>
      <c r="CN96" s="17"/>
      <c r="CO96" s="17"/>
      <c r="CP96" s="17"/>
      <c r="CQ96" s="17"/>
      <c r="CR96" s="17"/>
      <c r="CS96" s="17"/>
      <c r="CT96" s="17"/>
      <c r="CU96" s="17"/>
      <c r="CV96" s="17"/>
      <c r="CW96" s="17"/>
      <c r="CX96" s="17"/>
      <c r="CY96" s="17"/>
      <c r="CZ96" s="17"/>
      <c r="DA96" s="17"/>
      <c r="DB96" s="17"/>
      <c r="DC96" s="17"/>
      <c r="DD96" s="17"/>
      <c r="DE96" s="17"/>
      <c r="DF96" s="17"/>
      <c r="DG96" s="17"/>
      <c r="DH96" s="17"/>
      <c r="DI96" s="17"/>
      <c r="DJ96" s="17"/>
      <c r="DK96" s="17"/>
      <c r="DL96" s="17"/>
      <c r="DM96" s="17"/>
      <c r="DN96" s="17"/>
      <c r="DO96" s="17"/>
      <c r="DP96" s="17"/>
      <c r="DQ96" s="17"/>
      <c r="DR96" s="17"/>
      <c r="DS96" s="17"/>
      <c r="DT96" s="17"/>
      <c r="DU96" s="17"/>
      <c r="DV96" s="17"/>
      <c r="DW96" s="17"/>
      <c r="DX96" s="17"/>
      <c r="DY96" s="17"/>
      <c r="DZ96" s="17"/>
      <c r="EA96" s="17"/>
      <c r="EB96" s="17"/>
      <c r="EC96" s="17"/>
      <c r="ED96" s="17"/>
      <c r="EE96" s="17"/>
      <c r="EF96" s="17"/>
      <c r="EG96" s="17"/>
      <c r="EH96" s="17"/>
      <c r="EI96" s="17"/>
      <c r="EJ96" s="17"/>
      <c r="EK96" s="17"/>
      <c r="EL96" s="17"/>
      <c r="EM96" s="17"/>
      <c r="EN96" s="17"/>
      <c r="EO96" s="17"/>
      <c r="EP96" s="17"/>
      <c r="EQ96" s="17"/>
      <c r="ER96" s="17"/>
      <c r="ES96" s="17"/>
      <c r="ET96" s="17"/>
      <c r="EU96" s="17"/>
      <c r="EV96" s="17"/>
      <c r="EW96" s="17"/>
      <c r="EX96" s="17"/>
      <c r="EY96" s="17"/>
      <c r="EZ96" s="17"/>
      <c r="FA96" s="17"/>
      <c r="FB96" s="17"/>
      <c r="FC96" s="17"/>
      <c r="FD96" s="17"/>
      <c r="FE96" s="17"/>
      <c r="FF96" s="17"/>
      <c r="FG96" s="17"/>
      <c r="FH96" s="17"/>
      <c r="FI96" s="17"/>
      <c r="FJ96" s="17"/>
      <c r="FK96" s="17"/>
      <c r="FL96" s="17"/>
      <c r="FM96" s="17"/>
      <c r="FN96" s="17"/>
      <c r="FO96" s="17"/>
      <c r="FP96" s="17"/>
      <c r="FQ96" s="17"/>
      <c r="FR96" s="17"/>
      <c r="FS96" s="17"/>
      <c r="FT96" s="17"/>
      <c r="FU96" s="17"/>
      <c r="FV96" s="17"/>
      <c r="FW96" s="17"/>
      <c r="FX96" s="17"/>
      <c r="FY96" s="17"/>
      <c r="FZ96" s="17"/>
      <c r="GA96" s="17"/>
      <c r="GB96" s="17"/>
      <c r="GC96" s="17"/>
      <c r="GD96" s="17"/>
      <c r="GE96" s="17"/>
      <c r="GF96" s="17"/>
      <c r="GG96" s="17"/>
      <c r="GH96" s="17"/>
      <c r="GI96" s="17"/>
      <c r="GJ96" s="17"/>
      <c r="GK96" s="17"/>
      <c r="GL96" s="17"/>
      <c r="GM96" s="17"/>
      <c r="GN96" s="17"/>
      <c r="GO96" s="17"/>
      <c r="GP96" s="17"/>
      <c r="GQ96" s="17"/>
      <c r="GR96" s="17"/>
      <c r="GS96" s="17"/>
      <c r="GT96" s="17"/>
      <c r="GU96" s="17"/>
      <c r="GV96" s="17"/>
      <c r="GW96" s="17"/>
      <c r="GX96" s="17"/>
      <c r="GY96" s="17"/>
      <c r="GZ96" s="17"/>
      <c r="HA96" s="17"/>
      <c r="HB96" s="17"/>
      <c r="HC96" s="17"/>
      <c r="HD96" s="17"/>
      <c r="HE96" s="17"/>
      <c r="HF96" s="17"/>
      <c r="HG96" s="17"/>
      <c r="HH96" s="17"/>
      <c r="HI96" s="17"/>
      <c r="HJ96" s="17"/>
      <c r="HK96" s="17"/>
      <c r="HL96" s="17"/>
      <c r="HM96" s="17"/>
      <c r="HN96" s="17"/>
      <c r="HO96" s="17"/>
      <c r="HP96" s="17"/>
      <c r="HQ96" s="17"/>
      <c r="HR96" s="17"/>
      <c r="HS96" s="17"/>
      <c r="HT96" s="17"/>
      <c r="HU96" s="17"/>
      <c r="HV96" s="17"/>
      <c r="HW96" s="17"/>
      <c r="HX96" s="17"/>
      <c r="HY96" s="17"/>
      <c r="HZ96" s="17"/>
      <c r="IA96" s="17"/>
      <c r="IB96" s="17"/>
      <c r="IC96" s="17"/>
      <c r="ID96" s="17"/>
      <c r="IE96" s="17"/>
      <c r="IF96" s="17"/>
      <c r="IG96" s="17"/>
      <c r="IH96" s="17"/>
      <c r="II96" s="17"/>
      <c r="IJ96" s="17"/>
      <c r="IK96" s="17"/>
      <c r="IL96" s="17"/>
      <c r="IM96" s="17"/>
      <c r="IN96" s="17"/>
      <c r="IO96" s="17"/>
      <c r="IP96" s="17"/>
      <c r="IQ96" s="17"/>
      <c r="IR96" s="17"/>
      <c r="IS96" s="17"/>
      <c r="IT96" s="17"/>
      <c r="IU96" s="17"/>
      <c r="IV96" s="17"/>
      <c r="IW96" s="17"/>
      <c r="IX96" s="17"/>
      <c r="IY96" s="17"/>
      <c r="IZ96" s="17"/>
      <c r="JA96" s="17"/>
      <c r="JB96" s="17"/>
      <c r="JC96" s="17"/>
      <c r="JD96" s="17"/>
      <c r="JE96" s="17"/>
      <c r="JF96" s="17"/>
      <c r="JG96" s="17"/>
      <c r="JH96" s="17"/>
      <c r="JI96" s="17"/>
      <c r="JJ96" s="17"/>
      <c r="JK96" s="17"/>
      <c r="JL96" s="17"/>
      <c r="JM96" s="17"/>
      <c r="JN96" s="17"/>
      <c r="JO96" s="17"/>
      <c r="JP96" s="17"/>
      <c r="JQ96" s="17"/>
      <c r="JR96" s="17"/>
      <c r="JS96" s="17"/>
      <c r="JT96" s="17"/>
      <c r="JU96" s="17"/>
      <c r="JV96" s="17"/>
      <c r="JW96" s="17"/>
      <c r="JX96" s="17"/>
      <c r="JY96" s="17"/>
      <c r="JZ96" s="17"/>
      <c r="KA96" s="17"/>
      <c r="KB96" s="17"/>
      <c r="KC96" s="17"/>
      <c r="KD96" s="17"/>
      <c r="KE96" s="17"/>
      <c r="KF96" s="17"/>
      <c r="KG96" s="17"/>
      <c r="KH96" s="17"/>
      <c r="KI96" s="17"/>
      <c r="KJ96" s="17"/>
      <c r="KK96" s="17"/>
      <c r="KL96" s="17"/>
      <c r="KM96" s="17"/>
      <c r="KN96" s="17"/>
      <c r="KO96" s="17"/>
      <c r="KP96" s="17"/>
      <c r="KQ96" s="17"/>
      <c r="KR96" s="17"/>
      <c r="KS96" s="17"/>
      <c r="KT96" s="17"/>
      <c r="KU96" s="17"/>
      <c r="KV96" s="17"/>
      <c r="KW96" s="17"/>
      <c r="KX96" s="17"/>
      <c r="KY96" s="17"/>
    </row>
    <row r="97" spans="1:311" x14ac:dyDescent="0.25">
      <c r="A97" s="17"/>
      <c r="B97" s="17"/>
      <c r="C97" s="17"/>
      <c r="D97" s="17"/>
      <c r="E97" s="17"/>
      <c r="F97" s="17"/>
      <c r="G97" s="17"/>
      <c r="H97" s="17"/>
      <c r="I97" s="17"/>
      <c r="J97" s="17"/>
      <c r="K97" s="17"/>
      <c r="L97" s="17"/>
      <c r="M97" s="17"/>
      <c r="N97" s="17"/>
      <c r="O97" s="17"/>
      <c r="P97" s="17"/>
      <c r="Q97" s="17"/>
      <c r="R97" s="17"/>
      <c r="S97" s="17"/>
      <c r="T97" s="17"/>
      <c r="U97" s="17"/>
      <c r="V97" s="17"/>
      <c r="W97" s="17"/>
      <c r="X97" s="17"/>
      <c r="Y97" s="17"/>
      <c r="Z97" s="17"/>
      <c r="AA97" s="17"/>
      <c r="AB97" s="17"/>
      <c r="AC97" s="17"/>
      <c r="AD97" s="17"/>
      <c r="AE97" s="17"/>
      <c r="AF97" s="17"/>
      <c r="AG97" s="17"/>
      <c r="AH97" s="17"/>
      <c r="AI97" s="17"/>
      <c r="AJ97" s="17"/>
      <c r="AK97" s="17"/>
      <c r="AL97" s="17"/>
      <c r="AM97" s="17"/>
      <c r="AN97" s="17"/>
      <c r="AO97" s="17"/>
      <c r="AP97" s="17"/>
      <c r="AQ97" s="17"/>
      <c r="AR97" s="17"/>
      <c r="AS97" s="17"/>
      <c r="AT97" s="17"/>
      <c r="AU97" s="17"/>
      <c r="AV97" s="17"/>
      <c r="AW97" s="17"/>
      <c r="AX97" s="17"/>
      <c r="AY97" s="17"/>
      <c r="AZ97" s="17"/>
      <c r="BA97" s="17"/>
      <c r="BB97" s="17"/>
      <c r="BC97" s="17"/>
      <c r="BD97" s="17"/>
      <c r="BE97" s="17"/>
      <c r="BF97" s="17"/>
      <c r="BG97" s="17"/>
      <c r="BH97" s="17"/>
      <c r="BI97" s="17"/>
      <c r="BJ97" s="17"/>
      <c r="BK97" s="17"/>
      <c r="BL97" s="17"/>
      <c r="BM97" s="17"/>
      <c r="BN97" s="17"/>
      <c r="BO97" s="17"/>
      <c r="BP97" s="17"/>
      <c r="BQ97" s="17"/>
      <c r="BR97" s="17"/>
      <c r="BS97" s="17"/>
      <c r="BT97" s="17"/>
      <c r="BU97" s="17"/>
      <c r="BV97" s="17"/>
      <c r="BW97" s="17"/>
      <c r="BX97" s="17"/>
      <c r="BY97" s="17"/>
      <c r="BZ97" s="17"/>
      <c r="CA97" s="17"/>
      <c r="CB97" s="17"/>
      <c r="CC97" s="17"/>
      <c r="CD97" s="17"/>
      <c r="CE97" s="17"/>
      <c r="CF97" s="17"/>
      <c r="CG97" s="17"/>
      <c r="CH97" s="17"/>
      <c r="CI97" s="17"/>
      <c r="CJ97" s="17"/>
      <c r="CK97" s="17"/>
      <c r="CL97" s="17"/>
      <c r="CM97" s="17"/>
      <c r="CN97" s="17"/>
      <c r="CO97" s="17"/>
      <c r="CP97" s="17"/>
      <c r="CQ97" s="17"/>
      <c r="CR97" s="17"/>
      <c r="CS97" s="17"/>
      <c r="CT97" s="17"/>
      <c r="CU97" s="17"/>
      <c r="CV97" s="17"/>
      <c r="CW97" s="17"/>
      <c r="CX97" s="17"/>
      <c r="CY97" s="17"/>
      <c r="CZ97" s="17"/>
      <c r="DA97" s="17"/>
      <c r="DB97" s="17"/>
      <c r="DC97" s="17"/>
      <c r="DD97" s="17"/>
      <c r="DE97" s="17"/>
      <c r="DF97" s="17"/>
      <c r="DG97" s="17"/>
      <c r="DH97" s="17"/>
      <c r="DI97" s="17"/>
      <c r="DJ97" s="17"/>
      <c r="DK97" s="17"/>
      <c r="DL97" s="17"/>
      <c r="DM97" s="17"/>
      <c r="DN97" s="17"/>
      <c r="DO97" s="17"/>
      <c r="DP97" s="17"/>
      <c r="DQ97" s="17"/>
      <c r="DR97" s="17"/>
      <c r="DS97" s="17"/>
      <c r="DT97" s="17"/>
      <c r="DU97" s="17"/>
      <c r="DV97" s="17"/>
      <c r="DW97" s="17"/>
      <c r="DX97" s="17"/>
      <c r="DY97" s="17"/>
      <c r="DZ97" s="17"/>
      <c r="EA97" s="17"/>
      <c r="EB97" s="17"/>
      <c r="EC97" s="17"/>
      <c r="ED97" s="17"/>
      <c r="EE97" s="17"/>
      <c r="EF97" s="17"/>
      <c r="EG97" s="17"/>
      <c r="EH97" s="17"/>
      <c r="EI97" s="17"/>
      <c r="EJ97" s="17"/>
      <c r="EK97" s="17"/>
      <c r="EL97" s="17"/>
      <c r="EM97" s="17"/>
      <c r="EN97" s="17"/>
      <c r="EO97" s="17"/>
      <c r="EP97" s="17"/>
      <c r="EQ97" s="17"/>
      <c r="ER97" s="17"/>
      <c r="ES97" s="17"/>
      <c r="ET97" s="17"/>
      <c r="EU97" s="17"/>
      <c r="EV97" s="17"/>
      <c r="EW97" s="17"/>
      <c r="EX97" s="17"/>
      <c r="EY97" s="17"/>
      <c r="EZ97" s="17"/>
      <c r="FA97" s="17"/>
      <c r="FB97" s="17"/>
      <c r="FC97" s="17"/>
      <c r="FD97" s="17"/>
      <c r="FE97" s="17"/>
      <c r="FF97" s="17"/>
      <c r="FG97" s="17"/>
      <c r="FH97" s="17"/>
      <c r="FI97" s="17"/>
      <c r="FJ97" s="17"/>
      <c r="FK97" s="17"/>
      <c r="FL97" s="17"/>
      <c r="FM97" s="17"/>
      <c r="FN97" s="17"/>
      <c r="FO97" s="17"/>
      <c r="FP97" s="17"/>
      <c r="FQ97" s="17"/>
      <c r="FR97" s="17"/>
      <c r="FS97" s="17"/>
      <c r="FT97" s="17"/>
      <c r="FU97" s="17"/>
      <c r="FV97" s="17"/>
      <c r="FW97" s="17"/>
      <c r="FX97" s="17"/>
      <c r="FY97" s="17"/>
      <c r="FZ97" s="17"/>
      <c r="GA97" s="17"/>
      <c r="GB97" s="17"/>
      <c r="GC97" s="17"/>
      <c r="GD97" s="17"/>
      <c r="GE97" s="17"/>
      <c r="GF97" s="17"/>
      <c r="GG97" s="17"/>
      <c r="GH97" s="17"/>
      <c r="GI97" s="17"/>
      <c r="GJ97" s="17"/>
      <c r="GK97" s="17"/>
      <c r="GL97" s="17"/>
      <c r="GM97" s="17"/>
      <c r="GN97" s="17"/>
      <c r="GO97" s="17"/>
      <c r="GP97" s="17"/>
      <c r="GQ97" s="17"/>
      <c r="GR97" s="17"/>
      <c r="GS97" s="17"/>
      <c r="GT97" s="17"/>
      <c r="GU97" s="17"/>
      <c r="GV97" s="17"/>
      <c r="GW97" s="17"/>
      <c r="GX97" s="17"/>
      <c r="GY97" s="17"/>
      <c r="GZ97" s="17"/>
      <c r="HA97" s="17"/>
      <c r="HB97" s="17"/>
      <c r="HC97" s="17"/>
      <c r="HD97" s="17"/>
      <c r="HE97" s="17"/>
      <c r="HF97" s="17"/>
      <c r="HG97" s="17"/>
      <c r="HH97" s="17"/>
      <c r="HI97" s="17"/>
      <c r="HJ97" s="17"/>
      <c r="HK97" s="17"/>
      <c r="HL97" s="17"/>
      <c r="HM97" s="17"/>
      <c r="HN97" s="17"/>
      <c r="HO97" s="17"/>
      <c r="HP97" s="17"/>
      <c r="HQ97" s="17"/>
      <c r="HR97" s="17"/>
      <c r="HS97" s="17"/>
      <c r="HT97" s="17"/>
      <c r="HU97" s="17"/>
      <c r="HV97" s="17"/>
      <c r="HW97" s="17"/>
      <c r="HX97" s="17"/>
      <c r="HY97" s="17"/>
      <c r="HZ97" s="17"/>
      <c r="IA97" s="17"/>
      <c r="IB97" s="17"/>
      <c r="IC97" s="17"/>
      <c r="ID97" s="17"/>
      <c r="IE97" s="17"/>
      <c r="IF97" s="17"/>
      <c r="IG97" s="17"/>
      <c r="IH97" s="17"/>
      <c r="II97" s="17"/>
      <c r="IJ97" s="17"/>
      <c r="IK97" s="17"/>
      <c r="IL97" s="17"/>
      <c r="IM97" s="17"/>
      <c r="IN97" s="17"/>
      <c r="IO97" s="17"/>
      <c r="IP97" s="17"/>
      <c r="IQ97" s="17"/>
      <c r="IR97" s="17"/>
      <c r="IS97" s="17"/>
      <c r="IT97" s="17"/>
      <c r="IU97" s="17"/>
      <c r="IV97" s="17"/>
      <c r="IW97" s="17"/>
      <c r="IX97" s="17"/>
      <c r="IY97" s="17"/>
      <c r="IZ97" s="17"/>
      <c r="JA97" s="17"/>
      <c r="JB97" s="17"/>
      <c r="JC97" s="17"/>
      <c r="JD97" s="17"/>
      <c r="JE97" s="17"/>
      <c r="JF97" s="17"/>
      <c r="JG97" s="17"/>
      <c r="JH97" s="17"/>
      <c r="JI97" s="17"/>
      <c r="JJ97" s="17"/>
      <c r="JK97" s="17"/>
      <c r="JL97" s="17"/>
      <c r="JM97" s="17"/>
      <c r="JN97" s="17"/>
      <c r="JO97" s="17"/>
      <c r="JP97" s="17"/>
      <c r="JQ97" s="17"/>
      <c r="JR97" s="17"/>
      <c r="JS97" s="17"/>
      <c r="JT97" s="17"/>
      <c r="JU97" s="17"/>
      <c r="JV97" s="17"/>
      <c r="JW97" s="17"/>
      <c r="JX97" s="17"/>
      <c r="JY97" s="17"/>
      <c r="JZ97" s="17"/>
      <c r="KA97" s="17"/>
      <c r="KB97" s="17"/>
      <c r="KC97" s="17"/>
      <c r="KD97" s="17"/>
      <c r="KE97" s="17"/>
      <c r="KF97" s="17"/>
      <c r="KG97" s="17"/>
      <c r="KH97" s="17"/>
      <c r="KI97" s="17"/>
      <c r="KJ97" s="17"/>
      <c r="KK97" s="17"/>
      <c r="KL97" s="17"/>
      <c r="KM97" s="17"/>
      <c r="KN97" s="17"/>
      <c r="KO97" s="17"/>
      <c r="KP97" s="17"/>
      <c r="KQ97" s="17"/>
      <c r="KR97" s="17"/>
      <c r="KS97" s="17"/>
      <c r="KT97" s="17"/>
      <c r="KU97" s="17"/>
      <c r="KV97" s="17"/>
      <c r="KW97" s="17"/>
      <c r="KX97" s="17"/>
      <c r="KY97" s="17"/>
    </row>
    <row r="98" spans="1:311" x14ac:dyDescent="0.25">
      <c r="A98" s="17"/>
      <c r="B98" s="17"/>
      <c r="C98" s="17"/>
      <c r="D98" s="17"/>
      <c r="E98" s="17"/>
      <c r="F98" s="17"/>
      <c r="G98" s="17"/>
      <c r="H98" s="17"/>
      <c r="I98" s="17"/>
      <c r="J98" s="17"/>
      <c r="K98" s="17"/>
      <c r="L98" s="17"/>
      <c r="M98" s="17"/>
      <c r="N98" s="17"/>
      <c r="O98" s="17"/>
      <c r="P98" s="17"/>
      <c r="Q98" s="17"/>
      <c r="R98" s="17"/>
      <c r="S98" s="17"/>
      <c r="T98" s="17"/>
      <c r="U98" s="17"/>
      <c r="V98" s="17"/>
      <c r="W98" s="17"/>
      <c r="X98" s="17"/>
      <c r="Y98" s="17"/>
      <c r="Z98" s="17"/>
      <c r="AA98" s="17"/>
      <c r="AB98" s="17"/>
      <c r="AC98" s="17"/>
      <c r="AD98" s="17"/>
      <c r="AE98" s="17"/>
      <c r="AF98" s="17"/>
      <c r="AG98" s="17"/>
      <c r="AH98" s="17"/>
      <c r="AI98" s="17"/>
      <c r="AJ98" s="17"/>
      <c r="AK98" s="17"/>
      <c r="AL98" s="17"/>
      <c r="AM98" s="17"/>
      <c r="AN98" s="17"/>
      <c r="AO98" s="17"/>
      <c r="AP98" s="17"/>
      <c r="AQ98" s="17"/>
      <c r="AR98" s="17"/>
      <c r="AS98" s="17"/>
      <c r="AT98" s="17"/>
      <c r="AU98" s="17"/>
      <c r="AV98" s="17"/>
      <c r="AW98" s="17"/>
      <c r="AX98" s="17"/>
      <c r="AY98" s="17"/>
      <c r="AZ98" s="17"/>
      <c r="BA98" s="17"/>
      <c r="BB98" s="17"/>
      <c r="BC98" s="17"/>
      <c r="BD98" s="17"/>
      <c r="BE98" s="17"/>
      <c r="BF98" s="17"/>
      <c r="BG98" s="17"/>
      <c r="BH98" s="17"/>
      <c r="BI98" s="17"/>
      <c r="BJ98" s="17"/>
      <c r="BK98" s="17"/>
      <c r="BL98" s="17"/>
      <c r="BM98" s="17"/>
      <c r="BN98" s="17"/>
      <c r="BO98" s="17"/>
      <c r="BP98" s="17"/>
      <c r="BQ98" s="17"/>
      <c r="BR98" s="17"/>
      <c r="BS98" s="17"/>
      <c r="BT98" s="17"/>
      <c r="BU98" s="17"/>
      <c r="BV98" s="17"/>
      <c r="BW98" s="17"/>
      <c r="BX98" s="17"/>
      <c r="BY98" s="17"/>
      <c r="BZ98" s="17"/>
      <c r="CA98" s="17"/>
      <c r="CB98" s="17"/>
      <c r="CC98" s="17"/>
      <c r="CD98" s="17"/>
      <c r="CE98" s="17"/>
      <c r="CF98" s="17"/>
      <c r="CG98" s="17"/>
      <c r="CH98" s="17"/>
      <c r="CI98" s="17"/>
      <c r="CJ98" s="17"/>
      <c r="CK98" s="17"/>
      <c r="CL98" s="17"/>
      <c r="CM98" s="17"/>
      <c r="CN98" s="17"/>
      <c r="CO98" s="17"/>
      <c r="CP98" s="17"/>
      <c r="CQ98" s="17"/>
      <c r="CR98" s="17"/>
      <c r="CS98" s="17"/>
      <c r="CT98" s="17"/>
      <c r="CU98" s="17"/>
      <c r="CV98" s="17"/>
      <c r="CW98" s="17"/>
      <c r="CX98" s="17"/>
      <c r="CY98" s="17"/>
      <c r="CZ98" s="17"/>
      <c r="DA98" s="17"/>
      <c r="DB98" s="17"/>
      <c r="DC98" s="17"/>
      <c r="DD98" s="17"/>
      <c r="DE98" s="17"/>
      <c r="DF98" s="17"/>
      <c r="DG98" s="17"/>
      <c r="DH98" s="17"/>
      <c r="DI98" s="17"/>
      <c r="DJ98" s="17"/>
      <c r="DK98" s="17"/>
      <c r="DL98" s="17"/>
      <c r="DM98" s="17"/>
      <c r="DN98" s="17"/>
      <c r="DO98" s="17"/>
      <c r="DP98" s="17"/>
      <c r="DQ98" s="17"/>
      <c r="DR98" s="17"/>
      <c r="DS98" s="17"/>
      <c r="DT98" s="17"/>
      <c r="DU98" s="17"/>
      <c r="DV98" s="17"/>
      <c r="DW98" s="17"/>
      <c r="DX98" s="17"/>
      <c r="DY98" s="17"/>
      <c r="DZ98" s="17"/>
      <c r="EA98" s="17"/>
      <c r="EB98" s="17"/>
      <c r="EC98" s="17"/>
      <c r="ED98" s="17"/>
      <c r="EE98" s="17"/>
      <c r="EF98" s="17"/>
      <c r="EG98" s="17"/>
      <c r="EH98" s="17"/>
      <c r="EI98" s="17"/>
      <c r="EJ98" s="17"/>
      <c r="EK98" s="17"/>
      <c r="EL98" s="17"/>
      <c r="EM98" s="17"/>
      <c r="EN98" s="17"/>
      <c r="EO98" s="17"/>
      <c r="EP98" s="17"/>
      <c r="EQ98" s="17"/>
      <c r="ER98" s="17"/>
      <c r="ES98" s="17"/>
      <c r="ET98" s="17"/>
      <c r="EU98" s="17"/>
      <c r="EV98" s="17"/>
      <c r="EW98" s="17"/>
      <c r="EX98" s="17"/>
      <c r="EY98" s="17"/>
      <c r="EZ98" s="17"/>
      <c r="FA98" s="17"/>
      <c r="FB98" s="17"/>
      <c r="FC98" s="17"/>
      <c r="FD98" s="17"/>
      <c r="FE98" s="17"/>
      <c r="FF98" s="17"/>
      <c r="FG98" s="17"/>
      <c r="FH98" s="17"/>
      <c r="FI98" s="17"/>
      <c r="FJ98" s="17"/>
      <c r="FK98" s="17"/>
      <c r="FL98" s="17"/>
      <c r="FM98" s="17"/>
      <c r="FN98" s="17"/>
      <c r="FO98" s="17"/>
      <c r="FP98" s="17"/>
      <c r="FQ98" s="17"/>
      <c r="FR98" s="17"/>
      <c r="FS98" s="17"/>
      <c r="FT98" s="17"/>
      <c r="FU98" s="17"/>
      <c r="FV98" s="17"/>
      <c r="FW98" s="17"/>
      <c r="FX98" s="17"/>
      <c r="FY98" s="17"/>
      <c r="FZ98" s="17"/>
      <c r="GA98" s="17"/>
      <c r="GB98" s="17"/>
      <c r="GC98" s="17"/>
      <c r="GD98" s="17"/>
      <c r="GE98" s="17"/>
      <c r="GF98" s="17"/>
      <c r="GG98" s="17"/>
      <c r="GH98" s="17"/>
      <c r="GI98" s="17"/>
      <c r="GJ98" s="17"/>
      <c r="GK98" s="17"/>
      <c r="GL98" s="17"/>
      <c r="GM98" s="17"/>
      <c r="GN98" s="17"/>
      <c r="GO98" s="17"/>
      <c r="GP98" s="17"/>
      <c r="GQ98" s="17"/>
      <c r="GR98" s="17"/>
      <c r="GS98" s="17"/>
      <c r="GT98" s="17"/>
      <c r="GU98" s="17"/>
      <c r="GV98" s="17"/>
      <c r="GW98" s="17"/>
      <c r="GX98" s="17"/>
      <c r="GY98" s="17"/>
      <c r="GZ98" s="17"/>
      <c r="HA98" s="17"/>
      <c r="HB98" s="17"/>
      <c r="HC98" s="17"/>
      <c r="HD98" s="17"/>
      <c r="HE98" s="17"/>
      <c r="HF98" s="17"/>
      <c r="HG98" s="17"/>
      <c r="HH98" s="17"/>
      <c r="HI98" s="17"/>
      <c r="HJ98" s="17"/>
      <c r="HK98" s="17"/>
      <c r="HL98" s="17"/>
      <c r="HM98" s="17"/>
      <c r="HN98" s="17"/>
      <c r="HO98" s="17"/>
      <c r="HP98" s="17"/>
      <c r="HQ98" s="17"/>
      <c r="HR98" s="17"/>
      <c r="HS98" s="17"/>
      <c r="HT98" s="17"/>
      <c r="HU98" s="17"/>
      <c r="HV98" s="17"/>
      <c r="HW98" s="17"/>
      <c r="HX98" s="17"/>
      <c r="HY98" s="17"/>
      <c r="HZ98" s="17"/>
      <c r="IA98" s="17"/>
      <c r="IB98" s="17"/>
      <c r="IC98" s="17"/>
      <c r="ID98" s="17"/>
      <c r="IE98" s="17"/>
      <c r="IF98" s="17"/>
      <c r="IG98" s="17"/>
      <c r="IH98" s="17"/>
      <c r="II98" s="17"/>
      <c r="IJ98" s="17"/>
      <c r="IK98" s="17"/>
      <c r="IL98" s="17"/>
      <c r="IM98" s="17"/>
      <c r="IN98" s="17"/>
      <c r="IO98" s="17"/>
      <c r="IP98" s="17"/>
      <c r="IQ98" s="17"/>
      <c r="IR98" s="17"/>
      <c r="IS98" s="17"/>
      <c r="IT98" s="17"/>
      <c r="IU98" s="17"/>
      <c r="IV98" s="17"/>
      <c r="IW98" s="17"/>
      <c r="IX98" s="17"/>
      <c r="IY98" s="17"/>
      <c r="IZ98" s="17"/>
      <c r="JA98" s="17"/>
      <c r="JB98" s="17"/>
      <c r="JC98" s="17"/>
      <c r="JD98" s="17"/>
      <c r="JE98" s="17"/>
      <c r="JF98" s="17"/>
      <c r="JG98" s="17"/>
      <c r="JH98" s="17"/>
      <c r="JI98" s="17"/>
      <c r="JJ98" s="17"/>
      <c r="JK98" s="17"/>
      <c r="JL98" s="17"/>
      <c r="JM98" s="17"/>
      <c r="JN98" s="17"/>
      <c r="JO98" s="17"/>
      <c r="JP98" s="17"/>
      <c r="JQ98" s="17"/>
      <c r="JR98" s="17"/>
      <c r="JS98" s="17"/>
      <c r="JT98" s="17"/>
      <c r="JU98" s="17"/>
      <c r="JV98" s="17"/>
      <c r="JW98" s="17"/>
      <c r="JX98" s="17"/>
      <c r="JY98" s="17"/>
      <c r="JZ98" s="17"/>
      <c r="KA98" s="17"/>
      <c r="KB98" s="17"/>
      <c r="KC98" s="17"/>
      <c r="KD98" s="17"/>
      <c r="KE98" s="17"/>
      <c r="KF98" s="17"/>
      <c r="KG98" s="17"/>
      <c r="KH98" s="17"/>
      <c r="KI98" s="17"/>
      <c r="KJ98" s="17"/>
      <c r="KK98" s="17"/>
      <c r="KL98" s="17"/>
      <c r="KM98" s="17"/>
      <c r="KN98" s="17"/>
      <c r="KO98" s="17"/>
      <c r="KP98" s="17"/>
      <c r="KQ98" s="17"/>
      <c r="KR98" s="17"/>
      <c r="KS98" s="17"/>
      <c r="KT98" s="17"/>
      <c r="KU98" s="17"/>
      <c r="KV98" s="17"/>
      <c r="KW98" s="17"/>
      <c r="KX98" s="17"/>
      <c r="KY98" s="17"/>
    </row>
    <row r="99" spans="1:311" x14ac:dyDescent="0.25">
      <c r="A99" s="17"/>
      <c r="B99" s="17"/>
      <c r="C99" s="17"/>
      <c r="D99" s="17"/>
      <c r="E99" s="17"/>
      <c r="F99" s="17"/>
      <c r="G99" s="17"/>
      <c r="H99" s="17"/>
      <c r="I99" s="17"/>
      <c r="J99" s="17"/>
      <c r="K99" s="17"/>
      <c r="L99" s="17"/>
      <c r="M99" s="17"/>
      <c r="N99" s="17"/>
      <c r="O99" s="17"/>
      <c r="P99" s="17"/>
      <c r="Q99" s="17"/>
      <c r="R99" s="17"/>
      <c r="S99" s="17"/>
      <c r="T99" s="17"/>
      <c r="U99" s="17"/>
      <c r="V99" s="17"/>
      <c r="W99" s="17"/>
      <c r="X99" s="17"/>
      <c r="Y99" s="17"/>
      <c r="Z99" s="17"/>
      <c r="AA99" s="17"/>
      <c r="AB99" s="17"/>
      <c r="AC99" s="17"/>
      <c r="AD99" s="17"/>
      <c r="AE99" s="17"/>
      <c r="AF99" s="17"/>
      <c r="AG99" s="17"/>
      <c r="AH99" s="17"/>
      <c r="AI99" s="17"/>
      <c r="AJ99" s="17"/>
      <c r="AK99" s="17"/>
      <c r="AL99" s="17"/>
      <c r="AM99" s="17"/>
      <c r="AN99" s="17"/>
      <c r="AO99" s="17"/>
      <c r="AP99" s="17"/>
      <c r="AQ99" s="17"/>
      <c r="AR99" s="17"/>
      <c r="AS99" s="17"/>
      <c r="AT99" s="17"/>
      <c r="AU99" s="17"/>
      <c r="AV99" s="17"/>
      <c r="AW99" s="17"/>
      <c r="AX99" s="17"/>
      <c r="AY99" s="17"/>
      <c r="AZ99" s="17"/>
      <c r="BA99" s="17"/>
      <c r="BB99" s="17"/>
      <c r="BC99" s="17"/>
      <c r="BD99" s="17"/>
      <c r="BE99" s="17"/>
      <c r="BF99" s="17"/>
      <c r="BG99" s="17"/>
      <c r="BH99" s="17"/>
      <c r="BI99" s="17"/>
      <c r="BJ99" s="17"/>
      <c r="BK99" s="17"/>
      <c r="BL99" s="17"/>
      <c r="BM99" s="17"/>
      <c r="BN99" s="17"/>
      <c r="BO99" s="17"/>
      <c r="BP99" s="17"/>
      <c r="BQ99" s="17"/>
      <c r="BR99" s="17"/>
      <c r="BS99" s="17"/>
      <c r="BT99" s="17"/>
      <c r="BU99" s="17"/>
      <c r="BV99" s="17"/>
      <c r="BW99" s="17"/>
      <c r="BX99" s="17"/>
      <c r="BY99" s="17"/>
      <c r="BZ99" s="17"/>
      <c r="CA99" s="17"/>
      <c r="CB99" s="17"/>
      <c r="CC99" s="17"/>
      <c r="CD99" s="17"/>
      <c r="CE99" s="17"/>
      <c r="CF99" s="17"/>
      <c r="CG99" s="17"/>
      <c r="CH99" s="17"/>
      <c r="CI99" s="17"/>
      <c r="CJ99" s="17"/>
      <c r="CK99" s="17"/>
      <c r="CL99" s="17"/>
      <c r="CM99" s="17"/>
      <c r="CN99" s="17"/>
      <c r="CO99" s="17"/>
      <c r="CP99" s="17"/>
      <c r="CQ99" s="17"/>
      <c r="CR99" s="17"/>
      <c r="CS99" s="17"/>
      <c r="CT99" s="17"/>
      <c r="CU99" s="17"/>
      <c r="CV99" s="17"/>
      <c r="CW99" s="17"/>
      <c r="CX99" s="17"/>
      <c r="CY99" s="17"/>
      <c r="CZ99" s="17"/>
      <c r="DA99" s="17"/>
      <c r="DB99" s="17"/>
      <c r="DC99" s="17"/>
      <c r="DD99" s="17"/>
      <c r="DE99" s="17"/>
      <c r="DF99" s="17"/>
      <c r="DG99" s="17"/>
      <c r="DH99" s="17"/>
      <c r="DI99" s="17"/>
      <c r="DJ99" s="17"/>
      <c r="DK99" s="17"/>
      <c r="DL99" s="17"/>
      <c r="DM99" s="17"/>
      <c r="DN99" s="17"/>
      <c r="DO99" s="17"/>
      <c r="DP99" s="17"/>
      <c r="DQ99" s="17"/>
      <c r="DR99" s="17"/>
      <c r="DS99" s="17"/>
      <c r="DT99" s="17"/>
      <c r="DU99" s="17"/>
      <c r="DV99" s="17"/>
      <c r="DW99" s="17"/>
      <c r="DX99" s="17"/>
      <c r="DY99" s="17"/>
      <c r="DZ99" s="17"/>
      <c r="EA99" s="17"/>
      <c r="EB99" s="17"/>
      <c r="EC99" s="17"/>
      <c r="ED99" s="17"/>
      <c r="EE99" s="17"/>
      <c r="EF99" s="17"/>
      <c r="EG99" s="17"/>
      <c r="EH99" s="17"/>
      <c r="EI99" s="17"/>
      <c r="EJ99" s="17"/>
      <c r="EK99" s="17"/>
      <c r="EL99" s="17"/>
      <c r="EM99" s="17"/>
      <c r="EN99" s="17"/>
      <c r="EO99" s="17"/>
      <c r="EP99" s="17"/>
      <c r="EQ99" s="17"/>
      <c r="ER99" s="17"/>
      <c r="ES99" s="17"/>
      <c r="ET99" s="17"/>
      <c r="EU99" s="17"/>
      <c r="EV99" s="17"/>
      <c r="EW99" s="17"/>
      <c r="EX99" s="17"/>
      <c r="EY99" s="17"/>
      <c r="EZ99" s="17"/>
      <c r="FA99" s="17"/>
      <c r="FB99" s="17"/>
      <c r="FC99" s="17"/>
      <c r="FD99" s="17"/>
      <c r="FE99" s="17"/>
      <c r="FF99" s="17"/>
      <c r="FG99" s="17"/>
      <c r="FH99" s="17"/>
      <c r="FI99" s="17"/>
      <c r="FJ99" s="17"/>
      <c r="FK99" s="17"/>
      <c r="FL99" s="17"/>
      <c r="FM99" s="17"/>
      <c r="FN99" s="17"/>
      <c r="FO99" s="17"/>
      <c r="FP99" s="17"/>
      <c r="FQ99" s="17"/>
      <c r="FR99" s="17"/>
      <c r="FS99" s="17"/>
      <c r="FT99" s="17"/>
      <c r="FU99" s="17"/>
      <c r="FV99" s="17"/>
      <c r="FW99" s="17"/>
      <c r="FX99" s="17"/>
      <c r="FY99" s="17"/>
      <c r="FZ99" s="17"/>
      <c r="GA99" s="17"/>
      <c r="GB99" s="17"/>
      <c r="GC99" s="17"/>
      <c r="GD99" s="17"/>
      <c r="GE99" s="17"/>
      <c r="GF99" s="17"/>
      <c r="GG99" s="17"/>
      <c r="GH99" s="17"/>
      <c r="GI99" s="17"/>
      <c r="GJ99" s="17"/>
      <c r="GK99" s="17"/>
      <c r="GL99" s="17"/>
      <c r="GM99" s="17"/>
      <c r="GN99" s="17"/>
      <c r="GO99" s="17"/>
      <c r="GP99" s="17"/>
      <c r="GQ99" s="17"/>
      <c r="GR99" s="17"/>
      <c r="GS99" s="17"/>
      <c r="GT99" s="17"/>
      <c r="GU99" s="17"/>
      <c r="GV99" s="17"/>
      <c r="GW99" s="17"/>
      <c r="GX99" s="17"/>
      <c r="GY99" s="17"/>
      <c r="GZ99" s="17"/>
      <c r="HA99" s="17"/>
      <c r="HB99" s="17"/>
      <c r="HC99" s="17"/>
      <c r="HD99" s="17"/>
      <c r="HE99" s="17"/>
      <c r="HF99" s="17"/>
      <c r="HG99" s="17"/>
      <c r="HH99" s="17"/>
      <c r="HI99" s="17"/>
      <c r="HJ99" s="17"/>
      <c r="HK99" s="17"/>
      <c r="HL99" s="17"/>
      <c r="HM99" s="17"/>
      <c r="HN99" s="17"/>
      <c r="HO99" s="17"/>
      <c r="HP99" s="17"/>
      <c r="HQ99" s="17"/>
      <c r="HR99" s="17"/>
      <c r="HS99" s="17"/>
      <c r="HT99" s="17"/>
      <c r="HU99" s="17"/>
      <c r="HV99" s="17"/>
      <c r="HW99" s="17"/>
      <c r="HX99" s="17"/>
      <c r="HY99" s="17"/>
      <c r="HZ99" s="17"/>
      <c r="IA99" s="17"/>
      <c r="IB99" s="17"/>
      <c r="IC99" s="17"/>
      <c r="ID99" s="17"/>
      <c r="IE99" s="17"/>
      <c r="IF99" s="17"/>
      <c r="IG99" s="17"/>
      <c r="IH99" s="17"/>
      <c r="II99" s="17"/>
      <c r="IJ99" s="17"/>
      <c r="IK99" s="17"/>
      <c r="IL99" s="17"/>
      <c r="IM99" s="17"/>
      <c r="IN99" s="17"/>
      <c r="IO99" s="17"/>
      <c r="IP99" s="17"/>
      <c r="IQ99" s="17"/>
      <c r="IR99" s="17"/>
      <c r="IS99" s="17"/>
      <c r="IT99" s="17"/>
      <c r="IU99" s="17"/>
      <c r="IV99" s="17"/>
      <c r="IW99" s="17"/>
      <c r="IX99" s="17"/>
      <c r="IY99" s="17"/>
      <c r="IZ99" s="17"/>
      <c r="JA99" s="17"/>
      <c r="JB99" s="17"/>
      <c r="JC99" s="17"/>
      <c r="JD99" s="17"/>
      <c r="JE99" s="17"/>
      <c r="JF99" s="17"/>
      <c r="JG99" s="17"/>
      <c r="JH99" s="17"/>
      <c r="JI99" s="17"/>
      <c r="JJ99" s="17"/>
      <c r="JK99" s="17"/>
      <c r="JL99" s="17"/>
      <c r="JM99" s="17"/>
      <c r="JN99" s="17"/>
      <c r="JO99" s="17"/>
      <c r="JP99" s="17"/>
      <c r="JQ99" s="17"/>
      <c r="JR99" s="17"/>
      <c r="JS99" s="17"/>
      <c r="JT99" s="17"/>
      <c r="JU99" s="17"/>
      <c r="JV99" s="17"/>
      <c r="JW99" s="17"/>
      <c r="JX99" s="17"/>
      <c r="JY99" s="17"/>
      <c r="JZ99" s="17"/>
      <c r="KA99" s="17"/>
      <c r="KB99" s="17"/>
      <c r="KC99" s="17"/>
      <c r="KD99" s="17"/>
      <c r="KE99" s="17"/>
      <c r="KF99" s="17"/>
      <c r="KG99" s="17"/>
      <c r="KH99" s="17"/>
      <c r="KI99" s="17"/>
      <c r="KJ99" s="17"/>
      <c r="KK99" s="17"/>
      <c r="KL99" s="17"/>
      <c r="KM99" s="17"/>
      <c r="KN99" s="17"/>
      <c r="KO99" s="17"/>
      <c r="KP99" s="17"/>
      <c r="KQ99" s="17"/>
      <c r="KR99" s="17"/>
      <c r="KS99" s="17"/>
      <c r="KT99" s="17"/>
      <c r="KU99" s="17"/>
      <c r="KV99" s="17"/>
      <c r="KW99" s="17"/>
      <c r="KX99" s="17"/>
      <c r="KY99" s="17"/>
    </row>
    <row r="100" spans="1:311" x14ac:dyDescent="0.25">
      <c r="A100" s="17"/>
      <c r="B100" s="17"/>
      <c r="C100" s="17"/>
      <c r="D100" s="17"/>
      <c r="E100" s="17"/>
      <c r="F100" s="17"/>
      <c r="G100" s="17"/>
      <c r="H100" s="17"/>
      <c r="I100" s="17"/>
      <c r="J100" s="17"/>
      <c r="K100" s="17"/>
      <c r="L100" s="17"/>
      <c r="M100" s="17"/>
      <c r="N100" s="17"/>
      <c r="O100" s="17"/>
      <c r="P100" s="17"/>
      <c r="Q100" s="17"/>
      <c r="R100" s="17"/>
      <c r="S100" s="17"/>
      <c r="T100" s="17"/>
      <c r="U100" s="17"/>
      <c r="V100" s="17"/>
      <c r="W100" s="17"/>
      <c r="X100" s="17"/>
      <c r="Y100" s="17"/>
      <c r="Z100" s="17"/>
      <c r="AA100" s="17"/>
      <c r="AB100" s="17"/>
      <c r="AC100" s="17"/>
      <c r="AD100" s="17"/>
      <c r="AE100" s="17"/>
      <c r="AF100" s="17"/>
      <c r="AG100" s="17"/>
      <c r="AH100" s="17"/>
      <c r="AI100" s="17"/>
      <c r="AJ100" s="17"/>
      <c r="AK100" s="17"/>
      <c r="AL100" s="17"/>
      <c r="AM100" s="17"/>
      <c r="AN100" s="17"/>
      <c r="AO100" s="17"/>
      <c r="AP100" s="17"/>
      <c r="AQ100" s="17"/>
      <c r="AR100" s="17"/>
      <c r="AS100" s="17"/>
      <c r="AT100" s="17"/>
      <c r="AU100" s="17"/>
      <c r="AV100" s="17"/>
      <c r="AW100" s="17"/>
      <c r="AX100" s="17"/>
      <c r="AY100" s="17"/>
      <c r="AZ100" s="17"/>
      <c r="BA100" s="17"/>
      <c r="BB100" s="17"/>
      <c r="BC100" s="17"/>
      <c r="BD100" s="17"/>
      <c r="BE100" s="17"/>
      <c r="BF100" s="17"/>
      <c r="BG100" s="17"/>
      <c r="BH100" s="17"/>
      <c r="BI100" s="17"/>
      <c r="BJ100" s="17"/>
      <c r="BK100" s="17"/>
      <c r="BL100" s="17"/>
      <c r="BM100" s="17"/>
      <c r="BN100" s="17"/>
      <c r="BO100" s="17"/>
      <c r="BP100" s="17"/>
      <c r="BQ100" s="17"/>
      <c r="BR100" s="17"/>
      <c r="BS100" s="17"/>
      <c r="BT100" s="17"/>
      <c r="BU100" s="17"/>
      <c r="BV100" s="17"/>
      <c r="BW100" s="17"/>
      <c r="BX100" s="17"/>
      <c r="BY100" s="17"/>
      <c r="BZ100" s="17"/>
      <c r="CA100" s="17"/>
      <c r="CB100" s="17"/>
      <c r="CC100" s="17"/>
      <c r="CD100" s="17"/>
      <c r="CE100" s="17"/>
      <c r="CF100" s="17"/>
      <c r="CG100" s="17"/>
      <c r="CH100" s="17"/>
      <c r="CI100" s="17"/>
      <c r="CJ100" s="17"/>
      <c r="CK100" s="17"/>
      <c r="CL100" s="17"/>
      <c r="CM100" s="17"/>
      <c r="CN100" s="17"/>
      <c r="CO100" s="17"/>
      <c r="CP100" s="17"/>
      <c r="CQ100" s="17"/>
      <c r="CR100" s="17"/>
      <c r="CS100" s="17"/>
      <c r="CT100" s="17"/>
      <c r="CU100" s="17"/>
      <c r="CV100" s="17"/>
      <c r="CW100" s="17"/>
      <c r="CX100" s="17"/>
      <c r="CY100" s="17"/>
      <c r="CZ100" s="17"/>
      <c r="DA100" s="17"/>
      <c r="DB100" s="17"/>
      <c r="DC100" s="17"/>
      <c r="DD100" s="17"/>
      <c r="DE100" s="17"/>
      <c r="DF100" s="17"/>
      <c r="DG100" s="17"/>
      <c r="DH100" s="17"/>
      <c r="DI100" s="17"/>
      <c r="DJ100" s="17"/>
      <c r="DK100" s="17"/>
      <c r="DL100" s="17"/>
      <c r="DM100" s="17"/>
      <c r="DN100" s="17"/>
      <c r="DO100" s="17"/>
      <c r="DP100" s="17"/>
      <c r="DQ100" s="17"/>
      <c r="DR100" s="17"/>
      <c r="DS100" s="17"/>
      <c r="DT100" s="17"/>
      <c r="DU100" s="17"/>
      <c r="DV100" s="17"/>
      <c r="DW100" s="17"/>
      <c r="DX100" s="17"/>
      <c r="DY100" s="17"/>
      <c r="DZ100" s="17"/>
      <c r="EA100" s="17"/>
      <c r="EB100" s="17"/>
      <c r="EC100" s="17"/>
      <c r="ED100" s="17"/>
      <c r="EE100" s="17"/>
      <c r="EF100" s="17"/>
      <c r="EG100" s="17"/>
      <c r="EH100" s="17"/>
      <c r="EI100" s="17"/>
      <c r="EJ100" s="17"/>
      <c r="EK100" s="17"/>
      <c r="EL100" s="17"/>
      <c r="EM100" s="17"/>
      <c r="EN100" s="17"/>
      <c r="EO100" s="17"/>
      <c r="EP100" s="17"/>
      <c r="EQ100" s="17"/>
      <c r="ER100" s="17"/>
      <c r="ES100" s="17"/>
      <c r="ET100" s="17"/>
      <c r="EU100" s="17"/>
      <c r="EV100" s="17"/>
      <c r="EW100" s="17"/>
      <c r="EX100" s="17"/>
      <c r="EY100" s="17"/>
      <c r="EZ100" s="17"/>
      <c r="FA100" s="17"/>
      <c r="FB100" s="17"/>
      <c r="FC100" s="17"/>
      <c r="FD100" s="17"/>
      <c r="FE100" s="17"/>
      <c r="FF100" s="17"/>
      <c r="FG100" s="17"/>
      <c r="FH100" s="17"/>
      <c r="FI100" s="17"/>
      <c r="FJ100" s="17"/>
      <c r="FK100" s="17"/>
      <c r="FL100" s="17"/>
      <c r="FM100" s="17"/>
      <c r="FN100" s="17"/>
      <c r="FO100" s="17"/>
      <c r="FP100" s="17"/>
      <c r="FQ100" s="17"/>
      <c r="FR100" s="17"/>
      <c r="FS100" s="17"/>
      <c r="FT100" s="17"/>
      <c r="FU100" s="17"/>
      <c r="FV100" s="17"/>
      <c r="FW100" s="17"/>
      <c r="FX100" s="17"/>
      <c r="FY100" s="17"/>
      <c r="FZ100" s="17"/>
      <c r="GA100" s="17"/>
      <c r="GB100" s="17"/>
      <c r="GC100" s="17"/>
      <c r="GD100" s="17"/>
      <c r="GE100" s="17"/>
      <c r="GF100" s="17"/>
      <c r="GG100" s="17"/>
      <c r="GH100" s="17"/>
      <c r="GI100" s="17"/>
      <c r="GJ100" s="17"/>
      <c r="GK100" s="17"/>
      <c r="GL100" s="17"/>
      <c r="GM100" s="17"/>
      <c r="GN100" s="17"/>
      <c r="GO100" s="17"/>
      <c r="GP100" s="17"/>
      <c r="GQ100" s="17"/>
      <c r="GR100" s="17"/>
      <c r="GS100" s="17"/>
      <c r="GT100" s="17"/>
      <c r="GU100" s="17"/>
      <c r="GV100" s="17"/>
      <c r="GW100" s="17"/>
      <c r="GX100" s="17"/>
      <c r="GY100" s="17"/>
      <c r="GZ100" s="17"/>
      <c r="HA100" s="17"/>
      <c r="HB100" s="17"/>
      <c r="HC100" s="17"/>
      <c r="HD100" s="17"/>
      <c r="HE100" s="17"/>
      <c r="HF100" s="17"/>
      <c r="HG100" s="17"/>
      <c r="HH100" s="17"/>
      <c r="HI100" s="17"/>
      <c r="HJ100" s="17"/>
      <c r="HK100" s="17"/>
      <c r="HL100" s="17"/>
      <c r="HM100" s="17"/>
      <c r="HN100" s="17"/>
      <c r="HO100" s="17"/>
      <c r="HP100" s="17"/>
      <c r="HQ100" s="17"/>
      <c r="HR100" s="17"/>
      <c r="HS100" s="17"/>
      <c r="HT100" s="17"/>
      <c r="HU100" s="17"/>
      <c r="HV100" s="17"/>
      <c r="HW100" s="17"/>
      <c r="HX100" s="17"/>
      <c r="HY100" s="17"/>
      <c r="HZ100" s="17"/>
      <c r="IA100" s="17"/>
      <c r="IB100" s="17"/>
      <c r="IC100" s="17"/>
      <c r="ID100" s="17"/>
      <c r="IE100" s="17"/>
      <c r="IF100" s="17"/>
      <c r="IG100" s="17"/>
      <c r="IH100" s="17"/>
      <c r="II100" s="17"/>
      <c r="IJ100" s="17"/>
      <c r="IK100" s="17"/>
      <c r="IL100" s="17"/>
      <c r="IM100" s="17"/>
      <c r="IN100" s="17"/>
      <c r="IO100" s="17"/>
      <c r="IP100" s="17"/>
      <c r="IQ100" s="17"/>
      <c r="IR100" s="17"/>
      <c r="IS100" s="17"/>
      <c r="IT100" s="17"/>
      <c r="IU100" s="17"/>
      <c r="IV100" s="17"/>
      <c r="IW100" s="17"/>
      <c r="IX100" s="17"/>
      <c r="IY100" s="17"/>
      <c r="IZ100" s="17"/>
      <c r="JA100" s="17"/>
      <c r="JB100" s="17"/>
      <c r="JC100" s="17"/>
      <c r="JD100" s="17"/>
      <c r="JE100" s="17"/>
      <c r="JF100" s="17"/>
      <c r="JG100" s="17"/>
      <c r="JH100" s="17"/>
      <c r="JI100" s="17"/>
      <c r="JJ100" s="17"/>
      <c r="JK100" s="17"/>
      <c r="JL100" s="17"/>
      <c r="JM100" s="17"/>
      <c r="JN100" s="17"/>
      <c r="JO100" s="17"/>
      <c r="JP100" s="17"/>
      <c r="JQ100" s="17"/>
      <c r="JR100" s="17"/>
      <c r="JS100" s="17"/>
      <c r="JT100" s="17"/>
      <c r="JU100" s="17"/>
      <c r="JV100" s="17"/>
      <c r="JW100" s="17"/>
      <c r="JX100" s="17"/>
      <c r="JY100" s="17"/>
      <c r="JZ100" s="17"/>
      <c r="KA100" s="17"/>
      <c r="KB100" s="17"/>
      <c r="KC100" s="17"/>
      <c r="KD100" s="17"/>
      <c r="KE100" s="17"/>
      <c r="KF100" s="17"/>
      <c r="KG100" s="17"/>
      <c r="KH100" s="17"/>
      <c r="KI100" s="17"/>
      <c r="KJ100" s="17"/>
      <c r="KK100" s="17"/>
      <c r="KL100" s="17"/>
      <c r="KM100" s="17"/>
      <c r="KN100" s="17"/>
      <c r="KO100" s="17"/>
      <c r="KP100" s="17"/>
      <c r="KQ100" s="17"/>
      <c r="KR100" s="17"/>
      <c r="KS100" s="17"/>
      <c r="KT100" s="17"/>
      <c r="KU100" s="17"/>
      <c r="KV100" s="17"/>
      <c r="KW100" s="17"/>
      <c r="KX100" s="17"/>
      <c r="KY100" s="17"/>
    </row>
    <row r="101" spans="1:311" x14ac:dyDescent="0.25">
      <c r="A101" s="17"/>
      <c r="B101" s="17"/>
      <c r="C101" s="17"/>
      <c r="D101" s="17"/>
      <c r="E101" s="17"/>
      <c r="F101" s="17"/>
      <c r="G101" s="17"/>
      <c r="H101" s="17"/>
      <c r="I101" s="17"/>
      <c r="J101" s="17"/>
      <c r="K101" s="17"/>
      <c r="L101" s="17"/>
      <c r="M101" s="17"/>
      <c r="N101" s="17"/>
      <c r="O101" s="17"/>
      <c r="P101" s="17"/>
      <c r="Q101" s="17"/>
      <c r="R101" s="17"/>
      <c r="S101" s="17"/>
      <c r="T101" s="17"/>
      <c r="U101" s="17"/>
      <c r="V101" s="17"/>
      <c r="W101" s="17"/>
      <c r="X101" s="17"/>
      <c r="Y101" s="17"/>
      <c r="Z101" s="17"/>
      <c r="AA101" s="17"/>
      <c r="AB101" s="17"/>
      <c r="AC101" s="17"/>
      <c r="AD101" s="17"/>
      <c r="AE101" s="17"/>
      <c r="AF101" s="17"/>
      <c r="AG101" s="17"/>
      <c r="AH101" s="17"/>
      <c r="AI101" s="17"/>
      <c r="AJ101" s="17"/>
      <c r="AK101" s="17"/>
      <c r="AL101" s="17"/>
      <c r="AM101" s="17"/>
      <c r="AN101" s="17"/>
      <c r="AO101" s="17"/>
      <c r="AP101" s="17"/>
      <c r="AQ101" s="17"/>
      <c r="AR101" s="17"/>
      <c r="AS101" s="17"/>
      <c r="AT101" s="17"/>
      <c r="AU101" s="17"/>
      <c r="AV101" s="17"/>
      <c r="AW101" s="17"/>
      <c r="AX101" s="17"/>
      <c r="AY101" s="17"/>
      <c r="AZ101" s="17"/>
      <c r="BA101" s="17"/>
      <c r="BB101" s="17"/>
      <c r="BC101" s="17"/>
      <c r="BD101" s="17"/>
      <c r="BE101" s="17"/>
      <c r="BF101" s="17"/>
      <c r="BG101" s="17"/>
      <c r="BH101" s="17"/>
      <c r="BI101" s="17"/>
      <c r="BJ101" s="17"/>
      <c r="BK101" s="17"/>
      <c r="BL101" s="17"/>
      <c r="BM101" s="17"/>
      <c r="BN101" s="17"/>
      <c r="BO101" s="17"/>
      <c r="BP101" s="17"/>
      <c r="BQ101" s="17"/>
      <c r="BR101" s="17"/>
      <c r="BS101" s="17"/>
      <c r="BT101" s="17"/>
      <c r="BU101" s="17"/>
      <c r="BV101" s="17"/>
      <c r="BW101" s="17"/>
      <c r="BX101" s="17"/>
      <c r="BY101" s="17"/>
      <c r="BZ101" s="17"/>
      <c r="CA101" s="17"/>
      <c r="CB101" s="17"/>
      <c r="CC101" s="17"/>
      <c r="CD101" s="17"/>
      <c r="CE101" s="17"/>
      <c r="CF101" s="17"/>
      <c r="CG101" s="17"/>
      <c r="CH101" s="17"/>
      <c r="CI101" s="17"/>
      <c r="CJ101" s="17"/>
      <c r="CK101" s="17"/>
      <c r="CL101" s="17"/>
      <c r="CM101" s="17"/>
      <c r="CN101" s="17"/>
      <c r="CO101" s="17"/>
      <c r="CP101" s="17"/>
      <c r="CQ101" s="17"/>
      <c r="CR101" s="17"/>
      <c r="CS101" s="17"/>
      <c r="CT101" s="17"/>
      <c r="CU101" s="17"/>
      <c r="CV101" s="17"/>
      <c r="CW101" s="17"/>
      <c r="CX101" s="17"/>
      <c r="CY101" s="17"/>
      <c r="CZ101" s="17"/>
      <c r="DA101" s="17"/>
      <c r="DB101" s="17"/>
      <c r="DC101" s="17"/>
      <c r="DD101" s="17"/>
      <c r="DE101" s="17"/>
      <c r="DF101" s="17"/>
      <c r="DG101" s="17"/>
      <c r="DH101" s="17"/>
      <c r="DI101" s="17"/>
      <c r="DJ101" s="17"/>
      <c r="DK101" s="17"/>
      <c r="DL101" s="17"/>
      <c r="DM101" s="17"/>
      <c r="DN101" s="17"/>
      <c r="DO101" s="17"/>
      <c r="DP101" s="17"/>
      <c r="DQ101" s="17"/>
      <c r="DR101" s="17"/>
      <c r="DS101" s="17"/>
      <c r="DT101" s="17"/>
      <c r="DU101" s="17"/>
      <c r="DV101" s="17"/>
      <c r="DW101" s="17"/>
      <c r="DX101" s="17"/>
      <c r="DY101" s="17"/>
      <c r="DZ101" s="17"/>
      <c r="EA101" s="17"/>
      <c r="EB101" s="17"/>
      <c r="EC101" s="17"/>
      <c r="ED101" s="17"/>
      <c r="EE101" s="17"/>
      <c r="EF101" s="17"/>
      <c r="EG101" s="17"/>
      <c r="EH101" s="17"/>
      <c r="EI101" s="17"/>
      <c r="EJ101" s="17"/>
      <c r="EK101" s="17"/>
      <c r="EL101" s="17"/>
      <c r="EM101" s="17"/>
      <c r="EN101" s="17"/>
      <c r="EO101" s="17"/>
      <c r="EP101" s="17"/>
      <c r="EQ101" s="17"/>
      <c r="ER101" s="17"/>
      <c r="ES101" s="17"/>
      <c r="ET101" s="17"/>
      <c r="EU101" s="17"/>
      <c r="EV101" s="17"/>
      <c r="EW101" s="17"/>
      <c r="EX101" s="17"/>
      <c r="EY101" s="17"/>
      <c r="EZ101" s="17"/>
      <c r="FA101" s="17"/>
      <c r="FB101" s="17"/>
      <c r="FC101" s="17"/>
      <c r="FD101" s="17"/>
      <c r="FE101" s="17"/>
      <c r="FF101" s="17"/>
      <c r="FG101" s="17"/>
      <c r="FH101" s="17"/>
      <c r="FI101" s="17"/>
      <c r="FJ101" s="17"/>
      <c r="FK101" s="17"/>
      <c r="FL101" s="17"/>
      <c r="FM101" s="17"/>
      <c r="FN101" s="17"/>
      <c r="FO101" s="17"/>
      <c r="FP101" s="17"/>
      <c r="FQ101" s="17"/>
      <c r="FR101" s="17"/>
      <c r="FS101" s="17"/>
      <c r="FT101" s="17"/>
      <c r="FU101" s="17"/>
      <c r="FV101" s="17"/>
      <c r="FW101" s="17"/>
      <c r="FX101" s="17"/>
      <c r="FY101" s="17"/>
      <c r="FZ101" s="17"/>
      <c r="GA101" s="17"/>
      <c r="GB101" s="17"/>
      <c r="GC101" s="17"/>
      <c r="GD101" s="17"/>
      <c r="GE101" s="17"/>
      <c r="GF101" s="17"/>
      <c r="GG101" s="17"/>
      <c r="GH101" s="17"/>
      <c r="GI101" s="17"/>
      <c r="GJ101" s="17"/>
      <c r="GK101" s="17"/>
      <c r="GL101" s="17"/>
      <c r="GM101" s="17"/>
      <c r="GN101" s="17"/>
      <c r="GO101" s="17"/>
      <c r="GP101" s="17"/>
      <c r="GQ101" s="17"/>
      <c r="GR101" s="17"/>
      <c r="GS101" s="17"/>
      <c r="GT101" s="17"/>
      <c r="GU101" s="17"/>
      <c r="GV101" s="17"/>
      <c r="GW101" s="17"/>
      <c r="GX101" s="17"/>
      <c r="GY101" s="17"/>
      <c r="GZ101" s="17"/>
      <c r="HA101" s="17"/>
      <c r="HB101" s="17"/>
      <c r="HC101" s="17"/>
      <c r="HD101" s="17"/>
      <c r="HE101" s="17"/>
      <c r="HF101" s="17"/>
      <c r="HG101" s="17"/>
      <c r="HH101" s="17"/>
      <c r="HI101" s="17"/>
      <c r="HJ101" s="17"/>
      <c r="HK101" s="17"/>
      <c r="HL101" s="17"/>
      <c r="HM101" s="17"/>
      <c r="HN101" s="17"/>
      <c r="HO101" s="17"/>
      <c r="HP101" s="17"/>
      <c r="HQ101" s="17"/>
      <c r="HR101" s="17"/>
      <c r="HS101" s="17"/>
      <c r="HT101" s="17"/>
      <c r="HU101" s="17"/>
      <c r="HV101" s="17"/>
      <c r="HW101" s="17"/>
      <c r="HX101" s="17"/>
      <c r="HY101" s="17"/>
      <c r="HZ101" s="17"/>
      <c r="IA101" s="17"/>
      <c r="IB101" s="17"/>
      <c r="IC101" s="17"/>
      <c r="ID101" s="17"/>
      <c r="IE101" s="17"/>
      <c r="IF101" s="17"/>
      <c r="IG101" s="17"/>
      <c r="IH101" s="17"/>
      <c r="II101" s="17"/>
      <c r="IJ101" s="17"/>
      <c r="IK101" s="17"/>
      <c r="IL101" s="17"/>
      <c r="IM101" s="17"/>
      <c r="IN101" s="17"/>
      <c r="IO101" s="17"/>
      <c r="IP101" s="17"/>
      <c r="IQ101" s="17"/>
      <c r="IR101" s="17"/>
      <c r="IS101" s="17"/>
      <c r="IT101" s="17"/>
      <c r="IU101" s="17"/>
      <c r="IV101" s="17"/>
      <c r="IW101" s="17"/>
      <c r="IX101" s="17"/>
      <c r="IY101" s="17"/>
      <c r="IZ101" s="17"/>
      <c r="JA101" s="17"/>
      <c r="JB101" s="17"/>
      <c r="JC101" s="17"/>
      <c r="JD101" s="17"/>
      <c r="JE101" s="17"/>
      <c r="JF101" s="17"/>
      <c r="JG101" s="17"/>
      <c r="JH101" s="17"/>
      <c r="JI101" s="17"/>
      <c r="JJ101" s="17"/>
      <c r="JK101" s="17"/>
      <c r="JL101" s="17"/>
      <c r="JM101" s="17"/>
      <c r="JN101" s="17"/>
      <c r="JO101" s="17"/>
      <c r="JP101" s="17"/>
      <c r="JQ101" s="17"/>
      <c r="JR101" s="17"/>
      <c r="JS101" s="17"/>
      <c r="JT101" s="17"/>
      <c r="JU101" s="17"/>
      <c r="JV101" s="17"/>
      <c r="JW101" s="17"/>
      <c r="JX101" s="17"/>
      <c r="JY101" s="17"/>
      <c r="JZ101" s="17"/>
      <c r="KA101" s="17"/>
      <c r="KB101" s="17"/>
      <c r="KC101" s="17"/>
      <c r="KD101" s="17"/>
      <c r="KE101" s="17"/>
      <c r="KF101" s="17"/>
      <c r="KG101" s="17"/>
      <c r="KH101" s="17"/>
      <c r="KI101" s="17"/>
      <c r="KJ101" s="17"/>
      <c r="KK101" s="17"/>
      <c r="KL101" s="17"/>
      <c r="KM101" s="17"/>
      <c r="KN101" s="17"/>
      <c r="KO101" s="17"/>
      <c r="KP101" s="17"/>
      <c r="KQ101" s="17"/>
      <c r="KR101" s="17"/>
      <c r="KS101" s="17"/>
      <c r="KT101" s="17"/>
      <c r="KU101" s="17"/>
      <c r="KV101" s="17"/>
      <c r="KW101" s="17"/>
      <c r="KX101" s="17"/>
      <c r="KY101" s="17"/>
    </row>
    <row r="102" spans="1:311" x14ac:dyDescent="0.25">
      <c r="A102" s="17"/>
      <c r="B102" s="17"/>
      <c r="C102" s="17"/>
      <c r="D102" s="17"/>
      <c r="E102" s="17"/>
      <c r="F102" s="17"/>
      <c r="G102" s="17"/>
      <c r="H102" s="17"/>
      <c r="I102" s="17"/>
      <c r="J102" s="17"/>
      <c r="K102" s="17"/>
      <c r="L102" s="17"/>
      <c r="M102" s="17"/>
      <c r="N102" s="17"/>
      <c r="O102" s="17"/>
      <c r="P102" s="17"/>
      <c r="Q102" s="17"/>
      <c r="R102" s="17"/>
      <c r="S102" s="17"/>
      <c r="T102" s="17"/>
      <c r="U102" s="17"/>
      <c r="V102" s="17"/>
      <c r="W102" s="17"/>
      <c r="X102" s="17"/>
      <c r="Y102" s="17"/>
      <c r="Z102" s="17"/>
      <c r="AA102" s="17"/>
      <c r="AB102" s="17"/>
      <c r="AC102" s="17"/>
      <c r="AD102" s="17"/>
      <c r="AE102" s="17"/>
      <c r="AF102" s="17"/>
      <c r="AG102" s="17"/>
      <c r="AH102" s="17"/>
      <c r="AI102" s="17"/>
      <c r="AJ102" s="17"/>
      <c r="AK102" s="17"/>
      <c r="AL102" s="17"/>
      <c r="AM102" s="17"/>
      <c r="AN102" s="17"/>
      <c r="AO102" s="17"/>
      <c r="AP102" s="17"/>
      <c r="AQ102" s="17"/>
      <c r="AR102" s="17"/>
      <c r="AS102" s="17"/>
      <c r="AT102" s="17"/>
      <c r="AU102" s="17"/>
      <c r="AV102" s="17"/>
      <c r="AW102" s="17"/>
      <c r="AX102" s="17"/>
      <c r="AY102" s="17"/>
      <c r="AZ102" s="17"/>
      <c r="BA102" s="17"/>
      <c r="BB102" s="17"/>
      <c r="BC102" s="17"/>
      <c r="BD102" s="17"/>
      <c r="BE102" s="17"/>
      <c r="BF102" s="17"/>
      <c r="BG102" s="17"/>
      <c r="BH102" s="17"/>
      <c r="BI102" s="17"/>
      <c r="BJ102" s="17"/>
      <c r="BK102" s="17"/>
      <c r="BL102" s="17"/>
      <c r="BM102" s="17"/>
      <c r="BN102" s="17"/>
      <c r="BO102" s="17"/>
      <c r="BP102" s="17"/>
      <c r="BQ102" s="17"/>
      <c r="BR102" s="17"/>
      <c r="BS102" s="17"/>
      <c r="BT102" s="17"/>
      <c r="BU102" s="17"/>
      <c r="BV102" s="17"/>
      <c r="BW102" s="17"/>
      <c r="BX102" s="17"/>
      <c r="BY102" s="17"/>
      <c r="BZ102" s="17"/>
      <c r="CA102" s="17"/>
      <c r="CB102" s="17"/>
      <c r="CC102" s="17"/>
      <c r="CD102" s="17"/>
      <c r="CE102" s="17"/>
      <c r="CF102" s="17"/>
      <c r="CG102" s="17"/>
      <c r="CH102" s="17"/>
      <c r="CI102" s="17"/>
      <c r="CJ102" s="17"/>
      <c r="CK102" s="17"/>
      <c r="CL102" s="17"/>
      <c r="CM102" s="17"/>
      <c r="CN102" s="17"/>
      <c r="CO102" s="17"/>
      <c r="CP102" s="17"/>
      <c r="CQ102" s="17"/>
      <c r="CR102" s="17"/>
      <c r="CS102" s="17"/>
      <c r="CT102" s="17"/>
      <c r="CU102" s="17"/>
      <c r="CV102" s="17"/>
      <c r="CW102" s="17"/>
      <c r="CX102" s="17"/>
      <c r="CY102" s="17"/>
      <c r="CZ102" s="17"/>
      <c r="DA102" s="17"/>
      <c r="DB102" s="17"/>
      <c r="DC102" s="17"/>
      <c r="DD102" s="17"/>
      <c r="DE102" s="17"/>
      <c r="DF102" s="17"/>
      <c r="DG102" s="17"/>
      <c r="DH102" s="17"/>
      <c r="DI102" s="17"/>
      <c r="DJ102" s="17"/>
      <c r="DK102" s="17"/>
      <c r="DL102" s="17"/>
      <c r="DM102" s="17"/>
      <c r="DN102" s="17"/>
      <c r="DO102" s="17"/>
      <c r="DP102" s="17"/>
      <c r="DQ102" s="17"/>
      <c r="DR102" s="17"/>
      <c r="DS102" s="17"/>
      <c r="DT102" s="17"/>
      <c r="DU102" s="17"/>
      <c r="DV102" s="17"/>
      <c r="DW102" s="17"/>
      <c r="DX102" s="17"/>
      <c r="DY102" s="17"/>
      <c r="DZ102" s="17"/>
      <c r="EA102" s="17"/>
      <c r="EB102" s="17"/>
      <c r="EC102" s="17"/>
      <c r="ED102" s="17"/>
      <c r="EE102" s="17"/>
      <c r="EF102" s="17"/>
      <c r="EG102" s="17"/>
      <c r="EH102" s="17"/>
      <c r="EI102" s="17"/>
      <c r="EJ102" s="17"/>
      <c r="EK102" s="17"/>
      <c r="EL102" s="17"/>
      <c r="EM102" s="17"/>
      <c r="EN102" s="17"/>
      <c r="EO102" s="17"/>
      <c r="EP102" s="17"/>
      <c r="EQ102" s="17"/>
      <c r="ER102" s="17"/>
      <c r="ES102" s="17"/>
      <c r="ET102" s="17"/>
      <c r="EU102" s="17"/>
      <c r="EV102" s="17"/>
      <c r="EW102" s="17"/>
      <c r="EX102" s="17"/>
      <c r="EY102" s="17"/>
      <c r="EZ102" s="17"/>
      <c r="FA102" s="17"/>
      <c r="FB102" s="17"/>
      <c r="FC102" s="17"/>
      <c r="FD102" s="17"/>
      <c r="FE102" s="17"/>
      <c r="FF102" s="17"/>
      <c r="FG102" s="17"/>
      <c r="FH102" s="17"/>
      <c r="FI102" s="17"/>
      <c r="FJ102" s="17"/>
      <c r="FK102" s="17"/>
      <c r="FL102" s="17"/>
      <c r="FM102" s="17"/>
      <c r="FN102" s="17"/>
      <c r="FO102" s="17"/>
      <c r="FP102" s="17"/>
      <c r="FQ102" s="17"/>
      <c r="FR102" s="17"/>
      <c r="FS102" s="17"/>
      <c r="FT102" s="17"/>
      <c r="FU102" s="17"/>
      <c r="FV102" s="17"/>
      <c r="FW102" s="17"/>
      <c r="FX102" s="17"/>
      <c r="FY102" s="17"/>
      <c r="FZ102" s="17"/>
      <c r="GA102" s="17"/>
      <c r="GB102" s="17"/>
      <c r="GC102" s="17"/>
      <c r="GD102" s="17"/>
      <c r="GE102" s="17"/>
      <c r="GF102" s="17"/>
      <c r="GG102" s="17"/>
      <c r="GH102" s="17"/>
      <c r="GI102" s="17"/>
      <c r="GJ102" s="17"/>
      <c r="GK102" s="17"/>
      <c r="GL102" s="17"/>
      <c r="GM102" s="17"/>
      <c r="GN102" s="17"/>
      <c r="GO102" s="17"/>
      <c r="GP102" s="17"/>
      <c r="GQ102" s="17"/>
      <c r="GR102" s="17"/>
      <c r="GS102" s="17"/>
      <c r="GT102" s="17"/>
      <c r="GU102" s="17"/>
      <c r="GV102" s="17"/>
      <c r="GW102" s="17"/>
      <c r="GX102" s="17"/>
      <c r="GY102" s="17"/>
      <c r="GZ102" s="17"/>
      <c r="HA102" s="17"/>
      <c r="HB102" s="17"/>
      <c r="HC102" s="17"/>
      <c r="HD102" s="17"/>
      <c r="HE102" s="17"/>
      <c r="HF102" s="17"/>
      <c r="HG102" s="17"/>
      <c r="HH102" s="17"/>
      <c r="HI102" s="17"/>
      <c r="HJ102" s="17"/>
      <c r="HK102" s="17"/>
      <c r="HL102" s="17"/>
      <c r="HM102" s="17"/>
      <c r="HN102" s="17"/>
      <c r="HO102" s="17"/>
      <c r="HP102" s="17"/>
      <c r="HQ102" s="17"/>
      <c r="HR102" s="17"/>
      <c r="HS102" s="17"/>
      <c r="HT102" s="17"/>
      <c r="HU102" s="17"/>
      <c r="HV102" s="17"/>
      <c r="HW102" s="17"/>
      <c r="HX102" s="17"/>
      <c r="HY102" s="17"/>
      <c r="HZ102" s="17"/>
      <c r="IA102" s="17"/>
      <c r="IB102" s="17"/>
      <c r="IC102" s="17"/>
      <c r="ID102" s="17"/>
      <c r="IE102" s="17"/>
      <c r="IF102" s="17"/>
      <c r="IG102" s="17"/>
      <c r="IH102" s="17"/>
      <c r="II102" s="17"/>
      <c r="IJ102" s="17"/>
      <c r="IK102" s="17"/>
      <c r="IL102" s="17"/>
      <c r="IM102" s="17"/>
      <c r="IN102" s="17"/>
      <c r="IO102" s="17"/>
      <c r="IP102" s="17"/>
      <c r="IQ102" s="17"/>
      <c r="IR102" s="17"/>
      <c r="IS102" s="17"/>
      <c r="IT102" s="17"/>
      <c r="IU102" s="17"/>
      <c r="IV102" s="17"/>
      <c r="IW102" s="17"/>
      <c r="IX102" s="17"/>
      <c r="IY102" s="17"/>
      <c r="IZ102" s="17"/>
      <c r="JA102" s="17"/>
      <c r="JB102" s="17"/>
      <c r="JC102" s="17"/>
      <c r="JD102" s="17"/>
      <c r="JE102" s="17"/>
      <c r="JF102" s="17"/>
      <c r="JG102" s="17"/>
      <c r="JH102" s="17"/>
      <c r="JI102" s="17"/>
      <c r="JJ102" s="17"/>
      <c r="JK102" s="17"/>
      <c r="JL102" s="17"/>
      <c r="JM102" s="17"/>
      <c r="JN102" s="17"/>
      <c r="JO102" s="17"/>
      <c r="JP102" s="17"/>
      <c r="JQ102" s="17"/>
      <c r="JR102" s="17"/>
      <c r="JS102" s="17"/>
      <c r="JT102" s="17"/>
      <c r="JU102" s="17"/>
      <c r="JV102" s="17"/>
      <c r="JW102" s="17"/>
      <c r="JX102" s="17"/>
      <c r="JY102" s="17"/>
      <c r="JZ102" s="17"/>
      <c r="KA102" s="17"/>
      <c r="KB102" s="17"/>
      <c r="KC102" s="17"/>
      <c r="KD102" s="17"/>
      <c r="KE102" s="17"/>
      <c r="KF102" s="17"/>
      <c r="KG102" s="17"/>
      <c r="KH102" s="17"/>
      <c r="KI102" s="17"/>
      <c r="KJ102" s="17"/>
      <c r="KK102" s="17"/>
      <c r="KL102" s="17"/>
      <c r="KM102" s="17"/>
      <c r="KN102" s="17"/>
      <c r="KO102" s="17"/>
      <c r="KP102" s="17"/>
      <c r="KQ102" s="17"/>
      <c r="KR102" s="17"/>
      <c r="KS102" s="17"/>
      <c r="KT102" s="17"/>
      <c r="KU102" s="17"/>
      <c r="KV102" s="17"/>
      <c r="KW102" s="17"/>
      <c r="KX102" s="17"/>
      <c r="KY102" s="17"/>
    </row>
    <row r="103" spans="1:311" x14ac:dyDescent="0.25">
      <c r="A103" s="17"/>
      <c r="B103" s="17"/>
      <c r="C103" s="17"/>
      <c r="D103" s="17"/>
      <c r="E103" s="17"/>
      <c r="F103" s="17"/>
      <c r="G103" s="17"/>
      <c r="H103" s="17"/>
      <c r="I103" s="17"/>
      <c r="J103" s="17"/>
      <c r="K103" s="17"/>
      <c r="L103" s="17"/>
      <c r="M103" s="17"/>
      <c r="N103" s="17"/>
      <c r="O103" s="17"/>
      <c r="P103" s="17"/>
      <c r="Q103" s="17"/>
      <c r="R103" s="17"/>
      <c r="S103" s="17"/>
      <c r="T103" s="17"/>
      <c r="U103" s="17"/>
      <c r="V103" s="17"/>
      <c r="W103" s="17"/>
      <c r="X103" s="17"/>
      <c r="Y103" s="17"/>
      <c r="Z103" s="17"/>
      <c r="AA103" s="17"/>
      <c r="AB103" s="17"/>
      <c r="AC103" s="17"/>
      <c r="AD103" s="17"/>
      <c r="AE103" s="17"/>
      <c r="AF103" s="17"/>
      <c r="AG103" s="17"/>
      <c r="AH103" s="17"/>
      <c r="AI103" s="17"/>
      <c r="AJ103" s="17"/>
      <c r="AK103" s="17"/>
      <c r="AL103" s="17"/>
      <c r="AM103" s="17"/>
      <c r="AN103" s="17"/>
      <c r="AO103" s="17"/>
      <c r="AP103" s="17"/>
      <c r="AQ103" s="17"/>
      <c r="AR103" s="17"/>
      <c r="AS103" s="17"/>
      <c r="AT103" s="17"/>
      <c r="AU103" s="17"/>
      <c r="AV103" s="17"/>
      <c r="AW103" s="17"/>
      <c r="AX103" s="17"/>
      <c r="AY103" s="17"/>
      <c r="AZ103" s="17"/>
      <c r="BA103" s="17"/>
      <c r="BB103" s="17"/>
      <c r="BC103" s="17"/>
      <c r="BD103" s="17"/>
      <c r="BE103" s="17"/>
      <c r="BF103" s="17"/>
      <c r="BG103" s="17"/>
      <c r="BH103" s="17"/>
      <c r="BI103" s="17"/>
      <c r="BJ103" s="17"/>
      <c r="BK103" s="17"/>
      <c r="BL103" s="17"/>
      <c r="BM103" s="17"/>
      <c r="BN103" s="17"/>
      <c r="BO103" s="17"/>
      <c r="BP103" s="17"/>
      <c r="BQ103" s="17"/>
      <c r="BR103" s="17"/>
      <c r="BS103" s="17"/>
      <c r="BT103" s="17"/>
      <c r="BU103" s="17"/>
      <c r="BV103" s="17"/>
      <c r="BW103" s="17"/>
      <c r="BX103" s="17"/>
      <c r="BY103" s="17"/>
      <c r="BZ103" s="17"/>
      <c r="CA103" s="17"/>
      <c r="CB103" s="17"/>
      <c r="CC103" s="17"/>
      <c r="CD103" s="17"/>
      <c r="CE103" s="17"/>
      <c r="CF103" s="17"/>
      <c r="CG103" s="17"/>
      <c r="CH103" s="17"/>
      <c r="CI103" s="17"/>
      <c r="CJ103" s="17"/>
      <c r="CK103" s="17"/>
      <c r="CL103" s="17"/>
      <c r="CM103" s="17"/>
      <c r="CN103" s="17"/>
      <c r="CO103" s="17"/>
      <c r="CP103" s="17"/>
      <c r="CQ103" s="17"/>
      <c r="CR103" s="17"/>
      <c r="CS103" s="17"/>
      <c r="CT103" s="17"/>
      <c r="CU103" s="17"/>
      <c r="CV103" s="17"/>
      <c r="CW103" s="17"/>
      <c r="CX103" s="17"/>
      <c r="CY103" s="17"/>
      <c r="CZ103" s="17"/>
      <c r="DA103" s="17"/>
      <c r="DB103" s="17"/>
      <c r="DC103" s="17"/>
      <c r="DD103" s="17"/>
      <c r="DE103" s="17"/>
      <c r="DF103" s="17"/>
      <c r="DG103" s="17"/>
      <c r="DH103" s="17"/>
      <c r="DI103" s="17"/>
      <c r="DJ103" s="17"/>
      <c r="DK103" s="17"/>
      <c r="DL103" s="17"/>
      <c r="DM103" s="17"/>
      <c r="DN103" s="17"/>
      <c r="DO103" s="17"/>
      <c r="DP103" s="17"/>
      <c r="DQ103" s="17"/>
      <c r="DR103" s="17"/>
      <c r="DS103" s="17"/>
      <c r="DT103" s="17"/>
      <c r="DU103" s="17"/>
      <c r="DV103" s="17"/>
      <c r="DW103" s="17"/>
      <c r="DX103" s="17"/>
      <c r="DY103" s="17"/>
      <c r="DZ103" s="17"/>
      <c r="EA103" s="17"/>
      <c r="EB103" s="17"/>
      <c r="EC103" s="17"/>
      <c r="ED103" s="17"/>
      <c r="EE103" s="17"/>
      <c r="EF103" s="17"/>
      <c r="EG103" s="17"/>
      <c r="EH103" s="17"/>
      <c r="EI103" s="17"/>
      <c r="EJ103" s="17"/>
      <c r="EK103" s="17"/>
      <c r="EL103" s="17"/>
      <c r="EM103" s="17"/>
      <c r="EN103" s="17"/>
      <c r="EO103" s="17"/>
      <c r="EP103" s="17"/>
      <c r="EQ103" s="17"/>
      <c r="ER103" s="17"/>
      <c r="ES103" s="17"/>
      <c r="ET103" s="17"/>
      <c r="EU103" s="17"/>
      <c r="EV103" s="17"/>
      <c r="EW103" s="17"/>
      <c r="EX103" s="17"/>
      <c r="EY103" s="17"/>
      <c r="EZ103" s="17"/>
      <c r="FA103" s="17"/>
      <c r="FB103" s="17"/>
      <c r="FC103" s="17"/>
      <c r="FD103" s="17"/>
      <c r="FE103" s="17"/>
      <c r="FF103" s="17"/>
      <c r="FG103" s="17"/>
      <c r="FH103" s="17"/>
      <c r="FI103" s="17"/>
      <c r="FJ103" s="17"/>
      <c r="FK103" s="17"/>
      <c r="FL103" s="17"/>
      <c r="FM103" s="17"/>
      <c r="FN103" s="17"/>
      <c r="FO103" s="17"/>
      <c r="FP103" s="17"/>
      <c r="FQ103" s="17"/>
      <c r="FR103" s="17"/>
      <c r="FS103" s="17"/>
      <c r="FT103" s="17"/>
      <c r="FU103" s="17"/>
      <c r="FV103" s="17"/>
      <c r="FW103" s="17"/>
      <c r="FX103" s="17"/>
      <c r="FY103" s="17"/>
      <c r="FZ103" s="17"/>
      <c r="GA103" s="17"/>
      <c r="GB103" s="17"/>
      <c r="GC103" s="17"/>
      <c r="GD103" s="17"/>
      <c r="GE103" s="17"/>
      <c r="GF103" s="17"/>
      <c r="GG103" s="17"/>
      <c r="GH103" s="17"/>
      <c r="GI103" s="17"/>
      <c r="GJ103" s="17"/>
      <c r="GK103" s="17"/>
      <c r="GL103" s="17"/>
      <c r="GM103" s="17"/>
      <c r="GN103" s="17"/>
      <c r="GO103" s="17"/>
      <c r="GP103" s="17"/>
      <c r="GQ103" s="17"/>
      <c r="GR103" s="17"/>
      <c r="GS103" s="17"/>
      <c r="GT103" s="17"/>
      <c r="GU103" s="17"/>
      <c r="GV103" s="17"/>
      <c r="GW103" s="17"/>
      <c r="GX103" s="17"/>
      <c r="GY103" s="17"/>
      <c r="GZ103" s="17"/>
      <c r="HA103" s="17"/>
      <c r="HB103" s="17"/>
      <c r="HC103" s="17"/>
      <c r="HD103" s="17"/>
      <c r="HE103" s="17"/>
      <c r="HF103" s="17"/>
      <c r="HG103" s="17"/>
      <c r="HH103" s="17"/>
      <c r="HI103" s="17"/>
      <c r="HJ103" s="17"/>
      <c r="HK103" s="17"/>
      <c r="HL103" s="17"/>
      <c r="HM103" s="17"/>
      <c r="HN103" s="17"/>
      <c r="HO103" s="17"/>
      <c r="HP103" s="17"/>
      <c r="HQ103" s="17"/>
      <c r="HR103" s="17"/>
      <c r="HS103" s="17"/>
      <c r="HT103" s="17"/>
      <c r="HU103" s="17"/>
      <c r="HV103" s="17"/>
      <c r="HW103" s="17"/>
      <c r="HX103" s="17"/>
      <c r="HY103" s="17"/>
      <c r="HZ103" s="17"/>
      <c r="IA103" s="17"/>
      <c r="IB103" s="17"/>
      <c r="IC103" s="17"/>
      <c r="ID103" s="17"/>
      <c r="IE103" s="17"/>
      <c r="IF103" s="17"/>
      <c r="IG103" s="17"/>
      <c r="IH103" s="17"/>
      <c r="II103" s="17"/>
      <c r="IJ103" s="17"/>
      <c r="IK103" s="17"/>
      <c r="IL103" s="17"/>
      <c r="IM103" s="17"/>
      <c r="IN103" s="17"/>
      <c r="IO103" s="17"/>
      <c r="IP103" s="17"/>
      <c r="IQ103" s="17"/>
      <c r="IR103" s="17"/>
      <c r="IS103" s="17"/>
      <c r="IT103" s="17"/>
      <c r="IU103" s="17"/>
      <c r="IV103" s="17"/>
      <c r="IW103" s="17"/>
      <c r="IX103" s="17"/>
      <c r="IY103" s="17"/>
      <c r="IZ103" s="17"/>
      <c r="JA103" s="17"/>
      <c r="JB103" s="17"/>
      <c r="JC103" s="17"/>
      <c r="JD103" s="17"/>
      <c r="JE103" s="17"/>
      <c r="JF103" s="17"/>
      <c r="JG103" s="17"/>
      <c r="JH103" s="17"/>
      <c r="JI103" s="17"/>
      <c r="JJ103" s="17"/>
      <c r="JK103" s="17"/>
      <c r="JL103" s="17"/>
      <c r="JM103" s="17"/>
      <c r="JN103" s="17"/>
      <c r="JO103" s="17"/>
      <c r="JP103" s="17"/>
      <c r="JQ103" s="17"/>
      <c r="JR103" s="17"/>
      <c r="JS103" s="17"/>
      <c r="JT103" s="17"/>
      <c r="JU103" s="17"/>
      <c r="JV103" s="17"/>
      <c r="JW103" s="17"/>
      <c r="JX103" s="17"/>
      <c r="JY103" s="17"/>
      <c r="JZ103" s="17"/>
      <c r="KA103" s="17"/>
      <c r="KB103" s="17"/>
      <c r="KC103" s="17"/>
      <c r="KD103" s="17"/>
      <c r="KE103" s="17"/>
      <c r="KF103" s="17"/>
      <c r="KG103" s="17"/>
      <c r="KH103" s="17"/>
      <c r="KI103" s="17"/>
      <c r="KJ103" s="17"/>
      <c r="KK103" s="17"/>
      <c r="KL103" s="17"/>
      <c r="KM103" s="17"/>
      <c r="KN103" s="17"/>
      <c r="KO103" s="17"/>
      <c r="KP103" s="17"/>
      <c r="KQ103" s="17"/>
      <c r="KR103" s="17"/>
      <c r="KS103" s="17"/>
      <c r="KT103" s="17"/>
      <c r="KU103" s="17"/>
      <c r="KV103" s="17"/>
      <c r="KW103" s="17"/>
      <c r="KX103" s="17"/>
      <c r="KY103" s="17"/>
    </row>
    <row r="104" spans="1:311" x14ac:dyDescent="0.25">
      <c r="A104" s="17"/>
      <c r="B104" s="17"/>
      <c r="C104" s="17"/>
      <c r="D104" s="17"/>
      <c r="E104" s="17"/>
      <c r="F104" s="17"/>
      <c r="G104" s="17"/>
      <c r="H104" s="17"/>
      <c r="I104" s="17"/>
      <c r="J104" s="17"/>
      <c r="K104" s="17"/>
      <c r="L104" s="17"/>
      <c r="M104" s="17"/>
      <c r="N104" s="17"/>
      <c r="O104" s="17"/>
      <c r="P104" s="17"/>
      <c r="Q104" s="17"/>
      <c r="R104" s="17"/>
      <c r="S104" s="17"/>
      <c r="T104" s="17"/>
      <c r="U104" s="17"/>
      <c r="V104" s="17"/>
      <c r="W104" s="17"/>
      <c r="X104" s="17"/>
      <c r="Y104" s="17"/>
      <c r="Z104" s="17"/>
      <c r="AA104" s="17"/>
      <c r="AB104" s="17"/>
      <c r="AC104" s="17"/>
      <c r="AD104" s="17"/>
      <c r="AE104" s="17"/>
      <c r="AF104" s="17"/>
      <c r="AG104" s="17"/>
      <c r="AH104" s="17"/>
      <c r="AI104" s="17"/>
      <c r="AJ104" s="17"/>
      <c r="AK104" s="17"/>
      <c r="AL104" s="17"/>
      <c r="AM104" s="17"/>
      <c r="AN104" s="17"/>
      <c r="AO104" s="17"/>
      <c r="AP104" s="17"/>
      <c r="AQ104" s="17"/>
      <c r="AR104" s="17"/>
      <c r="AS104" s="17"/>
      <c r="AT104" s="17"/>
      <c r="AU104" s="17"/>
      <c r="AV104" s="17"/>
      <c r="AW104" s="17"/>
      <c r="AX104" s="17"/>
      <c r="AY104" s="17"/>
      <c r="AZ104" s="17"/>
      <c r="BA104" s="17"/>
      <c r="BB104" s="17"/>
      <c r="BC104" s="17"/>
      <c r="BD104" s="17"/>
      <c r="BE104" s="17"/>
      <c r="BF104" s="17"/>
      <c r="BG104" s="17"/>
      <c r="BH104" s="17"/>
      <c r="BI104" s="17"/>
      <c r="BJ104" s="17"/>
      <c r="BK104" s="17"/>
      <c r="BL104" s="17"/>
      <c r="BM104" s="17"/>
      <c r="BN104" s="17"/>
      <c r="BO104" s="17"/>
      <c r="BP104" s="17"/>
      <c r="BQ104" s="17"/>
      <c r="BR104" s="17"/>
      <c r="BS104" s="17"/>
      <c r="BT104" s="17"/>
      <c r="BU104" s="17"/>
      <c r="BV104" s="17"/>
      <c r="BW104" s="17"/>
      <c r="BX104" s="17"/>
      <c r="BY104" s="17"/>
      <c r="BZ104" s="17"/>
      <c r="CA104" s="17"/>
      <c r="CB104" s="17"/>
      <c r="CC104" s="17"/>
      <c r="CD104" s="17"/>
      <c r="CE104" s="17"/>
      <c r="CF104" s="17"/>
      <c r="CG104" s="17"/>
      <c r="CH104" s="17"/>
      <c r="CI104" s="17"/>
      <c r="CJ104" s="17"/>
      <c r="CK104" s="17"/>
      <c r="CL104" s="17"/>
      <c r="CM104" s="17"/>
      <c r="CN104" s="17"/>
      <c r="CO104" s="17"/>
      <c r="CP104" s="17"/>
      <c r="CQ104" s="17"/>
      <c r="CR104" s="17"/>
      <c r="CS104" s="17"/>
      <c r="CT104" s="17"/>
      <c r="CU104" s="17"/>
      <c r="CV104" s="17"/>
      <c r="CW104" s="17"/>
      <c r="CX104" s="17"/>
      <c r="CY104" s="17"/>
      <c r="CZ104" s="17"/>
      <c r="DA104" s="17"/>
      <c r="DB104" s="17"/>
      <c r="DC104" s="17"/>
      <c r="DD104" s="17"/>
      <c r="DE104" s="17"/>
      <c r="DF104" s="17"/>
      <c r="DG104" s="17"/>
      <c r="DH104" s="17"/>
      <c r="DI104" s="17"/>
      <c r="DJ104" s="17"/>
      <c r="DK104" s="17"/>
      <c r="DL104" s="17"/>
      <c r="DM104" s="17"/>
      <c r="DN104" s="17"/>
      <c r="DO104" s="17"/>
      <c r="DP104" s="17"/>
      <c r="DQ104" s="17"/>
      <c r="DR104" s="17"/>
      <c r="DS104" s="17"/>
      <c r="DT104" s="17"/>
      <c r="DU104" s="17"/>
      <c r="DV104" s="17"/>
      <c r="DW104" s="17"/>
      <c r="DX104" s="17"/>
      <c r="DY104" s="17"/>
      <c r="DZ104" s="17"/>
      <c r="EA104" s="17"/>
      <c r="EB104" s="17"/>
      <c r="EC104" s="17"/>
      <c r="ED104" s="17"/>
      <c r="EE104" s="17"/>
      <c r="EF104" s="17"/>
      <c r="EG104" s="17"/>
      <c r="EH104" s="17"/>
      <c r="EI104" s="17"/>
      <c r="EJ104" s="17"/>
      <c r="EK104" s="17"/>
      <c r="EL104" s="17"/>
      <c r="EM104" s="17"/>
      <c r="EN104" s="17"/>
      <c r="EO104" s="17"/>
      <c r="EP104" s="17"/>
      <c r="EQ104" s="17"/>
      <c r="ER104" s="17"/>
      <c r="ES104" s="17"/>
      <c r="ET104" s="17"/>
      <c r="EU104" s="17"/>
      <c r="EV104" s="17"/>
      <c r="EW104" s="17"/>
      <c r="EX104" s="17"/>
      <c r="EY104" s="17"/>
      <c r="EZ104" s="17"/>
      <c r="FA104" s="17"/>
      <c r="FB104" s="17"/>
      <c r="FC104" s="17"/>
      <c r="FD104" s="17"/>
      <c r="FE104" s="17"/>
      <c r="FF104" s="17"/>
      <c r="FG104" s="17"/>
      <c r="FH104" s="17"/>
      <c r="FI104" s="17"/>
      <c r="FJ104" s="17"/>
      <c r="FK104" s="17"/>
      <c r="FL104" s="17"/>
      <c r="FM104" s="17"/>
      <c r="FN104" s="17"/>
      <c r="FO104" s="17"/>
      <c r="FP104" s="17"/>
      <c r="FQ104" s="17"/>
      <c r="FR104" s="17"/>
      <c r="FS104" s="17"/>
      <c r="FT104" s="17"/>
      <c r="FU104" s="17"/>
      <c r="FV104" s="17"/>
      <c r="FW104" s="17"/>
      <c r="FX104" s="17"/>
      <c r="FY104" s="17"/>
      <c r="FZ104" s="17"/>
      <c r="GA104" s="17"/>
      <c r="GB104" s="17"/>
      <c r="GC104" s="17"/>
      <c r="GD104" s="17"/>
      <c r="GE104" s="17"/>
      <c r="GF104" s="17"/>
      <c r="GG104" s="17"/>
      <c r="GH104" s="17"/>
      <c r="GI104" s="17"/>
      <c r="GJ104" s="17"/>
      <c r="GK104" s="17"/>
      <c r="GL104" s="17"/>
      <c r="GM104" s="17"/>
      <c r="GN104" s="17"/>
      <c r="GO104" s="17"/>
      <c r="GP104" s="17"/>
      <c r="GQ104" s="17"/>
      <c r="GR104" s="17"/>
      <c r="GS104" s="17"/>
      <c r="GT104" s="17"/>
      <c r="GU104" s="17"/>
      <c r="GV104" s="17"/>
      <c r="GW104" s="17"/>
      <c r="GX104" s="17"/>
      <c r="GY104" s="17"/>
      <c r="GZ104" s="17"/>
      <c r="HA104" s="17"/>
      <c r="HB104" s="17"/>
      <c r="HC104" s="17"/>
      <c r="HD104" s="17"/>
      <c r="HE104" s="17"/>
      <c r="HF104" s="17"/>
      <c r="HG104" s="17"/>
      <c r="HH104" s="17"/>
      <c r="HI104" s="17"/>
      <c r="HJ104" s="17"/>
      <c r="HK104" s="17"/>
      <c r="HL104" s="17"/>
      <c r="HM104" s="17"/>
      <c r="HN104" s="17"/>
      <c r="HO104" s="17"/>
      <c r="HP104" s="17"/>
      <c r="HQ104" s="17"/>
      <c r="HR104" s="17"/>
      <c r="HS104" s="17"/>
      <c r="HT104" s="17"/>
      <c r="HU104" s="17"/>
      <c r="HV104" s="17"/>
      <c r="HW104" s="17"/>
      <c r="HX104" s="17"/>
      <c r="HY104" s="17"/>
      <c r="HZ104" s="17"/>
      <c r="IA104" s="17"/>
      <c r="IB104" s="17"/>
      <c r="IC104" s="17"/>
      <c r="ID104" s="17"/>
      <c r="IE104" s="17"/>
      <c r="IF104" s="17"/>
      <c r="IG104" s="17"/>
      <c r="IH104" s="17"/>
      <c r="II104" s="17"/>
      <c r="IJ104" s="17"/>
      <c r="IK104" s="17"/>
      <c r="IL104" s="17"/>
      <c r="IM104" s="17"/>
      <c r="IN104" s="17"/>
      <c r="IO104" s="17"/>
      <c r="IP104" s="17"/>
      <c r="IQ104" s="17"/>
      <c r="IR104" s="17"/>
      <c r="IS104" s="17"/>
      <c r="IT104" s="17"/>
      <c r="IU104" s="17"/>
      <c r="IV104" s="17"/>
      <c r="IW104" s="17"/>
      <c r="IX104" s="17"/>
      <c r="IY104" s="17"/>
      <c r="IZ104" s="17"/>
      <c r="JA104" s="17"/>
      <c r="JB104" s="17"/>
      <c r="JC104" s="17"/>
      <c r="JD104" s="17"/>
      <c r="JE104" s="17"/>
      <c r="JF104" s="17"/>
      <c r="JG104" s="17"/>
      <c r="JH104" s="17"/>
      <c r="JI104" s="17"/>
      <c r="JJ104" s="17"/>
      <c r="JK104" s="17"/>
      <c r="JL104" s="17"/>
      <c r="JM104" s="17"/>
      <c r="JN104" s="17"/>
      <c r="JO104" s="17"/>
      <c r="JP104" s="17"/>
      <c r="JQ104" s="17"/>
      <c r="JR104" s="17"/>
      <c r="JS104" s="17"/>
      <c r="JT104" s="17"/>
      <c r="JU104" s="17"/>
      <c r="JV104" s="17"/>
      <c r="JW104" s="17"/>
      <c r="JX104" s="17"/>
      <c r="JY104" s="17"/>
      <c r="JZ104" s="17"/>
      <c r="KA104" s="17"/>
      <c r="KB104" s="17"/>
      <c r="KC104" s="17"/>
      <c r="KD104" s="17"/>
      <c r="KE104" s="17"/>
      <c r="KF104" s="17"/>
      <c r="KG104" s="17"/>
      <c r="KH104" s="17"/>
      <c r="KI104" s="17"/>
      <c r="KJ104" s="17"/>
      <c r="KK104" s="17"/>
      <c r="KL104" s="17"/>
      <c r="KM104" s="17"/>
      <c r="KN104" s="17"/>
      <c r="KO104" s="17"/>
      <c r="KP104" s="17"/>
      <c r="KQ104" s="17"/>
      <c r="KR104" s="17"/>
      <c r="KS104" s="17"/>
      <c r="KT104" s="17"/>
      <c r="KU104" s="17"/>
      <c r="KV104" s="17"/>
      <c r="KW104" s="17"/>
      <c r="KX104" s="17"/>
      <c r="KY104" s="17"/>
    </row>
    <row r="105" spans="1:311" x14ac:dyDescent="0.25">
      <c r="A105" s="17"/>
      <c r="B105" s="17"/>
      <c r="C105" s="17"/>
      <c r="D105" s="17"/>
      <c r="E105" s="17"/>
      <c r="F105" s="17"/>
      <c r="G105" s="17"/>
      <c r="H105" s="17"/>
      <c r="I105" s="17"/>
      <c r="J105" s="17"/>
      <c r="K105" s="17"/>
      <c r="L105" s="17"/>
      <c r="M105" s="17"/>
      <c r="N105" s="17"/>
      <c r="O105" s="17"/>
      <c r="P105" s="17"/>
      <c r="Q105" s="17"/>
      <c r="R105" s="17"/>
      <c r="S105" s="17"/>
      <c r="T105" s="17"/>
      <c r="U105" s="17"/>
      <c r="V105" s="17"/>
      <c r="W105" s="17"/>
      <c r="X105" s="17"/>
      <c r="Y105" s="17"/>
      <c r="Z105" s="17"/>
      <c r="AA105" s="17"/>
      <c r="AB105" s="17"/>
      <c r="AC105" s="17"/>
      <c r="AD105" s="17"/>
      <c r="AE105" s="17"/>
      <c r="AF105" s="17"/>
      <c r="AG105" s="17"/>
      <c r="AH105" s="17"/>
      <c r="AI105" s="17"/>
      <c r="AJ105" s="17"/>
      <c r="AK105" s="17"/>
      <c r="AL105" s="17"/>
      <c r="AM105" s="17"/>
      <c r="AN105" s="17"/>
      <c r="AO105" s="17"/>
      <c r="AP105" s="17"/>
      <c r="AQ105" s="17"/>
      <c r="AR105" s="17"/>
      <c r="AS105" s="17"/>
      <c r="AT105" s="17"/>
      <c r="AU105" s="17"/>
      <c r="AV105" s="17"/>
      <c r="AW105" s="17"/>
      <c r="AX105" s="17"/>
      <c r="AY105" s="17"/>
      <c r="AZ105" s="17"/>
      <c r="BA105" s="17"/>
      <c r="BB105" s="17"/>
      <c r="BC105" s="17"/>
      <c r="BD105" s="17"/>
      <c r="BE105" s="17"/>
      <c r="BF105" s="17"/>
      <c r="BG105" s="17"/>
      <c r="BH105" s="17"/>
      <c r="BI105" s="17"/>
      <c r="BJ105" s="17"/>
      <c r="BK105" s="17"/>
      <c r="BL105" s="17"/>
      <c r="BM105" s="17"/>
      <c r="BN105" s="17"/>
      <c r="BO105" s="17"/>
      <c r="BP105" s="17"/>
      <c r="BQ105" s="17"/>
      <c r="BR105" s="17"/>
      <c r="BS105" s="17"/>
      <c r="BT105" s="17"/>
      <c r="BU105" s="17"/>
      <c r="BV105" s="17"/>
      <c r="BW105" s="17"/>
      <c r="BX105" s="17"/>
      <c r="BY105" s="17"/>
      <c r="BZ105" s="17"/>
      <c r="CA105" s="17"/>
      <c r="CB105" s="17"/>
      <c r="CC105" s="17"/>
      <c r="CD105" s="17"/>
      <c r="CE105" s="17"/>
      <c r="CF105" s="17"/>
      <c r="CG105" s="17"/>
      <c r="CH105" s="17"/>
      <c r="CI105" s="17"/>
      <c r="CJ105" s="17"/>
      <c r="CK105" s="17"/>
      <c r="CL105" s="17"/>
      <c r="CM105" s="17"/>
      <c r="CN105" s="17"/>
      <c r="CO105" s="17"/>
      <c r="CP105" s="17"/>
      <c r="CQ105" s="17"/>
      <c r="CR105" s="17"/>
      <c r="CS105" s="17"/>
      <c r="CT105" s="17"/>
      <c r="CU105" s="17"/>
      <c r="CV105" s="17"/>
      <c r="CW105" s="17"/>
      <c r="CX105" s="17"/>
      <c r="CY105" s="17"/>
      <c r="CZ105" s="17"/>
      <c r="DA105" s="17"/>
      <c r="DB105" s="17"/>
      <c r="DC105" s="17"/>
      <c r="DD105" s="17"/>
      <c r="DE105" s="17"/>
      <c r="DF105" s="17"/>
      <c r="DG105" s="17"/>
      <c r="DH105" s="17"/>
      <c r="DI105" s="17"/>
      <c r="DJ105" s="17"/>
      <c r="DK105" s="17"/>
      <c r="DL105" s="17"/>
      <c r="DM105" s="17"/>
      <c r="DN105" s="17"/>
      <c r="DO105" s="17"/>
      <c r="DP105" s="17"/>
      <c r="DQ105" s="17"/>
      <c r="DR105" s="17"/>
      <c r="DS105" s="17"/>
      <c r="DT105" s="17"/>
      <c r="DU105" s="17"/>
      <c r="DV105" s="17"/>
      <c r="DW105" s="17"/>
      <c r="DX105" s="17"/>
      <c r="DY105" s="17"/>
      <c r="DZ105" s="17"/>
      <c r="EA105" s="17"/>
      <c r="EB105" s="17"/>
      <c r="EC105" s="17"/>
      <c r="ED105" s="17"/>
      <c r="EE105" s="17"/>
      <c r="EF105" s="17"/>
      <c r="EG105" s="17"/>
      <c r="EH105" s="17"/>
      <c r="EI105" s="17"/>
      <c r="EJ105" s="17"/>
      <c r="EK105" s="17"/>
      <c r="EL105" s="17"/>
      <c r="EM105" s="17"/>
      <c r="EN105" s="17"/>
      <c r="EO105" s="17"/>
      <c r="EP105" s="17"/>
      <c r="EQ105" s="17"/>
      <c r="ER105" s="17"/>
      <c r="ES105" s="17"/>
      <c r="ET105" s="17"/>
      <c r="EU105" s="17"/>
      <c r="EV105" s="17"/>
      <c r="EW105" s="17"/>
      <c r="EX105" s="17"/>
      <c r="EY105" s="17"/>
      <c r="EZ105" s="17"/>
      <c r="FA105" s="17"/>
      <c r="FB105" s="17"/>
      <c r="FC105" s="17"/>
      <c r="FD105" s="17"/>
      <c r="FE105" s="17"/>
      <c r="FF105" s="17"/>
      <c r="FG105" s="17"/>
      <c r="FH105" s="17"/>
      <c r="FI105" s="17"/>
      <c r="FJ105" s="17"/>
      <c r="FK105" s="17"/>
      <c r="FL105" s="17"/>
      <c r="FM105" s="17"/>
      <c r="FN105" s="17"/>
      <c r="FO105" s="17"/>
      <c r="FP105" s="17"/>
      <c r="FQ105" s="17"/>
      <c r="FR105" s="17"/>
      <c r="FS105" s="17"/>
      <c r="FT105" s="17"/>
      <c r="FU105" s="17"/>
      <c r="FV105" s="17"/>
      <c r="FW105" s="17"/>
      <c r="FX105" s="17"/>
      <c r="FY105" s="17"/>
      <c r="FZ105" s="17"/>
      <c r="GA105" s="17"/>
      <c r="GB105" s="17"/>
      <c r="GC105" s="17"/>
      <c r="GD105" s="17"/>
      <c r="GE105" s="17"/>
      <c r="GF105" s="17"/>
      <c r="GG105" s="17"/>
      <c r="GH105" s="17"/>
      <c r="GI105" s="17"/>
      <c r="GJ105" s="17"/>
      <c r="GK105" s="17"/>
      <c r="GL105" s="17"/>
      <c r="GM105" s="17"/>
      <c r="GN105" s="17"/>
      <c r="GO105" s="17"/>
      <c r="GP105" s="17"/>
      <c r="GQ105" s="17"/>
      <c r="GR105" s="17"/>
      <c r="GS105" s="17"/>
      <c r="GT105" s="17"/>
      <c r="GU105" s="17"/>
      <c r="GV105" s="17"/>
      <c r="GW105" s="17"/>
      <c r="GX105" s="17"/>
      <c r="GY105" s="17"/>
      <c r="GZ105" s="17"/>
      <c r="HA105" s="17"/>
      <c r="HB105" s="17"/>
      <c r="HC105" s="17"/>
      <c r="HD105" s="17"/>
      <c r="HE105" s="17"/>
      <c r="HF105" s="17"/>
      <c r="HG105" s="17"/>
      <c r="HH105" s="17"/>
      <c r="HI105" s="17"/>
      <c r="HJ105" s="17"/>
      <c r="HK105" s="17"/>
      <c r="HL105" s="17"/>
      <c r="HM105" s="17"/>
      <c r="HN105" s="17"/>
      <c r="HO105" s="17"/>
      <c r="HP105" s="17"/>
      <c r="HQ105" s="17"/>
      <c r="HR105" s="17"/>
      <c r="HS105" s="17"/>
      <c r="HT105" s="17"/>
      <c r="HU105" s="17"/>
      <c r="HV105" s="17"/>
      <c r="HW105" s="17"/>
      <c r="HX105" s="17"/>
      <c r="HY105" s="17"/>
      <c r="HZ105" s="17"/>
      <c r="IA105" s="17"/>
      <c r="IB105" s="17"/>
      <c r="IC105" s="17"/>
      <c r="ID105" s="17"/>
      <c r="IE105" s="17"/>
      <c r="IF105" s="17"/>
      <c r="IG105" s="17"/>
      <c r="IH105" s="17"/>
      <c r="II105" s="17"/>
      <c r="IJ105" s="17"/>
      <c r="IK105" s="17"/>
      <c r="IL105" s="17"/>
      <c r="IM105" s="17"/>
      <c r="IN105" s="17"/>
      <c r="IO105" s="17"/>
      <c r="IP105" s="17"/>
      <c r="IQ105" s="17"/>
      <c r="IR105" s="17"/>
      <c r="IS105" s="17"/>
      <c r="IT105" s="17"/>
      <c r="IU105" s="17"/>
      <c r="IV105" s="17"/>
      <c r="IW105" s="17"/>
      <c r="IX105" s="17"/>
      <c r="IY105" s="17"/>
      <c r="IZ105" s="17"/>
      <c r="JA105" s="17"/>
      <c r="JB105" s="17"/>
      <c r="JC105" s="17"/>
      <c r="JD105" s="17"/>
      <c r="JE105" s="17"/>
      <c r="JF105" s="17"/>
      <c r="JG105" s="17"/>
      <c r="JH105" s="17"/>
      <c r="JI105" s="17"/>
      <c r="JJ105" s="17"/>
      <c r="JK105" s="17"/>
      <c r="JL105" s="17"/>
      <c r="JM105" s="17"/>
      <c r="JN105" s="17"/>
      <c r="JO105" s="17"/>
      <c r="JP105" s="17"/>
      <c r="JQ105" s="17"/>
      <c r="JR105" s="17"/>
      <c r="JS105" s="17"/>
      <c r="JT105" s="17"/>
      <c r="JU105" s="17"/>
      <c r="JV105" s="17"/>
      <c r="JW105" s="17"/>
      <c r="JX105" s="17"/>
      <c r="JY105" s="17"/>
      <c r="JZ105" s="17"/>
      <c r="KA105" s="17"/>
      <c r="KB105" s="17"/>
      <c r="KC105" s="17"/>
      <c r="KD105" s="17"/>
      <c r="KE105" s="17"/>
      <c r="KF105" s="17"/>
      <c r="KG105" s="17"/>
      <c r="KH105" s="17"/>
      <c r="KI105" s="17"/>
      <c r="KJ105" s="17"/>
      <c r="KK105" s="17"/>
      <c r="KL105" s="17"/>
      <c r="KM105" s="17"/>
      <c r="KN105" s="17"/>
      <c r="KO105" s="17"/>
      <c r="KP105" s="17"/>
      <c r="KQ105" s="17"/>
      <c r="KR105" s="17"/>
      <c r="KS105" s="17"/>
      <c r="KT105" s="17"/>
      <c r="KU105" s="17"/>
      <c r="KV105" s="17"/>
      <c r="KW105" s="17"/>
      <c r="KX105" s="17"/>
      <c r="KY105" s="17"/>
    </row>
    <row r="106" spans="1:311" x14ac:dyDescent="0.25">
      <c r="A106" s="17"/>
      <c r="B106" s="17"/>
      <c r="C106" s="17"/>
      <c r="D106" s="17"/>
      <c r="E106" s="17"/>
      <c r="F106" s="17"/>
      <c r="G106" s="17"/>
      <c r="H106" s="17"/>
      <c r="I106" s="17"/>
      <c r="J106" s="17"/>
      <c r="K106" s="17"/>
      <c r="L106" s="17"/>
      <c r="M106" s="17"/>
      <c r="N106" s="17"/>
      <c r="O106" s="17"/>
      <c r="P106" s="17"/>
      <c r="Q106" s="17"/>
      <c r="R106" s="17"/>
      <c r="S106" s="17"/>
      <c r="T106" s="17"/>
      <c r="U106" s="17"/>
      <c r="V106" s="17"/>
      <c r="W106" s="17"/>
      <c r="X106" s="17"/>
      <c r="Y106" s="17"/>
      <c r="Z106" s="17"/>
      <c r="AA106" s="17"/>
      <c r="AB106" s="17"/>
      <c r="AC106" s="17"/>
      <c r="AD106" s="17"/>
      <c r="AE106" s="17"/>
      <c r="AF106" s="17"/>
      <c r="AG106" s="17"/>
      <c r="AH106" s="17"/>
      <c r="AI106" s="17"/>
      <c r="AJ106" s="17"/>
      <c r="AK106" s="17"/>
      <c r="AL106" s="17"/>
      <c r="AM106" s="17"/>
      <c r="AN106" s="17"/>
      <c r="AO106" s="17"/>
      <c r="AP106" s="17"/>
      <c r="AQ106" s="17"/>
      <c r="AR106" s="17"/>
      <c r="AS106" s="17"/>
      <c r="AT106" s="17"/>
      <c r="AU106" s="17"/>
      <c r="AV106" s="17"/>
      <c r="AW106" s="17"/>
      <c r="AX106" s="17"/>
      <c r="AY106" s="17"/>
      <c r="AZ106" s="17"/>
      <c r="BA106" s="17"/>
      <c r="BB106" s="17"/>
      <c r="BC106" s="17"/>
      <c r="BD106" s="17"/>
      <c r="BE106" s="17"/>
      <c r="BF106" s="17"/>
      <c r="BG106" s="17"/>
      <c r="BH106" s="17"/>
      <c r="BI106" s="17"/>
      <c r="BJ106" s="17"/>
      <c r="BK106" s="17"/>
      <c r="BL106" s="17"/>
      <c r="BM106" s="17"/>
      <c r="BN106" s="17"/>
      <c r="BO106" s="17"/>
      <c r="BP106" s="17"/>
      <c r="BQ106" s="17"/>
      <c r="BR106" s="17"/>
      <c r="BS106" s="17"/>
      <c r="BT106" s="17"/>
      <c r="BU106" s="17"/>
      <c r="BV106" s="17"/>
      <c r="BW106" s="17"/>
      <c r="BX106" s="17"/>
      <c r="BY106" s="17"/>
      <c r="BZ106" s="17"/>
      <c r="CA106" s="17"/>
      <c r="CB106" s="17"/>
      <c r="CC106" s="17"/>
      <c r="CD106" s="17"/>
      <c r="CE106" s="17"/>
      <c r="CF106" s="17"/>
      <c r="CG106" s="17"/>
      <c r="CH106" s="17"/>
      <c r="CI106" s="17"/>
      <c r="CJ106" s="17"/>
      <c r="CK106" s="17"/>
      <c r="CL106" s="17"/>
      <c r="CM106" s="17"/>
      <c r="CN106" s="17"/>
      <c r="CO106" s="17"/>
      <c r="CP106" s="17"/>
      <c r="CQ106" s="17"/>
      <c r="CR106" s="17"/>
      <c r="CS106" s="17"/>
      <c r="CT106" s="17"/>
      <c r="CU106" s="17"/>
      <c r="CV106" s="17"/>
      <c r="CW106" s="17"/>
      <c r="CX106" s="17"/>
      <c r="CY106" s="17"/>
      <c r="CZ106" s="17"/>
      <c r="DA106" s="17"/>
      <c r="DB106" s="17"/>
      <c r="DC106" s="17"/>
      <c r="DD106" s="17"/>
      <c r="DE106" s="17"/>
      <c r="DF106" s="17"/>
      <c r="DG106" s="17"/>
      <c r="DH106" s="17"/>
      <c r="DI106" s="17"/>
      <c r="DJ106" s="17"/>
      <c r="DK106" s="17"/>
      <c r="DL106" s="17"/>
      <c r="DM106" s="17"/>
      <c r="DN106" s="17"/>
      <c r="DO106" s="17"/>
      <c r="DP106" s="17"/>
      <c r="DQ106" s="17"/>
      <c r="DR106" s="17"/>
      <c r="DS106" s="17"/>
      <c r="DT106" s="17"/>
      <c r="DU106" s="17"/>
      <c r="DV106" s="17"/>
      <c r="DW106" s="17"/>
      <c r="DX106" s="17"/>
      <c r="DY106" s="17"/>
      <c r="DZ106" s="17"/>
      <c r="EA106" s="17"/>
      <c r="EB106" s="17"/>
      <c r="EC106" s="17"/>
      <c r="ED106" s="17"/>
      <c r="EE106" s="17"/>
      <c r="EF106" s="17"/>
      <c r="EG106" s="17"/>
      <c r="EH106" s="17"/>
      <c r="EI106" s="17"/>
      <c r="EJ106" s="17"/>
      <c r="EK106" s="17"/>
      <c r="EL106" s="17"/>
      <c r="EM106" s="17"/>
      <c r="EN106" s="17"/>
      <c r="EO106" s="17"/>
      <c r="EP106" s="17"/>
      <c r="EQ106" s="17"/>
      <c r="ER106" s="17"/>
      <c r="ES106" s="17"/>
      <c r="ET106" s="17"/>
      <c r="EU106" s="17"/>
      <c r="EV106" s="17"/>
      <c r="EW106" s="17"/>
      <c r="EX106" s="17"/>
      <c r="EY106" s="17"/>
      <c r="EZ106" s="17"/>
      <c r="FA106" s="17"/>
      <c r="FB106" s="17"/>
      <c r="FC106" s="17"/>
      <c r="FD106" s="17"/>
      <c r="FE106" s="17"/>
      <c r="FF106" s="17"/>
      <c r="FG106" s="17"/>
      <c r="FH106" s="17"/>
      <c r="FI106" s="17"/>
      <c r="FJ106" s="17"/>
      <c r="FK106" s="17"/>
      <c r="FL106" s="17"/>
      <c r="FM106" s="17"/>
      <c r="FN106" s="17"/>
      <c r="FO106" s="17"/>
      <c r="FP106" s="17"/>
      <c r="FQ106" s="17"/>
      <c r="FR106" s="17"/>
      <c r="FS106" s="17"/>
      <c r="FT106" s="17"/>
      <c r="FU106" s="17"/>
      <c r="FV106" s="17"/>
      <c r="FW106" s="17"/>
      <c r="FX106" s="17"/>
      <c r="FY106" s="17"/>
      <c r="FZ106" s="17"/>
      <c r="GA106" s="17"/>
      <c r="GB106" s="17"/>
      <c r="GC106" s="17"/>
      <c r="GD106" s="17"/>
      <c r="GE106" s="17"/>
      <c r="GF106" s="17"/>
      <c r="GG106" s="17"/>
      <c r="GH106" s="17"/>
      <c r="GI106" s="17"/>
      <c r="GJ106" s="17"/>
      <c r="GK106" s="17"/>
      <c r="GL106" s="17"/>
      <c r="GM106" s="17"/>
      <c r="GN106" s="17"/>
      <c r="GO106" s="17"/>
      <c r="GP106" s="17"/>
      <c r="GQ106" s="17"/>
      <c r="GR106" s="17"/>
      <c r="GS106" s="17"/>
      <c r="GT106" s="17"/>
      <c r="GU106" s="17"/>
      <c r="GV106" s="17"/>
      <c r="GW106" s="17"/>
      <c r="GX106" s="17"/>
      <c r="GY106" s="17"/>
      <c r="GZ106" s="17"/>
      <c r="HA106" s="17"/>
      <c r="HB106" s="17"/>
      <c r="HC106" s="17"/>
      <c r="HD106" s="17"/>
      <c r="HE106" s="17"/>
      <c r="HF106" s="17"/>
      <c r="HG106" s="17"/>
      <c r="HH106" s="17"/>
      <c r="HI106" s="17"/>
      <c r="HJ106" s="17"/>
      <c r="HK106" s="17"/>
      <c r="HL106" s="17"/>
      <c r="HM106" s="17"/>
      <c r="HN106" s="17"/>
      <c r="HO106" s="17"/>
      <c r="HP106" s="17"/>
      <c r="HQ106" s="17"/>
      <c r="HR106" s="17"/>
      <c r="HS106" s="17"/>
      <c r="HT106" s="17"/>
      <c r="HU106" s="17"/>
      <c r="HV106" s="17"/>
      <c r="HW106" s="17"/>
      <c r="HX106" s="17"/>
      <c r="HY106" s="17"/>
      <c r="HZ106" s="17"/>
      <c r="IA106" s="17"/>
      <c r="IB106" s="17"/>
      <c r="IC106" s="17"/>
      <c r="ID106" s="17"/>
      <c r="IE106" s="17"/>
      <c r="IF106" s="17"/>
      <c r="IG106" s="17"/>
      <c r="IH106" s="17"/>
      <c r="II106" s="17"/>
      <c r="IJ106" s="17"/>
      <c r="IK106" s="17"/>
      <c r="IL106" s="17"/>
      <c r="IM106" s="17"/>
      <c r="IN106" s="17"/>
      <c r="IO106" s="17"/>
      <c r="IP106" s="17"/>
      <c r="IQ106" s="17"/>
      <c r="IR106" s="17"/>
      <c r="IS106" s="17"/>
      <c r="IT106" s="17"/>
      <c r="IU106" s="17"/>
      <c r="IV106" s="17"/>
      <c r="IW106" s="17"/>
      <c r="IX106" s="17"/>
      <c r="IY106" s="17"/>
      <c r="IZ106" s="17"/>
      <c r="JA106" s="17"/>
      <c r="JB106" s="17"/>
      <c r="JC106" s="17"/>
      <c r="JD106" s="17"/>
      <c r="JE106" s="17"/>
      <c r="JF106" s="17"/>
      <c r="JG106" s="17"/>
      <c r="JH106" s="17"/>
      <c r="JI106" s="17"/>
      <c r="JJ106" s="17"/>
      <c r="JK106" s="17"/>
      <c r="JL106" s="17"/>
      <c r="JM106" s="17"/>
      <c r="JN106" s="17"/>
      <c r="JO106" s="17"/>
      <c r="JP106" s="17"/>
      <c r="JQ106" s="17"/>
      <c r="JR106" s="17"/>
      <c r="JS106" s="17"/>
      <c r="JT106" s="17"/>
      <c r="JU106" s="17"/>
      <c r="JV106" s="17"/>
      <c r="JW106" s="17"/>
      <c r="JX106" s="17"/>
      <c r="JY106" s="17"/>
      <c r="JZ106" s="17"/>
      <c r="KA106" s="17"/>
      <c r="KB106" s="17"/>
      <c r="KC106" s="17"/>
      <c r="KD106" s="17"/>
      <c r="KE106" s="17"/>
      <c r="KF106" s="17"/>
      <c r="KG106" s="17"/>
      <c r="KH106" s="17"/>
      <c r="KI106" s="17"/>
      <c r="KJ106" s="17"/>
      <c r="KK106" s="17"/>
      <c r="KL106" s="17"/>
      <c r="KM106" s="17"/>
      <c r="KN106" s="17"/>
      <c r="KO106" s="17"/>
      <c r="KP106" s="17"/>
      <c r="KQ106" s="17"/>
      <c r="KR106" s="17"/>
      <c r="KS106" s="17"/>
      <c r="KT106" s="17"/>
      <c r="KU106" s="17"/>
      <c r="KV106" s="17"/>
      <c r="KW106" s="17"/>
      <c r="KX106" s="17"/>
      <c r="KY106" s="17"/>
    </row>
    <row r="107" spans="1:311" x14ac:dyDescent="0.25">
      <c r="A107" s="17"/>
      <c r="B107" s="17"/>
      <c r="C107" s="17"/>
      <c r="D107" s="17"/>
      <c r="E107" s="17"/>
      <c r="F107" s="17"/>
      <c r="G107" s="17"/>
      <c r="H107" s="17"/>
      <c r="I107" s="17"/>
      <c r="J107" s="17"/>
      <c r="K107" s="17"/>
      <c r="L107" s="17"/>
      <c r="M107" s="17"/>
      <c r="N107" s="17"/>
      <c r="O107" s="17"/>
      <c r="P107" s="17"/>
      <c r="Q107" s="17"/>
      <c r="R107" s="17"/>
      <c r="S107" s="17"/>
      <c r="T107" s="17"/>
      <c r="U107" s="17"/>
      <c r="V107" s="17"/>
      <c r="W107" s="17"/>
      <c r="X107" s="17"/>
      <c r="Y107" s="17"/>
      <c r="Z107" s="17"/>
      <c r="AA107" s="17"/>
      <c r="AB107" s="17"/>
      <c r="AC107" s="17"/>
      <c r="AD107" s="17"/>
      <c r="AE107" s="17"/>
      <c r="AF107" s="17"/>
      <c r="AG107" s="17"/>
      <c r="AH107" s="17"/>
      <c r="AI107" s="17"/>
      <c r="AJ107" s="17"/>
      <c r="AK107" s="17"/>
      <c r="AL107" s="17"/>
      <c r="AM107" s="17"/>
      <c r="AN107" s="17"/>
      <c r="AO107" s="17"/>
      <c r="AP107" s="17"/>
      <c r="AQ107" s="17"/>
      <c r="AR107" s="17"/>
      <c r="AS107" s="17"/>
      <c r="AT107" s="17"/>
      <c r="AU107" s="17"/>
      <c r="AV107" s="17"/>
      <c r="AW107" s="17"/>
      <c r="AX107" s="17"/>
      <c r="AY107" s="17"/>
      <c r="AZ107" s="17"/>
      <c r="BA107" s="17"/>
      <c r="BB107" s="17"/>
      <c r="BC107" s="17"/>
      <c r="BD107" s="17"/>
      <c r="BE107" s="17"/>
      <c r="BF107" s="17"/>
      <c r="BG107" s="17"/>
      <c r="BH107" s="17"/>
      <c r="BI107" s="17"/>
      <c r="BJ107" s="17"/>
      <c r="BK107" s="17"/>
      <c r="BL107" s="17"/>
      <c r="BM107" s="17"/>
      <c r="BN107" s="17"/>
      <c r="BO107" s="17"/>
      <c r="BP107" s="17"/>
      <c r="BQ107" s="17"/>
      <c r="BR107" s="17"/>
      <c r="BS107" s="17"/>
      <c r="BT107" s="17"/>
      <c r="BU107" s="17"/>
      <c r="BV107" s="17"/>
      <c r="BW107" s="17"/>
      <c r="BX107" s="17"/>
      <c r="BY107" s="17"/>
      <c r="BZ107" s="17"/>
      <c r="CA107" s="17"/>
      <c r="CB107" s="17"/>
      <c r="CC107" s="17"/>
      <c r="CD107" s="17"/>
      <c r="CE107" s="17"/>
      <c r="CF107" s="17"/>
      <c r="CG107" s="17"/>
      <c r="CH107" s="17"/>
      <c r="CI107" s="17"/>
      <c r="CJ107" s="17"/>
      <c r="CK107" s="17"/>
      <c r="CL107" s="17"/>
      <c r="CM107" s="17"/>
      <c r="CN107" s="17"/>
      <c r="CO107" s="17"/>
      <c r="CP107" s="17"/>
      <c r="CQ107" s="17"/>
      <c r="CR107" s="17"/>
      <c r="CS107" s="17"/>
      <c r="CT107" s="17"/>
      <c r="CU107" s="17"/>
      <c r="CV107" s="17"/>
      <c r="CW107" s="17"/>
      <c r="CX107" s="17"/>
      <c r="CY107" s="17"/>
      <c r="CZ107" s="17"/>
      <c r="DA107" s="17"/>
      <c r="DB107" s="17"/>
      <c r="DC107" s="17"/>
      <c r="DD107" s="17"/>
      <c r="DE107" s="17"/>
      <c r="DF107" s="17"/>
      <c r="DG107" s="17"/>
      <c r="DH107" s="17"/>
      <c r="DI107" s="17"/>
      <c r="DJ107" s="17"/>
      <c r="DK107" s="17"/>
      <c r="DL107" s="17"/>
      <c r="DM107" s="17"/>
      <c r="DN107" s="17"/>
      <c r="DO107" s="17"/>
      <c r="DP107" s="17"/>
      <c r="DQ107" s="17"/>
      <c r="DR107" s="17"/>
      <c r="DS107" s="17"/>
      <c r="DT107" s="17"/>
      <c r="DU107" s="17"/>
      <c r="DV107" s="17"/>
      <c r="DW107" s="17"/>
      <c r="DX107" s="17"/>
      <c r="DY107" s="17"/>
      <c r="DZ107" s="17"/>
      <c r="EA107" s="17"/>
      <c r="EB107" s="17"/>
      <c r="EC107" s="17"/>
      <c r="ED107" s="17"/>
      <c r="EE107" s="17"/>
      <c r="EF107" s="17"/>
      <c r="EG107" s="17"/>
      <c r="EH107" s="17"/>
      <c r="EI107" s="17"/>
      <c r="EJ107" s="17"/>
      <c r="EK107" s="17"/>
      <c r="EL107" s="17"/>
      <c r="EM107" s="17"/>
      <c r="EN107" s="17"/>
      <c r="EO107" s="17"/>
      <c r="EP107" s="17"/>
      <c r="EQ107" s="17"/>
      <c r="ER107" s="17"/>
      <c r="ES107" s="17"/>
      <c r="ET107" s="17"/>
      <c r="EU107" s="17"/>
      <c r="EV107" s="17"/>
      <c r="EW107" s="17"/>
      <c r="EX107" s="17"/>
      <c r="EY107" s="17"/>
      <c r="EZ107" s="17"/>
      <c r="FA107" s="17"/>
      <c r="FB107" s="17"/>
      <c r="FC107" s="17"/>
      <c r="FD107" s="17"/>
      <c r="FE107" s="17"/>
      <c r="FF107" s="17"/>
      <c r="FG107" s="17"/>
      <c r="FH107" s="17"/>
      <c r="FI107" s="17"/>
      <c r="FJ107" s="17"/>
      <c r="FK107" s="17"/>
      <c r="FL107" s="17"/>
      <c r="FM107" s="17"/>
      <c r="FN107" s="17"/>
      <c r="FO107" s="17"/>
      <c r="FP107" s="17"/>
      <c r="FQ107" s="17"/>
      <c r="FR107" s="17"/>
      <c r="FS107" s="17"/>
      <c r="FT107" s="17"/>
      <c r="FU107" s="17"/>
      <c r="FV107" s="17"/>
      <c r="FW107" s="17"/>
      <c r="FX107" s="17"/>
      <c r="FY107" s="17"/>
      <c r="FZ107" s="17"/>
      <c r="GA107" s="17"/>
      <c r="GB107" s="17"/>
      <c r="GC107" s="17"/>
      <c r="GD107" s="17"/>
      <c r="GE107" s="17"/>
      <c r="GF107" s="17"/>
      <c r="GG107" s="17"/>
      <c r="GH107" s="17"/>
      <c r="GI107" s="17"/>
      <c r="GJ107" s="17"/>
      <c r="GK107" s="17"/>
      <c r="GL107" s="17"/>
      <c r="GM107" s="17"/>
      <c r="GN107" s="17"/>
      <c r="GO107" s="17"/>
      <c r="GP107" s="17"/>
      <c r="GQ107" s="17"/>
      <c r="GR107" s="17"/>
      <c r="GS107" s="17"/>
      <c r="GT107" s="17"/>
      <c r="GU107" s="17"/>
      <c r="GV107" s="17"/>
      <c r="GW107" s="17"/>
      <c r="GX107" s="17"/>
      <c r="GY107" s="17"/>
      <c r="GZ107" s="17"/>
      <c r="HA107" s="17"/>
      <c r="HB107" s="17"/>
      <c r="HC107" s="17"/>
      <c r="HD107" s="17"/>
      <c r="HE107" s="17"/>
      <c r="HF107" s="17"/>
      <c r="HG107" s="17"/>
      <c r="HH107" s="17"/>
      <c r="HI107" s="17"/>
      <c r="HJ107" s="17"/>
      <c r="HK107" s="17"/>
      <c r="HL107" s="17"/>
      <c r="HM107" s="17"/>
      <c r="HN107" s="17"/>
      <c r="HO107" s="17"/>
      <c r="HP107" s="17"/>
      <c r="HQ107" s="17"/>
      <c r="HR107" s="17"/>
      <c r="HS107" s="17"/>
      <c r="HT107" s="17"/>
      <c r="HU107" s="17"/>
      <c r="HV107" s="17"/>
      <c r="HW107" s="17"/>
      <c r="HX107" s="17"/>
      <c r="HY107" s="17"/>
      <c r="HZ107" s="17"/>
      <c r="IA107" s="17"/>
      <c r="IB107" s="17"/>
      <c r="IC107" s="17"/>
      <c r="ID107" s="17"/>
      <c r="IE107" s="17"/>
      <c r="IF107" s="17"/>
      <c r="IG107" s="17"/>
      <c r="IH107" s="17"/>
      <c r="II107" s="17"/>
      <c r="IJ107" s="17"/>
      <c r="IK107" s="17"/>
      <c r="IL107" s="17"/>
      <c r="IM107" s="17"/>
      <c r="IN107" s="17"/>
      <c r="IO107" s="17"/>
      <c r="IP107" s="17"/>
      <c r="IQ107" s="17"/>
      <c r="IR107" s="17"/>
      <c r="IS107" s="17"/>
      <c r="IT107" s="17"/>
      <c r="IU107" s="17"/>
      <c r="IV107" s="17"/>
      <c r="IW107" s="17"/>
      <c r="IX107" s="17"/>
      <c r="IY107" s="17"/>
      <c r="IZ107" s="17"/>
      <c r="JA107" s="17"/>
      <c r="JB107" s="17"/>
      <c r="JC107" s="17"/>
      <c r="JD107" s="17"/>
      <c r="JE107" s="17"/>
      <c r="JF107" s="17"/>
      <c r="JG107" s="17"/>
      <c r="JH107" s="17"/>
      <c r="JI107" s="17"/>
      <c r="JJ107" s="17"/>
      <c r="JK107" s="17"/>
      <c r="JL107" s="17"/>
      <c r="JM107" s="17"/>
      <c r="JN107" s="17"/>
      <c r="JO107" s="17"/>
      <c r="JP107" s="17"/>
      <c r="JQ107" s="17"/>
      <c r="JR107" s="17"/>
      <c r="JS107" s="17"/>
      <c r="JT107" s="17"/>
      <c r="JU107" s="17"/>
      <c r="JV107" s="17"/>
      <c r="JW107" s="17"/>
      <c r="JX107" s="17"/>
      <c r="JY107" s="17"/>
      <c r="JZ107" s="17"/>
      <c r="KA107" s="17"/>
      <c r="KB107" s="17"/>
      <c r="KC107" s="17"/>
      <c r="KD107" s="17"/>
      <c r="KE107" s="17"/>
      <c r="KF107" s="17"/>
      <c r="KG107" s="17"/>
      <c r="KH107" s="17"/>
      <c r="KI107" s="17"/>
      <c r="KJ107" s="17"/>
      <c r="KK107" s="17"/>
      <c r="KL107" s="17"/>
      <c r="KM107" s="17"/>
      <c r="KN107" s="17"/>
      <c r="KO107" s="17"/>
      <c r="KP107" s="17"/>
      <c r="KQ107" s="17"/>
      <c r="KR107" s="17"/>
      <c r="KS107" s="17"/>
      <c r="KT107" s="17"/>
      <c r="KU107" s="17"/>
      <c r="KV107" s="17"/>
      <c r="KW107" s="17"/>
      <c r="KX107" s="17"/>
      <c r="KY107" s="17"/>
    </row>
    <row r="108" spans="1:311" x14ac:dyDescent="0.25">
      <c r="A108" s="17"/>
      <c r="B108" s="17"/>
      <c r="C108" s="17"/>
      <c r="D108" s="17"/>
      <c r="E108" s="17"/>
      <c r="F108" s="17"/>
      <c r="G108" s="17"/>
      <c r="H108" s="17"/>
      <c r="I108" s="17"/>
      <c r="J108" s="17"/>
      <c r="K108" s="17"/>
      <c r="L108" s="17"/>
      <c r="M108" s="17"/>
      <c r="N108" s="17"/>
      <c r="O108" s="17"/>
      <c r="P108" s="17"/>
      <c r="Q108" s="17"/>
      <c r="R108" s="17"/>
      <c r="S108" s="17"/>
      <c r="T108" s="17"/>
      <c r="U108" s="17"/>
      <c r="V108" s="17"/>
      <c r="W108" s="17"/>
      <c r="X108" s="17"/>
      <c r="Y108" s="17"/>
      <c r="Z108" s="17"/>
      <c r="AA108" s="17"/>
      <c r="AB108" s="17"/>
      <c r="AC108" s="17"/>
      <c r="AD108" s="17"/>
      <c r="AE108" s="17"/>
      <c r="AF108" s="17"/>
      <c r="AG108" s="17"/>
      <c r="AH108" s="17"/>
      <c r="AI108" s="17"/>
      <c r="AJ108" s="17"/>
      <c r="AK108" s="17"/>
      <c r="AL108" s="17"/>
      <c r="AM108" s="17"/>
      <c r="AN108" s="17"/>
      <c r="AO108" s="17"/>
      <c r="AP108" s="17"/>
      <c r="AQ108" s="17"/>
      <c r="AR108" s="17"/>
      <c r="AS108" s="17"/>
      <c r="AT108" s="17"/>
      <c r="AU108" s="17"/>
      <c r="AV108" s="17"/>
      <c r="AW108" s="17"/>
      <c r="AX108" s="17"/>
      <c r="AY108" s="17"/>
      <c r="AZ108" s="17"/>
      <c r="BA108" s="17"/>
      <c r="BB108" s="17"/>
      <c r="BC108" s="17"/>
      <c r="BD108" s="17"/>
      <c r="BE108" s="17"/>
      <c r="BF108" s="17"/>
      <c r="BG108" s="17"/>
      <c r="BH108" s="17"/>
      <c r="BI108" s="17"/>
      <c r="BJ108" s="17"/>
      <c r="BK108" s="17"/>
      <c r="BL108" s="17"/>
      <c r="BM108" s="17"/>
      <c r="BN108" s="17"/>
      <c r="BO108" s="17"/>
      <c r="BP108" s="17"/>
      <c r="BQ108" s="17"/>
      <c r="BR108" s="17"/>
      <c r="BS108" s="17"/>
      <c r="BT108" s="17"/>
      <c r="BU108" s="17"/>
      <c r="BV108" s="17"/>
      <c r="BW108" s="17"/>
      <c r="BX108" s="17"/>
      <c r="BY108" s="17"/>
      <c r="BZ108" s="17"/>
      <c r="CA108" s="17"/>
      <c r="CB108" s="17"/>
      <c r="CC108" s="17"/>
      <c r="CD108" s="17"/>
      <c r="CE108" s="17"/>
      <c r="CF108" s="17"/>
      <c r="CG108" s="17"/>
      <c r="CH108" s="17"/>
      <c r="CI108" s="17"/>
      <c r="CJ108" s="17"/>
      <c r="CK108" s="17"/>
      <c r="CL108" s="17"/>
      <c r="CM108" s="17"/>
      <c r="CN108" s="17"/>
      <c r="CO108" s="17"/>
      <c r="CP108" s="17"/>
      <c r="CQ108" s="17"/>
      <c r="CR108" s="17"/>
      <c r="CS108" s="17"/>
      <c r="CT108" s="17"/>
      <c r="CU108" s="17"/>
      <c r="CV108" s="17"/>
      <c r="CW108" s="17"/>
      <c r="CX108" s="17"/>
      <c r="CY108" s="17"/>
      <c r="CZ108" s="17"/>
      <c r="DA108" s="17"/>
      <c r="DB108" s="17"/>
      <c r="DC108" s="17"/>
      <c r="DD108" s="17"/>
      <c r="DE108" s="17"/>
      <c r="DF108" s="17"/>
      <c r="DG108" s="17"/>
      <c r="DH108" s="17"/>
      <c r="DI108" s="17"/>
      <c r="DJ108" s="17"/>
      <c r="DK108" s="17"/>
      <c r="DL108" s="17"/>
      <c r="DM108" s="17"/>
      <c r="DN108" s="17"/>
      <c r="DO108" s="17"/>
      <c r="DP108" s="17"/>
      <c r="DQ108" s="17"/>
      <c r="DR108" s="17"/>
      <c r="DS108" s="17"/>
      <c r="DT108" s="17"/>
      <c r="DU108" s="17"/>
      <c r="DV108" s="17"/>
      <c r="DW108" s="17"/>
      <c r="DX108" s="17"/>
      <c r="DY108" s="17"/>
      <c r="DZ108" s="17"/>
      <c r="EA108" s="17"/>
      <c r="EB108" s="17"/>
      <c r="EC108" s="17"/>
      <c r="ED108" s="17"/>
      <c r="EE108" s="17"/>
      <c r="EF108" s="17"/>
      <c r="EG108" s="17"/>
      <c r="EH108" s="17"/>
      <c r="EI108" s="17"/>
      <c r="EJ108" s="17"/>
      <c r="EK108" s="17"/>
      <c r="EL108" s="17"/>
      <c r="EM108" s="17"/>
      <c r="EN108" s="17"/>
      <c r="EO108" s="17"/>
      <c r="EP108" s="17"/>
      <c r="EQ108" s="17"/>
      <c r="ER108" s="17"/>
      <c r="ES108" s="17"/>
      <c r="ET108" s="17"/>
      <c r="EU108" s="17"/>
      <c r="EV108" s="17"/>
      <c r="EW108" s="17"/>
      <c r="EX108" s="17"/>
      <c r="EY108" s="17"/>
      <c r="EZ108" s="17"/>
      <c r="FA108" s="17"/>
      <c r="FB108" s="17"/>
      <c r="FC108" s="17"/>
      <c r="FD108" s="17"/>
      <c r="FE108" s="17"/>
      <c r="FF108" s="17"/>
      <c r="FG108" s="17"/>
      <c r="FH108" s="17"/>
      <c r="FI108" s="17"/>
      <c r="FJ108" s="17"/>
      <c r="FK108" s="17"/>
      <c r="FL108" s="17"/>
      <c r="FM108" s="17"/>
      <c r="FN108" s="17"/>
      <c r="FO108" s="17"/>
      <c r="FP108" s="17"/>
      <c r="FQ108" s="17"/>
      <c r="FR108" s="17"/>
      <c r="FS108" s="17"/>
      <c r="FT108" s="17"/>
      <c r="FU108" s="17"/>
      <c r="FV108" s="17"/>
      <c r="FW108" s="17"/>
      <c r="FX108" s="17"/>
      <c r="FY108" s="17"/>
      <c r="FZ108" s="17"/>
      <c r="GA108" s="17"/>
      <c r="GB108" s="17"/>
      <c r="GC108" s="17"/>
      <c r="GD108" s="17"/>
      <c r="GE108" s="17"/>
      <c r="GF108" s="17"/>
      <c r="GG108" s="17"/>
      <c r="GH108" s="17"/>
      <c r="GI108" s="17"/>
      <c r="GJ108" s="17"/>
      <c r="GK108" s="17"/>
      <c r="GL108" s="17"/>
      <c r="GM108" s="17"/>
      <c r="GN108" s="17"/>
      <c r="GO108" s="17"/>
      <c r="GP108" s="17"/>
      <c r="GQ108" s="17"/>
      <c r="GR108" s="17"/>
      <c r="GS108" s="17"/>
      <c r="GT108" s="17"/>
      <c r="GU108" s="17"/>
      <c r="GV108" s="17"/>
      <c r="GW108" s="17"/>
      <c r="GX108" s="17"/>
      <c r="GY108" s="17"/>
      <c r="GZ108" s="17"/>
      <c r="HA108" s="17"/>
      <c r="HB108" s="17"/>
      <c r="HC108" s="17"/>
      <c r="HD108" s="17"/>
      <c r="HE108" s="17"/>
      <c r="HF108" s="17"/>
      <c r="HG108" s="17"/>
      <c r="HH108" s="17"/>
      <c r="HI108" s="17"/>
      <c r="HJ108" s="17"/>
      <c r="HK108" s="17"/>
      <c r="HL108" s="17"/>
      <c r="HM108" s="17"/>
      <c r="HN108" s="17"/>
      <c r="HO108" s="17"/>
      <c r="HP108" s="17"/>
      <c r="HQ108" s="17"/>
      <c r="HR108" s="17"/>
      <c r="HS108" s="17"/>
      <c r="HT108" s="17"/>
      <c r="HU108" s="17"/>
      <c r="HV108" s="17"/>
      <c r="HW108" s="17"/>
      <c r="HX108" s="17"/>
      <c r="HY108" s="17"/>
      <c r="HZ108" s="17"/>
      <c r="IA108" s="17"/>
      <c r="IB108" s="17"/>
      <c r="IC108" s="17"/>
      <c r="ID108" s="17"/>
      <c r="IE108" s="17"/>
      <c r="IF108" s="17"/>
      <c r="IG108" s="17"/>
      <c r="IH108" s="17"/>
      <c r="II108" s="17"/>
      <c r="IJ108" s="17"/>
      <c r="IK108" s="17"/>
      <c r="IL108" s="17"/>
      <c r="IM108" s="17"/>
      <c r="IN108" s="17"/>
      <c r="IO108" s="17"/>
      <c r="IP108" s="17"/>
      <c r="IQ108" s="17"/>
      <c r="IR108" s="17"/>
      <c r="IS108" s="17"/>
      <c r="IT108" s="17"/>
      <c r="IU108" s="17"/>
      <c r="IV108" s="17"/>
      <c r="IW108" s="17"/>
      <c r="IX108" s="17"/>
      <c r="IY108" s="17"/>
      <c r="IZ108" s="17"/>
      <c r="JA108" s="17"/>
      <c r="JB108" s="17"/>
      <c r="JC108" s="17"/>
      <c r="JD108" s="17"/>
      <c r="JE108" s="17"/>
      <c r="JF108" s="17"/>
      <c r="JG108" s="17"/>
      <c r="JH108" s="17"/>
      <c r="JI108" s="17"/>
      <c r="JJ108" s="17"/>
      <c r="JK108" s="17"/>
      <c r="JL108" s="17"/>
      <c r="JM108" s="17"/>
      <c r="JN108" s="17"/>
      <c r="JO108" s="17"/>
      <c r="JP108" s="17"/>
      <c r="JQ108" s="17"/>
      <c r="JR108" s="17"/>
      <c r="JS108" s="17"/>
      <c r="JT108" s="17"/>
      <c r="JU108" s="17"/>
      <c r="JV108" s="17"/>
      <c r="JW108" s="17"/>
      <c r="JX108" s="17"/>
      <c r="JY108" s="17"/>
      <c r="JZ108" s="17"/>
      <c r="KA108" s="17"/>
      <c r="KB108" s="17"/>
      <c r="KC108" s="17"/>
      <c r="KD108" s="17"/>
      <c r="KE108" s="17"/>
      <c r="KF108" s="17"/>
      <c r="KG108" s="17"/>
      <c r="KH108" s="17"/>
      <c r="KI108" s="17"/>
      <c r="KJ108" s="17"/>
      <c r="KK108" s="17"/>
      <c r="KL108" s="17"/>
      <c r="KM108" s="17"/>
      <c r="KN108" s="17"/>
      <c r="KO108" s="17"/>
      <c r="KP108" s="17"/>
      <c r="KQ108" s="17"/>
      <c r="KR108" s="17"/>
      <c r="KS108" s="17"/>
      <c r="KT108" s="17"/>
      <c r="KU108" s="17"/>
      <c r="KV108" s="17"/>
      <c r="KW108" s="17"/>
      <c r="KX108" s="17"/>
      <c r="KY108" s="17"/>
    </row>
    <row r="109" spans="1:311" x14ac:dyDescent="0.25">
      <c r="A109" s="17"/>
      <c r="B109" s="17"/>
      <c r="C109" s="17"/>
      <c r="D109" s="17"/>
      <c r="E109" s="17"/>
      <c r="F109" s="17"/>
      <c r="G109" s="17"/>
      <c r="H109" s="17"/>
      <c r="I109" s="17"/>
      <c r="J109" s="17"/>
      <c r="K109" s="17"/>
      <c r="L109" s="17"/>
      <c r="M109" s="17"/>
      <c r="N109" s="17"/>
      <c r="O109" s="17"/>
      <c r="P109" s="17"/>
      <c r="Q109" s="17"/>
      <c r="R109" s="17"/>
      <c r="S109" s="17"/>
      <c r="T109" s="17"/>
      <c r="U109" s="17"/>
      <c r="V109" s="17"/>
      <c r="W109" s="17"/>
      <c r="X109" s="17"/>
      <c r="Y109" s="17"/>
      <c r="Z109" s="17"/>
      <c r="AA109" s="17"/>
      <c r="AB109" s="17"/>
      <c r="AC109" s="17"/>
      <c r="AD109" s="17"/>
      <c r="AE109" s="17"/>
      <c r="AF109" s="17"/>
      <c r="AG109" s="17"/>
      <c r="AH109" s="17"/>
      <c r="AI109" s="17"/>
      <c r="AJ109" s="17"/>
      <c r="AK109" s="17"/>
      <c r="AL109" s="17"/>
      <c r="AM109" s="17"/>
      <c r="AN109" s="17"/>
      <c r="AO109" s="17"/>
      <c r="AP109" s="17"/>
      <c r="AQ109" s="17"/>
      <c r="AR109" s="17"/>
      <c r="AS109" s="17"/>
      <c r="AT109" s="17"/>
      <c r="AU109" s="17"/>
      <c r="AV109" s="17"/>
      <c r="AW109" s="17"/>
      <c r="AX109" s="17"/>
      <c r="AY109" s="17"/>
      <c r="AZ109" s="17"/>
      <c r="BA109" s="17"/>
      <c r="BB109" s="17"/>
      <c r="BC109" s="17"/>
      <c r="BD109" s="17"/>
      <c r="BE109" s="17"/>
      <c r="BF109" s="17"/>
      <c r="BG109" s="17"/>
      <c r="BH109" s="17"/>
      <c r="BI109" s="17"/>
      <c r="BJ109" s="17"/>
      <c r="BK109" s="17"/>
      <c r="BL109" s="17"/>
      <c r="BM109" s="17"/>
      <c r="BN109" s="17"/>
      <c r="BO109" s="17"/>
      <c r="BP109" s="17"/>
      <c r="BQ109" s="17"/>
      <c r="BR109" s="17"/>
      <c r="BS109" s="17"/>
      <c r="BT109" s="17"/>
      <c r="BU109" s="17"/>
      <c r="BV109" s="17"/>
      <c r="BW109" s="17"/>
      <c r="BX109" s="17"/>
      <c r="BY109" s="17"/>
      <c r="BZ109" s="17"/>
      <c r="CA109" s="17"/>
      <c r="CB109" s="17"/>
      <c r="CC109" s="17"/>
      <c r="CD109" s="17"/>
      <c r="CE109" s="17"/>
      <c r="CF109" s="17"/>
      <c r="CG109" s="17"/>
      <c r="CH109" s="17"/>
      <c r="CI109" s="17"/>
      <c r="CJ109" s="17"/>
      <c r="CK109" s="17"/>
      <c r="CL109" s="17"/>
      <c r="CM109" s="17"/>
      <c r="CN109" s="17"/>
      <c r="CO109" s="17"/>
      <c r="CP109" s="17"/>
      <c r="CQ109" s="17"/>
      <c r="CR109" s="17"/>
      <c r="CS109" s="17"/>
      <c r="CT109" s="17"/>
      <c r="CU109" s="17"/>
      <c r="CV109" s="17"/>
      <c r="CW109" s="17"/>
      <c r="CX109" s="17"/>
      <c r="CY109" s="17"/>
      <c r="CZ109" s="17"/>
      <c r="DA109" s="17"/>
      <c r="DB109" s="17"/>
      <c r="DC109" s="17"/>
      <c r="DD109" s="17"/>
      <c r="DE109" s="17"/>
      <c r="DF109" s="17"/>
      <c r="DG109" s="17"/>
      <c r="DH109" s="17"/>
      <c r="DI109" s="17"/>
      <c r="DJ109" s="17"/>
      <c r="DK109" s="17"/>
      <c r="DL109" s="17"/>
      <c r="DM109" s="17"/>
      <c r="DN109" s="17"/>
      <c r="DO109" s="17"/>
      <c r="DP109" s="17"/>
      <c r="DQ109" s="17"/>
      <c r="DR109" s="17"/>
      <c r="DS109" s="17"/>
      <c r="DT109" s="17"/>
      <c r="DU109" s="17"/>
      <c r="DV109" s="17"/>
      <c r="DW109" s="17"/>
      <c r="DX109" s="17"/>
      <c r="DY109" s="17"/>
      <c r="DZ109" s="17"/>
      <c r="EA109" s="17"/>
      <c r="EB109" s="17"/>
      <c r="EC109" s="17"/>
      <c r="ED109" s="17"/>
      <c r="EE109" s="17"/>
      <c r="EF109" s="17"/>
      <c r="EG109" s="17"/>
      <c r="EH109" s="17"/>
      <c r="EI109" s="17"/>
      <c r="EJ109" s="17"/>
      <c r="EK109" s="17"/>
      <c r="EL109" s="17"/>
      <c r="EM109" s="17"/>
      <c r="EN109" s="17"/>
      <c r="EO109" s="17"/>
      <c r="EP109" s="17"/>
      <c r="EQ109" s="17"/>
      <c r="ER109" s="17"/>
      <c r="ES109" s="17"/>
      <c r="ET109" s="17"/>
      <c r="EU109" s="17"/>
      <c r="EV109" s="17"/>
      <c r="EW109" s="17"/>
      <c r="EX109" s="17"/>
      <c r="EY109" s="17"/>
      <c r="EZ109" s="17"/>
      <c r="FA109" s="17"/>
      <c r="FB109" s="17"/>
      <c r="FC109" s="17"/>
      <c r="FD109" s="17"/>
      <c r="FE109" s="17"/>
      <c r="FF109" s="17"/>
      <c r="FG109" s="17"/>
      <c r="FH109" s="17"/>
      <c r="FI109" s="17"/>
      <c r="FJ109" s="17"/>
      <c r="FK109" s="17"/>
      <c r="FL109" s="17"/>
      <c r="FM109" s="17"/>
      <c r="FN109" s="17"/>
      <c r="FO109" s="17"/>
      <c r="FP109" s="17"/>
      <c r="FQ109" s="17"/>
      <c r="FR109" s="17"/>
      <c r="FS109" s="17"/>
      <c r="FT109" s="17"/>
      <c r="FU109" s="17"/>
      <c r="FV109" s="17"/>
      <c r="FW109" s="17"/>
      <c r="FX109" s="17"/>
      <c r="FY109" s="17"/>
      <c r="FZ109" s="17"/>
      <c r="GA109" s="17"/>
      <c r="GB109" s="17"/>
      <c r="GC109" s="17"/>
      <c r="GD109" s="17"/>
      <c r="GE109" s="17"/>
      <c r="GF109" s="17"/>
      <c r="GG109" s="17"/>
      <c r="GH109" s="17"/>
      <c r="GI109" s="17"/>
      <c r="GJ109" s="17"/>
      <c r="GK109" s="17"/>
      <c r="GL109" s="17"/>
      <c r="GM109" s="17"/>
      <c r="GN109" s="17"/>
      <c r="GO109" s="17"/>
      <c r="GP109" s="17"/>
      <c r="GQ109" s="17"/>
      <c r="GR109" s="17"/>
      <c r="GS109" s="17"/>
      <c r="GT109" s="17"/>
      <c r="GU109" s="17"/>
      <c r="GV109" s="17"/>
      <c r="GW109" s="17"/>
      <c r="GX109" s="17"/>
      <c r="GY109" s="17"/>
      <c r="GZ109" s="17"/>
      <c r="HA109" s="17"/>
      <c r="HB109" s="17"/>
      <c r="HC109" s="17"/>
      <c r="HD109" s="17"/>
      <c r="HE109" s="17"/>
      <c r="HF109" s="17"/>
      <c r="HG109" s="17"/>
      <c r="HH109" s="17"/>
      <c r="HI109" s="17"/>
      <c r="HJ109" s="17"/>
      <c r="HK109" s="17"/>
      <c r="HL109" s="17"/>
      <c r="HM109" s="17"/>
      <c r="HN109" s="17"/>
      <c r="HO109" s="17"/>
      <c r="HP109" s="17"/>
      <c r="HQ109" s="17"/>
      <c r="HR109" s="17"/>
      <c r="HS109" s="17"/>
      <c r="HT109" s="17"/>
      <c r="HU109" s="17"/>
      <c r="HV109" s="17"/>
      <c r="HW109" s="17"/>
      <c r="HX109" s="17"/>
      <c r="HY109" s="17"/>
      <c r="HZ109" s="17"/>
      <c r="IA109" s="17"/>
      <c r="IB109" s="17"/>
      <c r="IC109" s="17"/>
      <c r="ID109" s="17"/>
      <c r="IE109" s="17"/>
      <c r="IF109" s="17"/>
      <c r="IG109" s="17"/>
      <c r="IH109" s="17"/>
      <c r="II109" s="17"/>
      <c r="IJ109" s="17"/>
      <c r="IK109" s="17"/>
      <c r="IL109" s="17"/>
      <c r="IM109" s="17"/>
      <c r="IN109" s="17"/>
      <c r="IO109" s="17"/>
      <c r="IP109" s="17"/>
      <c r="IQ109" s="17"/>
      <c r="IR109" s="17"/>
      <c r="IS109" s="17"/>
      <c r="IT109" s="17"/>
      <c r="IU109" s="17"/>
      <c r="IV109" s="17"/>
      <c r="IW109" s="17"/>
      <c r="IX109" s="17"/>
      <c r="IY109" s="17"/>
      <c r="IZ109" s="17"/>
      <c r="JA109" s="17"/>
      <c r="JB109" s="17"/>
      <c r="JC109" s="17"/>
      <c r="JD109" s="17"/>
      <c r="JE109" s="17"/>
      <c r="JF109" s="17"/>
      <c r="JG109" s="17"/>
      <c r="JH109" s="17"/>
      <c r="JI109" s="17"/>
      <c r="JJ109" s="17"/>
      <c r="JK109" s="17"/>
      <c r="JL109" s="17"/>
      <c r="JM109" s="17"/>
      <c r="JN109" s="17"/>
      <c r="JO109" s="17"/>
      <c r="JP109" s="17"/>
      <c r="JQ109" s="17"/>
      <c r="JR109" s="17"/>
      <c r="JS109" s="17"/>
      <c r="JT109" s="17"/>
      <c r="JU109" s="17"/>
      <c r="JV109" s="17"/>
      <c r="JW109" s="17"/>
      <c r="JX109" s="17"/>
      <c r="JY109" s="17"/>
      <c r="JZ109" s="17"/>
      <c r="KA109" s="17"/>
      <c r="KB109" s="17"/>
      <c r="KC109" s="17"/>
      <c r="KD109" s="17"/>
      <c r="KE109" s="17"/>
      <c r="KF109" s="17"/>
      <c r="KG109" s="17"/>
      <c r="KH109" s="17"/>
      <c r="KI109" s="17"/>
      <c r="KJ109" s="17"/>
      <c r="KK109" s="17"/>
      <c r="KL109" s="17"/>
      <c r="KM109" s="17"/>
      <c r="KN109" s="17"/>
      <c r="KO109" s="17"/>
      <c r="KP109" s="17"/>
      <c r="KQ109" s="17"/>
      <c r="KR109" s="17"/>
      <c r="KS109" s="17"/>
      <c r="KT109" s="17"/>
      <c r="KU109" s="17"/>
      <c r="KV109" s="17"/>
      <c r="KW109" s="17"/>
      <c r="KX109" s="17"/>
      <c r="KY109" s="17"/>
    </row>
    <row r="110" spans="1:311" x14ac:dyDescent="0.25">
      <c r="A110" s="17"/>
      <c r="B110" s="17"/>
      <c r="C110" s="17"/>
      <c r="D110" s="17"/>
      <c r="E110" s="17"/>
      <c r="F110" s="17"/>
      <c r="G110" s="17"/>
      <c r="H110" s="17"/>
      <c r="I110" s="17"/>
      <c r="J110" s="17"/>
      <c r="K110" s="17"/>
      <c r="L110" s="17"/>
      <c r="M110" s="17"/>
      <c r="N110" s="17"/>
      <c r="O110" s="17"/>
      <c r="P110" s="17"/>
      <c r="Q110" s="17"/>
      <c r="R110" s="17"/>
      <c r="S110" s="17"/>
      <c r="T110" s="17"/>
      <c r="U110" s="17"/>
      <c r="V110" s="17"/>
      <c r="W110" s="17"/>
      <c r="X110" s="17"/>
      <c r="Y110" s="17"/>
      <c r="Z110" s="17"/>
      <c r="AA110" s="17"/>
      <c r="AB110" s="17"/>
      <c r="AC110" s="17"/>
      <c r="AD110" s="17"/>
      <c r="AE110" s="17"/>
      <c r="AF110" s="17"/>
      <c r="AG110" s="17"/>
      <c r="AH110" s="17"/>
      <c r="AI110" s="17"/>
      <c r="AJ110" s="17"/>
      <c r="AK110" s="17"/>
      <c r="AL110" s="17"/>
      <c r="AM110" s="17"/>
      <c r="AN110" s="17"/>
      <c r="AO110" s="17"/>
      <c r="AP110" s="17"/>
      <c r="AQ110" s="17"/>
      <c r="AR110" s="17"/>
      <c r="AS110" s="17"/>
      <c r="AT110" s="17"/>
      <c r="AU110" s="17"/>
      <c r="AV110" s="17"/>
      <c r="AW110" s="17"/>
      <c r="AX110" s="17"/>
      <c r="AY110" s="17"/>
      <c r="AZ110" s="17"/>
      <c r="BA110" s="17"/>
      <c r="BB110" s="17"/>
      <c r="BC110" s="17"/>
      <c r="BD110" s="17"/>
      <c r="BE110" s="17"/>
      <c r="BF110" s="17"/>
      <c r="BG110" s="17"/>
      <c r="BH110" s="17"/>
      <c r="BI110" s="17"/>
      <c r="BJ110" s="17"/>
      <c r="BK110" s="17"/>
      <c r="BL110" s="17"/>
      <c r="BM110" s="17"/>
      <c r="BN110" s="17"/>
      <c r="BO110" s="17"/>
      <c r="BP110" s="17"/>
      <c r="BQ110" s="17"/>
      <c r="BR110" s="17"/>
      <c r="BS110" s="17"/>
      <c r="BT110" s="17"/>
      <c r="BU110" s="17"/>
      <c r="BV110" s="17"/>
      <c r="BW110" s="17"/>
      <c r="BX110" s="17"/>
      <c r="BY110" s="17"/>
      <c r="BZ110" s="17"/>
      <c r="CA110" s="17"/>
      <c r="CB110" s="17"/>
      <c r="CC110" s="17"/>
      <c r="CD110" s="17"/>
      <c r="CE110" s="17"/>
      <c r="CF110" s="17"/>
      <c r="CG110" s="17"/>
      <c r="CH110" s="17"/>
      <c r="CI110" s="17"/>
      <c r="CJ110" s="17"/>
      <c r="CK110" s="17"/>
      <c r="CL110" s="17"/>
      <c r="CM110" s="17"/>
      <c r="CN110" s="17"/>
      <c r="CO110" s="17"/>
      <c r="CP110" s="17"/>
      <c r="CQ110" s="17"/>
      <c r="CR110" s="17"/>
      <c r="CS110" s="17"/>
      <c r="CT110" s="17"/>
      <c r="CU110" s="17"/>
      <c r="CV110" s="17"/>
      <c r="CW110" s="17"/>
      <c r="CX110" s="17"/>
      <c r="CY110" s="17"/>
      <c r="CZ110" s="17"/>
      <c r="DA110" s="17"/>
      <c r="DB110" s="17"/>
      <c r="DC110" s="17"/>
      <c r="DD110" s="17"/>
      <c r="DE110" s="17"/>
      <c r="DF110" s="17"/>
      <c r="DG110" s="17"/>
      <c r="DH110" s="17"/>
      <c r="DI110" s="17"/>
      <c r="DJ110" s="17"/>
      <c r="DK110" s="17"/>
      <c r="DL110" s="17"/>
      <c r="DM110" s="17"/>
      <c r="DN110" s="17"/>
      <c r="DO110" s="17"/>
      <c r="DP110" s="17"/>
      <c r="DQ110" s="17"/>
      <c r="DR110" s="17"/>
      <c r="DS110" s="17"/>
      <c r="DT110" s="17"/>
      <c r="DU110" s="17"/>
      <c r="DV110" s="17"/>
      <c r="DW110" s="17"/>
      <c r="DX110" s="17"/>
      <c r="DY110" s="17"/>
      <c r="DZ110" s="17"/>
      <c r="EA110" s="17"/>
      <c r="EB110" s="17"/>
      <c r="EC110" s="17"/>
      <c r="ED110" s="17"/>
      <c r="EE110" s="17"/>
      <c r="EF110" s="17"/>
      <c r="EG110" s="17"/>
      <c r="EH110" s="17"/>
      <c r="EI110" s="17"/>
      <c r="EJ110" s="17"/>
      <c r="EK110" s="17"/>
      <c r="EL110" s="17"/>
      <c r="EM110" s="17"/>
      <c r="EN110" s="17"/>
      <c r="EO110" s="17"/>
      <c r="EP110" s="17"/>
      <c r="EQ110" s="17"/>
      <c r="ER110" s="17"/>
      <c r="ES110" s="17"/>
      <c r="ET110" s="17"/>
      <c r="EU110" s="17"/>
      <c r="EV110" s="17"/>
      <c r="EW110" s="17"/>
      <c r="EX110" s="17"/>
      <c r="EY110" s="17"/>
      <c r="EZ110" s="17"/>
      <c r="FA110" s="17"/>
      <c r="FB110" s="17"/>
      <c r="FC110" s="17"/>
      <c r="FD110" s="17"/>
      <c r="FE110" s="17"/>
      <c r="FF110" s="17"/>
      <c r="FG110" s="17"/>
      <c r="FH110" s="17"/>
      <c r="FI110" s="17"/>
      <c r="FJ110" s="17"/>
      <c r="FK110" s="17"/>
      <c r="FL110" s="17"/>
      <c r="FM110" s="17"/>
      <c r="FN110" s="17"/>
      <c r="FO110" s="17"/>
      <c r="FP110" s="17"/>
      <c r="FQ110" s="17"/>
      <c r="FR110" s="17"/>
      <c r="FS110" s="17"/>
      <c r="FT110" s="17"/>
      <c r="FU110" s="17"/>
      <c r="FV110" s="17"/>
      <c r="FW110" s="17"/>
      <c r="FX110" s="17"/>
      <c r="FY110" s="17"/>
      <c r="FZ110" s="17"/>
      <c r="GA110" s="17"/>
      <c r="GB110" s="17"/>
      <c r="GC110" s="17"/>
      <c r="GD110" s="17"/>
      <c r="GE110" s="17"/>
      <c r="GF110" s="17"/>
      <c r="GG110" s="17"/>
      <c r="GH110" s="17"/>
      <c r="GI110" s="17"/>
      <c r="GJ110" s="17"/>
      <c r="GK110" s="17"/>
      <c r="GL110" s="17"/>
      <c r="GM110" s="17"/>
      <c r="GN110" s="17"/>
      <c r="GO110" s="17"/>
      <c r="GP110" s="17"/>
      <c r="GQ110" s="17"/>
      <c r="GR110" s="17"/>
      <c r="GS110" s="17"/>
      <c r="GT110" s="17"/>
      <c r="GU110" s="17"/>
      <c r="GV110" s="17"/>
      <c r="GW110" s="17"/>
      <c r="GX110" s="17"/>
      <c r="GY110" s="17"/>
      <c r="GZ110" s="17"/>
      <c r="HA110" s="17"/>
      <c r="HB110" s="17"/>
      <c r="HC110" s="17"/>
      <c r="HD110" s="17"/>
      <c r="HE110" s="17"/>
      <c r="HF110" s="17"/>
      <c r="HG110" s="17"/>
      <c r="HH110" s="17"/>
      <c r="HI110" s="17"/>
      <c r="HJ110" s="17"/>
      <c r="HK110" s="17"/>
      <c r="HL110" s="17"/>
      <c r="HM110" s="17"/>
      <c r="HN110" s="17"/>
      <c r="HO110" s="17"/>
      <c r="HP110" s="17"/>
      <c r="HQ110" s="17"/>
      <c r="HR110" s="17"/>
      <c r="HS110" s="17"/>
      <c r="HT110" s="17"/>
      <c r="HU110" s="17"/>
      <c r="HV110" s="17"/>
      <c r="HW110" s="17"/>
      <c r="HX110" s="17"/>
      <c r="HY110" s="17"/>
      <c r="HZ110" s="17"/>
      <c r="IA110" s="17"/>
      <c r="IB110" s="17"/>
      <c r="IC110" s="17"/>
      <c r="ID110" s="17"/>
      <c r="IE110" s="17"/>
      <c r="IF110" s="17"/>
      <c r="IG110" s="17"/>
      <c r="IH110" s="17"/>
      <c r="II110" s="17"/>
      <c r="IJ110" s="17"/>
      <c r="IK110" s="17"/>
      <c r="IL110" s="17"/>
      <c r="IM110" s="17"/>
      <c r="IN110" s="17"/>
      <c r="IO110" s="17"/>
      <c r="IP110" s="17"/>
      <c r="IQ110" s="17"/>
      <c r="IR110" s="17"/>
      <c r="IS110" s="17"/>
      <c r="IT110" s="17"/>
      <c r="IU110" s="17"/>
      <c r="IV110" s="17"/>
      <c r="IW110" s="17"/>
      <c r="IX110" s="17"/>
      <c r="IY110" s="17"/>
      <c r="IZ110" s="17"/>
      <c r="JA110" s="17"/>
      <c r="JB110" s="17"/>
      <c r="JC110" s="17"/>
      <c r="JD110" s="17"/>
      <c r="JE110" s="17"/>
      <c r="JF110" s="17"/>
      <c r="JG110" s="17"/>
      <c r="JH110" s="17"/>
      <c r="JI110" s="17"/>
      <c r="JJ110" s="17"/>
      <c r="JK110" s="17"/>
      <c r="JL110" s="17"/>
      <c r="JM110" s="17"/>
      <c r="JN110" s="17"/>
      <c r="JO110" s="17"/>
      <c r="JP110" s="17"/>
      <c r="JQ110" s="17"/>
      <c r="JR110" s="17"/>
      <c r="JS110" s="17"/>
      <c r="JT110" s="17"/>
      <c r="JU110" s="17"/>
      <c r="JV110" s="17"/>
      <c r="JW110" s="17"/>
      <c r="JX110" s="17"/>
      <c r="JY110" s="17"/>
      <c r="JZ110" s="17"/>
      <c r="KA110" s="17"/>
      <c r="KB110" s="17"/>
      <c r="KC110" s="17"/>
      <c r="KD110" s="17"/>
      <c r="KE110" s="17"/>
      <c r="KF110" s="17"/>
      <c r="KG110" s="17"/>
      <c r="KH110" s="17"/>
      <c r="KI110" s="17"/>
      <c r="KJ110" s="17"/>
      <c r="KK110" s="17"/>
      <c r="KL110" s="17"/>
      <c r="KM110" s="17"/>
      <c r="KN110" s="17"/>
      <c r="KO110" s="17"/>
      <c r="KP110" s="17"/>
      <c r="KQ110" s="17"/>
      <c r="KR110" s="17"/>
      <c r="KS110" s="17"/>
      <c r="KT110" s="17"/>
      <c r="KU110" s="17"/>
      <c r="KV110" s="17"/>
      <c r="KW110" s="17"/>
      <c r="KX110" s="17"/>
      <c r="KY110" s="17"/>
    </row>
    <row r="111" spans="1:311" x14ac:dyDescent="0.25">
      <c r="A111" s="17"/>
      <c r="B111" s="17"/>
      <c r="C111" s="17"/>
      <c r="D111" s="17"/>
      <c r="E111" s="17"/>
      <c r="F111" s="17"/>
      <c r="G111" s="17"/>
      <c r="H111" s="17"/>
      <c r="I111" s="17"/>
      <c r="J111" s="17"/>
      <c r="K111" s="17"/>
      <c r="L111" s="17"/>
      <c r="M111" s="17"/>
      <c r="N111" s="17"/>
      <c r="O111" s="17"/>
      <c r="P111" s="17"/>
      <c r="Q111" s="17"/>
      <c r="R111" s="17"/>
      <c r="S111" s="17"/>
      <c r="T111" s="17"/>
      <c r="U111" s="17"/>
      <c r="V111" s="17"/>
      <c r="W111" s="17"/>
      <c r="X111" s="17"/>
      <c r="Y111" s="17"/>
      <c r="Z111" s="17"/>
      <c r="AA111" s="17"/>
      <c r="AB111" s="17"/>
      <c r="AC111" s="17"/>
      <c r="AD111" s="17"/>
      <c r="AE111" s="17"/>
      <c r="AF111" s="17"/>
      <c r="AG111" s="17"/>
      <c r="AH111" s="17"/>
      <c r="AI111" s="17"/>
      <c r="AJ111" s="17"/>
      <c r="AK111" s="17"/>
      <c r="AL111" s="17"/>
      <c r="AM111" s="17"/>
      <c r="AN111" s="17"/>
      <c r="AO111" s="17"/>
      <c r="AP111" s="17"/>
      <c r="AQ111" s="17"/>
      <c r="AR111" s="17"/>
      <c r="AS111" s="17"/>
      <c r="AT111" s="17"/>
      <c r="AU111" s="17"/>
      <c r="AV111" s="17"/>
      <c r="AW111" s="17"/>
      <c r="AX111" s="17"/>
      <c r="AY111" s="17"/>
      <c r="AZ111" s="17"/>
      <c r="BA111" s="17"/>
      <c r="BB111" s="17"/>
      <c r="BC111" s="17"/>
      <c r="BD111" s="17"/>
      <c r="BE111" s="17"/>
      <c r="BF111" s="17"/>
      <c r="BG111" s="17"/>
      <c r="BH111" s="17"/>
      <c r="BI111" s="17"/>
      <c r="BJ111" s="17"/>
      <c r="BK111" s="17"/>
      <c r="BL111" s="17"/>
      <c r="BM111" s="17"/>
      <c r="BN111" s="17"/>
      <c r="BO111" s="17"/>
      <c r="BP111" s="17"/>
      <c r="BQ111" s="17"/>
      <c r="BR111" s="17"/>
      <c r="BS111" s="17"/>
      <c r="BT111" s="17"/>
      <c r="BU111" s="17"/>
      <c r="BV111" s="17"/>
      <c r="BW111" s="17"/>
      <c r="BX111" s="17"/>
      <c r="BY111" s="17"/>
      <c r="BZ111" s="17"/>
      <c r="CA111" s="17"/>
      <c r="CB111" s="17"/>
      <c r="CC111" s="17"/>
      <c r="CD111" s="17"/>
      <c r="CE111" s="17"/>
      <c r="CF111" s="17"/>
      <c r="CG111" s="17"/>
      <c r="CH111" s="17"/>
      <c r="CI111" s="17"/>
      <c r="CJ111" s="17"/>
      <c r="CK111" s="17"/>
      <c r="CL111" s="17"/>
      <c r="CM111" s="17"/>
      <c r="CN111" s="17"/>
      <c r="CO111" s="17"/>
      <c r="CP111" s="17"/>
      <c r="CQ111" s="17"/>
      <c r="CR111" s="17"/>
      <c r="CS111" s="17"/>
      <c r="CT111" s="17"/>
      <c r="CU111" s="17"/>
      <c r="CV111" s="17"/>
      <c r="CW111" s="17"/>
      <c r="CX111" s="17"/>
      <c r="CY111" s="17"/>
      <c r="CZ111" s="17"/>
      <c r="DA111" s="17"/>
      <c r="DB111" s="17"/>
      <c r="DC111" s="17"/>
      <c r="DD111" s="17"/>
      <c r="DE111" s="17"/>
      <c r="DF111" s="17"/>
      <c r="DG111" s="17"/>
      <c r="DH111" s="17"/>
      <c r="DI111" s="17"/>
      <c r="DJ111" s="17"/>
      <c r="DK111" s="17"/>
      <c r="DL111" s="17"/>
      <c r="DM111" s="17"/>
      <c r="DN111" s="17"/>
      <c r="DO111" s="17"/>
      <c r="DP111" s="17"/>
      <c r="DQ111" s="17"/>
      <c r="DR111" s="17"/>
      <c r="DS111" s="17"/>
      <c r="DT111" s="17"/>
      <c r="DU111" s="17"/>
      <c r="DV111" s="17"/>
      <c r="DW111" s="17"/>
      <c r="DX111" s="17"/>
      <c r="DY111" s="17"/>
      <c r="DZ111" s="17"/>
      <c r="EA111" s="17"/>
      <c r="EB111" s="17"/>
      <c r="EC111" s="17"/>
      <c r="ED111" s="17"/>
      <c r="EE111" s="17"/>
      <c r="EF111" s="17"/>
      <c r="EG111" s="17"/>
      <c r="EH111" s="17"/>
      <c r="EI111" s="17"/>
      <c r="EJ111" s="17"/>
      <c r="EK111" s="17"/>
      <c r="EL111" s="17"/>
      <c r="EM111" s="17"/>
      <c r="EN111" s="17"/>
      <c r="EO111" s="17"/>
      <c r="EP111" s="17"/>
      <c r="EQ111" s="17"/>
      <c r="ER111" s="17"/>
      <c r="ES111" s="17"/>
      <c r="ET111" s="17"/>
      <c r="EU111" s="17"/>
      <c r="EV111" s="17"/>
      <c r="EW111" s="17"/>
      <c r="EX111" s="17"/>
      <c r="EY111" s="17"/>
      <c r="EZ111" s="17"/>
      <c r="FA111" s="17"/>
      <c r="FB111" s="17"/>
      <c r="FC111" s="17"/>
      <c r="FD111" s="17"/>
      <c r="FE111" s="17"/>
      <c r="FF111" s="17"/>
      <c r="FG111" s="17"/>
      <c r="FH111" s="17"/>
      <c r="FI111" s="17"/>
      <c r="FJ111" s="17"/>
      <c r="FK111" s="17"/>
      <c r="FL111" s="17"/>
      <c r="FM111" s="17"/>
      <c r="FN111" s="17"/>
      <c r="FO111" s="17"/>
      <c r="FP111" s="17"/>
      <c r="FQ111" s="17"/>
      <c r="FR111" s="17"/>
      <c r="FS111" s="17"/>
      <c r="FT111" s="17"/>
      <c r="FU111" s="17"/>
      <c r="FV111" s="17"/>
      <c r="FW111" s="17"/>
      <c r="FX111" s="17"/>
      <c r="FY111" s="17"/>
      <c r="FZ111" s="17"/>
      <c r="GA111" s="17"/>
      <c r="GB111" s="17"/>
      <c r="GC111" s="17"/>
      <c r="GD111" s="17"/>
      <c r="GE111" s="17"/>
      <c r="GF111" s="17"/>
      <c r="GG111" s="17"/>
      <c r="GH111" s="17"/>
      <c r="GI111" s="17"/>
      <c r="GJ111" s="17"/>
      <c r="GK111" s="17"/>
      <c r="GL111" s="17"/>
      <c r="GM111" s="17"/>
      <c r="GN111" s="17"/>
      <c r="GO111" s="17"/>
      <c r="GP111" s="17"/>
      <c r="GQ111" s="17"/>
      <c r="GR111" s="17"/>
      <c r="GS111" s="17"/>
      <c r="GT111" s="17"/>
      <c r="GU111" s="17"/>
      <c r="GV111" s="17"/>
      <c r="GW111" s="17"/>
      <c r="GX111" s="17"/>
      <c r="GY111" s="17"/>
      <c r="GZ111" s="17"/>
      <c r="HA111" s="17"/>
      <c r="HB111" s="17"/>
      <c r="HC111" s="17"/>
      <c r="HD111" s="17"/>
      <c r="HE111" s="17"/>
      <c r="HF111" s="17"/>
      <c r="HG111" s="17"/>
      <c r="HH111" s="17"/>
      <c r="HI111" s="17"/>
      <c r="HJ111" s="17"/>
      <c r="HK111" s="17"/>
      <c r="HL111" s="17"/>
      <c r="HM111" s="17"/>
      <c r="HN111" s="17"/>
      <c r="HO111" s="17"/>
      <c r="HP111" s="17"/>
      <c r="HQ111" s="17"/>
      <c r="HR111" s="17"/>
      <c r="HS111" s="17"/>
      <c r="HT111" s="17"/>
      <c r="HU111" s="17"/>
      <c r="HV111" s="17"/>
      <c r="HW111" s="17"/>
      <c r="HX111" s="17"/>
      <c r="HY111" s="17"/>
      <c r="HZ111" s="17"/>
      <c r="IA111" s="17"/>
      <c r="IB111" s="17"/>
      <c r="IC111" s="17"/>
      <c r="ID111" s="17"/>
      <c r="IE111" s="17"/>
      <c r="IF111" s="17"/>
      <c r="IG111" s="17"/>
      <c r="IH111" s="17"/>
      <c r="II111" s="17"/>
      <c r="IJ111" s="17"/>
      <c r="IK111" s="17"/>
      <c r="IL111" s="17"/>
      <c r="IM111" s="17"/>
      <c r="IN111" s="17"/>
      <c r="IO111" s="17"/>
      <c r="IP111" s="17"/>
      <c r="IQ111" s="17"/>
      <c r="IR111" s="17"/>
      <c r="IS111" s="17"/>
      <c r="IT111" s="17"/>
      <c r="IU111" s="17"/>
      <c r="IV111" s="17"/>
      <c r="IW111" s="17"/>
      <c r="IX111" s="17"/>
      <c r="IY111" s="17"/>
      <c r="IZ111" s="17"/>
      <c r="JA111" s="17"/>
      <c r="JB111" s="17"/>
      <c r="JC111" s="17"/>
      <c r="JD111" s="17"/>
      <c r="JE111" s="17"/>
      <c r="JF111" s="17"/>
      <c r="JG111" s="17"/>
      <c r="JH111" s="17"/>
      <c r="JI111" s="17"/>
      <c r="JJ111" s="17"/>
      <c r="JK111" s="17"/>
      <c r="JL111" s="17"/>
      <c r="JM111" s="17"/>
      <c r="JN111" s="17"/>
      <c r="JO111" s="17"/>
      <c r="JP111" s="17"/>
      <c r="JQ111" s="17"/>
      <c r="JR111" s="17"/>
      <c r="JS111" s="17"/>
      <c r="JT111" s="17"/>
      <c r="JU111" s="17"/>
      <c r="JV111" s="17"/>
      <c r="JW111" s="17"/>
      <c r="JX111" s="17"/>
      <c r="JY111" s="17"/>
      <c r="JZ111" s="17"/>
      <c r="KA111" s="17"/>
      <c r="KB111" s="17"/>
      <c r="KC111" s="17"/>
      <c r="KD111" s="17"/>
      <c r="KE111" s="17"/>
      <c r="KF111" s="17"/>
      <c r="KG111" s="17"/>
      <c r="KH111" s="17"/>
      <c r="KI111" s="17"/>
      <c r="KJ111" s="17"/>
      <c r="KK111" s="17"/>
      <c r="KL111" s="17"/>
      <c r="KM111" s="17"/>
      <c r="KN111" s="17"/>
      <c r="KO111" s="17"/>
      <c r="KP111" s="17"/>
      <c r="KQ111" s="17"/>
      <c r="KR111" s="17"/>
      <c r="KS111" s="17"/>
      <c r="KT111" s="17"/>
      <c r="KU111" s="17"/>
      <c r="KV111" s="17"/>
      <c r="KW111" s="17"/>
      <c r="KX111" s="17"/>
      <c r="KY111" s="17"/>
    </row>
    <row r="112" spans="1:311" x14ac:dyDescent="0.25">
      <c r="A112" s="17"/>
      <c r="B112" s="17"/>
      <c r="C112" s="17"/>
      <c r="D112" s="17"/>
      <c r="E112" s="17"/>
      <c r="F112" s="17"/>
      <c r="G112" s="17"/>
      <c r="H112" s="17"/>
      <c r="I112" s="17"/>
      <c r="J112" s="17"/>
      <c r="K112" s="17"/>
      <c r="L112" s="17"/>
      <c r="M112" s="17"/>
      <c r="N112" s="17"/>
      <c r="O112" s="17"/>
      <c r="P112" s="17"/>
      <c r="Q112" s="17"/>
      <c r="R112" s="17"/>
      <c r="S112" s="17"/>
      <c r="T112" s="17"/>
      <c r="U112" s="17"/>
      <c r="V112" s="17"/>
      <c r="W112" s="17"/>
      <c r="X112" s="17"/>
      <c r="Y112" s="17"/>
      <c r="Z112" s="17"/>
      <c r="AA112" s="17"/>
      <c r="AB112" s="17"/>
      <c r="AC112" s="17"/>
      <c r="AD112" s="17"/>
      <c r="AE112" s="17"/>
      <c r="AF112" s="17"/>
      <c r="AG112" s="17"/>
      <c r="AH112" s="17"/>
      <c r="AI112" s="17"/>
      <c r="AJ112" s="17"/>
      <c r="AK112" s="17"/>
      <c r="AL112" s="17"/>
      <c r="AM112" s="17"/>
      <c r="AN112" s="17"/>
      <c r="AO112" s="17"/>
      <c r="AP112" s="17"/>
      <c r="AQ112" s="17"/>
      <c r="AR112" s="17"/>
      <c r="AS112" s="17"/>
      <c r="AT112" s="17"/>
      <c r="AU112" s="17"/>
      <c r="AV112" s="17"/>
      <c r="AW112" s="17"/>
      <c r="AX112" s="17"/>
      <c r="AY112" s="17"/>
      <c r="AZ112" s="17"/>
      <c r="BA112" s="17"/>
      <c r="BB112" s="17"/>
      <c r="BC112" s="17"/>
      <c r="BD112" s="17"/>
      <c r="BE112" s="17"/>
      <c r="BF112" s="17"/>
      <c r="BG112" s="17"/>
      <c r="BH112" s="17"/>
      <c r="BI112" s="17"/>
      <c r="BJ112" s="17"/>
      <c r="BK112" s="17"/>
      <c r="BL112" s="17"/>
      <c r="BM112" s="17"/>
      <c r="BN112" s="17"/>
      <c r="BO112" s="17"/>
      <c r="BP112" s="17"/>
      <c r="BQ112" s="17"/>
      <c r="BR112" s="17"/>
      <c r="BS112" s="17"/>
      <c r="BT112" s="17"/>
      <c r="BU112" s="17"/>
      <c r="BV112" s="17"/>
      <c r="BW112" s="17"/>
      <c r="BX112" s="17"/>
      <c r="BY112" s="17"/>
      <c r="BZ112" s="17"/>
      <c r="CA112" s="17"/>
      <c r="CB112" s="17"/>
      <c r="CC112" s="17"/>
      <c r="CD112" s="17"/>
      <c r="CE112" s="17"/>
      <c r="CF112" s="17"/>
      <c r="CG112" s="17"/>
      <c r="CH112" s="17"/>
      <c r="CI112" s="17"/>
      <c r="CJ112" s="17"/>
      <c r="CK112" s="17"/>
      <c r="CL112" s="17"/>
      <c r="CM112" s="17"/>
      <c r="CN112" s="17"/>
      <c r="CO112" s="17"/>
      <c r="CP112" s="17"/>
      <c r="CQ112" s="17"/>
      <c r="CR112" s="17"/>
      <c r="CS112" s="17"/>
      <c r="CT112" s="17"/>
      <c r="CU112" s="17"/>
      <c r="CV112" s="17"/>
      <c r="CW112" s="17"/>
      <c r="CX112" s="17"/>
      <c r="CY112" s="17"/>
      <c r="CZ112" s="17"/>
      <c r="DA112" s="17"/>
      <c r="DB112" s="17"/>
      <c r="DC112" s="17"/>
      <c r="DD112" s="17"/>
      <c r="DE112" s="17"/>
      <c r="DF112" s="17"/>
      <c r="DG112" s="17"/>
      <c r="DH112" s="17"/>
      <c r="DI112" s="17"/>
      <c r="DJ112" s="17"/>
      <c r="DK112" s="17"/>
      <c r="DL112" s="17"/>
      <c r="DM112" s="17"/>
      <c r="DN112" s="17"/>
      <c r="DO112" s="17"/>
      <c r="DP112" s="17"/>
      <c r="DQ112" s="17"/>
      <c r="DR112" s="17"/>
      <c r="DS112" s="17"/>
      <c r="DT112" s="17"/>
      <c r="DU112" s="17"/>
      <c r="DV112" s="17"/>
      <c r="DW112" s="17"/>
      <c r="DX112" s="17"/>
      <c r="DY112" s="17"/>
      <c r="DZ112" s="17"/>
      <c r="EA112" s="17"/>
      <c r="EB112" s="17"/>
      <c r="EC112" s="17"/>
      <c r="ED112" s="17"/>
      <c r="EE112" s="17"/>
      <c r="EF112" s="17"/>
      <c r="EG112" s="17"/>
      <c r="EH112" s="17"/>
      <c r="EI112" s="17"/>
      <c r="EJ112" s="17"/>
      <c r="EK112" s="17"/>
      <c r="EL112" s="17"/>
      <c r="EM112" s="17"/>
      <c r="EN112" s="17"/>
      <c r="EO112" s="17"/>
      <c r="EP112" s="17"/>
      <c r="EQ112" s="17"/>
      <c r="ER112" s="17"/>
      <c r="ES112" s="17"/>
      <c r="ET112" s="17"/>
      <c r="EU112" s="17"/>
      <c r="EV112" s="17"/>
      <c r="EW112" s="17"/>
      <c r="EX112" s="17"/>
      <c r="EY112" s="17"/>
      <c r="EZ112" s="17"/>
      <c r="FA112" s="17"/>
      <c r="FB112" s="17"/>
      <c r="FC112" s="17"/>
      <c r="FD112" s="17"/>
      <c r="FE112" s="17"/>
      <c r="FF112" s="17"/>
      <c r="FG112" s="17"/>
      <c r="FH112" s="17"/>
      <c r="FI112" s="17"/>
      <c r="FJ112" s="17"/>
      <c r="FK112" s="17"/>
      <c r="FL112" s="17"/>
      <c r="FM112" s="17"/>
      <c r="FN112" s="17"/>
      <c r="FO112" s="17"/>
      <c r="FP112" s="17"/>
      <c r="FQ112" s="17"/>
      <c r="FR112" s="17"/>
      <c r="FS112" s="17"/>
      <c r="FT112" s="17"/>
      <c r="FU112" s="17"/>
      <c r="FV112" s="17"/>
      <c r="FW112" s="17"/>
      <c r="FX112" s="17"/>
      <c r="FY112" s="17"/>
      <c r="FZ112" s="17"/>
      <c r="GA112" s="17"/>
      <c r="GB112" s="17"/>
      <c r="GC112" s="17"/>
      <c r="GD112" s="17"/>
      <c r="GE112" s="17"/>
      <c r="GF112" s="17"/>
      <c r="GG112" s="17"/>
      <c r="GH112" s="17"/>
      <c r="GI112" s="17"/>
      <c r="GJ112" s="17"/>
      <c r="GK112" s="17"/>
      <c r="GL112" s="17"/>
      <c r="GM112" s="17"/>
      <c r="GN112" s="17"/>
      <c r="GO112" s="17"/>
      <c r="GP112" s="17"/>
      <c r="GQ112" s="17"/>
      <c r="GR112" s="17"/>
      <c r="GS112" s="17"/>
      <c r="GT112" s="17"/>
      <c r="GU112" s="17"/>
      <c r="GV112" s="17"/>
      <c r="GW112" s="17"/>
      <c r="GX112" s="17"/>
      <c r="GY112" s="17"/>
      <c r="GZ112" s="17"/>
      <c r="HA112" s="17"/>
      <c r="HB112" s="17"/>
      <c r="HC112" s="17"/>
      <c r="HD112" s="17"/>
      <c r="HE112" s="17"/>
      <c r="HF112" s="17"/>
      <c r="HG112" s="17"/>
      <c r="HH112" s="17"/>
      <c r="HI112" s="17"/>
      <c r="HJ112" s="17"/>
      <c r="HK112" s="17"/>
      <c r="HL112" s="17"/>
      <c r="HM112" s="17"/>
      <c r="HN112" s="17"/>
      <c r="HO112" s="17"/>
      <c r="HP112" s="17"/>
      <c r="HQ112" s="17"/>
      <c r="HR112" s="17"/>
      <c r="HS112" s="17"/>
      <c r="HT112" s="17"/>
      <c r="HU112" s="17"/>
      <c r="HV112" s="17"/>
      <c r="HW112" s="17"/>
      <c r="HX112" s="17"/>
      <c r="HY112" s="17"/>
      <c r="HZ112" s="17"/>
      <c r="IA112" s="17"/>
      <c r="IB112" s="17"/>
      <c r="IC112" s="17"/>
      <c r="ID112" s="17"/>
      <c r="IE112" s="17"/>
      <c r="IF112" s="17"/>
      <c r="IG112" s="17"/>
      <c r="IH112" s="17"/>
      <c r="II112" s="17"/>
      <c r="IJ112" s="17"/>
      <c r="IK112" s="17"/>
      <c r="IL112" s="17"/>
      <c r="IM112" s="17"/>
      <c r="IN112" s="17"/>
      <c r="IO112" s="17"/>
      <c r="IP112" s="17"/>
      <c r="IQ112" s="17"/>
      <c r="IR112" s="17"/>
      <c r="IS112" s="17"/>
      <c r="IT112" s="17"/>
      <c r="IU112" s="17"/>
      <c r="IV112" s="17"/>
      <c r="IW112" s="17"/>
      <c r="IX112" s="17"/>
      <c r="IY112" s="17"/>
      <c r="IZ112" s="17"/>
      <c r="JA112" s="17"/>
      <c r="JB112" s="17"/>
      <c r="JC112" s="17"/>
      <c r="JD112" s="17"/>
      <c r="JE112" s="17"/>
      <c r="JF112" s="17"/>
      <c r="JG112" s="17"/>
      <c r="JH112" s="17"/>
      <c r="JI112" s="17"/>
      <c r="JJ112" s="17"/>
      <c r="JK112" s="17"/>
      <c r="JL112" s="17"/>
      <c r="JM112" s="17"/>
      <c r="JN112" s="17"/>
      <c r="JO112" s="17"/>
      <c r="JP112" s="17"/>
      <c r="JQ112" s="17"/>
      <c r="JR112" s="17"/>
      <c r="JS112" s="17"/>
      <c r="JT112" s="17"/>
      <c r="JU112" s="17"/>
      <c r="JV112" s="17"/>
      <c r="JW112" s="17"/>
      <c r="JX112" s="17"/>
      <c r="JY112" s="17"/>
      <c r="JZ112" s="17"/>
      <c r="KA112" s="17"/>
      <c r="KB112" s="17"/>
      <c r="KC112" s="17"/>
      <c r="KD112" s="17"/>
      <c r="KE112" s="17"/>
      <c r="KF112" s="17"/>
      <c r="KG112" s="17"/>
      <c r="KH112" s="17"/>
      <c r="KI112" s="17"/>
      <c r="KJ112" s="17"/>
      <c r="KK112" s="17"/>
      <c r="KL112" s="17"/>
      <c r="KM112" s="17"/>
      <c r="KN112" s="17"/>
      <c r="KO112" s="17"/>
      <c r="KP112" s="17"/>
      <c r="KQ112" s="17"/>
      <c r="KR112" s="17"/>
      <c r="KS112" s="17"/>
      <c r="KT112" s="17"/>
      <c r="KU112" s="17"/>
      <c r="KV112" s="17"/>
      <c r="KW112" s="17"/>
      <c r="KX112" s="17"/>
      <c r="KY112" s="17"/>
    </row>
    <row r="113" spans="1:311" x14ac:dyDescent="0.25">
      <c r="A113" s="17"/>
      <c r="B113" s="17"/>
      <c r="C113" s="17"/>
      <c r="D113" s="17"/>
      <c r="E113" s="17"/>
      <c r="F113" s="17"/>
      <c r="G113" s="17"/>
      <c r="H113" s="17"/>
      <c r="I113" s="17"/>
      <c r="J113" s="17"/>
      <c r="K113" s="17"/>
      <c r="L113" s="17"/>
      <c r="M113" s="17"/>
      <c r="N113" s="17"/>
      <c r="O113" s="17"/>
      <c r="P113" s="17"/>
      <c r="Q113" s="17"/>
      <c r="R113" s="17"/>
      <c r="S113" s="17"/>
      <c r="T113" s="17"/>
      <c r="U113" s="17"/>
      <c r="V113" s="17"/>
      <c r="W113" s="17"/>
      <c r="X113" s="17"/>
      <c r="Y113" s="17"/>
      <c r="Z113" s="17"/>
      <c r="AA113" s="17"/>
      <c r="AB113" s="17"/>
      <c r="AC113" s="17"/>
      <c r="AD113" s="17"/>
      <c r="AE113" s="17"/>
      <c r="AF113" s="17"/>
      <c r="AG113" s="17"/>
      <c r="AH113" s="17"/>
      <c r="AI113" s="17"/>
      <c r="AJ113" s="17"/>
      <c r="AK113" s="17"/>
      <c r="AL113" s="17"/>
      <c r="AM113" s="17"/>
      <c r="AN113" s="17"/>
      <c r="AO113" s="17"/>
      <c r="AP113" s="17"/>
      <c r="AQ113" s="17"/>
      <c r="AR113" s="17"/>
      <c r="AS113" s="17"/>
      <c r="AT113" s="17"/>
      <c r="AU113" s="17"/>
      <c r="AV113" s="17"/>
      <c r="AW113" s="17"/>
      <c r="AX113" s="17"/>
      <c r="AY113" s="17"/>
      <c r="AZ113" s="17"/>
      <c r="BA113" s="17"/>
      <c r="BB113" s="17"/>
      <c r="BC113" s="17"/>
      <c r="BD113" s="17"/>
      <c r="BE113" s="17"/>
      <c r="BF113" s="17"/>
      <c r="BG113" s="17"/>
      <c r="BH113" s="17"/>
      <c r="BI113" s="17"/>
      <c r="BJ113" s="17"/>
      <c r="BK113" s="17"/>
      <c r="BL113" s="17"/>
      <c r="BM113" s="17"/>
      <c r="BN113" s="17"/>
      <c r="BO113" s="17"/>
      <c r="BP113" s="17"/>
      <c r="BQ113" s="17"/>
      <c r="BR113" s="17"/>
      <c r="BS113" s="17"/>
      <c r="BT113" s="17"/>
      <c r="BU113" s="17"/>
      <c r="BV113" s="17"/>
      <c r="BW113" s="17"/>
      <c r="BX113" s="17"/>
      <c r="BY113" s="17"/>
      <c r="BZ113" s="17"/>
      <c r="CA113" s="17"/>
      <c r="CB113" s="17"/>
      <c r="CC113" s="17"/>
      <c r="CD113" s="17"/>
      <c r="CE113" s="17"/>
      <c r="CF113" s="17"/>
      <c r="CG113" s="17"/>
      <c r="CH113" s="17"/>
      <c r="CI113" s="17"/>
      <c r="CJ113" s="17"/>
      <c r="CK113" s="17"/>
      <c r="CL113" s="17"/>
      <c r="CM113" s="17"/>
      <c r="CN113" s="17"/>
      <c r="CO113" s="17"/>
      <c r="CP113" s="17"/>
      <c r="CQ113" s="17"/>
      <c r="CR113" s="17"/>
      <c r="CS113" s="17"/>
      <c r="CT113" s="17"/>
      <c r="CU113" s="17"/>
      <c r="CV113" s="17"/>
      <c r="CW113" s="17"/>
      <c r="CX113" s="17"/>
      <c r="CY113" s="17"/>
      <c r="CZ113" s="17"/>
      <c r="DA113" s="17"/>
      <c r="DB113" s="17"/>
      <c r="DC113" s="17"/>
      <c r="DD113" s="17"/>
      <c r="DE113" s="17"/>
      <c r="DF113" s="17"/>
      <c r="DG113" s="17"/>
      <c r="DH113" s="17"/>
      <c r="DI113" s="17"/>
      <c r="DJ113" s="17"/>
      <c r="DK113" s="17"/>
      <c r="DL113" s="17"/>
      <c r="DM113" s="17"/>
      <c r="DN113" s="17"/>
      <c r="DO113" s="17"/>
      <c r="DP113" s="17"/>
      <c r="DQ113" s="17"/>
      <c r="DR113" s="17"/>
      <c r="DS113" s="17"/>
      <c r="DT113" s="17"/>
      <c r="DU113" s="17"/>
      <c r="DV113" s="17"/>
      <c r="DW113" s="17"/>
      <c r="DX113" s="17"/>
      <c r="DY113" s="17"/>
      <c r="DZ113" s="17"/>
      <c r="EA113" s="17"/>
      <c r="EB113" s="17"/>
      <c r="EC113" s="17"/>
      <c r="ED113" s="17"/>
      <c r="EE113" s="17"/>
      <c r="EF113" s="17"/>
      <c r="EG113" s="17"/>
      <c r="EH113" s="17"/>
      <c r="EI113" s="17"/>
      <c r="EJ113" s="17"/>
      <c r="EK113" s="17"/>
      <c r="EL113" s="17"/>
      <c r="EM113" s="17"/>
      <c r="EN113" s="17"/>
      <c r="EO113" s="17"/>
      <c r="EP113" s="17"/>
      <c r="EQ113" s="17"/>
      <c r="ER113" s="17"/>
      <c r="ES113" s="17"/>
      <c r="ET113" s="17"/>
      <c r="EU113" s="17"/>
      <c r="EV113" s="17"/>
      <c r="EW113" s="17"/>
      <c r="EX113" s="17"/>
      <c r="EY113" s="17"/>
      <c r="EZ113" s="17"/>
      <c r="FA113" s="17"/>
      <c r="FB113" s="17"/>
      <c r="FC113" s="17"/>
      <c r="FD113" s="17"/>
      <c r="FE113" s="17"/>
      <c r="FF113" s="17"/>
      <c r="FG113" s="17"/>
      <c r="FH113" s="17"/>
      <c r="FI113" s="17"/>
      <c r="FJ113" s="17"/>
      <c r="FK113" s="17"/>
      <c r="FL113" s="17"/>
      <c r="FM113" s="17"/>
      <c r="FN113" s="17"/>
      <c r="FO113" s="17"/>
      <c r="FP113" s="17"/>
      <c r="FQ113" s="17"/>
      <c r="FR113" s="17"/>
      <c r="FS113" s="17"/>
      <c r="FT113" s="17"/>
      <c r="FU113" s="17"/>
      <c r="FV113" s="17"/>
      <c r="FW113" s="17"/>
      <c r="FX113" s="17"/>
      <c r="FY113" s="17"/>
      <c r="FZ113" s="17"/>
      <c r="GA113" s="17"/>
      <c r="GB113" s="17"/>
      <c r="GC113" s="17"/>
      <c r="GD113" s="17"/>
      <c r="GE113" s="17"/>
      <c r="GF113" s="17"/>
      <c r="GG113" s="17"/>
      <c r="GH113" s="17"/>
      <c r="GI113" s="17"/>
      <c r="GJ113" s="17"/>
      <c r="GK113" s="17"/>
      <c r="GL113" s="17"/>
      <c r="GM113" s="17"/>
      <c r="GN113" s="17"/>
      <c r="GO113" s="17"/>
      <c r="GP113" s="17"/>
      <c r="GQ113" s="17"/>
      <c r="GR113" s="17"/>
      <c r="GS113" s="17"/>
      <c r="GT113" s="17"/>
      <c r="GU113" s="17"/>
      <c r="GV113" s="17"/>
      <c r="GW113" s="17"/>
      <c r="GX113" s="17"/>
      <c r="GY113" s="17"/>
      <c r="GZ113" s="17"/>
      <c r="HA113" s="17"/>
      <c r="HB113" s="17"/>
      <c r="HC113" s="17"/>
      <c r="HD113" s="17"/>
      <c r="HE113" s="17"/>
      <c r="HF113" s="17"/>
      <c r="HG113" s="17"/>
      <c r="HH113" s="17"/>
      <c r="HI113" s="17"/>
      <c r="HJ113" s="17"/>
      <c r="HK113" s="17"/>
      <c r="HL113" s="17"/>
      <c r="HM113" s="17"/>
      <c r="HN113" s="17"/>
      <c r="HO113" s="17"/>
      <c r="HP113" s="17"/>
      <c r="HQ113" s="17"/>
      <c r="HR113" s="17"/>
      <c r="HS113" s="17"/>
      <c r="HT113" s="17"/>
      <c r="HU113" s="17"/>
      <c r="HV113" s="17"/>
      <c r="HW113" s="17"/>
      <c r="HX113" s="17"/>
      <c r="HY113" s="17"/>
      <c r="HZ113" s="17"/>
      <c r="IA113" s="17"/>
      <c r="IB113" s="17"/>
      <c r="IC113" s="17"/>
      <c r="ID113" s="17"/>
      <c r="IE113" s="17"/>
      <c r="IF113" s="17"/>
      <c r="IG113" s="17"/>
      <c r="IH113" s="17"/>
      <c r="II113" s="17"/>
      <c r="IJ113" s="17"/>
      <c r="IK113" s="17"/>
      <c r="IL113" s="17"/>
      <c r="IM113" s="17"/>
      <c r="IN113" s="17"/>
      <c r="IO113" s="17"/>
      <c r="IP113" s="17"/>
      <c r="IQ113" s="17"/>
      <c r="IR113" s="17"/>
      <c r="IS113" s="17"/>
      <c r="IT113" s="17"/>
      <c r="IU113" s="17"/>
      <c r="IV113" s="17"/>
      <c r="IW113" s="17"/>
      <c r="IX113" s="17"/>
      <c r="IY113" s="17"/>
      <c r="IZ113" s="17"/>
      <c r="JA113" s="17"/>
      <c r="JB113" s="17"/>
      <c r="JC113" s="17"/>
      <c r="JD113" s="17"/>
      <c r="JE113" s="17"/>
      <c r="JF113" s="17"/>
      <c r="JG113" s="17"/>
      <c r="JH113" s="17"/>
      <c r="JI113" s="17"/>
      <c r="JJ113" s="17"/>
      <c r="JK113" s="17"/>
      <c r="JL113" s="17"/>
      <c r="JM113" s="17"/>
      <c r="JN113" s="17"/>
      <c r="JO113" s="17"/>
      <c r="JP113" s="17"/>
      <c r="JQ113" s="17"/>
      <c r="JR113" s="17"/>
      <c r="JS113" s="17"/>
      <c r="JT113" s="17"/>
      <c r="JU113" s="17"/>
      <c r="JV113" s="17"/>
      <c r="JW113" s="17"/>
      <c r="JX113" s="17"/>
      <c r="JY113" s="17"/>
      <c r="JZ113" s="17"/>
      <c r="KA113" s="17"/>
      <c r="KB113" s="17"/>
      <c r="KC113" s="17"/>
      <c r="KD113" s="17"/>
      <c r="KE113" s="17"/>
      <c r="KF113" s="17"/>
      <c r="KG113" s="17"/>
      <c r="KH113" s="17"/>
      <c r="KI113" s="17"/>
      <c r="KJ113" s="17"/>
      <c r="KK113" s="17"/>
      <c r="KL113" s="17"/>
      <c r="KM113" s="17"/>
      <c r="KN113" s="17"/>
      <c r="KO113" s="17"/>
      <c r="KP113" s="17"/>
      <c r="KQ113" s="17"/>
      <c r="KR113" s="17"/>
      <c r="KS113" s="17"/>
      <c r="KT113" s="17"/>
      <c r="KU113" s="17"/>
      <c r="KV113" s="17"/>
      <c r="KW113" s="17"/>
      <c r="KX113" s="17"/>
      <c r="KY113" s="17"/>
    </row>
    <row r="114" spans="1:311" x14ac:dyDescent="0.25">
      <c r="A114" s="17"/>
      <c r="B114" s="17"/>
      <c r="C114" s="17"/>
      <c r="D114" s="17"/>
      <c r="E114" s="17"/>
      <c r="F114" s="17"/>
      <c r="G114" s="17"/>
      <c r="H114" s="17"/>
      <c r="I114" s="17"/>
      <c r="J114" s="17"/>
      <c r="K114" s="17"/>
      <c r="L114" s="17"/>
      <c r="M114" s="17"/>
      <c r="N114" s="17"/>
      <c r="O114" s="17"/>
      <c r="P114" s="17"/>
      <c r="Q114" s="17"/>
      <c r="R114" s="17"/>
      <c r="S114" s="17"/>
      <c r="T114" s="17"/>
      <c r="U114" s="17"/>
      <c r="V114" s="17"/>
      <c r="W114" s="17"/>
      <c r="X114" s="17"/>
      <c r="Y114" s="17"/>
      <c r="Z114" s="17"/>
      <c r="AA114" s="17"/>
      <c r="AB114" s="17"/>
      <c r="AC114" s="17"/>
      <c r="AD114" s="17"/>
      <c r="AE114" s="17"/>
      <c r="AF114" s="17"/>
      <c r="AG114" s="17"/>
      <c r="AH114" s="17"/>
      <c r="AI114" s="17"/>
      <c r="AJ114" s="17"/>
      <c r="AK114" s="17"/>
      <c r="AL114" s="17"/>
      <c r="AM114" s="17"/>
      <c r="AN114" s="17"/>
      <c r="AO114" s="17"/>
      <c r="AP114" s="17"/>
      <c r="AQ114" s="17"/>
      <c r="AR114" s="17"/>
      <c r="AS114" s="17"/>
      <c r="AT114" s="17"/>
      <c r="AU114" s="17"/>
      <c r="AV114" s="17"/>
      <c r="AW114" s="17"/>
      <c r="AX114" s="17"/>
      <c r="AY114" s="17"/>
      <c r="AZ114" s="17"/>
      <c r="BA114" s="17"/>
      <c r="BB114" s="17"/>
      <c r="BC114" s="17"/>
      <c r="BD114" s="17"/>
      <c r="BE114" s="17"/>
      <c r="BF114" s="17"/>
      <c r="BG114" s="17"/>
      <c r="BH114" s="17"/>
      <c r="BI114" s="17"/>
      <c r="BJ114" s="17"/>
      <c r="BK114" s="17"/>
      <c r="BL114" s="17"/>
      <c r="BM114" s="17"/>
      <c r="BN114" s="17"/>
      <c r="BO114" s="17"/>
      <c r="BP114" s="17"/>
      <c r="BQ114" s="17"/>
      <c r="BR114" s="17"/>
      <c r="BS114" s="17"/>
      <c r="BT114" s="17"/>
      <c r="BU114" s="17"/>
      <c r="BV114" s="17"/>
      <c r="BW114" s="17"/>
      <c r="BX114" s="17"/>
      <c r="BY114" s="17"/>
      <c r="BZ114" s="17"/>
      <c r="CA114" s="17"/>
      <c r="CB114" s="17"/>
      <c r="CC114" s="17"/>
      <c r="CD114" s="17"/>
      <c r="CE114" s="17"/>
      <c r="CF114" s="17"/>
      <c r="CG114" s="17"/>
      <c r="CH114" s="17"/>
      <c r="CI114" s="17"/>
      <c r="CJ114" s="17"/>
      <c r="CK114" s="17"/>
      <c r="CL114" s="17"/>
      <c r="CM114" s="17"/>
      <c r="CN114" s="17"/>
      <c r="CO114" s="17"/>
      <c r="CP114" s="17"/>
      <c r="CQ114" s="17"/>
      <c r="CR114" s="17"/>
      <c r="CS114" s="17"/>
      <c r="CT114" s="17"/>
      <c r="CU114" s="17"/>
      <c r="CV114" s="17"/>
      <c r="CW114" s="17"/>
      <c r="CX114" s="17"/>
      <c r="CY114" s="17"/>
      <c r="CZ114" s="17"/>
      <c r="DA114" s="17"/>
      <c r="DB114" s="17"/>
      <c r="DC114" s="17"/>
      <c r="DD114" s="17"/>
      <c r="DE114" s="17"/>
      <c r="DF114" s="17"/>
      <c r="DG114" s="17"/>
      <c r="DH114" s="17"/>
      <c r="DI114" s="17"/>
      <c r="DJ114" s="17"/>
      <c r="DK114" s="17"/>
      <c r="DL114" s="17"/>
      <c r="DM114" s="17"/>
      <c r="DN114" s="17"/>
      <c r="DO114" s="17"/>
      <c r="DP114" s="17"/>
      <c r="DQ114" s="17"/>
      <c r="DR114" s="17"/>
      <c r="DS114" s="17"/>
      <c r="DT114" s="17"/>
      <c r="DU114" s="17"/>
      <c r="DV114" s="17"/>
      <c r="DW114" s="17"/>
      <c r="DX114" s="17"/>
      <c r="DY114" s="17"/>
      <c r="DZ114" s="17"/>
      <c r="EA114" s="17"/>
      <c r="EB114" s="17"/>
      <c r="EC114" s="17"/>
      <c r="ED114" s="17"/>
      <c r="EE114" s="17"/>
      <c r="EF114" s="17"/>
      <c r="EG114" s="17"/>
      <c r="EH114" s="17"/>
      <c r="EI114" s="17"/>
      <c r="EJ114" s="17"/>
      <c r="EK114" s="17"/>
      <c r="EL114" s="17"/>
      <c r="EM114" s="17"/>
      <c r="EN114" s="17"/>
      <c r="EO114" s="17"/>
      <c r="EP114" s="17"/>
      <c r="EQ114" s="17"/>
      <c r="ER114" s="17"/>
      <c r="ES114" s="17"/>
      <c r="ET114" s="17"/>
      <c r="EU114" s="17"/>
      <c r="EV114" s="17"/>
      <c r="EW114" s="17"/>
      <c r="EX114" s="17"/>
      <c r="EY114" s="17"/>
      <c r="EZ114" s="17"/>
      <c r="FA114" s="17"/>
      <c r="FB114" s="17"/>
      <c r="FC114" s="17"/>
      <c r="FD114" s="17"/>
      <c r="FE114" s="17"/>
      <c r="FF114" s="17"/>
      <c r="FG114" s="17"/>
      <c r="FH114" s="17"/>
      <c r="FI114" s="17"/>
      <c r="FJ114" s="17"/>
      <c r="FK114" s="17"/>
      <c r="FL114" s="17"/>
      <c r="FM114" s="17"/>
      <c r="FN114" s="17"/>
      <c r="FO114" s="17"/>
      <c r="FP114" s="17"/>
      <c r="FQ114" s="17"/>
      <c r="FR114" s="17"/>
      <c r="FS114" s="17"/>
      <c r="FT114" s="17"/>
      <c r="FU114" s="17"/>
      <c r="FV114" s="17"/>
      <c r="FW114" s="17"/>
      <c r="FX114" s="17"/>
      <c r="FY114" s="17"/>
      <c r="FZ114" s="17"/>
      <c r="GA114" s="17"/>
      <c r="GB114" s="17"/>
      <c r="GC114" s="17"/>
      <c r="GD114" s="17"/>
      <c r="GE114" s="17"/>
      <c r="GF114" s="17"/>
      <c r="GG114" s="17"/>
      <c r="GH114" s="17"/>
      <c r="GI114" s="17"/>
      <c r="GJ114" s="17"/>
      <c r="GK114" s="17"/>
      <c r="GL114" s="17"/>
      <c r="GM114" s="17"/>
      <c r="GN114" s="17"/>
      <c r="GO114" s="17"/>
      <c r="GP114" s="17"/>
      <c r="GQ114" s="17"/>
      <c r="GR114" s="17"/>
      <c r="GS114" s="17"/>
      <c r="GT114" s="17"/>
      <c r="GU114" s="17"/>
      <c r="GV114" s="17"/>
      <c r="GW114" s="17"/>
      <c r="GX114" s="17"/>
      <c r="GY114" s="17"/>
      <c r="GZ114" s="17"/>
      <c r="HA114" s="17"/>
      <c r="HB114" s="17"/>
      <c r="HC114" s="17"/>
      <c r="HD114" s="17"/>
      <c r="HE114" s="17"/>
      <c r="HF114" s="17"/>
      <c r="HG114" s="17"/>
      <c r="HH114" s="17"/>
      <c r="HI114" s="17"/>
      <c r="HJ114" s="17"/>
      <c r="HK114" s="17"/>
      <c r="HL114" s="17"/>
      <c r="HM114" s="17"/>
      <c r="HN114" s="17"/>
      <c r="HO114" s="17"/>
      <c r="HP114" s="17"/>
      <c r="HQ114" s="17"/>
      <c r="HR114" s="17"/>
      <c r="HS114" s="17"/>
      <c r="HT114" s="17"/>
      <c r="HU114" s="17"/>
      <c r="HV114" s="17"/>
      <c r="HW114" s="17"/>
      <c r="HX114" s="17"/>
      <c r="HY114" s="17"/>
      <c r="HZ114" s="17"/>
      <c r="IA114" s="17"/>
      <c r="IB114" s="17"/>
      <c r="IC114" s="17"/>
      <c r="ID114" s="17"/>
      <c r="IE114" s="17"/>
      <c r="IF114" s="17"/>
      <c r="IG114" s="17"/>
      <c r="IH114" s="17"/>
      <c r="II114" s="17"/>
      <c r="IJ114" s="17"/>
      <c r="IK114" s="17"/>
      <c r="IL114" s="17"/>
      <c r="IM114" s="17"/>
      <c r="IN114" s="17"/>
      <c r="IO114" s="17"/>
      <c r="IP114" s="17"/>
      <c r="IQ114" s="17"/>
      <c r="IR114" s="17"/>
      <c r="IS114" s="17"/>
      <c r="IT114" s="17"/>
      <c r="IU114" s="17"/>
      <c r="IV114" s="17"/>
      <c r="IW114" s="17"/>
      <c r="IX114" s="17"/>
      <c r="IY114" s="17"/>
      <c r="IZ114" s="17"/>
      <c r="JA114" s="17"/>
      <c r="JB114" s="17"/>
      <c r="JC114" s="17"/>
      <c r="JD114" s="17"/>
      <c r="JE114" s="17"/>
      <c r="JF114" s="17"/>
      <c r="JG114" s="17"/>
      <c r="JH114" s="17"/>
      <c r="JI114" s="17"/>
      <c r="JJ114" s="17"/>
      <c r="JK114" s="17"/>
      <c r="JL114" s="17"/>
      <c r="JM114" s="17"/>
      <c r="JN114" s="17"/>
      <c r="JO114" s="17"/>
      <c r="JP114" s="17"/>
      <c r="JQ114" s="17"/>
      <c r="JR114" s="17"/>
      <c r="JS114" s="17"/>
      <c r="JT114" s="17"/>
      <c r="JU114" s="17"/>
      <c r="JV114" s="17"/>
      <c r="JW114" s="17"/>
      <c r="JX114" s="17"/>
      <c r="JY114" s="17"/>
      <c r="JZ114" s="17"/>
      <c r="KA114" s="17"/>
      <c r="KB114" s="17"/>
      <c r="KC114" s="17"/>
      <c r="KD114" s="17"/>
      <c r="KE114" s="17"/>
      <c r="KF114" s="17"/>
      <c r="KG114" s="17"/>
      <c r="KH114" s="17"/>
      <c r="KI114" s="17"/>
      <c r="KJ114" s="17"/>
      <c r="KK114" s="17"/>
      <c r="KL114" s="17"/>
      <c r="KM114" s="17"/>
      <c r="KN114" s="17"/>
      <c r="KO114" s="17"/>
      <c r="KP114" s="17"/>
      <c r="KQ114" s="17"/>
      <c r="KR114" s="17"/>
      <c r="KS114" s="17"/>
      <c r="KT114" s="17"/>
      <c r="KU114" s="17"/>
      <c r="KV114" s="17"/>
      <c r="KW114" s="17"/>
      <c r="KX114" s="17"/>
      <c r="KY114" s="17"/>
    </row>
    <row r="115" spans="1:311" x14ac:dyDescent="0.25">
      <c r="A115" s="17"/>
      <c r="B115" s="17"/>
      <c r="C115" s="17"/>
      <c r="D115" s="17"/>
      <c r="E115" s="17"/>
      <c r="F115" s="17"/>
      <c r="G115" s="17"/>
      <c r="H115" s="17"/>
      <c r="I115" s="17"/>
      <c r="J115" s="17"/>
      <c r="K115" s="17"/>
      <c r="L115" s="17"/>
      <c r="M115" s="17"/>
      <c r="N115" s="17"/>
      <c r="O115" s="17"/>
      <c r="P115" s="17"/>
      <c r="Q115" s="17"/>
      <c r="R115" s="17"/>
      <c r="S115" s="17"/>
      <c r="T115" s="17"/>
      <c r="U115" s="17"/>
      <c r="V115" s="17"/>
      <c r="W115" s="17"/>
      <c r="X115" s="17"/>
      <c r="Y115" s="17"/>
      <c r="Z115" s="17"/>
      <c r="AA115" s="17"/>
      <c r="AB115" s="17"/>
      <c r="AC115" s="17"/>
      <c r="AD115" s="17"/>
      <c r="AE115" s="17"/>
      <c r="AF115" s="17"/>
      <c r="AG115" s="17"/>
      <c r="AH115" s="17"/>
      <c r="AI115" s="17"/>
      <c r="AJ115" s="17"/>
      <c r="AK115" s="17"/>
      <c r="AL115" s="17"/>
      <c r="AM115" s="17"/>
      <c r="AN115" s="17"/>
      <c r="AO115" s="17"/>
      <c r="AP115" s="17"/>
      <c r="AQ115" s="17"/>
      <c r="AR115" s="17"/>
      <c r="AS115" s="17"/>
      <c r="AT115" s="17"/>
      <c r="AU115" s="17"/>
      <c r="AV115" s="17"/>
      <c r="AW115" s="17"/>
      <c r="AX115" s="17"/>
      <c r="AY115" s="17"/>
      <c r="AZ115" s="17"/>
      <c r="BA115" s="17"/>
      <c r="BB115" s="17"/>
      <c r="BC115" s="17"/>
      <c r="BD115" s="17"/>
      <c r="BE115" s="17"/>
      <c r="BF115" s="17"/>
      <c r="BG115" s="17"/>
      <c r="BH115" s="17"/>
      <c r="BI115" s="17"/>
      <c r="BJ115" s="17"/>
      <c r="BK115" s="17"/>
      <c r="BL115" s="17"/>
      <c r="BM115" s="17"/>
      <c r="BN115" s="17"/>
      <c r="BO115" s="17"/>
      <c r="BP115" s="17"/>
      <c r="BQ115" s="17"/>
      <c r="BR115" s="17"/>
      <c r="BS115" s="17"/>
      <c r="BT115" s="17"/>
      <c r="BU115" s="17"/>
      <c r="BV115" s="17"/>
      <c r="BW115" s="17"/>
      <c r="BX115" s="17"/>
      <c r="BY115" s="17"/>
      <c r="BZ115" s="17"/>
      <c r="CA115" s="17"/>
      <c r="CB115" s="17"/>
      <c r="CC115" s="17"/>
      <c r="CD115" s="17"/>
      <c r="CE115" s="17"/>
      <c r="CF115" s="17"/>
      <c r="CG115" s="17"/>
      <c r="CH115" s="17"/>
      <c r="CI115" s="17"/>
      <c r="CJ115" s="17"/>
      <c r="CK115" s="17"/>
      <c r="CL115" s="17"/>
      <c r="CM115" s="17"/>
      <c r="CN115" s="17"/>
      <c r="CO115" s="17"/>
      <c r="CP115" s="17"/>
      <c r="CQ115" s="17"/>
      <c r="CR115" s="17"/>
      <c r="CS115" s="17"/>
      <c r="CT115" s="17"/>
      <c r="CU115" s="17"/>
      <c r="CV115" s="17"/>
      <c r="CW115" s="17"/>
      <c r="CX115" s="17"/>
      <c r="CY115" s="17"/>
      <c r="CZ115" s="17"/>
      <c r="DA115" s="17"/>
      <c r="DB115" s="17"/>
      <c r="DC115" s="17"/>
      <c r="DD115" s="17"/>
      <c r="DE115" s="17"/>
      <c r="DF115" s="17"/>
      <c r="DG115" s="17"/>
      <c r="DH115" s="17"/>
      <c r="DI115" s="17"/>
      <c r="DJ115" s="17"/>
      <c r="DK115" s="17"/>
      <c r="DL115" s="17"/>
      <c r="DM115" s="17"/>
      <c r="DN115" s="17"/>
      <c r="DO115" s="17"/>
      <c r="DP115" s="17"/>
      <c r="DQ115" s="17"/>
      <c r="DR115" s="17"/>
      <c r="DS115" s="17"/>
      <c r="DT115" s="17"/>
      <c r="DU115" s="17"/>
      <c r="DV115" s="17"/>
      <c r="DW115" s="17"/>
      <c r="DX115" s="17"/>
      <c r="DY115" s="17"/>
      <c r="DZ115" s="17"/>
      <c r="EA115" s="17"/>
      <c r="EB115" s="17"/>
      <c r="EC115" s="17"/>
      <c r="ED115" s="17"/>
      <c r="EE115" s="17"/>
      <c r="EF115" s="17"/>
      <c r="EG115" s="17"/>
      <c r="EH115" s="17"/>
      <c r="EI115" s="17"/>
      <c r="EJ115" s="17"/>
      <c r="EK115" s="17"/>
      <c r="EL115" s="17"/>
      <c r="EM115" s="17"/>
      <c r="EN115" s="17"/>
      <c r="EO115" s="17"/>
      <c r="EP115" s="17"/>
      <c r="EQ115" s="17"/>
      <c r="ER115" s="17"/>
      <c r="ES115" s="17"/>
      <c r="ET115" s="17"/>
      <c r="EU115" s="17"/>
      <c r="EV115" s="17"/>
      <c r="EW115" s="17"/>
      <c r="EX115" s="17"/>
      <c r="EY115" s="17"/>
      <c r="EZ115" s="17"/>
      <c r="FA115" s="17"/>
      <c r="FB115" s="17"/>
      <c r="FC115" s="17"/>
      <c r="FD115" s="17"/>
      <c r="FE115" s="17"/>
      <c r="FF115" s="17"/>
      <c r="FG115" s="17"/>
      <c r="FH115" s="17"/>
      <c r="FI115" s="17"/>
      <c r="FJ115" s="17"/>
      <c r="FK115" s="17"/>
      <c r="FL115" s="17"/>
      <c r="FM115" s="17"/>
      <c r="FN115" s="17"/>
      <c r="FO115" s="17"/>
      <c r="FP115" s="17"/>
      <c r="FQ115" s="17"/>
      <c r="FR115" s="17"/>
      <c r="FS115" s="17"/>
      <c r="FT115" s="17"/>
      <c r="FU115" s="17"/>
      <c r="FV115" s="17"/>
      <c r="FW115" s="17"/>
      <c r="FX115" s="17"/>
      <c r="FY115" s="17"/>
      <c r="FZ115" s="17"/>
      <c r="GA115" s="17"/>
      <c r="GB115" s="17"/>
      <c r="GC115" s="17"/>
      <c r="GD115" s="17"/>
      <c r="GE115" s="17"/>
      <c r="GF115" s="17"/>
      <c r="GG115" s="17"/>
      <c r="GH115" s="17"/>
      <c r="GI115" s="17"/>
      <c r="GJ115" s="17"/>
      <c r="GK115" s="17"/>
      <c r="GL115" s="17"/>
      <c r="GM115" s="17"/>
      <c r="GN115" s="17"/>
      <c r="GO115" s="17"/>
      <c r="GP115" s="17"/>
      <c r="GQ115" s="17"/>
      <c r="GR115" s="17"/>
      <c r="GS115" s="17"/>
      <c r="GT115" s="17"/>
      <c r="GU115" s="17"/>
      <c r="GV115" s="17"/>
      <c r="GW115" s="17"/>
      <c r="GX115" s="17"/>
      <c r="GY115" s="17"/>
      <c r="GZ115" s="17"/>
      <c r="HA115" s="17"/>
      <c r="HB115" s="17"/>
      <c r="HC115" s="17"/>
      <c r="HD115" s="17"/>
      <c r="HE115" s="17"/>
      <c r="HF115" s="17"/>
      <c r="HG115" s="17"/>
      <c r="HH115" s="17"/>
      <c r="HI115" s="17"/>
      <c r="HJ115" s="17"/>
      <c r="HK115" s="17"/>
      <c r="HL115" s="17"/>
      <c r="HM115" s="17"/>
      <c r="HN115" s="17"/>
      <c r="HO115" s="17"/>
      <c r="HP115" s="17"/>
      <c r="HQ115" s="17"/>
      <c r="HR115" s="17"/>
      <c r="HS115" s="17"/>
      <c r="HT115" s="17"/>
      <c r="HU115" s="17"/>
      <c r="HV115" s="17"/>
      <c r="HW115" s="17"/>
      <c r="HX115" s="17"/>
      <c r="HY115" s="17"/>
      <c r="HZ115" s="17"/>
      <c r="IA115" s="17"/>
      <c r="IB115" s="17"/>
      <c r="IC115" s="17"/>
      <c r="ID115" s="17"/>
      <c r="IE115" s="17"/>
      <c r="IF115" s="17"/>
      <c r="IG115" s="17"/>
      <c r="IH115" s="17"/>
      <c r="II115" s="17"/>
      <c r="IJ115" s="17"/>
      <c r="IK115" s="17"/>
      <c r="IL115" s="17"/>
      <c r="IM115" s="17"/>
      <c r="IN115" s="17"/>
      <c r="IO115" s="17"/>
      <c r="IP115" s="17"/>
      <c r="IQ115" s="17"/>
      <c r="IR115" s="17"/>
      <c r="IS115" s="17"/>
      <c r="IT115" s="17"/>
      <c r="IU115" s="17"/>
      <c r="IV115" s="17"/>
      <c r="IW115" s="17"/>
      <c r="IX115" s="17"/>
      <c r="IY115" s="17"/>
      <c r="IZ115" s="17"/>
      <c r="JA115" s="17"/>
      <c r="JB115" s="17"/>
      <c r="JC115" s="17"/>
      <c r="JD115" s="17"/>
      <c r="JE115" s="17"/>
      <c r="JF115" s="17"/>
      <c r="JG115" s="17"/>
      <c r="JH115" s="17"/>
      <c r="JI115" s="17"/>
      <c r="JJ115" s="17"/>
      <c r="JK115" s="17"/>
      <c r="JL115" s="17"/>
      <c r="JM115" s="17"/>
      <c r="JN115" s="17"/>
      <c r="JO115" s="17"/>
      <c r="JP115" s="17"/>
      <c r="JQ115" s="17"/>
      <c r="JR115" s="17"/>
      <c r="JS115" s="17"/>
      <c r="JT115" s="17"/>
      <c r="JU115" s="17"/>
      <c r="JV115" s="17"/>
      <c r="JW115" s="17"/>
      <c r="JX115" s="17"/>
      <c r="JY115" s="17"/>
      <c r="JZ115" s="17"/>
      <c r="KA115" s="17"/>
      <c r="KB115" s="17"/>
      <c r="KC115" s="17"/>
      <c r="KD115" s="17"/>
      <c r="KE115" s="17"/>
      <c r="KF115" s="17"/>
      <c r="KG115" s="17"/>
      <c r="KH115" s="17"/>
      <c r="KI115" s="17"/>
      <c r="KJ115" s="17"/>
      <c r="KK115" s="17"/>
      <c r="KL115" s="17"/>
      <c r="KM115" s="17"/>
      <c r="KN115" s="17"/>
      <c r="KO115" s="17"/>
      <c r="KP115" s="17"/>
      <c r="KQ115" s="17"/>
      <c r="KR115" s="17"/>
      <c r="KS115" s="17"/>
      <c r="KT115" s="17"/>
      <c r="KU115" s="17"/>
      <c r="KV115" s="17"/>
      <c r="KW115" s="17"/>
      <c r="KX115" s="17"/>
      <c r="KY115" s="17"/>
    </row>
    <row r="116" spans="1:311" x14ac:dyDescent="0.25">
      <c r="A116" s="17"/>
      <c r="B116" s="17"/>
      <c r="C116" s="17"/>
      <c r="D116" s="17"/>
      <c r="E116" s="17"/>
      <c r="F116" s="17"/>
      <c r="G116" s="17"/>
      <c r="H116" s="17"/>
      <c r="I116" s="17"/>
      <c r="J116" s="17"/>
      <c r="K116" s="17"/>
      <c r="L116" s="17"/>
      <c r="M116" s="17"/>
      <c r="N116" s="17"/>
      <c r="O116" s="17"/>
      <c r="P116" s="17"/>
      <c r="Q116" s="17"/>
      <c r="R116" s="17"/>
      <c r="S116" s="17"/>
      <c r="T116" s="17"/>
      <c r="U116" s="17"/>
      <c r="V116" s="17"/>
      <c r="W116" s="17"/>
      <c r="X116" s="17"/>
      <c r="Y116" s="17"/>
      <c r="Z116" s="17"/>
      <c r="AA116" s="17"/>
      <c r="AB116" s="17"/>
      <c r="AC116" s="17"/>
      <c r="AD116" s="17"/>
      <c r="AE116" s="17"/>
      <c r="AF116" s="17"/>
      <c r="AG116" s="17"/>
      <c r="AH116" s="17"/>
      <c r="AI116" s="17"/>
      <c r="AJ116" s="17"/>
      <c r="AK116" s="17"/>
      <c r="AL116" s="17"/>
      <c r="AM116" s="17"/>
      <c r="AN116" s="17"/>
      <c r="AO116" s="17"/>
      <c r="AP116" s="17"/>
      <c r="AQ116" s="17"/>
      <c r="AR116" s="17"/>
      <c r="AS116" s="17"/>
      <c r="AT116" s="17"/>
      <c r="AU116" s="17"/>
      <c r="AV116" s="17"/>
      <c r="AW116" s="17"/>
      <c r="AX116" s="17"/>
      <c r="AY116" s="17"/>
      <c r="AZ116" s="17"/>
      <c r="BA116" s="17"/>
      <c r="BB116" s="17"/>
      <c r="BC116" s="17"/>
      <c r="BD116" s="17"/>
      <c r="BE116" s="17"/>
      <c r="BF116" s="17"/>
      <c r="BG116" s="17"/>
      <c r="BH116" s="17"/>
      <c r="BI116" s="17"/>
      <c r="BJ116" s="17"/>
      <c r="BK116" s="17"/>
      <c r="BL116" s="17"/>
      <c r="BM116" s="17"/>
      <c r="BN116" s="17"/>
      <c r="BO116" s="17"/>
      <c r="BP116" s="17"/>
      <c r="BQ116" s="17"/>
      <c r="BR116" s="17"/>
      <c r="BS116" s="17"/>
      <c r="BT116" s="17"/>
      <c r="BU116" s="17"/>
      <c r="BV116" s="17"/>
      <c r="BW116" s="17"/>
      <c r="BX116" s="17"/>
      <c r="BY116" s="17"/>
      <c r="BZ116" s="17"/>
      <c r="CA116" s="17"/>
      <c r="CB116" s="17"/>
      <c r="CC116" s="17"/>
      <c r="CD116" s="17"/>
      <c r="CE116" s="17"/>
      <c r="CF116" s="17"/>
      <c r="CG116" s="17"/>
      <c r="CH116" s="17"/>
      <c r="CI116" s="17"/>
      <c r="CJ116" s="17"/>
      <c r="CK116" s="17"/>
      <c r="CL116" s="17"/>
      <c r="CM116" s="17"/>
      <c r="CN116" s="17"/>
      <c r="CO116" s="17"/>
      <c r="CP116" s="17"/>
      <c r="CQ116" s="17"/>
      <c r="CR116" s="17"/>
      <c r="CS116" s="17"/>
      <c r="CT116" s="17"/>
      <c r="CU116" s="17"/>
      <c r="CV116" s="17"/>
      <c r="CW116" s="17"/>
      <c r="CX116" s="17"/>
      <c r="CY116" s="17"/>
      <c r="CZ116" s="17"/>
      <c r="DA116" s="17"/>
      <c r="DB116" s="17"/>
      <c r="DC116" s="17"/>
      <c r="DD116" s="17"/>
      <c r="DE116" s="17"/>
      <c r="DF116" s="17"/>
      <c r="DG116" s="17"/>
      <c r="DH116" s="17"/>
      <c r="DI116" s="17"/>
      <c r="DJ116" s="17"/>
      <c r="DK116" s="17"/>
      <c r="DL116" s="17"/>
      <c r="DM116" s="17"/>
      <c r="DN116" s="17"/>
      <c r="DO116" s="17"/>
      <c r="DP116" s="17"/>
      <c r="DQ116" s="17"/>
      <c r="DR116" s="17"/>
      <c r="DS116" s="17"/>
      <c r="DT116" s="17"/>
      <c r="DU116" s="17"/>
      <c r="DV116" s="17"/>
      <c r="DW116" s="17"/>
      <c r="DX116" s="17"/>
      <c r="DY116" s="17"/>
      <c r="DZ116" s="17"/>
      <c r="EA116" s="17"/>
      <c r="EB116" s="17"/>
      <c r="EC116" s="17"/>
      <c r="ED116" s="17"/>
      <c r="EE116" s="17"/>
      <c r="EF116" s="17"/>
      <c r="EG116" s="17"/>
      <c r="EH116" s="17"/>
      <c r="EI116" s="17"/>
      <c r="EJ116" s="17"/>
      <c r="EK116" s="17"/>
      <c r="EL116" s="17"/>
      <c r="EM116" s="17"/>
      <c r="EN116" s="17"/>
      <c r="EO116" s="17"/>
      <c r="EP116" s="17"/>
      <c r="EQ116" s="17"/>
      <c r="ER116" s="17"/>
      <c r="ES116" s="17"/>
      <c r="ET116" s="17"/>
      <c r="EU116" s="17"/>
      <c r="EV116" s="17"/>
      <c r="EW116" s="17"/>
      <c r="EX116" s="17"/>
      <c r="EY116" s="17"/>
      <c r="EZ116" s="17"/>
      <c r="FA116" s="17"/>
      <c r="FB116" s="17"/>
      <c r="FC116" s="17"/>
      <c r="FD116" s="17"/>
      <c r="FE116" s="17"/>
      <c r="FF116" s="17"/>
      <c r="FG116" s="17"/>
      <c r="FH116" s="17"/>
      <c r="FI116" s="17"/>
      <c r="FJ116" s="17"/>
      <c r="FK116" s="17"/>
      <c r="FL116" s="17"/>
      <c r="FM116" s="17"/>
      <c r="FN116" s="17"/>
      <c r="FO116" s="17"/>
      <c r="FP116" s="17"/>
      <c r="FQ116" s="17"/>
      <c r="FR116" s="17"/>
      <c r="FS116" s="17"/>
      <c r="FT116" s="17"/>
      <c r="FU116" s="17"/>
      <c r="FV116" s="17"/>
      <c r="FW116" s="17"/>
      <c r="FX116" s="17"/>
      <c r="FY116" s="17"/>
      <c r="FZ116" s="17"/>
      <c r="GA116" s="17"/>
      <c r="GB116" s="17"/>
      <c r="GC116" s="17"/>
      <c r="GD116" s="17"/>
      <c r="GE116" s="17"/>
      <c r="GF116" s="17"/>
      <c r="GG116" s="17"/>
      <c r="GH116" s="17"/>
      <c r="GI116" s="17"/>
      <c r="GJ116" s="17"/>
      <c r="GK116" s="17"/>
      <c r="GL116" s="17"/>
      <c r="GM116" s="17"/>
      <c r="GN116" s="17"/>
      <c r="GO116" s="17"/>
      <c r="GP116" s="17"/>
      <c r="GQ116" s="17"/>
      <c r="GR116" s="17"/>
      <c r="GS116" s="17"/>
      <c r="GT116" s="17"/>
      <c r="GU116" s="17"/>
      <c r="GV116" s="17"/>
      <c r="GW116" s="17"/>
      <c r="GX116" s="17"/>
      <c r="GY116" s="17"/>
      <c r="GZ116" s="17"/>
      <c r="HA116" s="17"/>
      <c r="HB116" s="17"/>
      <c r="HC116" s="17"/>
      <c r="HD116" s="17"/>
      <c r="HE116" s="17"/>
      <c r="HF116" s="17"/>
      <c r="HG116" s="17"/>
      <c r="HH116" s="17"/>
      <c r="HI116" s="17"/>
      <c r="HJ116" s="17"/>
      <c r="HK116" s="17"/>
      <c r="HL116" s="17"/>
      <c r="HM116" s="17"/>
      <c r="HN116" s="17"/>
      <c r="HO116" s="17"/>
      <c r="HP116" s="17"/>
      <c r="HQ116" s="17"/>
      <c r="HR116" s="17"/>
      <c r="HS116" s="17"/>
      <c r="HT116" s="17"/>
      <c r="HU116" s="17"/>
      <c r="HV116" s="17"/>
      <c r="HW116" s="17"/>
      <c r="HX116" s="17"/>
      <c r="HY116" s="17"/>
      <c r="HZ116" s="17"/>
      <c r="IA116" s="17"/>
      <c r="IB116" s="17"/>
      <c r="IC116" s="17"/>
      <c r="ID116" s="17"/>
      <c r="IE116" s="17"/>
      <c r="IF116" s="17"/>
      <c r="IG116" s="17"/>
      <c r="IH116" s="17"/>
      <c r="II116" s="17"/>
      <c r="IJ116" s="17"/>
      <c r="IK116" s="17"/>
      <c r="IL116" s="17"/>
      <c r="IM116" s="17"/>
      <c r="IN116" s="17"/>
      <c r="IO116" s="17"/>
      <c r="IP116" s="17"/>
      <c r="IQ116" s="17"/>
      <c r="IR116" s="17"/>
      <c r="IS116" s="17"/>
      <c r="IT116" s="17"/>
      <c r="IU116" s="17"/>
      <c r="IV116" s="17"/>
      <c r="IW116" s="17"/>
      <c r="IX116" s="17"/>
      <c r="IY116" s="17"/>
      <c r="IZ116" s="17"/>
      <c r="JA116" s="17"/>
      <c r="JB116" s="17"/>
      <c r="JC116" s="17"/>
      <c r="JD116" s="17"/>
      <c r="JE116" s="17"/>
      <c r="JF116" s="17"/>
      <c r="JG116" s="17"/>
      <c r="JH116" s="17"/>
      <c r="JI116" s="17"/>
      <c r="JJ116" s="17"/>
      <c r="JK116" s="17"/>
      <c r="JL116" s="17"/>
      <c r="JM116" s="17"/>
      <c r="JN116" s="17"/>
      <c r="JO116" s="17"/>
      <c r="JP116" s="17"/>
      <c r="JQ116" s="17"/>
      <c r="JR116" s="17"/>
      <c r="JS116" s="17"/>
      <c r="JT116" s="17"/>
      <c r="JU116" s="17"/>
      <c r="JV116" s="17"/>
      <c r="JW116" s="17"/>
      <c r="JX116" s="17"/>
      <c r="JY116" s="17"/>
      <c r="JZ116" s="17"/>
      <c r="KA116" s="17"/>
      <c r="KB116" s="17"/>
      <c r="KC116" s="17"/>
      <c r="KD116" s="17"/>
      <c r="KE116" s="17"/>
      <c r="KF116" s="17"/>
      <c r="KG116" s="17"/>
      <c r="KH116" s="17"/>
      <c r="KI116" s="17"/>
      <c r="KJ116" s="17"/>
      <c r="KK116" s="17"/>
      <c r="KL116" s="17"/>
      <c r="KM116" s="17"/>
      <c r="KN116" s="17"/>
      <c r="KO116" s="17"/>
      <c r="KP116" s="17"/>
      <c r="KQ116" s="17"/>
      <c r="KR116" s="17"/>
      <c r="KS116" s="17"/>
      <c r="KT116" s="17"/>
      <c r="KU116" s="17"/>
      <c r="KV116" s="17"/>
      <c r="KW116" s="17"/>
      <c r="KX116" s="17"/>
      <c r="KY116" s="17"/>
    </row>
    <row r="117" spans="1:311" x14ac:dyDescent="0.25">
      <c r="A117" s="17"/>
      <c r="B117" s="17"/>
      <c r="C117" s="17"/>
      <c r="D117" s="17"/>
      <c r="E117" s="17"/>
      <c r="F117" s="17"/>
      <c r="G117" s="17"/>
      <c r="H117" s="17"/>
      <c r="I117" s="17"/>
      <c r="J117" s="17"/>
      <c r="K117" s="17"/>
      <c r="L117" s="17"/>
      <c r="M117" s="17"/>
      <c r="N117" s="17"/>
      <c r="O117" s="17"/>
      <c r="P117" s="17"/>
      <c r="Q117" s="17"/>
      <c r="R117" s="17"/>
      <c r="S117" s="17"/>
      <c r="T117" s="17"/>
      <c r="U117" s="17"/>
      <c r="V117" s="17"/>
      <c r="W117" s="17"/>
      <c r="X117" s="17"/>
      <c r="Y117" s="17"/>
      <c r="Z117" s="17"/>
      <c r="AA117" s="17"/>
      <c r="AB117" s="17"/>
      <c r="AC117" s="17"/>
      <c r="AD117" s="17"/>
      <c r="AE117" s="17"/>
      <c r="AF117" s="17"/>
      <c r="AG117" s="17"/>
      <c r="AH117" s="17"/>
      <c r="AI117" s="17"/>
      <c r="AJ117" s="17"/>
      <c r="AK117" s="17"/>
      <c r="AL117" s="17"/>
      <c r="AM117" s="17"/>
      <c r="AN117" s="17"/>
      <c r="AO117" s="17"/>
      <c r="AP117" s="17"/>
      <c r="AQ117" s="17"/>
      <c r="AR117" s="17"/>
      <c r="AS117" s="17"/>
      <c r="AT117" s="17"/>
      <c r="AU117" s="17"/>
      <c r="AV117" s="17"/>
      <c r="AW117" s="17"/>
      <c r="AX117" s="17"/>
      <c r="AY117" s="17"/>
      <c r="AZ117" s="17"/>
      <c r="BA117" s="17"/>
      <c r="BB117" s="17"/>
      <c r="BC117" s="17"/>
      <c r="BD117" s="17"/>
      <c r="BE117" s="17"/>
      <c r="BF117" s="17"/>
      <c r="BG117" s="17"/>
      <c r="BH117" s="17"/>
      <c r="BI117" s="17"/>
      <c r="BJ117" s="17"/>
      <c r="BK117" s="17"/>
      <c r="BL117" s="17"/>
      <c r="BM117" s="17"/>
      <c r="BN117" s="17"/>
      <c r="BO117" s="17"/>
      <c r="BP117" s="17"/>
      <c r="BQ117" s="17"/>
      <c r="BR117" s="17"/>
      <c r="BS117" s="17"/>
      <c r="BT117" s="17"/>
      <c r="BU117" s="17"/>
      <c r="BV117" s="17"/>
      <c r="BW117" s="17"/>
      <c r="BX117" s="17"/>
      <c r="BY117" s="17"/>
      <c r="BZ117" s="17"/>
      <c r="CA117" s="17"/>
      <c r="CB117" s="17"/>
      <c r="CC117" s="17"/>
      <c r="CD117" s="17"/>
      <c r="CE117" s="17"/>
      <c r="CF117" s="17"/>
      <c r="CG117" s="17"/>
      <c r="CH117" s="17"/>
      <c r="CI117" s="17"/>
      <c r="CJ117" s="17"/>
      <c r="CK117" s="17"/>
      <c r="CL117" s="17"/>
      <c r="CM117" s="17"/>
      <c r="CN117" s="17"/>
      <c r="CO117" s="17"/>
      <c r="CP117" s="17"/>
      <c r="CQ117" s="17"/>
      <c r="CR117" s="17"/>
      <c r="CS117" s="17"/>
      <c r="CT117" s="17"/>
      <c r="CU117" s="17"/>
      <c r="CV117" s="17"/>
      <c r="CW117" s="17"/>
      <c r="CX117" s="17"/>
      <c r="CY117" s="17"/>
      <c r="CZ117" s="17"/>
      <c r="DA117" s="17"/>
      <c r="DB117" s="17"/>
      <c r="DC117" s="17"/>
      <c r="DD117" s="17"/>
      <c r="DE117" s="17"/>
      <c r="DF117" s="17"/>
      <c r="DG117" s="17"/>
      <c r="DH117" s="17"/>
      <c r="DI117" s="17"/>
      <c r="DJ117" s="17"/>
      <c r="DK117" s="17"/>
      <c r="DL117" s="17"/>
      <c r="DM117" s="17"/>
      <c r="DN117" s="17"/>
      <c r="DO117" s="17"/>
      <c r="DP117" s="17"/>
      <c r="DQ117" s="17"/>
      <c r="DR117" s="17"/>
      <c r="DS117" s="17"/>
      <c r="DT117" s="17"/>
      <c r="DU117" s="17"/>
      <c r="DV117" s="17"/>
      <c r="DW117" s="17"/>
      <c r="DX117" s="17"/>
      <c r="DY117" s="17"/>
      <c r="DZ117" s="17"/>
      <c r="EA117" s="17"/>
      <c r="EB117" s="17"/>
      <c r="EC117" s="17"/>
      <c r="ED117" s="17"/>
      <c r="EE117" s="17"/>
      <c r="EF117" s="17"/>
      <c r="EG117" s="17"/>
      <c r="EH117" s="17"/>
      <c r="EI117" s="17"/>
      <c r="EJ117" s="17"/>
      <c r="EK117" s="17"/>
      <c r="EL117" s="17"/>
      <c r="EM117" s="17"/>
      <c r="EN117" s="17"/>
      <c r="EO117" s="17"/>
      <c r="EP117" s="17"/>
      <c r="EQ117" s="17"/>
      <c r="ER117" s="17"/>
      <c r="ES117" s="17"/>
      <c r="ET117" s="17"/>
      <c r="EU117" s="17"/>
      <c r="EV117" s="17"/>
      <c r="EW117" s="17"/>
      <c r="EX117" s="17"/>
      <c r="EY117" s="17"/>
      <c r="EZ117" s="17"/>
      <c r="FA117" s="17"/>
      <c r="FB117" s="17"/>
      <c r="FC117" s="17"/>
      <c r="FD117" s="17"/>
      <c r="FE117" s="17"/>
      <c r="FF117" s="17"/>
      <c r="FG117" s="17"/>
      <c r="FH117" s="17"/>
      <c r="FI117" s="17"/>
      <c r="FJ117" s="17"/>
      <c r="FK117" s="17"/>
      <c r="FL117" s="17"/>
      <c r="FM117" s="17"/>
      <c r="FN117" s="17"/>
      <c r="FO117" s="17"/>
      <c r="FP117" s="17"/>
      <c r="FQ117" s="17"/>
      <c r="FR117" s="17"/>
      <c r="FS117" s="17"/>
      <c r="FT117" s="17"/>
      <c r="FU117" s="17"/>
      <c r="FV117" s="17"/>
      <c r="FW117" s="17"/>
      <c r="FX117" s="17"/>
      <c r="FY117" s="17"/>
      <c r="FZ117" s="17"/>
      <c r="GA117" s="17"/>
      <c r="GB117" s="17"/>
      <c r="GC117" s="17"/>
      <c r="GD117" s="17"/>
      <c r="GE117" s="17"/>
      <c r="GF117" s="17"/>
      <c r="GG117" s="17"/>
      <c r="GH117" s="17"/>
      <c r="GI117" s="17"/>
      <c r="GJ117" s="17"/>
      <c r="GK117" s="17"/>
      <c r="GL117" s="17"/>
      <c r="GM117" s="17"/>
      <c r="GN117" s="17"/>
      <c r="GO117" s="17"/>
      <c r="GP117" s="17"/>
      <c r="GQ117" s="17"/>
      <c r="GR117" s="17"/>
      <c r="GS117" s="17"/>
      <c r="GT117" s="17"/>
      <c r="GU117" s="17"/>
      <c r="GV117" s="17"/>
      <c r="GW117" s="17"/>
      <c r="GX117" s="17"/>
      <c r="GY117" s="17"/>
      <c r="GZ117" s="17"/>
      <c r="HA117" s="17"/>
      <c r="HB117" s="17"/>
      <c r="HC117" s="17"/>
      <c r="HD117" s="17"/>
      <c r="HE117" s="17"/>
      <c r="HF117" s="17"/>
      <c r="HG117" s="17"/>
      <c r="HH117" s="17"/>
      <c r="HI117" s="17"/>
      <c r="HJ117" s="17"/>
      <c r="HK117" s="17"/>
      <c r="HL117" s="17"/>
      <c r="HM117" s="17"/>
      <c r="HN117" s="17"/>
      <c r="HO117" s="17"/>
      <c r="HP117" s="17"/>
      <c r="HQ117" s="17"/>
      <c r="HR117" s="17"/>
      <c r="HS117" s="17"/>
      <c r="HT117" s="17"/>
      <c r="HU117" s="17"/>
      <c r="HV117" s="17"/>
      <c r="HW117" s="17"/>
      <c r="HX117" s="17"/>
      <c r="HY117" s="17"/>
      <c r="HZ117" s="17"/>
      <c r="IA117" s="17"/>
      <c r="IB117" s="17"/>
      <c r="IC117" s="17"/>
      <c r="ID117" s="17"/>
      <c r="IE117" s="17"/>
      <c r="IF117" s="17"/>
      <c r="IG117" s="17"/>
      <c r="IH117" s="17"/>
      <c r="II117" s="17"/>
      <c r="IJ117" s="17"/>
      <c r="IK117" s="17"/>
      <c r="IL117" s="17"/>
      <c r="IM117" s="17"/>
      <c r="IN117" s="17"/>
      <c r="IO117" s="17"/>
      <c r="IP117" s="17"/>
      <c r="IQ117" s="17"/>
      <c r="IR117" s="17"/>
      <c r="IS117" s="17"/>
      <c r="IT117" s="17"/>
      <c r="IU117" s="17"/>
      <c r="IV117" s="17"/>
      <c r="IW117" s="17"/>
      <c r="IX117" s="17"/>
      <c r="IY117" s="17"/>
      <c r="IZ117" s="17"/>
      <c r="JA117" s="17"/>
      <c r="JB117" s="17"/>
      <c r="JC117" s="17"/>
      <c r="JD117" s="17"/>
      <c r="JE117" s="17"/>
      <c r="JF117" s="17"/>
      <c r="JG117" s="17"/>
      <c r="JH117" s="17"/>
      <c r="JI117" s="17"/>
      <c r="JJ117" s="17"/>
      <c r="JK117" s="17"/>
      <c r="JL117" s="17"/>
      <c r="JM117" s="17"/>
      <c r="JN117" s="17"/>
      <c r="JO117" s="17"/>
      <c r="JP117" s="17"/>
      <c r="JQ117" s="17"/>
      <c r="JR117" s="17"/>
      <c r="JS117" s="17"/>
      <c r="JT117" s="17"/>
      <c r="JU117" s="17"/>
      <c r="JV117" s="17"/>
      <c r="JW117" s="17"/>
      <c r="JX117" s="17"/>
      <c r="JY117" s="17"/>
      <c r="JZ117" s="17"/>
      <c r="KA117" s="17"/>
      <c r="KB117" s="17"/>
      <c r="KC117" s="17"/>
      <c r="KD117" s="17"/>
      <c r="KE117" s="17"/>
      <c r="KF117" s="17"/>
      <c r="KG117" s="17"/>
      <c r="KH117" s="17"/>
      <c r="KI117" s="17"/>
      <c r="KJ117" s="17"/>
      <c r="KK117" s="17"/>
      <c r="KL117" s="17"/>
      <c r="KM117" s="17"/>
      <c r="KN117" s="17"/>
      <c r="KO117" s="17"/>
      <c r="KP117" s="17"/>
      <c r="KQ117" s="17"/>
      <c r="KR117" s="17"/>
      <c r="KS117" s="17"/>
      <c r="KT117" s="17"/>
      <c r="KU117" s="17"/>
      <c r="KV117" s="17"/>
      <c r="KW117" s="17"/>
      <c r="KX117" s="17"/>
      <c r="KY117" s="17"/>
    </row>
    <row r="118" spans="1:311" x14ac:dyDescent="0.25">
      <c r="A118" s="17"/>
      <c r="B118" s="17"/>
      <c r="C118" s="17"/>
      <c r="D118" s="17"/>
      <c r="E118" s="17"/>
      <c r="F118" s="17"/>
      <c r="G118" s="17"/>
      <c r="H118" s="17"/>
      <c r="I118" s="17"/>
      <c r="J118" s="17"/>
      <c r="K118" s="17"/>
      <c r="L118" s="17"/>
      <c r="M118" s="17"/>
      <c r="N118" s="17"/>
      <c r="O118" s="17"/>
      <c r="P118" s="17"/>
      <c r="Q118" s="17"/>
      <c r="R118" s="17"/>
      <c r="S118" s="17"/>
      <c r="T118" s="17"/>
      <c r="U118" s="17"/>
      <c r="V118" s="17"/>
      <c r="W118" s="17"/>
      <c r="X118" s="17"/>
      <c r="Y118" s="17"/>
      <c r="Z118" s="17"/>
      <c r="AA118" s="17"/>
      <c r="AB118" s="17"/>
      <c r="AC118" s="17"/>
      <c r="AD118" s="17"/>
      <c r="AE118" s="17"/>
      <c r="AF118" s="17"/>
      <c r="AG118" s="17"/>
      <c r="AH118" s="17"/>
      <c r="AI118" s="17"/>
      <c r="AJ118" s="17"/>
      <c r="AK118" s="17"/>
      <c r="AL118" s="17"/>
      <c r="AM118" s="17"/>
      <c r="AN118" s="17"/>
      <c r="AO118" s="17"/>
      <c r="AP118" s="17"/>
      <c r="AQ118" s="17"/>
      <c r="AR118" s="17"/>
      <c r="AS118" s="17"/>
      <c r="AT118" s="17"/>
      <c r="AU118" s="17"/>
      <c r="AV118" s="17"/>
      <c r="AW118" s="17"/>
      <c r="AX118" s="17"/>
      <c r="AY118" s="17"/>
      <c r="AZ118" s="17"/>
      <c r="BA118" s="17"/>
      <c r="BB118" s="17"/>
      <c r="BC118" s="17"/>
      <c r="BD118" s="17"/>
      <c r="BE118" s="17"/>
      <c r="BF118" s="17"/>
      <c r="BG118" s="17"/>
      <c r="BH118" s="17"/>
      <c r="BI118" s="17"/>
      <c r="BJ118" s="17"/>
      <c r="BK118" s="17"/>
      <c r="BL118" s="17"/>
      <c r="BM118" s="17"/>
      <c r="BN118" s="17"/>
      <c r="BO118" s="17"/>
      <c r="BP118" s="17"/>
      <c r="BQ118" s="17"/>
      <c r="BR118" s="17"/>
      <c r="BS118" s="17"/>
      <c r="BT118" s="17"/>
      <c r="BU118" s="17"/>
      <c r="BV118" s="17"/>
      <c r="BW118" s="17"/>
      <c r="BX118" s="17"/>
      <c r="BY118" s="17"/>
      <c r="BZ118" s="17"/>
      <c r="CA118" s="17"/>
      <c r="CB118" s="17"/>
      <c r="CC118" s="17"/>
      <c r="CD118" s="17"/>
      <c r="CE118" s="17"/>
      <c r="CF118" s="17"/>
      <c r="CG118" s="17"/>
      <c r="CH118" s="17"/>
      <c r="CI118" s="17"/>
      <c r="CJ118" s="17"/>
      <c r="CK118" s="17"/>
      <c r="CL118" s="17"/>
      <c r="CM118" s="17"/>
      <c r="CN118" s="17"/>
      <c r="CO118" s="17"/>
      <c r="CP118" s="17"/>
      <c r="CQ118" s="17"/>
      <c r="CR118" s="17"/>
      <c r="CS118" s="17"/>
      <c r="CT118" s="17"/>
      <c r="CU118" s="17"/>
      <c r="CV118" s="17"/>
      <c r="CW118" s="17"/>
      <c r="CX118" s="17"/>
      <c r="CY118" s="17"/>
      <c r="CZ118" s="17"/>
      <c r="DA118" s="17"/>
      <c r="DB118" s="17"/>
      <c r="DC118" s="17"/>
      <c r="DD118" s="17"/>
      <c r="DE118" s="17"/>
      <c r="DF118" s="17"/>
      <c r="DG118" s="17"/>
      <c r="DH118" s="17"/>
      <c r="DI118" s="17"/>
      <c r="DJ118" s="17"/>
      <c r="DK118" s="17"/>
      <c r="DL118" s="17"/>
      <c r="DM118" s="17"/>
      <c r="DN118" s="17"/>
      <c r="DO118" s="17"/>
      <c r="DP118" s="17"/>
      <c r="DQ118" s="17"/>
      <c r="DR118" s="17"/>
      <c r="DS118" s="17"/>
      <c r="DT118" s="17"/>
      <c r="DU118" s="17"/>
      <c r="DV118" s="17"/>
      <c r="DW118" s="17"/>
      <c r="DX118" s="17"/>
      <c r="DY118" s="17"/>
      <c r="DZ118" s="17"/>
      <c r="EA118" s="17"/>
      <c r="EB118" s="17"/>
      <c r="EC118" s="17"/>
      <c r="ED118" s="17"/>
      <c r="EE118" s="17"/>
      <c r="EF118" s="17"/>
      <c r="EG118" s="17"/>
      <c r="EH118" s="17"/>
      <c r="EI118" s="17"/>
      <c r="EJ118" s="17"/>
      <c r="EK118" s="17"/>
      <c r="EL118" s="17"/>
      <c r="EM118" s="17"/>
      <c r="EN118" s="17"/>
      <c r="EO118" s="17"/>
      <c r="EP118" s="17"/>
      <c r="EQ118" s="17"/>
      <c r="ER118" s="17"/>
      <c r="ES118" s="17"/>
      <c r="ET118" s="17"/>
      <c r="EU118" s="17"/>
      <c r="EV118" s="17"/>
      <c r="EW118" s="17"/>
      <c r="EX118" s="17"/>
      <c r="EY118" s="17"/>
      <c r="EZ118" s="17"/>
      <c r="FA118" s="17"/>
      <c r="FB118" s="17"/>
      <c r="FC118" s="17"/>
      <c r="FD118" s="17"/>
      <c r="FE118" s="17"/>
      <c r="FF118" s="17"/>
      <c r="FG118" s="17"/>
      <c r="FH118" s="17"/>
      <c r="FI118" s="17"/>
      <c r="FJ118" s="17"/>
      <c r="FK118" s="17"/>
      <c r="FL118" s="17"/>
      <c r="FM118" s="17"/>
      <c r="FN118" s="17"/>
      <c r="FO118" s="17"/>
      <c r="FP118" s="17"/>
      <c r="FQ118" s="17"/>
      <c r="FR118" s="17"/>
      <c r="FS118" s="17"/>
      <c r="FT118" s="17"/>
      <c r="FU118" s="17"/>
      <c r="FV118" s="17"/>
      <c r="FW118" s="17"/>
      <c r="FX118" s="17"/>
      <c r="FY118" s="17"/>
      <c r="FZ118" s="17"/>
      <c r="GA118" s="17"/>
      <c r="GB118" s="17"/>
      <c r="GC118" s="17"/>
      <c r="GD118" s="17"/>
      <c r="GE118" s="17"/>
      <c r="GF118" s="17"/>
      <c r="GG118" s="17"/>
      <c r="GH118" s="17"/>
      <c r="GI118" s="17"/>
      <c r="GJ118" s="17"/>
      <c r="GK118" s="17"/>
      <c r="GL118" s="17"/>
      <c r="GM118" s="17"/>
      <c r="GN118" s="17"/>
      <c r="GO118" s="17"/>
      <c r="GP118" s="17"/>
      <c r="GQ118" s="17"/>
      <c r="GR118" s="17"/>
      <c r="GS118" s="17"/>
      <c r="GT118" s="17"/>
      <c r="GU118" s="17"/>
      <c r="GV118" s="17"/>
      <c r="GW118" s="17"/>
      <c r="GX118" s="17"/>
      <c r="GY118" s="17"/>
      <c r="GZ118" s="17"/>
      <c r="HA118" s="17"/>
      <c r="HB118" s="17"/>
      <c r="HC118" s="17"/>
      <c r="HD118" s="17"/>
      <c r="HE118" s="17"/>
      <c r="HF118" s="17"/>
      <c r="HG118" s="17"/>
      <c r="HH118" s="17"/>
      <c r="HI118" s="17"/>
      <c r="HJ118" s="17"/>
      <c r="HK118" s="17"/>
      <c r="HL118" s="17"/>
      <c r="HM118" s="17"/>
      <c r="HN118" s="17"/>
      <c r="HO118" s="17"/>
      <c r="HP118" s="17"/>
      <c r="HQ118" s="17"/>
      <c r="HR118" s="17"/>
      <c r="HS118" s="17"/>
      <c r="HT118" s="17"/>
      <c r="HU118" s="17"/>
      <c r="HV118" s="17"/>
      <c r="HW118" s="17"/>
      <c r="HX118" s="17"/>
      <c r="HY118" s="17"/>
      <c r="HZ118" s="17"/>
      <c r="IA118" s="17"/>
      <c r="IB118" s="17"/>
      <c r="IC118" s="17"/>
      <c r="ID118" s="17"/>
      <c r="IE118" s="17"/>
      <c r="IF118" s="17"/>
      <c r="IG118" s="17"/>
      <c r="IH118" s="17"/>
      <c r="II118" s="17"/>
      <c r="IJ118" s="17"/>
      <c r="IK118" s="17"/>
      <c r="IL118" s="17"/>
      <c r="IM118" s="17"/>
      <c r="IN118" s="17"/>
      <c r="IO118" s="17"/>
      <c r="IP118" s="17"/>
      <c r="IQ118" s="17"/>
      <c r="IR118" s="17"/>
      <c r="IS118" s="17"/>
      <c r="IT118" s="17"/>
      <c r="IU118" s="17"/>
      <c r="IV118" s="17"/>
      <c r="IW118" s="17"/>
      <c r="IX118" s="17"/>
      <c r="IY118" s="17"/>
      <c r="IZ118" s="17"/>
      <c r="JA118" s="17"/>
      <c r="JB118" s="17"/>
      <c r="JC118" s="17"/>
      <c r="JD118" s="17"/>
      <c r="JE118" s="17"/>
      <c r="JF118" s="17"/>
      <c r="JG118" s="17"/>
      <c r="JH118" s="17"/>
      <c r="JI118" s="17"/>
      <c r="JJ118" s="17"/>
      <c r="JK118" s="17"/>
      <c r="JL118" s="17"/>
      <c r="JM118" s="17"/>
      <c r="JN118" s="17"/>
      <c r="JO118" s="17"/>
      <c r="JP118" s="17"/>
      <c r="JQ118" s="17"/>
      <c r="JR118" s="17"/>
      <c r="JS118" s="17"/>
      <c r="JT118" s="17"/>
      <c r="JU118" s="17"/>
      <c r="JV118" s="17"/>
      <c r="JW118" s="17"/>
      <c r="JX118" s="17"/>
      <c r="JY118" s="17"/>
      <c r="JZ118" s="17"/>
      <c r="KA118" s="17"/>
      <c r="KB118" s="17"/>
      <c r="KC118" s="17"/>
      <c r="KD118" s="17"/>
      <c r="KE118" s="17"/>
      <c r="KF118" s="17"/>
      <c r="KG118" s="17"/>
      <c r="KH118" s="17"/>
      <c r="KI118" s="17"/>
      <c r="KJ118" s="17"/>
      <c r="KK118" s="17"/>
      <c r="KL118" s="17"/>
      <c r="KM118" s="17"/>
      <c r="KN118" s="17"/>
      <c r="KO118" s="17"/>
      <c r="KP118" s="17"/>
      <c r="KQ118" s="17"/>
      <c r="KR118" s="17"/>
      <c r="KS118" s="17"/>
      <c r="KT118" s="17"/>
      <c r="KU118" s="17"/>
      <c r="KV118" s="17"/>
      <c r="KW118" s="17"/>
      <c r="KX118" s="17"/>
      <c r="KY118" s="17"/>
    </row>
    <row r="119" spans="1:311" x14ac:dyDescent="0.25">
      <c r="A119" s="17"/>
      <c r="B119" s="17"/>
      <c r="C119" s="17"/>
      <c r="D119" s="17"/>
      <c r="E119" s="17"/>
      <c r="F119" s="17"/>
      <c r="G119" s="17"/>
      <c r="H119" s="17"/>
      <c r="I119" s="17"/>
      <c r="J119" s="17"/>
      <c r="K119" s="17"/>
      <c r="L119" s="17"/>
      <c r="M119" s="17"/>
      <c r="N119" s="17"/>
      <c r="O119" s="17"/>
      <c r="P119" s="17"/>
      <c r="Q119" s="17"/>
      <c r="R119" s="17"/>
      <c r="S119" s="17"/>
      <c r="T119" s="17"/>
      <c r="U119" s="17"/>
      <c r="V119" s="17"/>
      <c r="W119" s="17"/>
      <c r="X119" s="17"/>
      <c r="Y119" s="17"/>
      <c r="Z119" s="17"/>
      <c r="AA119" s="17"/>
      <c r="AB119" s="17"/>
      <c r="AC119" s="17"/>
      <c r="AD119" s="17"/>
      <c r="AE119" s="17"/>
      <c r="AF119" s="17"/>
      <c r="AG119" s="17"/>
      <c r="AH119" s="17"/>
      <c r="AI119" s="17"/>
      <c r="AJ119" s="17"/>
      <c r="AK119" s="17"/>
      <c r="AL119" s="17"/>
      <c r="AM119" s="17"/>
      <c r="AN119" s="17"/>
      <c r="AO119" s="17"/>
      <c r="AP119" s="17"/>
      <c r="AQ119" s="17"/>
      <c r="AR119" s="17"/>
      <c r="AS119" s="17"/>
      <c r="AT119" s="17"/>
      <c r="AU119" s="17"/>
      <c r="AV119" s="17"/>
      <c r="AW119" s="17"/>
      <c r="AX119" s="17"/>
      <c r="AY119" s="17"/>
      <c r="AZ119" s="17"/>
      <c r="BA119" s="17"/>
      <c r="BB119" s="17"/>
      <c r="BC119" s="17"/>
      <c r="BD119" s="17"/>
      <c r="BE119" s="17"/>
      <c r="BF119" s="17"/>
      <c r="BG119" s="17"/>
      <c r="BH119" s="17"/>
      <c r="BI119" s="17"/>
      <c r="BJ119" s="17"/>
      <c r="BK119" s="17"/>
      <c r="BL119" s="17"/>
      <c r="BM119" s="17"/>
      <c r="BN119" s="17"/>
      <c r="BO119" s="17"/>
      <c r="BP119" s="17"/>
      <c r="BQ119" s="17"/>
      <c r="BR119" s="17"/>
      <c r="BS119" s="17"/>
      <c r="BT119" s="17"/>
      <c r="BU119" s="17"/>
      <c r="BV119" s="17"/>
      <c r="BW119" s="17"/>
      <c r="BX119" s="17"/>
      <c r="BY119" s="17"/>
      <c r="BZ119" s="17"/>
      <c r="CA119" s="17"/>
      <c r="CB119" s="17"/>
      <c r="CC119" s="17"/>
      <c r="CD119" s="17"/>
      <c r="CE119" s="17"/>
      <c r="CF119" s="17"/>
      <c r="CG119" s="17"/>
      <c r="CH119" s="17"/>
      <c r="CI119" s="17"/>
      <c r="CJ119" s="17"/>
      <c r="CK119" s="17"/>
      <c r="CL119" s="17"/>
      <c r="CM119" s="17"/>
      <c r="CN119" s="17"/>
      <c r="CO119" s="17"/>
      <c r="CP119" s="17"/>
      <c r="CQ119" s="17"/>
      <c r="CR119" s="17"/>
      <c r="CS119" s="17"/>
      <c r="CT119" s="17"/>
      <c r="CU119" s="17"/>
      <c r="CV119" s="17"/>
      <c r="CW119" s="17"/>
      <c r="CX119" s="17"/>
      <c r="CY119" s="17"/>
      <c r="CZ119" s="17"/>
      <c r="DA119" s="17"/>
      <c r="DB119" s="17"/>
      <c r="DC119" s="17"/>
      <c r="DD119" s="17"/>
      <c r="DE119" s="17"/>
      <c r="DF119" s="17"/>
      <c r="DG119" s="17"/>
      <c r="DH119" s="17"/>
      <c r="DI119" s="17"/>
      <c r="DJ119" s="17"/>
      <c r="DK119" s="17"/>
      <c r="DL119" s="17"/>
      <c r="DM119" s="17"/>
      <c r="DN119" s="17"/>
      <c r="DO119" s="17"/>
      <c r="DP119" s="17"/>
      <c r="DQ119" s="17"/>
      <c r="DR119" s="17"/>
      <c r="DS119" s="17"/>
      <c r="DT119" s="17"/>
      <c r="DU119" s="17"/>
      <c r="DV119" s="17"/>
      <c r="DW119" s="17"/>
      <c r="DX119" s="17"/>
      <c r="DY119" s="17"/>
      <c r="DZ119" s="17"/>
      <c r="EA119" s="17"/>
      <c r="EB119" s="17"/>
      <c r="EC119" s="17"/>
      <c r="ED119" s="17"/>
      <c r="EE119" s="17"/>
      <c r="EF119" s="17"/>
      <c r="EG119" s="17"/>
      <c r="EH119" s="17"/>
      <c r="EI119" s="17"/>
      <c r="EJ119" s="17"/>
      <c r="EK119" s="17"/>
      <c r="EL119" s="17"/>
      <c r="EM119" s="17"/>
      <c r="EN119" s="17"/>
      <c r="EO119" s="17"/>
      <c r="EP119" s="17"/>
      <c r="EQ119" s="17"/>
      <c r="ER119" s="17"/>
      <c r="ES119" s="17"/>
      <c r="ET119" s="17"/>
      <c r="EU119" s="17"/>
      <c r="EV119" s="17"/>
      <c r="EW119" s="17"/>
      <c r="EX119" s="17"/>
      <c r="EY119" s="17"/>
      <c r="EZ119" s="17"/>
      <c r="FA119" s="17"/>
      <c r="FB119" s="17"/>
      <c r="FC119" s="17"/>
      <c r="FD119" s="17"/>
      <c r="FE119" s="17"/>
      <c r="FF119" s="17"/>
      <c r="FG119" s="17"/>
      <c r="FH119" s="17"/>
      <c r="FI119" s="17"/>
      <c r="FJ119" s="17"/>
      <c r="FK119" s="17"/>
      <c r="FL119" s="17"/>
      <c r="FM119" s="17"/>
      <c r="FN119" s="17"/>
      <c r="FO119" s="17"/>
      <c r="FP119" s="17"/>
      <c r="FQ119" s="17"/>
      <c r="FR119" s="17"/>
      <c r="FS119" s="17"/>
      <c r="FT119" s="17"/>
      <c r="FU119" s="17"/>
      <c r="FV119" s="17"/>
      <c r="FW119" s="17"/>
      <c r="FX119" s="17"/>
      <c r="FY119" s="17"/>
      <c r="FZ119" s="17"/>
      <c r="GA119" s="17"/>
      <c r="GB119" s="17"/>
      <c r="GC119" s="17"/>
      <c r="GD119" s="17"/>
      <c r="GE119" s="17"/>
      <c r="GF119" s="17"/>
      <c r="GG119" s="17"/>
      <c r="GH119" s="17"/>
      <c r="GI119" s="17"/>
      <c r="GJ119" s="17"/>
      <c r="GK119" s="17"/>
      <c r="GL119" s="17"/>
      <c r="GM119" s="17"/>
      <c r="GN119" s="17"/>
      <c r="GO119" s="17"/>
      <c r="GP119" s="17"/>
      <c r="GQ119" s="17"/>
      <c r="GR119" s="17"/>
      <c r="GS119" s="17"/>
      <c r="GT119" s="17"/>
      <c r="GU119" s="17"/>
      <c r="GV119" s="17"/>
      <c r="GW119" s="17"/>
      <c r="GX119" s="17"/>
      <c r="GY119" s="17"/>
      <c r="GZ119" s="17"/>
      <c r="HA119" s="17"/>
      <c r="HB119" s="17"/>
      <c r="HC119" s="17"/>
      <c r="HD119" s="17"/>
      <c r="HE119" s="17"/>
      <c r="HF119" s="17"/>
      <c r="HG119" s="17"/>
      <c r="HH119" s="17"/>
      <c r="HI119" s="17"/>
      <c r="HJ119" s="17"/>
      <c r="HK119" s="17"/>
      <c r="HL119" s="17"/>
      <c r="HM119" s="17"/>
      <c r="HN119" s="17"/>
      <c r="HO119" s="17"/>
      <c r="HP119" s="17"/>
      <c r="HQ119" s="17"/>
      <c r="HR119" s="17"/>
      <c r="HS119" s="17"/>
      <c r="HT119" s="17"/>
      <c r="HU119" s="17"/>
      <c r="HV119" s="17"/>
      <c r="HW119" s="17"/>
      <c r="HX119" s="17"/>
      <c r="HY119" s="17"/>
      <c r="HZ119" s="17"/>
      <c r="IA119" s="17"/>
      <c r="IB119" s="17"/>
      <c r="IC119" s="17"/>
      <c r="ID119" s="17"/>
      <c r="IE119" s="17"/>
      <c r="IF119" s="17"/>
      <c r="IG119" s="17"/>
      <c r="IH119" s="17"/>
      <c r="II119" s="17"/>
      <c r="IJ119" s="17"/>
      <c r="IK119" s="17"/>
      <c r="IL119" s="17"/>
      <c r="IM119" s="17"/>
      <c r="IN119" s="17"/>
      <c r="IO119" s="17"/>
      <c r="IP119" s="17"/>
      <c r="IQ119" s="17"/>
      <c r="IR119" s="17"/>
      <c r="IS119" s="17"/>
      <c r="IT119" s="17"/>
      <c r="IU119" s="17"/>
      <c r="IV119" s="17"/>
      <c r="IW119" s="17"/>
      <c r="IX119" s="17"/>
      <c r="IY119" s="17"/>
      <c r="IZ119" s="17"/>
      <c r="JA119" s="17"/>
      <c r="JB119" s="17"/>
      <c r="JC119" s="17"/>
      <c r="JD119" s="17"/>
      <c r="JE119" s="17"/>
      <c r="JF119" s="17"/>
      <c r="JG119" s="17"/>
      <c r="JH119" s="17"/>
      <c r="JI119" s="17"/>
      <c r="JJ119" s="17"/>
      <c r="JK119" s="17"/>
      <c r="JL119" s="17"/>
      <c r="JM119" s="17"/>
      <c r="JN119" s="17"/>
      <c r="JO119" s="17"/>
      <c r="JP119" s="17"/>
      <c r="JQ119" s="17"/>
      <c r="JR119" s="17"/>
      <c r="JS119" s="17"/>
      <c r="JT119" s="17"/>
      <c r="JU119" s="17"/>
      <c r="JV119" s="17"/>
      <c r="JW119" s="17"/>
      <c r="JX119" s="17"/>
      <c r="JY119" s="17"/>
      <c r="JZ119" s="17"/>
      <c r="KA119" s="17"/>
      <c r="KB119" s="17"/>
      <c r="KC119" s="17"/>
      <c r="KD119" s="17"/>
      <c r="KE119" s="17"/>
      <c r="KF119" s="17"/>
      <c r="KG119" s="17"/>
      <c r="KH119" s="17"/>
      <c r="KI119" s="17"/>
      <c r="KJ119" s="17"/>
      <c r="KK119" s="17"/>
      <c r="KL119" s="17"/>
      <c r="KM119" s="17"/>
      <c r="KN119" s="17"/>
      <c r="KO119" s="17"/>
      <c r="KP119" s="17"/>
      <c r="KQ119" s="17"/>
      <c r="KR119" s="17"/>
      <c r="KS119" s="17"/>
      <c r="KT119" s="17"/>
      <c r="KU119" s="17"/>
      <c r="KV119" s="17"/>
      <c r="KW119" s="17"/>
      <c r="KX119" s="17"/>
      <c r="KY119" s="17"/>
    </row>
    <row r="120" spans="1:311" x14ac:dyDescent="0.25">
      <c r="A120" s="17"/>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c r="GS120" s="17"/>
      <c r="GT120" s="17"/>
      <c r="GU120" s="17"/>
      <c r="GV120" s="17"/>
      <c r="GW120" s="17"/>
      <c r="GX120" s="17"/>
      <c r="GY120" s="17"/>
      <c r="GZ120" s="17"/>
      <c r="HA120" s="17"/>
      <c r="HB120" s="17"/>
      <c r="HC120" s="17"/>
      <c r="HD120" s="17"/>
      <c r="HE120" s="17"/>
      <c r="HF120" s="17"/>
      <c r="HG120" s="17"/>
      <c r="HH120" s="17"/>
      <c r="HI120" s="17"/>
      <c r="HJ120" s="17"/>
      <c r="HK120" s="17"/>
      <c r="HL120" s="17"/>
      <c r="HM120" s="17"/>
      <c r="HN120" s="17"/>
      <c r="HO120" s="17"/>
      <c r="HP120" s="17"/>
      <c r="HQ120" s="17"/>
      <c r="HR120" s="17"/>
      <c r="HS120" s="17"/>
      <c r="HT120" s="17"/>
      <c r="HU120" s="17"/>
      <c r="HV120" s="17"/>
      <c r="HW120" s="17"/>
      <c r="HX120" s="17"/>
      <c r="HY120" s="17"/>
      <c r="HZ120" s="17"/>
      <c r="IA120" s="17"/>
      <c r="IB120" s="17"/>
      <c r="IC120" s="17"/>
      <c r="ID120" s="17"/>
      <c r="IE120" s="17"/>
      <c r="IF120" s="17"/>
      <c r="IG120" s="17"/>
      <c r="IH120" s="17"/>
      <c r="II120" s="17"/>
      <c r="IJ120" s="17"/>
      <c r="IK120" s="17"/>
      <c r="IL120" s="17"/>
      <c r="IM120" s="17"/>
      <c r="IN120" s="17"/>
      <c r="IO120" s="17"/>
      <c r="IP120" s="17"/>
      <c r="IQ120" s="17"/>
      <c r="IR120" s="17"/>
      <c r="IS120" s="17"/>
      <c r="IT120" s="17"/>
      <c r="IU120" s="17"/>
      <c r="IV120" s="17"/>
      <c r="IW120" s="17"/>
      <c r="IX120" s="17"/>
      <c r="IY120" s="17"/>
      <c r="IZ120" s="17"/>
      <c r="JA120" s="17"/>
      <c r="JB120" s="17"/>
      <c r="JC120" s="17"/>
      <c r="JD120" s="17"/>
      <c r="JE120" s="17"/>
      <c r="JF120" s="17"/>
      <c r="JG120" s="17"/>
      <c r="JH120" s="17"/>
      <c r="JI120" s="17"/>
      <c r="JJ120" s="17"/>
      <c r="JK120" s="17"/>
      <c r="JL120" s="17"/>
      <c r="JM120" s="17"/>
      <c r="JN120" s="17"/>
      <c r="JO120" s="17"/>
      <c r="JP120" s="17"/>
      <c r="JQ120" s="17"/>
      <c r="JR120" s="17"/>
      <c r="JS120" s="17"/>
      <c r="JT120" s="17"/>
      <c r="JU120" s="17"/>
      <c r="JV120" s="17"/>
      <c r="JW120" s="17"/>
      <c r="JX120" s="17"/>
      <c r="JY120" s="17"/>
      <c r="JZ120" s="17"/>
      <c r="KA120" s="17"/>
      <c r="KB120" s="17"/>
      <c r="KC120" s="17"/>
      <c r="KD120" s="17"/>
      <c r="KE120" s="17"/>
      <c r="KF120" s="17"/>
      <c r="KG120" s="17"/>
      <c r="KH120" s="17"/>
      <c r="KI120" s="17"/>
      <c r="KJ120" s="17"/>
      <c r="KK120" s="17"/>
      <c r="KL120" s="17"/>
      <c r="KM120" s="17"/>
      <c r="KN120" s="17"/>
      <c r="KO120" s="17"/>
      <c r="KP120" s="17"/>
      <c r="KQ120" s="17"/>
      <c r="KR120" s="17"/>
      <c r="KS120" s="17"/>
      <c r="KT120" s="17"/>
      <c r="KU120" s="17"/>
      <c r="KV120" s="17"/>
      <c r="KW120" s="17"/>
      <c r="KX120" s="17"/>
      <c r="KY120" s="17"/>
    </row>
    <row r="121" spans="1:311" x14ac:dyDescent="0.25">
      <c r="A121" s="17"/>
      <c r="B121" s="17"/>
      <c r="C121" s="17"/>
      <c r="D121" s="17"/>
      <c r="E121" s="17"/>
      <c r="F121" s="17"/>
      <c r="G121" s="17"/>
      <c r="H121" s="17"/>
      <c r="I121" s="17"/>
      <c r="J121" s="17"/>
      <c r="K121" s="17"/>
      <c r="L121" s="17"/>
      <c r="M121" s="17"/>
      <c r="N121" s="17"/>
      <c r="O121" s="17"/>
      <c r="P121" s="17"/>
      <c r="Q121" s="17"/>
      <c r="R121" s="17"/>
      <c r="S121" s="17"/>
      <c r="T121" s="17"/>
      <c r="U121" s="17"/>
      <c r="V121" s="17"/>
      <c r="W121" s="17"/>
      <c r="X121" s="17"/>
      <c r="Y121" s="17"/>
      <c r="Z121" s="17"/>
      <c r="AA121" s="17"/>
      <c r="AB121" s="17"/>
      <c r="AC121" s="17"/>
      <c r="AD121" s="17"/>
      <c r="AE121" s="17"/>
      <c r="AF121" s="17"/>
      <c r="AG121" s="17"/>
      <c r="AH121" s="17"/>
      <c r="AI121" s="17"/>
      <c r="AJ121" s="17"/>
      <c r="AK121" s="17"/>
      <c r="AL121" s="17"/>
      <c r="AM121" s="17"/>
      <c r="AN121" s="17"/>
      <c r="AO121" s="17"/>
      <c r="AP121" s="17"/>
      <c r="AQ121" s="17"/>
      <c r="AR121" s="17"/>
      <c r="AS121" s="17"/>
      <c r="AT121" s="17"/>
      <c r="AU121" s="17"/>
      <c r="AV121" s="17"/>
      <c r="AW121" s="17"/>
      <c r="AX121" s="17"/>
      <c r="AY121" s="17"/>
      <c r="AZ121" s="17"/>
      <c r="BA121" s="17"/>
      <c r="BB121" s="17"/>
      <c r="BC121" s="17"/>
      <c r="BD121" s="17"/>
      <c r="BE121" s="17"/>
      <c r="BF121" s="17"/>
      <c r="BG121" s="17"/>
      <c r="BH121" s="17"/>
      <c r="BI121" s="17"/>
      <c r="BJ121" s="17"/>
      <c r="BK121" s="17"/>
      <c r="BL121" s="17"/>
      <c r="BM121" s="17"/>
      <c r="BN121" s="17"/>
      <c r="BO121" s="17"/>
      <c r="BP121" s="17"/>
      <c r="BQ121" s="17"/>
      <c r="BR121" s="17"/>
      <c r="BS121" s="17"/>
      <c r="BT121" s="17"/>
      <c r="BU121" s="17"/>
      <c r="BV121" s="17"/>
      <c r="BW121" s="17"/>
      <c r="BX121" s="17"/>
      <c r="BY121" s="17"/>
      <c r="BZ121" s="17"/>
      <c r="CA121" s="17"/>
      <c r="CB121" s="17"/>
      <c r="CC121" s="17"/>
      <c r="CD121" s="17"/>
      <c r="CE121" s="17"/>
      <c r="CF121" s="17"/>
      <c r="CG121" s="17"/>
      <c r="CH121" s="17"/>
      <c r="CI121" s="17"/>
      <c r="CJ121" s="17"/>
      <c r="CK121" s="17"/>
      <c r="CL121" s="17"/>
      <c r="CM121" s="17"/>
      <c r="CN121" s="17"/>
      <c r="CO121" s="17"/>
      <c r="CP121" s="17"/>
      <c r="CQ121" s="17"/>
      <c r="CR121" s="17"/>
      <c r="CS121" s="17"/>
      <c r="CT121" s="17"/>
      <c r="CU121" s="17"/>
      <c r="CV121" s="17"/>
      <c r="CW121" s="17"/>
      <c r="CX121" s="17"/>
      <c r="CY121" s="17"/>
      <c r="CZ121" s="17"/>
      <c r="DA121" s="17"/>
      <c r="DB121" s="17"/>
      <c r="DC121" s="17"/>
      <c r="DD121" s="17"/>
      <c r="DE121" s="17"/>
      <c r="DF121" s="17"/>
      <c r="DG121" s="17"/>
      <c r="DH121" s="17"/>
      <c r="DI121" s="17"/>
      <c r="DJ121" s="17"/>
      <c r="DK121" s="17"/>
      <c r="DL121" s="17"/>
      <c r="DM121" s="17"/>
      <c r="DN121" s="17"/>
      <c r="DO121" s="17"/>
      <c r="DP121" s="17"/>
      <c r="DQ121" s="17"/>
      <c r="DR121" s="17"/>
      <c r="DS121" s="17"/>
      <c r="DT121" s="17"/>
      <c r="DU121" s="17"/>
      <c r="DV121" s="17"/>
      <c r="DW121" s="17"/>
      <c r="DX121" s="17"/>
      <c r="DY121" s="17"/>
      <c r="DZ121" s="17"/>
      <c r="EA121" s="17"/>
      <c r="EB121" s="17"/>
      <c r="EC121" s="17"/>
      <c r="ED121" s="17"/>
      <c r="EE121" s="17"/>
      <c r="EF121" s="17"/>
      <c r="EG121" s="17"/>
      <c r="EH121" s="17"/>
      <c r="EI121" s="17"/>
      <c r="EJ121" s="17"/>
      <c r="EK121" s="17"/>
      <c r="EL121" s="17"/>
      <c r="EM121" s="17"/>
      <c r="EN121" s="17"/>
      <c r="EO121" s="17"/>
      <c r="EP121" s="17"/>
      <c r="EQ121" s="17"/>
      <c r="ER121" s="17"/>
      <c r="ES121" s="17"/>
      <c r="ET121" s="17"/>
      <c r="EU121" s="17"/>
      <c r="EV121" s="17"/>
      <c r="EW121" s="17"/>
      <c r="EX121" s="17"/>
      <c r="EY121" s="17"/>
      <c r="EZ121" s="17"/>
      <c r="FA121" s="17"/>
      <c r="FB121" s="17"/>
      <c r="FC121" s="17"/>
      <c r="FD121" s="17"/>
      <c r="FE121" s="17"/>
      <c r="FF121" s="17"/>
      <c r="FG121" s="17"/>
      <c r="FH121" s="17"/>
      <c r="FI121" s="17"/>
      <c r="FJ121" s="17"/>
      <c r="FK121" s="17"/>
      <c r="FL121" s="17"/>
      <c r="FM121" s="17"/>
      <c r="FN121" s="17"/>
      <c r="FO121" s="17"/>
      <c r="FP121" s="17"/>
      <c r="FQ121" s="17"/>
      <c r="FR121" s="17"/>
      <c r="FS121" s="17"/>
      <c r="FT121" s="17"/>
      <c r="FU121" s="17"/>
      <c r="FV121" s="17"/>
      <c r="FW121" s="17"/>
      <c r="FX121" s="17"/>
      <c r="FY121" s="17"/>
      <c r="FZ121" s="17"/>
      <c r="GA121" s="17"/>
      <c r="GB121" s="17"/>
      <c r="GC121" s="17"/>
      <c r="GD121" s="17"/>
      <c r="GE121" s="17"/>
      <c r="GF121" s="17"/>
      <c r="GG121" s="17"/>
      <c r="GH121" s="17"/>
      <c r="GI121" s="17"/>
      <c r="GJ121" s="17"/>
      <c r="GK121" s="17"/>
      <c r="GL121" s="17"/>
      <c r="GM121" s="17"/>
      <c r="GN121" s="17"/>
      <c r="GO121" s="17"/>
      <c r="GP121" s="17"/>
      <c r="GQ121" s="17"/>
      <c r="GR121" s="17"/>
      <c r="GS121" s="17"/>
      <c r="GT121" s="17"/>
      <c r="GU121" s="17"/>
      <c r="GV121" s="17"/>
      <c r="GW121" s="17"/>
      <c r="GX121" s="17"/>
      <c r="GY121" s="17"/>
      <c r="GZ121" s="17"/>
      <c r="HA121" s="17"/>
      <c r="HB121" s="17"/>
      <c r="HC121" s="17"/>
      <c r="HD121" s="17"/>
      <c r="HE121" s="17"/>
      <c r="HF121" s="17"/>
      <c r="HG121" s="17"/>
      <c r="HH121" s="17"/>
      <c r="HI121" s="17"/>
      <c r="HJ121" s="17"/>
      <c r="HK121" s="17"/>
      <c r="HL121" s="17"/>
      <c r="HM121" s="17"/>
      <c r="HN121" s="17"/>
      <c r="HO121" s="17"/>
      <c r="HP121" s="17"/>
      <c r="HQ121" s="17"/>
      <c r="HR121" s="17"/>
      <c r="HS121" s="17"/>
      <c r="HT121" s="17"/>
      <c r="HU121" s="17"/>
      <c r="HV121" s="17"/>
      <c r="HW121" s="17"/>
      <c r="HX121" s="17"/>
      <c r="HY121" s="17"/>
      <c r="HZ121" s="17"/>
      <c r="IA121" s="17"/>
      <c r="IB121" s="17"/>
      <c r="IC121" s="17"/>
      <c r="ID121" s="17"/>
      <c r="IE121" s="17"/>
      <c r="IF121" s="17"/>
      <c r="IG121" s="17"/>
      <c r="IH121" s="17"/>
      <c r="II121" s="17"/>
      <c r="IJ121" s="17"/>
      <c r="IK121" s="17"/>
      <c r="IL121" s="17"/>
      <c r="IM121" s="17"/>
      <c r="IN121" s="17"/>
      <c r="IO121" s="17"/>
      <c r="IP121" s="17"/>
      <c r="IQ121" s="17"/>
      <c r="IR121" s="17"/>
      <c r="IS121" s="17"/>
      <c r="IT121" s="17"/>
      <c r="IU121" s="17"/>
      <c r="IV121" s="17"/>
      <c r="IW121" s="17"/>
      <c r="IX121" s="17"/>
      <c r="IY121" s="17"/>
      <c r="IZ121" s="17"/>
      <c r="JA121" s="17"/>
      <c r="JB121" s="17"/>
      <c r="JC121" s="17"/>
      <c r="JD121" s="17"/>
      <c r="JE121" s="17"/>
      <c r="JF121" s="17"/>
      <c r="JG121" s="17"/>
      <c r="JH121" s="17"/>
      <c r="JI121" s="17"/>
      <c r="JJ121" s="17"/>
      <c r="JK121" s="17"/>
      <c r="JL121" s="17"/>
      <c r="JM121" s="17"/>
      <c r="JN121" s="17"/>
      <c r="JO121" s="17"/>
      <c r="JP121" s="17"/>
      <c r="JQ121" s="17"/>
      <c r="JR121" s="17"/>
      <c r="JS121" s="17"/>
      <c r="JT121" s="17"/>
      <c r="JU121" s="17"/>
      <c r="JV121" s="17"/>
      <c r="JW121" s="17"/>
      <c r="JX121" s="17"/>
      <c r="JY121" s="17"/>
      <c r="JZ121" s="17"/>
      <c r="KA121" s="17"/>
      <c r="KB121" s="17"/>
      <c r="KC121" s="17"/>
      <c r="KD121" s="17"/>
      <c r="KE121" s="17"/>
      <c r="KF121" s="17"/>
      <c r="KG121" s="17"/>
      <c r="KH121" s="17"/>
      <c r="KI121" s="17"/>
      <c r="KJ121" s="17"/>
      <c r="KK121" s="17"/>
      <c r="KL121" s="17"/>
      <c r="KM121" s="17"/>
      <c r="KN121" s="17"/>
      <c r="KO121" s="17"/>
      <c r="KP121" s="17"/>
      <c r="KQ121" s="17"/>
      <c r="KR121" s="17"/>
      <c r="KS121" s="17"/>
      <c r="KT121" s="17"/>
      <c r="KU121" s="17"/>
      <c r="KV121" s="17"/>
      <c r="KW121" s="17"/>
      <c r="KX121" s="17"/>
      <c r="KY121" s="17"/>
    </row>
    <row r="122" spans="1:311" x14ac:dyDescent="0.25">
      <c r="A122" s="17"/>
      <c r="B122" s="17"/>
      <c r="C122" s="17"/>
      <c r="D122" s="17"/>
      <c r="E122" s="17"/>
      <c r="F122" s="17"/>
      <c r="G122" s="17"/>
      <c r="H122" s="17"/>
      <c r="I122" s="17"/>
      <c r="J122" s="17"/>
      <c r="K122" s="17"/>
      <c r="L122" s="17"/>
      <c r="M122" s="17"/>
      <c r="N122" s="17"/>
      <c r="O122" s="17"/>
      <c r="P122" s="17"/>
      <c r="Q122" s="17"/>
      <c r="R122" s="17"/>
      <c r="S122" s="17"/>
      <c r="T122" s="17"/>
      <c r="U122" s="17"/>
      <c r="V122" s="17"/>
      <c r="W122" s="17"/>
      <c r="X122" s="17"/>
      <c r="Y122" s="17"/>
      <c r="Z122" s="17"/>
      <c r="AA122" s="17"/>
      <c r="AB122" s="17"/>
      <c r="AC122" s="17"/>
      <c r="AD122" s="17"/>
      <c r="AE122" s="17"/>
      <c r="AF122" s="17"/>
      <c r="AG122" s="17"/>
      <c r="AH122" s="17"/>
      <c r="AI122" s="17"/>
      <c r="AJ122" s="17"/>
      <c r="AK122" s="17"/>
      <c r="AL122" s="17"/>
      <c r="AM122" s="17"/>
      <c r="AN122" s="17"/>
      <c r="AO122" s="17"/>
      <c r="AP122" s="17"/>
      <c r="AQ122" s="17"/>
      <c r="AR122" s="17"/>
      <c r="AS122" s="17"/>
      <c r="AT122" s="17"/>
      <c r="AU122" s="17"/>
      <c r="AV122" s="17"/>
      <c r="AW122" s="17"/>
      <c r="AX122" s="17"/>
      <c r="AY122" s="17"/>
      <c r="AZ122" s="17"/>
      <c r="BA122" s="17"/>
      <c r="BB122" s="17"/>
      <c r="BC122" s="17"/>
      <c r="BD122" s="17"/>
      <c r="BE122" s="17"/>
      <c r="BF122" s="17"/>
      <c r="BG122" s="17"/>
      <c r="BH122" s="17"/>
      <c r="BI122" s="17"/>
      <c r="BJ122" s="17"/>
      <c r="BK122" s="17"/>
      <c r="BL122" s="17"/>
      <c r="BM122" s="17"/>
      <c r="BN122" s="17"/>
      <c r="BO122" s="17"/>
      <c r="BP122" s="17"/>
      <c r="BQ122" s="17"/>
      <c r="BR122" s="17"/>
      <c r="BS122" s="17"/>
      <c r="BT122" s="17"/>
      <c r="BU122" s="17"/>
      <c r="BV122" s="17"/>
      <c r="BW122" s="17"/>
      <c r="BX122" s="17"/>
      <c r="BY122" s="17"/>
      <c r="BZ122" s="17"/>
      <c r="CA122" s="17"/>
      <c r="CB122" s="17"/>
      <c r="CC122" s="17"/>
      <c r="CD122" s="17"/>
      <c r="CE122" s="17"/>
      <c r="CF122" s="17"/>
      <c r="CG122" s="17"/>
      <c r="CH122" s="17"/>
      <c r="CI122" s="17"/>
      <c r="CJ122" s="17"/>
      <c r="CK122" s="17"/>
      <c r="CL122" s="17"/>
      <c r="CM122" s="17"/>
      <c r="CN122" s="17"/>
      <c r="CO122" s="17"/>
      <c r="CP122" s="17"/>
      <c r="CQ122" s="17"/>
      <c r="CR122" s="17"/>
      <c r="CS122" s="17"/>
      <c r="CT122" s="17"/>
      <c r="CU122" s="17"/>
      <c r="CV122" s="17"/>
      <c r="CW122" s="17"/>
      <c r="CX122" s="17"/>
      <c r="CY122" s="17"/>
      <c r="CZ122" s="17"/>
      <c r="DA122" s="17"/>
      <c r="DB122" s="17"/>
      <c r="DC122" s="17"/>
      <c r="DD122" s="17"/>
      <c r="DE122" s="17"/>
      <c r="DF122" s="17"/>
      <c r="DG122" s="17"/>
      <c r="DH122" s="17"/>
      <c r="DI122" s="17"/>
      <c r="DJ122" s="17"/>
      <c r="DK122" s="17"/>
      <c r="DL122" s="17"/>
      <c r="DM122" s="17"/>
      <c r="DN122" s="17"/>
      <c r="DO122" s="17"/>
      <c r="DP122" s="17"/>
      <c r="DQ122" s="17"/>
      <c r="DR122" s="17"/>
      <c r="DS122" s="17"/>
      <c r="DT122" s="17"/>
      <c r="DU122" s="17"/>
      <c r="DV122" s="17"/>
      <c r="DW122" s="17"/>
      <c r="DX122" s="17"/>
      <c r="DY122" s="17"/>
      <c r="DZ122" s="17"/>
      <c r="EA122" s="17"/>
      <c r="EB122" s="17"/>
      <c r="EC122" s="17"/>
      <c r="ED122" s="17"/>
      <c r="EE122" s="17"/>
      <c r="EF122" s="17"/>
      <c r="EG122" s="17"/>
      <c r="EH122" s="17"/>
      <c r="EI122" s="17"/>
      <c r="EJ122" s="17"/>
      <c r="EK122" s="17"/>
      <c r="EL122" s="17"/>
      <c r="EM122" s="17"/>
      <c r="EN122" s="17"/>
      <c r="EO122" s="17"/>
      <c r="EP122" s="17"/>
      <c r="EQ122" s="17"/>
      <c r="ER122" s="17"/>
      <c r="ES122" s="17"/>
      <c r="ET122" s="17"/>
      <c r="EU122" s="17"/>
      <c r="EV122" s="17"/>
      <c r="EW122" s="17"/>
      <c r="EX122" s="17"/>
      <c r="EY122" s="17"/>
      <c r="EZ122" s="17"/>
      <c r="FA122" s="17"/>
      <c r="FB122" s="17"/>
      <c r="FC122" s="17"/>
      <c r="FD122" s="17"/>
      <c r="FE122" s="17"/>
      <c r="FF122" s="17"/>
      <c r="FG122" s="17"/>
      <c r="FH122" s="17"/>
      <c r="FI122" s="17"/>
      <c r="FJ122" s="17"/>
      <c r="FK122" s="17"/>
      <c r="FL122" s="17"/>
      <c r="FM122" s="17"/>
      <c r="FN122" s="17"/>
      <c r="FO122" s="17"/>
      <c r="FP122" s="17"/>
      <c r="FQ122" s="17"/>
      <c r="FR122" s="17"/>
      <c r="FS122" s="17"/>
      <c r="FT122" s="17"/>
      <c r="FU122" s="17"/>
      <c r="FV122" s="17"/>
      <c r="FW122" s="17"/>
      <c r="FX122" s="17"/>
      <c r="FY122" s="17"/>
      <c r="FZ122" s="17"/>
      <c r="GA122" s="17"/>
      <c r="GB122" s="17"/>
      <c r="GC122" s="17"/>
      <c r="GD122" s="17"/>
      <c r="GE122" s="17"/>
      <c r="GF122" s="17"/>
      <c r="GG122" s="17"/>
      <c r="GH122" s="17"/>
      <c r="GI122" s="17"/>
      <c r="GJ122" s="17"/>
      <c r="GK122" s="17"/>
      <c r="GL122" s="17"/>
      <c r="GM122" s="17"/>
      <c r="GN122" s="17"/>
      <c r="GO122" s="17"/>
      <c r="GP122" s="17"/>
      <c r="GQ122" s="17"/>
      <c r="GR122" s="17"/>
      <c r="GS122" s="17"/>
      <c r="GT122" s="17"/>
      <c r="GU122" s="17"/>
      <c r="GV122" s="17"/>
      <c r="GW122" s="17"/>
      <c r="GX122" s="17"/>
      <c r="GY122" s="17"/>
      <c r="GZ122" s="17"/>
      <c r="HA122" s="17"/>
      <c r="HB122" s="17"/>
      <c r="HC122" s="17"/>
      <c r="HD122" s="17"/>
      <c r="HE122" s="17"/>
      <c r="HF122" s="17"/>
      <c r="HG122" s="17"/>
      <c r="HH122" s="17"/>
      <c r="HI122" s="17"/>
      <c r="HJ122" s="17"/>
      <c r="HK122" s="17"/>
      <c r="HL122" s="17"/>
      <c r="HM122" s="17"/>
      <c r="HN122" s="17"/>
      <c r="HO122" s="17"/>
      <c r="HP122" s="17"/>
      <c r="HQ122" s="17"/>
      <c r="HR122" s="17"/>
      <c r="HS122" s="17"/>
      <c r="HT122" s="17"/>
      <c r="HU122" s="17"/>
      <c r="HV122" s="17"/>
      <c r="HW122" s="17"/>
      <c r="HX122" s="17"/>
      <c r="HY122" s="17"/>
      <c r="HZ122" s="17"/>
      <c r="IA122" s="17"/>
      <c r="IB122" s="17"/>
      <c r="IC122" s="17"/>
      <c r="ID122" s="17"/>
      <c r="IE122" s="17"/>
      <c r="IF122" s="17"/>
      <c r="IG122" s="17"/>
      <c r="IH122" s="17"/>
      <c r="II122" s="17"/>
      <c r="IJ122" s="17"/>
      <c r="IK122" s="17"/>
      <c r="IL122" s="17"/>
      <c r="IM122" s="17"/>
      <c r="IN122" s="17"/>
      <c r="IO122" s="17"/>
      <c r="IP122" s="17"/>
      <c r="IQ122" s="17"/>
      <c r="IR122" s="17"/>
      <c r="IS122" s="17"/>
      <c r="IT122" s="17"/>
      <c r="IU122" s="17"/>
      <c r="IV122" s="17"/>
      <c r="IW122" s="17"/>
      <c r="IX122" s="17"/>
      <c r="IY122" s="17"/>
      <c r="IZ122" s="17"/>
      <c r="JA122" s="17"/>
      <c r="JB122" s="17"/>
      <c r="JC122" s="17"/>
      <c r="JD122" s="17"/>
      <c r="JE122" s="17"/>
      <c r="JF122" s="17"/>
      <c r="JG122" s="17"/>
      <c r="JH122" s="17"/>
      <c r="JI122" s="17"/>
      <c r="JJ122" s="17"/>
      <c r="JK122" s="17"/>
      <c r="JL122" s="17"/>
      <c r="JM122" s="17"/>
      <c r="JN122" s="17"/>
      <c r="JO122" s="17"/>
      <c r="JP122" s="17"/>
      <c r="JQ122" s="17"/>
      <c r="JR122" s="17"/>
      <c r="JS122" s="17"/>
      <c r="JT122" s="17"/>
      <c r="JU122" s="17"/>
      <c r="JV122" s="17"/>
      <c r="JW122" s="17"/>
      <c r="JX122" s="17"/>
      <c r="JY122" s="17"/>
      <c r="JZ122" s="17"/>
      <c r="KA122" s="17"/>
      <c r="KB122" s="17"/>
      <c r="KC122" s="17"/>
      <c r="KD122" s="17"/>
      <c r="KE122" s="17"/>
      <c r="KF122" s="17"/>
      <c r="KG122" s="17"/>
      <c r="KH122" s="17"/>
      <c r="KI122" s="17"/>
      <c r="KJ122" s="17"/>
      <c r="KK122" s="17"/>
      <c r="KL122" s="17"/>
      <c r="KM122" s="17"/>
      <c r="KN122" s="17"/>
      <c r="KO122" s="17"/>
      <c r="KP122" s="17"/>
      <c r="KQ122" s="17"/>
      <c r="KR122" s="17"/>
      <c r="KS122" s="17"/>
      <c r="KT122" s="17"/>
      <c r="KU122" s="17"/>
      <c r="KV122" s="17"/>
      <c r="KW122" s="17"/>
      <c r="KX122" s="17"/>
      <c r="KY122" s="17"/>
    </row>
    <row r="123" spans="1:311" x14ac:dyDescent="0.25">
      <c r="A123" s="17"/>
      <c r="B123" s="17"/>
      <c r="C123" s="17"/>
      <c r="D123" s="17"/>
      <c r="E123" s="17"/>
      <c r="F123" s="17"/>
      <c r="G123" s="17"/>
      <c r="H123" s="17"/>
      <c r="I123" s="17"/>
      <c r="J123" s="17"/>
      <c r="K123" s="17"/>
      <c r="L123" s="17"/>
      <c r="M123" s="17"/>
      <c r="N123" s="17"/>
      <c r="O123" s="17"/>
      <c r="P123" s="17"/>
      <c r="Q123" s="17"/>
      <c r="R123" s="17"/>
      <c r="S123" s="17"/>
      <c r="T123" s="17"/>
      <c r="U123" s="17"/>
      <c r="V123" s="17"/>
      <c r="W123" s="17"/>
      <c r="X123" s="17"/>
      <c r="Y123" s="17"/>
      <c r="Z123" s="17"/>
      <c r="AA123" s="17"/>
      <c r="AB123" s="17"/>
      <c r="AC123" s="17"/>
      <c r="AD123" s="17"/>
      <c r="AE123" s="17"/>
      <c r="AF123" s="17"/>
      <c r="AG123" s="17"/>
      <c r="AH123" s="17"/>
      <c r="AI123" s="17"/>
      <c r="AJ123" s="17"/>
      <c r="AK123" s="17"/>
      <c r="AL123" s="17"/>
      <c r="AM123" s="17"/>
      <c r="AN123" s="17"/>
      <c r="AO123" s="17"/>
      <c r="AP123" s="17"/>
      <c r="AQ123" s="17"/>
      <c r="AR123" s="17"/>
      <c r="AS123" s="17"/>
      <c r="AT123" s="17"/>
      <c r="AU123" s="17"/>
      <c r="AV123" s="17"/>
      <c r="AW123" s="17"/>
      <c r="AX123" s="17"/>
      <c r="AY123" s="17"/>
      <c r="AZ123" s="17"/>
      <c r="BA123" s="17"/>
      <c r="BB123" s="17"/>
      <c r="BC123" s="17"/>
      <c r="BD123" s="17"/>
      <c r="BE123" s="17"/>
      <c r="BF123" s="17"/>
      <c r="BG123" s="17"/>
      <c r="BH123" s="17"/>
      <c r="BI123" s="17"/>
      <c r="BJ123" s="17"/>
      <c r="BK123" s="17"/>
      <c r="BL123" s="17"/>
      <c r="BM123" s="17"/>
      <c r="BN123" s="17"/>
      <c r="BO123" s="17"/>
      <c r="BP123" s="17"/>
      <c r="BQ123" s="17"/>
      <c r="BR123" s="17"/>
      <c r="BS123" s="17"/>
      <c r="BT123" s="17"/>
      <c r="BU123" s="17"/>
      <c r="BV123" s="17"/>
      <c r="BW123" s="17"/>
      <c r="BX123" s="17"/>
      <c r="BY123" s="17"/>
      <c r="BZ123" s="17"/>
      <c r="CA123" s="17"/>
      <c r="CB123" s="17"/>
      <c r="CC123" s="17"/>
      <c r="CD123" s="17"/>
      <c r="CE123" s="17"/>
      <c r="CF123" s="17"/>
      <c r="CG123" s="17"/>
      <c r="CH123" s="17"/>
      <c r="CI123" s="17"/>
      <c r="CJ123" s="17"/>
      <c r="CK123" s="17"/>
      <c r="CL123" s="17"/>
      <c r="CM123" s="17"/>
      <c r="CN123" s="17"/>
      <c r="CO123" s="17"/>
      <c r="CP123" s="17"/>
      <c r="CQ123" s="17"/>
      <c r="CR123" s="17"/>
      <c r="CS123" s="17"/>
      <c r="CT123" s="17"/>
      <c r="CU123" s="17"/>
      <c r="CV123" s="17"/>
      <c r="CW123" s="17"/>
      <c r="CX123" s="17"/>
      <c r="CY123" s="17"/>
      <c r="CZ123" s="17"/>
      <c r="DA123" s="17"/>
      <c r="DB123" s="17"/>
      <c r="DC123" s="17"/>
      <c r="DD123" s="17"/>
      <c r="DE123" s="17"/>
      <c r="DF123" s="17"/>
      <c r="DG123" s="17"/>
      <c r="DH123" s="17"/>
      <c r="DI123" s="17"/>
      <c r="DJ123" s="17"/>
      <c r="DK123" s="17"/>
      <c r="DL123" s="17"/>
      <c r="DM123" s="17"/>
      <c r="DN123" s="17"/>
      <c r="DO123" s="17"/>
      <c r="DP123" s="17"/>
      <c r="DQ123" s="17"/>
      <c r="DR123" s="17"/>
      <c r="DS123" s="17"/>
      <c r="DT123" s="17"/>
      <c r="DU123" s="17"/>
      <c r="DV123" s="17"/>
      <c r="DW123" s="17"/>
      <c r="DX123" s="17"/>
      <c r="DY123" s="17"/>
      <c r="DZ123" s="17"/>
      <c r="EA123" s="17"/>
      <c r="EB123" s="17"/>
      <c r="EC123" s="17"/>
      <c r="ED123" s="17"/>
      <c r="EE123" s="17"/>
      <c r="EF123" s="17"/>
      <c r="EG123" s="17"/>
      <c r="EH123" s="17"/>
      <c r="EI123" s="17"/>
      <c r="EJ123" s="17"/>
      <c r="EK123" s="17"/>
      <c r="EL123" s="17"/>
      <c r="EM123" s="17"/>
      <c r="EN123" s="17"/>
      <c r="EO123" s="17"/>
      <c r="EP123" s="17"/>
      <c r="EQ123" s="17"/>
      <c r="ER123" s="17"/>
      <c r="ES123" s="17"/>
      <c r="ET123" s="17"/>
      <c r="EU123" s="17"/>
      <c r="EV123" s="17"/>
      <c r="EW123" s="17"/>
      <c r="EX123" s="17"/>
      <c r="EY123" s="17"/>
      <c r="EZ123" s="17"/>
      <c r="FA123" s="17"/>
      <c r="FB123" s="17"/>
      <c r="FC123" s="17"/>
      <c r="FD123" s="17"/>
      <c r="FE123" s="17"/>
      <c r="FF123" s="17"/>
      <c r="FG123" s="17"/>
      <c r="FH123" s="17"/>
      <c r="FI123" s="17"/>
      <c r="FJ123" s="17"/>
      <c r="FK123" s="17"/>
      <c r="FL123" s="17"/>
      <c r="FM123" s="17"/>
      <c r="FN123" s="17"/>
      <c r="FO123" s="17"/>
      <c r="FP123" s="17"/>
      <c r="FQ123" s="17"/>
      <c r="FR123" s="17"/>
      <c r="FS123" s="17"/>
      <c r="FT123" s="17"/>
      <c r="FU123" s="17"/>
      <c r="FV123" s="17"/>
      <c r="FW123" s="17"/>
      <c r="FX123" s="17"/>
      <c r="FY123" s="17"/>
      <c r="FZ123" s="17"/>
      <c r="GA123" s="17"/>
      <c r="GB123" s="17"/>
      <c r="GC123" s="17"/>
      <c r="GD123" s="17"/>
      <c r="GE123" s="17"/>
      <c r="GF123" s="17"/>
      <c r="GG123" s="17"/>
      <c r="GH123" s="17"/>
      <c r="GI123" s="17"/>
      <c r="GJ123" s="17"/>
      <c r="GK123" s="17"/>
      <c r="GL123" s="17"/>
      <c r="GM123" s="17"/>
      <c r="GN123" s="17"/>
      <c r="GO123" s="17"/>
      <c r="GP123" s="17"/>
      <c r="GQ123" s="17"/>
      <c r="GR123" s="17"/>
      <c r="GS123" s="17"/>
      <c r="GT123" s="17"/>
      <c r="GU123" s="17"/>
      <c r="GV123" s="17"/>
      <c r="GW123" s="17"/>
      <c r="GX123" s="17"/>
      <c r="GY123" s="17"/>
      <c r="GZ123" s="17"/>
      <c r="HA123" s="17"/>
      <c r="HB123" s="17"/>
      <c r="HC123" s="17"/>
      <c r="HD123" s="17"/>
      <c r="HE123" s="17"/>
      <c r="HF123" s="17"/>
      <c r="HG123" s="17"/>
      <c r="HH123" s="17"/>
      <c r="HI123" s="17"/>
      <c r="HJ123" s="17"/>
      <c r="HK123" s="17"/>
      <c r="HL123" s="17"/>
      <c r="HM123" s="17"/>
      <c r="HN123" s="17"/>
      <c r="HO123" s="17"/>
      <c r="HP123" s="17"/>
      <c r="HQ123" s="17"/>
      <c r="HR123" s="17"/>
      <c r="HS123" s="17"/>
      <c r="HT123" s="17"/>
      <c r="HU123" s="17"/>
      <c r="HV123" s="17"/>
      <c r="HW123" s="17"/>
      <c r="HX123" s="17"/>
      <c r="HY123" s="17"/>
      <c r="HZ123" s="17"/>
      <c r="IA123" s="17"/>
      <c r="IB123" s="17"/>
      <c r="IC123" s="17"/>
      <c r="ID123" s="17"/>
      <c r="IE123" s="17"/>
      <c r="IF123" s="17"/>
      <c r="IG123" s="17"/>
      <c r="IH123" s="17"/>
      <c r="II123" s="17"/>
      <c r="IJ123" s="17"/>
      <c r="IK123" s="17"/>
      <c r="IL123" s="17"/>
      <c r="IM123" s="17"/>
      <c r="IN123" s="17"/>
      <c r="IO123" s="17"/>
      <c r="IP123" s="17"/>
      <c r="IQ123" s="17"/>
      <c r="IR123" s="17"/>
      <c r="IS123" s="17"/>
      <c r="IT123" s="17"/>
      <c r="IU123" s="17"/>
      <c r="IV123" s="17"/>
      <c r="IW123" s="17"/>
      <c r="IX123" s="17"/>
      <c r="IY123" s="17"/>
      <c r="IZ123" s="17"/>
      <c r="JA123" s="17"/>
      <c r="JB123" s="17"/>
      <c r="JC123" s="17"/>
      <c r="JD123" s="17"/>
      <c r="JE123" s="17"/>
      <c r="JF123" s="17"/>
      <c r="JG123" s="17"/>
      <c r="JH123" s="17"/>
      <c r="JI123" s="17"/>
      <c r="JJ123" s="17"/>
      <c r="JK123" s="17"/>
      <c r="JL123" s="17"/>
      <c r="JM123" s="17"/>
      <c r="JN123" s="17"/>
      <c r="JO123" s="17"/>
      <c r="JP123" s="17"/>
      <c r="JQ123" s="17"/>
      <c r="JR123" s="17"/>
      <c r="JS123" s="17"/>
      <c r="JT123" s="17"/>
      <c r="JU123" s="17"/>
      <c r="JV123" s="17"/>
      <c r="JW123" s="17"/>
      <c r="JX123" s="17"/>
      <c r="JY123" s="17"/>
      <c r="JZ123" s="17"/>
      <c r="KA123" s="17"/>
      <c r="KB123" s="17"/>
      <c r="KC123" s="17"/>
      <c r="KD123" s="17"/>
      <c r="KE123" s="17"/>
      <c r="KF123" s="17"/>
      <c r="KG123" s="17"/>
      <c r="KH123" s="17"/>
      <c r="KI123" s="17"/>
      <c r="KJ123" s="17"/>
      <c r="KK123" s="17"/>
      <c r="KL123" s="17"/>
      <c r="KM123" s="17"/>
      <c r="KN123" s="17"/>
      <c r="KO123" s="17"/>
      <c r="KP123" s="17"/>
      <c r="KQ123" s="17"/>
      <c r="KR123" s="17"/>
      <c r="KS123" s="17"/>
      <c r="KT123" s="17"/>
      <c r="KU123" s="17"/>
      <c r="KV123" s="17"/>
      <c r="KW123" s="17"/>
      <c r="KX123" s="17"/>
      <c r="KY123" s="17"/>
    </row>
    <row r="124" spans="1:311" x14ac:dyDescent="0.25">
      <c r="A124" s="17"/>
      <c r="B124" s="17"/>
      <c r="C124" s="17"/>
      <c r="D124" s="17"/>
      <c r="E124" s="17"/>
      <c r="F124" s="17"/>
      <c r="G124" s="17"/>
      <c r="H124" s="17"/>
      <c r="I124" s="17"/>
      <c r="J124" s="17"/>
      <c r="K124" s="17"/>
      <c r="L124" s="17"/>
      <c r="M124" s="17"/>
      <c r="N124" s="17"/>
      <c r="O124" s="17"/>
      <c r="P124" s="17"/>
      <c r="Q124" s="17"/>
      <c r="R124" s="17"/>
      <c r="S124" s="17"/>
      <c r="T124" s="17"/>
      <c r="U124" s="17"/>
      <c r="V124" s="17"/>
      <c r="W124" s="17"/>
      <c r="X124" s="17"/>
      <c r="Y124" s="17"/>
      <c r="Z124" s="17"/>
      <c r="AA124" s="17"/>
      <c r="AB124" s="17"/>
      <c r="AC124" s="17"/>
      <c r="AD124" s="17"/>
      <c r="AE124" s="17"/>
      <c r="AF124" s="17"/>
      <c r="AG124" s="17"/>
      <c r="AH124" s="17"/>
      <c r="AI124" s="17"/>
      <c r="AJ124" s="17"/>
      <c r="AK124" s="17"/>
      <c r="AL124" s="17"/>
      <c r="AM124" s="17"/>
      <c r="AN124" s="17"/>
      <c r="AO124" s="17"/>
      <c r="AP124" s="17"/>
      <c r="AQ124" s="17"/>
      <c r="AR124" s="17"/>
      <c r="AS124" s="17"/>
      <c r="AT124" s="17"/>
      <c r="AU124" s="17"/>
      <c r="AV124" s="17"/>
      <c r="AW124" s="17"/>
      <c r="AX124" s="17"/>
      <c r="AY124" s="17"/>
      <c r="AZ124" s="17"/>
      <c r="BA124" s="17"/>
      <c r="BB124" s="17"/>
      <c r="BC124" s="17"/>
      <c r="BD124" s="17"/>
      <c r="BE124" s="17"/>
      <c r="BF124" s="17"/>
      <c r="BG124" s="17"/>
      <c r="BH124" s="17"/>
      <c r="BI124" s="17"/>
      <c r="BJ124" s="17"/>
      <c r="BK124" s="17"/>
      <c r="BL124" s="17"/>
      <c r="BM124" s="17"/>
      <c r="BN124" s="17"/>
      <c r="BO124" s="17"/>
      <c r="BP124" s="17"/>
      <c r="BQ124" s="17"/>
      <c r="BR124" s="17"/>
      <c r="BS124" s="17"/>
      <c r="BT124" s="17"/>
      <c r="BU124" s="17"/>
      <c r="BV124" s="17"/>
      <c r="BW124" s="17"/>
      <c r="BX124" s="17"/>
      <c r="BY124" s="17"/>
      <c r="BZ124" s="17"/>
      <c r="CA124" s="17"/>
      <c r="CB124" s="17"/>
      <c r="CC124" s="17"/>
      <c r="CD124" s="17"/>
      <c r="CE124" s="17"/>
      <c r="CF124" s="17"/>
      <c r="CG124" s="17"/>
      <c r="CH124" s="17"/>
      <c r="CI124" s="17"/>
      <c r="CJ124" s="17"/>
      <c r="CK124" s="17"/>
      <c r="CL124" s="17"/>
      <c r="CM124" s="17"/>
      <c r="CN124" s="17"/>
      <c r="CO124" s="17"/>
      <c r="CP124" s="17"/>
      <c r="CQ124" s="17"/>
      <c r="CR124" s="17"/>
      <c r="CS124" s="17"/>
      <c r="CT124" s="17"/>
      <c r="CU124" s="17"/>
      <c r="CV124" s="17"/>
      <c r="CW124" s="17"/>
      <c r="CX124" s="17"/>
      <c r="CY124" s="17"/>
      <c r="CZ124" s="17"/>
      <c r="DA124" s="17"/>
      <c r="DB124" s="17"/>
      <c r="DC124" s="17"/>
      <c r="DD124" s="17"/>
      <c r="DE124" s="17"/>
      <c r="DF124" s="17"/>
      <c r="DG124" s="17"/>
      <c r="DH124" s="17"/>
      <c r="DI124" s="17"/>
      <c r="DJ124" s="17"/>
      <c r="DK124" s="17"/>
      <c r="DL124" s="17"/>
      <c r="DM124" s="17"/>
      <c r="DN124" s="17"/>
      <c r="DO124" s="17"/>
      <c r="DP124" s="17"/>
      <c r="DQ124" s="17"/>
      <c r="DR124" s="17"/>
      <c r="DS124" s="17"/>
      <c r="DT124" s="17"/>
      <c r="DU124" s="17"/>
      <c r="DV124" s="17"/>
      <c r="DW124" s="17"/>
      <c r="DX124" s="17"/>
      <c r="DY124" s="17"/>
      <c r="DZ124" s="17"/>
      <c r="EA124" s="17"/>
      <c r="EB124" s="17"/>
      <c r="EC124" s="17"/>
      <c r="ED124" s="17"/>
      <c r="EE124" s="17"/>
      <c r="EF124" s="17"/>
      <c r="EG124" s="17"/>
      <c r="EH124" s="17"/>
      <c r="EI124" s="17"/>
      <c r="EJ124" s="17"/>
      <c r="EK124" s="17"/>
      <c r="EL124" s="17"/>
      <c r="EM124" s="17"/>
      <c r="EN124" s="17"/>
      <c r="EO124" s="17"/>
      <c r="EP124" s="17"/>
      <c r="EQ124" s="17"/>
      <c r="ER124" s="17"/>
      <c r="ES124" s="17"/>
      <c r="ET124" s="17"/>
      <c r="EU124" s="17"/>
      <c r="EV124" s="17"/>
      <c r="EW124" s="17"/>
      <c r="EX124" s="17"/>
      <c r="EY124" s="17"/>
      <c r="EZ124" s="17"/>
      <c r="FA124" s="17"/>
      <c r="FB124" s="17"/>
      <c r="FC124" s="17"/>
      <c r="FD124" s="17"/>
      <c r="FE124" s="17"/>
      <c r="FF124" s="17"/>
      <c r="FG124" s="17"/>
      <c r="FH124" s="17"/>
      <c r="FI124" s="17"/>
      <c r="FJ124" s="17"/>
      <c r="FK124" s="17"/>
      <c r="FL124" s="17"/>
      <c r="FM124" s="17"/>
      <c r="FN124" s="17"/>
      <c r="FO124" s="17"/>
      <c r="FP124" s="17"/>
      <c r="FQ124" s="17"/>
      <c r="FR124" s="17"/>
      <c r="FS124" s="17"/>
      <c r="FT124" s="17"/>
      <c r="FU124" s="17"/>
      <c r="FV124" s="17"/>
      <c r="FW124" s="17"/>
      <c r="FX124" s="17"/>
      <c r="FY124" s="17"/>
      <c r="FZ124" s="17"/>
      <c r="GA124" s="17"/>
      <c r="GB124" s="17"/>
      <c r="GC124" s="17"/>
      <c r="GD124" s="17"/>
      <c r="GE124" s="17"/>
      <c r="GF124" s="17"/>
      <c r="GG124" s="17"/>
      <c r="GH124" s="17"/>
      <c r="GI124" s="17"/>
      <c r="GJ124" s="17"/>
      <c r="GK124" s="17"/>
      <c r="GL124" s="17"/>
      <c r="GM124" s="17"/>
      <c r="GN124" s="17"/>
      <c r="GO124" s="17"/>
      <c r="GP124" s="17"/>
      <c r="GQ124" s="17"/>
      <c r="GR124" s="17"/>
      <c r="GS124" s="17"/>
      <c r="GT124" s="17"/>
      <c r="GU124" s="17"/>
      <c r="GV124" s="17"/>
      <c r="GW124" s="17"/>
      <c r="GX124" s="17"/>
      <c r="GY124" s="17"/>
      <c r="GZ124" s="17"/>
      <c r="HA124" s="17"/>
      <c r="HB124" s="17"/>
      <c r="HC124" s="17"/>
      <c r="HD124" s="17"/>
      <c r="HE124" s="17"/>
      <c r="HF124" s="17"/>
      <c r="HG124" s="17"/>
      <c r="HH124" s="17"/>
      <c r="HI124" s="17"/>
      <c r="HJ124" s="17"/>
      <c r="HK124" s="17"/>
      <c r="HL124" s="17"/>
      <c r="HM124" s="17"/>
      <c r="HN124" s="17"/>
      <c r="HO124" s="17"/>
      <c r="HP124" s="17"/>
      <c r="HQ124" s="17"/>
      <c r="HR124" s="17"/>
      <c r="HS124" s="17"/>
      <c r="HT124" s="17"/>
      <c r="HU124" s="17"/>
      <c r="HV124" s="17"/>
      <c r="HW124" s="17"/>
      <c r="HX124" s="17"/>
      <c r="HY124" s="17"/>
      <c r="HZ124" s="17"/>
      <c r="IA124" s="17"/>
      <c r="IB124" s="17"/>
      <c r="IC124" s="17"/>
      <c r="ID124" s="17"/>
      <c r="IE124" s="17"/>
      <c r="IF124" s="17"/>
      <c r="IG124" s="17"/>
      <c r="IH124" s="17"/>
      <c r="II124" s="17"/>
      <c r="IJ124" s="17"/>
      <c r="IK124" s="17"/>
      <c r="IL124" s="17"/>
      <c r="IM124" s="17"/>
      <c r="IN124" s="17"/>
      <c r="IO124" s="17"/>
      <c r="IP124" s="17"/>
      <c r="IQ124" s="17"/>
      <c r="IR124" s="17"/>
      <c r="IS124" s="17"/>
      <c r="IT124" s="17"/>
      <c r="IU124" s="17"/>
      <c r="IV124" s="17"/>
      <c r="IW124" s="17"/>
      <c r="IX124" s="17"/>
      <c r="IY124" s="17"/>
      <c r="IZ124" s="17"/>
      <c r="JA124" s="17"/>
      <c r="JB124" s="17"/>
      <c r="JC124" s="17"/>
      <c r="JD124" s="17"/>
      <c r="JE124" s="17"/>
      <c r="JF124" s="17"/>
      <c r="JG124" s="17"/>
      <c r="JH124" s="17"/>
      <c r="JI124" s="17"/>
      <c r="JJ124" s="17"/>
      <c r="JK124" s="17"/>
      <c r="JL124" s="17"/>
      <c r="JM124" s="17"/>
      <c r="JN124" s="17"/>
      <c r="JO124" s="17"/>
      <c r="JP124" s="17"/>
      <c r="JQ124" s="17"/>
      <c r="JR124" s="17"/>
      <c r="JS124" s="17"/>
      <c r="JT124" s="17"/>
      <c r="JU124" s="17"/>
      <c r="JV124" s="17"/>
      <c r="JW124" s="17"/>
      <c r="JX124" s="17"/>
      <c r="JY124" s="17"/>
      <c r="JZ124" s="17"/>
      <c r="KA124" s="17"/>
      <c r="KB124" s="17"/>
      <c r="KC124" s="17"/>
      <c r="KD124" s="17"/>
      <c r="KE124" s="17"/>
      <c r="KF124" s="17"/>
      <c r="KG124" s="17"/>
      <c r="KH124" s="17"/>
      <c r="KI124" s="17"/>
      <c r="KJ124" s="17"/>
      <c r="KK124" s="17"/>
      <c r="KL124" s="17"/>
      <c r="KM124" s="17"/>
      <c r="KN124" s="17"/>
      <c r="KO124" s="17"/>
      <c r="KP124" s="17"/>
      <c r="KQ124" s="17"/>
      <c r="KR124" s="17"/>
      <c r="KS124" s="17"/>
      <c r="KT124" s="17"/>
      <c r="KU124" s="17"/>
      <c r="KV124" s="17"/>
      <c r="KW124" s="17"/>
      <c r="KX124" s="17"/>
      <c r="KY124" s="17"/>
    </row>
    <row r="125" spans="1:311" x14ac:dyDescent="0.25">
      <c r="A125" s="17"/>
      <c r="B125" s="17"/>
      <c r="C125" s="17"/>
      <c r="D125" s="17"/>
      <c r="E125" s="17"/>
      <c r="F125" s="17"/>
      <c r="G125" s="17"/>
      <c r="H125" s="17"/>
      <c r="I125" s="17"/>
      <c r="J125" s="17"/>
      <c r="K125" s="17"/>
      <c r="L125" s="17"/>
      <c r="M125" s="17"/>
      <c r="N125" s="17"/>
      <c r="O125" s="17"/>
      <c r="P125" s="17"/>
      <c r="Q125" s="17"/>
      <c r="R125" s="17"/>
      <c r="S125" s="17"/>
      <c r="T125" s="17"/>
      <c r="U125" s="17"/>
      <c r="V125" s="17"/>
      <c r="W125" s="17"/>
      <c r="X125" s="17"/>
      <c r="Y125" s="17"/>
      <c r="Z125" s="17"/>
      <c r="AA125" s="17"/>
      <c r="AB125" s="17"/>
      <c r="AC125" s="17"/>
      <c r="AD125" s="17"/>
      <c r="AE125" s="17"/>
      <c r="AF125" s="17"/>
      <c r="AG125" s="17"/>
      <c r="AH125" s="17"/>
      <c r="AI125" s="17"/>
      <c r="AJ125" s="17"/>
      <c r="AK125" s="17"/>
      <c r="AL125" s="17"/>
      <c r="AM125" s="17"/>
      <c r="AN125" s="17"/>
      <c r="AO125" s="17"/>
      <c r="AP125" s="17"/>
      <c r="AQ125" s="17"/>
      <c r="AR125" s="17"/>
      <c r="AS125" s="17"/>
      <c r="AT125" s="17"/>
      <c r="AU125" s="17"/>
      <c r="AV125" s="17"/>
      <c r="AW125" s="17"/>
      <c r="AX125" s="17"/>
      <c r="AY125" s="17"/>
      <c r="AZ125" s="17"/>
      <c r="BA125" s="17"/>
      <c r="BB125" s="17"/>
      <c r="BC125" s="17"/>
      <c r="BD125" s="17"/>
      <c r="BE125" s="17"/>
      <c r="BF125" s="17"/>
      <c r="BG125" s="17"/>
      <c r="BH125" s="17"/>
      <c r="BI125" s="17"/>
      <c r="BJ125" s="17"/>
      <c r="BK125" s="17"/>
      <c r="BL125" s="17"/>
      <c r="BM125" s="17"/>
      <c r="BN125" s="17"/>
      <c r="BO125" s="17"/>
      <c r="BP125" s="17"/>
      <c r="BQ125" s="17"/>
      <c r="BR125" s="17"/>
      <c r="BS125" s="17"/>
      <c r="BT125" s="17"/>
      <c r="BU125" s="17"/>
      <c r="BV125" s="17"/>
      <c r="BW125" s="17"/>
      <c r="BX125" s="17"/>
      <c r="BY125" s="17"/>
      <c r="BZ125" s="17"/>
      <c r="CA125" s="17"/>
      <c r="CB125" s="17"/>
      <c r="CC125" s="17"/>
      <c r="CD125" s="17"/>
      <c r="CE125" s="17"/>
      <c r="CF125" s="17"/>
      <c r="CG125" s="17"/>
      <c r="CH125" s="17"/>
      <c r="CI125" s="17"/>
      <c r="CJ125" s="17"/>
      <c r="CK125" s="17"/>
      <c r="CL125" s="17"/>
      <c r="CM125" s="17"/>
      <c r="CN125" s="17"/>
      <c r="CO125" s="17"/>
      <c r="CP125" s="17"/>
      <c r="CQ125" s="17"/>
      <c r="CR125" s="17"/>
      <c r="CS125" s="17"/>
      <c r="CT125" s="17"/>
      <c r="CU125" s="17"/>
      <c r="CV125" s="17"/>
      <c r="CW125" s="17"/>
      <c r="CX125" s="17"/>
      <c r="CY125" s="17"/>
      <c r="CZ125" s="17"/>
      <c r="DA125" s="17"/>
      <c r="DB125" s="17"/>
      <c r="DC125" s="17"/>
      <c r="DD125" s="17"/>
      <c r="DE125" s="17"/>
      <c r="DF125" s="17"/>
      <c r="DG125" s="17"/>
      <c r="DH125" s="17"/>
      <c r="DI125" s="17"/>
      <c r="DJ125" s="17"/>
      <c r="DK125" s="17"/>
      <c r="DL125" s="17"/>
      <c r="DM125" s="17"/>
      <c r="DN125" s="17"/>
      <c r="DO125" s="17"/>
      <c r="DP125" s="17"/>
      <c r="DQ125" s="17"/>
      <c r="DR125" s="17"/>
      <c r="DS125" s="17"/>
      <c r="DT125" s="17"/>
      <c r="DU125" s="17"/>
      <c r="DV125" s="17"/>
      <c r="DW125" s="17"/>
      <c r="DX125" s="17"/>
      <c r="DY125" s="17"/>
      <c r="DZ125" s="17"/>
      <c r="EA125" s="17"/>
      <c r="EB125" s="17"/>
      <c r="EC125" s="17"/>
      <c r="ED125" s="17"/>
      <c r="EE125" s="17"/>
      <c r="EF125" s="17"/>
      <c r="EG125" s="17"/>
      <c r="EH125" s="17"/>
      <c r="EI125" s="17"/>
      <c r="EJ125" s="17"/>
      <c r="EK125" s="17"/>
      <c r="EL125" s="17"/>
      <c r="EM125" s="17"/>
      <c r="EN125" s="17"/>
      <c r="EO125" s="17"/>
      <c r="EP125" s="17"/>
      <c r="EQ125" s="17"/>
      <c r="ER125" s="17"/>
      <c r="ES125" s="17"/>
      <c r="ET125" s="17"/>
      <c r="EU125" s="17"/>
      <c r="EV125" s="17"/>
      <c r="EW125" s="17"/>
      <c r="EX125" s="17"/>
      <c r="EY125" s="17"/>
      <c r="EZ125" s="17"/>
      <c r="FA125" s="17"/>
      <c r="FB125" s="17"/>
      <c r="FC125" s="17"/>
      <c r="FD125" s="17"/>
      <c r="FE125" s="17"/>
      <c r="FF125" s="17"/>
      <c r="FG125" s="17"/>
      <c r="FH125" s="17"/>
      <c r="FI125" s="17"/>
      <c r="FJ125" s="17"/>
      <c r="FK125" s="17"/>
      <c r="FL125" s="17"/>
      <c r="FM125" s="17"/>
      <c r="FN125" s="17"/>
      <c r="FO125" s="17"/>
      <c r="FP125" s="17"/>
      <c r="FQ125" s="17"/>
      <c r="FR125" s="17"/>
      <c r="FS125" s="17"/>
      <c r="FT125" s="17"/>
      <c r="FU125" s="17"/>
      <c r="FV125" s="17"/>
      <c r="FW125" s="17"/>
      <c r="FX125" s="17"/>
      <c r="FY125" s="17"/>
      <c r="FZ125" s="17"/>
      <c r="GA125" s="17"/>
      <c r="GB125" s="17"/>
      <c r="GC125" s="17"/>
      <c r="GD125" s="17"/>
      <c r="GE125" s="17"/>
      <c r="GF125" s="17"/>
      <c r="GG125" s="17"/>
      <c r="GH125" s="17"/>
      <c r="GI125" s="17"/>
      <c r="GJ125" s="17"/>
      <c r="GK125" s="17"/>
      <c r="GL125" s="17"/>
      <c r="GM125" s="17"/>
      <c r="GN125" s="17"/>
      <c r="GO125" s="17"/>
      <c r="GP125" s="17"/>
      <c r="GQ125" s="17"/>
      <c r="GR125" s="17"/>
      <c r="GS125" s="17"/>
      <c r="GT125" s="17"/>
      <c r="GU125" s="17"/>
      <c r="GV125" s="17"/>
      <c r="GW125" s="17"/>
      <c r="GX125" s="17"/>
      <c r="GY125" s="17"/>
      <c r="GZ125" s="17"/>
      <c r="HA125" s="17"/>
      <c r="HB125" s="17"/>
      <c r="HC125" s="17"/>
      <c r="HD125" s="17"/>
      <c r="HE125" s="17"/>
      <c r="HF125" s="17"/>
      <c r="HG125" s="17"/>
      <c r="HH125" s="17"/>
      <c r="HI125" s="17"/>
      <c r="HJ125" s="17"/>
      <c r="HK125" s="17"/>
      <c r="HL125" s="17"/>
      <c r="HM125" s="17"/>
      <c r="HN125" s="17"/>
      <c r="HO125" s="17"/>
      <c r="HP125" s="17"/>
      <c r="HQ125" s="17"/>
      <c r="HR125" s="17"/>
      <c r="HS125" s="17"/>
      <c r="HT125" s="17"/>
      <c r="HU125" s="17"/>
      <c r="HV125" s="17"/>
      <c r="HW125" s="17"/>
      <c r="HX125" s="17"/>
      <c r="HY125" s="17"/>
      <c r="HZ125" s="17"/>
      <c r="IA125" s="17"/>
      <c r="IB125" s="17"/>
      <c r="IC125" s="17"/>
      <c r="ID125" s="17"/>
      <c r="IE125" s="17"/>
      <c r="IF125" s="17"/>
      <c r="IG125" s="17"/>
      <c r="IH125" s="17"/>
      <c r="II125" s="17"/>
      <c r="IJ125" s="17"/>
      <c r="IK125" s="17"/>
      <c r="IL125" s="17"/>
      <c r="IM125" s="17"/>
      <c r="IN125" s="17"/>
      <c r="IO125" s="17"/>
      <c r="IP125" s="17"/>
      <c r="IQ125" s="17"/>
      <c r="IR125" s="17"/>
      <c r="IS125" s="17"/>
      <c r="IT125" s="17"/>
      <c r="IU125" s="17"/>
      <c r="IV125" s="17"/>
      <c r="IW125" s="17"/>
      <c r="IX125" s="17"/>
      <c r="IY125" s="17"/>
      <c r="IZ125" s="17"/>
      <c r="JA125" s="17"/>
      <c r="JB125" s="17"/>
      <c r="JC125" s="17"/>
      <c r="JD125" s="17"/>
      <c r="JE125" s="17"/>
      <c r="JF125" s="17"/>
      <c r="JG125" s="17"/>
      <c r="JH125" s="17"/>
      <c r="JI125" s="17"/>
      <c r="JJ125" s="17"/>
      <c r="JK125" s="17"/>
      <c r="JL125" s="17"/>
      <c r="JM125" s="17"/>
      <c r="JN125" s="17"/>
      <c r="JO125" s="17"/>
      <c r="JP125" s="17"/>
      <c r="JQ125" s="17"/>
      <c r="JR125" s="17"/>
      <c r="JS125" s="17"/>
      <c r="JT125" s="17"/>
      <c r="JU125" s="17"/>
      <c r="JV125" s="17"/>
      <c r="JW125" s="17"/>
      <c r="JX125" s="17"/>
      <c r="JY125" s="17"/>
      <c r="JZ125" s="17"/>
      <c r="KA125" s="17"/>
      <c r="KB125" s="17"/>
      <c r="KC125" s="17"/>
      <c r="KD125" s="17"/>
      <c r="KE125" s="17"/>
      <c r="KF125" s="17"/>
      <c r="KG125" s="17"/>
      <c r="KH125" s="17"/>
      <c r="KI125" s="17"/>
      <c r="KJ125" s="17"/>
      <c r="KK125" s="17"/>
      <c r="KL125" s="17"/>
      <c r="KM125" s="17"/>
      <c r="KN125" s="17"/>
      <c r="KO125" s="17"/>
      <c r="KP125" s="17"/>
      <c r="KQ125" s="17"/>
      <c r="KR125" s="17"/>
      <c r="KS125" s="17"/>
      <c r="KT125" s="17"/>
      <c r="KU125" s="17"/>
      <c r="KV125" s="17"/>
      <c r="KW125" s="17"/>
      <c r="KX125" s="17"/>
      <c r="KY125" s="17"/>
    </row>
    <row r="126" spans="1:311" x14ac:dyDescent="0.25">
      <c r="A126" s="17"/>
      <c r="B126" s="17"/>
      <c r="C126" s="17"/>
      <c r="D126" s="17"/>
      <c r="E126" s="17"/>
      <c r="F126" s="17"/>
      <c r="G126" s="17"/>
      <c r="H126" s="17"/>
      <c r="I126" s="17"/>
      <c r="J126" s="17"/>
      <c r="K126" s="17"/>
      <c r="L126" s="17"/>
      <c r="M126" s="17"/>
      <c r="N126" s="17"/>
      <c r="O126" s="17"/>
      <c r="P126" s="17"/>
      <c r="Q126" s="17"/>
      <c r="R126" s="17"/>
      <c r="S126" s="17"/>
      <c r="T126" s="17"/>
      <c r="U126" s="17"/>
      <c r="V126" s="17"/>
      <c r="W126" s="17"/>
      <c r="X126" s="17"/>
      <c r="Y126" s="17"/>
      <c r="Z126" s="17"/>
      <c r="AA126" s="17"/>
      <c r="AB126" s="17"/>
      <c r="AC126" s="17"/>
      <c r="AD126" s="17"/>
      <c r="AE126" s="17"/>
      <c r="AF126" s="17"/>
      <c r="AG126" s="17"/>
      <c r="AH126" s="17"/>
      <c r="AI126" s="17"/>
      <c r="AJ126" s="17"/>
      <c r="AK126" s="17"/>
      <c r="AL126" s="17"/>
      <c r="AM126" s="17"/>
      <c r="AN126" s="17"/>
      <c r="AO126" s="17"/>
      <c r="AP126" s="17"/>
      <c r="AQ126" s="17"/>
      <c r="AR126" s="17"/>
      <c r="AS126" s="17"/>
      <c r="AT126" s="17"/>
      <c r="AU126" s="17"/>
      <c r="AV126" s="17"/>
      <c r="AW126" s="17"/>
      <c r="AX126" s="17"/>
      <c r="AY126" s="17"/>
      <c r="AZ126" s="17"/>
      <c r="BA126" s="17"/>
      <c r="BB126" s="17"/>
      <c r="BC126" s="17"/>
      <c r="BD126" s="17"/>
      <c r="BE126" s="17"/>
      <c r="BF126" s="17"/>
      <c r="BG126" s="17"/>
      <c r="BH126" s="17"/>
      <c r="BI126" s="17"/>
      <c r="BJ126" s="17"/>
      <c r="BK126" s="17"/>
      <c r="BL126" s="17"/>
      <c r="BM126" s="17"/>
      <c r="BN126" s="17"/>
      <c r="BO126" s="17"/>
      <c r="BP126" s="17"/>
      <c r="BQ126" s="17"/>
      <c r="BR126" s="17"/>
      <c r="BS126" s="17"/>
      <c r="BT126" s="17"/>
      <c r="BU126" s="17"/>
      <c r="BV126" s="17"/>
      <c r="BW126" s="17"/>
      <c r="BX126" s="17"/>
      <c r="BY126" s="17"/>
      <c r="BZ126" s="17"/>
      <c r="CA126" s="17"/>
      <c r="CB126" s="17"/>
      <c r="CC126" s="17"/>
      <c r="CD126" s="17"/>
      <c r="CE126" s="17"/>
      <c r="CF126" s="17"/>
      <c r="CG126" s="17"/>
      <c r="CH126" s="17"/>
      <c r="CI126" s="17"/>
      <c r="CJ126" s="17"/>
      <c r="CK126" s="17"/>
      <c r="CL126" s="17"/>
      <c r="CM126" s="17"/>
      <c r="CN126" s="17"/>
      <c r="CO126" s="17"/>
      <c r="CP126" s="17"/>
      <c r="CQ126" s="17"/>
      <c r="CR126" s="17"/>
      <c r="CS126" s="17"/>
      <c r="CT126" s="17"/>
      <c r="CU126" s="17"/>
      <c r="CV126" s="17"/>
      <c r="CW126" s="17"/>
      <c r="CX126" s="17"/>
      <c r="CY126" s="17"/>
      <c r="CZ126" s="17"/>
      <c r="DA126" s="17"/>
      <c r="DB126" s="17"/>
      <c r="DC126" s="17"/>
      <c r="DD126" s="17"/>
      <c r="DE126" s="17"/>
      <c r="DF126" s="17"/>
      <c r="DG126" s="17"/>
      <c r="DH126" s="17"/>
      <c r="DI126" s="17"/>
      <c r="DJ126" s="17"/>
      <c r="DK126" s="17"/>
      <c r="DL126" s="17"/>
      <c r="DM126" s="17"/>
      <c r="DN126" s="17"/>
      <c r="DO126" s="17"/>
      <c r="DP126" s="17"/>
      <c r="DQ126" s="17"/>
      <c r="DR126" s="17"/>
      <c r="DS126" s="17"/>
      <c r="DT126" s="17"/>
      <c r="DU126" s="17"/>
      <c r="DV126" s="17"/>
      <c r="DW126" s="17"/>
      <c r="DX126" s="17"/>
      <c r="DY126" s="17"/>
      <c r="DZ126" s="17"/>
      <c r="EA126" s="17"/>
      <c r="EB126" s="17"/>
      <c r="EC126" s="17"/>
      <c r="ED126" s="17"/>
      <c r="EE126" s="17"/>
      <c r="EF126" s="17"/>
      <c r="EG126" s="17"/>
      <c r="EH126" s="17"/>
      <c r="EI126" s="17"/>
      <c r="EJ126" s="17"/>
      <c r="EK126" s="17"/>
      <c r="EL126" s="17"/>
      <c r="EM126" s="17"/>
      <c r="EN126" s="17"/>
      <c r="EO126" s="17"/>
      <c r="EP126" s="17"/>
      <c r="EQ126" s="17"/>
      <c r="ER126" s="17"/>
      <c r="ES126" s="17"/>
      <c r="ET126" s="17"/>
      <c r="EU126" s="17"/>
      <c r="EV126" s="17"/>
      <c r="EW126" s="17"/>
      <c r="EX126" s="17"/>
      <c r="EY126" s="17"/>
      <c r="EZ126" s="17"/>
      <c r="FA126" s="17"/>
      <c r="FB126" s="17"/>
      <c r="FC126" s="17"/>
      <c r="FD126" s="17"/>
      <c r="FE126" s="17"/>
      <c r="FF126" s="17"/>
      <c r="FG126" s="17"/>
      <c r="FH126" s="17"/>
      <c r="FI126" s="17"/>
      <c r="FJ126" s="17"/>
      <c r="FK126" s="17"/>
      <c r="FL126" s="17"/>
      <c r="FM126" s="17"/>
      <c r="FN126" s="17"/>
      <c r="FO126" s="17"/>
      <c r="FP126" s="17"/>
      <c r="FQ126" s="17"/>
      <c r="FR126" s="17"/>
      <c r="FS126" s="17"/>
      <c r="FT126" s="17"/>
      <c r="FU126" s="17"/>
      <c r="FV126" s="17"/>
      <c r="FW126" s="17"/>
      <c r="FX126" s="17"/>
      <c r="FY126" s="17"/>
      <c r="FZ126" s="17"/>
      <c r="GA126" s="17"/>
      <c r="GB126" s="17"/>
      <c r="GC126" s="17"/>
      <c r="GD126" s="17"/>
      <c r="GE126" s="17"/>
      <c r="GF126" s="17"/>
      <c r="GG126" s="17"/>
      <c r="GH126" s="17"/>
      <c r="GI126" s="17"/>
      <c r="GJ126" s="17"/>
      <c r="GK126" s="17"/>
      <c r="GL126" s="17"/>
      <c r="GM126" s="17"/>
      <c r="GN126" s="17"/>
      <c r="GO126" s="17"/>
      <c r="GP126" s="17"/>
      <c r="GQ126" s="17"/>
      <c r="GR126" s="17"/>
      <c r="GS126" s="17"/>
      <c r="GT126" s="17"/>
      <c r="GU126" s="17"/>
      <c r="GV126" s="17"/>
      <c r="GW126" s="17"/>
      <c r="GX126" s="17"/>
      <c r="GY126" s="17"/>
      <c r="GZ126" s="17"/>
      <c r="HA126" s="17"/>
      <c r="HB126" s="17"/>
      <c r="HC126" s="17"/>
      <c r="HD126" s="17"/>
      <c r="HE126" s="17"/>
      <c r="HF126" s="17"/>
      <c r="HG126" s="17"/>
      <c r="HH126" s="17"/>
      <c r="HI126" s="17"/>
      <c r="HJ126" s="17"/>
      <c r="HK126" s="17"/>
      <c r="HL126" s="17"/>
      <c r="HM126" s="17"/>
      <c r="HN126" s="17"/>
      <c r="HO126" s="17"/>
      <c r="HP126" s="17"/>
      <c r="HQ126" s="17"/>
      <c r="HR126" s="17"/>
      <c r="HS126" s="17"/>
      <c r="HT126" s="17"/>
      <c r="HU126" s="17"/>
      <c r="HV126" s="17"/>
      <c r="HW126" s="17"/>
      <c r="HX126" s="17"/>
      <c r="HY126" s="17"/>
      <c r="HZ126" s="17"/>
      <c r="IA126" s="17"/>
      <c r="IB126" s="17"/>
      <c r="IC126" s="17"/>
      <c r="ID126" s="17"/>
      <c r="IE126" s="17"/>
      <c r="IF126" s="17"/>
      <c r="IG126" s="17"/>
      <c r="IH126" s="17"/>
      <c r="II126" s="17"/>
      <c r="IJ126" s="17"/>
      <c r="IK126" s="17"/>
      <c r="IL126" s="17"/>
      <c r="IM126" s="17"/>
      <c r="IN126" s="17"/>
      <c r="IO126" s="17"/>
      <c r="IP126" s="17"/>
      <c r="IQ126" s="17"/>
      <c r="IR126" s="17"/>
      <c r="IS126" s="17"/>
      <c r="IT126" s="17"/>
      <c r="IU126" s="17"/>
      <c r="IV126" s="17"/>
      <c r="IW126" s="17"/>
      <c r="IX126" s="17"/>
      <c r="IY126" s="17"/>
      <c r="IZ126" s="17"/>
      <c r="JA126" s="17"/>
      <c r="JB126" s="17"/>
      <c r="JC126" s="17"/>
      <c r="JD126" s="17"/>
      <c r="JE126" s="17"/>
      <c r="JF126" s="17"/>
      <c r="JG126" s="17"/>
      <c r="JH126" s="17"/>
      <c r="JI126" s="17"/>
      <c r="JJ126" s="17"/>
      <c r="JK126" s="17"/>
      <c r="JL126" s="17"/>
      <c r="JM126" s="17"/>
      <c r="JN126" s="17"/>
      <c r="JO126" s="17"/>
      <c r="JP126" s="17"/>
      <c r="JQ126" s="17"/>
      <c r="JR126" s="17"/>
      <c r="JS126" s="17"/>
      <c r="JT126" s="17"/>
      <c r="JU126" s="17"/>
      <c r="JV126" s="17"/>
      <c r="JW126" s="17"/>
      <c r="JX126" s="17"/>
      <c r="JY126" s="17"/>
      <c r="JZ126" s="17"/>
      <c r="KA126" s="17"/>
      <c r="KB126" s="17"/>
      <c r="KC126" s="17"/>
      <c r="KD126" s="17"/>
      <c r="KE126" s="17"/>
      <c r="KF126" s="17"/>
      <c r="KG126" s="17"/>
      <c r="KH126" s="17"/>
      <c r="KI126" s="17"/>
      <c r="KJ126" s="17"/>
      <c r="KK126" s="17"/>
      <c r="KL126" s="17"/>
      <c r="KM126" s="17"/>
      <c r="KN126" s="17"/>
      <c r="KO126" s="17"/>
      <c r="KP126" s="17"/>
      <c r="KQ126" s="17"/>
      <c r="KR126" s="17"/>
      <c r="KS126" s="17"/>
      <c r="KT126" s="17"/>
      <c r="KU126" s="17"/>
      <c r="KV126" s="17"/>
      <c r="KW126" s="17"/>
      <c r="KX126" s="17"/>
      <c r="KY126" s="17"/>
    </row>
    <row r="127" spans="1:311" x14ac:dyDescent="0.25">
      <c r="A127" s="17"/>
      <c r="B127" s="17"/>
      <c r="C127" s="17"/>
      <c r="D127" s="17"/>
      <c r="E127" s="17"/>
      <c r="F127" s="17"/>
      <c r="G127" s="17"/>
      <c r="H127" s="17"/>
      <c r="I127" s="17"/>
      <c r="J127" s="17"/>
      <c r="K127" s="17"/>
      <c r="L127" s="17"/>
      <c r="M127" s="17"/>
      <c r="N127" s="17"/>
      <c r="O127" s="17"/>
      <c r="P127" s="17"/>
      <c r="Q127" s="17"/>
      <c r="R127" s="17"/>
      <c r="S127" s="17"/>
      <c r="T127" s="17"/>
      <c r="U127" s="17"/>
      <c r="V127" s="17"/>
      <c r="W127" s="17"/>
      <c r="X127" s="17"/>
      <c r="Y127" s="17"/>
      <c r="Z127" s="17"/>
      <c r="AA127" s="17"/>
      <c r="AB127" s="17"/>
      <c r="AC127" s="17"/>
      <c r="AD127" s="17"/>
      <c r="AE127" s="17"/>
      <c r="AF127" s="17"/>
      <c r="AG127" s="17"/>
      <c r="AH127" s="17"/>
      <c r="AI127" s="17"/>
      <c r="AJ127" s="17"/>
      <c r="AK127" s="17"/>
      <c r="AL127" s="17"/>
      <c r="AM127" s="17"/>
      <c r="AN127" s="17"/>
      <c r="AO127" s="17"/>
      <c r="AP127" s="17"/>
      <c r="AQ127" s="17"/>
      <c r="AR127" s="17"/>
      <c r="AS127" s="17"/>
      <c r="AT127" s="17"/>
      <c r="AU127" s="17"/>
      <c r="AV127" s="17"/>
      <c r="AW127" s="17"/>
      <c r="AX127" s="17"/>
      <c r="AY127" s="17"/>
      <c r="AZ127" s="17"/>
      <c r="BA127" s="17"/>
      <c r="BB127" s="17"/>
      <c r="BC127" s="17"/>
      <c r="BD127" s="17"/>
      <c r="BE127" s="17"/>
      <c r="BF127" s="17"/>
      <c r="BG127" s="17"/>
      <c r="BH127" s="17"/>
      <c r="BI127" s="17"/>
      <c r="BJ127" s="17"/>
      <c r="BK127" s="17"/>
      <c r="BL127" s="17"/>
      <c r="BM127" s="17"/>
      <c r="BN127" s="17"/>
      <c r="BO127" s="17"/>
      <c r="BP127" s="17"/>
      <c r="BQ127" s="17"/>
      <c r="BR127" s="17"/>
      <c r="BS127" s="17"/>
      <c r="BT127" s="17"/>
      <c r="BU127" s="17"/>
      <c r="BV127" s="17"/>
      <c r="BW127" s="17"/>
      <c r="BX127" s="17"/>
      <c r="BY127" s="17"/>
      <c r="BZ127" s="17"/>
      <c r="CA127" s="17"/>
      <c r="CB127" s="17"/>
      <c r="CC127" s="17"/>
      <c r="CD127" s="17"/>
      <c r="CE127" s="17"/>
      <c r="CF127" s="17"/>
      <c r="CG127" s="17"/>
      <c r="CH127" s="17"/>
      <c r="CI127" s="17"/>
      <c r="CJ127" s="17"/>
      <c r="CK127" s="17"/>
      <c r="CL127" s="17"/>
      <c r="CM127" s="17"/>
      <c r="CN127" s="17"/>
      <c r="CO127" s="17"/>
      <c r="CP127" s="17"/>
      <c r="CQ127" s="17"/>
      <c r="CR127" s="17"/>
      <c r="CS127" s="17"/>
      <c r="CT127" s="17"/>
      <c r="CU127" s="17"/>
      <c r="CV127" s="17"/>
      <c r="CW127" s="17"/>
      <c r="CX127" s="17"/>
      <c r="CY127" s="17"/>
      <c r="CZ127" s="17"/>
      <c r="DA127" s="17"/>
      <c r="DB127" s="17"/>
      <c r="DC127" s="17"/>
      <c r="DD127" s="17"/>
      <c r="DE127" s="17"/>
      <c r="DF127" s="17"/>
      <c r="DG127" s="17"/>
      <c r="DH127" s="17"/>
      <c r="DI127" s="17"/>
      <c r="DJ127" s="17"/>
      <c r="DK127" s="17"/>
      <c r="DL127" s="17"/>
      <c r="DM127" s="17"/>
      <c r="DN127" s="17"/>
      <c r="DO127" s="17"/>
      <c r="DP127" s="17"/>
      <c r="DQ127" s="17"/>
      <c r="DR127" s="17"/>
      <c r="DS127" s="17"/>
      <c r="DT127" s="17"/>
      <c r="DU127" s="17"/>
      <c r="DV127" s="17"/>
      <c r="DW127" s="17"/>
      <c r="DX127" s="17"/>
      <c r="DY127" s="17"/>
      <c r="DZ127" s="17"/>
      <c r="EA127" s="17"/>
      <c r="EB127" s="17"/>
      <c r="EC127" s="17"/>
      <c r="ED127" s="17"/>
      <c r="EE127" s="17"/>
      <c r="EF127" s="17"/>
      <c r="EG127" s="17"/>
      <c r="EH127" s="17"/>
      <c r="EI127" s="17"/>
      <c r="EJ127" s="17"/>
      <c r="EK127" s="17"/>
      <c r="EL127" s="17"/>
      <c r="EM127" s="17"/>
      <c r="EN127" s="17"/>
      <c r="EO127" s="17"/>
      <c r="EP127" s="17"/>
      <c r="EQ127" s="17"/>
      <c r="ER127" s="17"/>
      <c r="ES127" s="17"/>
      <c r="ET127" s="17"/>
      <c r="EU127" s="17"/>
      <c r="EV127" s="17"/>
      <c r="EW127" s="17"/>
      <c r="EX127" s="17"/>
      <c r="EY127" s="17"/>
      <c r="EZ127" s="17"/>
      <c r="FA127" s="17"/>
      <c r="FB127" s="17"/>
      <c r="FC127" s="17"/>
      <c r="FD127" s="17"/>
      <c r="FE127" s="17"/>
      <c r="FF127" s="17"/>
      <c r="FG127" s="17"/>
      <c r="FH127" s="17"/>
      <c r="FI127" s="17"/>
      <c r="FJ127" s="17"/>
      <c r="FK127" s="17"/>
      <c r="FL127" s="17"/>
      <c r="FM127" s="17"/>
      <c r="FN127" s="17"/>
      <c r="FO127" s="17"/>
      <c r="FP127" s="17"/>
      <c r="FQ127" s="17"/>
      <c r="FR127" s="17"/>
      <c r="FS127" s="17"/>
      <c r="FT127" s="17"/>
      <c r="FU127" s="17"/>
      <c r="FV127" s="17"/>
      <c r="FW127" s="17"/>
      <c r="FX127" s="17"/>
      <c r="FY127" s="17"/>
      <c r="FZ127" s="17"/>
      <c r="GA127" s="17"/>
      <c r="GB127" s="17"/>
      <c r="GC127" s="17"/>
      <c r="GD127" s="17"/>
      <c r="GE127" s="17"/>
      <c r="GF127" s="17"/>
      <c r="GG127" s="17"/>
      <c r="GH127" s="17"/>
      <c r="GI127" s="17"/>
      <c r="GJ127" s="17"/>
      <c r="GK127" s="17"/>
      <c r="GL127" s="17"/>
      <c r="GM127" s="17"/>
      <c r="GN127" s="17"/>
      <c r="GO127" s="17"/>
      <c r="GP127" s="17"/>
      <c r="GQ127" s="17"/>
      <c r="GR127" s="17"/>
      <c r="GS127" s="17"/>
      <c r="GT127" s="17"/>
      <c r="GU127" s="17"/>
      <c r="GV127" s="17"/>
      <c r="GW127" s="17"/>
      <c r="GX127" s="17"/>
      <c r="GY127" s="17"/>
      <c r="GZ127" s="17"/>
      <c r="HA127" s="17"/>
      <c r="HB127" s="17"/>
      <c r="HC127" s="17"/>
      <c r="HD127" s="17"/>
      <c r="HE127" s="17"/>
      <c r="HF127" s="17"/>
      <c r="HG127" s="17"/>
      <c r="HH127" s="17"/>
      <c r="HI127" s="17"/>
      <c r="HJ127" s="17"/>
      <c r="HK127" s="17"/>
      <c r="HL127" s="17"/>
      <c r="HM127" s="17"/>
      <c r="HN127" s="17"/>
      <c r="HO127" s="17"/>
      <c r="HP127" s="17"/>
      <c r="HQ127" s="17"/>
      <c r="HR127" s="17"/>
      <c r="HS127" s="17"/>
      <c r="HT127" s="17"/>
      <c r="HU127" s="17"/>
      <c r="HV127" s="17"/>
      <c r="HW127" s="17"/>
      <c r="HX127" s="17"/>
      <c r="HY127" s="17"/>
      <c r="HZ127" s="17"/>
      <c r="IA127" s="17"/>
      <c r="IB127" s="17"/>
      <c r="IC127" s="17"/>
      <c r="ID127" s="17"/>
      <c r="IE127" s="17"/>
      <c r="IF127" s="17"/>
      <c r="IG127" s="17"/>
      <c r="IH127" s="17"/>
      <c r="II127" s="17"/>
      <c r="IJ127" s="17"/>
      <c r="IK127" s="17"/>
      <c r="IL127" s="17"/>
      <c r="IM127" s="17"/>
      <c r="IN127" s="17"/>
      <c r="IO127" s="17"/>
      <c r="IP127" s="17"/>
      <c r="IQ127" s="17"/>
      <c r="IR127" s="17"/>
      <c r="IS127" s="17"/>
      <c r="IT127" s="17"/>
      <c r="IU127" s="17"/>
      <c r="IV127" s="17"/>
      <c r="IW127" s="17"/>
      <c r="IX127" s="17"/>
      <c r="IY127" s="17"/>
      <c r="IZ127" s="17"/>
      <c r="JA127" s="17"/>
      <c r="JB127" s="17"/>
      <c r="JC127" s="17"/>
      <c r="JD127" s="17"/>
      <c r="JE127" s="17"/>
      <c r="JF127" s="17"/>
      <c r="JG127" s="17"/>
      <c r="JH127" s="17"/>
      <c r="JI127" s="17"/>
      <c r="JJ127" s="17"/>
      <c r="JK127" s="17"/>
      <c r="JL127" s="17"/>
      <c r="JM127" s="17"/>
      <c r="JN127" s="17"/>
      <c r="JO127" s="17"/>
      <c r="JP127" s="17"/>
      <c r="JQ127" s="17"/>
      <c r="JR127" s="17"/>
      <c r="JS127" s="17"/>
      <c r="JT127" s="17"/>
      <c r="JU127" s="17"/>
      <c r="JV127" s="17"/>
      <c r="JW127" s="17"/>
      <c r="JX127" s="17"/>
      <c r="JY127" s="17"/>
      <c r="JZ127" s="17"/>
      <c r="KA127" s="17"/>
      <c r="KB127" s="17"/>
      <c r="KC127" s="17"/>
      <c r="KD127" s="17"/>
      <c r="KE127" s="17"/>
      <c r="KF127" s="17"/>
      <c r="KG127" s="17"/>
      <c r="KH127" s="17"/>
      <c r="KI127" s="17"/>
      <c r="KJ127" s="17"/>
      <c r="KK127" s="17"/>
      <c r="KL127" s="17"/>
      <c r="KM127" s="17"/>
      <c r="KN127" s="17"/>
      <c r="KO127" s="17"/>
      <c r="KP127" s="17"/>
      <c r="KQ127" s="17"/>
      <c r="KR127" s="17"/>
      <c r="KS127" s="17"/>
      <c r="KT127" s="17"/>
      <c r="KU127" s="17"/>
      <c r="KV127" s="17"/>
      <c r="KW127" s="17"/>
      <c r="KX127" s="17"/>
      <c r="KY127" s="17"/>
    </row>
    <row r="128" spans="1:311" x14ac:dyDescent="0.25">
      <c r="A128" s="17"/>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c r="GS128" s="17"/>
      <c r="GT128" s="17"/>
      <c r="GU128" s="17"/>
      <c r="GV128" s="17"/>
      <c r="GW128" s="17"/>
      <c r="GX128" s="17"/>
      <c r="GY128" s="17"/>
      <c r="GZ128" s="17"/>
      <c r="HA128" s="17"/>
      <c r="HB128" s="17"/>
      <c r="HC128" s="17"/>
      <c r="HD128" s="17"/>
      <c r="HE128" s="17"/>
      <c r="HF128" s="17"/>
      <c r="HG128" s="17"/>
      <c r="HH128" s="17"/>
      <c r="HI128" s="17"/>
      <c r="HJ128" s="17"/>
      <c r="HK128" s="17"/>
      <c r="HL128" s="17"/>
      <c r="HM128" s="17"/>
      <c r="HN128" s="17"/>
      <c r="HO128" s="17"/>
      <c r="HP128" s="17"/>
      <c r="HQ128" s="17"/>
      <c r="HR128" s="17"/>
      <c r="HS128" s="17"/>
      <c r="HT128" s="17"/>
      <c r="HU128" s="17"/>
      <c r="HV128" s="17"/>
      <c r="HW128" s="17"/>
      <c r="HX128" s="17"/>
      <c r="HY128" s="17"/>
      <c r="HZ128" s="17"/>
      <c r="IA128" s="17"/>
      <c r="IB128" s="17"/>
      <c r="IC128" s="17"/>
      <c r="ID128" s="17"/>
      <c r="IE128" s="17"/>
      <c r="IF128" s="17"/>
      <c r="IG128" s="17"/>
      <c r="IH128" s="17"/>
      <c r="II128" s="17"/>
      <c r="IJ128" s="17"/>
      <c r="IK128" s="17"/>
      <c r="IL128" s="17"/>
      <c r="IM128" s="17"/>
      <c r="IN128" s="17"/>
      <c r="IO128" s="17"/>
      <c r="IP128" s="17"/>
      <c r="IQ128" s="17"/>
      <c r="IR128" s="17"/>
      <c r="IS128" s="17"/>
      <c r="IT128" s="17"/>
      <c r="IU128" s="17"/>
      <c r="IV128" s="17"/>
      <c r="IW128" s="17"/>
      <c r="IX128" s="17"/>
      <c r="IY128" s="17"/>
      <c r="IZ128" s="17"/>
      <c r="JA128" s="17"/>
      <c r="JB128" s="17"/>
      <c r="JC128" s="17"/>
      <c r="JD128" s="17"/>
      <c r="JE128" s="17"/>
      <c r="JF128" s="17"/>
      <c r="JG128" s="17"/>
      <c r="JH128" s="17"/>
      <c r="JI128" s="17"/>
      <c r="JJ128" s="17"/>
      <c r="JK128" s="17"/>
      <c r="JL128" s="17"/>
      <c r="JM128" s="17"/>
      <c r="JN128" s="17"/>
      <c r="JO128" s="17"/>
      <c r="JP128" s="17"/>
      <c r="JQ128" s="17"/>
      <c r="JR128" s="17"/>
      <c r="JS128" s="17"/>
      <c r="JT128" s="17"/>
      <c r="JU128" s="17"/>
      <c r="JV128" s="17"/>
      <c r="JW128" s="17"/>
      <c r="JX128" s="17"/>
      <c r="JY128" s="17"/>
      <c r="JZ128" s="17"/>
      <c r="KA128" s="17"/>
      <c r="KB128" s="17"/>
      <c r="KC128" s="17"/>
      <c r="KD128" s="17"/>
      <c r="KE128" s="17"/>
      <c r="KF128" s="17"/>
      <c r="KG128" s="17"/>
      <c r="KH128" s="17"/>
      <c r="KI128" s="17"/>
      <c r="KJ128" s="17"/>
      <c r="KK128" s="17"/>
      <c r="KL128" s="17"/>
      <c r="KM128" s="17"/>
      <c r="KN128" s="17"/>
      <c r="KO128" s="17"/>
      <c r="KP128" s="17"/>
      <c r="KQ128" s="17"/>
      <c r="KR128" s="17"/>
      <c r="KS128" s="17"/>
      <c r="KT128" s="17"/>
      <c r="KU128" s="17"/>
      <c r="KV128" s="17"/>
      <c r="KW128" s="17"/>
      <c r="KX128" s="17"/>
      <c r="KY128" s="17"/>
    </row>
    <row r="129" spans="1:311" x14ac:dyDescent="0.25">
      <c r="A129" s="17"/>
      <c r="B129" s="17"/>
      <c r="C129" s="17"/>
      <c r="D129" s="17"/>
      <c r="E129" s="17"/>
      <c r="F129" s="17"/>
      <c r="G129" s="17"/>
      <c r="H129" s="17"/>
      <c r="I129" s="17"/>
      <c r="J129" s="17"/>
      <c r="K129" s="17"/>
      <c r="L129" s="17"/>
      <c r="M129" s="17"/>
      <c r="N129" s="17"/>
      <c r="O129" s="17"/>
      <c r="P129" s="17"/>
      <c r="Q129" s="17"/>
      <c r="R129" s="17"/>
      <c r="S129" s="17"/>
      <c r="T129" s="17"/>
      <c r="U129" s="17"/>
      <c r="V129" s="17"/>
      <c r="W129" s="17"/>
      <c r="X129" s="17"/>
      <c r="Y129" s="17"/>
      <c r="Z129" s="17"/>
      <c r="AA129" s="17"/>
      <c r="AB129" s="17"/>
      <c r="AC129" s="17"/>
      <c r="AD129" s="17"/>
      <c r="AE129" s="17"/>
      <c r="AF129" s="17"/>
      <c r="AG129" s="17"/>
      <c r="AH129" s="17"/>
      <c r="AI129" s="17"/>
      <c r="AJ129" s="17"/>
      <c r="AK129" s="17"/>
      <c r="AL129" s="17"/>
      <c r="AM129" s="17"/>
      <c r="AN129" s="17"/>
      <c r="AO129" s="17"/>
      <c r="AP129" s="17"/>
      <c r="AQ129" s="17"/>
      <c r="AR129" s="17"/>
      <c r="AS129" s="17"/>
      <c r="AT129" s="17"/>
      <c r="AU129" s="17"/>
      <c r="AV129" s="17"/>
      <c r="AW129" s="17"/>
      <c r="AX129" s="17"/>
      <c r="AY129" s="17"/>
      <c r="AZ129" s="17"/>
      <c r="BA129" s="17"/>
      <c r="BB129" s="17"/>
      <c r="BC129" s="17"/>
      <c r="BD129" s="17"/>
      <c r="BE129" s="17"/>
      <c r="BF129" s="17"/>
      <c r="BG129" s="17"/>
      <c r="BH129" s="17"/>
      <c r="BI129" s="17"/>
      <c r="BJ129" s="17"/>
      <c r="BK129" s="17"/>
      <c r="BL129" s="17"/>
      <c r="BM129" s="17"/>
      <c r="BN129" s="17"/>
      <c r="BO129" s="17"/>
      <c r="BP129" s="17"/>
      <c r="BQ129" s="17"/>
      <c r="BR129" s="17"/>
      <c r="BS129" s="17"/>
      <c r="BT129" s="17"/>
      <c r="BU129" s="17"/>
      <c r="BV129" s="17"/>
      <c r="BW129" s="17"/>
      <c r="BX129" s="17"/>
      <c r="BY129" s="17"/>
      <c r="BZ129" s="17"/>
      <c r="CA129" s="17"/>
      <c r="CB129" s="17"/>
      <c r="CC129" s="17"/>
      <c r="CD129" s="17"/>
      <c r="CE129" s="17"/>
      <c r="CF129" s="17"/>
      <c r="CG129" s="17"/>
      <c r="CH129" s="17"/>
      <c r="CI129" s="17"/>
      <c r="CJ129" s="17"/>
      <c r="CK129" s="17"/>
      <c r="CL129" s="17"/>
      <c r="CM129" s="17"/>
      <c r="CN129" s="17"/>
      <c r="CO129" s="17"/>
      <c r="CP129" s="17"/>
      <c r="CQ129" s="17"/>
      <c r="CR129" s="17"/>
      <c r="CS129" s="17"/>
      <c r="CT129" s="17"/>
      <c r="CU129" s="17"/>
      <c r="CV129" s="17"/>
      <c r="CW129" s="17"/>
      <c r="CX129" s="17"/>
      <c r="CY129" s="17"/>
      <c r="CZ129" s="17"/>
      <c r="DA129" s="17"/>
      <c r="DB129" s="17"/>
      <c r="DC129" s="17"/>
      <c r="DD129" s="17"/>
      <c r="DE129" s="17"/>
      <c r="DF129" s="17"/>
      <c r="DG129" s="17"/>
      <c r="DH129" s="17"/>
      <c r="DI129" s="17"/>
      <c r="DJ129" s="17"/>
      <c r="DK129" s="17"/>
      <c r="DL129" s="17"/>
      <c r="DM129" s="17"/>
      <c r="DN129" s="17"/>
      <c r="DO129" s="17"/>
      <c r="DP129" s="17"/>
      <c r="DQ129" s="17"/>
      <c r="DR129" s="17"/>
      <c r="DS129" s="17"/>
      <c r="DT129" s="17"/>
      <c r="DU129" s="17"/>
      <c r="DV129" s="17"/>
      <c r="DW129" s="17"/>
      <c r="DX129" s="17"/>
      <c r="DY129" s="17"/>
      <c r="DZ129" s="17"/>
      <c r="EA129" s="17"/>
      <c r="EB129" s="17"/>
      <c r="EC129" s="17"/>
      <c r="ED129" s="17"/>
      <c r="EE129" s="17"/>
      <c r="EF129" s="17"/>
      <c r="EG129" s="17"/>
      <c r="EH129" s="17"/>
      <c r="EI129" s="17"/>
      <c r="EJ129" s="17"/>
      <c r="EK129" s="17"/>
      <c r="EL129" s="17"/>
      <c r="EM129" s="17"/>
      <c r="EN129" s="17"/>
      <c r="EO129" s="17"/>
      <c r="EP129" s="17"/>
      <c r="EQ129" s="17"/>
      <c r="ER129" s="17"/>
      <c r="ES129" s="17"/>
      <c r="ET129" s="17"/>
      <c r="EU129" s="17"/>
      <c r="EV129" s="17"/>
      <c r="EW129" s="17"/>
      <c r="EX129" s="17"/>
      <c r="EY129" s="17"/>
      <c r="EZ129" s="17"/>
      <c r="FA129" s="17"/>
      <c r="FB129" s="17"/>
      <c r="FC129" s="17"/>
      <c r="FD129" s="17"/>
      <c r="FE129" s="17"/>
      <c r="FF129" s="17"/>
      <c r="FG129" s="17"/>
      <c r="FH129" s="17"/>
      <c r="FI129" s="17"/>
      <c r="FJ129" s="17"/>
      <c r="FK129" s="17"/>
      <c r="FL129" s="17"/>
      <c r="FM129" s="17"/>
      <c r="FN129" s="17"/>
      <c r="FO129" s="17"/>
      <c r="FP129" s="17"/>
      <c r="FQ129" s="17"/>
      <c r="FR129" s="17"/>
      <c r="FS129" s="17"/>
      <c r="FT129" s="17"/>
      <c r="FU129" s="17"/>
      <c r="FV129" s="17"/>
      <c r="FW129" s="17"/>
      <c r="FX129" s="17"/>
      <c r="FY129" s="17"/>
      <c r="FZ129" s="17"/>
      <c r="GA129" s="17"/>
      <c r="GB129" s="17"/>
      <c r="GC129" s="17"/>
      <c r="GD129" s="17"/>
      <c r="GE129" s="17"/>
      <c r="GF129" s="17"/>
      <c r="GG129" s="17"/>
      <c r="GH129" s="17"/>
      <c r="GI129" s="17"/>
      <c r="GJ129" s="17"/>
      <c r="GK129" s="17"/>
      <c r="GL129" s="17"/>
      <c r="GM129" s="17"/>
      <c r="GN129" s="17"/>
      <c r="GO129" s="17"/>
      <c r="GP129" s="17"/>
      <c r="GQ129" s="17"/>
      <c r="GR129" s="17"/>
      <c r="GS129" s="17"/>
      <c r="GT129" s="17"/>
      <c r="GU129" s="17"/>
      <c r="GV129" s="17"/>
      <c r="GW129" s="17"/>
      <c r="GX129" s="17"/>
      <c r="GY129" s="17"/>
      <c r="GZ129" s="17"/>
      <c r="HA129" s="17"/>
      <c r="HB129" s="17"/>
      <c r="HC129" s="17"/>
      <c r="HD129" s="17"/>
      <c r="HE129" s="17"/>
      <c r="HF129" s="17"/>
      <c r="HG129" s="17"/>
      <c r="HH129" s="17"/>
      <c r="HI129" s="17"/>
      <c r="HJ129" s="17"/>
      <c r="HK129" s="17"/>
      <c r="HL129" s="17"/>
      <c r="HM129" s="17"/>
      <c r="HN129" s="17"/>
      <c r="HO129" s="17"/>
      <c r="HP129" s="17"/>
      <c r="HQ129" s="17"/>
      <c r="HR129" s="17"/>
      <c r="HS129" s="17"/>
      <c r="HT129" s="17"/>
      <c r="HU129" s="17"/>
      <c r="HV129" s="17"/>
      <c r="HW129" s="17"/>
      <c r="HX129" s="17"/>
      <c r="HY129" s="17"/>
      <c r="HZ129" s="17"/>
      <c r="IA129" s="17"/>
      <c r="IB129" s="17"/>
      <c r="IC129" s="17"/>
      <c r="ID129" s="17"/>
      <c r="IE129" s="17"/>
      <c r="IF129" s="17"/>
      <c r="IG129" s="17"/>
      <c r="IH129" s="17"/>
      <c r="II129" s="17"/>
      <c r="IJ129" s="17"/>
      <c r="IK129" s="17"/>
      <c r="IL129" s="17"/>
      <c r="IM129" s="17"/>
      <c r="IN129" s="17"/>
      <c r="IO129" s="17"/>
      <c r="IP129" s="17"/>
      <c r="IQ129" s="17"/>
      <c r="IR129" s="17"/>
      <c r="IS129" s="17"/>
      <c r="IT129" s="17"/>
      <c r="IU129" s="17"/>
      <c r="IV129" s="17"/>
      <c r="IW129" s="17"/>
      <c r="IX129" s="17"/>
      <c r="IY129" s="17"/>
      <c r="IZ129" s="17"/>
      <c r="JA129" s="17"/>
      <c r="JB129" s="17"/>
      <c r="JC129" s="17"/>
      <c r="JD129" s="17"/>
      <c r="JE129" s="17"/>
      <c r="JF129" s="17"/>
      <c r="JG129" s="17"/>
      <c r="JH129" s="17"/>
      <c r="JI129" s="17"/>
      <c r="JJ129" s="17"/>
      <c r="JK129" s="17"/>
      <c r="JL129" s="17"/>
      <c r="JM129" s="17"/>
      <c r="JN129" s="17"/>
      <c r="JO129" s="17"/>
      <c r="JP129" s="17"/>
      <c r="JQ129" s="17"/>
      <c r="JR129" s="17"/>
      <c r="JS129" s="17"/>
      <c r="JT129" s="17"/>
      <c r="JU129" s="17"/>
      <c r="JV129" s="17"/>
      <c r="JW129" s="17"/>
      <c r="JX129" s="17"/>
      <c r="JY129" s="17"/>
      <c r="JZ129" s="17"/>
      <c r="KA129" s="17"/>
      <c r="KB129" s="17"/>
      <c r="KC129" s="17"/>
      <c r="KD129" s="17"/>
      <c r="KE129" s="17"/>
      <c r="KF129" s="17"/>
      <c r="KG129" s="17"/>
      <c r="KH129" s="17"/>
      <c r="KI129" s="17"/>
      <c r="KJ129" s="17"/>
      <c r="KK129" s="17"/>
      <c r="KL129" s="17"/>
      <c r="KM129" s="17"/>
      <c r="KN129" s="17"/>
      <c r="KO129" s="17"/>
      <c r="KP129" s="17"/>
      <c r="KQ129" s="17"/>
      <c r="KR129" s="17"/>
      <c r="KS129" s="17"/>
      <c r="KT129" s="17"/>
      <c r="KU129" s="17"/>
      <c r="KV129" s="17"/>
      <c r="KW129" s="17"/>
      <c r="KX129" s="17"/>
      <c r="KY129" s="17"/>
    </row>
    <row r="130" spans="1:311" x14ac:dyDescent="0.25">
      <c r="A130" s="17"/>
      <c r="B130" s="17"/>
      <c r="C130" s="17"/>
      <c r="D130" s="17"/>
      <c r="E130" s="17"/>
      <c r="F130" s="17"/>
      <c r="G130" s="17"/>
      <c r="H130" s="17"/>
      <c r="I130" s="17"/>
      <c r="J130" s="17"/>
      <c r="K130" s="17"/>
      <c r="L130" s="17"/>
      <c r="M130" s="17"/>
      <c r="N130" s="17"/>
      <c r="O130" s="17"/>
      <c r="P130" s="17"/>
      <c r="Q130" s="17"/>
      <c r="R130" s="17"/>
      <c r="S130" s="17"/>
      <c r="T130" s="17"/>
      <c r="U130" s="17"/>
      <c r="V130" s="17"/>
      <c r="W130" s="17"/>
      <c r="X130" s="17"/>
      <c r="Y130" s="17"/>
      <c r="Z130" s="17"/>
      <c r="AA130" s="17"/>
      <c r="AB130" s="17"/>
      <c r="AC130" s="17"/>
      <c r="AD130" s="17"/>
      <c r="AE130" s="17"/>
      <c r="AF130" s="17"/>
      <c r="AG130" s="17"/>
      <c r="AH130" s="17"/>
      <c r="AI130" s="17"/>
      <c r="AJ130" s="17"/>
      <c r="AK130" s="17"/>
      <c r="AL130" s="17"/>
      <c r="AM130" s="17"/>
      <c r="AN130" s="17"/>
      <c r="AO130" s="17"/>
      <c r="AP130" s="17"/>
      <c r="AQ130" s="17"/>
      <c r="AR130" s="17"/>
      <c r="AS130" s="17"/>
      <c r="AT130" s="17"/>
      <c r="AU130" s="17"/>
      <c r="AV130" s="17"/>
      <c r="AW130" s="17"/>
      <c r="AX130" s="17"/>
      <c r="AY130" s="17"/>
      <c r="AZ130" s="17"/>
      <c r="BA130" s="17"/>
      <c r="BB130" s="17"/>
      <c r="BC130" s="17"/>
      <c r="BD130" s="17"/>
      <c r="BE130" s="17"/>
      <c r="BF130" s="17"/>
      <c r="BG130" s="17"/>
      <c r="BH130" s="17"/>
      <c r="BI130" s="17"/>
      <c r="BJ130" s="17"/>
      <c r="BK130" s="17"/>
      <c r="BL130" s="17"/>
      <c r="BM130" s="17"/>
      <c r="BN130" s="17"/>
      <c r="BO130" s="17"/>
      <c r="BP130" s="17"/>
      <c r="BQ130" s="17"/>
      <c r="BR130" s="17"/>
      <c r="BS130" s="17"/>
      <c r="BT130" s="17"/>
      <c r="BU130" s="17"/>
      <c r="BV130" s="17"/>
      <c r="BW130" s="17"/>
      <c r="BX130" s="17"/>
      <c r="BY130" s="17"/>
      <c r="BZ130" s="17"/>
      <c r="CA130" s="17"/>
      <c r="CB130" s="17"/>
      <c r="CC130" s="17"/>
      <c r="CD130" s="17"/>
      <c r="CE130" s="17"/>
      <c r="CF130" s="17"/>
      <c r="CG130" s="17"/>
      <c r="CH130" s="17"/>
      <c r="CI130" s="17"/>
      <c r="CJ130" s="17"/>
      <c r="CK130" s="17"/>
      <c r="CL130" s="17"/>
      <c r="CM130" s="17"/>
      <c r="CN130" s="17"/>
      <c r="CO130" s="17"/>
      <c r="CP130" s="17"/>
      <c r="CQ130" s="17"/>
      <c r="CR130" s="17"/>
      <c r="CS130" s="17"/>
      <c r="CT130" s="17"/>
      <c r="CU130" s="17"/>
      <c r="CV130" s="17"/>
      <c r="CW130" s="17"/>
      <c r="CX130" s="17"/>
      <c r="CY130" s="17"/>
      <c r="CZ130" s="17"/>
      <c r="DA130" s="17"/>
      <c r="DB130" s="17"/>
      <c r="DC130" s="17"/>
      <c r="DD130" s="17"/>
      <c r="DE130" s="17"/>
      <c r="DF130" s="17"/>
      <c r="DG130" s="17"/>
      <c r="DH130" s="17"/>
      <c r="DI130" s="17"/>
      <c r="DJ130" s="17"/>
      <c r="DK130" s="17"/>
      <c r="DL130" s="17"/>
      <c r="DM130" s="17"/>
      <c r="DN130" s="17"/>
      <c r="DO130" s="17"/>
      <c r="DP130" s="17"/>
      <c r="DQ130" s="17"/>
      <c r="DR130" s="17"/>
      <c r="DS130" s="17"/>
      <c r="DT130" s="17"/>
      <c r="DU130" s="17"/>
      <c r="DV130" s="17"/>
      <c r="DW130" s="17"/>
      <c r="DX130" s="17"/>
      <c r="DY130" s="17"/>
      <c r="DZ130" s="17"/>
      <c r="EA130" s="17"/>
      <c r="EB130" s="17"/>
      <c r="EC130" s="17"/>
      <c r="ED130" s="17"/>
      <c r="EE130" s="17"/>
      <c r="EF130" s="17"/>
      <c r="EG130" s="17"/>
      <c r="EH130" s="17"/>
      <c r="EI130" s="17"/>
      <c r="EJ130" s="17"/>
      <c r="EK130" s="17"/>
      <c r="EL130" s="17"/>
      <c r="EM130" s="17"/>
      <c r="EN130" s="17"/>
      <c r="EO130" s="17"/>
      <c r="EP130" s="17"/>
      <c r="EQ130" s="17"/>
      <c r="ER130" s="17"/>
      <c r="ES130" s="17"/>
      <c r="ET130" s="17"/>
      <c r="EU130" s="17"/>
      <c r="EV130" s="17"/>
      <c r="EW130" s="17"/>
      <c r="EX130" s="17"/>
      <c r="EY130" s="17"/>
      <c r="EZ130" s="17"/>
      <c r="FA130" s="17"/>
      <c r="FB130" s="17"/>
      <c r="FC130" s="17"/>
      <c r="FD130" s="17"/>
      <c r="FE130" s="17"/>
      <c r="FF130" s="17"/>
      <c r="FG130" s="17"/>
      <c r="FH130" s="17"/>
      <c r="FI130" s="17"/>
      <c r="FJ130" s="17"/>
      <c r="FK130" s="17"/>
      <c r="FL130" s="17"/>
      <c r="FM130" s="17"/>
      <c r="FN130" s="17"/>
      <c r="FO130" s="17"/>
      <c r="FP130" s="17"/>
      <c r="FQ130" s="17"/>
      <c r="FR130" s="17"/>
      <c r="FS130" s="17"/>
      <c r="FT130" s="17"/>
      <c r="FU130" s="17"/>
      <c r="FV130" s="17"/>
      <c r="FW130" s="17"/>
      <c r="FX130" s="17"/>
      <c r="FY130" s="17"/>
      <c r="FZ130" s="17"/>
      <c r="GA130" s="17"/>
      <c r="GB130" s="17"/>
      <c r="GC130" s="17"/>
      <c r="GD130" s="17"/>
      <c r="GE130" s="17"/>
      <c r="GF130" s="17"/>
      <c r="GG130" s="17"/>
      <c r="GH130" s="17"/>
      <c r="GI130" s="17"/>
      <c r="GJ130" s="17"/>
      <c r="GK130" s="17"/>
      <c r="GL130" s="17"/>
      <c r="GM130" s="17"/>
      <c r="GN130" s="17"/>
      <c r="GO130" s="17"/>
      <c r="GP130" s="17"/>
      <c r="GQ130" s="17"/>
      <c r="GR130" s="17"/>
      <c r="GS130" s="17"/>
      <c r="GT130" s="17"/>
      <c r="GU130" s="17"/>
      <c r="GV130" s="17"/>
      <c r="GW130" s="17"/>
      <c r="GX130" s="17"/>
      <c r="GY130" s="17"/>
      <c r="GZ130" s="17"/>
      <c r="HA130" s="17"/>
      <c r="HB130" s="17"/>
      <c r="HC130" s="17"/>
      <c r="HD130" s="17"/>
      <c r="HE130" s="17"/>
      <c r="HF130" s="17"/>
      <c r="HG130" s="17"/>
      <c r="HH130" s="17"/>
      <c r="HI130" s="17"/>
      <c r="HJ130" s="17"/>
      <c r="HK130" s="17"/>
      <c r="HL130" s="17"/>
      <c r="HM130" s="17"/>
      <c r="HN130" s="17"/>
      <c r="HO130" s="17"/>
      <c r="HP130" s="17"/>
      <c r="HQ130" s="17"/>
      <c r="HR130" s="17"/>
      <c r="HS130" s="17"/>
      <c r="HT130" s="17"/>
      <c r="HU130" s="17"/>
      <c r="HV130" s="17"/>
      <c r="HW130" s="17"/>
      <c r="HX130" s="17"/>
      <c r="HY130" s="17"/>
      <c r="HZ130" s="17"/>
      <c r="IA130" s="17"/>
      <c r="IB130" s="17"/>
      <c r="IC130" s="17"/>
      <c r="ID130" s="17"/>
      <c r="IE130" s="17"/>
      <c r="IF130" s="17"/>
      <c r="IG130" s="17"/>
      <c r="IH130" s="17"/>
      <c r="II130" s="17"/>
      <c r="IJ130" s="17"/>
      <c r="IK130" s="17"/>
      <c r="IL130" s="17"/>
      <c r="IM130" s="17"/>
      <c r="IN130" s="17"/>
      <c r="IO130" s="17"/>
      <c r="IP130" s="17"/>
      <c r="IQ130" s="17"/>
      <c r="IR130" s="17"/>
      <c r="IS130" s="17"/>
      <c r="IT130" s="17"/>
      <c r="IU130" s="17"/>
      <c r="IV130" s="17"/>
      <c r="IW130" s="17"/>
      <c r="IX130" s="17"/>
      <c r="IY130" s="17"/>
      <c r="IZ130" s="17"/>
      <c r="JA130" s="17"/>
      <c r="JB130" s="17"/>
      <c r="JC130" s="17"/>
      <c r="JD130" s="17"/>
      <c r="JE130" s="17"/>
      <c r="JF130" s="17"/>
      <c r="JG130" s="17"/>
      <c r="JH130" s="17"/>
      <c r="JI130" s="17"/>
      <c r="JJ130" s="17"/>
      <c r="JK130" s="17"/>
      <c r="JL130" s="17"/>
      <c r="JM130" s="17"/>
      <c r="JN130" s="17"/>
      <c r="JO130" s="17"/>
      <c r="JP130" s="17"/>
      <c r="JQ130" s="17"/>
      <c r="JR130" s="17"/>
      <c r="JS130" s="17"/>
      <c r="JT130" s="17"/>
      <c r="JU130" s="17"/>
      <c r="JV130" s="17"/>
      <c r="JW130" s="17"/>
      <c r="JX130" s="17"/>
      <c r="JY130" s="17"/>
      <c r="JZ130" s="17"/>
      <c r="KA130" s="17"/>
      <c r="KB130" s="17"/>
      <c r="KC130" s="17"/>
      <c r="KD130" s="17"/>
      <c r="KE130" s="17"/>
      <c r="KF130" s="17"/>
      <c r="KG130" s="17"/>
      <c r="KH130" s="17"/>
      <c r="KI130" s="17"/>
      <c r="KJ130" s="17"/>
      <c r="KK130" s="17"/>
      <c r="KL130" s="17"/>
      <c r="KM130" s="17"/>
      <c r="KN130" s="17"/>
      <c r="KO130" s="17"/>
      <c r="KP130" s="17"/>
      <c r="KQ130" s="17"/>
      <c r="KR130" s="17"/>
      <c r="KS130" s="17"/>
      <c r="KT130" s="17"/>
      <c r="KU130" s="17"/>
      <c r="KV130" s="17"/>
      <c r="KW130" s="17"/>
      <c r="KX130" s="17"/>
      <c r="KY130" s="17"/>
    </row>
    <row r="131" spans="1:311" x14ac:dyDescent="0.25">
      <c r="A131" s="17"/>
      <c r="B131" s="17"/>
      <c r="C131" s="17"/>
      <c r="D131" s="17"/>
      <c r="E131" s="17"/>
      <c r="F131" s="17"/>
      <c r="G131" s="17"/>
      <c r="H131" s="17"/>
      <c r="I131" s="17"/>
      <c r="J131" s="17"/>
      <c r="K131" s="17"/>
      <c r="L131" s="17"/>
      <c r="M131" s="17"/>
      <c r="N131" s="17"/>
      <c r="O131" s="17"/>
      <c r="P131" s="17"/>
      <c r="Q131" s="17"/>
      <c r="R131" s="17"/>
      <c r="S131" s="17"/>
      <c r="T131" s="17"/>
      <c r="U131" s="17"/>
      <c r="V131" s="17"/>
      <c r="W131" s="17"/>
      <c r="X131" s="17"/>
      <c r="Y131" s="17"/>
      <c r="Z131" s="17"/>
      <c r="AA131" s="17"/>
      <c r="AB131" s="17"/>
      <c r="AC131" s="17"/>
      <c r="AD131" s="17"/>
      <c r="AE131" s="17"/>
      <c r="AF131" s="17"/>
      <c r="AG131" s="17"/>
      <c r="AH131" s="17"/>
      <c r="AI131" s="17"/>
      <c r="AJ131" s="17"/>
      <c r="AK131" s="17"/>
      <c r="AL131" s="17"/>
      <c r="AM131" s="17"/>
      <c r="AN131" s="17"/>
      <c r="AO131" s="17"/>
      <c r="AP131" s="17"/>
      <c r="AQ131" s="17"/>
      <c r="AR131" s="17"/>
      <c r="AS131" s="17"/>
      <c r="AT131" s="17"/>
      <c r="AU131" s="17"/>
      <c r="AV131" s="17"/>
      <c r="AW131" s="17"/>
      <c r="AX131" s="17"/>
      <c r="AY131" s="17"/>
      <c r="AZ131" s="17"/>
      <c r="BA131" s="17"/>
      <c r="BB131" s="17"/>
      <c r="BC131" s="17"/>
      <c r="BD131" s="17"/>
      <c r="BE131" s="17"/>
      <c r="BF131" s="17"/>
      <c r="BG131" s="17"/>
      <c r="BH131" s="17"/>
      <c r="BI131" s="17"/>
      <c r="BJ131" s="17"/>
      <c r="BK131" s="17"/>
      <c r="BL131" s="17"/>
      <c r="BM131" s="17"/>
      <c r="BN131" s="17"/>
      <c r="BO131" s="17"/>
      <c r="BP131" s="17"/>
      <c r="BQ131" s="17"/>
      <c r="BR131" s="17"/>
      <c r="BS131" s="17"/>
      <c r="BT131" s="17"/>
      <c r="BU131" s="17"/>
      <c r="BV131" s="17"/>
      <c r="BW131" s="17"/>
      <c r="BX131" s="17"/>
      <c r="BY131" s="17"/>
      <c r="BZ131" s="17"/>
      <c r="CA131" s="17"/>
      <c r="CB131" s="17"/>
      <c r="CC131" s="17"/>
      <c r="CD131" s="17"/>
      <c r="CE131" s="17"/>
      <c r="CF131" s="17"/>
      <c r="CG131" s="17"/>
      <c r="CH131" s="17"/>
      <c r="CI131" s="17"/>
      <c r="CJ131" s="17"/>
      <c r="CK131" s="17"/>
      <c r="CL131" s="17"/>
      <c r="CM131" s="17"/>
      <c r="CN131" s="17"/>
      <c r="CO131" s="17"/>
      <c r="CP131" s="17"/>
      <c r="CQ131" s="17"/>
      <c r="CR131" s="17"/>
      <c r="CS131" s="17"/>
      <c r="CT131" s="17"/>
      <c r="CU131" s="17"/>
      <c r="CV131" s="17"/>
      <c r="CW131" s="17"/>
      <c r="CX131" s="17"/>
      <c r="CY131" s="17"/>
      <c r="CZ131" s="17"/>
      <c r="DA131" s="17"/>
      <c r="DB131" s="17"/>
      <c r="DC131" s="17"/>
      <c r="DD131" s="17"/>
      <c r="DE131" s="17"/>
      <c r="DF131" s="17"/>
      <c r="DG131" s="17"/>
      <c r="DH131" s="17"/>
      <c r="DI131" s="17"/>
      <c r="DJ131" s="17"/>
      <c r="DK131" s="17"/>
      <c r="DL131" s="17"/>
      <c r="DM131" s="17"/>
      <c r="DN131" s="17"/>
      <c r="DO131" s="17"/>
      <c r="DP131" s="17"/>
      <c r="DQ131" s="17"/>
      <c r="DR131" s="17"/>
      <c r="DS131" s="17"/>
      <c r="DT131" s="17"/>
      <c r="DU131" s="17"/>
      <c r="DV131" s="17"/>
      <c r="DW131" s="17"/>
      <c r="DX131" s="17"/>
      <c r="DY131" s="17"/>
      <c r="DZ131" s="17"/>
      <c r="EA131" s="17"/>
      <c r="EB131" s="17"/>
      <c r="EC131" s="17"/>
      <c r="ED131" s="17"/>
      <c r="EE131" s="17"/>
      <c r="EF131" s="17"/>
      <c r="EG131" s="17"/>
      <c r="EH131" s="17"/>
      <c r="EI131" s="17"/>
      <c r="EJ131" s="17"/>
      <c r="EK131" s="17"/>
      <c r="EL131" s="17"/>
      <c r="EM131" s="17"/>
      <c r="EN131" s="17"/>
      <c r="EO131" s="17"/>
      <c r="EP131" s="17"/>
      <c r="EQ131" s="17"/>
      <c r="ER131" s="17"/>
      <c r="ES131" s="17"/>
      <c r="ET131" s="17"/>
      <c r="EU131" s="17"/>
      <c r="EV131" s="17"/>
      <c r="EW131" s="17"/>
      <c r="EX131" s="17"/>
      <c r="EY131" s="17"/>
      <c r="EZ131" s="17"/>
      <c r="FA131" s="17"/>
      <c r="FB131" s="17"/>
      <c r="FC131" s="17"/>
      <c r="FD131" s="17"/>
      <c r="FE131" s="17"/>
      <c r="FF131" s="17"/>
      <c r="FG131" s="17"/>
      <c r="FH131" s="17"/>
      <c r="FI131" s="17"/>
      <c r="FJ131" s="17"/>
      <c r="FK131" s="17"/>
      <c r="FL131" s="17"/>
      <c r="FM131" s="17"/>
      <c r="FN131" s="17"/>
      <c r="FO131" s="17"/>
      <c r="FP131" s="17"/>
      <c r="FQ131" s="17"/>
      <c r="FR131" s="17"/>
      <c r="FS131" s="17"/>
      <c r="FT131" s="17"/>
      <c r="FU131" s="17"/>
      <c r="FV131" s="17"/>
      <c r="FW131" s="17"/>
      <c r="FX131" s="17"/>
      <c r="FY131" s="17"/>
      <c r="FZ131" s="17"/>
      <c r="GA131" s="17"/>
      <c r="GB131" s="17"/>
      <c r="GC131" s="17"/>
      <c r="GD131" s="17"/>
      <c r="GE131" s="17"/>
      <c r="GF131" s="17"/>
      <c r="GG131" s="17"/>
      <c r="GH131" s="17"/>
      <c r="GI131" s="17"/>
      <c r="GJ131" s="17"/>
      <c r="GK131" s="17"/>
      <c r="GL131" s="17"/>
      <c r="GM131" s="17"/>
      <c r="GN131" s="17"/>
      <c r="GO131" s="17"/>
      <c r="GP131" s="17"/>
      <c r="GQ131" s="17"/>
      <c r="GR131" s="17"/>
      <c r="GS131" s="17"/>
      <c r="GT131" s="17"/>
      <c r="GU131" s="17"/>
      <c r="GV131" s="17"/>
      <c r="GW131" s="17"/>
      <c r="GX131" s="17"/>
      <c r="GY131" s="17"/>
      <c r="GZ131" s="17"/>
      <c r="HA131" s="17"/>
      <c r="HB131" s="17"/>
      <c r="HC131" s="17"/>
      <c r="HD131" s="17"/>
      <c r="HE131" s="17"/>
      <c r="HF131" s="17"/>
      <c r="HG131" s="17"/>
      <c r="HH131" s="17"/>
      <c r="HI131" s="17"/>
      <c r="HJ131" s="17"/>
      <c r="HK131" s="17"/>
      <c r="HL131" s="17"/>
      <c r="HM131" s="17"/>
      <c r="HN131" s="17"/>
      <c r="HO131" s="17"/>
      <c r="HP131" s="17"/>
      <c r="HQ131" s="17"/>
      <c r="HR131" s="17"/>
      <c r="HS131" s="17"/>
      <c r="HT131" s="17"/>
      <c r="HU131" s="17"/>
      <c r="HV131" s="17"/>
      <c r="HW131" s="17"/>
      <c r="HX131" s="17"/>
      <c r="HY131" s="17"/>
      <c r="HZ131" s="17"/>
      <c r="IA131" s="17"/>
      <c r="IB131" s="17"/>
      <c r="IC131" s="17"/>
      <c r="ID131" s="17"/>
      <c r="IE131" s="17"/>
      <c r="IF131" s="17"/>
      <c r="IG131" s="17"/>
      <c r="IH131" s="17"/>
      <c r="II131" s="17"/>
      <c r="IJ131" s="17"/>
      <c r="IK131" s="17"/>
      <c r="IL131" s="17"/>
      <c r="IM131" s="17"/>
      <c r="IN131" s="17"/>
      <c r="IO131" s="17"/>
      <c r="IP131" s="17"/>
      <c r="IQ131" s="17"/>
      <c r="IR131" s="17"/>
      <c r="IS131" s="17"/>
      <c r="IT131" s="17"/>
      <c r="IU131" s="17"/>
      <c r="IV131" s="17"/>
      <c r="IW131" s="17"/>
      <c r="IX131" s="17"/>
      <c r="IY131" s="17"/>
      <c r="IZ131" s="17"/>
      <c r="JA131" s="17"/>
      <c r="JB131" s="17"/>
      <c r="JC131" s="17"/>
      <c r="JD131" s="17"/>
      <c r="JE131" s="17"/>
      <c r="JF131" s="17"/>
      <c r="JG131" s="17"/>
      <c r="JH131" s="17"/>
      <c r="JI131" s="17"/>
      <c r="JJ131" s="17"/>
      <c r="JK131" s="17"/>
      <c r="JL131" s="17"/>
      <c r="JM131" s="17"/>
      <c r="JN131" s="17"/>
      <c r="JO131" s="17"/>
      <c r="JP131" s="17"/>
      <c r="JQ131" s="17"/>
      <c r="JR131" s="17"/>
      <c r="JS131" s="17"/>
      <c r="JT131" s="17"/>
      <c r="JU131" s="17"/>
      <c r="JV131" s="17"/>
      <c r="JW131" s="17"/>
      <c r="JX131" s="17"/>
      <c r="JY131" s="17"/>
      <c r="JZ131" s="17"/>
      <c r="KA131" s="17"/>
      <c r="KB131" s="17"/>
      <c r="KC131" s="17"/>
      <c r="KD131" s="17"/>
      <c r="KE131" s="17"/>
      <c r="KF131" s="17"/>
      <c r="KG131" s="17"/>
      <c r="KH131" s="17"/>
      <c r="KI131" s="17"/>
      <c r="KJ131" s="17"/>
      <c r="KK131" s="17"/>
      <c r="KL131" s="17"/>
      <c r="KM131" s="17"/>
      <c r="KN131" s="17"/>
      <c r="KO131" s="17"/>
      <c r="KP131" s="17"/>
      <c r="KQ131" s="17"/>
      <c r="KR131" s="17"/>
      <c r="KS131" s="17"/>
      <c r="KT131" s="17"/>
      <c r="KU131" s="17"/>
      <c r="KV131" s="17"/>
      <c r="KW131" s="17"/>
      <c r="KX131" s="17"/>
      <c r="KY131" s="17"/>
    </row>
    <row r="132" spans="1:311" x14ac:dyDescent="0.25">
      <c r="A132" s="17"/>
      <c r="B132" s="17"/>
      <c r="C132" s="17"/>
      <c r="D132" s="17"/>
      <c r="E132" s="17"/>
      <c r="F132" s="17"/>
      <c r="G132" s="17"/>
      <c r="H132" s="17"/>
      <c r="I132" s="17"/>
      <c r="J132" s="17"/>
      <c r="K132" s="17"/>
      <c r="L132" s="17"/>
      <c r="M132" s="17"/>
      <c r="N132" s="17"/>
      <c r="O132" s="17"/>
      <c r="P132" s="17"/>
      <c r="Q132" s="17"/>
      <c r="R132" s="17"/>
      <c r="S132" s="17"/>
      <c r="T132" s="17"/>
      <c r="U132" s="17"/>
      <c r="V132" s="17"/>
      <c r="W132" s="17"/>
      <c r="X132" s="17"/>
      <c r="Y132" s="17"/>
      <c r="Z132" s="17"/>
      <c r="AA132" s="17"/>
      <c r="AB132" s="17"/>
      <c r="AC132" s="17"/>
      <c r="AD132" s="17"/>
      <c r="AE132" s="17"/>
      <c r="AF132" s="17"/>
      <c r="AG132" s="17"/>
      <c r="AH132" s="17"/>
      <c r="AI132" s="17"/>
      <c r="AJ132" s="17"/>
      <c r="AK132" s="17"/>
      <c r="AL132" s="17"/>
      <c r="AM132" s="17"/>
      <c r="AN132" s="17"/>
      <c r="AO132" s="17"/>
      <c r="AP132" s="17"/>
      <c r="AQ132" s="17"/>
      <c r="AR132" s="17"/>
      <c r="AS132" s="17"/>
      <c r="AT132" s="17"/>
      <c r="AU132" s="17"/>
      <c r="AV132" s="17"/>
      <c r="AW132" s="17"/>
      <c r="AX132" s="17"/>
      <c r="AY132" s="17"/>
      <c r="AZ132" s="17"/>
      <c r="BA132" s="17"/>
      <c r="BB132" s="17"/>
      <c r="BC132" s="17"/>
      <c r="BD132" s="17"/>
      <c r="BE132" s="17"/>
      <c r="BF132" s="17"/>
      <c r="BG132" s="17"/>
      <c r="BH132" s="17"/>
      <c r="BI132" s="17"/>
      <c r="BJ132" s="17"/>
      <c r="BK132" s="17"/>
      <c r="BL132" s="17"/>
      <c r="BM132" s="17"/>
      <c r="BN132" s="17"/>
      <c r="BO132" s="17"/>
      <c r="BP132" s="17"/>
      <c r="BQ132" s="17"/>
      <c r="BR132" s="17"/>
      <c r="BS132" s="17"/>
      <c r="BT132" s="17"/>
      <c r="BU132" s="17"/>
      <c r="BV132" s="17"/>
      <c r="BW132" s="17"/>
      <c r="BX132" s="17"/>
      <c r="BY132" s="17"/>
      <c r="BZ132" s="17"/>
      <c r="CA132" s="17"/>
      <c r="CB132" s="17"/>
      <c r="CC132" s="17"/>
      <c r="CD132" s="17"/>
      <c r="CE132" s="17"/>
      <c r="CF132" s="17"/>
      <c r="CG132" s="17"/>
      <c r="CH132" s="17"/>
      <c r="CI132" s="17"/>
      <c r="CJ132" s="17"/>
      <c r="CK132" s="17"/>
      <c r="CL132" s="17"/>
      <c r="CM132" s="17"/>
      <c r="CN132" s="17"/>
      <c r="CO132" s="17"/>
      <c r="CP132" s="17"/>
      <c r="CQ132" s="17"/>
      <c r="CR132" s="17"/>
      <c r="CS132" s="17"/>
      <c r="CT132" s="17"/>
      <c r="CU132" s="17"/>
      <c r="CV132" s="17"/>
      <c r="CW132" s="17"/>
      <c r="CX132" s="17"/>
      <c r="CY132" s="17"/>
      <c r="CZ132" s="17"/>
      <c r="DA132" s="17"/>
      <c r="DB132" s="17"/>
      <c r="DC132" s="17"/>
      <c r="DD132" s="17"/>
      <c r="DE132" s="17"/>
      <c r="DF132" s="17"/>
      <c r="DG132" s="17"/>
      <c r="DH132" s="17"/>
      <c r="DI132" s="17"/>
      <c r="DJ132" s="17"/>
      <c r="DK132" s="17"/>
      <c r="DL132" s="17"/>
      <c r="DM132" s="17"/>
      <c r="DN132" s="17"/>
      <c r="DO132" s="17"/>
      <c r="DP132" s="17"/>
      <c r="DQ132" s="17"/>
      <c r="DR132" s="17"/>
      <c r="DS132" s="17"/>
      <c r="DT132" s="17"/>
      <c r="DU132" s="17"/>
      <c r="DV132" s="17"/>
      <c r="DW132" s="17"/>
      <c r="DX132" s="17"/>
      <c r="DY132" s="17"/>
      <c r="DZ132" s="17"/>
      <c r="EA132" s="17"/>
      <c r="EB132" s="17"/>
      <c r="EC132" s="17"/>
      <c r="ED132" s="17"/>
      <c r="EE132" s="17"/>
      <c r="EF132" s="17"/>
      <c r="EG132" s="17"/>
      <c r="EH132" s="17"/>
      <c r="EI132" s="17"/>
      <c r="EJ132" s="17"/>
      <c r="EK132" s="17"/>
      <c r="EL132" s="17"/>
      <c r="EM132" s="17"/>
      <c r="EN132" s="17"/>
      <c r="EO132" s="17"/>
      <c r="EP132" s="17"/>
      <c r="EQ132" s="17"/>
      <c r="ER132" s="17"/>
      <c r="ES132" s="17"/>
      <c r="ET132" s="17"/>
      <c r="EU132" s="17"/>
      <c r="EV132" s="17"/>
      <c r="EW132" s="17"/>
      <c r="EX132" s="17"/>
      <c r="EY132" s="17"/>
      <c r="EZ132" s="17"/>
      <c r="FA132" s="17"/>
      <c r="FB132" s="17"/>
      <c r="FC132" s="17"/>
      <c r="FD132" s="17"/>
      <c r="FE132" s="17"/>
      <c r="FF132" s="17"/>
      <c r="FG132" s="17"/>
      <c r="FH132" s="17"/>
      <c r="FI132" s="17"/>
      <c r="FJ132" s="17"/>
      <c r="FK132" s="17"/>
      <c r="FL132" s="17"/>
      <c r="FM132" s="17"/>
      <c r="FN132" s="17"/>
      <c r="FO132" s="17"/>
      <c r="FP132" s="17"/>
      <c r="FQ132" s="17"/>
      <c r="FR132" s="17"/>
      <c r="FS132" s="17"/>
      <c r="FT132" s="17"/>
      <c r="FU132" s="17"/>
      <c r="FV132" s="17"/>
      <c r="FW132" s="17"/>
      <c r="FX132" s="17"/>
      <c r="FY132" s="17"/>
      <c r="FZ132" s="17"/>
      <c r="GA132" s="17"/>
      <c r="GB132" s="17"/>
      <c r="GC132" s="17"/>
      <c r="GD132" s="17"/>
      <c r="GE132" s="17"/>
      <c r="GF132" s="17"/>
      <c r="GG132" s="17"/>
      <c r="GH132" s="17"/>
      <c r="GI132" s="17"/>
      <c r="GJ132" s="17"/>
      <c r="GK132" s="17"/>
      <c r="GL132" s="17"/>
      <c r="GM132" s="17"/>
      <c r="GN132" s="17"/>
      <c r="GO132" s="17"/>
      <c r="GP132" s="17"/>
      <c r="GQ132" s="17"/>
      <c r="GR132" s="17"/>
      <c r="GS132" s="17"/>
      <c r="GT132" s="17"/>
      <c r="GU132" s="17"/>
      <c r="GV132" s="17"/>
      <c r="GW132" s="17"/>
      <c r="GX132" s="17"/>
      <c r="GY132" s="17"/>
      <c r="GZ132" s="17"/>
      <c r="HA132" s="17"/>
      <c r="HB132" s="17"/>
      <c r="HC132" s="17"/>
      <c r="HD132" s="17"/>
      <c r="HE132" s="17"/>
      <c r="HF132" s="17"/>
      <c r="HG132" s="17"/>
      <c r="HH132" s="17"/>
      <c r="HI132" s="17"/>
      <c r="HJ132" s="17"/>
      <c r="HK132" s="17"/>
      <c r="HL132" s="17"/>
      <c r="HM132" s="17"/>
      <c r="HN132" s="17"/>
      <c r="HO132" s="17"/>
      <c r="HP132" s="17"/>
      <c r="HQ132" s="17"/>
      <c r="HR132" s="17"/>
      <c r="HS132" s="17"/>
      <c r="HT132" s="17"/>
      <c r="HU132" s="17"/>
      <c r="HV132" s="17"/>
      <c r="HW132" s="17"/>
      <c r="HX132" s="17"/>
      <c r="HY132" s="17"/>
      <c r="HZ132" s="17"/>
      <c r="IA132" s="17"/>
      <c r="IB132" s="17"/>
      <c r="IC132" s="17"/>
      <c r="ID132" s="17"/>
      <c r="IE132" s="17"/>
      <c r="IF132" s="17"/>
      <c r="IG132" s="17"/>
      <c r="IH132" s="17"/>
      <c r="II132" s="17"/>
      <c r="IJ132" s="17"/>
      <c r="IK132" s="17"/>
      <c r="IL132" s="17"/>
      <c r="IM132" s="17"/>
      <c r="IN132" s="17"/>
      <c r="IO132" s="17"/>
      <c r="IP132" s="17"/>
      <c r="IQ132" s="17"/>
      <c r="IR132" s="17"/>
      <c r="IS132" s="17"/>
      <c r="IT132" s="17"/>
      <c r="IU132" s="17"/>
      <c r="IV132" s="17"/>
      <c r="IW132" s="17"/>
      <c r="IX132" s="17"/>
      <c r="IY132" s="17"/>
      <c r="IZ132" s="17"/>
      <c r="JA132" s="17"/>
      <c r="JB132" s="17"/>
      <c r="JC132" s="17"/>
      <c r="JD132" s="17"/>
      <c r="JE132" s="17"/>
      <c r="JF132" s="17"/>
      <c r="JG132" s="17"/>
      <c r="JH132" s="17"/>
      <c r="JI132" s="17"/>
      <c r="JJ132" s="17"/>
      <c r="JK132" s="17"/>
      <c r="JL132" s="17"/>
      <c r="JM132" s="17"/>
      <c r="JN132" s="17"/>
      <c r="JO132" s="17"/>
      <c r="JP132" s="17"/>
      <c r="JQ132" s="17"/>
      <c r="JR132" s="17"/>
      <c r="JS132" s="17"/>
      <c r="JT132" s="17"/>
      <c r="JU132" s="17"/>
      <c r="JV132" s="17"/>
      <c r="JW132" s="17"/>
      <c r="JX132" s="17"/>
      <c r="JY132" s="17"/>
      <c r="JZ132" s="17"/>
      <c r="KA132" s="17"/>
      <c r="KB132" s="17"/>
      <c r="KC132" s="17"/>
      <c r="KD132" s="17"/>
      <c r="KE132" s="17"/>
      <c r="KF132" s="17"/>
      <c r="KG132" s="17"/>
      <c r="KH132" s="17"/>
      <c r="KI132" s="17"/>
      <c r="KJ132" s="17"/>
      <c r="KK132" s="17"/>
      <c r="KL132" s="17"/>
      <c r="KM132" s="17"/>
      <c r="KN132" s="17"/>
      <c r="KO132" s="17"/>
      <c r="KP132" s="17"/>
      <c r="KQ132" s="17"/>
      <c r="KR132" s="17"/>
      <c r="KS132" s="17"/>
      <c r="KT132" s="17"/>
      <c r="KU132" s="17"/>
      <c r="KV132" s="17"/>
      <c r="KW132" s="17"/>
      <c r="KX132" s="17"/>
      <c r="KY132" s="17"/>
    </row>
    <row r="133" spans="1:311" x14ac:dyDescent="0.25">
      <c r="A133" s="17"/>
      <c r="B133" s="17"/>
      <c r="C133" s="17"/>
      <c r="D133" s="17"/>
      <c r="E133" s="17"/>
      <c r="F133" s="17"/>
      <c r="G133" s="17"/>
      <c r="H133" s="17"/>
      <c r="I133" s="17"/>
      <c r="J133" s="17"/>
      <c r="K133" s="17"/>
      <c r="L133" s="17"/>
      <c r="M133" s="17"/>
      <c r="N133" s="17"/>
      <c r="O133" s="17"/>
      <c r="P133" s="17"/>
      <c r="Q133" s="17"/>
      <c r="R133" s="17"/>
      <c r="S133" s="17"/>
      <c r="T133" s="17"/>
      <c r="U133" s="17"/>
      <c r="V133" s="17"/>
      <c r="W133" s="17"/>
      <c r="X133" s="17"/>
      <c r="Y133" s="17"/>
      <c r="Z133" s="17"/>
      <c r="AA133" s="17"/>
      <c r="AB133" s="17"/>
      <c r="AC133" s="17"/>
      <c r="AD133" s="17"/>
      <c r="AE133" s="17"/>
      <c r="AF133" s="17"/>
      <c r="AG133" s="17"/>
      <c r="AH133" s="17"/>
      <c r="AI133" s="17"/>
      <c r="AJ133" s="17"/>
      <c r="AK133" s="17"/>
      <c r="AL133" s="17"/>
      <c r="AM133" s="17"/>
      <c r="AN133" s="17"/>
      <c r="AO133" s="17"/>
      <c r="AP133" s="17"/>
      <c r="AQ133" s="17"/>
      <c r="AR133" s="17"/>
      <c r="AS133" s="17"/>
      <c r="AT133" s="17"/>
      <c r="AU133" s="17"/>
      <c r="AV133" s="17"/>
      <c r="AW133" s="17"/>
      <c r="AX133" s="17"/>
      <c r="AY133" s="17"/>
      <c r="AZ133" s="17"/>
      <c r="BA133" s="17"/>
      <c r="BB133" s="17"/>
      <c r="BC133" s="17"/>
      <c r="BD133" s="17"/>
      <c r="BE133" s="17"/>
      <c r="BF133" s="17"/>
      <c r="BG133" s="17"/>
      <c r="BH133" s="17"/>
      <c r="BI133" s="17"/>
      <c r="BJ133" s="17"/>
      <c r="BK133" s="17"/>
      <c r="BL133" s="17"/>
      <c r="BM133" s="17"/>
      <c r="BN133" s="17"/>
      <c r="BO133" s="17"/>
      <c r="BP133" s="17"/>
      <c r="BQ133" s="17"/>
      <c r="BR133" s="17"/>
      <c r="BS133" s="17"/>
      <c r="BT133" s="17"/>
      <c r="BU133" s="17"/>
      <c r="BV133" s="17"/>
      <c r="BW133" s="17"/>
      <c r="BX133" s="17"/>
      <c r="BY133" s="17"/>
      <c r="BZ133" s="17"/>
      <c r="CA133" s="17"/>
      <c r="CB133" s="17"/>
      <c r="CC133" s="17"/>
      <c r="CD133" s="17"/>
      <c r="CE133" s="17"/>
      <c r="CF133" s="17"/>
      <c r="CG133" s="17"/>
      <c r="CH133" s="17"/>
      <c r="CI133" s="17"/>
      <c r="CJ133" s="17"/>
      <c r="CK133" s="17"/>
      <c r="CL133" s="17"/>
      <c r="CM133" s="17"/>
      <c r="CN133" s="17"/>
      <c r="CO133" s="17"/>
      <c r="CP133" s="17"/>
      <c r="CQ133" s="17"/>
      <c r="CR133" s="17"/>
      <c r="CS133" s="17"/>
      <c r="CT133" s="17"/>
      <c r="CU133" s="17"/>
      <c r="CV133" s="17"/>
      <c r="CW133" s="17"/>
      <c r="CX133" s="17"/>
      <c r="CY133" s="17"/>
      <c r="CZ133" s="17"/>
      <c r="DA133" s="17"/>
      <c r="DB133" s="17"/>
      <c r="DC133" s="17"/>
      <c r="DD133" s="17"/>
      <c r="DE133" s="17"/>
      <c r="DF133" s="17"/>
      <c r="DG133" s="17"/>
      <c r="DH133" s="17"/>
      <c r="DI133" s="17"/>
      <c r="DJ133" s="17"/>
      <c r="DK133" s="17"/>
      <c r="DL133" s="17"/>
      <c r="DM133" s="17"/>
      <c r="DN133" s="17"/>
      <c r="DO133" s="17"/>
      <c r="DP133" s="17"/>
      <c r="DQ133" s="17"/>
      <c r="DR133" s="17"/>
      <c r="DS133" s="17"/>
      <c r="DT133" s="17"/>
      <c r="DU133" s="17"/>
      <c r="DV133" s="17"/>
      <c r="DW133" s="17"/>
      <c r="DX133" s="17"/>
      <c r="DY133" s="17"/>
      <c r="DZ133" s="17"/>
      <c r="EA133" s="17"/>
      <c r="EB133" s="17"/>
      <c r="EC133" s="17"/>
      <c r="ED133" s="17"/>
      <c r="EE133" s="17"/>
      <c r="EF133" s="17"/>
      <c r="EG133" s="17"/>
      <c r="EH133" s="17"/>
      <c r="EI133" s="17"/>
      <c r="EJ133" s="17"/>
      <c r="EK133" s="17"/>
      <c r="EL133" s="17"/>
      <c r="EM133" s="17"/>
      <c r="EN133" s="17"/>
      <c r="EO133" s="17"/>
      <c r="EP133" s="17"/>
      <c r="EQ133" s="17"/>
      <c r="ER133" s="17"/>
      <c r="ES133" s="17"/>
      <c r="ET133" s="17"/>
      <c r="EU133" s="17"/>
      <c r="EV133" s="17"/>
      <c r="EW133" s="17"/>
      <c r="EX133" s="17"/>
      <c r="EY133" s="17"/>
      <c r="EZ133" s="17"/>
      <c r="FA133" s="17"/>
      <c r="FB133" s="17"/>
      <c r="FC133" s="17"/>
      <c r="FD133" s="17"/>
      <c r="FE133" s="17"/>
      <c r="FF133" s="17"/>
      <c r="FG133" s="17"/>
      <c r="FH133" s="17"/>
      <c r="FI133" s="17"/>
      <c r="FJ133" s="17"/>
      <c r="FK133" s="17"/>
      <c r="FL133" s="17"/>
      <c r="FM133" s="17"/>
      <c r="FN133" s="17"/>
      <c r="FO133" s="17"/>
      <c r="FP133" s="17"/>
      <c r="FQ133" s="17"/>
      <c r="FR133" s="17"/>
      <c r="FS133" s="17"/>
      <c r="FT133" s="17"/>
      <c r="FU133" s="17"/>
      <c r="FV133" s="17"/>
      <c r="FW133" s="17"/>
      <c r="FX133" s="17"/>
      <c r="FY133" s="17"/>
      <c r="FZ133" s="17"/>
      <c r="GA133" s="17"/>
      <c r="GB133" s="17"/>
      <c r="GC133" s="17"/>
      <c r="GD133" s="17"/>
      <c r="GE133" s="17"/>
      <c r="GF133" s="17"/>
      <c r="GG133" s="17"/>
      <c r="GH133" s="17"/>
      <c r="GI133" s="17"/>
      <c r="GJ133" s="17"/>
      <c r="GK133" s="17"/>
      <c r="GL133" s="17"/>
      <c r="GM133" s="17"/>
      <c r="GN133" s="17"/>
      <c r="GO133" s="17"/>
      <c r="GP133" s="17"/>
      <c r="GQ133" s="17"/>
      <c r="GR133" s="17"/>
      <c r="GS133" s="17"/>
      <c r="GT133" s="17"/>
      <c r="GU133" s="17"/>
      <c r="GV133" s="17"/>
      <c r="GW133" s="17"/>
      <c r="GX133" s="17"/>
      <c r="GY133" s="17"/>
      <c r="GZ133" s="17"/>
      <c r="HA133" s="17"/>
      <c r="HB133" s="17"/>
      <c r="HC133" s="17"/>
      <c r="HD133" s="17"/>
      <c r="HE133" s="17"/>
      <c r="HF133" s="17"/>
      <c r="HG133" s="17"/>
      <c r="HH133" s="17"/>
      <c r="HI133" s="17"/>
      <c r="HJ133" s="17"/>
      <c r="HK133" s="17"/>
      <c r="HL133" s="17"/>
      <c r="HM133" s="17"/>
      <c r="HN133" s="17"/>
      <c r="HO133" s="17"/>
      <c r="HP133" s="17"/>
      <c r="HQ133" s="17"/>
      <c r="HR133" s="17"/>
      <c r="HS133" s="17"/>
      <c r="HT133" s="17"/>
      <c r="HU133" s="17"/>
      <c r="HV133" s="17"/>
      <c r="HW133" s="17"/>
      <c r="HX133" s="17"/>
      <c r="HY133" s="17"/>
      <c r="HZ133" s="17"/>
      <c r="IA133" s="17"/>
      <c r="IB133" s="17"/>
      <c r="IC133" s="17"/>
      <c r="ID133" s="17"/>
      <c r="IE133" s="17"/>
      <c r="IF133" s="17"/>
      <c r="IG133" s="17"/>
      <c r="IH133" s="17"/>
      <c r="II133" s="17"/>
      <c r="IJ133" s="17"/>
      <c r="IK133" s="17"/>
      <c r="IL133" s="17"/>
      <c r="IM133" s="17"/>
      <c r="IN133" s="17"/>
      <c r="IO133" s="17"/>
      <c r="IP133" s="17"/>
      <c r="IQ133" s="17"/>
      <c r="IR133" s="17"/>
      <c r="IS133" s="17"/>
      <c r="IT133" s="17"/>
      <c r="IU133" s="17"/>
      <c r="IV133" s="17"/>
      <c r="IW133" s="17"/>
      <c r="IX133" s="17"/>
      <c r="IY133" s="17"/>
      <c r="IZ133" s="17"/>
      <c r="JA133" s="17"/>
      <c r="JB133" s="17"/>
      <c r="JC133" s="17"/>
      <c r="JD133" s="17"/>
      <c r="JE133" s="17"/>
      <c r="JF133" s="17"/>
      <c r="JG133" s="17"/>
      <c r="JH133" s="17"/>
      <c r="JI133" s="17"/>
      <c r="JJ133" s="17"/>
      <c r="JK133" s="17"/>
      <c r="JL133" s="17"/>
      <c r="JM133" s="17"/>
      <c r="JN133" s="17"/>
      <c r="JO133" s="17"/>
      <c r="JP133" s="17"/>
      <c r="JQ133" s="17"/>
      <c r="JR133" s="17"/>
      <c r="JS133" s="17"/>
      <c r="JT133" s="17"/>
      <c r="JU133" s="17"/>
      <c r="JV133" s="17"/>
      <c r="JW133" s="17"/>
      <c r="JX133" s="17"/>
      <c r="JY133" s="17"/>
      <c r="JZ133" s="17"/>
      <c r="KA133" s="17"/>
      <c r="KB133" s="17"/>
      <c r="KC133" s="17"/>
      <c r="KD133" s="17"/>
      <c r="KE133" s="17"/>
      <c r="KF133" s="17"/>
      <c r="KG133" s="17"/>
      <c r="KH133" s="17"/>
      <c r="KI133" s="17"/>
      <c r="KJ133" s="17"/>
      <c r="KK133" s="17"/>
      <c r="KL133" s="17"/>
      <c r="KM133" s="17"/>
      <c r="KN133" s="17"/>
      <c r="KO133" s="17"/>
      <c r="KP133" s="17"/>
      <c r="KQ133" s="17"/>
      <c r="KR133" s="17"/>
      <c r="KS133" s="17"/>
      <c r="KT133" s="17"/>
      <c r="KU133" s="17"/>
      <c r="KV133" s="17"/>
      <c r="KW133" s="17"/>
      <c r="KX133" s="17"/>
      <c r="KY133" s="17"/>
    </row>
    <row r="134" spans="1:311" x14ac:dyDescent="0.25">
      <c r="A134" s="17"/>
      <c r="B134" s="17"/>
      <c r="C134" s="17"/>
      <c r="D134" s="17"/>
      <c r="E134" s="17"/>
      <c r="F134" s="17"/>
      <c r="G134" s="17"/>
      <c r="H134" s="17"/>
      <c r="I134" s="17"/>
      <c r="J134" s="17"/>
      <c r="K134" s="17"/>
      <c r="L134" s="17"/>
      <c r="M134" s="17"/>
      <c r="N134" s="17"/>
      <c r="O134" s="17"/>
      <c r="P134" s="17"/>
      <c r="Q134" s="17"/>
      <c r="R134" s="17"/>
      <c r="S134" s="17"/>
      <c r="T134" s="17"/>
      <c r="U134" s="17"/>
      <c r="V134" s="17"/>
      <c r="W134" s="17"/>
      <c r="X134" s="17"/>
      <c r="Y134" s="17"/>
      <c r="Z134" s="17"/>
      <c r="AA134" s="17"/>
      <c r="AB134" s="17"/>
      <c r="AC134" s="17"/>
      <c r="AD134" s="17"/>
      <c r="AE134" s="17"/>
      <c r="AF134" s="17"/>
      <c r="AG134" s="17"/>
      <c r="AH134" s="17"/>
      <c r="AI134" s="17"/>
      <c r="AJ134" s="17"/>
      <c r="AK134" s="17"/>
      <c r="AL134" s="17"/>
      <c r="AM134" s="17"/>
      <c r="AN134" s="17"/>
      <c r="AO134" s="17"/>
      <c r="AP134" s="17"/>
      <c r="AQ134" s="17"/>
      <c r="AR134" s="17"/>
      <c r="AS134" s="17"/>
      <c r="AT134" s="17"/>
      <c r="AU134" s="17"/>
      <c r="AV134" s="17"/>
      <c r="AW134" s="17"/>
      <c r="AX134" s="17"/>
      <c r="AY134" s="17"/>
      <c r="AZ134" s="17"/>
      <c r="BA134" s="17"/>
      <c r="BB134" s="17"/>
      <c r="BC134" s="17"/>
      <c r="BD134" s="17"/>
      <c r="BE134" s="17"/>
      <c r="BF134" s="17"/>
      <c r="BG134" s="17"/>
      <c r="BH134" s="17"/>
      <c r="BI134" s="17"/>
      <c r="BJ134" s="17"/>
      <c r="BK134" s="17"/>
      <c r="BL134" s="17"/>
      <c r="BM134" s="17"/>
      <c r="BN134" s="17"/>
      <c r="BO134" s="17"/>
      <c r="BP134" s="17"/>
      <c r="BQ134" s="17"/>
      <c r="BR134" s="17"/>
      <c r="BS134" s="17"/>
      <c r="BT134" s="17"/>
      <c r="BU134" s="17"/>
      <c r="BV134" s="17"/>
      <c r="BW134" s="17"/>
      <c r="BX134" s="17"/>
      <c r="BY134" s="17"/>
      <c r="BZ134" s="17"/>
      <c r="CA134" s="17"/>
      <c r="CB134" s="17"/>
      <c r="CC134" s="17"/>
      <c r="CD134" s="17"/>
      <c r="CE134" s="17"/>
      <c r="CF134" s="17"/>
      <c r="CG134" s="17"/>
      <c r="CH134" s="17"/>
      <c r="CI134" s="17"/>
      <c r="CJ134" s="17"/>
      <c r="CK134" s="17"/>
      <c r="CL134" s="17"/>
      <c r="CM134" s="17"/>
      <c r="CN134" s="17"/>
      <c r="CO134" s="17"/>
      <c r="CP134" s="17"/>
      <c r="CQ134" s="17"/>
      <c r="CR134" s="17"/>
      <c r="CS134" s="17"/>
      <c r="CT134" s="17"/>
      <c r="CU134" s="17"/>
      <c r="CV134" s="17"/>
      <c r="CW134" s="17"/>
      <c r="CX134" s="17"/>
      <c r="CY134" s="17"/>
      <c r="CZ134" s="17"/>
      <c r="DA134" s="17"/>
      <c r="DB134" s="17"/>
      <c r="DC134" s="17"/>
      <c r="DD134" s="17"/>
      <c r="DE134" s="17"/>
      <c r="DF134" s="17"/>
      <c r="DG134" s="17"/>
      <c r="DH134" s="17"/>
      <c r="DI134" s="17"/>
      <c r="DJ134" s="17"/>
      <c r="DK134" s="17"/>
      <c r="DL134" s="17"/>
      <c r="DM134" s="17"/>
      <c r="DN134" s="17"/>
      <c r="DO134" s="17"/>
      <c r="DP134" s="17"/>
      <c r="DQ134" s="17"/>
      <c r="DR134" s="17"/>
      <c r="DS134" s="17"/>
      <c r="DT134" s="17"/>
      <c r="DU134" s="17"/>
      <c r="DV134" s="17"/>
      <c r="DW134" s="17"/>
      <c r="DX134" s="17"/>
      <c r="DY134" s="17"/>
      <c r="DZ134" s="17"/>
      <c r="EA134" s="17"/>
      <c r="EB134" s="17"/>
      <c r="EC134" s="17"/>
      <c r="ED134" s="17"/>
      <c r="EE134" s="17"/>
      <c r="EF134" s="17"/>
      <c r="EG134" s="17"/>
      <c r="EH134" s="17"/>
      <c r="EI134" s="17"/>
      <c r="EJ134" s="17"/>
      <c r="EK134" s="17"/>
      <c r="EL134" s="17"/>
      <c r="EM134" s="17"/>
      <c r="EN134" s="17"/>
      <c r="EO134" s="17"/>
      <c r="EP134" s="17"/>
      <c r="EQ134" s="17"/>
      <c r="ER134" s="17"/>
      <c r="ES134" s="17"/>
      <c r="ET134" s="17"/>
      <c r="EU134" s="17"/>
      <c r="EV134" s="17"/>
      <c r="EW134" s="17"/>
      <c r="EX134" s="17"/>
      <c r="EY134" s="17"/>
      <c r="EZ134" s="17"/>
      <c r="FA134" s="17"/>
      <c r="FB134" s="17"/>
      <c r="FC134" s="17"/>
      <c r="FD134" s="17"/>
      <c r="FE134" s="17"/>
      <c r="FF134" s="17"/>
      <c r="FG134" s="17"/>
      <c r="FH134" s="17"/>
      <c r="FI134" s="17"/>
      <c r="FJ134" s="17"/>
      <c r="FK134" s="17"/>
      <c r="FL134" s="17"/>
      <c r="FM134" s="17"/>
      <c r="FN134" s="17"/>
      <c r="FO134" s="17"/>
      <c r="FP134" s="17"/>
      <c r="FQ134" s="17"/>
      <c r="FR134" s="17"/>
      <c r="FS134" s="17"/>
      <c r="FT134" s="17"/>
      <c r="FU134" s="17"/>
      <c r="FV134" s="17"/>
      <c r="FW134" s="17"/>
      <c r="FX134" s="17"/>
      <c r="FY134" s="17"/>
      <c r="FZ134" s="17"/>
      <c r="GA134" s="17"/>
      <c r="GB134" s="17"/>
      <c r="GC134" s="17"/>
      <c r="GD134" s="17"/>
      <c r="GE134" s="17"/>
      <c r="GF134" s="17"/>
      <c r="GG134" s="17"/>
      <c r="GH134" s="17"/>
      <c r="GI134" s="17"/>
      <c r="GJ134" s="17"/>
      <c r="GK134" s="17"/>
      <c r="GL134" s="17"/>
      <c r="GM134" s="17"/>
      <c r="GN134" s="17"/>
      <c r="GO134" s="17"/>
      <c r="GP134" s="17"/>
      <c r="GQ134" s="17"/>
      <c r="GR134" s="17"/>
      <c r="GS134" s="17"/>
      <c r="GT134" s="17"/>
      <c r="GU134" s="17"/>
      <c r="GV134" s="17"/>
      <c r="GW134" s="17"/>
      <c r="GX134" s="17"/>
      <c r="GY134" s="17"/>
      <c r="GZ134" s="17"/>
      <c r="HA134" s="17"/>
      <c r="HB134" s="17"/>
      <c r="HC134" s="17"/>
      <c r="HD134" s="17"/>
      <c r="HE134" s="17"/>
      <c r="HF134" s="17"/>
      <c r="HG134" s="17"/>
      <c r="HH134" s="17"/>
      <c r="HI134" s="17"/>
      <c r="HJ134" s="17"/>
      <c r="HK134" s="17"/>
      <c r="HL134" s="17"/>
      <c r="HM134" s="17"/>
      <c r="HN134" s="17"/>
      <c r="HO134" s="17"/>
      <c r="HP134" s="17"/>
      <c r="HQ134" s="17"/>
      <c r="HR134" s="17"/>
      <c r="HS134" s="17"/>
      <c r="HT134" s="17"/>
      <c r="HU134" s="17"/>
      <c r="HV134" s="17"/>
      <c r="HW134" s="17"/>
      <c r="HX134" s="17"/>
      <c r="HY134" s="17"/>
      <c r="HZ134" s="17"/>
      <c r="IA134" s="17"/>
      <c r="IB134" s="17"/>
      <c r="IC134" s="17"/>
      <c r="ID134" s="17"/>
      <c r="IE134" s="17"/>
      <c r="IF134" s="17"/>
      <c r="IG134" s="17"/>
      <c r="IH134" s="17"/>
      <c r="II134" s="17"/>
      <c r="IJ134" s="17"/>
      <c r="IK134" s="17"/>
      <c r="IL134" s="17"/>
      <c r="IM134" s="17"/>
      <c r="IN134" s="17"/>
      <c r="IO134" s="17"/>
      <c r="IP134" s="17"/>
      <c r="IQ134" s="17"/>
      <c r="IR134" s="17"/>
      <c r="IS134" s="17"/>
      <c r="IT134" s="17"/>
      <c r="IU134" s="17"/>
      <c r="IV134" s="17"/>
      <c r="IW134" s="17"/>
      <c r="IX134" s="17"/>
      <c r="IY134" s="17"/>
      <c r="IZ134" s="17"/>
      <c r="JA134" s="17"/>
      <c r="JB134" s="17"/>
      <c r="JC134" s="17"/>
      <c r="JD134" s="17"/>
      <c r="JE134" s="17"/>
      <c r="JF134" s="17"/>
      <c r="JG134" s="17"/>
      <c r="JH134" s="17"/>
      <c r="JI134" s="17"/>
      <c r="JJ134" s="17"/>
      <c r="JK134" s="17"/>
      <c r="JL134" s="17"/>
      <c r="JM134" s="17"/>
      <c r="JN134" s="17"/>
      <c r="JO134" s="17"/>
      <c r="JP134" s="17"/>
      <c r="JQ134" s="17"/>
      <c r="JR134" s="17"/>
      <c r="JS134" s="17"/>
      <c r="JT134" s="17"/>
      <c r="JU134" s="17"/>
      <c r="JV134" s="17"/>
      <c r="JW134" s="17"/>
      <c r="JX134" s="17"/>
      <c r="JY134" s="17"/>
      <c r="JZ134" s="17"/>
      <c r="KA134" s="17"/>
      <c r="KB134" s="17"/>
      <c r="KC134" s="17"/>
      <c r="KD134" s="17"/>
      <c r="KE134" s="17"/>
      <c r="KF134" s="17"/>
      <c r="KG134" s="17"/>
      <c r="KH134" s="17"/>
      <c r="KI134" s="17"/>
      <c r="KJ134" s="17"/>
      <c r="KK134" s="17"/>
      <c r="KL134" s="17"/>
      <c r="KM134" s="17"/>
      <c r="KN134" s="17"/>
      <c r="KO134" s="17"/>
      <c r="KP134" s="17"/>
      <c r="KQ134" s="17"/>
      <c r="KR134" s="17"/>
      <c r="KS134" s="17"/>
      <c r="KT134" s="17"/>
      <c r="KU134" s="17"/>
      <c r="KV134" s="17"/>
      <c r="KW134" s="17"/>
      <c r="KX134" s="17"/>
      <c r="KY134" s="17"/>
    </row>
    <row r="135" spans="1:311" x14ac:dyDescent="0.25">
      <c r="A135" s="17"/>
      <c r="B135" s="17"/>
      <c r="C135" s="17"/>
      <c r="D135" s="17"/>
      <c r="E135" s="17"/>
      <c r="F135" s="17"/>
      <c r="G135" s="17"/>
      <c r="H135" s="17"/>
      <c r="I135" s="17"/>
      <c r="J135" s="17"/>
      <c r="K135" s="17"/>
      <c r="L135" s="17"/>
      <c r="M135" s="17"/>
      <c r="N135" s="17"/>
      <c r="O135" s="17"/>
      <c r="P135" s="17"/>
      <c r="Q135" s="17"/>
      <c r="R135" s="17"/>
      <c r="S135" s="17"/>
      <c r="T135" s="17"/>
      <c r="U135" s="17"/>
      <c r="V135" s="17"/>
      <c r="W135" s="17"/>
      <c r="X135" s="17"/>
      <c r="Y135" s="17"/>
      <c r="Z135" s="17"/>
      <c r="AA135" s="17"/>
      <c r="AB135" s="17"/>
      <c r="AC135" s="17"/>
      <c r="AD135" s="17"/>
      <c r="AE135" s="17"/>
      <c r="AF135" s="17"/>
      <c r="AG135" s="17"/>
      <c r="AH135" s="17"/>
      <c r="AI135" s="17"/>
      <c r="AJ135" s="17"/>
      <c r="AK135" s="17"/>
      <c r="AL135" s="17"/>
      <c r="AM135" s="17"/>
      <c r="AN135" s="17"/>
      <c r="AO135" s="17"/>
      <c r="AP135" s="17"/>
      <c r="AQ135" s="17"/>
      <c r="AR135" s="17"/>
      <c r="AS135" s="17"/>
      <c r="AT135" s="17"/>
      <c r="AU135" s="17"/>
      <c r="AV135" s="17"/>
      <c r="AW135" s="17"/>
      <c r="AX135" s="17"/>
      <c r="AY135" s="17"/>
      <c r="AZ135" s="17"/>
      <c r="BA135" s="17"/>
      <c r="BB135" s="17"/>
      <c r="BC135" s="17"/>
      <c r="BD135" s="17"/>
      <c r="BE135" s="17"/>
      <c r="BF135" s="17"/>
      <c r="BG135" s="17"/>
      <c r="BH135" s="17"/>
      <c r="BI135" s="17"/>
      <c r="BJ135" s="17"/>
      <c r="BK135" s="17"/>
      <c r="BL135" s="17"/>
      <c r="BM135" s="17"/>
      <c r="BN135" s="17"/>
      <c r="BO135" s="17"/>
      <c r="BP135" s="17"/>
      <c r="BQ135" s="17"/>
      <c r="BR135" s="17"/>
      <c r="BS135" s="17"/>
      <c r="BT135" s="17"/>
      <c r="BU135" s="17"/>
      <c r="BV135" s="17"/>
      <c r="BW135" s="17"/>
      <c r="BX135" s="17"/>
      <c r="BY135" s="17"/>
      <c r="BZ135" s="17"/>
      <c r="CA135" s="17"/>
      <c r="CB135" s="17"/>
      <c r="CC135" s="17"/>
      <c r="CD135" s="17"/>
      <c r="CE135" s="17"/>
      <c r="CF135" s="17"/>
      <c r="CG135" s="17"/>
      <c r="CH135" s="17"/>
      <c r="CI135" s="17"/>
      <c r="CJ135" s="17"/>
      <c r="CK135" s="17"/>
      <c r="CL135" s="17"/>
      <c r="CM135" s="17"/>
      <c r="CN135" s="17"/>
      <c r="CO135" s="17"/>
      <c r="CP135" s="17"/>
      <c r="CQ135" s="17"/>
      <c r="CR135" s="17"/>
      <c r="CS135" s="17"/>
      <c r="CT135" s="17"/>
      <c r="CU135" s="17"/>
      <c r="CV135" s="17"/>
      <c r="CW135" s="17"/>
      <c r="CX135" s="17"/>
      <c r="CY135" s="17"/>
      <c r="CZ135" s="17"/>
      <c r="DA135" s="17"/>
      <c r="DB135" s="17"/>
      <c r="DC135" s="17"/>
      <c r="DD135" s="17"/>
      <c r="DE135" s="17"/>
      <c r="DF135" s="17"/>
      <c r="DG135" s="17"/>
      <c r="DH135" s="17"/>
      <c r="DI135" s="17"/>
      <c r="DJ135" s="17"/>
      <c r="DK135" s="17"/>
      <c r="DL135" s="17"/>
      <c r="DM135" s="17"/>
      <c r="DN135" s="17"/>
      <c r="DO135" s="17"/>
      <c r="DP135" s="17"/>
      <c r="DQ135" s="17"/>
      <c r="DR135" s="17"/>
      <c r="DS135" s="17"/>
      <c r="DT135" s="17"/>
      <c r="DU135" s="17"/>
      <c r="DV135" s="17"/>
      <c r="DW135" s="17"/>
      <c r="DX135" s="17"/>
      <c r="DY135" s="17"/>
      <c r="DZ135" s="17"/>
      <c r="EA135" s="17"/>
      <c r="EB135" s="17"/>
      <c r="EC135" s="17"/>
      <c r="ED135" s="17"/>
      <c r="EE135" s="17"/>
      <c r="EF135" s="17"/>
      <c r="EG135" s="17"/>
      <c r="EH135" s="17"/>
      <c r="EI135" s="17"/>
      <c r="EJ135" s="17"/>
      <c r="EK135" s="17"/>
      <c r="EL135" s="17"/>
      <c r="EM135" s="17"/>
      <c r="EN135" s="17"/>
      <c r="EO135" s="17"/>
      <c r="EP135" s="17"/>
      <c r="EQ135" s="17"/>
      <c r="ER135" s="17"/>
      <c r="ES135" s="17"/>
      <c r="ET135" s="17"/>
      <c r="EU135" s="17"/>
      <c r="EV135" s="17"/>
      <c r="EW135" s="17"/>
      <c r="EX135" s="17"/>
      <c r="EY135" s="17"/>
      <c r="EZ135" s="17"/>
      <c r="FA135" s="17"/>
      <c r="FB135" s="17"/>
      <c r="FC135" s="17"/>
      <c r="FD135" s="17"/>
      <c r="FE135" s="17"/>
      <c r="FF135" s="17"/>
      <c r="FG135" s="17"/>
      <c r="FH135" s="17"/>
      <c r="FI135" s="17"/>
      <c r="FJ135" s="17"/>
      <c r="FK135" s="17"/>
      <c r="FL135" s="17"/>
      <c r="FM135" s="17"/>
      <c r="FN135" s="17"/>
      <c r="FO135" s="17"/>
      <c r="FP135" s="17"/>
      <c r="FQ135" s="17"/>
      <c r="FR135" s="17"/>
      <c r="FS135" s="17"/>
      <c r="FT135" s="17"/>
      <c r="FU135" s="17"/>
      <c r="FV135" s="17"/>
      <c r="FW135" s="17"/>
      <c r="FX135" s="17"/>
      <c r="FY135" s="17"/>
      <c r="FZ135" s="17"/>
      <c r="GA135" s="17"/>
      <c r="GB135" s="17"/>
      <c r="GC135" s="17"/>
      <c r="GD135" s="17"/>
      <c r="GE135" s="17"/>
      <c r="GF135" s="17"/>
      <c r="GG135" s="17"/>
      <c r="GH135" s="17"/>
      <c r="GI135" s="17"/>
      <c r="GJ135" s="17"/>
      <c r="GK135" s="17"/>
      <c r="GL135" s="17"/>
      <c r="GM135" s="17"/>
      <c r="GN135" s="17"/>
      <c r="GO135" s="17"/>
      <c r="GP135" s="17"/>
      <c r="GQ135" s="17"/>
      <c r="GR135" s="17"/>
      <c r="GS135" s="17"/>
      <c r="GT135" s="17"/>
      <c r="GU135" s="17"/>
      <c r="GV135" s="17"/>
      <c r="GW135" s="17"/>
      <c r="GX135" s="17"/>
      <c r="GY135" s="17"/>
      <c r="GZ135" s="17"/>
      <c r="HA135" s="17"/>
      <c r="HB135" s="17"/>
      <c r="HC135" s="17"/>
      <c r="HD135" s="17"/>
      <c r="HE135" s="17"/>
      <c r="HF135" s="17"/>
      <c r="HG135" s="17"/>
      <c r="HH135" s="17"/>
      <c r="HI135" s="17"/>
      <c r="HJ135" s="17"/>
      <c r="HK135" s="17"/>
      <c r="HL135" s="17"/>
      <c r="HM135" s="17"/>
      <c r="HN135" s="17"/>
      <c r="HO135" s="17"/>
      <c r="HP135" s="17"/>
      <c r="HQ135" s="17"/>
      <c r="HR135" s="17"/>
      <c r="HS135" s="17"/>
      <c r="HT135" s="17"/>
      <c r="HU135" s="17"/>
      <c r="HV135" s="17"/>
      <c r="HW135" s="17"/>
      <c r="HX135" s="17"/>
      <c r="HY135" s="17"/>
      <c r="HZ135" s="17"/>
      <c r="IA135" s="17"/>
      <c r="IB135" s="17"/>
      <c r="IC135" s="17"/>
      <c r="ID135" s="17"/>
      <c r="IE135" s="17"/>
      <c r="IF135" s="17"/>
      <c r="IG135" s="17"/>
      <c r="IH135" s="17"/>
      <c r="II135" s="17"/>
      <c r="IJ135" s="17"/>
      <c r="IK135" s="17"/>
      <c r="IL135" s="17"/>
      <c r="IM135" s="17"/>
      <c r="IN135" s="17"/>
      <c r="IO135" s="17"/>
      <c r="IP135" s="17"/>
      <c r="IQ135" s="17"/>
      <c r="IR135" s="17"/>
      <c r="IS135" s="17"/>
      <c r="IT135" s="17"/>
      <c r="IU135" s="17"/>
      <c r="IV135" s="17"/>
      <c r="IW135" s="17"/>
      <c r="IX135" s="17"/>
      <c r="IY135" s="17"/>
      <c r="IZ135" s="17"/>
      <c r="JA135" s="17"/>
      <c r="JB135" s="17"/>
      <c r="JC135" s="17"/>
      <c r="JD135" s="17"/>
      <c r="JE135" s="17"/>
      <c r="JF135" s="17"/>
      <c r="JG135" s="17"/>
      <c r="JH135" s="17"/>
      <c r="JI135" s="17"/>
      <c r="JJ135" s="17"/>
      <c r="JK135" s="17"/>
      <c r="JL135" s="17"/>
      <c r="JM135" s="17"/>
      <c r="JN135" s="17"/>
      <c r="JO135" s="17"/>
      <c r="JP135" s="17"/>
      <c r="JQ135" s="17"/>
      <c r="JR135" s="17"/>
      <c r="JS135" s="17"/>
      <c r="JT135" s="17"/>
      <c r="JU135" s="17"/>
      <c r="JV135" s="17"/>
      <c r="JW135" s="17"/>
      <c r="JX135" s="17"/>
      <c r="JY135" s="17"/>
      <c r="JZ135" s="17"/>
      <c r="KA135" s="17"/>
      <c r="KB135" s="17"/>
      <c r="KC135" s="17"/>
      <c r="KD135" s="17"/>
      <c r="KE135" s="17"/>
      <c r="KF135" s="17"/>
      <c r="KG135" s="17"/>
      <c r="KH135" s="17"/>
      <c r="KI135" s="17"/>
      <c r="KJ135" s="17"/>
      <c r="KK135" s="17"/>
      <c r="KL135" s="17"/>
      <c r="KM135" s="17"/>
      <c r="KN135" s="17"/>
      <c r="KO135" s="17"/>
      <c r="KP135" s="17"/>
      <c r="KQ135" s="17"/>
      <c r="KR135" s="17"/>
      <c r="KS135" s="17"/>
      <c r="KT135" s="17"/>
      <c r="KU135" s="17"/>
      <c r="KV135" s="17"/>
      <c r="KW135" s="17"/>
      <c r="KX135" s="17"/>
      <c r="KY135" s="17"/>
    </row>
    <row r="136" spans="1:311" x14ac:dyDescent="0.25">
      <c r="A136" s="17"/>
      <c r="B136" s="17"/>
      <c r="C136" s="17"/>
      <c r="D136" s="17"/>
      <c r="E136" s="17"/>
      <c r="F136" s="17"/>
      <c r="G136" s="17"/>
      <c r="H136" s="17"/>
      <c r="I136" s="17"/>
      <c r="J136" s="17"/>
      <c r="K136" s="17"/>
      <c r="L136" s="17"/>
      <c r="M136" s="17"/>
      <c r="N136" s="17"/>
      <c r="O136" s="17"/>
      <c r="P136" s="17"/>
      <c r="Q136" s="17"/>
      <c r="R136" s="17"/>
      <c r="S136" s="17"/>
      <c r="T136" s="17"/>
      <c r="U136" s="17"/>
      <c r="V136" s="17"/>
      <c r="W136" s="17"/>
      <c r="X136" s="17"/>
      <c r="Y136" s="17"/>
      <c r="Z136" s="17"/>
      <c r="AA136" s="17"/>
      <c r="AB136" s="17"/>
      <c r="AC136" s="17"/>
      <c r="AD136" s="17"/>
      <c r="AE136" s="17"/>
      <c r="AF136" s="17"/>
      <c r="AG136" s="17"/>
      <c r="AH136" s="17"/>
      <c r="AI136" s="17"/>
      <c r="AJ136" s="17"/>
      <c r="AK136" s="17"/>
      <c r="AL136" s="17"/>
      <c r="AM136" s="17"/>
      <c r="AN136" s="17"/>
      <c r="AO136" s="17"/>
      <c r="AP136" s="17"/>
      <c r="AQ136" s="17"/>
      <c r="AR136" s="17"/>
      <c r="AS136" s="17"/>
      <c r="AT136" s="17"/>
      <c r="AU136" s="17"/>
      <c r="AV136" s="17"/>
      <c r="AW136" s="17"/>
      <c r="AX136" s="17"/>
      <c r="AY136" s="17"/>
      <c r="AZ136" s="17"/>
      <c r="BA136" s="17"/>
      <c r="BB136" s="17"/>
      <c r="BC136" s="17"/>
      <c r="BD136" s="17"/>
      <c r="BE136" s="17"/>
      <c r="BF136" s="17"/>
      <c r="BG136" s="17"/>
      <c r="BH136" s="17"/>
      <c r="BI136" s="17"/>
      <c r="BJ136" s="17"/>
      <c r="BK136" s="17"/>
      <c r="BL136" s="17"/>
      <c r="BM136" s="17"/>
      <c r="BN136" s="17"/>
      <c r="BO136" s="17"/>
      <c r="BP136" s="17"/>
      <c r="BQ136" s="17"/>
      <c r="BR136" s="17"/>
      <c r="BS136" s="17"/>
      <c r="BT136" s="17"/>
      <c r="BU136" s="17"/>
      <c r="BV136" s="17"/>
      <c r="BW136" s="17"/>
      <c r="BX136" s="17"/>
      <c r="BY136" s="17"/>
      <c r="BZ136" s="17"/>
      <c r="CA136" s="17"/>
      <c r="CB136" s="17"/>
      <c r="CC136" s="17"/>
      <c r="CD136" s="17"/>
      <c r="CE136" s="17"/>
      <c r="CF136" s="17"/>
      <c r="CG136" s="17"/>
      <c r="CH136" s="17"/>
      <c r="CI136" s="17"/>
      <c r="CJ136" s="17"/>
      <c r="CK136" s="17"/>
      <c r="CL136" s="17"/>
      <c r="CM136" s="17"/>
      <c r="CN136" s="17"/>
      <c r="CO136" s="17"/>
      <c r="CP136" s="17"/>
      <c r="CQ136" s="17"/>
      <c r="CR136" s="17"/>
      <c r="CS136" s="17"/>
      <c r="CT136" s="17"/>
      <c r="CU136" s="17"/>
      <c r="CV136" s="17"/>
      <c r="CW136" s="17"/>
      <c r="CX136" s="17"/>
      <c r="CY136" s="17"/>
      <c r="CZ136" s="17"/>
      <c r="DA136" s="17"/>
      <c r="DB136" s="17"/>
      <c r="DC136" s="17"/>
      <c r="DD136" s="17"/>
      <c r="DE136" s="17"/>
      <c r="DF136" s="17"/>
      <c r="DG136" s="17"/>
      <c r="DH136" s="17"/>
      <c r="DI136" s="17"/>
      <c r="DJ136" s="17"/>
      <c r="DK136" s="17"/>
      <c r="DL136" s="17"/>
      <c r="DM136" s="17"/>
      <c r="DN136" s="17"/>
      <c r="DO136" s="17"/>
      <c r="DP136" s="17"/>
      <c r="DQ136" s="17"/>
      <c r="DR136" s="17"/>
      <c r="DS136" s="17"/>
      <c r="DT136" s="17"/>
      <c r="DU136" s="17"/>
      <c r="DV136" s="17"/>
      <c r="DW136" s="17"/>
      <c r="DX136" s="17"/>
      <c r="DY136" s="17"/>
      <c r="DZ136" s="17"/>
      <c r="EA136" s="17"/>
      <c r="EB136" s="17"/>
      <c r="EC136" s="17"/>
      <c r="ED136" s="17"/>
      <c r="EE136" s="17"/>
      <c r="EF136" s="17"/>
      <c r="EG136" s="17"/>
      <c r="EH136" s="17"/>
      <c r="EI136" s="17"/>
      <c r="EJ136" s="17"/>
      <c r="EK136" s="17"/>
      <c r="EL136" s="17"/>
      <c r="EM136" s="17"/>
      <c r="EN136" s="17"/>
      <c r="EO136" s="17"/>
      <c r="EP136" s="17"/>
      <c r="EQ136" s="17"/>
      <c r="ER136" s="17"/>
      <c r="ES136" s="17"/>
      <c r="ET136" s="17"/>
      <c r="EU136" s="17"/>
      <c r="EV136" s="17"/>
      <c r="EW136" s="17"/>
      <c r="EX136" s="17"/>
      <c r="EY136" s="17"/>
      <c r="EZ136" s="17"/>
      <c r="FA136" s="17"/>
      <c r="FB136" s="17"/>
      <c r="FC136" s="17"/>
      <c r="FD136" s="17"/>
      <c r="FE136" s="17"/>
      <c r="FF136" s="17"/>
      <c r="FG136" s="17"/>
      <c r="FH136" s="17"/>
      <c r="FI136" s="17"/>
      <c r="FJ136" s="17"/>
      <c r="FK136" s="17"/>
      <c r="FL136" s="17"/>
      <c r="FM136" s="17"/>
      <c r="FN136" s="17"/>
      <c r="FO136" s="17"/>
      <c r="FP136" s="17"/>
      <c r="FQ136" s="17"/>
      <c r="FR136" s="17"/>
      <c r="FS136" s="17"/>
      <c r="FT136" s="17"/>
      <c r="FU136" s="17"/>
      <c r="FV136" s="17"/>
      <c r="FW136" s="17"/>
      <c r="FX136" s="17"/>
      <c r="FY136" s="17"/>
      <c r="FZ136" s="17"/>
      <c r="GA136" s="17"/>
      <c r="GB136" s="17"/>
      <c r="GC136" s="17"/>
      <c r="GD136" s="17"/>
      <c r="GE136" s="17"/>
      <c r="GF136" s="17"/>
      <c r="GG136" s="17"/>
      <c r="GH136" s="17"/>
      <c r="GI136" s="17"/>
      <c r="GJ136" s="17"/>
      <c r="GK136" s="17"/>
      <c r="GL136" s="17"/>
      <c r="GM136" s="17"/>
      <c r="GN136" s="17"/>
      <c r="GO136" s="17"/>
      <c r="GP136" s="17"/>
      <c r="GQ136" s="17"/>
      <c r="GR136" s="17"/>
      <c r="GS136" s="17"/>
      <c r="GT136" s="17"/>
      <c r="GU136" s="17"/>
      <c r="GV136" s="17"/>
      <c r="GW136" s="17"/>
      <c r="GX136" s="17"/>
      <c r="GY136" s="17"/>
      <c r="GZ136" s="17"/>
      <c r="HA136" s="17"/>
      <c r="HB136" s="17"/>
      <c r="HC136" s="17"/>
      <c r="HD136" s="17"/>
      <c r="HE136" s="17"/>
      <c r="HF136" s="17"/>
      <c r="HG136" s="17"/>
      <c r="HH136" s="17"/>
      <c r="HI136" s="17"/>
      <c r="HJ136" s="17"/>
      <c r="HK136" s="17"/>
      <c r="HL136" s="17"/>
      <c r="HM136" s="17"/>
      <c r="HN136" s="17"/>
      <c r="HO136" s="17"/>
      <c r="HP136" s="17"/>
      <c r="HQ136" s="17"/>
      <c r="HR136" s="17"/>
      <c r="HS136" s="17"/>
      <c r="HT136" s="17"/>
      <c r="HU136" s="17"/>
      <c r="HV136" s="17"/>
      <c r="HW136" s="17"/>
      <c r="HX136" s="17"/>
      <c r="HY136" s="17"/>
      <c r="HZ136" s="17"/>
      <c r="IA136" s="17"/>
      <c r="IB136" s="17"/>
      <c r="IC136" s="17"/>
      <c r="ID136" s="17"/>
      <c r="IE136" s="17"/>
      <c r="IF136" s="17"/>
      <c r="IG136" s="17"/>
      <c r="IH136" s="17"/>
      <c r="II136" s="17"/>
      <c r="IJ136" s="17"/>
      <c r="IK136" s="17"/>
      <c r="IL136" s="17"/>
      <c r="IM136" s="17"/>
      <c r="IN136" s="17"/>
      <c r="IO136" s="17"/>
      <c r="IP136" s="17"/>
      <c r="IQ136" s="17"/>
      <c r="IR136" s="17"/>
      <c r="IS136" s="17"/>
      <c r="IT136" s="17"/>
      <c r="IU136" s="17"/>
      <c r="IV136" s="17"/>
      <c r="IW136" s="17"/>
      <c r="IX136" s="17"/>
      <c r="IY136" s="17"/>
      <c r="IZ136" s="17"/>
      <c r="JA136" s="17"/>
      <c r="JB136" s="17"/>
      <c r="JC136" s="17"/>
      <c r="JD136" s="17"/>
      <c r="JE136" s="17"/>
      <c r="JF136" s="17"/>
      <c r="JG136" s="17"/>
      <c r="JH136" s="17"/>
      <c r="JI136" s="17"/>
      <c r="JJ136" s="17"/>
      <c r="JK136" s="17"/>
      <c r="JL136" s="17"/>
      <c r="JM136" s="17"/>
      <c r="JN136" s="17"/>
      <c r="JO136" s="17"/>
      <c r="JP136" s="17"/>
      <c r="JQ136" s="17"/>
      <c r="JR136" s="17"/>
      <c r="JS136" s="17"/>
      <c r="JT136" s="17"/>
      <c r="JU136" s="17"/>
      <c r="JV136" s="17"/>
      <c r="JW136" s="17"/>
      <c r="JX136" s="17"/>
      <c r="JY136" s="17"/>
      <c r="JZ136" s="17"/>
      <c r="KA136" s="17"/>
      <c r="KB136" s="17"/>
      <c r="KC136" s="17"/>
      <c r="KD136" s="17"/>
      <c r="KE136" s="17"/>
      <c r="KF136" s="17"/>
      <c r="KG136" s="17"/>
      <c r="KH136" s="17"/>
      <c r="KI136" s="17"/>
      <c r="KJ136" s="17"/>
      <c r="KK136" s="17"/>
      <c r="KL136" s="17"/>
      <c r="KM136" s="17"/>
      <c r="KN136" s="17"/>
      <c r="KO136" s="17"/>
      <c r="KP136" s="17"/>
      <c r="KQ136" s="17"/>
      <c r="KR136" s="17"/>
      <c r="KS136" s="17"/>
      <c r="KT136" s="17"/>
      <c r="KU136" s="17"/>
      <c r="KV136" s="17"/>
      <c r="KW136" s="17"/>
      <c r="KX136" s="17"/>
      <c r="KY136" s="17"/>
    </row>
    <row r="137" spans="1:311" x14ac:dyDescent="0.25">
      <c r="A137" s="17"/>
      <c r="B137" s="17"/>
      <c r="C137" s="17"/>
      <c r="D137" s="17"/>
      <c r="E137" s="17"/>
      <c r="F137" s="17"/>
      <c r="G137" s="17"/>
      <c r="H137" s="17"/>
      <c r="I137" s="17"/>
      <c r="J137" s="17"/>
      <c r="K137" s="17"/>
      <c r="L137" s="17"/>
      <c r="M137" s="17"/>
      <c r="N137" s="17"/>
      <c r="O137" s="17"/>
      <c r="P137" s="17"/>
      <c r="Q137" s="17"/>
      <c r="R137" s="17"/>
      <c r="S137" s="17"/>
      <c r="T137" s="17"/>
      <c r="U137" s="17"/>
      <c r="V137" s="17"/>
      <c r="W137" s="17"/>
      <c r="X137" s="17"/>
      <c r="Y137" s="17"/>
      <c r="Z137" s="17"/>
      <c r="AA137" s="17"/>
      <c r="AB137" s="17"/>
      <c r="AC137" s="17"/>
      <c r="AD137" s="17"/>
      <c r="AE137" s="17"/>
      <c r="AF137" s="17"/>
      <c r="AG137" s="17"/>
      <c r="AH137" s="17"/>
      <c r="AI137" s="17"/>
      <c r="AJ137" s="17"/>
      <c r="AK137" s="17"/>
      <c r="AL137" s="17"/>
      <c r="AM137" s="17"/>
      <c r="AN137" s="17"/>
      <c r="AO137" s="17"/>
      <c r="AP137" s="17"/>
      <c r="AQ137" s="17"/>
      <c r="AR137" s="17"/>
      <c r="AS137" s="17"/>
      <c r="AT137" s="17"/>
      <c r="AU137" s="17"/>
      <c r="AV137" s="17"/>
      <c r="AW137" s="17"/>
      <c r="AX137" s="17"/>
      <c r="AY137" s="17"/>
      <c r="AZ137" s="17"/>
      <c r="BA137" s="17"/>
      <c r="BB137" s="17"/>
      <c r="BC137" s="17"/>
      <c r="BD137" s="17"/>
      <c r="BE137" s="17"/>
      <c r="BF137" s="17"/>
      <c r="BG137" s="17"/>
      <c r="BH137" s="17"/>
      <c r="BI137" s="17"/>
      <c r="BJ137" s="17"/>
      <c r="BK137" s="17"/>
      <c r="BL137" s="17"/>
      <c r="BM137" s="17"/>
      <c r="BN137" s="17"/>
      <c r="BO137" s="17"/>
      <c r="BP137" s="17"/>
      <c r="BQ137" s="17"/>
      <c r="BR137" s="17"/>
      <c r="BS137" s="17"/>
      <c r="BT137" s="17"/>
      <c r="BU137" s="17"/>
      <c r="BV137" s="17"/>
      <c r="BW137" s="17"/>
      <c r="BX137" s="17"/>
      <c r="BY137" s="17"/>
      <c r="BZ137" s="17"/>
      <c r="CA137" s="17"/>
      <c r="CB137" s="17"/>
      <c r="CC137" s="17"/>
      <c r="CD137" s="17"/>
      <c r="CE137" s="17"/>
      <c r="CF137" s="17"/>
      <c r="CG137" s="17"/>
      <c r="CH137" s="17"/>
      <c r="CI137" s="17"/>
      <c r="CJ137" s="17"/>
      <c r="CK137" s="17"/>
      <c r="CL137" s="17"/>
      <c r="CM137" s="17"/>
      <c r="CN137" s="17"/>
      <c r="CO137" s="17"/>
      <c r="CP137" s="17"/>
      <c r="CQ137" s="17"/>
      <c r="CR137" s="17"/>
      <c r="CS137" s="17"/>
      <c r="CT137" s="17"/>
      <c r="CU137" s="17"/>
      <c r="CV137" s="17"/>
      <c r="CW137" s="17"/>
      <c r="CX137" s="17"/>
      <c r="CY137" s="17"/>
      <c r="CZ137" s="17"/>
      <c r="DA137" s="17"/>
      <c r="DB137" s="17"/>
      <c r="DC137" s="17"/>
      <c r="DD137" s="17"/>
      <c r="DE137" s="17"/>
      <c r="DF137" s="17"/>
      <c r="DG137" s="17"/>
      <c r="DH137" s="17"/>
      <c r="DI137" s="17"/>
      <c r="DJ137" s="17"/>
      <c r="DK137" s="17"/>
      <c r="DL137" s="17"/>
      <c r="DM137" s="17"/>
      <c r="DN137" s="17"/>
      <c r="DO137" s="17"/>
      <c r="DP137" s="17"/>
      <c r="DQ137" s="17"/>
      <c r="DR137" s="17"/>
      <c r="DS137" s="17"/>
      <c r="DT137" s="17"/>
      <c r="DU137" s="17"/>
      <c r="DV137" s="17"/>
      <c r="DW137" s="17"/>
      <c r="DX137" s="17"/>
      <c r="DY137" s="17"/>
      <c r="DZ137" s="17"/>
      <c r="EA137" s="17"/>
      <c r="EB137" s="17"/>
      <c r="EC137" s="17"/>
      <c r="ED137" s="17"/>
      <c r="EE137" s="17"/>
      <c r="EF137" s="17"/>
      <c r="EG137" s="17"/>
      <c r="EH137" s="17"/>
      <c r="EI137" s="17"/>
      <c r="EJ137" s="17"/>
      <c r="EK137" s="17"/>
      <c r="EL137" s="17"/>
      <c r="EM137" s="17"/>
      <c r="EN137" s="17"/>
      <c r="EO137" s="17"/>
      <c r="EP137" s="17"/>
      <c r="EQ137" s="17"/>
      <c r="ER137" s="17"/>
      <c r="ES137" s="17"/>
      <c r="ET137" s="17"/>
      <c r="EU137" s="17"/>
      <c r="EV137" s="17"/>
      <c r="EW137" s="17"/>
      <c r="EX137" s="17"/>
      <c r="EY137" s="17"/>
      <c r="EZ137" s="17"/>
      <c r="FA137" s="17"/>
      <c r="FB137" s="17"/>
      <c r="FC137" s="17"/>
      <c r="FD137" s="17"/>
      <c r="FE137" s="17"/>
      <c r="FF137" s="17"/>
      <c r="FG137" s="17"/>
      <c r="FH137" s="17"/>
      <c r="FI137" s="17"/>
      <c r="FJ137" s="17"/>
      <c r="FK137" s="17"/>
      <c r="FL137" s="17"/>
      <c r="FM137" s="17"/>
      <c r="FN137" s="17"/>
      <c r="FO137" s="17"/>
      <c r="FP137" s="17"/>
      <c r="FQ137" s="17"/>
      <c r="FR137" s="17"/>
      <c r="FS137" s="17"/>
      <c r="FT137" s="17"/>
      <c r="FU137" s="17"/>
      <c r="FV137" s="17"/>
      <c r="FW137" s="17"/>
      <c r="FX137" s="17"/>
      <c r="FY137" s="17"/>
      <c r="FZ137" s="17"/>
      <c r="GA137" s="17"/>
      <c r="GB137" s="17"/>
      <c r="GC137" s="17"/>
      <c r="GD137" s="17"/>
      <c r="GE137" s="17"/>
      <c r="GF137" s="17"/>
      <c r="GG137" s="17"/>
      <c r="GH137" s="17"/>
      <c r="GI137" s="17"/>
      <c r="GJ137" s="17"/>
      <c r="GK137" s="17"/>
      <c r="GL137" s="17"/>
      <c r="GM137" s="17"/>
      <c r="GN137" s="17"/>
      <c r="GO137" s="17"/>
      <c r="GP137" s="17"/>
      <c r="GQ137" s="17"/>
      <c r="GR137" s="17"/>
      <c r="GS137" s="17"/>
      <c r="GT137" s="17"/>
      <c r="GU137" s="17"/>
      <c r="GV137" s="17"/>
      <c r="GW137" s="17"/>
      <c r="GX137" s="17"/>
      <c r="GY137" s="17"/>
      <c r="GZ137" s="17"/>
      <c r="HA137" s="17"/>
      <c r="HB137" s="17"/>
      <c r="HC137" s="17"/>
      <c r="HD137" s="17"/>
      <c r="HE137" s="17"/>
      <c r="HF137" s="17"/>
      <c r="HG137" s="17"/>
      <c r="HH137" s="17"/>
      <c r="HI137" s="17"/>
      <c r="HJ137" s="17"/>
      <c r="HK137" s="17"/>
      <c r="HL137" s="17"/>
      <c r="HM137" s="17"/>
      <c r="HN137" s="17"/>
      <c r="HO137" s="17"/>
      <c r="HP137" s="17"/>
      <c r="HQ137" s="17"/>
      <c r="HR137" s="17"/>
      <c r="HS137" s="17"/>
      <c r="HT137" s="17"/>
      <c r="HU137" s="17"/>
      <c r="HV137" s="17"/>
      <c r="HW137" s="17"/>
      <c r="HX137" s="17"/>
      <c r="HY137" s="17"/>
      <c r="HZ137" s="17"/>
      <c r="IA137" s="17"/>
      <c r="IB137" s="17"/>
      <c r="IC137" s="17"/>
      <c r="ID137" s="17"/>
      <c r="IE137" s="17"/>
      <c r="IF137" s="17"/>
      <c r="IG137" s="17"/>
      <c r="IH137" s="17"/>
      <c r="II137" s="17"/>
      <c r="IJ137" s="17"/>
      <c r="IK137" s="17"/>
      <c r="IL137" s="17"/>
      <c r="IM137" s="17"/>
      <c r="IN137" s="17"/>
      <c r="IO137" s="17"/>
      <c r="IP137" s="17"/>
      <c r="IQ137" s="17"/>
      <c r="IR137" s="17"/>
      <c r="IS137" s="17"/>
      <c r="IT137" s="17"/>
      <c r="IU137" s="17"/>
      <c r="IV137" s="17"/>
      <c r="IW137" s="17"/>
      <c r="IX137" s="17"/>
      <c r="IY137" s="17"/>
      <c r="IZ137" s="17"/>
      <c r="JA137" s="17"/>
      <c r="JB137" s="17"/>
      <c r="JC137" s="17"/>
      <c r="JD137" s="17"/>
      <c r="JE137" s="17"/>
      <c r="JF137" s="17"/>
      <c r="JG137" s="17"/>
      <c r="JH137" s="17"/>
      <c r="JI137" s="17"/>
      <c r="JJ137" s="17"/>
      <c r="JK137" s="17"/>
      <c r="JL137" s="17"/>
      <c r="JM137" s="17"/>
      <c r="JN137" s="17"/>
      <c r="JO137" s="17"/>
      <c r="JP137" s="17"/>
      <c r="JQ137" s="17"/>
      <c r="JR137" s="17"/>
      <c r="JS137" s="17"/>
      <c r="JT137" s="17"/>
      <c r="JU137" s="17"/>
      <c r="JV137" s="17"/>
      <c r="JW137" s="17"/>
      <c r="JX137" s="17"/>
      <c r="JY137" s="17"/>
      <c r="JZ137" s="17"/>
      <c r="KA137" s="17"/>
      <c r="KB137" s="17"/>
      <c r="KC137" s="17"/>
      <c r="KD137" s="17"/>
      <c r="KE137" s="17"/>
      <c r="KF137" s="17"/>
      <c r="KG137" s="17"/>
      <c r="KH137" s="17"/>
      <c r="KI137" s="17"/>
      <c r="KJ137" s="17"/>
      <c r="KK137" s="17"/>
      <c r="KL137" s="17"/>
      <c r="KM137" s="17"/>
      <c r="KN137" s="17"/>
      <c r="KO137" s="17"/>
      <c r="KP137" s="17"/>
      <c r="KQ137" s="17"/>
      <c r="KR137" s="17"/>
      <c r="KS137" s="17"/>
      <c r="KT137" s="17"/>
      <c r="KU137" s="17"/>
      <c r="KV137" s="17"/>
      <c r="KW137" s="17"/>
      <c r="KX137" s="17"/>
      <c r="KY137" s="17"/>
    </row>
    <row r="138" spans="1:311" x14ac:dyDescent="0.25">
      <c r="A138" s="17"/>
      <c r="B138" s="17"/>
      <c r="C138" s="17"/>
      <c r="D138" s="17"/>
      <c r="E138" s="17"/>
      <c r="F138" s="17"/>
      <c r="G138" s="17"/>
      <c r="H138" s="17"/>
      <c r="I138" s="17"/>
      <c r="J138" s="17"/>
      <c r="K138" s="17"/>
      <c r="L138" s="17"/>
      <c r="M138" s="17"/>
      <c r="N138" s="17"/>
      <c r="O138" s="17"/>
      <c r="P138" s="17"/>
      <c r="Q138" s="17"/>
      <c r="R138" s="17"/>
      <c r="S138" s="17"/>
      <c r="T138" s="17"/>
      <c r="U138" s="17"/>
      <c r="V138" s="17"/>
      <c r="W138" s="17"/>
      <c r="X138" s="17"/>
      <c r="Y138" s="17"/>
      <c r="Z138" s="17"/>
      <c r="AA138" s="17"/>
      <c r="AB138" s="17"/>
      <c r="AC138" s="17"/>
      <c r="AD138" s="17"/>
      <c r="AE138" s="17"/>
      <c r="AF138" s="17"/>
      <c r="AG138" s="17"/>
      <c r="AH138" s="17"/>
      <c r="AI138" s="17"/>
      <c r="AJ138" s="17"/>
      <c r="AK138" s="17"/>
      <c r="AL138" s="17"/>
      <c r="AM138" s="17"/>
      <c r="AN138" s="17"/>
      <c r="AO138" s="17"/>
      <c r="AP138" s="17"/>
      <c r="AQ138" s="17"/>
      <c r="AR138" s="17"/>
      <c r="AS138" s="17"/>
      <c r="AT138" s="17"/>
      <c r="AU138" s="17"/>
      <c r="AV138" s="17"/>
      <c r="AW138" s="17"/>
      <c r="AX138" s="17"/>
      <c r="AY138" s="17"/>
      <c r="AZ138" s="17"/>
      <c r="BA138" s="17"/>
      <c r="BB138" s="17"/>
      <c r="BC138" s="17"/>
      <c r="BD138" s="17"/>
      <c r="BE138" s="17"/>
      <c r="BF138" s="17"/>
      <c r="BG138" s="17"/>
      <c r="BH138" s="17"/>
      <c r="BI138" s="17"/>
      <c r="BJ138" s="17"/>
      <c r="BK138" s="17"/>
      <c r="BL138" s="17"/>
      <c r="BM138" s="17"/>
      <c r="BN138" s="17"/>
      <c r="BO138" s="17"/>
      <c r="BP138" s="17"/>
      <c r="BQ138" s="17"/>
      <c r="BR138" s="17"/>
      <c r="BS138" s="17"/>
      <c r="BT138" s="17"/>
      <c r="BU138" s="17"/>
      <c r="BV138" s="17"/>
      <c r="BW138" s="17"/>
      <c r="BX138" s="17"/>
      <c r="BY138" s="17"/>
      <c r="BZ138" s="17"/>
      <c r="CA138" s="17"/>
      <c r="CB138" s="17"/>
      <c r="CC138" s="17"/>
      <c r="CD138" s="17"/>
      <c r="CE138" s="17"/>
      <c r="CF138" s="17"/>
      <c r="CG138" s="17"/>
      <c r="CH138" s="17"/>
      <c r="CI138" s="17"/>
      <c r="CJ138" s="17"/>
      <c r="CK138" s="17"/>
      <c r="CL138" s="17"/>
      <c r="CM138" s="17"/>
      <c r="CN138" s="17"/>
      <c r="CO138" s="17"/>
      <c r="CP138" s="17"/>
      <c r="CQ138" s="17"/>
      <c r="CR138" s="17"/>
      <c r="CS138" s="17"/>
      <c r="CT138" s="17"/>
      <c r="CU138" s="17"/>
      <c r="CV138" s="17"/>
      <c r="CW138" s="17"/>
      <c r="CX138" s="17"/>
      <c r="CY138" s="17"/>
      <c r="CZ138" s="17"/>
      <c r="DA138" s="17"/>
      <c r="DB138" s="17"/>
      <c r="DC138" s="17"/>
      <c r="DD138" s="17"/>
      <c r="DE138" s="17"/>
      <c r="DF138" s="17"/>
      <c r="DG138" s="17"/>
      <c r="DH138" s="17"/>
      <c r="DI138" s="17"/>
      <c r="DJ138" s="17"/>
      <c r="DK138" s="17"/>
      <c r="DL138" s="17"/>
      <c r="DM138" s="17"/>
      <c r="DN138" s="17"/>
      <c r="DO138" s="17"/>
      <c r="DP138" s="17"/>
      <c r="DQ138" s="17"/>
      <c r="DR138" s="17"/>
      <c r="DS138" s="17"/>
      <c r="DT138" s="17"/>
      <c r="DU138" s="17"/>
      <c r="DV138" s="17"/>
      <c r="DW138" s="17"/>
      <c r="DX138" s="17"/>
      <c r="DY138" s="17"/>
      <c r="DZ138" s="17"/>
      <c r="EA138" s="17"/>
      <c r="EB138" s="17"/>
      <c r="EC138" s="17"/>
      <c r="ED138" s="17"/>
      <c r="EE138" s="17"/>
      <c r="EF138" s="17"/>
      <c r="EG138" s="17"/>
      <c r="EH138" s="17"/>
      <c r="EI138" s="17"/>
      <c r="EJ138" s="17"/>
      <c r="EK138" s="17"/>
      <c r="EL138" s="17"/>
      <c r="EM138" s="17"/>
      <c r="EN138" s="17"/>
      <c r="EO138" s="17"/>
      <c r="EP138" s="17"/>
      <c r="EQ138" s="17"/>
      <c r="ER138" s="17"/>
      <c r="ES138" s="17"/>
      <c r="ET138" s="17"/>
      <c r="EU138" s="17"/>
      <c r="EV138" s="17"/>
      <c r="EW138" s="17"/>
      <c r="EX138" s="17"/>
      <c r="EY138" s="17"/>
      <c r="EZ138" s="17"/>
      <c r="FA138" s="17"/>
      <c r="FB138" s="17"/>
      <c r="FC138" s="17"/>
      <c r="FD138" s="17"/>
      <c r="FE138" s="17"/>
      <c r="FF138" s="17"/>
      <c r="FG138" s="17"/>
      <c r="FH138" s="17"/>
      <c r="FI138" s="17"/>
      <c r="FJ138" s="17"/>
      <c r="FK138" s="17"/>
      <c r="FL138" s="17"/>
      <c r="FM138" s="17"/>
      <c r="FN138" s="17"/>
      <c r="FO138" s="17"/>
      <c r="FP138" s="17"/>
      <c r="FQ138" s="17"/>
      <c r="FR138" s="17"/>
      <c r="FS138" s="17"/>
      <c r="FT138" s="17"/>
      <c r="FU138" s="17"/>
      <c r="FV138" s="17"/>
      <c r="FW138" s="17"/>
      <c r="FX138" s="17"/>
      <c r="FY138" s="17"/>
      <c r="FZ138" s="17"/>
      <c r="GA138" s="17"/>
      <c r="GB138" s="17"/>
      <c r="GC138" s="17"/>
      <c r="GD138" s="17"/>
      <c r="GE138" s="17"/>
      <c r="GF138" s="17"/>
      <c r="GG138" s="17"/>
      <c r="GH138" s="17"/>
      <c r="GI138" s="17"/>
      <c r="GJ138" s="17"/>
      <c r="GK138" s="17"/>
      <c r="GL138" s="17"/>
      <c r="GM138" s="17"/>
      <c r="GN138" s="17"/>
      <c r="GO138" s="17"/>
      <c r="GP138" s="17"/>
      <c r="GQ138" s="17"/>
      <c r="GR138" s="17"/>
      <c r="GS138" s="17"/>
      <c r="GT138" s="17"/>
      <c r="GU138" s="17"/>
      <c r="GV138" s="17"/>
      <c r="GW138" s="17"/>
      <c r="GX138" s="17"/>
      <c r="GY138" s="17"/>
      <c r="GZ138" s="17"/>
      <c r="HA138" s="17"/>
      <c r="HB138" s="17"/>
      <c r="HC138" s="17"/>
      <c r="HD138" s="17"/>
      <c r="HE138" s="17"/>
      <c r="HF138" s="17"/>
      <c r="HG138" s="17"/>
      <c r="HH138" s="17"/>
      <c r="HI138" s="17"/>
      <c r="HJ138" s="17"/>
      <c r="HK138" s="17"/>
      <c r="HL138" s="17"/>
      <c r="HM138" s="17"/>
      <c r="HN138" s="17"/>
      <c r="HO138" s="17"/>
      <c r="HP138" s="17"/>
      <c r="HQ138" s="17"/>
      <c r="HR138" s="17"/>
      <c r="HS138" s="17"/>
      <c r="HT138" s="17"/>
      <c r="HU138" s="17"/>
      <c r="HV138" s="17"/>
      <c r="HW138" s="17"/>
      <c r="HX138" s="17"/>
      <c r="HY138" s="17"/>
      <c r="HZ138" s="17"/>
      <c r="IA138" s="17"/>
      <c r="IB138" s="17"/>
      <c r="IC138" s="17"/>
      <c r="ID138" s="17"/>
      <c r="IE138" s="17"/>
      <c r="IF138" s="17"/>
      <c r="IG138" s="17"/>
      <c r="IH138" s="17"/>
      <c r="II138" s="17"/>
      <c r="IJ138" s="17"/>
      <c r="IK138" s="17"/>
      <c r="IL138" s="17"/>
      <c r="IM138" s="17"/>
      <c r="IN138" s="17"/>
      <c r="IO138" s="17"/>
      <c r="IP138" s="17"/>
      <c r="IQ138" s="17"/>
      <c r="IR138" s="17"/>
      <c r="IS138" s="17"/>
      <c r="IT138" s="17"/>
      <c r="IU138" s="17"/>
      <c r="IV138" s="17"/>
      <c r="IW138" s="17"/>
      <c r="IX138" s="17"/>
      <c r="IY138" s="17"/>
      <c r="IZ138" s="17"/>
      <c r="JA138" s="17"/>
      <c r="JB138" s="17"/>
      <c r="JC138" s="17"/>
      <c r="JD138" s="17"/>
      <c r="JE138" s="17"/>
      <c r="JF138" s="17"/>
      <c r="JG138" s="17"/>
      <c r="JH138" s="17"/>
      <c r="JI138" s="17"/>
      <c r="JJ138" s="17"/>
      <c r="JK138" s="17"/>
      <c r="JL138" s="17"/>
      <c r="JM138" s="17"/>
      <c r="JN138" s="17"/>
      <c r="JO138" s="17"/>
      <c r="JP138" s="17"/>
      <c r="JQ138" s="17"/>
      <c r="JR138" s="17"/>
      <c r="JS138" s="17"/>
      <c r="JT138" s="17"/>
      <c r="JU138" s="17"/>
      <c r="JV138" s="17"/>
      <c r="JW138" s="17"/>
      <c r="JX138" s="17"/>
      <c r="JY138" s="17"/>
      <c r="JZ138" s="17"/>
      <c r="KA138" s="17"/>
      <c r="KB138" s="17"/>
      <c r="KC138" s="17"/>
      <c r="KD138" s="17"/>
      <c r="KE138" s="17"/>
      <c r="KF138" s="17"/>
      <c r="KG138" s="17"/>
      <c r="KH138" s="17"/>
      <c r="KI138" s="17"/>
      <c r="KJ138" s="17"/>
      <c r="KK138" s="17"/>
      <c r="KL138" s="17"/>
      <c r="KM138" s="17"/>
      <c r="KN138" s="17"/>
      <c r="KO138" s="17"/>
      <c r="KP138" s="17"/>
      <c r="KQ138" s="17"/>
      <c r="KR138" s="17"/>
      <c r="KS138" s="17"/>
      <c r="KT138" s="17"/>
      <c r="KU138" s="17"/>
      <c r="KV138" s="17"/>
      <c r="KW138" s="17"/>
      <c r="KX138" s="17"/>
      <c r="KY138" s="17"/>
    </row>
    <row r="139" spans="1:311" x14ac:dyDescent="0.25">
      <c r="A139" s="17"/>
      <c r="B139" s="17"/>
      <c r="C139" s="17"/>
      <c r="D139" s="17"/>
      <c r="E139" s="17"/>
      <c r="F139" s="17"/>
      <c r="G139" s="17"/>
      <c r="H139" s="17"/>
      <c r="I139" s="17"/>
      <c r="J139" s="17"/>
      <c r="K139" s="17"/>
      <c r="L139" s="17"/>
      <c r="M139" s="17"/>
      <c r="N139" s="17"/>
      <c r="O139" s="17"/>
      <c r="P139" s="17"/>
      <c r="Q139" s="17"/>
      <c r="R139" s="17"/>
      <c r="S139" s="17"/>
      <c r="T139" s="17"/>
      <c r="U139" s="17"/>
      <c r="V139" s="17"/>
      <c r="W139" s="17"/>
      <c r="X139" s="17"/>
      <c r="Y139" s="17"/>
      <c r="Z139" s="17"/>
      <c r="AA139" s="17"/>
      <c r="AB139" s="17"/>
      <c r="AC139" s="17"/>
      <c r="AD139" s="17"/>
      <c r="AE139" s="17"/>
      <c r="AF139" s="17"/>
      <c r="AG139" s="17"/>
      <c r="AH139" s="17"/>
      <c r="AI139" s="17"/>
      <c r="AJ139" s="17"/>
      <c r="AK139" s="17"/>
      <c r="AL139" s="17"/>
      <c r="AM139" s="17"/>
      <c r="AN139" s="17"/>
      <c r="AO139" s="17"/>
      <c r="AP139" s="17"/>
      <c r="AQ139" s="17"/>
      <c r="AR139" s="17"/>
      <c r="AS139" s="17"/>
      <c r="AT139" s="17"/>
      <c r="AU139" s="17"/>
      <c r="AV139" s="17"/>
      <c r="AW139" s="17"/>
      <c r="AX139" s="17"/>
      <c r="AY139" s="17"/>
      <c r="AZ139" s="17"/>
      <c r="BA139" s="17"/>
      <c r="BB139" s="17"/>
      <c r="BC139" s="17"/>
      <c r="BD139" s="17"/>
      <c r="BE139" s="17"/>
      <c r="BF139" s="17"/>
      <c r="BG139" s="17"/>
      <c r="BH139" s="17"/>
      <c r="BI139" s="17"/>
      <c r="BJ139" s="17"/>
      <c r="BK139" s="17"/>
      <c r="BL139" s="17"/>
      <c r="BM139" s="17"/>
      <c r="BN139" s="17"/>
      <c r="BO139" s="17"/>
      <c r="BP139" s="17"/>
      <c r="BQ139" s="17"/>
      <c r="BR139" s="17"/>
      <c r="BS139" s="17"/>
      <c r="BT139" s="17"/>
      <c r="BU139" s="17"/>
      <c r="BV139" s="17"/>
      <c r="BW139" s="17"/>
      <c r="BX139" s="17"/>
      <c r="BY139" s="17"/>
      <c r="BZ139" s="17"/>
      <c r="CA139" s="17"/>
      <c r="CB139" s="17"/>
      <c r="CC139" s="17"/>
      <c r="CD139" s="17"/>
      <c r="CE139" s="17"/>
      <c r="CF139" s="17"/>
      <c r="CG139" s="17"/>
      <c r="CH139" s="17"/>
      <c r="CI139" s="17"/>
      <c r="CJ139" s="17"/>
      <c r="CK139" s="17"/>
      <c r="CL139" s="17"/>
      <c r="CM139" s="17"/>
      <c r="CN139" s="17"/>
      <c r="CO139" s="17"/>
      <c r="CP139" s="17"/>
      <c r="CQ139" s="17"/>
      <c r="CR139" s="17"/>
      <c r="CS139" s="17"/>
      <c r="CT139" s="17"/>
      <c r="CU139" s="17"/>
      <c r="CV139" s="17"/>
      <c r="CW139" s="17"/>
      <c r="CX139" s="17"/>
      <c r="CY139" s="17"/>
      <c r="CZ139" s="17"/>
      <c r="DA139" s="17"/>
      <c r="DB139" s="17"/>
      <c r="DC139" s="17"/>
      <c r="DD139" s="17"/>
      <c r="DE139" s="17"/>
      <c r="DF139" s="17"/>
      <c r="DG139" s="17"/>
      <c r="DH139" s="17"/>
      <c r="DI139" s="17"/>
      <c r="DJ139" s="17"/>
      <c r="DK139" s="17"/>
      <c r="DL139" s="17"/>
      <c r="DM139" s="17"/>
      <c r="DN139" s="17"/>
      <c r="DO139" s="17"/>
      <c r="DP139" s="17"/>
      <c r="DQ139" s="17"/>
      <c r="DR139" s="17"/>
      <c r="DS139" s="17"/>
      <c r="DT139" s="17"/>
      <c r="DU139" s="17"/>
      <c r="DV139" s="17"/>
      <c r="DW139" s="17"/>
      <c r="DX139" s="17"/>
      <c r="DY139" s="17"/>
      <c r="DZ139" s="17"/>
      <c r="EA139" s="17"/>
      <c r="EB139" s="17"/>
      <c r="EC139" s="17"/>
      <c r="ED139" s="17"/>
      <c r="EE139" s="17"/>
      <c r="EF139" s="17"/>
      <c r="EG139" s="17"/>
      <c r="EH139" s="17"/>
      <c r="EI139" s="17"/>
      <c r="EJ139" s="17"/>
      <c r="EK139" s="17"/>
      <c r="EL139" s="17"/>
      <c r="EM139" s="17"/>
      <c r="EN139" s="17"/>
      <c r="EO139" s="17"/>
      <c r="EP139" s="17"/>
      <c r="EQ139" s="17"/>
      <c r="ER139" s="17"/>
      <c r="ES139" s="17"/>
      <c r="ET139" s="17"/>
      <c r="EU139" s="17"/>
      <c r="EV139" s="17"/>
      <c r="EW139" s="17"/>
      <c r="EX139" s="17"/>
      <c r="EY139" s="17"/>
      <c r="EZ139" s="17"/>
      <c r="FA139" s="17"/>
      <c r="FB139" s="17"/>
      <c r="FC139" s="17"/>
      <c r="FD139" s="17"/>
      <c r="FE139" s="17"/>
      <c r="FF139" s="17"/>
      <c r="FG139" s="17"/>
      <c r="FH139" s="17"/>
      <c r="FI139" s="17"/>
      <c r="FJ139" s="17"/>
      <c r="FK139" s="17"/>
      <c r="FL139" s="17"/>
      <c r="FM139" s="17"/>
      <c r="FN139" s="17"/>
      <c r="FO139" s="17"/>
      <c r="FP139" s="17"/>
      <c r="FQ139" s="17"/>
      <c r="FR139" s="17"/>
      <c r="FS139" s="17"/>
      <c r="FT139" s="17"/>
      <c r="FU139" s="17"/>
      <c r="FV139" s="17"/>
      <c r="FW139" s="17"/>
      <c r="FX139" s="17"/>
      <c r="FY139" s="17"/>
      <c r="FZ139" s="17"/>
      <c r="GA139" s="17"/>
      <c r="GB139" s="17"/>
      <c r="GC139" s="17"/>
      <c r="GD139" s="17"/>
      <c r="GE139" s="17"/>
      <c r="GF139" s="17"/>
      <c r="GG139" s="17"/>
      <c r="GH139" s="17"/>
      <c r="GI139" s="17"/>
      <c r="GJ139" s="17"/>
      <c r="GK139" s="17"/>
      <c r="GL139" s="17"/>
      <c r="GM139" s="17"/>
      <c r="GN139" s="17"/>
      <c r="GO139" s="17"/>
      <c r="GP139" s="17"/>
      <c r="GQ139" s="17"/>
      <c r="GR139" s="17"/>
      <c r="GS139" s="17"/>
      <c r="GT139" s="17"/>
      <c r="GU139" s="17"/>
      <c r="GV139" s="17"/>
      <c r="GW139" s="17"/>
      <c r="GX139" s="17"/>
      <c r="GY139" s="17"/>
      <c r="GZ139" s="17"/>
      <c r="HA139" s="17"/>
      <c r="HB139" s="17"/>
      <c r="HC139" s="17"/>
      <c r="HD139" s="17"/>
      <c r="HE139" s="17"/>
      <c r="HF139" s="17"/>
      <c r="HG139" s="17"/>
      <c r="HH139" s="17"/>
      <c r="HI139" s="17"/>
      <c r="HJ139" s="17"/>
      <c r="HK139" s="17"/>
      <c r="HL139" s="17"/>
      <c r="HM139" s="17"/>
      <c r="HN139" s="17"/>
      <c r="HO139" s="17"/>
      <c r="HP139" s="17"/>
      <c r="HQ139" s="17"/>
      <c r="HR139" s="17"/>
      <c r="HS139" s="17"/>
      <c r="HT139" s="17"/>
      <c r="HU139" s="17"/>
      <c r="HV139" s="17"/>
      <c r="HW139" s="17"/>
      <c r="HX139" s="17"/>
      <c r="HY139" s="17"/>
      <c r="HZ139" s="17"/>
      <c r="IA139" s="17"/>
      <c r="IB139" s="17"/>
      <c r="IC139" s="17"/>
      <c r="ID139" s="17"/>
      <c r="IE139" s="17"/>
      <c r="IF139" s="17"/>
      <c r="IG139" s="17"/>
      <c r="IH139" s="17"/>
      <c r="II139" s="17"/>
      <c r="IJ139" s="17"/>
      <c r="IK139" s="17"/>
      <c r="IL139" s="17"/>
      <c r="IM139" s="17"/>
      <c r="IN139" s="17"/>
      <c r="IO139" s="17"/>
      <c r="IP139" s="17"/>
      <c r="IQ139" s="17"/>
      <c r="IR139" s="17"/>
      <c r="IS139" s="17"/>
      <c r="IT139" s="17"/>
      <c r="IU139" s="17"/>
      <c r="IV139" s="17"/>
      <c r="IW139" s="17"/>
      <c r="IX139" s="17"/>
      <c r="IY139" s="17"/>
      <c r="IZ139" s="17"/>
      <c r="JA139" s="17"/>
      <c r="JB139" s="17"/>
      <c r="JC139" s="17"/>
      <c r="JD139" s="17"/>
      <c r="JE139" s="17"/>
      <c r="JF139" s="17"/>
      <c r="JG139" s="17"/>
      <c r="JH139" s="17"/>
      <c r="JI139" s="17"/>
      <c r="JJ139" s="17"/>
      <c r="JK139" s="17"/>
      <c r="JL139" s="17"/>
      <c r="JM139" s="17"/>
      <c r="JN139" s="17"/>
      <c r="JO139" s="17"/>
      <c r="JP139" s="17"/>
      <c r="JQ139" s="17"/>
      <c r="JR139" s="17"/>
      <c r="JS139" s="17"/>
      <c r="JT139" s="17"/>
      <c r="JU139" s="17"/>
      <c r="JV139" s="17"/>
      <c r="JW139" s="17"/>
      <c r="JX139" s="17"/>
      <c r="JY139" s="17"/>
      <c r="JZ139" s="17"/>
      <c r="KA139" s="17"/>
      <c r="KB139" s="17"/>
      <c r="KC139" s="17"/>
      <c r="KD139" s="17"/>
      <c r="KE139" s="17"/>
      <c r="KF139" s="17"/>
      <c r="KG139" s="17"/>
      <c r="KH139" s="17"/>
      <c r="KI139" s="17"/>
      <c r="KJ139" s="17"/>
      <c r="KK139" s="17"/>
      <c r="KL139" s="17"/>
      <c r="KM139" s="17"/>
      <c r="KN139" s="17"/>
      <c r="KO139" s="17"/>
      <c r="KP139" s="17"/>
      <c r="KQ139" s="17"/>
      <c r="KR139" s="17"/>
      <c r="KS139" s="17"/>
      <c r="KT139" s="17"/>
      <c r="KU139" s="17"/>
      <c r="KV139" s="17"/>
      <c r="KW139" s="17"/>
      <c r="KX139" s="17"/>
      <c r="KY139" s="17"/>
    </row>
    <row r="140" spans="1:311" x14ac:dyDescent="0.25">
      <c r="A140" s="17"/>
      <c r="B140" s="17"/>
      <c r="C140" s="17"/>
      <c r="D140" s="17"/>
      <c r="E140" s="17"/>
      <c r="F140" s="17"/>
      <c r="G140" s="17"/>
      <c r="H140" s="17"/>
      <c r="I140" s="17"/>
      <c r="J140" s="17"/>
      <c r="K140" s="17"/>
      <c r="L140" s="17"/>
      <c r="M140" s="17"/>
      <c r="N140" s="17"/>
      <c r="O140" s="17"/>
      <c r="P140" s="17"/>
      <c r="Q140" s="17"/>
      <c r="R140" s="17"/>
      <c r="S140" s="17"/>
      <c r="T140" s="17"/>
      <c r="U140" s="17"/>
      <c r="V140" s="17"/>
      <c r="W140" s="17"/>
      <c r="X140" s="17"/>
      <c r="Y140" s="17"/>
      <c r="Z140" s="17"/>
      <c r="AA140" s="17"/>
      <c r="AB140" s="17"/>
      <c r="AC140" s="17"/>
      <c r="AD140" s="17"/>
      <c r="AE140" s="17"/>
      <c r="AF140" s="17"/>
      <c r="AG140" s="17"/>
      <c r="AH140" s="17"/>
      <c r="AI140" s="17"/>
      <c r="AJ140" s="17"/>
      <c r="AK140" s="17"/>
      <c r="AL140" s="17"/>
      <c r="AM140" s="17"/>
      <c r="AN140" s="17"/>
      <c r="AO140" s="17"/>
      <c r="AP140" s="17"/>
      <c r="AQ140" s="17"/>
      <c r="AR140" s="17"/>
      <c r="AS140" s="17"/>
      <c r="AT140" s="17"/>
      <c r="AU140" s="17"/>
      <c r="AV140" s="17"/>
      <c r="AW140" s="17"/>
      <c r="AX140" s="17"/>
      <c r="AY140" s="17"/>
      <c r="AZ140" s="17"/>
      <c r="BA140" s="17"/>
      <c r="BB140" s="17"/>
      <c r="BC140" s="17"/>
      <c r="BD140" s="17"/>
      <c r="BE140" s="17"/>
      <c r="BF140" s="17"/>
      <c r="BG140" s="17"/>
      <c r="BH140" s="17"/>
      <c r="BI140" s="17"/>
      <c r="BJ140" s="17"/>
      <c r="BK140" s="17"/>
      <c r="BL140" s="17"/>
      <c r="BM140" s="17"/>
      <c r="BN140" s="17"/>
      <c r="BO140" s="17"/>
      <c r="BP140" s="17"/>
      <c r="BQ140" s="17"/>
      <c r="BR140" s="17"/>
      <c r="BS140" s="17"/>
      <c r="BT140" s="17"/>
      <c r="BU140" s="17"/>
      <c r="BV140" s="17"/>
      <c r="BW140" s="17"/>
      <c r="BX140" s="17"/>
      <c r="BY140" s="17"/>
      <c r="BZ140" s="17"/>
      <c r="CA140" s="17"/>
      <c r="CB140" s="17"/>
      <c r="CC140" s="17"/>
      <c r="CD140" s="17"/>
      <c r="CE140" s="17"/>
      <c r="CF140" s="17"/>
      <c r="CG140" s="17"/>
      <c r="CH140" s="17"/>
      <c r="CI140" s="17"/>
      <c r="CJ140" s="17"/>
      <c r="CK140" s="17"/>
      <c r="CL140" s="17"/>
      <c r="CM140" s="17"/>
      <c r="CN140" s="17"/>
      <c r="CO140" s="17"/>
      <c r="CP140" s="17"/>
      <c r="CQ140" s="17"/>
      <c r="CR140" s="17"/>
      <c r="CS140" s="17"/>
      <c r="CT140" s="17"/>
      <c r="CU140" s="17"/>
      <c r="CV140" s="17"/>
      <c r="CW140" s="17"/>
      <c r="CX140" s="17"/>
      <c r="CY140" s="17"/>
      <c r="CZ140" s="17"/>
      <c r="DA140" s="17"/>
      <c r="DB140" s="17"/>
      <c r="DC140" s="17"/>
      <c r="DD140" s="17"/>
      <c r="DE140" s="17"/>
      <c r="DF140" s="17"/>
      <c r="DG140" s="17"/>
      <c r="DH140" s="17"/>
      <c r="DI140" s="17"/>
      <c r="DJ140" s="17"/>
      <c r="DK140" s="17"/>
      <c r="DL140" s="17"/>
      <c r="DM140" s="17"/>
      <c r="DN140" s="17"/>
      <c r="DO140" s="17"/>
      <c r="DP140" s="17"/>
      <c r="DQ140" s="17"/>
      <c r="DR140" s="17"/>
      <c r="DS140" s="17"/>
      <c r="DT140" s="17"/>
      <c r="DU140" s="17"/>
      <c r="DV140" s="17"/>
      <c r="DW140" s="17"/>
      <c r="DX140" s="17"/>
      <c r="DY140" s="17"/>
      <c r="DZ140" s="17"/>
      <c r="EA140" s="17"/>
      <c r="EB140" s="17"/>
      <c r="EC140" s="17"/>
      <c r="ED140" s="17"/>
      <c r="EE140" s="17"/>
      <c r="EF140" s="17"/>
      <c r="EG140" s="17"/>
      <c r="EH140" s="17"/>
      <c r="EI140" s="17"/>
      <c r="EJ140" s="17"/>
      <c r="EK140" s="17"/>
      <c r="EL140" s="17"/>
      <c r="EM140" s="17"/>
      <c r="EN140" s="17"/>
      <c r="EO140" s="17"/>
      <c r="EP140" s="17"/>
      <c r="EQ140" s="17"/>
      <c r="ER140" s="17"/>
      <c r="ES140" s="17"/>
      <c r="ET140" s="17"/>
      <c r="EU140" s="17"/>
      <c r="EV140" s="17"/>
      <c r="EW140" s="17"/>
      <c r="EX140" s="17"/>
      <c r="EY140" s="17"/>
      <c r="EZ140" s="17"/>
      <c r="FA140" s="17"/>
      <c r="FB140" s="17"/>
      <c r="FC140" s="17"/>
      <c r="FD140" s="17"/>
      <c r="FE140" s="17"/>
      <c r="FF140" s="17"/>
      <c r="FG140" s="17"/>
      <c r="FH140" s="17"/>
      <c r="FI140" s="17"/>
      <c r="FJ140" s="17"/>
      <c r="FK140" s="17"/>
      <c r="FL140" s="17"/>
      <c r="FM140" s="17"/>
      <c r="FN140" s="17"/>
      <c r="FO140" s="17"/>
      <c r="FP140" s="17"/>
      <c r="FQ140" s="17"/>
      <c r="FR140" s="17"/>
      <c r="FS140" s="17"/>
      <c r="FT140" s="17"/>
      <c r="FU140" s="17"/>
      <c r="FV140" s="17"/>
      <c r="FW140" s="17"/>
      <c r="FX140" s="17"/>
      <c r="FY140" s="17"/>
      <c r="FZ140" s="17"/>
      <c r="GA140" s="17"/>
      <c r="GB140" s="17"/>
      <c r="GC140" s="17"/>
      <c r="GD140" s="17"/>
      <c r="GE140" s="17"/>
      <c r="GF140" s="17"/>
      <c r="GG140" s="17"/>
      <c r="GH140" s="17"/>
      <c r="GI140" s="17"/>
      <c r="GJ140" s="17"/>
      <c r="GK140" s="17"/>
      <c r="GL140" s="17"/>
      <c r="GM140" s="17"/>
      <c r="GN140" s="17"/>
      <c r="GO140" s="17"/>
      <c r="GP140" s="17"/>
      <c r="GQ140" s="17"/>
      <c r="GR140" s="17"/>
      <c r="GS140" s="17"/>
      <c r="GT140" s="17"/>
      <c r="GU140" s="17"/>
      <c r="GV140" s="17"/>
      <c r="GW140" s="17"/>
      <c r="GX140" s="17"/>
      <c r="GY140" s="17"/>
      <c r="GZ140" s="17"/>
      <c r="HA140" s="17"/>
      <c r="HB140" s="17"/>
      <c r="HC140" s="17"/>
      <c r="HD140" s="17"/>
      <c r="HE140" s="17"/>
      <c r="HF140" s="17"/>
      <c r="HG140" s="17"/>
      <c r="HH140" s="17"/>
      <c r="HI140" s="17"/>
      <c r="HJ140" s="17"/>
      <c r="HK140" s="17"/>
      <c r="HL140" s="17"/>
      <c r="HM140" s="17"/>
      <c r="HN140" s="17"/>
      <c r="HO140" s="17"/>
      <c r="HP140" s="17"/>
      <c r="HQ140" s="17"/>
      <c r="HR140" s="17"/>
      <c r="HS140" s="17"/>
      <c r="HT140" s="17"/>
      <c r="HU140" s="17"/>
      <c r="HV140" s="17"/>
      <c r="HW140" s="17"/>
      <c r="HX140" s="17"/>
      <c r="HY140" s="17"/>
      <c r="HZ140" s="17"/>
      <c r="IA140" s="17"/>
      <c r="IB140" s="17"/>
      <c r="IC140" s="17"/>
      <c r="ID140" s="17"/>
      <c r="IE140" s="17"/>
      <c r="IF140" s="17"/>
      <c r="IG140" s="17"/>
      <c r="IH140" s="17"/>
      <c r="II140" s="17"/>
      <c r="IJ140" s="17"/>
      <c r="IK140" s="17"/>
      <c r="IL140" s="17"/>
      <c r="IM140" s="17"/>
      <c r="IN140" s="17"/>
      <c r="IO140" s="17"/>
      <c r="IP140" s="17"/>
      <c r="IQ140" s="17"/>
      <c r="IR140" s="17"/>
      <c r="IS140" s="17"/>
      <c r="IT140" s="17"/>
      <c r="IU140" s="17"/>
      <c r="IV140" s="17"/>
      <c r="IW140" s="17"/>
      <c r="IX140" s="17"/>
      <c r="IY140" s="17"/>
      <c r="IZ140" s="17"/>
      <c r="JA140" s="17"/>
      <c r="JB140" s="17"/>
      <c r="JC140" s="17"/>
      <c r="JD140" s="17"/>
      <c r="JE140" s="17"/>
      <c r="JF140" s="17"/>
      <c r="JG140" s="17"/>
      <c r="JH140" s="17"/>
      <c r="JI140" s="17"/>
      <c r="JJ140" s="17"/>
      <c r="JK140" s="17"/>
      <c r="JL140" s="17"/>
      <c r="JM140" s="17"/>
      <c r="JN140" s="17"/>
      <c r="JO140" s="17"/>
      <c r="JP140" s="17"/>
      <c r="JQ140" s="17"/>
      <c r="JR140" s="17"/>
      <c r="JS140" s="17"/>
      <c r="JT140" s="17"/>
      <c r="JU140" s="17"/>
      <c r="JV140" s="17"/>
      <c r="JW140" s="17"/>
      <c r="JX140" s="17"/>
      <c r="JY140" s="17"/>
      <c r="JZ140" s="17"/>
      <c r="KA140" s="17"/>
      <c r="KB140" s="17"/>
      <c r="KC140" s="17"/>
      <c r="KD140" s="17"/>
      <c r="KE140" s="17"/>
      <c r="KF140" s="17"/>
      <c r="KG140" s="17"/>
      <c r="KH140" s="17"/>
      <c r="KI140" s="17"/>
      <c r="KJ140" s="17"/>
      <c r="KK140" s="17"/>
      <c r="KL140" s="17"/>
      <c r="KM140" s="17"/>
      <c r="KN140" s="17"/>
      <c r="KO140" s="17"/>
      <c r="KP140" s="17"/>
      <c r="KQ140" s="17"/>
      <c r="KR140" s="17"/>
      <c r="KS140" s="17"/>
      <c r="KT140" s="17"/>
      <c r="KU140" s="17"/>
      <c r="KV140" s="17"/>
      <c r="KW140" s="17"/>
      <c r="KX140" s="17"/>
      <c r="KY140" s="17"/>
    </row>
    <row r="141" spans="1:311" x14ac:dyDescent="0.25">
      <c r="A141" s="17"/>
      <c r="B141" s="17"/>
      <c r="C141" s="17"/>
      <c r="D141" s="17"/>
      <c r="E141" s="17"/>
      <c r="F141" s="17"/>
      <c r="G141" s="17"/>
      <c r="H141" s="17"/>
      <c r="I141" s="17"/>
      <c r="J141" s="17"/>
      <c r="K141" s="17"/>
      <c r="L141" s="17"/>
      <c r="M141" s="17"/>
      <c r="N141" s="17"/>
      <c r="O141" s="17"/>
      <c r="P141" s="17"/>
      <c r="Q141" s="17"/>
      <c r="R141" s="17"/>
      <c r="S141" s="17"/>
      <c r="T141" s="17"/>
      <c r="U141" s="17"/>
      <c r="V141" s="17"/>
      <c r="W141" s="17"/>
      <c r="X141" s="17"/>
      <c r="Y141" s="17"/>
      <c r="Z141" s="17"/>
      <c r="AA141" s="17"/>
      <c r="AB141" s="17"/>
      <c r="AC141" s="17"/>
      <c r="AD141" s="17"/>
      <c r="AE141" s="17"/>
      <c r="AF141" s="17"/>
      <c r="AG141" s="17"/>
      <c r="AH141" s="17"/>
      <c r="AI141" s="17"/>
      <c r="AJ141" s="17"/>
      <c r="AK141" s="17"/>
      <c r="AL141" s="17"/>
      <c r="AM141" s="17"/>
      <c r="AN141" s="17"/>
      <c r="AO141" s="17"/>
      <c r="AP141" s="17"/>
      <c r="AQ141" s="17"/>
      <c r="AR141" s="17"/>
      <c r="AS141" s="17"/>
      <c r="AT141" s="17"/>
      <c r="AU141" s="17"/>
      <c r="AV141" s="17"/>
      <c r="AW141" s="17"/>
      <c r="AX141" s="17"/>
      <c r="AY141" s="17"/>
      <c r="AZ141" s="17"/>
      <c r="BA141" s="17"/>
      <c r="BB141" s="17"/>
      <c r="BC141" s="17"/>
      <c r="BD141" s="17"/>
      <c r="BE141" s="17"/>
      <c r="BF141" s="17"/>
      <c r="BG141" s="17"/>
      <c r="BH141" s="17"/>
      <c r="BI141" s="17"/>
      <c r="BJ141" s="17"/>
      <c r="BK141" s="17"/>
      <c r="BL141" s="17"/>
      <c r="BM141" s="17"/>
      <c r="BN141" s="17"/>
      <c r="BO141" s="17"/>
      <c r="BP141" s="17"/>
      <c r="BQ141" s="17"/>
      <c r="BR141" s="17"/>
      <c r="BS141" s="17"/>
      <c r="BT141" s="17"/>
      <c r="BU141" s="17"/>
      <c r="BV141" s="17"/>
      <c r="BW141" s="17"/>
      <c r="BX141" s="17"/>
      <c r="BY141" s="17"/>
      <c r="BZ141" s="17"/>
      <c r="CA141" s="17"/>
      <c r="CB141" s="17"/>
      <c r="CC141" s="17"/>
      <c r="CD141" s="17"/>
      <c r="CE141" s="17"/>
      <c r="CF141" s="17"/>
      <c r="CG141" s="17"/>
      <c r="CH141" s="17"/>
      <c r="CI141" s="17"/>
      <c r="CJ141" s="17"/>
      <c r="CK141" s="17"/>
      <c r="CL141" s="17"/>
      <c r="CM141" s="17"/>
      <c r="CN141" s="17"/>
      <c r="CO141" s="17"/>
      <c r="CP141" s="17"/>
      <c r="CQ141" s="17"/>
      <c r="CR141" s="17"/>
      <c r="CS141" s="17"/>
      <c r="CT141" s="17"/>
      <c r="CU141" s="17"/>
      <c r="CV141" s="17"/>
      <c r="CW141" s="17"/>
      <c r="CX141" s="17"/>
      <c r="CY141" s="17"/>
      <c r="CZ141" s="17"/>
      <c r="DA141" s="17"/>
      <c r="DB141" s="17"/>
      <c r="DC141" s="17"/>
      <c r="DD141" s="17"/>
      <c r="DE141" s="17"/>
      <c r="DF141" s="17"/>
      <c r="DG141" s="17"/>
      <c r="DH141" s="17"/>
      <c r="DI141" s="17"/>
      <c r="DJ141" s="17"/>
      <c r="DK141" s="17"/>
      <c r="DL141" s="17"/>
      <c r="DM141" s="17"/>
      <c r="DN141" s="17"/>
      <c r="DO141" s="17"/>
      <c r="DP141" s="17"/>
      <c r="DQ141" s="17"/>
      <c r="DR141" s="17"/>
      <c r="DS141" s="17"/>
      <c r="DT141" s="17"/>
      <c r="DU141" s="17"/>
      <c r="DV141" s="17"/>
      <c r="DW141" s="17"/>
      <c r="DX141" s="17"/>
      <c r="DY141" s="17"/>
      <c r="DZ141" s="17"/>
      <c r="EA141" s="17"/>
      <c r="EB141" s="17"/>
      <c r="EC141" s="17"/>
      <c r="ED141" s="17"/>
      <c r="EE141" s="17"/>
      <c r="EF141" s="17"/>
      <c r="EG141" s="17"/>
      <c r="EH141" s="17"/>
      <c r="EI141" s="17"/>
      <c r="EJ141" s="17"/>
      <c r="EK141" s="17"/>
      <c r="EL141" s="17"/>
      <c r="EM141" s="17"/>
      <c r="EN141" s="17"/>
      <c r="EO141" s="17"/>
      <c r="EP141" s="17"/>
      <c r="EQ141" s="17"/>
      <c r="ER141" s="17"/>
      <c r="ES141" s="17"/>
      <c r="ET141" s="17"/>
      <c r="EU141" s="17"/>
      <c r="EV141" s="17"/>
      <c r="EW141" s="17"/>
      <c r="EX141" s="17"/>
      <c r="EY141" s="17"/>
      <c r="EZ141" s="17"/>
      <c r="FA141" s="17"/>
      <c r="FB141" s="17"/>
      <c r="FC141" s="17"/>
      <c r="FD141" s="17"/>
      <c r="FE141" s="17"/>
      <c r="FF141" s="17"/>
      <c r="FG141" s="17"/>
      <c r="FH141" s="17"/>
      <c r="FI141" s="17"/>
      <c r="FJ141" s="17"/>
      <c r="FK141" s="17"/>
      <c r="FL141" s="17"/>
      <c r="FM141" s="17"/>
      <c r="FN141" s="17"/>
      <c r="FO141" s="17"/>
      <c r="FP141" s="17"/>
      <c r="FQ141" s="17"/>
      <c r="FR141" s="17"/>
      <c r="FS141" s="17"/>
      <c r="FT141" s="17"/>
      <c r="FU141" s="17"/>
      <c r="FV141" s="17"/>
      <c r="FW141" s="17"/>
      <c r="FX141" s="17"/>
      <c r="FY141" s="17"/>
      <c r="FZ141" s="17"/>
      <c r="GA141" s="17"/>
      <c r="GB141" s="17"/>
      <c r="GC141" s="17"/>
      <c r="GD141" s="17"/>
      <c r="GE141" s="17"/>
      <c r="GF141" s="17"/>
      <c r="GG141" s="17"/>
      <c r="GH141" s="17"/>
      <c r="GI141" s="17"/>
      <c r="GJ141" s="17"/>
      <c r="GK141" s="17"/>
      <c r="GL141" s="17"/>
      <c r="GM141" s="17"/>
      <c r="GN141" s="17"/>
      <c r="GO141" s="17"/>
      <c r="GP141" s="17"/>
      <c r="GQ141" s="17"/>
      <c r="GR141" s="17"/>
      <c r="GS141" s="17"/>
      <c r="GT141" s="17"/>
      <c r="GU141" s="17"/>
      <c r="GV141" s="17"/>
      <c r="GW141" s="17"/>
      <c r="GX141" s="17"/>
      <c r="GY141" s="17"/>
      <c r="GZ141" s="17"/>
      <c r="HA141" s="17"/>
      <c r="HB141" s="17"/>
      <c r="HC141" s="17"/>
      <c r="HD141" s="17"/>
      <c r="HE141" s="17"/>
      <c r="HF141" s="17"/>
      <c r="HG141" s="17"/>
      <c r="HH141" s="17"/>
      <c r="HI141" s="17"/>
      <c r="HJ141" s="17"/>
      <c r="HK141" s="17"/>
      <c r="HL141" s="17"/>
      <c r="HM141" s="17"/>
      <c r="HN141" s="17"/>
      <c r="HO141" s="17"/>
      <c r="HP141" s="17"/>
      <c r="HQ141" s="17"/>
      <c r="HR141" s="17"/>
      <c r="HS141" s="17"/>
      <c r="HT141" s="17"/>
      <c r="HU141" s="17"/>
      <c r="HV141" s="17"/>
      <c r="HW141" s="17"/>
      <c r="HX141" s="17"/>
      <c r="HY141" s="17"/>
      <c r="HZ141" s="17"/>
      <c r="IA141" s="17"/>
      <c r="IB141" s="17"/>
      <c r="IC141" s="17"/>
      <c r="ID141" s="17"/>
      <c r="IE141" s="17"/>
      <c r="IF141" s="17"/>
      <c r="IG141" s="17"/>
      <c r="IH141" s="17"/>
      <c r="II141" s="17"/>
      <c r="IJ141" s="17"/>
      <c r="IK141" s="17"/>
      <c r="IL141" s="17"/>
      <c r="IM141" s="17"/>
      <c r="IN141" s="17"/>
      <c r="IO141" s="17"/>
      <c r="IP141" s="17"/>
      <c r="IQ141" s="17"/>
      <c r="IR141" s="17"/>
      <c r="IS141" s="17"/>
      <c r="IT141" s="17"/>
      <c r="IU141" s="17"/>
      <c r="IV141" s="17"/>
      <c r="IW141" s="17"/>
      <c r="IX141" s="17"/>
      <c r="IY141" s="17"/>
      <c r="IZ141" s="17"/>
      <c r="JA141" s="17"/>
      <c r="JB141" s="17"/>
      <c r="JC141" s="17"/>
      <c r="JD141" s="17"/>
      <c r="JE141" s="17"/>
      <c r="JF141" s="17"/>
      <c r="JG141" s="17"/>
      <c r="JH141" s="17"/>
      <c r="JI141" s="17"/>
      <c r="JJ141" s="17"/>
      <c r="JK141" s="17"/>
      <c r="JL141" s="17"/>
      <c r="JM141" s="17"/>
      <c r="JN141" s="17"/>
      <c r="JO141" s="17"/>
      <c r="JP141" s="17"/>
      <c r="JQ141" s="17"/>
      <c r="JR141" s="17"/>
      <c r="JS141" s="17"/>
      <c r="JT141" s="17"/>
      <c r="JU141" s="17"/>
      <c r="JV141" s="17"/>
      <c r="JW141" s="17"/>
      <c r="JX141" s="17"/>
      <c r="JY141" s="17"/>
      <c r="JZ141" s="17"/>
      <c r="KA141" s="17"/>
      <c r="KB141" s="17"/>
      <c r="KC141" s="17"/>
      <c r="KD141" s="17"/>
      <c r="KE141" s="17"/>
      <c r="KF141" s="17"/>
      <c r="KG141" s="17"/>
      <c r="KH141" s="17"/>
      <c r="KI141" s="17"/>
      <c r="KJ141" s="17"/>
      <c r="KK141" s="17"/>
      <c r="KL141" s="17"/>
      <c r="KM141" s="17"/>
      <c r="KN141" s="17"/>
      <c r="KO141" s="17"/>
      <c r="KP141" s="17"/>
      <c r="KQ141" s="17"/>
      <c r="KR141" s="17"/>
      <c r="KS141" s="17"/>
      <c r="KT141" s="17"/>
      <c r="KU141" s="17"/>
      <c r="KV141" s="17"/>
      <c r="KW141" s="17"/>
      <c r="KX141" s="17"/>
      <c r="KY141" s="17"/>
    </row>
    <row r="142" spans="1:311" x14ac:dyDescent="0.25">
      <c r="A142" s="17"/>
      <c r="B142" s="17"/>
      <c r="C142" s="17"/>
      <c r="D142" s="17"/>
      <c r="E142" s="17"/>
      <c r="F142" s="17"/>
      <c r="G142" s="17"/>
      <c r="H142" s="17"/>
      <c r="I142" s="17"/>
      <c r="J142" s="17"/>
      <c r="K142" s="17"/>
      <c r="L142" s="17"/>
      <c r="M142" s="17"/>
      <c r="N142" s="17"/>
      <c r="O142" s="17"/>
      <c r="P142" s="17"/>
      <c r="Q142" s="17"/>
      <c r="R142" s="17"/>
      <c r="S142" s="17"/>
      <c r="T142" s="17"/>
      <c r="U142" s="17"/>
      <c r="V142" s="17"/>
      <c r="W142" s="17"/>
      <c r="X142" s="17"/>
      <c r="Y142" s="17"/>
      <c r="Z142" s="17"/>
      <c r="AA142" s="17"/>
      <c r="AB142" s="17"/>
      <c r="AC142" s="17"/>
      <c r="AD142" s="17"/>
      <c r="AE142" s="17"/>
      <c r="AF142" s="17"/>
      <c r="AG142" s="17"/>
      <c r="AH142" s="17"/>
      <c r="AI142" s="17"/>
      <c r="AJ142" s="17"/>
      <c r="AK142" s="17"/>
      <c r="AL142" s="17"/>
      <c r="AM142" s="17"/>
      <c r="AN142" s="17"/>
      <c r="AO142" s="17"/>
      <c r="AP142" s="17"/>
      <c r="AQ142" s="17"/>
      <c r="AR142" s="17"/>
      <c r="AS142" s="17"/>
      <c r="AT142" s="17"/>
      <c r="AU142" s="17"/>
      <c r="AV142" s="17"/>
      <c r="AW142" s="17"/>
      <c r="AX142" s="17"/>
      <c r="AY142" s="17"/>
      <c r="AZ142" s="17"/>
      <c r="BA142" s="17"/>
      <c r="BB142" s="17"/>
      <c r="BC142" s="17"/>
      <c r="BD142" s="17"/>
      <c r="BE142" s="17"/>
      <c r="BF142" s="17"/>
      <c r="BG142" s="17"/>
      <c r="BH142" s="17"/>
      <c r="BI142" s="17"/>
      <c r="BJ142" s="17"/>
      <c r="BK142" s="17"/>
      <c r="BL142" s="17"/>
      <c r="BM142" s="17"/>
      <c r="BN142" s="17"/>
      <c r="BO142" s="17"/>
      <c r="BP142" s="17"/>
      <c r="BQ142" s="17"/>
      <c r="BR142" s="17"/>
      <c r="BS142" s="17"/>
      <c r="BT142" s="17"/>
      <c r="BU142" s="17"/>
      <c r="BV142" s="17"/>
      <c r="BW142" s="17"/>
      <c r="BX142" s="17"/>
      <c r="BY142" s="17"/>
      <c r="BZ142" s="17"/>
      <c r="CA142" s="17"/>
      <c r="CB142" s="17"/>
      <c r="CC142" s="17"/>
      <c r="CD142" s="17"/>
      <c r="CE142" s="17"/>
      <c r="CF142" s="17"/>
      <c r="CG142" s="17"/>
      <c r="CH142" s="17"/>
      <c r="CI142" s="17"/>
      <c r="CJ142" s="17"/>
      <c r="CK142" s="17"/>
      <c r="CL142" s="17"/>
      <c r="CM142" s="17"/>
      <c r="CN142" s="17"/>
      <c r="CO142" s="17"/>
      <c r="CP142" s="17"/>
      <c r="CQ142" s="17"/>
      <c r="CR142" s="17"/>
      <c r="CS142" s="17"/>
      <c r="CT142" s="17"/>
      <c r="CU142" s="17"/>
      <c r="CV142" s="17"/>
      <c r="CW142" s="17"/>
      <c r="CX142" s="17"/>
      <c r="CY142" s="17"/>
      <c r="CZ142" s="17"/>
      <c r="DA142" s="17"/>
      <c r="DB142" s="17"/>
      <c r="DC142" s="17"/>
      <c r="DD142" s="17"/>
      <c r="DE142" s="17"/>
      <c r="DF142" s="17"/>
      <c r="DG142" s="17"/>
      <c r="DH142" s="17"/>
      <c r="DI142" s="17"/>
      <c r="DJ142" s="17"/>
      <c r="DK142" s="17"/>
      <c r="DL142" s="17"/>
      <c r="DM142" s="17"/>
      <c r="DN142" s="17"/>
      <c r="DO142" s="17"/>
      <c r="DP142" s="17"/>
      <c r="DQ142" s="17"/>
      <c r="DR142" s="17"/>
      <c r="DS142" s="17"/>
      <c r="DT142" s="17"/>
      <c r="DU142" s="17"/>
      <c r="DV142" s="17"/>
      <c r="DW142" s="17"/>
      <c r="DX142" s="17"/>
      <c r="DY142" s="17"/>
      <c r="DZ142" s="17"/>
      <c r="EA142" s="17"/>
      <c r="EB142" s="17"/>
      <c r="EC142" s="17"/>
      <c r="ED142" s="17"/>
      <c r="EE142" s="17"/>
      <c r="EF142" s="17"/>
      <c r="EG142" s="17"/>
      <c r="EH142" s="17"/>
      <c r="EI142" s="17"/>
      <c r="EJ142" s="17"/>
      <c r="EK142" s="17"/>
      <c r="EL142" s="17"/>
      <c r="EM142" s="17"/>
      <c r="EN142" s="17"/>
      <c r="EO142" s="17"/>
      <c r="EP142" s="17"/>
      <c r="EQ142" s="17"/>
      <c r="ER142" s="17"/>
      <c r="ES142" s="17"/>
      <c r="ET142" s="17"/>
      <c r="EU142" s="17"/>
      <c r="EV142" s="17"/>
      <c r="EW142" s="17"/>
      <c r="EX142" s="17"/>
      <c r="EY142" s="17"/>
      <c r="EZ142" s="17"/>
      <c r="FA142" s="17"/>
      <c r="FB142" s="17"/>
      <c r="FC142" s="17"/>
      <c r="FD142" s="17"/>
      <c r="FE142" s="17"/>
      <c r="FF142" s="17"/>
      <c r="FG142" s="17"/>
      <c r="FH142" s="17"/>
      <c r="FI142" s="17"/>
      <c r="FJ142" s="17"/>
      <c r="FK142" s="17"/>
      <c r="FL142" s="17"/>
      <c r="FM142" s="17"/>
      <c r="FN142" s="17"/>
      <c r="FO142" s="17"/>
      <c r="FP142" s="17"/>
      <c r="FQ142" s="17"/>
      <c r="FR142" s="17"/>
      <c r="FS142" s="17"/>
      <c r="FT142" s="17"/>
      <c r="FU142" s="17"/>
      <c r="FV142" s="17"/>
      <c r="FW142" s="17"/>
      <c r="FX142" s="17"/>
      <c r="FY142" s="17"/>
      <c r="FZ142" s="17"/>
      <c r="GA142" s="17"/>
      <c r="GB142" s="17"/>
      <c r="GC142" s="17"/>
      <c r="GD142" s="17"/>
      <c r="GE142" s="17"/>
      <c r="GF142" s="17"/>
      <c r="GG142" s="17"/>
      <c r="GH142" s="17"/>
      <c r="GI142" s="17"/>
      <c r="GJ142" s="17"/>
      <c r="GK142" s="17"/>
      <c r="GL142" s="17"/>
      <c r="GM142" s="17"/>
      <c r="GN142" s="17"/>
      <c r="GO142" s="17"/>
      <c r="GP142" s="17"/>
      <c r="GQ142" s="17"/>
      <c r="GR142" s="17"/>
      <c r="GS142" s="17"/>
      <c r="GT142" s="17"/>
      <c r="GU142" s="17"/>
      <c r="GV142" s="17"/>
      <c r="GW142" s="17"/>
      <c r="GX142" s="17"/>
      <c r="GY142" s="17"/>
      <c r="GZ142" s="17"/>
      <c r="HA142" s="17"/>
      <c r="HB142" s="17"/>
      <c r="HC142" s="17"/>
      <c r="HD142" s="17"/>
      <c r="HE142" s="17"/>
      <c r="HF142" s="17"/>
      <c r="HG142" s="17"/>
      <c r="HH142" s="17"/>
      <c r="HI142" s="17"/>
      <c r="HJ142" s="17"/>
      <c r="HK142" s="17"/>
      <c r="HL142" s="17"/>
      <c r="HM142" s="17"/>
      <c r="HN142" s="17"/>
      <c r="HO142" s="17"/>
      <c r="HP142" s="17"/>
      <c r="HQ142" s="17"/>
      <c r="HR142" s="17"/>
      <c r="HS142" s="17"/>
      <c r="HT142" s="17"/>
      <c r="HU142" s="17"/>
      <c r="HV142" s="17"/>
      <c r="HW142" s="17"/>
      <c r="HX142" s="17"/>
      <c r="HY142" s="17"/>
      <c r="HZ142" s="17"/>
      <c r="IA142" s="17"/>
      <c r="IB142" s="17"/>
      <c r="IC142" s="17"/>
      <c r="ID142" s="17"/>
      <c r="IE142" s="17"/>
      <c r="IF142" s="17"/>
      <c r="IG142" s="17"/>
      <c r="IH142" s="17"/>
      <c r="II142" s="17"/>
      <c r="IJ142" s="17"/>
      <c r="IK142" s="17"/>
      <c r="IL142" s="17"/>
      <c r="IM142" s="17"/>
      <c r="IN142" s="17"/>
      <c r="IO142" s="17"/>
      <c r="IP142" s="17"/>
      <c r="IQ142" s="17"/>
      <c r="IR142" s="17"/>
      <c r="IS142" s="17"/>
      <c r="IT142" s="17"/>
      <c r="IU142" s="17"/>
      <c r="IV142" s="17"/>
      <c r="IW142" s="17"/>
      <c r="IX142" s="17"/>
      <c r="IY142" s="17"/>
      <c r="IZ142" s="17"/>
      <c r="JA142" s="17"/>
      <c r="JB142" s="17"/>
      <c r="JC142" s="17"/>
      <c r="JD142" s="17"/>
      <c r="JE142" s="17"/>
      <c r="JF142" s="17"/>
      <c r="JG142" s="17"/>
      <c r="JH142" s="17"/>
      <c r="JI142" s="17"/>
      <c r="JJ142" s="17"/>
      <c r="JK142" s="17"/>
      <c r="JL142" s="17"/>
      <c r="JM142" s="17"/>
      <c r="JN142" s="17"/>
      <c r="JO142" s="17"/>
      <c r="JP142" s="17"/>
      <c r="JQ142" s="17"/>
      <c r="JR142" s="17"/>
      <c r="JS142" s="17"/>
      <c r="JT142" s="17"/>
      <c r="JU142" s="17"/>
      <c r="JV142" s="17"/>
      <c r="JW142" s="17"/>
      <c r="JX142" s="17"/>
      <c r="JY142" s="17"/>
      <c r="JZ142" s="17"/>
      <c r="KA142" s="17"/>
      <c r="KB142" s="17"/>
      <c r="KC142" s="17"/>
      <c r="KD142" s="17"/>
      <c r="KE142" s="17"/>
      <c r="KF142" s="17"/>
      <c r="KG142" s="17"/>
      <c r="KH142" s="17"/>
      <c r="KI142" s="17"/>
      <c r="KJ142" s="17"/>
      <c r="KK142" s="17"/>
      <c r="KL142" s="17"/>
      <c r="KM142" s="17"/>
      <c r="KN142" s="17"/>
      <c r="KO142" s="17"/>
      <c r="KP142" s="17"/>
      <c r="KQ142" s="17"/>
      <c r="KR142" s="17"/>
      <c r="KS142" s="17"/>
      <c r="KT142" s="17"/>
      <c r="KU142" s="17"/>
      <c r="KV142" s="17"/>
      <c r="KW142" s="17"/>
      <c r="KX142" s="17"/>
      <c r="KY142" s="17"/>
    </row>
    <row r="143" spans="1:311" x14ac:dyDescent="0.25">
      <c r="A143" s="17"/>
      <c r="B143" s="17"/>
      <c r="C143" s="17"/>
      <c r="D143" s="17"/>
      <c r="E143" s="17"/>
      <c r="F143" s="17"/>
      <c r="G143" s="17"/>
      <c r="H143" s="17"/>
      <c r="I143" s="17"/>
      <c r="J143" s="17"/>
      <c r="K143" s="17"/>
      <c r="L143" s="17"/>
      <c r="M143" s="17"/>
      <c r="N143" s="17"/>
      <c r="O143" s="17"/>
      <c r="P143" s="17"/>
      <c r="Q143" s="17"/>
      <c r="R143" s="17"/>
      <c r="S143" s="17"/>
      <c r="T143" s="17"/>
      <c r="U143" s="17"/>
      <c r="V143" s="17"/>
      <c r="W143" s="17"/>
      <c r="X143" s="17"/>
      <c r="Y143" s="17"/>
      <c r="Z143" s="17"/>
      <c r="AA143" s="17"/>
      <c r="AB143" s="17"/>
      <c r="AC143" s="17"/>
      <c r="AD143" s="17"/>
      <c r="AE143" s="17"/>
      <c r="AF143" s="17"/>
      <c r="AG143" s="17"/>
      <c r="AH143" s="17"/>
      <c r="AI143" s="17"/>
      <c r="AJ143" s="17"/>
      <c r="AK143" s="17"/>
      <c r="AL143" s="17"/>
      <c r="AM143" s="17"/>
      <c r="AN143" s="17"/>
      <c r="AO143" s="17"/>
      <c r="AP143" s="17"/>
      <c r="AQ143" s="17"/>
      <c r="AR143" s="17"/>
      <c r="AS143" s="17"/>
      <c r="AT143" s="17"/>
      <c r="AU143" s="17"/>
      <c r="AV143" s="17"/>
      <c r="AW143" s="17"/>
      <c r="AX143" s="17"/>
      <c r="AY143" s="17"/>
      <c r="AZ143" s="17"/>
      <c r="BA143" s="17"/>
      <c r="BB143" s="17"/>
      <c r="BC143" s="17"/>
      <c r="BD143" s="17"/>
      <c r="BE143" s="17"/>
      <c r="BF143" s="17"/>
      <c r="BG143" s="17"/>
      <c r="BH143" s="17"/>
      <c r="BI143" s="17"/>
      <c r="BJ143" s="17"/>
      <c r="BK143" s="17"/>
      <c r="BL143" s="17"/>
      <c r="BM143" s="17"/>
      <c r="BN143" s="17"/>
      <c r="BO143" s="17"/>
      <c r="BP143" s="17"/>
      <c r="BQ143" s="17"/>
      <c r="BR143" s="17"/>
      <c r="BS143" s="17"/>
      <c r="BT143" s="17"/>
      <c r="BU143" s="17"/>
      <c r="BV143" s="17"/>
      <c r="BW143" s="17"/>
      <c r="BX143" s="17"/>
      <c r="BY143" s="17"/>
      <c r="BZ143" s="17"/>
      <c r="CA143" s="17"/>
      <c r="CB143" s="17"/>
      <c r="CC143" s="17"/>
      <c r="CD143" s="17"/>
      <c r="CE143" s="17"/>
      <c r="CF143" s="17"/>
      <c r="CG143" s="17"/>
      <c r="CH143" s="17"/>
      <c r="CI143" s="17"/>
      <c r="CJ143" s="17"/>
      <c r="CK143" s="17"/>
      <c r="CL143" s="17"/>
      <c r="CM143" s="17"/>
      <c r="CN143" s="17"/>
      <c r="CO143" s="17"/>
      <c r="CP143" s="17"/>
      <c r="CQ143" s="17"/>
      <c r="CR143" s="17"/>
      <c r="CS143" s="17"/>
      <c r="CT143" s="17"/>
      <c r="CU143" s="17"/>
      <c r="CV143" s="17"/>
      <c r="CW143" s="17"/>
      <c r="CX143" s="17"/>
      <c r="CY143" s="17"/>
      <c r="CZ143" s="17"/>
      <c r="DA143" s="17"/>
      <c r="DB143" s="17"/>
      <c r="DC143" s="17"/>
      <c r="DD143" s="17"/>
      <c r="DE143" s="17"/>
      <c r="DF143" s="17"/>
      <c r="DG143" s="17"/>
      <c r="DH143" s="17"/>
      <c r="DI143" s="17"/>
      <c r="DJ143" s="17"/>
      <c r="DK143" s="17"/>
      <c r="DL143" s="17"/>
      <c r="DM143" s="17"/>
      <c r="DN143" s="17"/>
      <c r="DO143" s="17"/>
      <c r="DP143" s="17"/>
      <c r="DQ143" s="17"/>
      <c r="DR143" s="17"/>
      <c r="DS143" s="17"/>
      <c r="DT143" s="17"/>
      <c r="DU143" s="17"/>
      <c r="DV143" s="17"/>
      <c r="DW143" s="17"/>
      <c r="DX143" s="17"/>
      <c r="DY143" s="17"/>
      <c r="DZ143" s="17"/>
      <c r="EA143" s="17"/>
      <c r="EB143" s="17"/>
      <c r="EC143" s="17"/>
      <c r="ED143" s="17"/>
      <c r="EE143" s="17"/>
      <c r="EF143" s="17"/>
      <c r="EG143" s="17"/>
      <c r="EH143" s="17"/>
      <c r="EI143" s="17"/>
      <c r="EJ143" s="17"/>
      <c r="EK143" s="17"/>
      <c r="EL143" s="17"/>
      <c r="EM143" s="17"/>
      <c r="EN143" s="17"/>
      <c r="EO143" s="17"/>
      <c r="EP143" s="17"/>
      <c r="EQ143" s="17"/>
      <c r="ER143" s="17"/>
      <c r="ES143" s="17"/>
      <c r="ET143" s="17"/>
      <c r="EU143" s="17"/>
      <c r="EV143" s="17"/>
      <c r="EW143" s="17"/>
      <c r="EX143" s="17"/>
      <c r="EY143" s="17"/>
      <c r="EZ143" s="17"/>
      <c r="FA143" s="17"/>
      <c r="FB143" s="17"/>
      <c r="FC143" s="17"/>
      <c r="FD143" s="17"/>
      <c r="FE143" s="17"/>
      <c r="FF143" s="17"/>
      <c r="FG143" s="17"/>
      <c r="FH143" s="17"/>
      <c r="FI143" s="17"/>
      <c r="FJ143" s="17"/>
      <c r="FK143" s="17"/>
      <c r="FL143" s="17"/>
      <c r="FM143" s="17"/>
      <c r="FN143" s="17"/>
      <c r="FO143" s="17"/>
      <c r="FP143" s="17"/>
      <c r="FQ143" s="17"/>
      <c r="FR143" s="17"/>
      <c r="FS143" s="17"/>
      <c r="FT143" s="17"/>
      <c r="FU143" s="17"/>
      <c r="FV143" s="17"/>
      <c r="FW143" s="17"/>
      <c r="FX143" s="17"/>
      <c r="FY143" s="17"/>
      <c r="FZ143" s="17"/>
      <c r="GA143" s="17"/>
      <c r="GB143" s="17"/>
      <c r="GC143" s="17"/>
      <c r="GD143" s="17"/>
      <c r="GE143" s="17"/>
      <c r="GF143" s="17"/>
      <c r="GG143" s="17"/>
      <c r="GH143" s="17"/>
      <c r="GI143" s="17"/>
      <c r="GJ143" s="17"/>
      <c r="GK143" s="17"/>
      <c r="GL143" s="17"/>
      <c r="GM143" s="17"/>
      <c r="GN143" s="17"/>
      <c r="GO143" s="17"/>
      <c r="GP143" s="17"/>
      <c r="GQ143" s="17"/>
      <c r="GR143" s="17"/>
      <c r="GS143" s="17"/>
      <c r="GT143" s="17"/>
      <c r="GU143" s="17"/>
      <c r="GV143" s="17"/>
      <c r="GW143" s="17"/>
      <c r="GX143" s="17"/>
      <c r="GY143" s="17"/>
      <c r="GZ143" s="17"/>
      <c r="HA143" s="17"/>
      <c r="HB143" s="17"/>
      <c r="HC143" s="17"/>
      <c r="HD143" s="17"/>
      <c r="HE143" s="17"/>
      <c r="HF143" s="17"/>
      <c r="HG143" s="17"/>
      <c r="HH143" s="17"/>
      <c r="HI143" s="17"/>
      <c r="HJ143" s="17"/>
      <c r="HK143" s="17"/>
      <c r="HL143" s="17"/>
      <c r="HM143" s="17"/>
      <c r="HN143" s="17"/>
      <c r="HO143" s="17"/>
      <c r="HP143" s="17"/>
      <c r="HQ143" s="17"/>
      <c r="HR143" s="17"/>
      <c r="HS143" s="17"/>
      <c r="HT143" s="17"/>
      <c r="HU143" s="17"/>
      <c r="HV143" s="17"/>
      <c r="HW143" s="17"/>
      <c r="HX143" s="17"/>
      <c r="HY143" s="17"/>
      <c r="HZ143" s="17"/>
      <c r="IA143" s="17"/>
      <c r="IB143" s="17"/>
      <c r="IC143" s="17"/>
      <c r="ID143" s="17"/>
      <c r="IE143" s="17"/>
      <c r="IF143" s="17"/>
      <c r="IG143" s="17"/>
      <c r="IH143" s="17"/>
      <c r="II143" s="17"/>
      <c r="IJ143" s="17"/>
      <c r="IK143" s="17"/>
      <c r="IL143" s="17"/>
      <c r="IM143" s="17"/>
      <c r="IN143" s="17"/>
      <c r="IO143" s="17"/>
      <c r="IP143" s="17"/>
      <c r="IQ143" s="17"/>
      <c r="IR143" s="17"/>
      <c r="IS143" s="17"/>
      <c r="IT143" s="17"/>
      <c r="IU143" s="17"/>
      <c r="IV143" s="17"/>
      <c r="IW143" s="17"/>
      <c r="IX143" s="17"/>
      <c r="IY143" s="17"/>
      <c r="IZ143" s="17"/>
      <c r="JA143" s="17"/>
      <c r="JB143" s="17"/>
      <c r="JC143" s="17"/>
      <c r="JD143" s="17"/>
      <c r="JE143" s="17"/>
      <c r="JF143" s="17"/>
      <c r="JG143" s="17"/>
      <c r="JH143" s="17"/>
      <c r="JI143" s="17"/>
      <c r="JJ143" s="17"/>
      <c r="JK143" s="17"/>
      <c r="JL143" s="17"/>
      <c r="JM143" s="17"/>
      <c r="JN143" s="17"/>
      <c r="JO143" s="17"/>
      <c r="JP143" s="17"/>
      <c r="JQ143" s="17"/>
      <c r="JR143" s="17"/>
      <c r="JS143" s="17"/>
      <c r="JT143" s="17"/>
      <c r="JU143" s="17"/>
      <c r="JV143" s="17"/>
      <c r="JW143" s="17"/>
      <c r="JX143" s="17"/>
      <c r="JY143" s="17"/>
      <c r="JZ143" s="17"/>
      <c r="KA143" s="17"/>
      <c r="KB143" s="17"/>
      <c r="KC143" s="17"/>
      <c r="KD143" s="17"/>
      <c r="KE143" s="17"/>
      <c r="KF143" s="17"/>
      <c r="KG143" s="17"/>
      <c r="KH143" s="17"/>
      <c r="KI143" s="17"/>
      <c r="KJ143" s="17"/>
      <c r="KK143" s="17"/>
      <c r="KL143" s="17"/>
      <c r="KM143" s="17"/>
      <c r="KN143" s="17"/>
      <c r="KO143" s="17"/>
      <c r="KP143" s="17"/>
      <c r="KQ143" s="17"/>
      <c r="KR143" s="17"/>
      <c r="KS143" s="17"/>
      <c r="KT143" s="17"/>
      <c r="KU143" s="17"/>
      <c r="KV143" s="17"/>
      <c r="KW143" s="17"/>
      <c r="KX143" s="17"/>
      <c r="KY143" s="17"/>
    </row>
    <row r="144" spans="1:311" x14ac:dyDescent="0.25">
      <c r="A144" s="17"/>
      <c r="B144" s="17"/>
      <c r="C144" s="17"/>
      <c r="D144" s="17"/>
      <c r="E144" s="17"/>
      <c r="F144" s="17"/>
      <c r="G144" s="17"/>
      <c r="H144" s="17"/>
      <c r="I144" s="17"/>
      <c r="J144" s="17"/>
      <c r="K144" s="17"/>
      <c r="L144" s="17"/>
      <c r="M144" s="17"/>
      <c r="N144" s="17"/>
      <c r="O144" s="17"/>
      <c r="P144" s="17"/>
      <c r="Q144" s="17"/>
      <c r="R144" s="17"/>
      <c r="S144" s="17"/>
      <c r="T144" s="17"/>
      <c r="U144" s="17"/>
      <c r="V144" s="17"/>
      <c r="W144" s="17"/>
      <c r="X144" s="17"/>
      <c r="Y144" s="17"/>
      <c r="Z144" s="17"/>
      <c r="AA144" s="17"/>
      <c r="AB144" s="17"/>
      <c r="AC144" s="17"/>
      <c r="AD144" s="17"/>
      <c r="AE144" s="17"/>
      <c r="AF144" s="17"/>
      <c r="AG144" s="17"/>
      <c r="AH144" s="17"/>
      <c r="AI144" s="17"/>
      <c r="AJ144" s="17"/>
      <c r="AK144" s="17"/>
      <c r="AL144" s="17"/>
      <c r="AM144" s="17"/>
      <c r="AN144" s="17"/>
      <c r="AO144" s="17"/>
      <c r="AP144" s="17"/>
      <c r="AQ144" s="17"/>
      <c r="AR144" s="17"/>
      <c r="AS144" s="17"/>
      <c r="AT144" s="17"/>
      <c r="AU144" s="17"/>
      <c r="AV144" s="17"/>
      <c r="AW144" s="17"/>
      <c r="AX144" s="17"/>
      <c r="AY144" s="17"/>
      <c r="AZ144" s="17"/>
      <c r="BA144" s="17"/>
      <c r="BB144" s="17"/>
      <c r="BC144" s="17"/>
      <c r="BD144" s="17"/>
      <c r="BE144" s="17"/>
      <c r="BF144" s="17"/>
      <c r="BG144" s="17"/>
      <c r="BH144" s="17"/>
      <c r="BI144" s="17"/>
      <c r="BJ144" s="17"/>
      <c r="BK144" s="17"/>
      <c r="BL144" s="17"/>
      <c r="BM144" s="17"/>
      <c r="BN144" s="17"/>
      <c r="BO144" s="17"/>
      <c r="BP144" s="17"/>
      <c r="BQ144" s="17"/>
      <c r="BR144" s="17"/>
      <c r="BS144" s="17"/>
      <c r="BT144" s="17"/>
      <c r="BU144" s="17"/>
      <c r="BV144" s="17"/>
      <c r="BW144" s="17"/>
      <c r="BX144" s="17"/>
      <c r="BY144" s="17"/>
      <c r="BZ144" s="17"/>
      <c r="CA144" s="17"/>
      <c r="CB144" s="17"/>
      <c r="CC144" s="17"/>
      <c r="CD144" s="17"/>
      <c r="CE144" s="17"/>
      <c r="CF144" s="17"/>
      <c r="CG144" s="17"/>
      <c r="CH144" s="17"/>
      <c r="CI144" s="17"/>
      <c r="CJ144" s="17"/>
      <c r="CK144" s="17"/>
      <c r="CL144" s="17"/>
      <c r="CM144" s="17"/>
      <c r="CN144" s="17"/>
      <c r="CO144" s="17"/>
      <c r="CP144" s="17"/>
      <c r="CQ144" s="17"/>
      <c r="CR144" s="17"/>
      <c r="CS144" s="17"/>
      <c r="CT144" s="17"/>
      <c r="CU144" s="17"/>
      <c r="CV144" s="17"/>
      <c r="CW144" s="17"/>
      <c r="CX144" s="17"/>
      <c r="CY144" s="17"/>
      <c r="CZ144" s="17"/>
      <c r="DA144" s="17"/>
      <c r="DB144" s="17"/>
      <c r="DC144" s="17"/>
      <c r="DD144" s="17"/>
      <c r="DE144" s="17"/>
      <c r="DF144" s="17"/>
      <c r="DG144" s="17"/>
      <c r="DH144" s="17"/>
      <c r="DI144" s="17"/>
      <c r="DJ144" s="17"/>
      <c r="DK144" s="17"/>
      <c r="DL144" s="17"/>
      <c r="DM144" s="17"/>
      <c r="DN144" s="17"/>
      <c r="DO144" s="17"/>
      <c r="DP144" s="17"/>
      <c r="DQ144" s="17"/>
      <c r="DR144" s="17"/>
      <c r="DS144" s="17"/>
      <c r="DT144" s="17"/>
      <c r="DU144" s="17"/>
      <c r="DV144" s="17"/>
      <c r="DW144" s="17"/>
      <c r="DX144" s="17"/>
      <c r="DY144" s="17"/>
      <c r="DZ144" s="17"/>
      <c r="EA144" s="17"/>
      <c r="EB144" s="17"/>
      <c r="EC144" s="17"/>
      <c r="ED144" s="17"/>
      <c r="EE144" s="17"/>
      <c r="EF144" s="17"/>
      <c r="EG144" s="17"/>
      <c r="EH144" s="17"/>
      <c r="EI144" s="17"/>
      <c r="EJ144" s="17"/>
      <c r="EK144" s="17"/>
      <c r="EL144" s="17"/>
      <c r="EM144" s="17"/>
      <c r="EN144" s="17"/>
      <c r="EO144" s="17"/>
      <c r="EP144" s="17"/>
      <c r="EQ144" s="17"/>
      <c r="ER144" s="17"/>
      <c r="ES144" s="17"/>
      <c r="ET144" s="17"/>
      <c r="EU144" s="17"/>
      <c r="EV144" s="17"/>
      <c r="EW144" s="17"/>
      <c r="EX144" s="17"/>
      <c r="EY144" s="17"/>
      <c r="EZ144" s="17"/>
      <c r="FA144" s="17"/>
      <c r="FB144" s="17"/>
      <c r="FC144" s="17"/>
      <c r="FD144" s="17"/>
      <c r="FE144" s="17"/>
      <c r="FF144" s="17"/>
      <c r="FG144" s="17"/>
      <c r="FH144" s="17"/>
      <c r="FI144" s="17"/>
      <c r="FJ144" s="17"/>
      <c r="FK144" s="17"/>
      <c r="FL144" s="17"/>
      <c r="FM144" s="17"/>
      <c r="FN144" s="17"/>
      <c r="FO144" s="17"/>
      <c r="FP144" s="17"/>
      <c r="FQ144" s="17"/>
      <c r="FR144" s="17"/>
      <c r="FS144" s="17"/>
      <c r="FT144" s="17"/>
      <c r="FU144" s="17"/>
      <c r="FV144" s="17"/>
      <c r="FW144" s="17"/>
      <c r="FX144" s="17"/>
      <c r="FY144" s="17"/>
      <c r="FZ144" s="17"/>
      <c r="GA144" s="17"/>
      <c r="GB144" s="17"/>
      <c r="GC144" s="17"/>
      <c r="GD144" s="17"/>
      <c r="GE144" s="17"/>
      <c r="GF144" s="17"/>
      <c r="GG144" s="17"/>
      <c r="GH144" s="17"/>
      <c r="GI144" s="17"/>
      <c r="GJ144" s="17"/>
      <c r="GK144" s="17"/>
      <c r="GL144" s="17"/>
      <c r="GM144" s="17"/>
      <c r="GN144" s="17"/>
      <c r="GO144" s="17"/>
      <c r="GP144" s="17"/>
      <c r="GQ144" s="17"/>
      <c r="GR144" s="17"/>
      <c r="GS144" s="17"/>
      <c r="GT144" s="17"/>
      <c r="GU144" s="17"/>
      <c r="GV144" s="17"/>
      <c r="GW144" s="17"/>
      <c r="GX144" s="17"/>
      <c r="GY144" s="17"/>
      <c r="GZ144" s="17"/>
      <c r="HA144" s="17"/>
      <c r="HB144" s="17"/>
      <c r="HC144" s="17"/>
      <c r="HD144" s="17"/>
      <c r="HE144" s="17"/>
      <c r="HF144" s="17"/>
      <c r="HG144" s="17"/>
      <c r="HH144" s="17"/>
      <c r="HI144" s="17"/>
      <c r="HJ144" s="17"/>
      <c r="HK144" s="17"/>
      <c r="HL144" s="17"/>
      <c r="HM144" s="17"/>
      <c r="HN144" s="17"/>
      <c r="HO144" s="17"/>
      <c r="HP144" s="17"/>
      <c r="HQ144" s="17"/>
      <c r="HR144" s="17"/>
      <c r="HS144" s="17"/>
      <c r="HT144" s="17"/>
      <c r="HU144" s="17"/>
      <c r="HV144" s="17"/>
      <c r="HW144" s="17"/>
      <c r="HX144" s="17"/>
      <c r="HY144" s="17"/>
      <c r="HZ144" s="17"/>
      <c r="IA144" s="17"/>
      <c r="IB144" s="17"/>
      <c r="IC144" s="17"/>
      <c r="ID144" s="17"/>
      <c r="IE144" s="17"/>
      <c r="IF144" s="17"/>
      <c r="IG144" s="17"/>
      <c r="IH144" s="17"/>
      <c r="II144" s="17"/>
      <c r="IJ144" s="17"/>
      <c r="IK144" s="17"/>
      <c r="IL144" s="17"/>
      <c r="IM144" s="17"/>
      <c r="IN144" s="17"/>
      <c r="IO144" s="17"/>
      <c r="IP144" s="17"/>
      <c r="IQ144" s="17"/>
      <c r="IR144" s="17"/>
      <c r="IS144" s="17"/>
      <c r="IT144" s="17"/>
      <c r="IU144" s="17"/>
      <c r="IV144" s="17"/>
      <c r="IW144" s="17"/>
      <c r="IX144" s="17"/>
      <c r="IY144" s="17"/>
      <c r="IZ144" s="17"/>
      <c r="JA144" s="17"/>
      <c r="JB144" s="17"/>
      <c r="JC144" s="17"/>
      <c r="JD144" s="17"/>
      <c r="JE144" s="17"/>
      <c r="JF144" s="17"/>
      <c r="JG144" s="17"/>
      <c r="JH144" s="17"/>
      <c r="JI144" s="17"/>
      <c r="JJ144" s="17"/>
      <c r="JK144" s="17"/>
      <c r="JL144" s="17"/>
      <c r="JM144" s="17"/>
      <c r="JN144" s="17"/>
      <c r="JO144" s="17"/>
      <c r="JP144" s="17"/>
      <c r="JQ144" s="17"/>
      <c r="JR144" s="17"/>
      <c r="JS144" s="17"/>
      <c r="JT144" s="17"/>
      <c r="JU144" s="17"/>
      <c r="JV144" s="17"/>
      <c r="JW144" s="17"/>
      <c r="JX144" s="17"/>
      <c r="JY144" s="17"/>
      <c r="JZ144" s="17"/>
      <c r="KA144" s="17"/>
      <c r="KB144" s="17"/>
      <c r="KC144" s="17"/>
      <c r="KD144" s="17"/>
      <c r="KE144" s="17"/>
      <c r="KF144" s="17"/>
      <c r="KG144" s="17"/>
      <c r="KH144" s="17"/>
      <c r="KI144" s="17"/>
      <c r="KJ144" s="17"/>
      <c r="KK144" s="17"/>
      <c r="KL144" s="17"/>
      <c r="KM144" s="17"/>
      <c r="KN144" s="17"/>
      <c r="KO144" s="17"/>
      <c r="KP144" s="17"/>
      <c r="KQ144" s="17"/>
      <c r="KR144" s="17"/>
      <c r="KS144" s="17"/>
      <c r="KT144" s="17"/>
      <c r="KU144" s="17"/>
      <c r="KV144" s="17"/>
      <c r="KW144" s="17"/>
      <c r="KX144" s="17"/>
      <c r="KY144" s="17"/>
    </row>
    <row r="145" spans="1:311" x14ac:dyDescent="0.25">
      <c r="A145" s="17"/>
      <c r="B145" s="17"/>
      <c r="C145" s="17"/>
      <c r="D145" s="17"/>
      <c r="E145" s="17"/>
      <c r="F145" s="17"/>
      <c r="G145" s="17"/>
      <c r="H145" s="17"/>
      <c r="I145" s="17"/>
      <c r="J145" s="17"/>
      <c r="K145" s="17"/>
      <c r="L145" s="17"/>
      <c r="M145" s="17"/>
      <c r="N145" s="17"/>
      <c r="O145" s="17"/>
      <c r="P145" s="17"/>
      <c r="Q145" s="17"/>
      <c r="R145" s="17"/>
      <c r="S145" s="17"/>
      <c r="T145" s="17"/>
      <c r="U145" s="17"/>
      <c r="V145" s="17"/>
      <c r="W145" s="17"/>
      <c r="X145" s="17"/>
      <c r="Y145" s="17"/>
      <c r="Z145" s="17"/>
      <c r="AA145" s="17"/>
      <c r="AB145" s="17"/>
      <c r="AC145" s="17"/>
      <c r="AD145" s="17"/>
      <c r="AE145" s="17"/>
      <c r="AF145" s="17"/>
      <c r="AG145" s="17"/>
      <c r="AH145" s="17"/>
      <c r="AI145" s="17"/>
      <c r="AJ145" s="17"/>
      <c r="AK145" s="17"/>
      <c r="AL145" s="17"/>
      <c r="AM145" s="17"/>
      <c r="AN145" s="17"/>
      <c r="AO145" s="17"/>
      <c r="AP145" s="17"/>
      <c r="AQ145" s="17"/>
      <c r="AR145" s="17"/>
      <c r="AS145" s="17"/>
      <c r="AT145" s="17"/>
      <c r="AU145" s="17"/>
      <c r="AV145" s="17"/>
      <c r="AW145" s="17"/>
      <c r="AX145" s="17"/>
      <c r="AY145" s="17"/>
      <c r="AZ145" s="17"/>
      <c r="BA145" s="17"/>
      <c r="BB145" s="17"/>
      <c r="BC145" s="17"/>
      <c r="BD145" s="17"/>
      <c r="BE145" s="17"/>
      <c r="BF145" s="17"/>
      <c r="BG145" s="17"/>
      <c r="BH145" s="17"/>
      <c r="BI145" s="17"/>
      <c r="BJ145" s="17"/>
      <c r="BK145" s="17"/>
      <c r="BL145" s="17"/>
      <c r="BM145" s="17"/>
      <c r="BN145" s="17"/>
      <c r="BO145" s="17"/>
      <c r="BP145" s="17"/>
      <c r="BQ145" s="17"/>
      <c r="BR145" s="17"/>
      <c r="BS145" s="17"/>
      <c r="BT145" s="17"/>
      <c r="BU145" s="17"/>
      <c r="BV145" s="17"/>
      <c r="BW145" s="17"/>
      <c r="BX145" s="17"/>
      <c r="BY145" s="17"/>
      <c r="BZ145" s="17"/>
      <c r="CA145" s="17"/>
      <c r="CB145" s="17"/>
      <c r="CC145" s="17"/>
      <c r="CD145" s="17"/>
      <c r="CE145" s="17"/>
      <c r="CF145" s="17"/>
      <c r="CG145" s="17"/>
      <c r="CH145" s="17"/>
      <c r="CI145" s="17"/>
      <c r="CJ145" s="17"/>
      <c r="CK145" s="17"/>
      <c r="CL145" s="17"/>
      <c r="CM145" s="17"/>
      <c r="CN145" s="17"/>
      <c r="CO145" s="17"/>
      <c r="CP145" s="17"/>
      <c r="CQ145" s="17"/>
      <c r="CR145" s="17"/>
      <c r="CS145" s="17"/>
      <c r="CT145" s="17"/>
      <c r="CU145" s="17"/>
      <c r="CV145" s="17"/>
      <c r="CW145" s="17"/>
      <c r="CX145" s="17"/>
      <c r="CY145" s="17"/>
      <c r="CZ145" s="17"/>
      <c r="DA145" s="17"/>
      <c r="DB145" s="17"/>
      <c r="DC145" s="17"/>
      <c r="DD145" s="17"/>
      <c r="DE145" s="17"/>
      <c r="DF145" s="17"/>
      <c r="DG145" s="17"/>
      <c r="DH145" s="17"/>
      <c r="DI145" s="17"/>
      <c r="DJ145" s="17"/>
      <c r="DK145" s="17"/>
      <c r="DL145" s="17"/>
      <c r="DM145" s="17"/>
      <c r="DN145" s="17"/>
      <c r="DO145" s="17"/>
      <c r="DP145" s="17"/>
      <c r="DQ145" s="17"/>
      <c r="DR145" s="17"/>
      <c r="DS145" s="17"/>
      <c r="DT145" s="17"/>
      <c r="DU145" s="17"/>
      <c r="DV145" s="17"/>
      <c r="DW145" s="17"/>
      <c r="DX145" s="17"/>
      <c r="DY145" s="17"/>
      <c r="DZ145" s="17"/>
      <c r="EA145" s="17"/>
      <c r="EB145" s="17"/>
      <c r="EC145" s="17"/>
      <c r="ED145" s="17"/>
      <c r="EE145" s="17"/>
      <c r="EF145" s="17"/>
      <c r="EG145" s="17"/>
      <c r="EH145" s="17"/>
      <c r="EI145" s="17"/>
      <c r="EJ145" s="17"/>
      <c r="EK145" s="17"/>
      <c r="EL145" s="17"/>
      <c r="EM145" s="17"/>
      <c r="EN145" s="17"/>
      <c r="EO145" s="17"/>
      <c r="EP145" s="17"/>
      <c r="EQ145" s="17"/>
      <c r="ER145" s="17"/>
      <c r="ES145" s="17"/>
      <c r="ET145" s="17"/>
      <c r="EU145" s="17"/>
      <c r="EV145" s="17"/>
      <c r="EW145" s="17"/>
      <c r="EX145" s="17"/>
      <c r="EY145" s="17"/>
      <c r="EZ145" s="17"/>
      <c r="FA145" s="17"/>
      <c r="FB145" s="17"/>
      <c r="FC145" s="17"/>
      <c r="FD145" s="17"/>
      <c r="FE145" s="17"/>
      <c r="FF145" s="17"/>
      <c r="FG145" s="17"/>
      <c r="FH145" s="17"/>
      <c r="FI145" s="17"/>
      <c r="FJ145" s="17"/>
      <c r="FK145" s="17"/>
      <c r="FL145" s="17"/>
      <c r="FM145" s="17"/>
      <c r="FN145" s="17"/>
      <c r="FO145" s="17"/>
      <c r="FP145" s="17"/>
      <c r="FQ145" s="17"/>
      <c r="FR145" s="17"/>
      <c r="FS145" s="17"/>
      <c r="FT145" s="17"/>
      <c r="FU145" s="17"/>
      <c r="FV145" s="17"/>
      <c r="FW145" s="17"/>
      <c r="FX145" s="17"/>
      <c r="FY145" s="17"/>
      <c r="FZ145" s="17"/>
      <c r="GA145" s="17"/>
      <c r="GB145" s="17"/>
      <c r="GC145" s="17"/>
      <c r="GD145" s="17"/>
      <c r="GE145" s="17"/>
      <c r="GF145" s="17"/>
      <c r="GG145" s="17"/>
      <c r="GH145" s="17"/>
      <c r="GI145" s="17"/>
      <c r="GJ145" s="17"/>
      <c r="GK145" s="17"/>
      <c r="GL145" s="17"/>
      <c r="GM145" s="17"/>
      <c r="GN145" s="17"/>
      <c r="GO145" s="17"/>
      <c r="GP145" s="17"/>
      <c r="GQ145" s="17"/>
      <c r="GR145" s="17"/>
      <c r="GS145" s="17"/>
      <c r="GT145" s="17"/>
      <c r="GU145" s="17"/>
      <c r="GV145" s="17"/>
      <c r="GW145" s="17"/>
      <c r="GX145" s="17"/>
      <c r="GY145" s="17"/>
      <c r="GZ145" s="17"/>
      <c r="HA145" s="17"/>
      <c r="HB145" s="17"/>
      <c r="HC145" s="17"/>
      <c r="HD145" s="17"/>
      <c r="HE145" s="17"/>
      <c r="HF145" s="17"/>
      <c r="HG145" s="17"/>
      <c r="HH145" s="17"/>
      <c r="HI145" s="17"/>
      <c r="HJ145" s="17"/>
      <c r="HK145" s="17"/>
      <c r="HL145" s="17"/>
      <c r="HM145" s="17"/>
      <c r="HN145" s="17"/>
      <c r="HO145" s="17"/>
      <c r="HP145" s="17"/>
      <c r="HQ145" s="17"/>
      <c r="HR145" s="17"/>
      <c r="HS145" s="17"/>
      <c r="HT145" s="17"/>
      <c r="HU145" s="17"/>
      <c r="HV145" s="17"/>
      <c r="HW145" s="17"/>
      <c r="HX145" s="17"/>
      <c r="HY145" s="17"/>
      <c r="HZ145" s="17"/>
      <c r="IA145" s="17"/>
      <c r="IB145" s="17"/>
      <c r="IC145" s="17"/>
      <c r="ID145" s="17"/>
      <c r="IE145" s="17"/>
      <c r="IF145" s="17"/>
      <c r="IG145" s="17"/>
      <c r="IH145" s="17"/>
      <c r="II145" s="17"/>
      <c r="IJ145" s="17"/>
      <c r="IK145" s="17"/>
      <c r="IL145" s="17"/>
      <c r="IM145" s="17"/>
      <c r="IN145" s="17"/>
      <c r="IO145" s="17"/>
      <c r="IP145" s="17"/>
      <c r="IQ145" s="17"/>
      <c r="IR145" s="17"/>
      <c r="IS145" s="17"/>
      <c r="IT145" s="17"/>
      <c r="IU145" s="17"/>
      <c r="IV145" s="17"/>
      <c r="IW145" s="17"/>
      <c r="IX145" s="17"/>
      <c r="IY145" s="17"/>
      <c r="IZ145" s="17"/>
      <c r="JA145" s="17"/>
      <c r="JB145" s="17"/>
      <c r="JC145" s="17"/>
      <c r="JD145" s="17"/>
      <c r="JE145" s="17"/>
      <c r="JF145" s="17"/>
      <c r="JG145" s="17"/>
      <c r="JH145" s="17"/>
      <c r="JI145" s="17"/>
      <c r="JJ145" s="17"/>
      <c r="JK145" s="17"/>
      <c r="JL145" s="17"/>
      <c r="JM145" s="17"/>
      <c r="JN145" s="17"/>
      <c r="JO145" s="17"/>
      <c r="JP145" s="17"/>
      <c r="JQ145" s="17"/>
      <c r="JR145" s="17"/>
      <c r="JS145" s="17"/>
      <c r="JT145" s="17"/>
      <c r="JU145" s="17"/>
      <c r="JV145" s="17"/>
      <c r="JW145" s="17"/>
      <c r="JX145" s="17"/>
      <c r="JY145" s="17"/>
      <c r="JZ145" s="17"/>
      <c r="KA145" s="17"/>
      <c r="KB145" s="17"/>
      <c r="KC145" s="17"/>
      <c r="KD145" s="17"/>
      <c r="KE145" s="17"/>
      <c r="KF145" s="17"/>
      <c r="KG145" s="17"/>
      <c r="KH145" s="17"/>
      <c r="KI145" s="17"/>
      <c r="KJ145" s="17"/>
      <c r="KK145" s="17"/>
      <c r="KL145" s="17"/>
      <c r="KM145" s="17"/>
      <c r="KN145" s="17"/>
      <c r="KO145" s="17"/>
      <c r="KP145" s="17"/>
      <c r="KQ145" s="17"/>
      <c r="KR145" s="17"/>
      <c r="KS145" s="17"/>
      <c r="KT145" s="17"/>
      <c r="KU145" s="17"/>
      <c r="KV145" s="17"/>
      <c r="KW145" s="17"/>
      <c r="KX145" s="17"/>
      <c r="KY145" s="17"/>
    </row>
    <row r="146" spans="1:311" x14ac:dyDescent="0.25">
      <c r="A146" s="17"/>
      <c r="B146" s="17"/>
      <c r="C146" s="17"/>
      <c r="D146" s="17"/>
      <c r="E146" s="17"/>
      <c r="F146" s="17"/>
      <c r="G146" s="17"/>
      <c r="H146" s="17"/>
      <c r="I146" s="17"/>
      <c r="J146" s="17"/>
      <c r="K146" s="17"/>
      <c r="L146" s="17"/>
      <c r="M146" s="17"/>
      <c r="N146" s="17"/>
      <c r="O146" s="17"/>
      <c r="P146" s="17"/>
      <c r="Q146" s="17"/>
      <c r="R146" s="17"/>
      <c r="S146" s="17"/>
      <c r="T146" s="17"/>
      <c r="U146" s="17"/>
      <c r="V146" s="17"/>
      <c r="W146" s="17"/>
      <c r="X146" s="17"/>
      <c r="Y146" s="17"/>
      <c r="Z146" s="17"/>
      <c r="AA146" s="17"/>
      <c r="AB146" s="17"/>
      <c r="AC146" s="17"/>
      <c r="AD146" s="17"/>
      <c r="AE146" s="17"/>
      <c r="AF146" s="17"/>
      <c r="AG146" s="17"/>
      <c r="AH146" s="17"/>
      <c r="AI146" s="17"/>
      <c r="AJ146" s="17"/>
      <c r="AK146" s="17"/>
      <c r="AL146" s="17"/>
      <c r="AM146" s="17"/>
      <c r="AN146" s="17"/>
      <c r="AO146" s="17"/>
      <c r="AP146" s="17"/>
      <c r="AQ146" s="17"/>
      <c r="AR146" s="17"/>
      <c r="AS146" s="17"/>
      <c r="AT146" s="17"/>
      <c r="AU146" s="17"/>
      <c r="AV146" s="17"/>
      <c r="AW146" s="17"/>
      <c r="AX146" s="17"/>
      <c r="AY146" s="17"/>
      <c r="AZ146" s="17"/>
      <c r="BA146" s="17"/>
      <c r="BB146" s="17"/>
      <c r="BC146" s="17"/>
      <c r="BD146" s="17"/>
      <c r="BE146" s="17"/>
      <c r="BF146" s="17"/>
      <c r="BG146" s="17"/>
      <c r="BH146" s="17"/>
      <c r="BI146" s="17"/>
      <c r="BJ146" s="17"/>
      <c r="BK146" s="17"/>
      <c r="BL146" s="17"/>
      <c r="BM146" s="17"/>
      <c r="BN146" s="17"/>
      <c r="BO146" s="17"/>
      <c r="BP146" s="17"/>
      <c r="BQ146" s="17"/>
      <c r="BR146" s="17"/>
      <c r="BS146" s="17"/>
      <c r="BT146" s="17"/>
      <c r="BU146" s="17"/>
      <c r="BV146" s="17"/>
      <c r="BW146" s="17"/>
      <c r="BX146" s="17"/>
      <c r="BY146" s="17"/>
      <c r="BZ146" s="17"/>
      <c r="CA146" s="17"/>
      <c r="CB146" s="17"/>
      <c r="CC146" s="17"/>
      <c r="CD146" s="17"/>
      <c r="CE146" s="17"/>
      <c r="CF146" s="17"/>
      <c r="CG146" s="17"/>
      <c r="CH146" s="17"/>
      <c r="CI146" s="17"/>
      <c r="CJ146" s="17"/>
      <c r="CK146" s="17"/>
      <c r="CL146" s="17"/>
      <c r="CM146" s="17"/>
      <c r="CN146" s="17"/>
      <c r="CO146" s="17"/>
      <c r="CP146" s="17"/>
      <c r="CQ146" s="17"/>
      <c r="CR146" s="17"/>
      <c r="CS146" s="17"/>
      <c r="CT146" s="17"/>
      <c r="CU146" s="17"/>
      <c r="CV146" s="17"/>
      <c r="CW146" s="17"/>
      <c r="CX146" s="17"/>
      <c r="CY146" s="17"/>
      <c r="CZ146" s="17"/>
      <c r="DA146" s="17"/>
      <c r="DB146" s="17"/>
      <c r="DC146" s="17"/>
      <c r="DD146" s="17"/>
      <c r="DE146" s="17"/>
      <c r="DF146" s="17"/>
      <c r="DG146" s="17"/>
      <c r="DH146" s="17"/>
      <c r="DI146" s="17"/>
      <c r="DJ146" s="17"/>
      <c r="DK146" s="17"/>
      <c r="DL146" s="17"/>
      <c r="DM146" s="17"/>
      <c r="DN146" s="17"/>
      <c r="DO146" s="17"/>
      <c r="DP146" s="17"/>
      <c r="DQ146" s="17"/>
      <c r="DR146" s="17"/>
      <c r="DS146" s="17"/>
      <c r="DT146" s="17"/>
      <c r="DU146" s="17"/>
      <c r="DV146" s="17"/>
      <c r="DW146" s="17"/>
      <c r="DX146" s="17"/>
      <c r="DY146" s="17"/>
      <c r="DZ146" s="17"/>
      <c r="EA146" s="17"/>
      <c r="EB146" s="17"/>
      <c r="EC146" s="17"/>
      <c r="ED146" s="17"/>
      <c r="EE146" s="17"/>
      <c r="EF146" s="17"/>
      <c r="EG146" s="17"/>
      <c r="EH146" s="17"/>
      <c r="EI146" s="17"/>
      <c r="EJ146" s="17"/>
      <c r="EK146" s="17"/>
      <c r="EL146" s="17"/>
      <c r="EM146" s="17"/>
      <c r="EN146" s="17"/>
      <c r="EO146" s="17"/>
      <c r="EP146" s="17"/>
      <c r="EQ146" s="17"/>
      <c r="ER146" s="17"/>
      <c r="ES146" s="17"/>
      <c r="ET146" s="17"/>
      <c r="EU146" s="17"/>
      <c r="EV146" s="17"/>
      <c r="EW146" s="17"/>
      <c r="EX146" s="17"/>
      <c r="EY146" s="17"/>
      <c r="EZ146" s="17"/>
      <c r="FA146" s="17"/>
      <c r="FB146" s="17"/>
      <c r="FC146" s="17"/>
      <c r="FD146" s="17"/>
      <c r="FE146" s="17"/>
      <c r="FF146" s="17"/>
      <c r="FG146" s="17"/>
      <c r="FH146" s="17"/>
      <c r="FI146" s="17"/>
      <c r="FJ146" s="17"/>
      <c r="FK146" s="17"/>
      <c r="FL146" s="17"/>
      <c r="FM146" s="17"/>
      <c r="FN146" s="17"/>
      <c r="FO146" s="17"/>
      <c r="FP146" s="17"/>
      <c r="FQ146" s="17"/>
      <c r="FR146" s="17"/>
      <c r="FS146" s="17"/>
      <c r="FT146" s="17"/>
      <c r="FU146" s="17"/>
      <c r="FV146" s="17"/>
      <c r="FW146" s="17"/>
      <c r="FX146" s="17"/>
      <c r="FY146" s="17"/>
      <c r="FZ146" s="17"/>
      <c r="GA146" s="17"/>
      <c r="GB146" s="17"/>
      <c r="GC146" s="17"/>
      <c r="GD146" s="17"/>
      <c r="GE146" s="17"/>
      <c r="GF146" s="17"/>
      <c r="GG146" s="17"/>
      <c r="GH146" s="17"/>
      <c r="GI146" s="17"/>
      <c r="GJ146" s="17"/>
      <c r="GK146" s="17"/>
      <c r="GL146" s="17"/>
      <c r="GM146" s="17"/>
      <c r="GN146" s="17"/>
      <c r="GO146" s="17"/>
      <c r="GP146" s="17"/>
      <c r="GQ146" s="17"/>
      <c r="GR146" s="17"/>
      <c r="GS146" s="17"/>
      <c r="GT146" s="17"/>
      <c r="GU146" s="17"/>
      <c r="GV146" s="17"/>
      <c r="GW146" s="17"/>
      <c r="GX146" s="17"/>
      <c r="GY146" s="17"/>
      <c r="GZ146" s="17"/>
      <c r="HA146" s="17"/>
      <c r="HB146" s="17"/>
      <c r="HC146" s="17"/>
      <c r="HD146" s="17"/>
      <c r="HE146" s="17"/>
      <c r="HF146" s="17"/>
      <c r="HG146" s="17"/>
      <c r="HH146" s="17"/>
      <c r="HI146" s="17"/>
      <c r="HJ146" s="17"/>
      <c r="HK146" s="17"/>
      <c r="HL146" s="17"/>
      <c r="HM146" s="17"/>
      <c r="HN146" s="17"/>
      <c r="HO146" s="17"/>
      <c r="HP146" s="17"/>
      <c r="HQ146" s="17"/>
      <c r="HR146" s="17"/>
      <c r="HS146" s="17"/>
      <c r="HT146" s="17"/>
      <c r="HU146" s="17"/>
      <c r="HV146" s="17"/>
      <c r="HW146" s="17"/>
      <c r="HX146" s="17"/>
      <c r="HY146" s="17"/>
      <c r="HZ146" s="17"/>
      <c r="IA146" s="17"/>
      <c r="IB146" s="17"/>
      <c r="IC146" s="17"/>
      <c r="ID146" s="17"/>
      <c r="IE146" s="17"/>
      <c r="IF146" s="17"/>
      <c r="IG146" s="17"/>
      <c r="IH146" s="17"/>
      <c r="II146" s="17"/>
      <c r="IJ146" s="17"/>
      <c r="IK146" s="17"/>
      <c r="IL146" s="17"/>
      <c r="IM146" s="17"/>
      <c r="IN146" s="17"/>
      <c r="IO146" s="17"/>
      <c r="IP146" s="17"/>
      <c r="IQ146" s="17"/>
      <c r="IR146" s="17"/>
      <c r="IS146" s="17"/>
      <c r="IT146" s="17"/>
      <c r="IU146" s="17"/>
      <c r="IV146" s="17"/>
      <c r="IW146" s="17"/>
      <c r="IX146" s="17"/>
      <c r="IY146" s="17"/>
      <c r="IZ146" s="17"/>
      <c r="JA146" s="17"/>
      <c r="JB146" s="17"/>
      <c r="JC146" s="17"/>
      <c r="JD146" s="17"/>
      <c r="JE146" s="17"/>
      <c r="JF146" s="17"/>
      <c r="JG146" s="17"/>
      <c r="JH146" s="17"/>
      <c r="JI146" s="17"/>
      <c r="JJ146" s="17"/>
      <c r="JK146" s="17"/>
      <c r="JL146" s="17"/>
      <c r="JM146" s="17"/>
      <c r="JN146" s="17"/>
      <c r="JO146" s="17"/>
      <c r="JP146" s="17"/>
      <c r="JQ146" s="17"/>
      <c r="JR146" s="17"/>
      <c r="JS146" s="17"/>
      <c r="JT146" s="17"/>
      <c r="JU146" s="17"/>
      <c r="JV146" s="17"/>
      <c r="JW146" s="17"/>
      <c r="JX146" s="17"/>
      <c r="JY146" s="17"/>
      <c r="JZ146" s="17"/>
      <c r="KA146" s="17"/>
      <c r="KB146" s="17"/>
      <c r="KC146" s="17"/>
      <c r="KD146" s="17"/>
      <c r="KE146" s="17"/>
      <c r="KF146" s="17"/>
      <c r="KG146" s="17"/>
      <c r="KH146" s="17"/>
      <c r="KI146" s="17"/>
      <c r="KJ146" s="17"/>
      <c r="KK146" s="17"/>
      <c r="KL146" s="17"/>
      <c r="KM146" s="17"/>
      <c r="KN146" s="17"/>
      <c r="KO146" s="17"/>
      <c r="KP146" s="17"/>
      <c r="KQ146" s="17"/>
      <c r="KR146" s="17"/>
      <c r="KS146" s="17"/>
      <c r="KT146" s="17"/>
      <c r="KU146" s="17"/>
      <c r="KV146" s="17"/>
      <c r="KW146" s="17"/>
      <c r="KX146" s="17"/>
      <c r="KY146" s="17"/>
    </row>
    <row r="147" spans="1:311" x14ac:dyDescent="0.25">
      <c r="A147" s="17"/>
      <c r="B147" s="17"/>
      <c r="C147" s="17"/>
      <c r="D147" s="17"/>
      <c r="E147" s="17"/>
      <c r="F147" s="17"/>
      <c r="G147" s="17"/>
      <c r="H147" s="17"/>
      <c r="I147" s="17"/>
      <c r="J147" s="17"/>
      <c r="K147" s="17"/>
      <c r="L147" s="17"/>
      <c r="M147" s="17"/>
      <c r="N147" s="17"/>
      <c r="O147" s="17"/>
      <c r="P147" s="17"/>
      <c r="Q147" s="17"/>
      <c r="R147" s="17"/>
      <c r="S147" s="17"/>
      <c r="T147" s="17"/>
      <c r="U147" s="17"/>
      <c r="V147" s="17"/>
      <c r="W147" s="17"/>
      <c r="X147" s="17"/>
      <c r="Y147" s="17"/>
      <c r="Z147" s="17"/>
      <c r="AA147" s="17"/>
      <c r="AB147" s="17"/>
      <c r="AC147" s="17"/>
      <c r="AD147" s="17"/>
      <c r="AE147" s="17"/>
      <c r="AF147" s="17"/>
      <c r="AG147" s="17"/>
      <c r="AH147" s="17"/>
      <c r="AI147" s="17"/>
      <c r="AJ147" s="17"/>
      <c r="AK147" s="17"/>
      <c r="AL147" s="17"/>
      <c r="AM147" s="17"/>
      <c r="AN147" s="17"/>
      <c r="AO147" s="17"/>
      <c r="AP147" s="17"/>
      <c r="AQ147" s="17"/>
      <c r="AR147" s="17"/>
      <c r="AS147" s="17"/>
      <c r="AT147" s="17"/>
      <c r="AU147" s="17"/>
      <c r="AV147" s="17"/>
      <c r="AW147" s="17"/>
      <c r="AX147" s="17"/>
      <c r="AY147" s="17"/>
      <c r="AZ147" s="17"/>
      <c r="BA147" s="17"/>
      <c r="BB147" s="17"/>
      <c r="BC147" s="17"/>
      <c r="BD147" s="17"/>
      <c r="BE147" s="17"/>
      <c r="BF147" s="17"/>
      <c r="BG147" s="17"/>
      <c r="BH147" s="17"/>
      <c r="BI147" s="17"/>
      <c r="BJ147" s="17"/>
      <c r="BK147" s="17"/>
      <c r="BL147" s="17"/>
      <c r="BM147" s="17"/>
      <c r="BN147" s="17"/>
      <c r="BO147" s="17"/>
      <c r="BP147" s="17"/>
      <c r="BQ147" s="17"/>
      <c r="BR147" s="17"/>
      <c r="BS147" s="17"/>
      <c r="BT147" s="17"/>
      <c r="BU147" s="17"/>
      <c r="BV147" s="17"/>
      <c r="BW147" s="17"/>
      <c r="BX147" s="17"/>
      <c r="BY147" s="17"/>
      <c r="BZ147" s="17"/>
      <c r="CA147" s="17"/>
      <c r="CB147" s="17"/>
      <c r="CC147" s="17"/>
      <c r="CD147" s="17"/>
      <c r="CE147" s="17"/>
      <c r="CF147" s="17"/>
      <c r="CG147" s="17"/>
      <c r="CH147" s="17"/>
      <c r="CI147" s="17"/>
      <c r="CJ147" s="17"/>
      <c r="CK147" s="17"/>
      <c r="CL147" s="17"/>
      <c r="CM147" s="17"/>
      <c r="CN147" s="17"/>
      <c r="CO147" s="17"/>
      <c r="CP147" s="17"/>
      <c r="CQ147" s="17"/>
      <c r="CR147" s="17"/>
      <c r="CS147" s="17"/>
      <c r="CT147" s="17"/>
      <c r="CU147" s="17"/>
      <c r="CV147" s="17"/>
      <c r="CW147" s="17"/>
      <c r="CX147" s="17"/>
      <c r="CY147" s="17"/>
      <c r="CZ147" s="17"/>
      <c r="DA147" s="17"/>
      <c r="DB147" s="17"/>
      <c r="DC147" s="17"/>
      <c r="DD147" s="17"/>
      <c r="DE147" s="17"/>
      <c r="DF147" s="17"/>
      <c r="DG147" s="17"/>
      <c r="DH147" s="17"/>
      <c r="DI147" s="17"/>
      <c r="DJ147" s="17"/>
      <c r="DK147" s="17"/>
      <c r="DL147" s="17"/>
      <c r="DM147" s="17"/>
      <c r="DN147" s="17"/>
      <c r="DO147" s="17"/>
      <c r="DP147" s="17"/>
      <c r="DQ147" s="17"/>
      <c r="DR147" s="17"/>
      <c r="DS147" s="17"/>
      <c r="DT147" s="17"/>
      <c r="DU147" s="17"/>
      <c r="DV147" s="17"/>
      <c r="DW147" s="17"/>
      <c r="DX147" s="17"/>
      <c r="DY147" s="17"/>
      <c r="DZ147" s="17"/>
      <c r="EA147" s="17"/>
      <c r="EB147" s="17"/>
      <c r="EC147" s="17"/>
      <c r="ED147" s="17"/>
      <c r="EE147" s="17"/>
      <c r="EF147" s="17"/>
      <c r="EG147" s="17"/>
      <c r="EH147" s="17"/>
      <c r="EI147" s="17"/>
      <c r="EJ147" s="17"/>
      <c r="EK147" s="17"/>
      <c r="EL147" s="17"/>
      <c r="EM147" s="17"/>
      <c r="EN147" s="17"/>
      <c r="EO147" s="17"/>
      <c r="EP147" s="17"/>
      <c r="EQ147" s="17"/>
      <c r="ER147" s="17"/>
      <c r="ES147" s="17"/>
      <c r="ET147" s="17"/>
      <c r="EU147" s="17"/>
      <c r="EV147" s="17"/>
      <c r="EW147" s="17"/>
      <c r="EX147" s="17"/>
      <c r="EY147" s="17"/>
      <c r="EZ147" s="17"/>
      <c r="FA147" s="17"/>
      <c r="FB147" s="17"/>
      <c r="FC147" s="17"/>
      <c r="FD147" s="17"/>
      <c r="FE147" s="17"/>
      <c r="FF147" s="17"/>
      <c r="FG147" s="17"/>
      <c r="FH147" s="17"/>
      <c r="FI147" s="17"/>
      <c r="FJ147" s="17"/>
      <c r="FK147" s="17"/>
      <c r="FL147" s="17"/>
      <c r="FM147" s="17"/>
      <c r="FN147" s="17"/>
      <c r="FO147" s="17"/>
      <c r="FP147" s="17"/>
      <c r="FQ147" s="17"/>
      <c r="FR147" s="17"/>
      <c r="FS147" s="17"/>
      <c r="FT147" s="17"/>
      <c r="FU147" s="17"/>
      <c r="FV147" s="17"/>
      <c r="FW147" s="17"/>
      <c r="FX147" s="17"/>
      <c r="FY147" s="17"/>
      <c r="FZ147" s="17"/>
      <c r="GA147" s="17"/>
      <c r="GB147" s="17"/>
      <c r="GC147" s="17"/>
      <c r="GD147" s="17"/>
      <c r="GE147" s="17"/>
      <c r="GF147" s="17"/>
      <c r="GG147" s="17"/>
      <c r="GH147" s="17"/>
      <c r="GI147" s="17"/>
      <c r="GJ147" s="17"/>
      <c r="GK147" s="17"/>
      <c r="GL147" s="17"/>
      <c r="GM147" s="17"/>
      <c r="GN147" s="17"/>
      <c r="GO147" s="17"/>
      <c r="GP147" s="17"/>
      <c r="GQ147" s="17"/>
      <c r="GR147" s="17"/>
      <c r="GS147" s="17"/>
      <c r="GT147" s="17"/>
      <c r="GU147" s="17"/>
      <c r="GV147" s="17"/>
      <c r="GW147" s="17"/>
      <c r="GX147" s="17"/>
      <c r="GY147" s="17"/>
      <c r="GZ147" s="17"/>
      <c r="HA147" s="17"/>
      <c r="HB147" s="17"/>
      <c r="HC147" s="17"/>
      <c r="HD147" s="17"/>
      <c r="HE147" s="17"/>
      <c r="HF147" s="17"/>
      <c r="HG147" s="17"/>
      <c r="HH147" s="17"/>
      <c r="HI147" s="17"/>
      <c r="HJ147" s="17"/>
      <c r="HK147" s="17"/>
      <c r="HL147" s="17"/>
      <c r="HM147" s="17"/>
      <c r="HN147" s="17"/>
      <c r="HO147" s="17"/>
      <c r="HP147" s="17"/>
      <c r="HQ147" s="17"/>
      <c r="HR147" s="17"/>
      <c r="HS147" s="17"/>
      <c r="HT147" s="17"/>
      <c r="HU147" s="17"/>
      <c r="HV147" s="17"/>
      <c r="HW147" s="17"/>
      <c r="HX147" s="17"/>
      <c r="HY147" s="17"/>
      <c r="HZ147" s="17"/>
      <c r="IA147" s="17"/>
      <c r="IB147" s="17"/>
      <c r="IC147" s="17"/>
      <c r="ID147" s="17"/>
      <c r="IE147" s="17"/>
      <c r="IF147" s="17"/>
      <c r="IG147" s="17"/>
      <c r="IH147" s="17"/>
      <c r="II147" s="17"/>
      <c r="IJ147" s="17"/>
      <c r="IK147" s="17"/>
      <c r="IL147" s="17"/>
      <c r="IM147" s="17"/>
      <c r="IN147" s="17"/>
      <c r="IO147" s="17"/>
      <c r="IP147" s="17"/>
      <c r="IQ147" s="17"/>
      <c r="IR147" s="17"/>
      <c r="IS147" s="17"/>
      <c r="IT147" s="17"/>
      <c r="IU147" s="17"/>
      <c r="IV147" s="17"/>
      <c r="IW147" s="17"/>
      <c r="IX147" s="17"/>
      <c r="IY147" s="17"/>
      <c r="IZ147" s="17"/>
      <c r="JA147" s="17"/>
      <c r="JB147" s="17"/>
      <c r="JC147" s="17"/>
      <c r="JD147" s="17"/>
      <c r="JE147" s="17"/>
      <c r="JF147" s="17"/>
      <c r="JG147" s="17"/>
      <c r="JH147" s="17"/>
      <c r="JI147" s="17"/>
      <c r="JJ147" s="17"/>
      <c r="JK147" s="17"/>
      <c r="JL147" s="17"/>
      <c r="JM147" s="17"/>
      <c r="JN147" s="17"/>
      <c r="JO147" s="17"/>
      <c r="JP147" s="17"/>
      <c r="JQ147" s="17"/>
      <c r="JR147" s="17"/>
      <c r="JS147" s="17"/>
      <c r="JT147" s="17"/>
      <c r="JU147" s="17"/>
      <c r="JV147" s="17"/>
      <c r="JW147" s="17"/>
      <c r="JX147" s="17"/>
      <c r="JY147" s="17"/>
      <c r="JZ147" s="17"/>
      <c r="KA147" s="17"/>
      <c r="KB147" s="17"/>
      <c r="KC147" s="17"/>
      <c r="KD147" s="17"/>
      <c r="KE147" s="17"/>
      <c r="KF147" s="17"/>
      <c r="KG147" s="17"/>
      <c r="KH147" s="17"/>
      <c r="KI147" s="17"/>
      <c r="KJ147" s="17"/>
      <c r="KK147" s="17"/>
      <c r="KL147" s="17"/>
      <c r="KM147" s="17"/>
      <c r="KN147" s="17"/>
      <c r="KO147" s="17"/>
      <c r="KP147" s="17"/>
      <c r="KQ147" s="17"/>
      <c r="KR147" s="17"/>
      <c r="KS147" s="17"/>
      <c r="KT147" s="17"/>
      <c r="KU147" s="17"/>
      <c r="KV147" s="17"/>
      <c r="KW147" s="17"/>
      <c r="KX147" s="17"/>
      <c r="KY147" s="17"/>
    </row>
    <row r="148" spans="1:311" x14ac:dyDescent="0.25">
      <c r="A148" s="17"/>
      <c r="B148" s="17"/>
      <c r="C148" s="17"/>
      <c r="D148" s="17"/>
      <c r="E148" s="17"/>
      <c r="F148" s="17"/>
      <c r="G148" s="17"/>
      <c r="H148" s="17"/>
      <c r="I148" s="17"/>
      <c r="J148" s="17"/>
      <c r="K148" s="17"/>
      <c r="L148" s="17"/>
      <c r="M148" s="17"/>
      <c r="N148" s="17"/>
      <c r="O148" s="17"/>
      <c r="P148" s="17"/>
      <c r="Q148" s="17"/>
      <c r="R148" s="17"/>
      <c r="S148" s="17"/>
      <c r="T148" s="17"/>
      <c r="U148" s="17"/>
      <c r="V148" s="17"/>
      <c r="W148" s="17"/>
      <c r="X148" s="17"/>
      <c r="Y148" s="17"/>
      <c r="Z148" s="17"/>
      <c r="AA148" s="17"/>
      <c r="AB148" s="17"/>
      <c r="AC148" s="17"/>
      <c r="AD148" s="17"/>
      <c r="AE148" s="17"/>
      <c r="AF148" s="17"/>
      <c r="AG148" s="17"/>
      <c r="AH148" s="17"/>
      <c r="AI148" s="17"/>
      <c r="AJ148" s="17"/>
      <c r="AK148" s="17"/>
      <c r="AL148" s="17"/>
      <c r="AM148" s="17"/>
      <c r="AN148" s="17"/>
      <c r="AO148" s="17"/>
      <c r="AP148" s="17"/>
      <c r="AQ148" s="17"/>
      <c r="AR148" s="17"/>
      <c r="AS148" s="17"/>
      <c r="AT148" s="17"/>
      <c r="AU148" s="17"/>
      <c r="AV148" s="17"/>
      <c r="AW148" s="17"/>
      <c r="AX148" s="17"/>
      <c r="AY148" s="17"/>
      <c r="AZ148" s="17"/>
      <c r="BA148" s="17"/>
      <c r="BB148" s="17"/>
      <c r="BC148" s="17"/>
      <c r="BD148" s="17"/>
      <c r="BE148" s="17"/>
      <c r="BF148" s="17"/>
      <c r="BG148" s="17"/>
      <c r="BH148" s="17"/>
      <c r="BI148" s="17"/>
      <c r="BJ148" s="17"/>
      <c r="BK148" s="17"/>
      <c r="BL148" s="17"/>
      <c r="BM148" s="17"/>
      <c r="BN148" s="17"/>
      <c r="BO148" s="17"/>
      <c r="BP148" s="17"/>
      <c r="BQ148" s="17"/>
      <c r="BR148" s="17"/>
      <c r="BS148" s="17"/>
      <c r="BT148" s="17"/>
      <c r="BU148" s="17"/>
      <c r="BV148" s="17"/>
      <c r="BW148" s="17"/>
      <c r="BX148" s="17"/>
      <c r="BY148" s="17"/>
      <c r="BZ148" s="17"/>
      <c r="CA148" s="17"/>
      <c r="CB148" s="17"/>
      <c r="CC148" s="17"/>
      <c r="CD148" s="17"/>
      <c r="CE148" s="17"/>
      <c r="CF148" s="17"/>
      <c r="CG148" s="17"/>
      <c r="CH148" s="17"/>
      <c r="CI148" s="17"/>
      <c r="CJ148" s="17"/>
      <c r="CK148" s="17"/>
      <c r="CL148" s="17"/>
      <c r="CM148" s="17"/>
      <c r="CN148" s="17"/>
      <c r="CO148" s="17"/>
      <c r="CP148" s="17"/>
      <c r="CQ148" s="17"/>
      <c r="CR148" s="17"/>
      <c r="CS148" s="17"/>
      <c r="CT148" s="17"/>
      <c r="CU148" s="17"/>
      <c r="CV148" s="17"/>
      <c r="CW148" s="17"/>
      <c r="CX148" s="17"/>
      <c r="CY148" s="17"/>
      <c r="CZ148" s="17"/>
      <c r="DA148" s="17"/>
      <c r="DB148" s="17"/>
      <c r="DC148" s="17"/>
      <c r="DD148" s="17"/>
      <c r="DE148" s="17"/>
      <c r="DF148" s="17"/>
      <c r="DG148" s="17"/>
      <c r="DH148" s="17"/>
      <c r="DI148" s="17"/>
      <c r="DJ148" s="17"/>
      <c r="DK148" s="17"/>
      <c r="DL148" s="17"/>
      <c r="DM148" s="17"/>
      <c r="DN148" s="17"/>
      <c r="DO148" s="17"/>
      <c r="DP148" s="17"/>
      <c r="DQ148" s="17"/>
      <c r="DR148" s="17"/>
      <c r="DS148" s="17"/>
      <c r="DT148" s="17"/>
      <c r="DU148" s="17"/>
      <c r="DV148" s="17"/>
      <c r="DW148" s="17"/>
      <c r="DX148" s="17"/>
      <c r="DY148" s="17"/>
      <c r="DZ148" s="17"/>
      <c r="EA148" s="17"/>
      <c r="EB148" s="17"/>
      <c r="EC148" s="17"/>
      <c r="ED148" s="17"/>
      <c r="EE148" s="17"/>
      <c r="EF148" s="17"/>
      <c r="EG148" s="17"/>
      <c r="EH148" s="17"/>
      <c r="EI148" s="17"/>
      <c r="EJ148" s="17"/>
      <c r="EK148" s="17"/>
      <c r="EL148" s="17"/>
      <c r="EM148" s="17"/>
      <c r="EN148" s="17"/>
      <c r="EO148" s="17"/>
      <c r="EP148" s="17"/>
      <c r="EQ148" s="17"/>
      <c r="ER148" s="17"/>
      <c r="ES148" s="17"/>
      <c r="ET148" s="17"/>
      <c r="EU148" s="17"/>
      <c r="EV148" s="17"/>
      <c r="EW148" s="17"/>
      <c r="EX148" s="17"/>
      <c r="EY148" s="17"/>
      <c r="EZ148" s="17"/>
      <c r="FA148" s="17"/>
      <c r="FB148" s="17"/>
      <c r="FC148" s="17"/>
      <c r="FD148" s="17"/>
      <c r="FE148" s="17"/>
      <c r="FF148" s="17"/>
      <c r="FG148" s="17"/>
      <c r="FH148" s="17"/>
      <c r="FI148" s="17"/>
      <c r="FJ148" s="17"/>
      <c r="FK148" s="17"/>
      <c r="FL148" s="17"/>
      <c r="FM148" s="17"/>
      <c r="FN148" s="17"/>
      <c r="FO148" s="17"/>
      <c r="FP148" s="17"/>
      <c r="FQ148" s="17"/>
      <c r="FR148" s="17"/>
      <c r="FS148" s="17"/>
      <c r="FT148" s="17"/>
      <c r="FU148" s="17"/>
      <c r="FV148" s="17"/>
      <c r="FW148" s="17"/>
      <c r="FX148" s="17"/>
      <c r="FY148" s="17"/>
      <c r="FZ148" s="17"/>
      <c r="GA148" s="17"/>
      <c r="GB148" s="17"/>
      <c r="GC148" s="17"/>
      <c r="GD148" s="17"/>
      <c r="GE148" s="17"/>
      <c r="GF148" s="17"/>
      <c r="GG148" s="17"/>
      <c r="GH148" s="17"/>
      <c r="GI148" s="17"/>
      <c r="GJ148" s="17"/>
      <c r="GK148" s="17"/>
      <c r="GL148" s="17"/>
      <c r="GM148" s="17"/>
      <c r="GN148" s="17"/>
      <c r="GO148" s="17"/>
      <c r="GP148" s="17"/>
      <c r="GQ148" s="17"/>
      <c r="GR148" s="17"/>
      <c r="GS148" s="17"/>
      <c r="GT148" s="17"/>
      <c r="GU148" s="17"/>
      <c r="GV148" s="17"/>
      <c r="GW148" s="17"/>
      <c r="GX148" s="17"/>
      <c r="GY148" s="17"/>
      <c r="GZ148" s="17"/>
      <c r="HA148" s="17"/>
      <c r="HB148" s="17"/>
      <c r="HC148" s="17"/>
      <c r="HD148" s="17"/>
      <c r="HE148" s="17"/>
      <c r="HF148" s="17"/>
      <c r="HG148" s="17"/>
      <c r="HH148" s="17"/>
      <c r="HI148" s="17"/>
      <c r="HJ148" s="17"/>
      <c r="HK148" s="17"/>
      <c r="HL148" s="17"/>
      <c r="HM148" s="17"/>
      <c r="HN148" s="17"/>
      <c r="HO148" s="17"/>
      <c r="HP148" s="17"/>
      <c r="HQ148" s="17"/>
      <c r="HR148" s="17"/>
      <c r="HS148" s="17"/>
      <c r="HT148" s="17"/>
      <c r="HU148" s="17"/>
      <c r="HV148" s="17"/>
      <c r="HW148" s="17"/>
      <c r="HX148" s="17"/>
      <c r="HY148" s="17"/>
      <c r="HZ148" s="17"/>
      <c r="IA148" s="17"/>
      <c r="IB148" s="17"/>
      <c r="IC148" s="17"/>
      <c r="ID148" s="17"/>
      <c r="IE148" s="17"/>
      <c r="IF148" s="17"/>
      <c r="IG148" s="17"/>
      <c r="IH148" s="17"/>
      <c r="II148" s="17"/>
      <c r="IJ148" s="17"/>
      <c r="IK148" s="17"/>
      <c r="IL148" s="17"/>
      <c r="IM148" s="17"/>
      <c r="IN148" s="17"/>
      <c r="IO148" s="17"/>
      <c r="IP148" s="17"/>
      <c r="IQ148" s="17"/>
      <c r="IR148" s="17"/>
      <c r="IS148" s="17"/>
      <c r="IT148" s="17"/>
      <c r="IU148" s="17"/>
      <c r="IV148" s="17"/>
      <c r="IW148" s="17"/>
      <c r="IX148" s="17"/>
      <c r="IY148" s="17"/>
      <c r="IZ148" s="17"/>
      <c r="JA148" s="17"/>
      <c r="JB148" s="17"/>
      <c r="JC148" s="17"/>
      <c r="JD148" s="17"/>
      <c r="JE148" s="17"/>
      <c r="JF148" s="17"/>
      <c r="JG148" s="17"/>
      <c r="JH148" s="17"/>
      <c r="JI148" s="17"/>
      <c r="JJ148" s="17"/>
      <c r="JK148" s="17"/>
      <c r="JL148" s="17"/>
      <c r="JM148" s="17"/>
      <c r="JN148" s="17"/>
      <c r="JO148" s="17"/>
      <c r="JP148" s="17"/>
      <c r="JQ148" s="17"/>
      <c r="JR148" s="17"/>
      <c r="JS148" s="17"/>
      <c r="JT148" s="17"/>
      <c r="JU148" s="17"/>
      <c r="JV148" s="17"/>
      <c r="JW148" s="17"/>
      <c r="JX148" s="17"/>
      <c r="JY148" s="17"/>
      <c r="JZ148" s="17"/>
      <c r="KA148" s="17"/>
      <c r="KB148" s="17"/>
      <c r="KC148" s="17"/>
      <c r="KD148" s="17"/>
      <c r="KE148" s="17"/>
      <c r="KF148" s="17"/>
      <c r="KG148" s="17"/>
      <c r="KH148" s="17"/>
      <c r="KI148" s="17"/>
      <c r="KJ148" s="17"/>
      <c r="KK148" s="17"/>
      <c r="KL148" s="17"/>
      <c r="KM148" s="17"/>
      <c r="KN148" s="17"/>
      <c r="KO148" s="17"/>
      <c r="KP148" s="17"/>
      <c r="KQ148" s="17"/>
      <c r="KR148" s="17"/>
      <c r="KS148" s="17"/>
      <c r="KT148" s="17"/>
      <c r="KU148" s="17"/>
      <c r="KV148" s="17"/>
      <c r="KW148" s="17"/>
      <c r="KX148" s="17"/>
      <c r="KY148" s="17"/>
    </row>
    <row r="149" spans="1:311" x14ac:dyDescent="0.25">
      <c r="A149" s="17"/>
      <c r="B149" s="17"/>
      <c r="C149" s="17"/>
      <c r="D149" s="17"/>
      <c r="E149" s="17"/>
      <c r="F149" s="17"/>
      <c r="G149" s="17"/>
      <c r="H149" s="17"/>
      <c r="I149" s="17"/>
      <c r="J149" s="17"/>
      <c r="K149" s="17"/>
      <c r="L149" s="17"/>
      <c r="M149" s="17"/>
      <c r="N149" s="17"/>
      <c r="O149" s="17"/>
      <c r="P149" s="17"/>
      <c r="Q149" s="17"/>
      <c r="R149" s="17"/>
      <c r="S149" s="17"/>
      <c r="T149" s="17"/>
      <c r="U149" s="17"/>
      <c r="V149" s="17"/>
      <c r="W149" s="17"/>
      <c r="X149" s="17"/>
      <c r="Y149" s="17"/>
      <c r="Z149" s="17"/>
      <c r="AA149" s="17"/>
      <c r="AB149" s="17"/>
      <c r="AC149" s="17"/>
      <c r="AD149" s="17"/>
      <c r="AE149" s="17"/>
      <c r="AF149" s="17"/>
      <c r="AG149" s="17"/>
      <c r="AH149" s="17"/>
      <c r="AI149" s="17"/>
      <c r="AJ149" s="17"/>
      <c r="AK149" s="17"/>
      <c r="AL149" s="17"/>
      <c r="AM149" s="17"/>
      <c r="AN149" s="17"/>
      <c r="AO149" s="17"/>
      <c r="AP149" s="17"/>
      <c r="AQ149" s="17"/>
      <c r="AR149" s="17"/>
      <c r="AS149" s="17"/>
      <c r="AT149" s="17"/>
      <c r="AU149" s="17"/>
      <c r="AV149" s="17"/>
      <c r="AW149" s="17"/>
      <c r="AX149" s="17"/>
      <c r="AY149" s="17"/>
      <c r="AZ149" s="17"/>
      <c r="BA149" s="17"/>
      <c r="BB149" s="17"/>
      <c r="BC149" s="17"/>
      <c r="BD149" s="17"/>
      <c r="BE149" s="17"/>
      <c r="BF149" s="17"/>
      <c r="BG149" s="17"/>
      <c r="BH149" s="17"/>
      <c r="BI149" s="17"/>
      <c r="BJ149" s="17"/>
      <c r="BK149" s="17"/>
      <c r="BL149" s="17"/>
      <c r="BM149" s="17"/>
      <c r="BN149" s="17"/>
      <c r="BO149" s="17"/>
      <c r="BP149" s="17"/>
      <c r="BQ149" s="17"/>
      <c r="BR149" s="17"/>
      <c r="BS149" s="17"/>
      <c r="BT149" s="17"/>
      <c r="BU149" s="17"/>
      <c r="BV149" s="17"/>
      <c r="BW149" s="17"/>
      <c r="BX149" s="17"/>
      <c r="BY149" s="17"/>
      <c r="BZ149" s="17"/>
      <c r="CA149" s="17"/>
      <c r="CB149" s="17"/>
      <c r="CC149" s="17"/>
      <c r="CD149" s="17"/>
      <c r="CE149" s="17"/>
      <c r="CF149" s="17"/>
      <c r="CG149" s="17"/>
      <c r="CH149" s="17"/>
      <c r="CI149" s="17"/>
      <c r="CJ149" s="17"/>
      <c r="CK149" s="17"/>
      <c r="CL149" s="17"/>
      <c r="CM149" s="17"/>
      <c r="CN149" s="17"/>
      <c r="CO149" s="17"/>
      <c r="CP149" s="17"/>
      <c r="CQ149" s="17"/>
      <c r="CR149" s="17"/>
      <c r="CS149" s="17"/>
      <c r="CT149" s="17"/>
      <c r="CU149" s="17"/>
      <c r="CV149" s="17"/>
      <c r="CW149" s="17"/>
      <c r="CX149" s="17"/>
      <c r="CY149" s="17"/>
      <c r="CZ149" s="17"/>
      <c r="DA149" s="17"/>
      <c r="DB149" s="17"/>
      <c r="DC149" s="17"/>
      <c r="DD149" s="17"/>
      <c r="DE149" s="17"/>
      <c r="DF149" s="17"/>
      <c r="DG149" s="17"/>
      <c r="DH149" s="17"/>
      <c r="DI149" s="17"/>
      <c r="DJ149" s="17"/>
      <c r="DK149" s="17"/>
      <c r="DL149" s="17"/>
      <c r="DM149" s="17"/>
      <c r="DN149" s="17"/>
      <c r="DO149" s="17"/>
      <c r="DP149" s="17"/>
      <c r="DQ149" s="17"/>
      <c r="DR149" s="17"/>
      <c r="DS149" s="17"/>
      <c r="DT149" s="17"/>
      <c r="DU149" s="17"/>
      <c r="DV149" s="17"/>
      <c r="DW149" s="17"/>
      <c r="DX149" s="17"/>
      <c r="DY149" s="17"/>
      <c r="DZ149" s="17"/>
      <c r="EA149" s="17"/>
      <c r="EB149" s="17"/>
      <c r="EC149" s="17"/>
      <c r="ED149" s="17"/>
      <c r="EE149" s="17"/>
      <c r="EF149" s="17"/>
      <c r="EG149" s="17"/>
      <c r="EH149" s="17"/>
      <c r="EI149" s="17"/>
      <c r="EJ149" s="17"/>
      <c r="EK149" s="17"/>
      <c r="EL149" s="17"/>
      <c r="EM149" s="17"/>
      <c r="EN149" s="17"/>
      <c r="EO149" s="17"/>
      <c r="EP149" s="17"/>
      <c r="EQ149" s="17"/>
      <c r="ER149" s="17"/>
      <c r="ES149" s="17"/>
      <c r="ET149" s="17"/>
      <c r="EU149" s="17"/>
      <c r="EV149" s="17"/>
      <c r="EW149" s="17"/>
      <c r="EX149" s="17"/>
      <c r="EY149" s="17"/>
      <c r="EZ149" s="17"/>
      <c r="FA149" s="17"/>
      <c r="FB149" s="17"/>
      <c r="FC149" s="17"/>
      <c r="FD149" s="17"/>
      <c r="FE149" s="17"/>
      <c r="FF149" s="17"/>
      <c r="FG149" s="17"/>
      <c r="FH149" s="17"/>
      <c r="FI149" s="17"/>
      <c r="FJ149" s="17"/>
      <c r="FK149" s="17"/>
      <c r="FL149" s="17"/>
      <c r="FM149" s="17"/>
      <c r="FN149" s="17"/>
      <c r="FO149" s="17"/>
      <c r="FP149" s="17"/>
      <c r="FQ149" s="17"/>
      <c r="FR149" s="17"/>
      <c r="FS149" s="17"/>
      <c r="FT149" s="17"/>
      <c r="FU149" s="17"/>
      <c r="FV149" s="17"/>
      <c r="FW149" s="17"/>
      <c r="FX149" s="17"/>
      <c r="FY149" s="17"/>
      <c r="FZ149" s="17"/>
      <c r="GA149" s="17"/>
      <c r="GB149" s="17"/>
      <c r="GC149" s="17"/>
      <c r="GD149" s="17"/>
      <c r="GE149" s="17"/>
      <c r="GF149" s="17"/>
      <c r="GG149" s="17"/>
      <c r="GH149" s="17"/>
      <c r="GI149" s="17"/>
      <c r="GJ149" s="17"/>
      <c r="GK149" s="17"/>
      <c r="GL149" s="17"/>
      <c r="GM149" s="17"/>
      <c r="GN149" s="17"/>
      <c r="GO149" s="17"/>
      <c r="GP149" s="17"/>
      <c r="GQ149" s="17"/>
      <c r="GR149" s="17"/>
      <c r="GS149" s="17"/>
      <c r="GT149" s="17"/>
      <c r="GU149" s="17"/>
      <c r="GV149" s="17"/>
      <c r="GW149" s="17"/>
      <c r="GX149" s="17"/>
      <c r="GY149" s="17"/>
      <c r="GZ149" s="17"/>
      <c r="HA149" s="17"/>
      <c r="HB149" s="17"/>
      <c r="HC149" s="17"/>
      <c r="HD149" s="17"/>
      <c r="HE149" s="17"/>
      <c r="HF149" s="17"/>
      <c r="HG149" s="17"/>
      <c r="HH149" s="17"/>
      <c r="HI149" s="17"/>
      <c r="HJ149" s="17"/>
      <c r="HK149" s="17"/>
      <c r="HL149" s="17"/>
      <c r="HM149" s="17"/>
      <c r="HN149" s="17"/>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17"/>
      <c r="JT149" s="17"/>
      <c r="JU149" s="17"/>
      <c r="JV149" s="17"/>
      <c r="JW149" s="17"/>
      <c r="JX149" s="17"/>
      <c r="JY149" s="17"/>
      <c r="JZ149" s="17"/>
      <c r="KA149" s="17"/>
      <c r="KB149" s="17"/>
      <c r="KC149" s="17"/>
      <c r="KD149" s="17"/>
      <c r="KE149" s="17"/>
      <c r="KF149" s="17"/>
      <c r="KG149" s="17"/>
      <c r="KH149" s="17"/>
      <c r="KI149" s="17"/>
      <c r="KJ149" s="17"/>
      <c r="KK149" s="17"/>
      <c r="KL149" s="17"/>
      <c r="KM149" s="17"/>
      <c r="KN149" s="17"/>
      <c r="KO149" s="17"/>
      <c r="KP149" s="17"/>
      <c r="KQ149" s="17"/>
      <c r="KR149" s="17"/>
      <c r="KS149" s="17"/>
      <c r="KT149" s="17"/>
      <c r="KU149" s="17"/>
      <c r="KV149" s="17"/>
      <c r="KW149" s="17"/>
      <c r="KX149" s="17"/>
      <c r="KY149" s="17"/>
    </row>
    <row r="150" spans="1:311" x14ac:dyDescent="0.25">
      <c r="A150" s="17"/>
      <c r="B150" s="17"/>
      <c r="C150" s="17"/>
      <c r="D150" s="17"/>
      <c r="E150" s="17"/>
      <c r="F150" s="17"/>
      <c r="G150" s="17"/>
      <c r="H150" s="17"/>
      <c r="I150" s="17"/>
      <c r="J150" s="17"/>
      <c r="K150" s="17"/>
      <c r="L150" s="17"/>
      <c r="M150" s="17"/>
      <c r="N150" s="17"/>
      <c r="O150" s="17"/>
      <c r="P150" s="17"/>
      <c r="Q150" s="17"/>
      <c r="R150" s="17"/>
      <c r="S150" s="17"/>
      <c r="T150" s="17"/>
      <c r="U150" s="17"/>
      <c r="V150" s="17"/>
      <c r="W150" s="17"/>
      <c r="X150" s="17"/>
      <c r="Y150" s="17"/>
      <c r="Z150" s="17"/>
      <c r="AA150" s="17"/>
      <c r="AB150" s="17"/>
      <c r="AC150" s="17"/>
      <c r="AD150" s="17"/>
      <c r="AE150" s="17"/>
      <c r="AF150" s="17"/>
      <c r="AG150" s="17"/>
      <c r="AH150" s="17"/>
      <c r="AI150" s="17"/>
      <c r="AJ150" s="17"/>
      <c r="AK150" s="17"/>
      <c r="AL150" s="17"/>
      <c r="AM150" s="17"/>
      <c r="AN150" s="17"/>
      <c r="AO150" s="17"/>
      <c r="AP150" s="17"/>
      <c r="AQ150" s="17"/>
      <c r="AR150" s="17"/>
      <c r="AS150" s="17"/>
      <c r="AT150" s="17"/>
      <c r="AU150" s="17"/>
      <c r="AV150" s="17"/>
      <c r="AW150" s="17"/>
      <c r="AX150" s="17"/>
      <c r="AY150" s="17"/>
      <c r="AZ150" s="17"/>
      <c r="BA150" s="17"/>
      <c r="BB150" s="17"/>
      <c r="BC150" s="17"/>
      <c r="BD150" s="17"/>
      <c r="BE150" s="17"/>
      <c r="BF150" s="17"/>
      <c r="BG150" s="17"/>
      <c r="BH150" s="17"/>
      <c r="BI150" s="17"/>
      <c r="BJ150" s="17"/>
      <c r="BK150" s="17"/>
      <c r="BL150" s="17"/>
      <c r="BM150" s="17"/>
      <c r="BN150" s="17"/>
      <c r="BO150" s="17"/>
      <c r="BP150" s="17"/>
      <c r="BQ150" s="17"/>
      <c r="BR150" s="17"/>
      <c r="BS150" s="17"/>
      <c r="BT150" s="17"/>
      <c r="BU150" s="17"/>
      <c r="BV150" s="17"/>
      <c r="BW150" s="17"/>
      <c r="BX150" s="17"/>
      <c r="BY150" s="17"/>
      <c r="BZ150" s="17"/>
      <c r="CA150" s="17"/>
      <c r="CB150" s="17"/>
      <c r="CC150" s="17"/>
      <c r="CD150" s="17"/>
      <c r="CE150" s="17"/>
      <c r="CF150" s="17"/>
      <c r="CG150" s="17"/>
      <c r="CH150" s="17"/>
      <c r="CI150" s="17"/>
      <c r="CJ150" s="17"/>
      <c r="CK150" s="17"/>
      <c r="CL150" s="17"/>
      <c r="CM150" s="17"/>
      <c r="CN150" s="17"/>
      <c r="CO150" s="17"/>
      <c r="CP150" s="17"/>
      <c r="CQ150" s="17"/>
      <c r="CR150" s="17"/>
      <c r="CS150" s="17"/>
      <c r="CT150" s="17"/>
      <c r="CU150" s="17"/>
      <c r="CV150" s="17"/>
      <c r="CW150" s="17"/>
      <c r="CX150" s="17"/>
      <c r="CY150" s="17"/>
      <c r="CZ150" s="17"/>
      <c r="DA150" s="17"/>
      <c r="DB150" s="17"/>
      <c r="DC150" s="17"/>
      <c r="DD150" s="17"/>
      <c r="DE150" s="17"/>
      <c r="DF150" s="17"/>
      <c r="DG150" s="17"/>
      <c r="DH150" s="17"/>
      <c r="DI150" s="17"/>
      <c r="DJ150" s="17"/>
      <c r="DK150" s="17"/>
      <c r="DL150" s="17"/>
      <c r="DM150" s="17"/>
      <c r="DN150" s="17"/>
      <c r="DO150" s="17"/>
      <c r="DP150" s="17"/>
      <c r="DQ150" s="17"/>
      <c r="DR150" s="17"/>
      <c r="DS150" s="17"/>
      <c r="DT150" s="17"/>
      <c r="DU150" s="17"/>
      <c r="DV150" s="17"/>
      <c r="DW150" s="17"/>
      <c r="DX150" s="17"/>
      <c r="DY150" s="17"/>
      <c r="DZ150" s="17"/>
      <c r="EA150" s="17"/>
      <c r="EB150" s="17"/>
      <c r="EC150" s="17"/>
      <c r="ED150" s="17"/>
      <c r="EE150" s="17"/>
      <c r="EF150" s="17"/>
      <c r="EG150" s="17"/>
      <c r="EH150" s="17"/>
      <c r="EI150" s="17"/>
      <c r="EJ150" s="17"/>
      <c r="EK150" s="17"/>
      <c r="EL150" s="17"/>
      <c r="EM150" s="17"/>
      <c r="EN150" s="17"/>
      <c r="EO150" s="17"/>
      <c r="EP150" s="17"/>
      <c r="EQ150" s="17"/>
      <c r="ER150" s="17"/>
      <c r="ES150" s="17"/>
      <c r="ET150" s="17"/>
      <c r="EU150" s="17"/>
      <c r="EV150" s="17"/>
      <c r="EW150" s="17"/>
      <c r="EX150" s="17"/>
      <c r="EY150" s="17"/>
      <c r="EZ150" s="17"/>
      <c r="FA150" s="17"/>
      <c r="FB150" s="17"/>
      <c r="FC150" s="17"/>
      <c r="FD150" s="17"/>
      <c r="FE150" s="17"/>
      <c r="FF150" s="17"/>
      <c r="FG150" s="17"/>
      <c r="FH150" s="17"/>
      <c r="FI150" s="17"/>
      <c r="FJ150" s="17"/>
      <c r="FK150" s="17"/>
      <c r="FL150" s="17"/>
      <c r="FM150" s="17"/>
      <c r="FN150" s="17"/>
      <c r="FO150" s="17"/>
      <c r="FP150" s="17"/>
      <c r="FQ150" s="17"/>
      <c r="FR150" s="17"/>
      <c r="FS150" s="17"/>
      <c r="FT150" s="17"/>
      <c r="FU150" s="17"/>
      <c r="FV150" s="17"/>
      <c r="FW150" s="17"/>
      <c r="FX150" s="17"/>
      <c r="FY150" s="17"/>
      <c r="FZ150" s="17"/>
      <c r="GA150" s="17"/>
      <c r="GB150" s="17"/>
      <c r="GC150" s="17"/>
      <c r="GD150" s="17"/>
      <c r="GE150" s="17"/>
      <c r="GF150" s="17"/>
      <c r="GG150" s="17"/>
      <c r="GH150" s="17"/>
      <c r="GI150" s="17"/>
      <c r="GJ150" s="17"/>
      <c r="GK150" s="17"/>
      <c r="GL150" s="17"/>
      <c r="GM150" s="17"/>
      <c r="GN150" s="17"/>
      <c r="GO150" s="17"/>
      <c r="GP150" s="17"/>
      <c r="GQ150" s="17"/>
      <c r="GR150" s="17"/>
      <c r="GS150" s="17"/>
      <c r="GT150" s="17"/>
      <c r="GU150" s="17"/>
      <c r="GV150" s="17"/>
      <c r="GW150" s="17"/>
      <c r="GX150" s="17"/>
      <c r="GY150" s="17"/>
      <c r="GZ150" s="17"/>
      <c r="HA150" s="17"/>
      <c r="HB150" s="17"/>
      <c r="HC150" s="17"/>
      <c r="HD150" s="17"/>
      <c r="HE150" s="17"/>
      <c r="HF150" s="17"/>
      <c r="HG150" s="17"/>
      <c r="HH150" s="17"/>
      <c r="HI150" s="17"/>
      <c r="HJ150" s="17"/>
      <c r="HK150" s="17"/>
      <c r="HL150" s="17"/>
      <c r="HM150" s="17"/>
      <c r="HN150" s="17"/>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17"/>
      <c r="JT150" s="17"/>
      <c r="JU150" s="17"/>
      <c r="JV150" s="17"/>
      <c r="JW150" s="17"/>
      <c r="JX150" s="17"/>
      <c r="JY150" s="17"/>
      <c r="JZ150" s="17"/>
      <c r="KA150" s="17"/>
      <c r="KB150" s="17"/>
      <c r="KC150" s="17"/>
      <c r="KD150" s="17"/>
      <c r="KE150" s="17"/>
      <c r="KF150" s="17"/>
      <c r="KG150" s="17"/>
      <c r="KH150" s="17"/>
      <c r="KI150" s="17"/>
      <c r="KJ150" s="17"/>
      <c r="KK150" s="17"/>
      <c r="KL150" s="17"/>
      <c r="KM150" s="17"/>
      <c r="KN150" s="17"/>
      <c r="KO150" s="17"/>
      <c r="KP150" s="17"/>
      <c r="KQ150" s="17"/>
      <c r="KR150" s="17"/>
      <c r="KS150" s="17"/>
      <c r="KT150" s="17"/>
      <c r="KU150" s="17"/>
      <c r="KV150" s="17"/>
      <c r="KW150" s="17"/>
      <c r="KX150" s="17"/>
      <c r="KY150" s="17"/>
    </row>
    <row r="151" spans="1:311" x14ac:dyDescent="0.25">
      <c r="A151" s="17"/>
      <c r="B151" s="17"/>
      <c r="C151" s="17"/>
      <c r="D151" s="17"/>
      <c r="E151" s="17"/>
      <c r="F151" s="17"/>
      <c r="G151" s="17"/>
      <c r="H151" s="17"/>
      <c r="I151" s="17"/>
      <c r="J151" s="17"/>
      <c r="K151" s="17"/>
      <c r="L151" s="17"/>
      <c r="M151" s="17"/>
      <c r="N151" s="17"/>
      <c r="O151" s="17"/>
      <c r="P151" s="17"/>
      <c r="Q151" s="17"/>
      <c r="R151" s="17"/>
      <c r="S151" s="17"/>
      <c r="T151" s="17"/>
      <c r="U151" s="17"/>
      <c r="V151" s="17"/>
      <c r="W151" s="17"/>
      <c r="X151" s="17"/>
      <c r="Y151" s="17"/>
      <c r="Z151" s="17"/>
      <c r="AA151" s="17"/>
      <c r="AB151" s="17"/>
      <c r="AC151" s="17"/>
      <c r="AD151" s="17"/>
      <c r="AE151" s="17"/>
      <c r="AF151" s="17"/>
      <c r="AG151" s="17"/>
      <c r="AH151" s="17"/>
      <c r="AI151" s="17"/>
      <c r="AJ151" s="17"/>
      <c r="AK151" s="17"/>
      <c r="AL151" s="17"/>
      <c r="AM151" s="17"/>
      <c r="AN151" s="17"/>
      <c r="AO151" s="17"/>
      <c r="AP151" s="17"/>
      <c r="AQ151" s="17"/>
      <c r="AR151" s="17"/>
      <c r="AS151" s="17"/>
      <c r="AT151" s="17"/>
      <c r="AU151" s="17"/>
      <c r="AV151" s="17"/>
      <c r="AW151" s="17"/>
      <c r="AX151" s="17"/>
      <c r="AY151" s="17"/>
      <c r="AZ151" s="17"/>
      <c r="BA151" s="17"/>
      <c r="BB151" s="17"/>
      <c r="BC151" s="17"/>
      <c r="BD151" s="17"/>
      <c r="BE151" s="17"/>
      <c r="BF151" s="17"/>
      <c r="BG151" s="17"/>
      <c r="BH151" s="17"/>
      <c r="BI151" s="17"/>
      <c r="BJ151" s="17"/>
      <c r="BK151" s="17"/>
      <c r="BL151" s="17"/>
      <c r="BM151" s="17"/>
      <c r="BN151" s="17"/>
      <c r="BO151" s="17"/>
      <c r="BP151" s="17"/>
      <c r="BQ151" s="17"/>
      <c r="BR151" s="17"/>
      <c r="BS151" s="17"/>
      <c r="BT151" s="17"/>
      <c r="BU151" s="17"/>
      <c r="BV151" s="17"/>
      <c r="BW151" s="17"/>
      <c r="BX151" s="17"/>
      <c r="BY151" s="17"/>
      <c r="BZ151" s="17"/>
      <c r="CA151" s="17"/>
      <c r="CB151" s="17"/>
      <c r="CC151" s="17"/>
      <c r="CD151" s="17"/>
      <c r="CE151" s="17"/>
      <c r="CF151" s="17"/>
      <c r="CG151" s="17"/>
      <c r="CH151" s="17"/>
      <c r="CI151" s="17"/>
      <c r="CJ151" s="17"/>
      <c r="CK151" s="17"/>
      <c r="CL151" s="17"/>
      <c r="CM151" s="17"/>
      <c r="CN151" s="17"/>
      <c r="CO151" s="17"/>
      <c r="CP151" s="17"/>
      <c r="CQ151" s="17"/>
      <c r="CR151" s="17"/>
      <c r="CS151" s="17"/>
      <c r="CT151" s="17"/>
      <c r="CU151" s="17"/>
      <c r="CV151" s="17"/>
      <c r="CW151" s="17"/>
      <c r="CX151" s="17"/>
      <c r="CY151" s="17"/>
      <c r="CZ151" s="17"/>
      <c r="DA151" s="17"/>
      <c r="DB151" s="17"/>
      <c r="DC151" s="17"/>
      <c r="DD151" s="17"/>
      <c r="DE151" s="17"/>
      <c r="DF151" s="17"/>
      <c r="DG151" s="17"/>
      <c r="DH151" s="17"/>
      <c r="DI151" s="17"/>
      <c r="DJ151" s="17"/>
      <c r="DK151" s="17"/>
      <c r="DL151" s="17"/>
      <c r="DM151" s="17"/>
      <c r="DN151" s="17"/>
      <c r="DO151" s="17"/>
      <c r="DP151" s="17"/>
      <c r="DQ151" s="17"/>
      <c r="DR151" s="17"/>
      <c r="DS151" s="17"/>
      <c r="DT151" s="17"/>
      <c r="DU151" s="17"/>
      <c r="DV151" s="17"/>
      <c r="DW151" s="17"/>
      <c r="DX151" s="17"/>
      <c r="DY151" s="17"/>
      <c r="DZ151" s="17"/>
      <c r="EA151" s="17"/>
      <c r="EB151" s="17"/>
      <c r="EC151" s="17"/>
      <c r="ED151" s="17"/>
      <c r="EE151" s="17"/>
      <c r="EF151" s="17"/>
      <c r="EG151" s="17"/>
      <c r="EH151" s="17"/>
      <c r="EI151" s="17"/>
      <c r="EJ151" s="17"/>
      <c r="EK151" s="17"/>
      <c r="EL151" s="17"/>
      <c r="EM151" s="17"/>
      <c r="EN151" s="17"/>
      <c r="EO151" s="17"/>
      <c r="EP151" s="17"/>
      <c r="EQ151" s="17"/>
      <c r="ER151" s="17"/>
      <c r="ES151" s="17"/>
      <c r="ET151" s="17"/>
      <c r="EU151" s="17"/>
      <c r="EV151" s="17"/>
      <c r="EW151" s="17"/>
      <c r="EX151" s="17"/>
      <c r="EY151" s="17"/>
      <c r="EZ151" s="17"/>
      <c r="FA151" s="17"/>
      <c r="FB151" s="17"/>
      <c r="FC151" s="17"/>
      <c r="FD151" s="17"/>
      <c r="FE151" s="17"/>
      <c r="FF151" s="17"/>
      <c r="FG151" s="17"/>
      <c r="FH151" s="17"/>
      <c r="FI151" s="17"/>
      <c r="FJ151" s="17"/>
      <c r="FK151" s="17"/>
      <c r="FL151" s="17"/>
      <c r="FM151" s="17"/>
      <c r="FN151" s="17"/>
      <c r="FO151" s="17"/>
      <c r="FP151" s="17"/>
      <c r="FQ151" s="17"/>
      <c r="FR151" s="17"/>
      <c r="FS151" s="17"/>
      <c r="FT151" s="17"/>
      <c r="FU151" s="17"/>
      <c r="FV151" s="17"/>
      <c r="FW151" s="17"/>
      <c r="FX151" s="17"/>
      <c r="FY151" s="17"/>
      <c r="FZ151" s="17"/>
      <c r="GA151" s="17"/>
      <c r="GB151" s="17"/>
      <c r="GC151" s="17"/>
      <c r="GD151" s="17"/>
      <c r="GE151" s="17"/>
      <c r="GF151" s="17"/>
      <c r="GG151" s="17"/>
      <c r="GH151" s="17"/>
      <c r="GI151" s="17"/>
      <c r="GJ151" s="17"/>
      <c r="GK151" s="17"/>
      <c r="GL151" s="17"/>
      <c r="GM151" s="17"/>
      <c r="GN151" s="17"/>
      <c r="GO151" s="17"/>
      <c r="GP151" s="17"/>
      <c r="GQ151" s="17"/>
      <c r="GR151" s="17"/>
      <c r="GS151" s="17"/>
      <c r="GT151" s="17"/>
      <c r="GU151" s="17"/>
      <c r="GV151" s="17"/>
      <c r="GW151" s="17"/>
      <c r="GX151" s="17"/>
      <c r="GY151" s="17"/>
      <c r="GZ151" s="17"/>
      <c r="HA151" s="17"/>
      <c r="HB151" s="17"/>
      <c r="HC151" s="17"/>
      <c r="HD151" s="17"/>
      <c r="HE151" s="17"/>
      <c r="HF151" s="17"/>
      <c r="HG151" s="17"/>
      <c r="HH151" s="17"/>
      <c r="HI151" s="17"/>
      <c r="HJ151" s="17"/>
      <c r="HK151" s="17"/>
      <c r="HL151" s="17"/>
      <c r="HM151" s="17"/>
      <c r="HN151" s="17"/>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7"/>
      <c r="JT151" s="17"/>
      <c r="JU151" s="17"/>
      <c r="JV151" s="17"/>
      <c r="JW151" s="17"/>
      <c r="JX151" s="17"/>
      <c r="JY151" s="17"/>
      <c r="JZ151" s="17"/>
      <c r="KA151" s="17"/>
      <c r="KB151" s="17"/>
      <c r="KC151" s="17"/>
      <c r="KD151" s="17"/>
      <c r="KE151" s="17"/>
      <c r="KF151" s="17"/>
      <c r="KG151" s="17"/>
      <c r="KH151" s="17"/>
      <c r="KI151" s="17"/>
      <c r="KJ151" s="17"/>
      <c r="KK151" s="17"/>
      <c r="KL151" s="17"/>
      <c r="KM151" s="17"/>
      <c r="KN151" s="17"/>
      <c r="KO151" s="17"/>
      <c r="KP151" s="17"/>
      <c r="KQ151" s="17"/>
      <c r="KR151" s="17"/>
      <c r="KS151" s="17"/>
      <c r="KT151" s="17"/>
      <c r="KU151" s="17"/>
      <c r="KV151" s="17"/>
      <c r="KW151" s="17"/>
      <c r="KX151" s="17"/>
      <c r="KY151" s="17"/>
    </row>
    <row r="152" spans="1:311" x14ac:dyDescent="0.25">
      <c r="A152" s="17"/>
      <c r="B152" s="17"/>
      <c r="C152" s="17"/>
      <c r="D152" s="17"/>
      <c r="E152" s="17"/>
      <c r="F152" s="17"/>
      <c r="G152" s="17"/>
      <c r="H152" s="17"/>
      <c r="I152" s="17"/>
      <c r="J152" s="17"/>
      <c r="K152" s="17"/>
      <c r="L152" s="17"/>
      <c r="M152" s="17"/>
      <c r="N152" s="17"/>
      <c r="O152" s="17"/>
      <c r="P152" s="17"/>
      <c r="Q152" s="17"/>
      <c r="R152" s="17"/>
      <c r="S152" s="17"/>
      <c r="T152" s="17"/>
      <c r="U152" s="17"/>
      <c r="V152" s="17"/>
      <c r="W152" s="17"/>
      <c r="X152" s="17"/>
      <c r="Y152" s="17"/>
      <c r="Z152" s="17"/>
      <c r="AA152" s="17"/>
      <c r="AB152" s="17"/>
      <c r="AC152" s="17"/>
      <c r="AD152" s="17"/>
      <c r="AE152" s="17"/>
      <c r="AF152" s="17"/>
      <c r="AG152" s="17"/>
      <c r="AH152" s="17"/>
      <c r="AI152" s="17"/>
      <c r="AJ152" s="17"/>
      <c r="AK152" s="17"/>
      <c r="AL152" s="17"/>
      <c r="AM152" s="17"/>
      <c r="AN152" s="17"/>
      <c r="AO152" s="17"/>
      <c r="AP152" s="17"/>
      <c r="AQ152" s="17"/>
      <c r="AR152" s="17"/>
      <c r="AS152" s="17"/>
      <c r="AT152" s="17"/>
      <c r="AU152" s="17"/>
      <c r="AV152" s="17"/>
      <c r="AW152" s="17"/>
      <c r="AX152" s="17"/>
      <c r="AY152" s="17"/>
      <c r="AZ152" s="17"/>
      <c r="BA152" s="17"/>
      <c r="BB152" s="17"/>
      <c r="BC152" s="17"/>
      <c r="BD152" s="17"/>
      <c r="BE152" s="17"/>
      <c r="BF152" s="17"/>
      <c r="BG152" s="17"/>
      <c r="BH152" s="17"/>
      <c r="BI152" s="17"/>
      <c r="BJ152" s="17"/>
      <c r="BK152" s="17"/>
      <c r="BL152" s="17"/>
      <c r="BM152" s="17"/>
      <c r="BN152" s="17"/>
      <c r="BO152" s="17"/>
      <c r="BP152" s="17"/>
      <c r="BQ152" s="17"/>
      <c r="BR152" s="17"/>
      <c r="BS152" s="17"/>
      <c r="BT152" s="17"/>
      <c r="BU152" s="17"/>
      <c r="BV152" s="17"/>
      <c r="BW152" s="17"/>
      <c r="BX152" s="17"/>
      <c r="BY152" s="17"/>
      <c r="BZ152" s="17"/>
      <c r="CA152" s="17"/>
      <c r="CB152" s="17"/>
      <c r="CC152" s="17"/>
      <c r="CD152" s="17"/>
      <c r="CE152" s="17"/>
      <c r="CF152" s="17"/>
      <c r="CG152" s="17"/>
      <c r="CH152" s="17"/>
      <c r="CI152" s="17"/>
      <c r="CJ152" s="17"/>
      <c r="CK152" s="17"/>
      <c r="CL152" s="17"/>
      <c r="CM152" s="17"/>
      <c r="CN152" s="17"/>
      <c r="CO152" s="17"/>
      <c r="CP152" s="17"/>
      <c r="CQ152" s="17"/>
      <c r="CR152" s="17"/>
      <c r="CS152" s="17"/>
      <c r="CT152" s="17"/>
      <c r="CU152" s="17"/>
      <c r="CV152" s="17"/>
      <c r="CW152" s="17"/>
      <c r="CX152" s="17"/>
      <c r="CY152" s="17"/>
      <c r="CZ152" s="17"/>
      <c r="DA152" s="17"/>
      <c r="DB152" s="17"/>
      <c r="DC152" s="17"/>
      <c r="DD152" s="17"/>
      <c r="DE152" s="17"/>
      <c r="DF152" s="17"/>
      <c r="DG152" s="17"/>
      <c r="DH152" s="17"/>
      <c r="DI152" s="17"/>
      <c r="DJ152" s="17"/>
      <c r="DK152" s="17"/>
      <c r="DL152" s="17"/>
      <c r="DM152" s="17"/>
      <c r="DN152" s="17"/>
      <c r="DO152" s="17"/>
      <c r="DP152" s="17"/>
      <c r="DQ152" s="17"/>
      <c r="DR152" s="17"/>
      <c r="DS152" s="17"/>
      <c r="DT152" s="17"/>
      <c r="DU152" s="17"/>
      <c r="DV152" s="17"/>
      <c r="DW152" s="17"/>
      <c r="DX152" s="17"/>
      <c r="DY152" s="17"/>
      <c r="DZ152" s="17"/>
      <c r="EA152" s="17"/>
      <c r="EB152" s="17"/>
      <c r="EC152" s="17"/>
      <c r="ED152" s="17"/>
      <c r="EE152" s="17"/>
      <c r="EF152" s="17"/>
      <c r="EG152" s="17"/>
      <c r="EH152" s="17"/>
      <c r="EI152" s="17"/>
      <c r="EJ152" s="17"/>
      <c r="EK152" s="17"/>
      <c r="EL152" s="17"/>
      <c r="EM152" s="17"/>
      <c r="EN152" s="17"/>
      <c r="EO152" s="17"/>
      <c r="EP152" s="17"/>
      <c r="EQ152" s="17"/>
      <c r="ER152" s="17"/>
      <c r="ES152" s="17"/>
      <c r="ET152" s="17"/>
      <c r="EU152" s="17"/>
      <c r="EV152" s="17"/>
      <c r="EW152" s="17"/>
      <c r="EX152" s="17"/>
      <c r="EY152" s="17"/>
      <c r="EZ152" s="17"/>
      <c r="FA152" s="17"/>
      <c r="FB152" s="17"/>
      <c r="FC152" s="17"/>
      <c r="FD152" s="17"/>
      <c r="FE152" s="17"/>
      <c r="FF152" s="17"/>
      <c r="FG152" s="17"/>
      <c r="FH152" s="17"/>
      <c r="FI152" s="17"/>
      <c r="FJ152" s="17"/>
      <c r="FK152" s="17"/>
      <c r="FL152" s="17"/>
      <c r="FM152" s="17"/>
      <c r="FN152" s="17"/>
      <c r="FO152" s="17"/>
      <c r="FP152" s="17"/>
      <c r="FQ152" s="17"/>
      <c r="FR152" s="17"/>
      <c r="FS152" s="17"/>
      <c r="FT152" s="17"/>
      <c r="FU152" s="17"/>
      <c r="FV152" s="17"/>
      <c r="FW152" s="17"/>
      <c r="FX152" s="17"/>
      <c r="FY152" s="17"/>
      <c r="FZ152" s="17"/>
      <c r="GA152" s="17"/>
      <c r="GB152" s="17"/>
      <c r="GC152" s="17"/>
      <c r="GD152" s="17"/>
      <c r="GE152" s="17"/>
      <c r="GF152" s="17"/>
      <c r="GG152" s="17"/>
      <c r="GH152" s="17"/>
      <c r="GI152" s="17"/>
      <c r="GJ152" s="17"/>
      <c r="GK152" s="17"/>
      <c r="GL152" s="17"/>
      <c r="GM152" s="17"/>
      <c r="GN152" s="17"/>
      <c r="GO152" s="17"/>
      <c r="GP152" s="17"/>
      <c r="GQ152" s="17"/>
      <c r="GR152" s="17"/>
      <c r="GS152" s="17"/>
      <c r="GT152" s="17"/>
      <c r="GU152" s="17"/>
      <c r="GV152" s="17"/>
      <c r="GW152" s="17"/>
      <c r="GX152" s="17"/>
      <c r="GY152" s="17"/>
      <c r="GZ152" s="17"/>
      <c r="HA152" s="17"/>
      <c r="HB152" s="17"/>
      <c r="HC152" s="17"/>
      <c r="HD152" s="17"/>
      <c r="HE152" s="17"/>
      <c r="HF152" s="17"/>
      <c r="HG152" s="17"/>
      <c r="HH152" s="17"/>
      <c r="HI152" s="17"/>
      <c r="HJ152" s="17"/>
      <c r="HK152" s="17"/>
      <c r="HL152" s="17"/>
      <c r="HM152" s="17"/>
      <c r="HN152" s="17"/>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JS152" s="17"/>
      <c r="JT152" s="17"/>
      <c r="JU152" s="17"/>
      <c r="JV152" s="17"/>
      <c r="JW152" s="17"/>
      <c r="JX152" s="17"/>
      <c r="JY152" s="17"/>
      <c r="JZ152" s="17"/>
      <c r="KA152" s="17"/>
      <c r="KB152" s="17"/>
      <c r="KC152" s="17"/>
      <c r="KD152" s="17"/>
      <c r="KE152" s="17"/>
      <c r="KF152" s="17"/>
      <c r="KG152" s="17"/>
      <c r="KH152" s="17"/>
      <c r="KI152" s="17"/>
      <c r="KJ152" s="17"/>
      <c r="KK152" s="17"/>
      <c r="KL152" s="17"/>
      <c r="KM152" s="17"/>
      <c r="KN152" s="17"/>
      <c r="KO152" s="17"/>
      <c r="KP152" s="17"/>
      <c r="KQ152" s="17"/>
      <c r="KR152" s="17"/>
      <c r="KS152" s="17"/>
      <c r="KT152" s="17"/>
      <c r="KU152" s="17"/>
      <c r="KV152" s="17"/>
      <c r="KW152" s="17"/>
      <c r="KX152" s="17"/>
      <c r="KY152" s="17"/>
    </row>
    <row r="153" spans="1:311" x14ac:dyDescent="0.25">
      <c r="A153" s="17"/>
      <c r="B153" s="17"/>
      <c r="C153" s="17"/>
      <c r="D153" s="17"/>
      <c r="E153" s="17"/>
      <c r="F153" s="17"/>
      <c r="G153" s="17"/>
      <c r="H153" s="17"/>
      <c r="I153" s="17"/>
      <c r="J153" s="17"/>
      <c r="K153" s="17"/>
      <c r="L153" s="17"/>
      <c r="M153" s="17"/>
      <c r="N153" s="17"/>
      <c r="O153" s="17"/>
      <c r="P153" s="17"/>
      <c r="Q153" s="17"/>
      <c r="R153" s="17"/>
      <c r="S153" s="17"/>
      <c r="T153" s="17"/>
      <c r="U153" s="17"/>
      <c r="V153" s="17"/>
      <c r="W153" s="17"/>
      <c r="X153" s="17"/>
      <c r="Y153" s="17"/>
      <c r="Z153" s="17"/>
      <c r="AA153" s="17"/>
      <c r="AB153" s="17"/>
      <c r="AC153" s="17"/>
      <c r="AD153" s="17"/>
      <c r="AE153" s="17"/>
      <c r="AF153" s="17"/>
      <c r="AG153" s="17"/>
      <c r="AH153" s="17"/>
      <c r="AI153" s="17"/>
      <c r="AJ153" s="17"/>
      <c r="AK153" s="17"/>
      <c r="AL153" s="17"/>
      <c r="AM153" s="17"/>
      <c r="AN153" s="17"/>
      <c r="AO153" s="17"/>
      <c r="AP153" s="17"/>
      <c r="AQ153" s="17"/>
      <c r="AR153" s="17"/>
      <c r="AS153" s="17"/>
      <c r="AT153" s="17"/>
      <c r="AU153" s="17"/>
      <c r="AV153" s="17"/>
      <c r="AW153" s="17"/>
      <c r="AX153" s="17"/>
      <c r="AY153" s="17"/>
      <c r="AZ153" s="17"/>
      <c r="BA153" s="17"/>
      <c r="BB153" s="17"/>
      <c r="BC153" s="17"/>
      <c r="BD153" s="17"/>
      <c r="BE153" s="17"/>
      <c r="BF153" s="17"/>
      <c r="BG153" s="17"/>
      <c r="BH153" s="17"/>
      <c r="BI153" s="17"/>
      <c r="BJ153" s="17"/>
      <c r="BK153" s="17"/>
      <c r="BL153" s="17"/>
      <c r="BM153" s="17"/>
      <c r="BN153" s="17"/>
      <c r="BO153" s="17"/>
      <c r="BP153" s="17"/>
      <c r="BQ153" s="17"/>
      <c r="BR153" s="17"/>
      <c r="BS153" s="17"/>
      <c r="BT153" s="17"/>
      <c r="BU153" s="17"/>
      <c r="BV153" s="17"/>
      <c r="BW153" s="17"/>
      <c r="BX153" s="17"/>
      <c r="BY153" s="17"/>
      <c r="BZ153" s="17"/>
      <c r="CA153" s="17"/>
      <c r="CB153" s="17"/>
      <c r="CC153" s="17"/>
      <c r="CD153" s="17"/>
      <c r="CE153" s="17"/>
      <c r="CF153" s="17"/>
      <c r="CG153" s="17"/>
      <c r="CH153" s="17"/>
      <c r="CI153" s="17"/>
      <c r="CJ153" s="17"/>
      <c r="CK153" s="17"/>
      <c r="CL153" s="17"/>
      <c r="CM153" s="17"/>
      <c r="CN153" s="17"/>
      <c r="CO153" s="17"/>
      <c r="CP153" s="17"/>
      <c r="CQ153" s="17"/>
      <c r="CR153" s="17"/>
      <c r="CS153" s="17"/>
      <c r="CT153" s="17"/>
      <c r="CU153" s="17"/>
      <c r="CV153" s="17"/>
      <c r="CW153" s="17"/>
      <c r="CX153" s="17"/>
      <c r="CY153" s="17"/>
      <c r="CZ153" s="17"/>
      <c r="DA153" s="17"/>
      <c r="DB153" s="17"/>
      <c r="DC153" s="17"/>
      <c r="DD153" s="17"/>
      <c r="DE153" s="17"/>
      <c r="DF153" s="17"/>
      <c r="DG153" s="17"/>
      <c r="DH153" s="17"/>
      <c r="DI153" s="17"/>
      <c r="DJ153" s="17"/>
      <c r="DK153" s="17"/>
      <c r="DL153" s="17"/>
      <c r="DM153" s="17"/>
      <c r="DN153" s="17"/>
      <c r="DO153" s="17"/>
      <c r="DP153" s="17"/>
      <c r="DQ153" s="17"/>
      <c r="DR153" s="17"/>
      <c r="DS153" s="17"/>
      <c r="DT153" s="17"/>
      <c r="DU153" s="17"/>
      <c r="DV153" s="17"/>
      <c r="DW153" s="17"/>
      <c r="DX153" s="17"/>
      <c r="DY153" s="17"/>
      <c r="DZ153" s="17"/>
      <c r="EA153" s="17"/>
      <c r="EB153" s="17"/>
      <c r="EC153" s="17"/>
      <c r="ED153" s="17"/>
      <c r="EE153" s="17"/>
      <c r="EF153" s="17"/>
      <c r="EG153" s="17"/>
      <c r="EH153" s="17"/>
      <c r="EI153" s="17"/>
      <c r="EJ153" s="17"/>
      <c r="EK153" s="17"/>
      <c r="EL153" s="17"/>
      <c r="EM153" s="17"/>
      <c r="EN153" s="17"/>
      <c r="EO153" s="17"/>
      <c r="EP153" s="17"/>
      <c r="EQ153" s="17"/>
      <c r="ER153" s="17"/>
      <c r="ES153" s="17"/>
      <c r="ET153" s="17"/>
      <c r="EU153" s="17"/>
      <c r="EV153" s="17"/>
      <c r="EW153" s="17"/>
      <c r="EX153" s="17"/>
      <c r="EY153" s="17"/>
      <c r="EZ153" s="17"/>
      <c r="FA153" s="17"/>
      <c r="FB153" s="17"/>
      <c r="FC153" s="17"/>
      <c r="FD153" s="17"/>
      <c r="FE153" s="17"/>
      <c r="FF153" s="17"/>
      <c r="FG153" s="17"/>
      <c r="FH153" s="17"/>
      <c r="FI153" s="17"/>
      <c r="FJ153" s="17"/>
      <c r="FK153" s="17"/>
      <c r="FL153" s="17"/>
      <c r="FM153" s="17"/>
      <c r="FN153" s="17"/>
      <c r="FO153" s="17"/>
      <c r="FP153" s="17"/>
      <c r="FQ153" s="17"/>
      <c r="FR153" s="17"/>
      <c r="FS153" s="17"/>
      <c r="FT153" s="17"/>
      <c r="FU153" s="17"/>
      <c r="FV153" s="17"/>
      <c r="FW153" s="17"/>
      <c r="FX153" s="17"/>
      <c r="FY153" s="17"/>
      <c r="FZ153" s="17"/>
      <c r="GA153" s="17"/>
      <c r="GB153" s="17"/>
      <c r="GC153" s="17"/>
      <c r="GD153" s="17"/>
      <c r="GE153" s="17"/>
      <c r="GF153" s="17"/>
      <c r="GG153" s="17"/>
      <c r="GH153" s="17"/>
      <c r="GI153" s="17"/>
      <c r="GJ153" s="17"/>
      <c r="GK153" s="17"/>
      <c r="GL153" s="17"/>
      <c r="GM153" s="17"/>
      <c r="GN153" s="17"/>
      <c r="GO153" s="17"/>
      <c r="GP153" s="17"/>
      <c r="GQ153" s="17"/>
      <c r="GR153" s="17"/>
      <c r="GS153" s="17"/>
      <c r="GT153" s="17"/>
      <c r="GU153" s="17"/>
      <c r="GV153" s="17"/>
      <c r="GW153" s="17"/>
      <c r="GX153" s="17"/>
      <c r="GY153" s="17"/>
      <c r="GZ153" s="17"/>
      <c r="HA153" s="17"/>
      <c r="HB153" s="17"/>
      <c r="HC153" s="17"/>
      <c r="HD153" s="17"/>
      <c r="HE153" s="17"/>
      <c r="HF153" s="17"/>
      <c r="HG153" s="17"/>
      <c r="HH153" s="17"/>
      <c r="HI153" s="17"/>
      <c r="HJ153" s="17"/>
      <c r="HK153" s="17"/>
      <c r="HL153" s="17"/>
      <c r="HM153" s="17"/>
      <c r="HN153" s="17"/>
      <c r="HO153" s="17"/>
      <c r="HP153" s="17"/>
      <c r="HQ153" s="17"/>
      <c r="HR153" s="17"/>
      <c r="HS153" s="17"/>
      <c r="HT153" s="17"/>
      <c r="HU153" s="17"/>
      <c r="HV153" s="17"/>
      <c r="HW153" s="17"/>
      <c r="HX153" s="17"/>
      <c r="HY153" s="17"/>
      <c r="HZ153" s="17"/>
      <c r="IA153" s="17"/>
      <c r="IB153" s="17"/>
      <c r="IC153" s="17"/>
      <c r="ID153" s="17"/>
      <c r="IE153" s="17"/>
      <c r="IF153" s="17"/>
      <c r="IG153" s="17"/>
      <c r="IH153" s="17"/>
      <c r="II153" s="17"/>
      <c r="IJ153" s="17"/>
      <c r="IK153" s="17"/>
      <c r="IL153" s="17"/>
      <c r="IM153" s="17"/>
      <c r="IN153" s="17"/>
      <c r="IO153" s="17"/>
      <c r="IP153" s="17"/>
      <c r="IQ153" s="17"/>
      <c r="IR153" s="17"/>
      <c r="IS153" s="17"/>
      <c r="IT153" s="17"/>
      <c r="IU153" s="17"/>
      <c r="IV153" s="17"/>
      <c r="IW153" s="17"/>
      <c r="IX153" s="17"/>
      <c r="IY153" s="17"/>
      <c r="IZ153" s="17"/>
      <c r="JA153" s="17"/>
      <c r="JB153" s="17"/>
      <c r="JC153" s="17"/>
      <c r="JD153" s="17"/>
      <c r="JE153" s="17"/>
      <c r="JF153" s="17"/>
      <c r="JG153" s="17"/>
      <c r="JH153" s="17"/>
      <c r="JI153" s="17"/>
      <c r="JJ153" s="17"/>
      <c r="JK153" s="17"/>
      <c r="JL153" s="17"/>
      <c r="JM153" s="17"/>
      <c r="JN153" s="17"/>
      <c r="JO153" s="17"/>
      <c r="JP153" s="17"/>
      <c r="JQ153" s="17"/>
      <c r="JR153" s="17"/>
      <c r="JS153" s="17"/>
      <c r="JT153" s="17"/>
      <c r="JU153" s="17"/>
      <c r="JV153" s="17"/>
      <c r="JW153" s="17"/>
      <c r="JX153" s="17"/>
      <c r="JY153" s="17"/>
      <c r="JZ153" s="17"/>
      <c r="KA153" s="17"/>
      <c r="KB153" s="17"/>
      <c r="KC153" s="17"/>
      <c r="KD153" s="17"/>
      <c r="KE153" s="17"/>
      <c r="KF153" s="17"/>
      <c r="KG153" s="17"/>
      <c r="KH153" s="17"/>
      <c r="KI153" s="17"/>
      <c r="KJ153" s="17"/>
      <c r="KK153" s="17"/>
      <c r="KL153" s="17"/>
      <c r="KM153" s="17"/>
      <c r="KN153" s="17"/>
      <c r="KO153" s="17"/>
      <c r="KP153" s="17"/>
      <c r="KQ153" s="17"/>
      <c r="KR153" s="17"/>
      <c r="KS153" s="17"/>
      <c r="KT153" s="17"/>
      <c r="KU153" s="17"/>
      <c r="KV153" s="17"/>
      <c r="KW153" s="17"/>
      <c r="KX153" s="17"/>
      <c r="KY153" s="17"/>
    </row>
    <row r="154" spans="1:311" x14ac:dyDescent="0.25">
      <c r="A154" s="17"/>
      <c r="B154" s="17"/>
      <c r="C154" s="17"/>
      <c r="D154" s="17"/>
      <c r="E154" s="17"/>
      <c r="F154" s="17"/>
      <c r="G154" s="17"/>
      <c r="H154" s="17"/>
      <c r="I154" s="17"/>
      <c r="J154" s="17"/>
      <c r="K154" s="17"/>
      <c r="L154" s="17"/>
      <c r="M154" s="17"/>
      <c r="N154" s="17"/>
      <c r="O154" s="17"/>
      <c r="P154" s="17"/>
      <c r="Q154" s="17"/>
      <c r="R154" s="17"/>
      <c r="S154" s="17"/>
      <c r="T154" s="17"/>
      <c r="U154" s="17"/>
      <c r="V154" s="17"/>
      <c r="W154" s="17"/>
      <c r="X154" s="17"/>
      <c r="Y154" s="17"/>
      <c r="Z154" s="17"/>
      <c r="AA154" s="17"/>
      <c r="AB154" s="17"/>
      <c r="AC154" s="17"/>
      <c r="AD154" s="17"/>
      <c r="AE154" s="17"/>
      <c r="AF154" s="17"/>
      <c r="AG154" s="17"/>
      <c r="AH154" s="17"/>
      <c r="AI154" s="17"/>
      <c r="AJ154" s="17"/>
      <c r="AK154" s="17"/>
      <c r="AL154" s="17"/>
      <c r="AM154" s="17"/>
      <c r="AN154" s="17"/>
      <c r="AO154" s="17"/>
      <c r="AP154" s="17"/>
      <c r="AQ154" s="17"/>
      <c r="AR154" s="17"/>
      <c r="AS154" s="17"/>
      <c r="AT154" s="17"/>
      <c r="AU154" s="17"/>
      <c r="AV154" s="17"/>
      <c r="AW154" s="17"/>
      <c r="AX154" s="17"/>
      <c r="AY154" s="17"/>
      <c r="AZ154" s="17"/>
      <c r="BA154" s="17"/>
      <c r="BB154" s="17"/>
      <c r="BC154" s="17"/>
      <c r="BD154" s="17"/>
      <c r="BE154" s="17"/>
      <c r="BF154" s="17"/>
      <c r="BG154" s="17"/>
      <c r="BH154" s="17"/>
      <c r="BI154" s="17"/>
      <c r="BJ154" s="17"/>
      <c r="BK154" s="17"/>
      <c r="BL154" s="17"/>
      <c r="BM154" s="17"/>
      <c r="BN154" s="17"/>
      <c r="BO154" s="17"/>
      <c r="BP154" s="17"/>
      <c r="BQ154" s="17"/>
      <c r="BR154" s="17"/>
      <c r="BS154" s="17"/>
      <c r="BT154" s="17"/>
      <c r="BU154" s="17"/>
      <c r="BV154" s="17"/>
      <c r="BW154" s="17"/>
      <c r="BX154" s="17"/>
      <c r="BY154" s="17"/>
      <c r="BZ154" s="17"/>
      <c r="CA154" s="17"/>
      <c r="CB154" s="17"/>
      <c r="CC154" s="17"/>
      <c r="CD154" s="17"/>
      <c r="CE154" s="17"/>
      <c r="CF154" s="17"/>
      <c r="CG154" s="17"/>
      <c r="CH154" s="17"/>
      <c r="CI154" s="17"/>
      <c r="CJ154" s="17"/>
      <c r="CK154" s="17"/>
      <c r="CL154" s="17"/>
      <c r="CM154" s="17"/>
      <c r="CN154" s="17"/>
      <c r="CO154" s="17"/>
      <c r="CP154" s="17"/>
      <c r="CQ154" s="17"/>
      <c r="CR154" s="17"/>
      <c r="CS154" s="17"/>
      <c r="CT154" s="17"/>
      <c r="CU154" s="17"/>
      <c r="CV154" s="17"/>
      <c r="CW154" s="17"/>
      <c r="CX154" s="17"/>
      <c r="CY154" s="17"/>
      <c r="CZ154" s="17"/>
      <c r="DA154" s="17"/>
      <c r="DB154" s="17"/>
      <c r="DC154" s="17"/>
      <c r="DD154" s="17"/>
      <c r="DE154" s="17"/>
      <c r="DF154" s="17"/>
      <c r="DG154" s="17"/>
      <c r="DH154" s="17"/>
      <c r="DI154" s="17"/>
      <c r="DJ154" s="17"/>
      <c r="DK154" s="17"/>
      <c r="DL154" s="17"/>
      <c r="DM154" s="17"/>
      <c r="DN154" s="17"/>
      <c r="DO154" s="17"/>
      <c r="DP154" s="17"/>
      <c r="DQ154" s="17"/>
      <c r="DR154" s="17"/>
      <c r="DS154" s="17"/>
      <c r="DT154" s="17"/>
      <c r="DU154" s="17"/>
      <c r="DV154" s="17"/>
      <c r="DW154" s="17"/>
      <c r="DX154" s="17"/>
      <c r="DY154" s="17"/>
      <c r="DZ154" s="17"/>
      <c r="EA154" s="17"/>
      <c r="EB154" s="17"/>
      <c r="EC154" s="17"/>
      <c r="ED154" s="17"/>
      <c r="EE154" s="17"/>
      <c r="EF154" s="17"/>
      <c r="EG154" s="17"/>
      <c r="EH154" s="17"/>
      <c r="EI154" s="17"/>
      <c r="EJ154" s="17"/>
      <c r="EK154" s="17"/>
      <c r="EL154" s="17"/>
      <c r="EM154" s="17"/>
      <c r="EN154" s="17"/>
      <c r="EO154" s="17"/>
      <c r="EP154" s="17"/>
      <c r="EQ154" s="17"/>
      <c r="ER154" s="17"/>
      <c r="ES154" s="17"/>
      <c r="ET154" s="17"/>
      <c r="EU154" s="17"/>
      <c r="EV154" s="17"/>
      <c r="EW154" s="17"/>
      <c r="EX154" s="17"/>
      <c r="EY154" s="17"/>
      <c r="EZ154" s="17"/>
      <c r="FA154" s="17"/>
      <c r="FB154" s="17"/>
      <c r="FC154" s="17"/>
      <c r="FD154" s="17"/>
      <c r="FE154" s="17"/>
      <c r="FF154" s="17"/>
      <c r="FG154" s="17"/>
      <c r="FH154" s="17"/>
      <c r="FI154" s="17"/>
      <c r="FJ154" s="17"/>
      <c r="FK154" s="17"/>
      <c r="FL154" s="17"/>
      <c r="FM154" s="17"/>
      <c r="FN154" s="17"/>
      <c r="FO154" s="17"/>
      <c r="FP154" s="17"/>
      <c r="FQ154" s="17"/>
      <c r="FR154" s="17"/>
      <c r="FS154" s="17"/>
      <c r="FT154" s="17"/>
      <c r="FU154" s="17"/>
      <c r="FV154" s="17"/>
      <c r="FW154" s="17"/>
      <c r="FX154" s="17"/>
      <c r="FY154" s="17"/>
      <c r="FZ154" s="17"/>
      <c r="GA154" s="17"/>
      <c r="GB154" s="17"/>
      <c r="GC154" s="17"/>
      <c r="GD154" s="17"/>
      <c r="GE154" s="17"/>
      <c r="GF154" s="17"/>
      <c r="GG154" s="17"/>
      <c r="GH154" s="17"/>
      <c r="GI154" s="17"/>
      <c r="GJ154" s="17"/>
      <c r="GK154" s="17"/>
      <c r="GL154" s="17"/>
      <c r="GM154" s="17"/>
      <c r="GN154" s="17"/>
      <c r="GO154" s="17"/>
      <c r="GP154" s="17"/>
      <c r="GQ154" s="17"/>
      <c r="GR154" s="17"/>
      <c r="GS154" s="17"/>
      <c r="GT154" s="17"/>
      <c r="GU154" s="17"/>
      <c r="GV154" s="17"/>
      <c r="GW154" s="17"/>
      <c r="GX154" s="17"/>
      <c r="GY154" s="17"/>
      <c r="GZ154" s="17"/>
      <c r="HA154" s="17"/>
      <c r="HB154" s="17"/>
      <c r="HC154" s="17"/>
      <c r="HD154" s="17"/>
      <c r="HE154" s="17"/>
      <c r="HF154" s="17"/>
      <c r="HG154" s="17"/>
      <c r="HH154" s="17"/>
      <c r="HI154" s="17"/>
      <c r="HJ154" s="17"/>
      <c r="HK154" s="17"/>
      <c r="HL154" s="17"/>
      <c r="HM154" s="17"/>
      <c r="HN154" s="17"/>
      <c r="HO154" s="17"/>
      <c r="HP154" s="17"/>
      <c r="HQ154" s="17"/>
      <c r="HR154" s="17"/>
      <c r="HS154" s="17"/>
      <c r="HT154" s="17"/>
      <c r="HU154" s="17"/>
      <c r="HV154" s="17"/>
      <c r="HW154" s="17"/>
      <c r="HX154" s="17"/>
      <c r="HY154" s="17"/>
      <c r="HZ154" s="17"/>
      <c r="IA154" s="17"/>
      <c r="IB154" s="17"/>
      <c r="IC154" s="17"/>
      <c r="ID154" s="17"/>
      <c r="IE154" s="17"/>
      <c r="IF154" s="17"/>
      <c r="IG154" s="17"/>
      <c r="IH154" s="17"/>
      <c r="II154" s="17"/>
      <c r="IJ154" s="17"/>
      <c r="IK154" s="17"/>
      <c r="IL154" s="17"/>
      <c r="IM154" s="17"/>
      <c r="IN154" s="17"/>
      <c r="IO154" s="17"/>
      <c r="IP154" s="17"/>
      <c r="IQ154" s="17"/>
      <c r="IR154" s="17"/>
      <c r="IS154" s="17"/>
      <c r="IT154" s="17"/>
      <c r="IU154" s="17"/>
      <c r="IV154" s="17"/>
      <c r="IW154" s="17"/>
      <c r="IX154" s="17"/>
      <c r="IY154" s="17"/>
      <c r="IZ154" s="17"/>
      <c r="JA154" s="17"/>
      <c r="JB154" s="17"/>
      <c r="JC154" s="17"/>
      <c r="JD154" s="17"/>
      <c r="JE154" s="17"/>
      <c r="JF154" s="17"/>
      <c r="JG154" s="17"/>
      <c r="JH154" s="17"/>
      <c r="JI154" s="17"/>
      <c r="JJ154" s="17"/>
      <c r="JK154" s="17"/>
      <c r="JL154" s="17"/>
      <c r="JM154" s="17"/>
      <c r="JN154" s="17"/>
      <c r="JO154" s="17"/>
      <c r="JP154" s="17"/>
      <c r="JQ154" s="17"/>
      <c r="JR154" s="17"/>
      <c r="JS154" s="17"/>
      <c r="JT154" s="17"/>
      <c r="JU154" s="17"/>
      <c r="JV154" s="17"/>
      <c r="JW154" s="17"/>
      <c r="JX154" s="17"/>
      <c r="JY154" s="17"/>
      <c r="JZ154" s="17"/>
      <c r="KA154" s="17"/>
      <c r="KB154" s="17"/>
      <c r="KC154" s="17"/>
      <c r="KD154" s="17"/>
      <c r="KE154" s="17"/>
      <c r="KF154" s="17"/>
      <c r="KG154" s="17"/>
      <c r="KH154" s="17"/>
      <c r="KI154" s="17"/>
      <c r="KJ154" s="17"/>
      <c r="KK154" s="17"/>
      <c r="KL154" s="17"/>
      <c r="KM154" s="17"/>
      <c r="KN154" s="17"/>
      <c r="KO154" s="17"/>
      <c r="KP154" s="17"/>
      <c r="KQ154" s="17"/>
      <c r="KR154" s="17"/>
      <c r="KS154" s="17"/>
      <c r="KT154" s="17"/>
      <c r="KU154" s="17"/>
      <c r="KV154" s="17"/>
      <c r="KW154" s="17"/>
      <c r="KX154" s="17"/>
      <c r="KY154" s="17"/>
    </row>
    <row r="155" spans="1:311" x14ac:dyDescent="0.25">
      <c r="A155" s="17"/>
      <c r="B155" s="17"/>
      <c r="C155" s="17"/>
      <c r="D155" s="17"/>
      <c r="E155" s="17"/>
      <c r="F155" s="17"/>
      <c r="G155" s="17"/>
      <c r="H155" s="17"/>
      <c r="I155" s="17"/>
      <c r="J155" s="17"/>
      <c r="K155" s="17"/>
      <c r="L155" s="17"/>
      <c r="M155" s="17"/>
      <c r="N155" s="17"/>
      <c r="O155" s="17"/>
      <c r="P155" s="17"/>
      <c r="Q155" s="17"/>
      <c r="R155" s="17"/>
      <c r="S155" s="17"/>
      <c r="T155" s="17"/>
      <c r="U155" s="17"/>
      <c r="V155" s="17"/>
      <c r="W155" s="17"/>
      <c r="X155" s="17"/>
      <c r="Y155" s="17"/>
      <c r="Z155" s="17"/>
      <c r="AA155" s="17"/>
      <c r="AB155" s="17"/>
      <c r="AC155" s="17"/>
      <c r="AD155" s="17"/>
      <c r="AE155" s="17"/>
      <c r="AF155" s="17"/>
      <c r="AG155" s="17"/>
      <c r="AH155" s="17"/>
      <c r="AI155" s="17"/>
      <c r="AJ155" s="17"/>
      <c r="AK155" s="17"/>
      <c r="AL155" s="17"/>
      <c r="AM155" s="17"/>
      <c r="AN155" s="17"/>
      <c r="AO155" s="17"/>
      <c r="AP155" s="17"/>
      <c r="AQ155" s="17"/>
      <c r="AR155" s="17"/>
      <c r="AS155" s="17"/>
      <c r="AT155" s="17"/>
      <c r="AU155" s="17"/>
      <c r="AV155" s="17"/>
      <c r="AW155" s="17"/>
      <c r="AX155" s="17"/>
      <c r="AY155" s="17"/>
      <c r="AZ155" s="17"/>
      <c r="BA155" s="17"/>
      <c r="BB155" s="17"/>
      <c r="BC155" s="17"/>
      <c r="BD155" s="17"/>
      <c r="BE155" s="17"/>
      <c r="BF155" s="17"/>
      <c r="BG155" s="17"/>
      <c r="BH155" s="17"/>
      <c r="BI155" s="17"/>
      <c r="BJ155" s="17"/>
      <c r="BK155" s="17"/>
      <c r="BL155" s="17"/>
      <c r="BM155" s="17"/>
      <c r="BN155" s="17"/>
      <c r="BO155" s="17"/>
      <c r="BP155" s="17"/>
      <c r="BQ155" s="17"/>
      <c r="BR155" s="17"/>
      <c r="BS155" s="17"/>
      <c r="BT155" s="17"/>
      <c r="BU155" s="17"/>
      <c r="BV155" s="17"/>
      <c r="BW155" s="17"/>
      <c r="BX155" s="17"/>
      <c r="BY155" s="17"/>
      <c r="BZ155" s="17"/>
      <c r="CA155" s="17"/>
      <c r="CB155" s="17"/>
      <c r="CC155" s="17"/>
      <c r="CD155" s="17"/>
      <c r="CE155" s="17"/>
      <c r="CF155" s="17"/>
      <c r="CG155" s="17"/>
      <c r="CH155" s="17"/>
      <c r="CI155" s="17"/>
      <c r="CJ155" s="17"/>
      <c r="CK155" s="17"/>
      <c r="CL155" s="17"/>
      <c r="CM155" s="17"/>
      <c r="CN155" s="17"/>
      <c r="CO155" s="17"/>
      <c r="CP155" s="17"/>
      <c r="CQ155" s="17"/>
      <c r="CR155" s="17"/>
      <c r="CS155" s="17"/>
      <c r="CT155" s="17"/>
      <c r="CU155" s="17"/>
      <c r="CV155" s="17"/>
      <c r="CW155" s="17"/>
      <c r="CX155" s="17"/>
      <c r="CY155" s="17"/>
      <c r="CZ155" s="17"/>
      <c r="DA155" s="17"/>
      <c r="DB155" s="17"/>
      <c r="DC155" s="17"/>
      <c r="DD155" s="17"/>
      <c r="DE155" s="17"/>
      <c r="DF155" s="17"/>
      <c r="DG155" s="17"/>
      <c r="DH155" s="17"/>
      <c r="DI155" s="17"/>
      <c r="DJ155" s="17"/>
      <c r="DK155" s="17"/>
      <c r="DL155" s="17"/>
      <c r="DM155" s="17"/>
      <c r="DN155" s="17"/>
      <c r="DO155" s="17"/>
      <c r="DP155" s="17"/>
      <c r="DQ155" s="17"/>
      <c r="DR155" s="17"/>
      <c r="DS155" s="17"/>
      <c r="DT155" s="17"/>
      <c r="DU155" s="17"/>
      <c r="DV155" s="17"/>
      <c r="DW155" s="17"/>
      <c r="DX155" s="17"/>
      <c r="DY155" s="17"/>
      <c r="DZ155" s="17"/>
      <c r="EA155" s="17"/>
      <c r="EB155" s="17"/>
      <c r="EC155" s="17"/>
      <c r="ED155" s="17"/>
      <c r="EE155" s="17"/>
      <c r="EF155" s="17"/>
      <c r="EG155" s="17"/>
      <c r="EH155" s="17"/>
      <c r="EI155" s="17"/>
      <c r="EJ155" s="17"/>
      <c r="EK155" s="17"/>
      <c r="EL155" s="17"/>
      <c r="EM155" s="17"/>
      <c r="EN155" s="17"/>
      <c r="EO155" s="17"/>
      <c r="EP155" s="17"/>
      <c r="EQ155" s="17"/>
      <c r="ER155" s="17"/>
      <c r="ES155" s="17"/>
      <c r="ET155" s="17"/>
      <c r="EU155" s="17"/>
      <c r="EV155" s="17"/>
      <c r="EW155" s="17"/>
      <c r="EX155" s="17"/>
      <c r="EY155" s="17"/>
      <c r="EZ155" s="17"/>
      <c r="FA155" s="17"/>
      <c r="FB155" s="17"/>
      <c r="FC155" s="17"/>
      <c r="FD155" s="17"/>
      <c r="FE155" s="17"/>
      <c r="FF155" s="17"/>
      <c r="FG155" s="17"/>
      <c r="FH155" s="17"/>
      <c r="FI155" s="17"/>
      <c r="FJ155" s="17"/>
      <c r="FK155" s="17"/>
      <c r="FL155" s="17"/>
      <c r="FM155" s="17"/>
      <c r="FN155" s="17"/>
      <c r="FO155" s="17"/>
      <c r="FP155" s="17"/>
      <c r="FQ155" s="17"/>
      <c r="FR155" s="17"/>
      <c r="FS155" s="17"/>
      <c r="FT155" s="17"/>
      <c r="FU155" s="17"/>
      <c r="FV155" s="17"/>
      <c r="FW155" s="17"/>
      <c r="FX155" s="17"/>
      <c r="FY155" s="17"/>
      <c r="FZ155" s="17"/>
      <c r="GA155" s="17"/>
      <c r="GB155" s="17"/>
      <c r="GC155" s="17"/>
      <c r="GD155" s="17"/>
      <c r="GE155" s="17"/>
      <c r="GF155" s="17"/>
      <c r="GG155" s="17"/>
      <c r="GH155" s="17"/>
      <c r="GI155" s="17"/>
      <c r="GJ155" s="17"/>
      <c r="GK155" s="17"/>
      <c r="GL155" s="17"/>
      <c r="GM155" s="17"/>
      <c r="GN155" s="17"/>
      <c r="GO155" s="17"/>
      <c r="GP155" s="17"/>
      <c r="GQ155" s="17"/>
      <c r="GR155" s="17"/>
      <c r="GS155" s="17"/>
      <c r="GT155" s="17"/>
      <c r="GU155" s="17"/>
      <c r="GV155" s="17"/>
      <c r="GW155" s="17"/>
      <c r="GX155" s="17"/>
      <c r="GY155" s="17"/>
      <c r="GZ155" s="17"/>
      <c r="HA155" s="17"/>
      <c r="HB155" s="17"/>
      <c r="HC155" s="17"/>
      <c r="HD155" s="17"/>
      <c r="HE155" s="17"/>
      <c r="HF155" s="17"/>
      <c r="HG155" s="17"/>
      <c r="HH155" s="17"/>
      <c r="HI155" s="17"/>
      <c r="HJ155" s="17"/>
      <c r="HK155" s="17"/>
      <c r="HL155" s="17"/>
      <c r="HM155" s="17"/>
      <c r="HN155" s="17"/>
      <c r="HO155" s="17"/>
      <c r="HP155" s="17"/>
      <c r="HQ155" s="17"/>
      <c r="HR155" s="17"/>
      <c r="HS155" s="17"/>
      <c r="HT155" s="17"/>
      <c r="HU155" s="17"/>
      <c r="HV155" s="17"/>
      <c r="HW155" s="17"/>
      <c r="HX155" s="17"/>
      <c r="HY155" s="17"/>
      <c r="HZ155" s="17"/>
      <c r="IA155" s="17"/>
      <c r="IB155" s="17"/>
      <c r="IC155" s="17"/>
      <c r="ID155" s="17"/>
      <c r="IE155" s="17"/>
      <c r="IF155" s="17"/>
      <c r="IG155" s="17"/>
      <c r="IH155" s="17"/>
      <c r="II155" s="17"/>
      <c r="IJ155" s="17"/>
      <c r="IK155" s="17"/>
      <c r="IL155" s="17"/>
      <c r="IM155" s="17"/>
      <c r="IN155" s="17"/>
      <c r="IO155" s="17"/>
      <c r="IP155" s="17"/>
      <c r="IQ155" s="17"/>
      <c r="IR155" s="17"/>
      <c r="IS155" s="17"/>
      <c r="IT155" s="17"/>
      <c r="IU155" s="17"/>
      <c r="IV155" s="17"/>
      <c r="IW155" s="17"/>
      <c r="IX155" s="17"/>
      <c r="IY155" s="17"/>
      <c r="IZ155" s="17"/>
      <c r="JA155" s="17"/>
      <c r="JB155" s="17"/>
      <c r="JC155" s="17"/>
      <c r="JD155" s="17"/>
      <c r="JE155" s="17"/>
      <c r="JF155" s="17"/>
      <c r="JG155" s="17"/>
      <c r="JH155" s="17"/>
      <c r="JI155" s="17"/>
      <c r="JJ155" s="17"/>
      <c r="JK155" s="17"/>
      <c r="JL155" s="17"/>
      <c r="JM155" s="17"/>
      <c r="JN155" s="17"/>
      <c r="JO155" s="17"/>
      <c r="JP155" s="17"/>
      <c r="JQ155" s="17"/>
      <c r="JR155" s="17"/>
      <c r="JS155" s="17"/>
      <c r="JT155" s="17"/>
      <c r="JU155" s="17"/>
      <c r="JV155" s="17"/>
      <c r="JW155" s="17"/>
      <c r="JX155" s="17"/>
      <c r="JY155" s="17"/>
      <c r="JZ155" s="17"/>
      <c r="KA155" s="17"/>
      <c r="KB155" s="17"/>
      <c r="KC155" s="17"/>
      <c r="KD155" s="17"/>
      <c r="KE155" s="17"/>
      <c r="KF155" s="17"/>
      <c r="KG155" s="17"/>
      <c r="KH155" s="17"/>
      <c r="KI155" s="17"/>
      <c r="KJ155" s="17"/>
      <c r="KK155" s="17"/>
      <c r="KL155" s="17"/>
      <c r="KM155" s="17"/>
      <c r="KN155" s="17"/>
      <c r="KO155" s="17"/>
      <c r="KP155" s="17"/>
      <c r="KQ155" s="17"/>
      <c r="KR155" s="17"/>
      <c r="KS155" s="17"/>
      <c r="KT155" s="17"/>
      <c r="KU155" s="17"/>
      <c r="KV155" s="17"/>
      <c r="KW155" s="17"/>
      <c r="KX155" s="17"/>
      <c r="KY155" s="17"/>
    </row>
    <row r="156" spans="1:311" x14ac:dyDescent="0.25">
      <c r="A156" s="17"/>
      <c r="B156" s="17"/>
      <c r="C156" s="17"/>
      <c r="D156" s="17"/>
      <c r="E156" s="17"/>
      <c r="F156" s="17"/>
      <c r="G156" s="17"/>
      <c r="H156" s="17"/>
      <c r="I156" s="17"/>
      <c r="J156" s="17"/>
      <c r="K156" s="17"/>
      <c r="L156" s="17"/>
      <c r="M156" s="17"/>
      <c r="N156" s="17"/>
      <c r="O156" s="17"/>
      <c r="P156" s="17"/>
      <c r="Q156" s="17"/>
      <c r="R156" s="17"/>
      <c r="S156" s="17"/>
      <c r="T156" s="17"/>
      <c r="U156" s="17"/>
      <c r="V156" s="17"/>
      <c r="W156" s="17"/>
      <c r="X156" s="17"/>
      <c r="Y156" s="17"/>
      <c r="Z156" s="17"/>
      <c r="AA156" s="17"/>
      <c r="AB156" s="17"/>
      <c r="AC156" s="17"/>
      <c r="AD156" s="17"/>
      <c r="AE156" s="17"/>
      <c r="AF156" s="17"/>
      <c r="AG156" s="17"/>
      <c r="AH156" s="17"/>
      <c r="AI156" s="17"/>
      <c r="AJ156" s="17"/>
      <c r="AK156" s="17"/>
      <c r="AL156" s="17"/>
      <c r="AM156" s="17"/>
      <c r="AN156" s="17"/>
      <c r="AO156" s="17"/>
      <c r="AP156" s="17"/>
      <c r="AQ156" s="17"/>
      <c r="AR156" s="17"/>
      <c r="AS156" s="17"/>
      <c r="AT156" s="17"/>
      <c r="AU156" s="17"/>
      <c r="AV156" s="17"/>
      <c r="AW156" s="17"/>
      <c r="AX156" s="17"/>
      <c r="AY156" s="17"/>
      <c r="AZ156" s="17"/>
      <c r="BA156" s="17"/>
      <c r="BB156" s="17"/>
      <c r="BC156" s="17"/>
      <c r="BD156" s="17"/>
      <c r="BE156" s="17"/>
      <c r="BF156" s="17"/>
      <c r="BG156" s="17"/>
      <c r="BH156" s="17"/>
      <c r="BI156" s="17"/>
      <c r="BJ156" s="17"/>
      <c r="BK156" s="17"/>
      <c r="BL156" s="17"/>
      <c r="BM156" s="17"/>
      <c r="BN156" s="17"/>
      <c r="BO156" s="17"/>
      <c r="BP156" s="17"/>
      <c r="BQ156" s="17"/>
      <c r="BR156" s="17"/>
      <c r="BS156" s="17"/>
      <c r="BT156" s="17"/>
      <c r="BU156" s="17"/>
      <c r="BV156" s="17"/>
      <c r="BW156" s="17"/>
      <c r="BX156" s="17"/>
      <c r="BY156" s="17"/>
      <c r="BZ156" s="17"/>
      <c r="CA156" s="17"/>
      <c r="CB156" s="17"/>
      <c r="CC156" s="17"/>
      <c r="CD156" s="17"/>
      <c r="CE156" s="17"/>
      <c r="CF156" s="17"/>
      <c r="CG156" s="17"/>
      <c r="CH156" s="17"/>
      <c r="CI156" s="17"/>
      <c r="CJ156" s="17"/>
      <c r="CK156" s="17"/>
      <c r="CL156" s="17"/>
      <c r="CM156" s="17"/>
      <c r="CN156" s="17"/>
      <c r="CO156" s="17"/>
      <c r="CP156" s="17"/>
      <c r="CQ156" s="17"/>
      <c r="CR156" s="17"/>
      <c r="CS156" s="17"/>
      <c r="CT156" s="17"/>
      <c r="CU156" s="17"/>
      <c r="CV156" s="17"/>
      <c r="CW156" s="17"/>
      <c r="CX156" s="17"/>
      <c r="CY156" s="17"/>
      <c r="CZ156" s="17"/>
      <c r="DA156" s="17"/>
      <c r="DB156" s="17"/>
      <c r="DC156" s="17"/>
      <c r="DD156" s="17"/>
      <c r="DE156" s="17"/>
      <c r="DF156" s="17"/>
      <c r="DG156" s="17"/>
      <c r="DH156" s="17"/>
      <c r="DI156" s="17"/>
      <c r="DJ156" s="17"/>
      <c r="DK156" s="17"/>
      <c r="DL156" s="17"/>
      <c r="DM156" s="17"/>
      <c r="DN156" s="17"/>
      <c r="DO156" s="17"/>
      <c r="DP156" s="17"/>
      <c r="DQ156" s="17"/>
      <c r="DR156" s="17"/>
      <c r="DS156" s="17"/>
      <c r="DT156" s="17"/>
      <c r="DU156" s="17"/>
      <c r="DV156" s="17"/>
      <c r="DW156" s="17"/>
      <c r="DX156" s="17"/>
      <c r="DY156" s="17"/>
      <c r="DZ156" s="17"/>
      <c r="EA156" s="17"/>
      <c r="EB156" s="17"/>
      <c r="EC156" s="17"/>
      <c r="ED156" s="17"/>
      <c r="EE156" s="17"/>
      <c r="EF156" s="17"/>
      <c r="EG156" s="17"/>
      <c r="EH156" s="17"/>
      <c r="EI156" s="17"/>
      <c r="EJ156" s="17"/>
      <c r="EK156" s="17"/>
      <c r="EL156" s="17"/>
      <c r="EM156" s="17"/>
      <c r="EN156" s="17"/>
      <c r="EO156" s="17"/>
      <c r="EP156" s="17"/>
      <c r="EQ156" s="17"/>
      <c r="ER156" s="17"/>
      <c r="ES156" s="17"/>
      <c r="ET156" s="17"/>
      <c r="EU156" s="17"/>
      <c r="EV156" s="17"/>
      <c r="EW156" s="17"/>
      <c r="EX156" s="17"/>
      <c r="EY156" s="17"/>
      <c r="EZ156" s="17"/>
      <c r="FA156" s="17"/>
      <c r="FB156" s="17"/>
      <c r="FC156" s="17"/>
      <c r="FD156" s="17"/>
      <c r="FE156" s="17"/>
      <c r="FF156" s="17"/>
      <c r="FG156" s="17"/>
      <c r="FH156" s="17"/>
      <c r="FI156" s="17"/>
      <c r="FJ156" s="17"/>
      <c r="FK156" s="17"/>
      <c r="FL156" s="17"/>
      <c r="FM156" s="17"/>
      <c r="FN156" s="17"/>
      <c r="FO156" s="17"/>
      <c r="FP156" s="17"/>
      <c r="FQ156" s="17"/>
      <c r="FR156" s="17"/>
      <c r="FS156" s="17"/>
      <c r="FT156" s="17"/>
      <c r="FU156" s="17"/>
      <c r="FV156" s="17"/>
      <c r="FW156" s="17"/>
      <c r="FX156" s="17"/>
      <c r="FY156" s="17"/>
      <c r="FZ156" s="17"/>
      <c r="GA156" s="17"/>
      <c r="GB156" s="17"/>
      <c r="GC156" s="17"/>
      <c r="GD156" s="17"/>
      <c r="GE156" s="17"/>
      <c r="GF156" s="17"/>
      <c r="GG156" s="17"/>
      <c r="GH156" s="17"/>
      <c r="GI156" s="17"/>
      <c r="GJ156" s="17"/>
      <c r="GK156" s="17"/>
      <c r="GL156" s="17"/>
      <c r="GM156" s="17"/>
      <c r="GN156" s="17"/>
      <c r="GO156" s="17"/>
      <c r="GP156" s="17"/>
      <c r="GQ156" s="17"/>
      <c r="GR156" s="17"/>
      <c r="GS156" s="17"/>
      <c r="GT156" s="17"/>
      <c r="GU156" s="17"/>
      <c r="GV156" s="17"/>
      <c r="GW156" s="17"/>
      <c r="GX156" s="17"/>
      <c r="GY156" s="17"/>
      <c r="GZ156" s="17"/>
      <c r="HA156" s="17"/>
      <c r="HB156" s="17"/>
      <c r="HC156" s="17"/>
      <c r="HD156" s="17"/>
      <c r="HE156" s="17"/>
      <c r="HF156" s="17"/>
      <c r="HG156" s="17"/>
      <c r="HH156" s="17"/>
      <c r="HI156" s="17"/>
      <c r="HJ156" s="17"/>
      <c r="HK156" s="17"/>
      <c r="HL156" s="17"/>
      <c r="HM156" s="17"/>
      <c r="HN156" s="17"/>
      <c r="HO156" s="17"/>
      <c r="HP156" s="17"/>
      <c r="HQ156" s="17"/>
      <c r="HR156" s="17"/>
      <c r="HS156" s="17"/>
      <c r="HT156" s="17"/>
      <c r="HU156" s="17"/>
      <c r="HV156" s="17"/>
      <c r="HW156" s="17"/>
      <c r="HX156" s="17"/>
      <c r="HY156" s="17"/>
      <c r="HZ156" s="17"/>
      <c r="IA156" s="17"/>
      <c r="IB156" s="17"/>
      <c r="IC156" s="17"/>
      <c r="ID156" s="17"/>
      <c r="IE156" s="17"/>
      <c r="IF156" s="17"/>
      <c r="IG156" s="17"/>
      <c r="IH156" s="17"/>
      <c r="II156" s="17"/>
      <c r="IJ156" s="17"/>
      <c r="IK156" s="17"/>
      <c r="IL156" s="17"/>
      <c r="IM156" s="17"/>
      <c r="IN156" s="17"/>
      <c r="IO156" s="17"/>
      <c r="IP156" s="17"/>
      <c r="IQ156" s="17"/>
      <c r="IR156" s="17"/>
      <c r="IS156" s="17"/>
      <c r="IT156" s="17"/>
      <c r="IU156" s="17"/>
      <c r="IV156" s="17"/>
      <c r="IW156" s="17"/>
      <c r="IX156" s="17"/>
      <c r="IY156" s="17"/>
      <c r="IZ156" s="17"/>
      <c r="JA156" s="17"/>
      <c r="JB156" s="17"/>
      <c r="JC156" s="17"/>
      <c r="JD156" s="17"/>
      <c r="JE156" s="17"/>
      <c r="JF156" s="17"/>
      <c r="JG156" s="17"/>
      <c r="JH156" s="17"/>
      <c r="JI156" s="17"/>
      <c r="JJ156" s="17"/>
      <c r="JK156" s="17"/>
      <c r="JL156" s="17"/>
      <c r="JM156" s="17"/>
      <c r="JN156" s="17"/>
      <c r="JO156" s="17"/>
      <c r="JP156" s="17"/>
      <c r="JQ156" s="17"/>
      <c r="JR156" s="17"/>
      <c r="JS156" s="17"/>
      <c r="JT156" s="17"/>
      <c r="JU156" s="17"/>
      <c r="JV156" s="17"/>
      <c r="JW156" s="17"/>
      <c r="JX156" s="17"/>
      <c r="JY156" s="17"/>
      <c r="JZ156" s="17"/>
      <c r="KA156" s="17"/>
      <c r="KB156" s="17"/>
      <c r="KC156" s="17"/>
      <c r="KD156" s="17"/>
      <c r="KE156" s="17"/>
      <c r="KF156" s="17"/>
      <c r="KG156" s="17"/>
      <c r="KH156" s="17"/>
      <c r="KI156" s="17"/>
      <c r="KJ156" s="17"/>
      <c r="KK156" s="17"/>
      <c r="KL156" s="17"/>
      <c r="KM156" s="17"/>
      <c r="KN156" s="17"/>
      <c r="KO156" s="17"/>
      <c r="KP156" s="17"/>
      <c r="KQ156" s="17"/>
      <c r="KR156" s="17"/>
      <c r="KS156" s="17"/>
      <c r="KT156" s="17"/>
      <c r="KU156" s="17"/>
      <c r="KV156" s="17"/>
      <c r="KW156" s="17"/>
      <c r="KX156" s="17"/>
      <c r="KY156" s="17"/>
    </row>
    <row r="157" spans="1:311" x14ac:dyDescent="0.25">
      <c r="A157" s="17"/>
      <c r="B157" s="17"/>
      <c r="C157" s="17"/>
      <c r="D157" s="17"/>
      <c r="E157" s="17"/>
      <c r="F157" s="17"/>
      <c r="G157" s="17"/>
      <c r="H157" s="17"/>
      <c r="I157" s="17"/>
      <c r="J157" s="17"/>
      <c r="K157" s="17"/>
      <c r="L157" s="17"/>
      <c r="M157" s="17"/>
      <c r="N157" s="17"/>
      <c r="O157" s="17"/>
      <c r="P157" s="17"/>
      <c r="Q157" s="17"/>
      <c r="R157" s="17"/>
      <c r="S157" s="17"/>
      <c r="T157" s="17"/>
      <c r="U157" s="17"/>
      <c r="V157" s="17"/>
      <c r="W157" s="17"/>
      <c r="X157" s="17"/>
      <c r="Y157" s="17"/>
      <c r="Z157" s="17"/>
      <c r="AA157" s="17"/>
      <c r="AB157" s="17"/>
      <c r="AC157" s="17"/>
      <c r="AD157" s="17"/>
      <c r="AE157" s="17"/>
      <c r="AF157" s="17"/>
      <c r="AG157" s="17"/>
      <c r="AH157" s="17"/>
      <c r="AI157" s="17"/>
      <c r="AJ157" s="17"/>
      <c r="AK157" s="17"/>
      <c r="AL157" s="17"/>
      <c r="AM157" s="17"/>
      <c r="AN157" s="17"/>
      <c r="AO157" s="17"/>
      <c r="AP157" s="17"/>
      <c r="AQ157" s="17"/>
      <c r="AR157" s="17"/>
      <c r="AS157" s="17"/>
      <c r="AT157" s="17"/>
      <c r="AU157" s="17"/>
      <c r="AV157" s="17"/>
      <c r="AW157" s="17"/>
      <c r="AX157" s="17"/>
      <c r="AY157" s="17"/>
      <c r="AZ157" s="17"/>
      <c r="BA157" s="17"/>
      <c r="BB157" s="17"/>
      <c r="BC157" s="17"/>
      <c r="BD157" s="17"/>
      <c r="BE157" s="17"/>
      <c r="BF157" s="17"/>
      <c r="BG157" s="17"/>
      <c r="BH157" s="17"/>
      <c r="BI157" s="17"/>
      <c r="BJ157" s="17"/>
      <c r="BK157" s="17"/>
      <c r="BL157" s="17"/>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17"/>
      <c r="CR157" s="17"/>
      <c r="CS157" s="17"/>
      <c r="CT157" s="17"/>
      <c r="CU157" s="17"/>
      <c r="CV157" s="17"/>
      <c r="CW157" s="17"/>
      <c r="CX157" s="17"/>
      <c r="CY157" s="17"/>
      <c r="CZ157" s="17"/>
      <c r="DA157" s="17"/>
      <c r="DB157" s="17"/>
      <c r="DC157" s="17"/>
      <c r="DD157" s="17"/>
      <c r="DE157" s="17"/>
      <c r="DF157" s="17"/>
      <c r="DG157" s="17"/>
      <c r="DH157" s="17"/>
      <c r="DI157" s="17"/>
      <c r="DJ157" s="17"/>
      <c r="DK157" s="17"/>
      <c r="DL157" s="17"/>
      <c r="DM157" s="17"/>
      <c r="DN157" s="17"/>
      <c r="DO157" s="17"/>
      <c r="DP157" s="17"/>
      <c r="DQ157" s="17"/>
      <c r="DR157" s="17"/>
      <c r="DS157" s="17"/>
      <c r="DT157" s="17"/>
      <c r="DU157" s="17"/>
      <c r="DV157" s="17"/>
      <c r="DW157" s="17"/>
      <c r="DX157" s="17"/>
      <c r="DY157" s="17"/>
      <c r="DZ157" s="17"/>
      <c r="EA157" s="17"/>
      <c r="EB157" s="17"/>
      <c r="EC157" s="17"/>
      <c r="ED157" s="17"/>
      <c r="EE157" s="17"/>
      <c r="EF157" s="17"/>
      <c r="EG157" s="17"/>
      <c r="EH157" s="17"/>
      <c r="EI157" s="17"/>
      <c r="EJ157" s="17"/>
      <c r="EK157" s="17"/>
      <c r="EL157" s="17"/>
      <c r="EM157" s="17"/>
      <c r="EN157" s="17"/>
      <c r="EO157" s="17"/>
      <c r="EP157" s="17"/>
      <c r="EQ157" s="17"/>
      <c r="ER157" s="17"/>
      <c r="ES157" s="17"/>
      <c r="ET157" s="17"/>
      <c r="EU157" s="17"/>
      <c r="EV157" s="17"/>
      <c r="EW157" s="17"/>
      <c r="EX157" s="17"/>
      <c r="EY157" s="17"/>
      <c r="EZ157" s="17"/>
      <c r="FA157" s="17"/>
      <c r="FB157" s="17"/>
      <c r="FC157" s="17"/>
      <c r="FD157" s="17"/>
      <c r="FE157" s="17"/>
      <c r="FF157" s="17"/>
      <c r="FG157" s="17"/>
      <c r="FH157" s="17"/>
      <c r="FI157" s="17"/>
      <c r="FJ157" s="17"/>
      <c r="FK157" s="17"/>
      <c r="FL157" s="17"/>
      <c r="FM157" s="17"/>
      <c r="FN157" s="17"/>
      <c r="FO157" s="17"/>
      <c r="FP157" s="17"/>
      <c r="FQ157" s="17"/>
      <c r="FR157" s="17"/>
      <c r="FS157" s="17"/>
      <c r="FT157" s="17"/>
      <c r="FU157" s="17"/>
      <c r="FV157" s="17"/>
      <c r="FW157" s="17"/>
      <c r="FX157" s="17"/>
      <c r="FY157" s="17"/>
      <c r="FZ157" s="17"/>
      <c r="GA157" s="17"/>
      <c r="GB157" s="17"/>
      <c r="GC157" s="17"/>
      <c r="GD157" s="17"/>
      <c r="GE157" s="17"/>
      <c r="GF157" s="17"/>
      <c r="GG157" s="17"/>
      <c r="GH157" s="17"/>
      <c r="GI157" s="17"/>
      <c r="GJ157" s="17"/>
      <c r="GK157" s="17"/>
      <c r="GL157" s="17"/>
      <c r="GM157" s="17"/>
      <c r="GN157" s="17"/>
      <c r="GO157" s="17"/>
      <c r="GP157" s="17"/>
      <c r="GQ157" s="17"/>
      <c r="GR157" s="17"/>
      <c r="GS157" s="17"/>
      <c r="GT157" s="17"/>
      <c r="GU157" s="17"/>
      <c r="GV157" s="17"/>
      <c r="GW157" s="17"/>
      <c r="GX157" s="17"/>
      <c r="GY157" s="17"/>
      <c r="GZ157" s="17"/>
      <c r="HA157" s="17"/>
      <c r="HB157" s="17"/>
      <c r="HC157" s="17"/>
      <c r="HD157" s="17"/>
      <c r="HE157" s="17"/>
      <c r="HF157" s="17"/>
      <c r="HG157" s="17"/>
      <c r="HH157" s="17"/>
      <c r="HI157" s="17"/>
      <c r="HJ157" s="17"/>
      <c r="HK157" s="17"/>
      <c r="HL157" s="17"/>
      <c r="HM157" s="17"/>
      <c r="HN157" s="17"/>
      <c r="HO157" s="17"/>
      <c r="HP157" s="17"/>
      <c r="HQ157" s="17"/>
      <c r="HR157" s="17"/>
      <c r="HS157" s="17"/>
      <c r="HT157" s="17"/>
      <c r="HU157" s="17"/>
      <c r="HV157" s="17"/>
      <c r="HW157" s="17"/>
      <c r="HX157" s="17"/>
      <c r="HY157" s="17"/>
      <c r="HZ157" s="17"/>
      <c r="IA157" s="17"/>
      <c r="IB157" s="17"/>
      <c r="IC157" s="17"/>
      <c r="ID157" s="17"/>
      <c r="IE157" s="17"/>
      <c r="IF157" s="17"/>
      <c r="IG157" s="17"/>
      <c r="IH157" s="17"/>
      <c r="II157" s="17"/>
      <c r="IJ157" s="17"/>
      <c r="IK157" s="17"/>
      <c r="IL157" s="17"/>
      <c r="IM157" s="17"/>
      <c r="IN157" s="17"/>
      <c r="IO157" s="17"/>
      <c r="IP157" s="17"/>
      <c r="IQ157" s="17"/>
      <c r="IR157" s="17"/>
      <c r="IS157" s="17"/>
      <c r="IT157" s="17"/>
      <c r="IU157" s="17"/>
      <c r="IV157" s="17"/>
      <c r="IW157" s="17"/>
      <c r="IX157" s="17"/>
      <c r="IY157" s="17"/>
      <c r="IZ157" s="17"/>
      <c r="JA157" s="17"/>
      <c r="JB157" s="17"/>
      <c r="JC157" s="17"/>
      <c r="JD157" s="17"/>
      <c r="JE157" s="17"/>
      <c r="JF157" s="17"/>
      <c r="JG157" s="17"/>
      <c r="JH157" s="17"/>
      <c r="JI157" s="17"/>
      <c r="JJ157" s="17"/>
      <c r="JK157" s="17"/>
      <c r="JL157" s="17"/>
      <c r="JM157" s="17"/>
      <c r="JN157" s="17"/>
      <c r="JO157" s="17"/>
      <c r="JP157" s="17"/>
      <c r="JQ157" s="17"/>
      <c r="JR157" s="17"/>
      <c r="JS157" s="17"/>
      <c r="JT157" s="17"/>
      <c r="JU157" s="17"/>
      <c r="JV157" s="17"/>
      <c r="JW157" s="17"/>
      <c r="JX157" s="17"/>
      <c r="JY157" s="17"/>
      <c r="JZ157" s="17"/>
      <c r="KA157" s="17"/>
      <c r="KB157" s="17"/>
      <c r="KC157" s="17"/>
      <c r="KD157" s="17"/>
      <c r="KE157" s="17"/>
      <c r="KF157" s="17"/>
      <c r="KG157" s="17"/>
      <c r="KH157" s="17"/>
      <c r="KI157" s="17"/>
      <c r="KJ157" s="17"/>
      <c r="KK157" s="17"/>
      <c r="KL157" s="17"/>
      <c r="KM157" s="17"/>
      <c r="KN157" s="17"/>
      <c r="KO157" s="17"/>
      <c r="KP157" s="17"/>
      <c r="KQ157" s="17"/>
      <c r="KR157" s="17"/>
      <c r="KS157" s="17"/>
      <c r="KT157" s="17"/>
      <c r="KU157" s="17"/>
      <c r="KV157" s="17"/>
      <c r="KW157" s="17"/>
      <c r="KX157" s="17"/>
      <c r="KY157" s="17"/>
    </row>
    <row r="158" spans="1:311" x14ac:dyDescent="0.25">
      <c r="A158" s="17"/>
      <c r="B158" s="17"/>
      <c r="C158" s="17"/>
      <c r="D158" s="17"/>
      <c r="E158" s="17"/>
      <c r="F158" s="17"/>
      <c r="G158" s="17"/>
      <c r="H158" s="17"/>
      <c r="I158" s="17"/>
      <c r="J158" s="17"/>
      <c r="K158" s="17"/>
      <c r="L158" s="17"/>
      <c r="M158" s="17"/>
      <c r="N158" s="17"/>
      <c r="O158" s="17"/>
      <c r="P158" s="17"/>
      <c r="Q158" s="17"/>
      <c r="R158" s="17"/>
      <c r="S158" s="17"/>
      <c r="T158" s="17"/>
      <c r="U158" s="17"/>
      <c r="V158" s="17"/>
      <c r="W158" s="17"/>
      <c r="X158" s="17"/>
      <c r="Y158" s="17"/>
      <c r="Z158" s="17"/>
      <c r="AA158" s="17"/>
      <c r="AB158" s="17"/>
      <c r="AC158" s="17"/>
      <c r="AD158" s="17"/>
      <c r="AE158" s="17"/>
      <c r="AF158" s="17"/>
      <c r="AG158" s="17"/>
      <c r="AH158" s="17"/>
      <c r="AI158" s="17"/>
      <c r="AJ158" s="17"/>
      <c r="AK158" s="17"/>
      <c r="AL158" s="17"/>
      <c r="AM158" s="17"/>
      <c r="AN158" s="17"/>
      <c r="AO158" s="17"/>
      <c r="AP158" s="17"/>
      <c r="AQ158" s="17"/>
      <c r="AR158" s="17"/>
      <c r="AS158" s="17"/>
      <c r="AT158" s="17"/>
      <c r="AU158" s="17"/>
      <c r="AV158" s="17"/>
      <c r="AW158" s="17"/>
      <c r="AX158" s="17"/>
      <c r="AY158" s="17"/>
      <c r="AZ158" s="17"/>
      <c r="BA158" s="17"/>
      <c r="BB158" s="17"/>
      <c r="BC158" s="17"/>
      <c r="BD158" s="17"/>
      <c r="BE158" s="17"/>
      <c r="BF158" s="17"/>
      <c r="BG158" s="17"/>
      <c r="BH158" s="17"/>
      <c r="BI158" s="17"/>
      <c r="BJ158" s="17"/>
      <c r="BK158" s="17"/>
      <c r="BL158" s="17"/>
      <c r="BM158" s="17"/>
      <c r="BN158" s="17"/>
      <c r="BO158" s="17"/>
      <c r="BP158" s="17"/>
      <c r="BQ158" s="17"/>
      <c r="BR158" s="17"/>
      <c r="BS158" s="17"/>
      <c r="BT158" s="17"/>
      <c r="BU158" s="17"/>
      <c r="BV158" s="17"/>
      <c r="BW158" s="17"/>
      <c r="BX158" s="17"/>
      <c r="BY158" s="17"/>
      <c r="BZ158" s="17"/>
      <c r="CA158" s="17"/>
      <c r="CB158" s="17"/>
      <c r="CC158" s="17"/>
      <c r="CD158" s="17"/>
      <c r="CE158" s="17"/>
      <c r="CF158" s="17"/>
      <c r="CG158" s="17"/>
      <c r="CH158" s="17"/>
      <c r="CI158" s="17"/>
      <c r="CJ158" s="17"/>
      <c r="CK158" s="17"/>
      <c r="CL158" s="17"/>
      <c r="CM158" s="17"/>
      <c r="CN158" s="17"/>
      <c r="CO158" s="17"/>
      <c r="CP158" s="17"/>
      <c r="CQ158" s="17"/>
      <c r="CR158" s="17"/>
      <c r="CS158" s="17"/>
      <c r="CT158" s="17"/>
      <c r="CU158" s="17"/>
      <c r="CV158" s="17"/>
      <c r="CW158" s="17"/>
      <c r="CX158" s="17"/>
      <c r="CY158" s="17"/>
      <c r="CZ158" s="17"/>
      <c r="DA158" s="17"/>
      <c r="DB158" s="17"/>
      <c r="DC158" s="17"/>
      <c r="DD158" s="17"/>
      <c r="DE158" s="17"/>
      <c r="DF158" s="17"/>
      <c r="DG158" s="17"/>
      <c r="DH158" s="17"/>
      <c r="DI158" s="17"/>
      <c r="DJ158" s="17"/>
      <c r="DK158" s="17"/>
      <c r="DL158" s="17"/>
      <c r="DM158" s="17"/>
      <c r="DN158" s="17"/>
      <c r="DO158" s="17"/>
      <c r="DP158" s="17"/>
      <c r="DQ158" s="17"/>
      <c r="DR158" s="17"/>
      <c r="DS158" s="17"/>
      <c r="DT158" s="17"/>
      <c r="DU158" s="17"/>
      <c r="DV158" s="17"/>
      <c r="DW158" s="17"/>
      <c r="DX158" s="17"/>
      <c r="DY158" s="17"/>
      <c r="DZ158" s="17"/>
      <c r="EA158" s="17"/>
      <c r="EB158" s="17"/>
      <c r="EC158" s="17"/>
      <c r="ED158" s="17"/>
      <c r="EE158" s="17"/>
      <c r="EF158" s="17"/>
      <c r="EG158" s="17"/>
      <c r="EH158" s="17"/>
      <c r="EI158" s="17"/>
      <c r="EJ158" s="17"/>
      <c r="EK158" s="17"/>
      <c r="EL158" s="17"/>
      <c r="EM158" s="17"/>
      <c r="EN158" s="17"/>
      <c r="EO158" s="17"/>
      <c r="EP158" s="17"/>
      <c r="EQ158" s="17"/>
      <c r="ER158" s="17"/>
      <c r="ES158" s="17"/>
      <c r="ET158" s="17"/>
      <c r="EU158" s="17"/>
      <c r="EV158" s="17"/>
      <c r="EW158" s="17"/>
      <c r="EX158" s="17"/>
      <c r="EY158" s="17"/>
      <c r="EZ158" s="17"/>
      <c r="FA158" s="17"/>
      <c r="FB158" s="17"/>
      <c r="FC158" s="17"/>
      <c r="FD158" s="17"/>
      <c r="FE158" s="17"/>
      <c r="FF158" s="17"/>
      <c r="FG158" s="17"/>
      <c r="FH158" s="17"/>
      <c r="FI158" s="17"/>
      <c r="FJ158" s="17"/>
      <c r="FK158" s="17"/>
      <c r="FL158" s="17"/>
      <c r="FM158" s="17"/>
      <c r="FN158" s="17"/>
      <c r="FO158" s="17"/>
      <c r="FP158" s="17"/>
      <c r="FQ158" s="17"/>
      <c r="FR158" s="17"/>
      <c r="FS158" s="17"/>
      <c r="FT158" s="17"/>
      <c r="FU158" s="17"/>
      <c r="FV158" s="17"/>
      <c r="FW158" s="17"/>
      <c r="FX158" s="17"/>
      <c r="FY158" s="17"/>
      <c r="FZ158" s="17"/>
      <c r="GA158" s="17"/>
      <c r="GB158" s="17"/>
      <c r="GC158" s="17"/>
      <c r="GD158" s="17"/>
      <c r="GE158" s="17"/>
      <c r="GF158" s="17"/>
      <c r="GG158" s="17"/>
      <c r="GH158" s="17"/>
      <c r="GI158" s="17"/>
      <c r="GJ158" s="17"/>
      <c r="GK158" s="17"/>
      <c r="GL158" s="17"/>
      <c r="GM158" s="17"/>
      <c r="GN158" s="17"/>
      <c r="GO158" s="17"/>
      <c r="GP158" s="17"/>
      <c r="GQ158" s="17"/>
      <c r="GR158" s="17"/>
      <c r="GS158" s="17"/>
      <c r="GT158" s="17"/>
      <c r="GU158" s="17"/>
      <c r="GV158" s="17"/>
      <c r="GW158" s="17"/>
      <c r="GX158" s="17"/>
      <c r="GY158" s="17"/>
      <c r="GZ158" s="17"/>
      <c r="HA158" s="17"/>
      <c r="HB158" s="17"/>
      <c r="HC158" s="17"/>
      <c r="HD158" s="17"/>
      <c r="HE158" s="17"/>
      <c r="HF158" s="17"/>
      <c r="HG158" s="17"/>
      <c r="HH158" s="17"/>
      <c r="HI158" s="17"/>
      <c r="HJ158" s="17"/>
      <c r="HK158" s="17"/>
      <c r="HL158" s="17"/>
      <c r="HM158" s="17"/>
      <c r="HN158" s="17"/>
      <c r="HO158" s="17"/>
      <c r="HP158" s="17"/>
      <c r="HQ158" s="17"/>
      <c r="HR158" s="17"/>
      <c r="HS158" s="17"/>
      <c r="HT158" s="17"/>
      <c r="HU158" s="17"/>
      <c r="HV158" s="17"/>
      <c r="HW158" s="17"/>
      <c r="HX158" s="17"/>
      <c r="HY158" s="17"/>
      <c r="HZ158" s="17"/>
      <c r="IA158" s="17"/>
      <c r="IB158" s="17"/>
      <c r="IC158" s="17"/>
      <c r="ID158" s="17"/>
      <c r="IE158" s="17"/>
      <c r="IF158" s="17"/>
      <c r="IG158" s="17"/>
      <c r="IH158" s="17"/>
      <c r="II158" s="17"/>
      <c r="IJ158" s="17"/>
      <c r="IK158" s="17"/>
      <c r="IL158" s="17"/>
      <c r="IM158" s="17"/>
      <c r="IN158" s="17"/>
      <c r="IO158" s="17"/>
      <c r="IP158" s="17"/>
      <c r="IQ158" s="17"/>
      <c r="IR158" s="17"/>
      <c r="IS158" s="17"/>
      <c r="IT158" s="17"/>
      <c r="IU158" s="17"/>
      <c r="IV158" s="17"/>
      <c r="IW158" s="17"/>
      <c r="IX158" s="17"/>
      <c r="IY158" s="17"/>
      <c r="IZ158" s="17"/>
      <c r="JA158" s="17"/>
      <c r="JB158" s="17"/>
      <c r="JC158" s="17"/>
      <c r="JD158" s="17"/>
      <c r="JE158" s="17"/>
      <c r="JF158" s="17"/>
      <c r="JG158" s="17"/>
      <c r="JH158" s="17"/>
      <c r="JI158" s="17"/>
      <c r="JJ158" s="17"/>
      <c r="JK158" s="17"/>
      <c r="JL158" s="17"/>
      <c r="JM158" s="17"/>
      <c r="JN158" s="17"/>
      <c r="JO158" s="17"/>
      <c r="JP158" s="17"/>
      <c r="JQ158" s="17"/>
      <c r="JR158" s="17"/>
      <c r="JS158" s="17"/>
      <c r="JT158" s="17"/>
      <c r="JU158" s="17"/>
      <c r="JV158" s="17"/>
      <c r="JW158" s="17"/>
      <c r="JX158" s="17"/>
      <c r="JY158" s="17"/>
      <c r="JZ158" s="17"/>
      <c r="KA158" s="17"/>
      <c r="KB158" s="17"/>
      <c r="KC158" s="17"/>
      <c r="KD158" s="17"/>
      <c r="KE158" s="17"/>
      <c r="KF158" s="17"/>
      <c r="KG158" s="17"/>
      <c r="KH158" s="17"/>
      <c r="KI158" s="17"/>
      <c r="KJ158" s="17"/>
      <c r="KK158" s="17"/>
      <c r="KL158" s="17"/>
      <c r="KM158" s="17"/>
      <c r="KN158" s="17"/>
      <c r="KO158" s="17"/>
      <c r="KP158" s="17"/>
      <c r="KQ158" s="17"/>
      <c r="KR158" s="17"/>
      <c r="KS158" s="17"/>
      <c r="KT158" s="17"/>
      <c r="KU158" s="17"/>
      <c r="KV158" s="17"/>
      <c r="KW158" s="17"/>
      <c r="KX158" s="17"/>
      <c r="KY158" s="17"/>
    </row>
    <row r="159" spans="1:311" x14ac:dyDescent="0.25">
      <c r="A159" s="17"/>
      <c r="B159" s="17"/>
      <c r="C159" s="17"/>
      <c r="D159" s="17"/>
      <c r="E159" s="17"/>
      <c r="F159" s="17"/>
      <c r="G159" s="17"/>
      <c r="H159" s="17"/>
      <c r="I159" s="17"/>
      <c r="J159" s="17"/>
      <c r="K159" s="17"/>
      <c r="L159" s="17"/>
      <c r="M159" s="17"/>
      <c r="N159" s="17"/>
      <c r="O159" s="17"/>
      <c r="P159" s="17"/>
      <c r="Q159" s="17"/>
      <c r="R159" s="17"/>
      <c r="S159" s="17"/>
      <c r="T159" s="17"/>
      <c r="U159" s="17"/>
      <c r="V159" s="17"/>
      <c r="W159" s="17"/>
      <c r="X159" s="17"/>
      <c r="Y159" s="17"/>
      <c r="Z159" s="17"/>
      <c r="AA159" s="17"/>
      <c r="AB159" s="17"/>
      <c r="AC159" s="17"/>
      <c r="AD159" s="17"/>
      <c r="AE159" s="17"/>
      <c r="AF159" s="17"/>
      <c r="AG159" s="17"/>
      <c r="AH159" s="17"/>
      <c r="AI159" s="17"/>
      <c r="AJ159" s="17"/>
      <c r="AK159" s="17"/>
      <c r="AL159" s="17"/>
      <c r="AM159" s="17"/>
      <c r="AN159" s="17"/>
      <c r="AO159" s="17"/>
      <c r="AP159" s="17"/>
      <c r="AQ159" s="17"/>
      <c r="AR159" s="17"/>
      <c r="AS159" s="17"/>
      <c r="AT159" s="17"/>
      <c r="AU159" s="17"/>
      <c r="AV159" s="17"/>
      <c r="AW159" s="17"/>
      <c r="AX159" s="17"/>
      <c r="AY159" s="17"/>
      <c r="AZ159" s="17"/>
      <c r="BA159" s="17"/>
      <c r="BB159" s="17"/>
      <c r="BC159" s="17"/>
      <c r="BD159" s="17"/>
      <c r="BE159" s="17"/>
      <c r="BF159" s="17"/>
      <c r="BG159" s="17"/>
      <c r="BH159" s="17"/>
      <c r="BI159" s="17"/>
      <c r="BJ159" s="17"/>
      <c r="BK159" s="17"/>
      <c r="BL159" s="17"/>
      <c r="BM159" s="17"/>
      <c r="BN159" s="17"/>
      <c r="BO159" s="17"/>
      <c r="BP159" s="17"/>
      <c r="BQ159" s="17"/>
      <c r="BR159" s="17"/>
      <c r="BS159" s="17"/>
      <c r="BT159" s="17"/>
      <c r="BU159" s="17"/>
      <c r="BV159" s="17"/>
      <c r="BW159" s="17"/>
      <c r="BX159" s="17"/>
      <c r="BY159" s="17"/>
      <c r="BZ159" s="17"/>
      <c r="CA159" s="17"/>
      <c r="CB159" s="17"/>
      <c r="CC159" s="17"/>
      <c r="CD159" s="17"/>
      <c r="CE159" s="17"/>
      <c r="CF159" s="17"/>
      <c r="CG159" s="17"/>
      <c r="CH159" s="17"/>
      <c r="CI159" s="17"/>
      <c r="CJ159" s="17"/>
      <c r="CK159" s="17"/>
      <c r="CL159" s="17"/>
      <c r="CM159" s="17"/>
      <c r="CN159" s="17"/>
      <c r="CO159" s="17"/>
      <c r="CP159" s="17"/>
      <c r="CQ159" s="17"/>
      <c r="CR159" s="17"/>
      <c r="CS159" s="17"/>
      <c r="CT159" s="17"/>
      <c r="CU159" s="17"/>
      <c r="CV159" s="17"/>
      <c r="CW159" s="17"/>
      <c r="CX159" s="17"/>
      <c r="CY159" s="17"/>
      <c r="CZ159" s="17"/>
      <c r="DA159" s="17"/>
      <c r="DB159" s="17"/>
      <c r="DC159" s="17"/>
      <c r="DD159" s="17"/>
      <c r="DE159" s="17"/>
      <c r="DF159" s="17"/>
      <c r="DG159" s="17"/>
      <c r="DH159" s="17"/>
      <c r="DI159" s="17"/>
      <c r="DJ159" s="17"/>
      <c r="DK159" s="17"/>
      <c r="DL159" s="17"/>
      <c r="DM159" s="17"/>
      <c r="DN159" s="17"/>
      <c r="DO159" s="17"/>
      <c r="DP159" s="17"/>
      <c r="DQ159" s="17"/>
      <c r="DR159" s="17"/>
      <c r="DS159" s="17"/>
      <c r="DT159" s="17"/>
      <c r="DU159" s="17"/>
      <c r="DV159" s="17"/>
      <c r="DW159" s="17"/>
      <c r="DX159" s="17"/>
      <c r="DY159" s="17"/>
      <c r="DZ159" s="17"/>
      <c r="EA159" s="17"/>
      <c r="EB159" s="17"/>
      <c r="EC159" s="17"/>
      <c r="ED159" s="17"/>
      <c r="EE159" s="17"/>
      <c r="EF159" s="17"/>
      <c r="EG159" s="17"/>
      <c r="EH159" s="17"/>
      <c r="EI159" s="17"/>
      <c r="EJ159" s="17"/>
      <c r="EK159" s="17"/>
      <c r="EL159" s="17"/>
      <c r="EM159" s="17"/>
      <c r="EN159" s="17"/>
      <c r="EO159" s="17"/>
      <c r="EP159" s="17"/>
      <c r="EQ159" s="17"/>
      <c r="ER159" s="17"/>
      <c r="ES159" s="17"/>
      <c r="ET159" s="17"/>
      <c r="EU159" s="17"/>
      <c r="EV159" s="17"/>
      <c r="EW159" s="17"/>
      <c r="EX159" s="17"/>
      <c r="EY159" s="17"/>
      <c r="EZ159" s="17"/>
      <c r="FA159" s="17"/>
      <c r="FB159" s="17"/>
      <c r="FC159" s="17"/>
      <c r="FD159" s="17"/>
      <c r="FE159" s="17"/>
      <c r="FF159" s="17"/>
      <c r="FG159" s="17"/>
      <c r="FH159" s="17"/>
      <c r="FI159" s="17"/>
      <c r="FJ159" s="17"/>
      <c r="FK159" s="17"/>
      <c r="FL159" s="17"/>
      <c r="FM159" s="17"/>
      <c r="FN159" s="17"/>
      <c r="FO159" s="17"/>
      <c r="FP159" s="17"/>
      <c r="FQ159" s="17"/>
      <c r="FR159" s="17"/>
      <c r="FS159" s="17"/>
      <c r="FT159" s="17"/>
      <c r="FU159" s="17"/>
      <c r="FV159" s="17"/>
      <c r="FW159" s="17"/>
      <c r="FX159" s="17"/>
      <c r="FY159" s="17"/>
      <c r="FZ159" s="17"/>
      <c r="GA159" s="17"/>
      <c r="GB159" s="17"/>
      <c r="GC159" s="17"/>
      <c r="GD159" s="17"/>
      <c r="GE159" s="17"/>
      <c r="GF159" s="17"/>
      <c r="GG159" s="17"/>
      <c r="GH159" s="17"/>
      <c r="GI159" s="17"/>
      <c r="GJ159" s="17"/>
      <c r="GK159" s="17"/>
      <c r="GL159" s="17"/>
      <c r="GM159" s="17"/>
      <c r="GN159" s="17"/>
      <c r="GO159" s="17"/>
      <c r="GP159" s="17"/>
      <c r="GQ159" s="17"/>
      <c r="GR159" s="17"/>
      <c r="GS159" s="17"/>
      <c r="GT159" s="17"/>
      <c r="GU159" s="17"/>
      <c r="GV159" s="17"/>
      <c r="GW159" s="17"/>
      <c r="GX159" s="17"/>
      <c r="GY159" s="17"/>
      <c r="GZ159" s="17"/>
      <c r="HA159" s="17"/>
      <c r="HB159" s="17"/>
      <c r="HC159" s="17"/>
      <c r="HD159" s="17"/>
      <c r="HE159" s="17"/>
      <c r="HF159" s="17"/>
      <c r="HG159" s="17"/>
      <c r="HH159" s="17"/>
      <c r="HI159" s="17"/>
      <c r="HJ159" s="17"/>
      <c r="HK159" s="17"/>
      <c r="HL159" s="17"/>
      <c r="HM159" s="17"/>
      <c r="HN159" s="17"/>
      <c r="HO159" s="17"/>
      <c r="HP159" s="17"/>
      <c r="HQ159" s="17"/>
      <c r="HR159" s="17"/>
      <c r="HS159" s="17"/>
      <c r="HT159" s="17"/>
      <c r="HU159" s="17"/>
      <c r="HV159" s="17"/>
      <c r="HW159" s="17"/>
      <c r="HX159" s="17"/>
      <c r="HY159" s="17"/>
      <c r="HZ159" s="17"/>
      <c r="IA159" s="17"/>
      <c r="IB159" s="17"/>
      <c r="IC159" s="17"/>
      <c r="ID159" s="17"/>
      <c r="IE159" s="17"/>
      <c r="IF159" s="17"/>
      <c r="IG159" s="17"/>
      <c r="IH159" s="17"/>
      <c r="II159" s="17"/>
      <c r="IJ159" s="17"/>
      <c r="IK159" s="17"/>
      <c r="IL159" s="17"/>
      <c r="IM159" s="17"/>
      <c r="IN159" s="17"/>
      <c r="IO159" s="17"/>
      <c r="IP159" s="17"/>
      <c r="IQ159" s="17"/>
      <c r="IR159" s="17"/>
      <c r="IS159" s="17"/>
      <c r="IT159" s="17"/>
      <c r="IU159" s="17"/>
      <c r="IV159" s="17"/>
      <c r="IW159" s="17"/>
      <c r="IX159" s="17"/>
      <c r="IY159" s="17"/>
      <c r="IZ159" s="17"/>
      <c r="JA159" s="17"/>
      <c r="JB159" s="17"/>
      <c r="JC159" s="17"/>
      <c r="JD159" s="17"/>
      <c r="JE159" s="17"/>
      <c r="JF159" s="17"/>
      <c r="JG159" s="17"/>
      <c r="JH159" s="17"/>
      <c r="JI159" s="17"/>
      <c r="JJ159" s="17"/>
      <c r="JK159" s="17"/>
      <c r="JL159" s="17"/>
      <c r="JM159" s="17"/>
      <c r="JN159" s="17"/>
      <c r="JO159" s="17"/>
      <c r="JP159" s="17"/>
      <c r="JQ159" s="17"/>
      <c r="JR159" s="17"/>
      <c r="JS159" s="17"/>
      <c r="JT159" s="17"/>
      <c r="JU159" s="17"/>
      <c r="JV159" s="17"/>
      <c r="JW159" s="17"/>
      <c r="JX159" s="17"/>
      <c r="JY159" s="17"/>
      <c r="JZ159" s="17"/>
      <c r="KA159" s="17"/>
      <c r="KB159" s="17"/>
      <c r="KC159" s="17"/>
      <c r="KD159" s="17"/>
      <c r="KE159" s="17"/>
      <c r="KF159" s="17"/>
      <c r="KG159" s="17"/>
      <c r="KH159" s="17"/>
      <c r="KI159" s="17"/>
      <c r="KJ159" s="17"/>
      <c r="KK159" s="17"/>
      <c r="KL159" s="17"/>
      <c r="KM159" s="17"/>
      <c r="KN159" s="17"/>
      <c r="KO159" s="17"/>
      <c r="KP159" s="17"/>
      <c r="KQ159" s="17"/>
      <c r="KR159" s="17"/>
      <c r="KS159" s="17"/>
      <c r="KT159" s="17"/>
      <c r="KU159" s="17"/>
      <c r="KV159" s="17"/>
      <c r="KW159" s="17"/>
      <c r="KX159" s="17"/>
      <c r="KY159" s="17"/>
    </row>
    <row r="160" spans="1:311" x14ac:dyDescent="0.25">
      <c r="A160" s="17"/>
      <c r="B160" s="17"/>
      <c r="C160" s="17"/>
      <c r="D160" s="17"/>
      <c r="E160" s="17"/>
      <c r="F160" s="17"/>
      <c r="G160" s="17"/>
      <c r="H160" s="17"/>
      <c r="I160" s="17"/>
      <c r="J160" s="17"/>
      <c r="K160" s="17"/>
      <c r="L160" s="17"/>
      <c r="M160" s="17"/>
      <c r="N160" s="17"/>
      <c r="O160" s="17"/>
      <c r="P160" s="17"/>
      <c r="Q160" s="17"/>
      <c r="R160" s="17"/>
      <c r="S160" s="17"/>
      <c r="T160" s="17"/>
      <c r="U160" s="17"/>
      <c r="V160" s="17"/>
      <c r="W160" s="17"/>
      <c r="X160" s="17"/>
      <c r="Y160" s="17"/>
      <c r="Z160" s="17"/>
      <c r="AA160" s="17"/>
      <c r="AB160" s="17"/>
      <c r="AC160" s="17"/>
      <c r="AD160" s="17"/>
      <c r="AE160" s="17"/>
      <c r="AF160" s="17"/>
      <c r="AG160" s="17"/>
      <c r="AH160" s="17"/>
      <c r="AI160" s="17"/>
      <c r="AJ160" s="17"/>
      <c r="AK160" s="17"/>
      <c r="AL160" s="17"/>
      <c r="AM160" s="17"/>
      <c r="AN160" s="17"/>
      <c r="AO160" s="17"/>
      <c r="AP160" s="17"/>
      <c r="AQ160" s="17"/>
      <c r="AR160" s="17"/>
      <c r="AS160" s="17"/>
      <c r="AT160" s="17"/>
      <c r="AU160" s="17"/>
      <c r="AV160" s="17"/>
      <c r="AW160" s="17"/>
      <c r="AX160" s="17"/>
      <c r="AY160" s="17"/>
      <c r="AZ160" s="17"/>
      <c r="BA160" s="17"/>
      <c r="BB160" s="17"/>
      <c r="BC160" s="17"/>
      <c r="BD160" s="17"/>
      <c r="BE160" s="17"/>
      <c r="BF160" s="17"/>
      <c r="BG160" s="17"/>
      <c r="BH160" s="17"/>
      <c r="BI160" s="17"/>
      <c r="BJ160" s="17"/>
      <c r="BK160" s="17"/>
      <c r="BL160" s="17"/>
      <c r="BM160" s="17"/>
      <c r="BN160" s="17"/>
      <c r="BO160" s="17"/>
      <c r="BP160" s="17"/>
      <c r="BQ160" s="17"/>
      <c r="BR160" s="17"/>
      <c r="BS160" s="17"/>
      <c r="BT160" s="17"/>
      <c r="BU160" s="17"/>
      <c r="BV160" s="17"/>
      <c r="BW160" s="17"/>
      <c r="BX160" s="17"/>
      <c r="BY160" s="17"/>
      <c r="BZ160" s="17"/>
      <c r="CA160" s="17"/>
      <c r="CB160" s="17"/>
      <c r="CC160" s="17"/>
      <c r="CD160" s="17"/>
      <c r="CE160" s="17"/>
      <c r="CF160" s="17"/>
      <c r="CG160" s="17"/>
      <c r="CH160" s="17"/>
      <c r="CI160" s="17"/>
      <c r="CJ160" s="17"/>
      <c r="CK160" s="17"/>
      <c r="CL160" s="17"/>
      <c r="CM160" s="17"/>
      <c r="CN160" s="17"/>
      <c r="CO160" s="17"/>
      <c r="CP160" s="17"/>
      <c r="CQ160" s="17"/>
      <c r="CR160" s="17"/>
      <c r="CS160" s="17"/>
      <c r="CT160" s="17"/>
      <c r="CU160" s="17"/>
      <c r="CV160" s="17"/>
      <c r="CW160" s="17"/>
      <c r="CX160" s="17"/>
      <c r="CY160" s="17"/>
      <c r="CZ160" s="17"/>
      <c r="DA160" s="17"/>
      <c r="DB160" s="17"/>
      <c r="DC160" s="17"/>
      <c r="DD160" s="17"/>
      <c r="DE160" s="17"/>
      <c r="DF160" s="17"/>
      <c r="DG160" s="17"/>
      <c r="DH160" s="17"/>
      <c r="DI160" s="17"/>
      <c r="DJ160" s="17"/>
      <c r="DK160" s="17"/>
      <c r="DL160" s="17"/>
      <c r="DM160" s="17"/>
      <c r="DN160" s="17"/>
      <c r="DO160" s="17"/>
      <c r="DP160" s="17"/>
      <c r="DQ160" s="17"/>
      <c r="DR160" s="17"/>
      <c r="DS160" s="17"/>
      <c r="DT160" s="17"/>
      <c r="DU160" s="17"/>
      <c r="DV160" s="17"/>
      <c r="DW160" s="17"/>
      <c r="DX160" s="17"/>
      <c r="DY160" s="17"/>
      <c r="DZ160" s="17"/>
      <c r="EA160" s="17"/>
      <c r="EB160" s="17"/>
      <c r="EC160" s="17"/>
      <c r="ED160" s="17"/>
      <c r="EE160" s="17"/>
      <c r="EF160" s="17"/>
      <c r="EG160" s="17"/>
      <c r="EH160" s="17"/>
      <c r="EI160" s="17"/>
      <c r="EJ160" s="17"/>
      <c r="EK160" s="17"/>
      <c r="EL160" s="17"/>
      <c r="EM160" s="17"/>
      <c r="EN160" s="17"/>
      <c r="EO160" s="17"/>
      <c r="EP160" s="17"/>
      <c r="EQ160" s="17"/>
      <c r="ER160" s="17"/>
      <c r="ES160" s="17"/>
      <c r="ET160" s="17"/>
      <c r="EU160" s="17"/>
      <c r="EV160" s="17"/>
      <c r="EW160" s="17"/>
      <c r="EX160" s="17"/>
      <c r="EY160" s="17"/>
      <c r="EZ160" s="17"/>
      <c r="FA160" s="17"/>
      <c r="FB160" s="17"/>
      <c r="FC160" s="17"/>
      <c r="FD160" s="17"/>
      <c r="FE160" s="17"/>
      <c r="FF160" s="17"/>
      <c r="FG160" s="17"/>
      <c r="FH160" s="17"/>
      <c r="FI160" s="17"/>
      <c r="FJ160" s="17"/>
      <c r="FK160" s="17"/>
      <c r="FL160" s="17"/>
      <c r="FM160" s="17"/>
      <c r="FN160" s="17"/>
      <c r="FO160" s="17"/>
      <c r="FP160" s="17"/>
      <c r="FQ160" s="17"/>
      <c r="FR160" s="17"/>
      <c r="FS160" s="17"/>
      <c r="FT160" s="17"/>
      <c r="FU160" s="17"/>
      <c r="FV160" s="17"/>
      <c r="FW160" s="17"/>
      <c r="FX160" s="17"/>
      <c r="FY160" s="17"/>
      <c r="FZ160" s="17"/>
      <c r="GA160" s="17"/>
      <c r="GB160" s="17"/>
      <c r="GC160" s="17"/>
      <c r="GD160" s="17"/>
      <c r="GE160" s="17"/>
      <c r="GF160" s="17"/>
      <c r="GG160" s="17"/>
      <c r="GH160" s="17"/>
      <c r="GI160" s="17"/>
      <c r="GJ160" s="17"/>
      <c r="GK160" s="17"/>
      <c r="GL160" s="17"/>
      <c r="GM160" s="17"/>
      <c r="GN160" s="17"/>
      <c r="GO160" s="17"/>
      <c r="GP160" s="17"/>
      <c r="GQ160" s="17"/>
      <c r="GR160" s="17"/>
      <c r="GS160" s="17"/>
      <c r="GT160" s="17"/>
      <c r="GU160" s="17"/>
      <c r="GV160" s="17"/>
      <c r="GW160" s="17"/>
      <c r="GX160" s="17"/>
      <c r="GY160" s="17"/>
      <c r="GZ160" s="17"/>
      <c r="HA160" s="17"/>
      <c r="HB160" s="17"/>
      <c r="HC160" s="17"/>
      <c r="HD160" s="17"/>
      <c r="HE160" s="17"/>
      <c r="HF160" s="17"/>
      <c r="HG160" s="17"/>
      <c r="HH160" s="17"/>
      <c r="HI160" s="17"/>
      <c r="HJ160" s="17"/>
      <c r="HK160" s="17"/>
      <c r="HL160" s="17"/>
      <c r="HM160" s="17"/>
      <c r="HN160" s="17"/>
      <c r="HO160" s="17"/>
      <c r="HP160" s="17"/>
      <c r="HQ160" s="17"/>
      <c r="HR160" s="17"/>
      <c r="HS160" s="17"/>
      <c r="HT160" s="17"/>
      <c r="HU160" s="17"/>
      <c r="HV160" s="17"/>
      <c r="HW160" s="17"/>
      <c r="HX160" s="17"/>
      <c r="HY160" s="17"/>
      <c r="HZ160" s="17"/>
      <c r="IA160" s="17"/>
      <c r="IB160" s="17"/>
      <c r="IC160" s="17"/>
      <c r="ID160" s="17"/>
      <c r="IE160" s="17"/>
      <c r="IF160" s="17"/>
      <c r="IG160" s="17"/>
      <c r="IH160" s="17"/>
      <c r="II160" s="17"/>
      <c r="IJ160" s="17"/>
      <c r="IK160" s="17"/>
      <c r="IL160" s="17"/>
      <c r="IM160" s="17"/>
      <c r="IN160" s="17"/>
      <c r="IO160" s="17"/>
      <c r="IP160" s="17"/>
      <c r="IQ160" s="17"/>
      <c r="IR160" s="17"/>
      <c r="IS160" s="17"/>
      <c r="IT160" s="17"/>
      <c r="IU160" s="17"/>
      <c r="IV160" s="17"/>
      <c r="IW160" s="17"/>
      <c r="IX160" s="17"/>
      <c r="IY160" s="17"/>
      <c r="IZ160" s="17"/>
      <c r="JA160" s="17"/>
      <c r="JB160" s="17"/>
      <c r="JC160" s="17"/>
      <c r="JD160" s="17"/>
      <c r="JE160" s="17"/>
      <c r="JF160" s="17"/>
      <c r="JG160" s="17"/>
      <c r="JH160" s="17"/>
      <c r="JI160" s="17"/>
      <c r="JJ160" s="17"/>
      <c r="JK160" s="17"/>
      <c r="JL160" s="17"/>
      <c r="JM160" s="17"/>
      <c r="JN160" s="17"/>
      <c r="JO160" s="17"/>
      <c r="JP160" s="17"/>
      <c r="JQ160" s="17"/>
      <c r="JR160" s="17"/>
      <c r="JS160" s="17"/>
      <c r="JT160" s="17"/>
      <c r="JU160" s="17"/>
      <c r="JV160" s="17"/>
      <c r="JW160" s="17"/>
      <c r="JX160" s="17"/>
      <c r="JY160" s="17"/>
      <c r="JZ160" s="17"/>
      <c r="KA160" s="17"/>
      <c r="KB160" s="17"/>
      <c r="KC160" s="17"/>
      <c r="KD160" s="17"/>
      <c r="KE160" s="17"/>
      <c r="KF160" s="17"/>
      <c r="KG160" s="17"/>
      <c r="KH160" s="17"/>
      <c r="KI160" s="17"/>
      <c r="KJ160" s="17"/>
      <c r="KK160" s="17"/>
      <c r="KL160" s="17"/>
      <c r="KM160" s="17"/>
      <c r="KN160" s="17"/>
      <c r="KO160" s="17"/>
      <c r="KP160" s="17"/>
      <c r="KQ160" s="17"/>
      <c r="KR160" s="17"/>
      <c r="KS160" s="17"/>
      <c r="KT160" s="17"/>
      <c r="KU160" s="17"/>
      <c r="KV160" s="17"/>
      <c r="KW160" s="17"/>
      <c r="KX160" s="17"/>
      <c r="KY160" s="17"/>
    </row>
    <row r="161" spans="1:311" x14ac:dyDescent="0.25">
      <c r="A161" s="17"/>
      <c r="B161" s="17"/>
      <c r="C161" s="17"/>
      <c r="D161" s="17"/>
      <c r="E161" s="17"/>
      <c r="F161" s="17"/>
      <c r="G161" s="17"/>
      <c r="H161" s="17"/>
      <c r="I161" s="17"/>
      <c r="J161" s="17"/>
      <c r="K161" s="17"/>
      <c r="L161" s="17"/>
      <c r="M161" s="17"/>
      <c r="N161" s="17"/>
      <c r="O161" s="17"/>
      <c r="P161" s="17"/>
      <c r="Q161" s="17"/>
      <c r="R161" s="17"/>
      <c r="S161" s="17"/>
      <c r="T161" s="17"/>
      <c r="U161" s="17"/>
      <c r="V161" s="17"/>
      <c r="W161" s="17"/>
      <c r="X161" s="17"/>
      <c r="Y161" s="17"/>
      <c r="Z161" s="17"/>
      <c r="AA161" s="17"/>
      <c r="AB161" s="17"/>
      <c r="AC161" s="17"/>
      <c r="AD161" s="17"/>
      <c r="AE161" s="17"/>
      <c r="AF161" s="17"/>
      <c r="AG161" s="17"/>
      <c r="AH161" s="17"/>
      <c r="AI161" s="17"/>
      <c r="AJ161" s="17"/>
      <c r="AK161" s="17"/>
      <c r="AL161" s="17"/>
      <c r="AM161" s="17"/>
      <c r="AN161" s="17"/>
      <c r="AO161" s="17"/>
      <c r="AP161" s="17"/>
      <c r="AQ161" s="17"/>
      <c r="AR161" s="17"/>
      <c r="AS161" s="17"/>
      <c r="AT161" s="17"/>
      <c r="AU161" s="17"/>
      <c r="AV161" s="17"/>
      <c r="AW161" s="17"/>
      <c r="AX161" s="17"/>
      <c r="AY161" s="17"/>
      <c r="AZ161" s="17"/>
      <c r="BA161" s="17"/>
      <c r="BB161" s="17"/>
      <c r="BC161" s="17"/>
      <c r="BD161" s="17"/>
      <c r="BE161" s="17"/>
      <c r="BF161" s="17"/>
      <c r="BG161" s="17"/>
      <c r="BH161" s="17"/>
      <c r="BI161" s="17"/>
      <c r="BJ161" s="17"/>
      <c r="BK161" s="17"/>
      <c r="BL161" s="17"/>
      <c r="BM161" s="17"/>
      <c r="BN161" s="17"/>
      <c r="BO161" s="17"/>
      <c r="BP161" s="17"/>
      <c r="BQ161" s="17"/>
      <c r="BR161" s="17"/>
      <c r="BS161" s="17"/>
      <c r="BT161" s="17"/>
      <c r="BU161" s="17"/>
      <c r="BV161" s="17"/>
      <c r="BW161" s="17"/>
      <c r="BX161" s="17"/>
      <c r="BY161" s="17"/>
      <c r="BZ161" s="17"/>
      <c r="CA161" s="17"/>
      <c r="CB161" s="17"/>
      <c r="CC161" s="17"/>
      <c r="CD161" s="17"/>
      <c r="CE161" s="17"/>
      <c r="CF161" s="17"/>
      <c r="CG161" s="17"/>
      <c r="CH161" s="17"/>
      <c r="CI161" s="17"/>
      <c r="CJ161" s="17"/>
      <c r="CK161" s="17"/>
      <c r="CL161" s="17"/>
      <c r="CM161" s="17"/>
      <c r="CN161" s="17"/>
      <c r="CO161" s="17"/>
      <c r="CP161" s="17"/>
      <c r="CQ161" s="17"/>
      <c r="CR161" s="17"/>
      <c r="CS161" s="17"/>
      <c r="CT161" s="17"/>
      <c r="CU161" s="17"/>
      <c r="CV161" s="17"/>
      <c r="CW161" s="17"/>
      <c r="CX161" s="17"/>
      <c r="CY161" s="17"/>
      <c r="CZ161" s="17"/>
      <c r="DA161" s="17"/>
      <c r="DB161" s="17"/>
      <c r="DC161" s="17"/>
      <c r="DD161" s="17"/>
      <c r="DE161" s="17"/>
      <c r="DF161" s="17"/>
      <c r="DG161" s="17"/>
      <c r="DH161" s="17"/>
      <c r="DI161" s="17"/>
      <c r="DJ161" s="17"/>
      <c r="DK161" s="17"/>
      <c r="DL161" s="17"/>
      <c r="DM161" s="17"/>
      <c r="DN161" s="17"/>
      <c r="DO161" s="17"/>
      <c r="DP161" s="17"/>
      <c r="DQ161" s="17"/>
      <c r="DR161" s="17"/>
      <c r="DS161" s="17"/>
      <c r="DT161" s="17"/>
      <c r="DU161" s="17"/>
      <c r="DV161" s="17"/>
      <c r="DW161" s="17"/>
      <c r="DX161" s="17"/>
      <c r="DY161" s="17"/>
      <c r="DZ161" s="17"/>
      <c r="EA161" s="17"/>
      <c r="EB161" s="17"/>
      <c r="EC161" s="17"/>
      <c r="ED161" s="17"/>
      <c r="EE161" s="17"/>
      <c r="EF161" s="17"/>
      <c r="EG161" s="17"/>
      <c r="EH161" s="17"/>
      <c r="EI161" s="17"/>
      <c r="EJ161" s="17"/>
      <c r="EK161" s="17"/>
      <c r="EL161" s="17"/>
      <c r="EM161" s="17"/>
      <c r="EN161" s="17"/>
      <c r="EO161" s="17"/>
      <c r="EP161" s="17"/>
      <c r="EQ161" s="17"/>
      <c r="ER161" s="17"/>
      <c r="ES161" s="17"/>
      <c r="ET161" s="17"/>
      <c r="EU161" s="17"/>
      <c r="EV161" s="17"/>
      <c r="EW161" s="17"/>
      <c r="EX161" s="17"/>
      <c r="EY161" s="17"/>
      <c r="EZ161" s="17"/>
      <c r="FA161" s="17"/>
      <c r="FB161" s="17"/>
      <c r="FC161" s="17"/>
      <c r="FD161" s="17"/>
      <c r="FE161" s="17"/>
      <c r="FF161" s="17"/>
      <c r="FG161" s="17"/>
      <c r="FH161" s="17"/>
      <c r="FI161" s="17"/>
      <c r="FJ161" s="17"/>
      <c r="FK161" s="17"/>
      <c r="FL161" s="17"/>
      <c r="FM161" s="17"/>
      <c r="FN161" s="17"/>
      <c r="FO161" s="17"/>
      <c r="FP161" s="17"/>
      <c r="FQ161" s="17"/>
      <c r="FR161" s="17"/>
      <c r="FS161" s="17"/>
      <c r="FT161" s="17"/>
      <c r="FU161" s="17"/>
      <c r="FV161" s="17"/>
      <c r="FW161" s="17"/>
      <c r="FX161" s="17"/>
      <c r="FY161" s="17"/>
      <c r="FZ161" s="17"/>
      <c r="GA161" s="17"/>
      <c r="GB161" s="17"/>
      <c r="GC161" s="17"/>
      <c r="GD161" s="17"/>
      <c r="GE161" s="17"/>
      <c r="GF161" s="17"/>
      <c r="GG161" s="17"/>
      <c r="GH161" s="17"/>
      <c r="GI161" s="17"/>
      <c r="GJ161" s="17"/>
      <c r="GK161" s="17"/>
      <c r="GL161" s="17"/>
      <c r="GM161" s="17"/>
      <c r="GN161" s="17"/>
      <c r="GO161" s="17"/>
      <c r="GP161" s="17"/>
      <c r="GQ161" s="17"/>
      <c r="GR161" s="17"/>
      <c r="GS161" s="17"/>
      <c r="GT161" s="17"/>
      <c r="GU161" s="17"/>
      <c r="GV161" s="17"/>
      <c r="GW161" s="17"/>
      <c r="GX161" s="17"/>
      <c r="GY161" s="17"/>
      <c r="GZ161" s="17"/>
      <c r="HA161" s="17"/>
      <c r="HB161" s="17"/>
      <c r="HC161" s="17"/>
      <c r="HD161" s="17"/>
      <c r="HE161" s="17"/>
      <c r="HF161" s="17"/>
      <c r="HG161" s="17"/>
      <c r="HH161" s="17"/>
      <c r="HI161" s="17"/>
      <c r="HJ161" s="17"/>
      <c r="HK161" s="17"/>
      <c r="HL161" s="17"/>
      <c r="HM161" s="17"/>
      <c r="HN161" s="17"/>
      <c r="HO161" s="17"/>
      <c r="HP161" s="17"/>
      <c r="HQ161" s="17"/>
      <c r="HR161" s="17"/>
      <c r="HS161" s="17"/>
      <c r="HT161" s="17"/>
      <c r="HU161" s="17"/>
      <c r="HV161" s="17"/>
      <c r="HW161" s="17"/>
      <c r="HX161" s="17"/>
      <c r="HY161" s="17"/>
      <c r="HZ161" s="17"/>
      <c r="IA161" s="17"/>
      <c r="IB161" s="17"/>
      <c r="IC161" s="17"/>
      <c r="ID161" s="17"/>
      <c r="IE161" s="17"/>
      <c r="IF161" s="17"/>
      <c r="IG161" s="17"/>
      <c r="IH161" s="17"/>
      <c r="II161" s="17"/>
      <c r="IJ161" s="17"/>
      <c r="IK161" s="17"/>
      <c r="IL161" s="17"/>
      <c r="IM161" s="17"/>
      <c r="IN161" s="17"/>
      <c r="IO161" s="17"/>
      <c r="IP161" s="17"/>
      <c r="IQ161" s="17"/>
      <c r="IR161" s="17"/>
      <c r="IS161" s="17"/>
      <c r="IT161" s="17"/>
      <c r="IU161" s="17"/>
      <c r="IV161" s="17"/>
      <c r="IW161" s="17"/>
      <c r="IX161" s="17"/>
      <c r="IY161" s="17"/>
      <c r="IZ161" s="17"/>
      <c r="JA161" s="17"/>
      <c r="JB161" s="17"/>
      <c r="JC161" s="17"/>
      <c r="JD161" s="17"/>
      <c r="JE161" s="17"/>
      <c r="JF161" s="17"/>
      <c r="JG161" s="17"/>
      <c r="JH161" s="17"/>
      <c r="JI161" s="17"/>
      <c r="JJ161" s="17"/>
      <c r="JK161" s="17"/>
      <c r="JL161" s="17"/>
      <c r="JM161" s="17"/>
      <c r="JN161" s="17"/>
      <c r="JO161" s="17"/>
      <c r="JP161" s="17"/>
      <c r="JQ161" s="17"/>
      <c r="JR161" s="17"/>
      <c r="JS161" s="17"/>
      <c r="JT161" s="17"/>
      <c r="JU161" s="17"/>
      <c r="JV161" s="17"/>
      <c r="JW161" s="17"/>
      <c r="JX161" s="17"/>
      <c r="JY161" s="17"/>
      <c r="JZ161" s="17"/>
      <c r="KA161" s="17"/>
      <c r="KB161" s="17"/>
      <c r="KC161" s="17"/>
      <c r="KD161" s="17"/>
      <c r="KE161" s="17"/>
      <c r="KF161" s="17"/>
      <c r="KG161" s="17"/>
      <c r="KH161" s="17"/>
      <c r="KI161" s="17"/>
      <c r="KJ161" s="17"/>
      <c r="KK161" s="17"/>
      <c r="KL161" s="17"/>
      <c r="KM161" s="17"/>
      <c r="KN161" s="17"/>
      <c r="KO161" s="17"/>
      <c r="KP161" s="17"/>
      <c r="KQ161" s="17"/>
      <c r="KR161" s="17"/>
      <c r="KS161" s="17"/>
      <c r="KT161" s="17"/>
      <c r="KU161" s="17"/>
      <c r="KV161" s="17"/>
      <c r="KW161" s="17"/>
      <c r="KX161" s="17"/>
      <c r="KY161" s="17"/>
    </row>
    <row r="162" spans="1:311" x14ac:dyDescent="0.25">
      <c r="A162" s="17"/>
      <c r="B162" s="17"/>
      <c r="C162" s="17"/>
      <c r="D162" s="17"/>
      <c r="E162" s="17"/>
      <c r="F162" s="17"/>
      <c r="G162" s="17"/>
      <c r="H162" s="17"/>
      <c r="I162" s="17"/>
      <c r="J162" s="17"/>
      <c r="K162" s="17"/>
      <c r="L162" s="17"/>
      <c r="M162" s="17"/>
      <c r="N162" s="17"/>
      <c r="O162" s="17"/>
      <c r="P162" s="17"/>
      <c r="Q162" s="17"/>
      <c r="R162" s="17"/>
      <c r="S162" s="17"/>
      <c r="T162" s="17"/>
      <c r="U162" s="17"/>
      <c r="V162" s="17"/>
      <c r="W162" s="17"/>
      <c r="X162" s="17"/>
      <c r="Y162" s="17"/>
      <c r="Z162" s="17"/>
      <c r="AA162" s="17"/>
      <c r="AB162" s="17"/>
      <c r="AC162" s="17"/>
      <c r="AD162" s="17"/>
      <c r="AE162" s="17"/>
      <c r="AF162" s="17"/>
      <c r="AG162" s="17"/>
      <c r="AH162" s="17"/>
      <c r="AI162" s="17"/>
      <c r="AJ162" s="17"/>
      <c r="AK162" s="17"/>
      <c r="AL162" s="17"/>
      <c r="AM162" s="17"/>
      <c r="AN162" s="17"/>
      <c r="AO162" s="17"/>
      <c r="AP162" s="17"/>
      <c r="AQ162" s="17"/>
      <c r="AR162" s="17"/>
      <c r="AS162" s="17"/>
      <c r="AT162" s="17"/>
      <c r="AU162" s="17"/>
      <c r="AV162" s="17"/>
      <c r="AW162" s="17"/>
      <c r="AX162" s="17"/>
      <c r="AY162" s="17"/>
      <c r="AZ162" s="17"/>
      <c r="BA162" s="17"/>
      <c r="BB162" s="17"/>
      <c r="BC162" s="17"/>
      <c r="BD162" s="17"/>
      <c r="BE162" s="17"/>
      <c r="BF162" s="17"/>
      <c r="BG162" s="17"/>
      <c r="BH162" s="17"/>
      <c r="BI162" s="17"/>
      <c r="BJ162" s="17"/>
      <c r="BK162" s="17"/>
      <c r="BL162" s="17"/>
      <c r="BM162" s="17"/>
      <c r="BN162" s="17"/>
      <c r="BO162" s="17"/>
      <c r="BP162" s="17"/>
      <c r="BQ162" s="17"/>
      <c r="BR162" s="17"/>
      <c r="BS162" s="17"/>
      <c r="BT162" s="17"/>
      <c r="BU162" s="17"/>
      <c r="BV162" s="17"/>
      <c r="BW162" s="17"/>
      <c r="BX162" s="17"/>
      <c r="BY162" s="17"/>
      <c r="BZ162" s="17"/>
      <c r="CA162" s="17"/>
      <c r="CB162" s="17"/>
      <c r="CC162" s="17"/>
      <c r="CD162" s="17"/>
      <c r="CE162" s="17"/>
      <c r="CF162" s="17"/>
      <c r="CG162" s="17"/>
      <c r="CH162" s="17"/>
      <c r="CI162" s="17"/>
      <c r="CJ162" s="17"/>
      <c r="CK162" s="17"/>
      <c r="CL162" s="17"/>
      <c r="CM162" s="17"/>
      <c r="CN162" s="17"/>
      <c r="CO162" s="17"/>
      <c r="CP162" s="17"/>
      <c r="CQ162" s="17"/>
      <c r="CR162" s="17"/>
      <c r="CS162" s="17"/>
      <c r="CT162" s="17"/>
      <c r="CU162" s="17"/>
      <c r="CV162" s="17"/>
      <c r="CW162" s="17"/>
      <c r="CX162" s="17"/>
      <c r="CY162" s="17"/>
      <c r="CZ162" s="17"/>
      <c r="DA162" s="17"/>
      <c r="DB162" s="17"/>
      <c r="DC162" s="17"/>
      <c r="DD162" s="17"/>
      <c r="DE162" s="17"/>
      <c r="DF162" s="17"/>
      <c r="DG162" s="17"/>
      <c r="DH162" s="17"/>
      <c r="DI162" s="17"/>
      <c r="DJ162" s="17"/>
      <c r="DK162" s="17"/>
      <c r="DL162" s="17"/>
      <c r="DM162" s="17"/>
      <c r="DN162" s="17"/>
      <c r="DO162" s="17"/>
      <c r="DP162" s="17"/>
      <c r="DQ162" s="17"/>
      <c r="DR162" s="17"/>
      <c r="DS162" s="17"/>
      <c r="DT162" s="17"/>
      <c r="DU162" s="17"/>
      <c r="DV162" s="17"/>
      <c r="DW162" s="17"/>
      <c r="DX162" s="17"/>
      <c r="DY162" s="17"/>
      <c r="DZ162" s="17"/>
      <c r="EA162" s="17"/>
      <c r="EB162" s="17"/>
      <c r="EC162" s="17"/>
      <c r="ED162" s="17"/>
      <c r="EE162" s="17"/>
      <c r="EF162" s="17"/>
      <c r="EG162" s="17"/>
      <c r="EH162" s="17"/>
      <c r="EI162" s="17"/>
      <c r="EJ162" s="17"/>
      <c r="EK162" s="17"/>
      <c r="EL162" s="17"/>
      <c r="EM162" s="17"/>
      <c r="EN162" s="17"/>
      <c r="EO162" s="17"/>
      <c r="EP162" s="17"/>
      <c r="EQ162" s="17"/>
      <c r="ER162" s="17"/>
      <c r="ES162" s="17"/>
      <c r="ET162" s="17"/>
      <c r="EU162" s="17"/>
      <c r="EV162" s="17"/>
      <c r="EW162" s="17"/>
      <c r="EX162" s="17"/>
      <c r="EY162" s="17"/>
      <c r="EZ162" s="17"/>
      <c r="FA162" s="17"/>
      <c r="FB162" s="17"/>
      <c r="FC162" s="17"/>
      <c r="FD162" s="17"/>
      <c r="FE162" s="17"/>
      <c r="FF162" s="17"/>
      <c r="FG162" s="17"/>
      <c r="FH162" s="17"/>
      <c r="FI162" s="17"/>
      <c r="FJ162" s="17"/>
      <c r="FK162" s="17"/>
      <c r="FL162" s="17"/>
      <c r="FM162" s="17"/>
      <c r="FN162" s="17"/>
      <c r="FO162" s="17"/>
      <c r="FP162" s="17"/>
      <c r="FQ162" s="17"/>
      <c r="FR162" s="17"/>
      <c r="FS162" s="17"/>
      <c r="FT162" s="17"/>
      <c r="FU162" s="17"/>
      <c r="FV162" s="17"/>
      <c r="FW162" s="17"/>
      <c r="FX162" s="17"/>
      <c r="FY162" s="17"/>
      <c r="FZ162" s="17"/>
      <c r="GA162" s="17"/>
      <c r="GB162" s="17"/>
      <c r="GC162" s="17"/>
      <c r="GD162" s="17"/>
      <c r="GE162" s="17"/>
      <c r="GF162" s="17"/>
      <c r="GG162" s="17"/>
      <c r="GH162" s="17"/>
      <c r="GI162" s="17"/>
      <c r="GJ162" s="17"/>
      <c r="GK162" s="17"/>
      <c r="GL162" s="17"/>
      <c r="GM162" s="17"/>
      <c r="GN162" s="17"/>
      <c r="GO162" s="17"/>
      <c r="GP162" s="17"/>
      <c r="GQ162" s="17"/>
      <c r="GR162" s="17"/>
      <c r="GS162" s="17"/>
      <c r="GT162" s="17"/>
      <c r="GU162" s="17"/>
      <c r="GV162" s="17"/>
      <c r="GW162" s="17"/>
      <c r="GX162" s="17"/>
      <c r="GY162" s="17"/>
      <c r="GZ162" s="17"/>
      <c r="HA162" s="17"/>
      <c r="HB162" s="17"/>
      <c r="HC162" s="17"/>
      <c r="HD162" s="17"/>
      <c r="HE162" s="17"/>
      <c r="HF162" s="17"/>
      <c r="HG162" s="17"/>
      <c r="HH162" s="17"/>
      <c r="HI162" s="17"/>
      <c r="HJ162" s="17"/>
      <c r="HK162" s="17"/>
      <c r="HL162" s="17"/>
      <c r="HM162" s="17"/>
      <c r="HN162" s="17"/>
      <c r="HO162" s="17"/>
      <c r="HP162" s="17"/>
      <c r="HQ162" s="17"/>
      <c r="HR162" s="17"/>
      <c r="HS162" s="17"/>
      <c r="HT162" s="17"/>
      <c r="HU162" s="17"/>
      <c r="HV162" s="17"/>
      <c r="HW162" s="17"/>
      <c r="HX162" s="17"/>
      <c r="HY162" s="17"/>
      <c r="HZ162" s="17"/>
      <c r="IA162" s="17"/>
      <c r="IB162" s="17"/>
      <c r="IC162" s="17"/>
      <c r="ID162" s="17"/>
      <c r="IE162" s="17"/>
      <c r="IF162" s="17"/>
      <c r="IG162" s="17"/>
      <c r="IH162" s="17"/>
      <c r="II162" s="17"/>
      <c r="IJ162" s="17"/>
      <c r="IK162" s="17"/>
      <c r="IL162" s="17"/>
      <c r="IM162" s="17"/>
      <c r="IN162" s="17"/>
      <c r="IO162" s="17"/>
      <c r="IP162" s="17"/>
      <c r="IQ162" s="17"/>
      <c r="IR162" s="17"/>
      <c r="IS162" s="17"/>
      <c r="IT162" s="17"/>
      <c r="IU162" s="17"/>
      <c r="IV162" s="17"/>
      <c r="IW162" s="17"/>
      <c r="IX162" s="17"/>
      <c r="IY162" s="17"/>
      <c r="IZ162" s="17"/>
      <c r="JA162" s="17"/>
      <c r="JB162" s="17"/>
      <c r="JC162" s="17"/>
      <c r="JD162" s="17"/>
      <c r="JE162" s="17"/>
      <c r="JF162" s="17"/>
      <c r="JG162" s="17"/>
      <c r="JH162" s="17"/>
      <c r="JI162" s="17"/>
      <c r="JJ162" s="17"/>
      <c r="JK162" s="17"/>
      <c r="JL162" s="17"/>
      <c r="JM162" s="17"/>
      <c r="JN162" s="17"/>
      <c r="JO162" s="17"/>
      <c r="JP162" s="17"/>
      <c r="JQ162" s="17"/>
      <c r="JR162" s="17"/>
      <c r="JS162" s="17"/>
      <c r="JT162" s="17"/>
      <c r="JU162" s="17"/>
      <c r="JV162" s="17"/>
      <c r="JW162" s="17"/>
      <c r="JX162" s="17"/>
      <c r="JY162" s="17"/>
      <c r="JZ162" s="17"/>
      <c r="KA162" s="17"/>
      <c r="KB162" s="17"/>
      <c r="KC162" s="17"/>
      <c r="KD162" s="17"/>
      <c r="KE162" s="17"/>
      <c r="KF162" s="17"/>
      <c r="KG162" s="17"/>
      <c r="KH162" s="17"/>
      <c r="KI162" s="17"/>
      <c r="KJ162" s="17"/>
      <c r="KK162" s="17"/>
      <c r="KL162" s="17"/>
      <c r="KM162" s="17"/>
      <c r="KN162" s="17"/>
      <c r="KO162" s="17"/>
      <c r="KP162" s="17"/>
      <c r="KQ162" s="17"/>
      <c r="KR162" s="17"/>
      <c r="KS162" s="17"/>
      <c r="KT162" s="17"/>
      <c r="KU162" s="17"/>
      <c r="KV162" s="17"/>
      <c r="KW162" s="17"/>
      <c r="KX162" s="17"/>
      <c r="KY162" s="17"/>
    </row>
    <row r="163" spans="1:311" x14ac:dyDescent="0.25">
      <c r="A163" s="17"/>
      <c r="B163" s="17"/>
      <c r="C163" s="17"/>
      <c r="D163" s="17"/>
      <c r="E163" s="17"/>
      <c r="F163" s="17"/>
      <c r="G163" s="17"/>
      <c r="H163" s="17"/>
      <c r="I163" s="17"/>
      <c r="J163" s="17"/>
      <c r="K163" s="17"/>
      <c r="L163" s="17"/>
      <c r="M163" s="17"/>
      <c r="N163" s="17"/>
      <c r="O163" s="17"/>
      <c r="P163" s="17"/>
      <c r="Q163" s="17"/>
      <c r="R163" s="17"/>
      <c r="S163" s="17"/>
      <c r="T163" s="17"/>
      <c r="U163" s="17"/>
      <c r="V163" s="17"/>
      <c r="W163" s="17"/>
      <c r="X163" s="17"/>
      <c r="Y163" s="17"/>
      <c r="Z163" s="17"/>
      <c r="AA163" s="17"/>
      <c r="AB163" s="17"/>
      <c r="AC163" s="17"/>
      <c r="AD163" s="17"/>
      <c r="AE163" s="17"/>
      <c r="AF163" s="17"/>
      <c r="AG163" s="17"/>
      <c r="AH163" s="17"/>
      <c r="AI163" s="17"/>
      <c r="AJ163" s="17"/>
      <c r="AK163" s="17"/>
      <c r="AL163" s="17"/>
      <c r="AM163" s="17"/>
      <c r="AN163" s="17"/>
      <c r="AO163" s="17"/>
      <c r="AP163" s="17"/>
      <c r="AQ163" s="17"/>
      <c r="AR163" s="17"/>
      <c r="AS163" s="17"/>
      <c r="AT163" s="17"/>
      <c r="AU163" s="17"/>
      <c r="AV163" s="17"/>
      <c r="AW163" s="17"/>
      <c r="AX163" s="17"/>
      <c r="AY163" s="17"/>
      <c r="AZ163" s="17"/>
      <c r="BA163" s="17"/>
      <c r="BB163" s="17"/>
      <c r="BC163" s="17"/>
      <c r="BD163" s="17"/>
      <c r="BE163" s="17"/>
      <c r="BF163" s="17"/>
      <c r="BG163" s="17"/>
      <c r="BH163" s="17"/>
      <c r="BI163" s="17"/>
      <c r="BJ163" s="17"/>
      <c r="BK163" s="17"/>
      <c r="BL163" s="17"/>
      <c r="BM163" s="17"/>
      <c r="BN163" s="17"/>
      <c r="BO163" s="17"/>
      <c r="BP163" s="17"/>
      <c r="BQ163" s="17"/>
      <c r="BR163" s="17"/>
      <c r="BS163" s="17"/>
      <c r="BT163" s="17"/>
      <c r="BU163" s="17"/>
      <c r="BV163" s="17"/>
      <c r="BW163" s="17"/>
      <c r="BX163" s="17"/>
      <c r="BY163" s="17"/>
      <c r="BZ163" s="17"/>
      <c r="CA163" s="17"/>
      <c r="CB163" s="17"/>
      <c r="CC163" s="17"/>
      <c r="CD163" s="17"/>
      <c r="CE163" s="17"/>
      <c r="CF163" s="17"/>
      <c r="CG163" s="17"/>
      <c r="CH163" s="17"/>
      <c r="CI163" s="17"/>
      <c r="CJ163" s="17"/>
      <c r="CK163" s="17"/>
      <c r="CL163" s="17"/>
      <c r="CM163" s="17"/>
      <c r="CN163" s="17"/>
      <c r="CO163" s="17"/>
      <c r="CP163" s="17"/>
      <c r="CQ163" s="17"/>
      <c r="CR163" s="17"/>
      <c r="CS163" s="17"/>
      <c r="CT163" s="17"/>
      <c r="CU163" s="17"/>
      <c r="CV163" s="17"/>
      <c r="CW163" s="17"/>
      <c r="CX163" s="17"/>
      <c r="CY163" s="17"/>
      <c r="CZ163" s="17"/>
      <c r="DA163" s="17"/>
      <c r="DB163" s="17"/>
      <c r="DC163" s="17"/>
      <c r="DD163" s="17"/>
      <c r="DE163" s="17"/>
      <c r="DF163" s="17"/>
      <c r="DG163" s="17"/>
      <c r="DH163" s="17"/>
      <c r="DI163" s="17"/>
      <c r="DJ163" s="17"/>
      <c r="DK163" s="17"/>
      <c r="DL163" s="17"/>
      <c r="DM163" s="17"/>
      <c r="DN163" s="17"/>
      <c r="DO163" s="17"/>
      <c r="DP163" s="17"/>
      <c r="DQ163" s="17"/>
      <c r="DR163" s="17"/>
      <c r="DS163" s="17"/>
      <c r="DT163" s="17"/>
      <c r="DU163" s="17"/>
      <c r="DV163" s="17"/>
      <c r="DW163" s="17"/>
      <c r="DX163" s="17"/>
      <c r="DY163" s="17"/>
      <c r="DZ163" s="17"/>
      <c r="EA163" s="17"/>
      <c r="EB163" s="17"/>
      <c r="EC163" s="17"/>
      <c r="ED163" s="17"/>
      <c r="EE163" s="17"/>
      <c r="EF163" s="17"/>
      <c r="EG163" s="17"/>
      <c r="EH163" s="17"/>
      <c r="EI163" s="17"/>
      <c r="EJ163" s="17"/>
      <c r="EK163" s="17"/>
      <c r="EL163" s="17"/>
      <c r="EM163" s="17"/>
      <c r="EN163" s="17"/>
      <c r="EO163" s="17"/>
      <c r="EP163" s="17"/>
      <c r="EQ163" s="17"/>
      <c r="ER163" s="17"/>
      <c r="ES163" s="17"/>
      <c r="ET163" s="17"/>
      <c r="EU163" s="17"/>
      <c r="EV163" s="17"/>
      <c r="EW163" s="17"/>
      <c r="EX163" s="17"/>
      <c r="EY163" s="17"/>
      <c r="EZ163" s="17"/>
      <c r="FA163" s="17"/>
      <c r="FB163" s="17"/>
      <c r="FC163" s="17"/>
      <c r="FD163" s="17"/>
      <c r="FE163" s="17"/>
      <c r="FF163" s="17"/>
      <c r="FG163" s="17"/>
      <c r="FH163" s="17"/>
      <c r="FI163" s="17"/>
      <c r="FJ163" s="17"/>
      <c r="FK163" s="17"/>
      <c r="FL163" s="17"/>
      <c r="FM163" s="17"/>
      <c r="FN163" s="17"/>
      <c r="FO163" s="17"/>
      <c r="FP163" s="17"/>
      <c r="FQ163" s="17"/>
      <c r="FR163" s="17"/>
      <c r="FS163" s="17"/>
      <c r="FT163" s="17"/>
      <c r="FU163" s="17"/>
      <c r="FV163" s="17"/>
      <c r="FW163" s="17"/>
      <c r="FX163" s="17"/>
      <c r="FY163" s="17"/>
      <c r="FZ163" s="17"/>
      <c r="GA163" s="17"/>
      <c r="GB163" s="17"/>
      <c r="GC163" s="17"/>
      <c r="GD163" s="17"/>
      <c r="GE163" s="17"/>
      <c r="GF163" s="17"/>
      <c r="GG163" s="17"/>
      <c r="GH163" s="17"/>
      <c r="GI163" s="17"/>
      <c r="GJ163" s="17"/>
      <c r="GK163" s="17"/>
      <c r="GL163" s="17"/>
      <c r="GM163" s="17"/>
      <c r="GN163" s="17"/>
      <c r="GO163" s="17"/>
      <c r="GP163" s="17"/>
      <c r="GQ163" s="17"/>
      <c r="GR163" s="17"/>
      <c r="GS163" s="17"/>
      <c r="GT163" s="17"/>
      <c r="GU163" s="17"/>
      <c r="GV163" s="17"/>
      <c r="GW163" s="17"/>
      <c r="GX163" s="17"/>
      <c r="GY163" s="17"/>
      <c r="GZ163" s="17"/>
      <c r="HA163" s="17"/>
      <c r="HB163" s="17"/>
      <c r="HC163" s="17"/>
      <c r="HD163" s="17"/>
      <c r="HE163" s="17"/>
      <c r="HF163" s="17"/>
      <c r="HG163" s="17"/>
      <c r="HH163" s="17"/>
      <c r="HI163" s="17"/>
      <c r="HJ163" s="17"/>
      <c r="HK163" s="17"/>
      <c r="HL163" s="17"/>
      <c r="HM163" s="17"/>
      <c r="HN163" s="17"/>
      <c r="HO163" s="17"/>
      <c r="HP163" s="17"/>
      <c r="HQ163" s="17"/>
      <c r="HR163" s="17"/>
      <c r="HS163" s="17"/>
      <c r="HT163" s="17"/>
      <c r="HU163" s="17"/>
      <c r="HV163" s="17"/>
      <c r="HW163" s="17"/>
      <c r="HX163" s="17"/>
      <c r="HY163" s="17"/>
      <c r="HZ163" s="17"/>
      <c r="IA163" s="17"/>
      <c r="IB163" s="17"/>
      <c r="IC163" s="17"/>
      <c r="ID163" s="17"/>
      <c r="IE163" s="17"/>
      <c r="IF163" s="17"/>
      <c r="IG163" s="17"/>
      <c r="IH163" s="17"/>
      <c r="II163" s="17"/>
      <c r="IJ163" s="17"/>
      <c r="IK163" s="17"/>
      <c r="IL163" s="17"/>
      <c r="IM163" s="17"/>
      <c r="IN163" s="17"/>
      <c r="IO163" s="17"/>
      <c r="IP163" s="17"/>
      <c r="IQ163" s="17"/>
      <c r="IR163" s="17"/>
      <c r="IS163" s="17"/>
      <c r="IT163" s="17"/>
      <c r="IU163" s="17"/>
      <c r="IV163" s="17"/>
      <c r="IW163" s="17"/>
      <c r="IX163" s="17"/>
      <c r="IY163" s="17"/>
      <c r="IZ163" s="17"/>
      <c r="JA163" s="17"/>
      <c r="JB163" s="17"/>
      <c r="JC163" s="17"/>
      <c r="JD163" s="17"/>
      <c r="JE163" s="17"/>
      <c r="JF163" s="17"/>
      <c r="JG163" s="17"/>
      <c r="JH163" s="17"/>
      <c r="JI163" s="17"/>
      <c r="JJ163" s="17"/>
      <c r="JK163" s="17"/>
      <c r="JL163" s="17"/>
      <c r="JM163" s="17"/>
      <c r="JN163" s="17"/>
      <c r="JO163" s="17"/>
      <c r="JP163" s="17"/>
      <c r="JQ163" s="17"/>
      <c r="JR163" s="17"/>
      <c r="JS163" s="17"/>
      <c r="JT163" s="17"/>
      <c r="JU163" s="17"/>
      <c r="JV163" s="17"/>
      <c r="JW163" s="17"/>
      <c r="JX163" s="17"/>
      <c r="JY163" s="17"/>
      <c r="JZ163" s="17"/>
      <c r="KA163" s="17"/>
      <c r="KB163" s="17"/>
      <c r="KC163" s="17"/>
      <c r="KD163" s="17"/>
      <c r="KE163" s="17"/>
      <c r="KF163" s="17"/>
      <c r="KG163" s="17"/>
      <c r="KH163" s="17"/>
      <c r="KI163" s="17"/>
      <c r="KJ163" s="17"/>
      <c r="KK163" s="17"/>
      <c r="KL163" s="17"/>
      <c r="KM163" s="17"/>
      <c r="KN163" s="17"/>
      <c r="KO163" s="17"/>
      <c r="KP163" s="17"/>
      <c r="KQ163" s="17"/>
      <c r="KR163" s="17"/>
      <c r="KS163" s="17"/>
      <c r="KT163" s="17"/>
      <c r="KU163" s="17"/>
      <c r="KV163" s="17"/>
      <c r="KW163" s="17"/>
      <c r="KX163" s="17"/>
      <c r="KY163" s="17"/>
    </row>
    <row r="164" spans="1:311" x14ac:dyDescent="0.25">
      <c r="A164" s="17"/>
      <c r="B164" s="17"/>
      <c r="C164" s="17"/>
      <c r="D164" s="17"/>
      <c r="E164" s="17"/>
      <c r="F164" s="17"/>
      <c r="G164" s="17"/>
      <c r="H164" s="17"/>
      <c r="I164" s="17"/>
      <c r="J164" s="17"/>
      <c r="K164" s="17"/>
      <c r="L164" s="17"/>
      <c r="M164" s="17"/>
      <c r="N164" s="17"/>
      <c r="O164" s="17"/>
      <c r="P164" s="17"/>
      <c r="Q164" s="17"/>
      <c r="R164" s="17"/>
      <c r="S164" s="17"/>
      <c r="T164" s="17"/>
      <c r="U164" s="17"/>
      <c r="V164" s="17"/>
      <c r="W164" s="17"/>
      <c r="X164" s="17"/>
      <c r="Y164" s="17"/>
      <c r="Z164" s="17"/>
      <c r="AA164" s="17"/>
      <c r="AB164" s="17"/>
      <c r="AC164" s="17"/>
      <c r="AD164" s="17"/>
      <c r="AE164" s="17"/>
      <c r="AF164" s="17"/>
      <c r="AG164" s="17"/>
      <c r="AH164" s="17"/>
      <c r="AI164" s="17"/>
      <c r="AJ164" s="17"/>
      <c r="AK164" s="17"/>
      <c r="AL164" s="17"/>
      <c r="AM164" s="17"/>
      <c r="AN164" s="17"/>
      <c r="AO164" s="17"/>
      <c r="AP164" s="17"/>
      <c r="AQ164" s="17"/>
      <c r="AR164" s="17"/>
      <c r="AS164" s="17"/>
      <c r="AT164" s="17"/>
      <c r="AU164" s="17"/>
      <c r="AV164" s="17"/>
      <c r="AW164" s="17"/>
      <c r="AX164" s="17"/>
      <c r="AY164" s="17"/>
      <c r="AZ164" s="17"/>
      <c r="BA164" s="17"/>
      <c r="BB164" s="17"/>
      <c r="BC164" s="17"/>
      <c r="BD164" s="17"/>
      <c r="BE164" s="17"/>
      <c r="BF164" s="17"/>
      <c r="BG164" s="17"/>
      <c r="BH164" s="17"/>
      <c r="BI164" s="17"/>
      <c r="BJ164" s="17"/>
      <c r="BK164" s="17"/>
      <c r="BL164" s="17"/>
      <c r="BM164" s="17"/>
      <c r="BN164" s="17"/>
      <c r="BO164" s="17"/>
      <c r="BP164" s="17"/>
      <c r="BQ164" s="17"/>
      <c r="BR164" s="17"/>
      <c r="BS164" s="17"/>
      <c r="BT164" s="17"/>
      <c r="BU164" s="17"/>
      <c r="BV164" s="17"/>
      <c r="BW164" s="17"/>
      <c r="BX164" s="17"/>
      <c r="BY164" s="17"/>
      <c r="BZ164" s="17"/>
      <c r="CA164" s="17"/>
      <c r="CB164" s="17"/>
      <c r="CC164" s="17"/>
      <c r="CD164" s="17"/>
      <c r="CE164" s="17"/>
      <c r="CF164" s="17"/>
      <c r="CG164" s="17"/>
      <c r="CH164" s="17"/>
      <c r="CI164" s="17"/>
      <c r="CJ164" s="17"/>
      <c r="CK164" s="17"/>
      <c r="CL164" s="17"/>
      <c r="CM164" s="17"/>
      <c r="CN164" s="17"/>
      <c r="CO164" s="17"/>
      <c r="CP164" s="17"/>
      <c r="CQ164" s="17"/>
      <c r="CR164" s="17"/>
      <c r="CS164" s="17"/>
      <c r="CT164" s="17"/>
      <c r="CU164" s="17"/>
      <c r="CV164" s="17"/>
      <c r="CW164" s="17"/>
      <c r="CX164" s="17"/>
      <c r="CY164" s="17"/>
      <c r="CZ164" s="17"/>
      <c r="DA164" s="17"/>
      <c r="DB164" s="17"/>
      <c r="DC164" s="17"/>
      <c r="DD164" s="17"/>
      <c r="DE164" s="17"/>
      <c r="DF164" s="17"/>
      <c r="DG164" s="17"/>
      <c r="DH164" s="17"/>
      <c r="DI164" s="17"/>
      <c r="DJ164" s="17"/>
      <c r="DK164" s="17"/>
      <c r="DL164" s="17"/>
      <c r="DM164" s="17"/>
      <c r="DN164" s="17"/>
      <c r="DO164" s="17"/>
      <c r="DP164" s="17"/>
      <c r="DQ164" s="17"/>
      <c r="DR164" s="17"/>
      <c r="DS164" s="17"/>
      <c r="DT164" s="17"/>
      <c r="DU164" s="17"/>
      <c r="DV164" s="17"/>
      <c r="DW164" s="17"/>
      <c r="DX164" s="17"/>
      <c r="DY164" s="17"/>
      <c r="DZ164" s="17"/>
      <c r="EA164" s="17"/>
      <c r="EB164" s="17"/>
      <c r="EC164" s="17"/>
      <c r="ED164" s="17"/>
      <c r="EE164" s="17"/>
      <c r="EF164" s="17"/>
      <c r="EG164" s="17"/>
      <c r="EH164" s="17"/>
      <c r="EI164" s="17"/>
      <c r="EJ164" s="17"/>
      <c r="EK164" s="17"/>
      <c r="EL164" s="17"/>
      <c r="EM164" s="17"/>
      <c r="EN164" s="17"/>
      <c r="EO164" s="17"/>
      <c r="EP164" s="17"/>
      <c r="EQ164" s="17"/>
      <c r="ER164" s="17"/>
      <c r="ES164" s="17"/>
      <c r="ET164" s="17"/>
      <c r="EU164" s="17"/>
      <c r="EV164" s="17"/>
      <c r="EW164" s="17"/>
      <c r="EX164" s="17"/>
      <c r="EY164" s="17"/>
      <c r="EZ164" s="17"/>
      <c r="FA164" s="17"/>
      <c r="FB164" s="17"/>
      <c r="FC164" s="17"/>
      <c r="FD164" s="17"/>
      <c r="FE164" s="17"/>
      <c r="FF164" s="17"/>
      <c r="FG164" s="17"/>
      <c r="FH164" s="17"/>
      <c r="FI164" s="17"/>
      <c r="FJ164" s="17"/>
      <c r="FK164" s="17"/>
      <c r="FL164" s="17"/>
      <c r="FM164" s="17"/>
      <c r="FN164" s="17"/>
      <c r="FO164" s="17"/>
      <c r="FP164" s="17"/>
      <c r="FQ164" s="17"/>
      <c r="FR164" s="17"/>
      <c r="FS164" s="17"/>
      <c r="FT164" s="17"/>
      <c r="FU164" s="17"/>
      <c r="FV164" s="17"/>
      <c r="FW164" s="17"/>
      <c r="FX164" s="17"/>
      <c r="FY164" s="17"/>
      <c r="FZ164" s="17"/>
      <c r="GA164" s="17"/>
      <c r="GB164" s="17"/>
      <c r="GC164" s="17"/>
      <c r="GD164" s="17"/>
      <c r="GE164" s="17"/>
      <c r="GF164" s="17"/>
      <c r="GG164" s="17"/>
      <c r="GH164" s="17"/>
      <c r="GI164" s="17"/>
      <c r="GJ164" s="17"/>
      <c r="GK164" s="17"/>
      <c r="GL164" s="17"/>
      <c r="GM164" s="17"/>
      <c r="GN164" s="17"/>
      <c r="GO164" s="17"/>
      <c r="GP164" s="17"/>
      <c r="GQ164" s="17"/>
      <c r="GR164" s="17"/>
      <c r="GS164" s="17"/>
      <c r="GT164" s="17"/>
      <c r="GU164" s="17"/>
      <c r="GV164" s="17"/>
      <c r="GW164" s="17"/>
      <c r="GX164" s="17"/>
      <c r="GY164" s="17"/>
      <c r="GZ164" s="17"/>
      <c r="HA164" s="17"/>
      <c r="HB164" s="17"/>
      <c r="HC164" s="17"/>
      <c r="HD164" s="17"/>
      <c r="HE164" s="17"/>
      <c r="HF164" s="17"/>
      <c r="HG164" s="17"/>
      <c r="HH164" s="17"/>
      <c r="HI164" s="17"/>
      <c r="HJ164" s="17"/>
      <c r="HK164" s="17"/>
      <c r="HL164" s="17"/>
      <c r="HM164" s="17"/>
      <c r="HN164" s="17"/>
      <c r="HO164" s="17"/>
      <c r="HP164" s="17"/>
      <c r="HQ164" s="17"/>
      <c r="HR164" s="17"/>
      <c r="HS164" s="17"/>
      <c r="HT164" s="17"/>
      <c r="HU164" s="17"/>
      <c r="HV164" s="17"/>
      <c r="HW164" s="17"/>
      <c r="HX164" s="17"/>
      <c r="HY164" s="17"/>
      <c r="HZ164" s="17"/>
      <c r="IA164" s="17"/>
      <c r="IB164" s="17"/>
      <c r="IC164" s="17"/>
      <c r="ID164" s="17"/>
      <c r="IE164" s="17"/>
      <c r="IF164" s="17"/>
      <c r="IG164" s="17"/>
      <c r="IH164" s="17"/>
      <c r="II164" s="17"/>
      <c r="IJ164" s="17"/>
      <c r="IK164" s="17"/>
      <c r="IL164" s="17"/>
      <c r="IM164" s="17"/>
      <c r="IN164" s="17"/>
      <c r="IO164" s="17"/>
      <c r="IP164" s="17"/>
      <c r="IQ164" s="17"/>
      <c r="IR164" s="17"/>
      <c r="IS164" s="17"/>
      <c r="IT164" s="17"/>
      <c r="IU164" s="17"/>
      <c r="IV164" s="17"/>
      <c r="IW164" s="17"/>
      <c r="IX164" s="17"/>
      <c r="IY164" s="17"/>
      <c r="IZ164" s="17"/>
      <c r="JA164" s="17"/>
      <c r="JB164" s="17"/>
      <c r="JC164" s="17"/>
      <c r="JD164" s="17"/>
      <c r="JE164" s="17"/>
      <c r="JF164" s="17"/>
      <c r="JG164" s="17"/>
      <c r="JH164" s="17"/>
      <c r="JI164" s="17"/>
      <c r="JJ164" s="17"/>
      <c r="JK164" s="17"/>
      <c r="JL164" s="17"/>
      <c r="JM164" s="17"/>
      <c r="JN164" s="17"/>
      <c r="JO164" s="17"/>
      <c r="JP164" s="17"/>
      <c r="JQ164" s="17"/>
      <c r="JR164" s="17"/>
      <c r="JS164" s="17"/>
      <c r="JT164" s="17"/>
      <c r="JU164" s="17"/>
      <c r="JV164" s="17"/>
      <c r="JW164" s="17"/>
      <c r="JX164" s="17"/>
      <c r="JY164" s="17"/>
      <c r="JZ164" s="17"/>
      <c r="KA164" s="17"/>
      <c r="KB164" s="17"/>
      <c r="KC164" s="17"/>
      <c r="KD164" s="17"/>
      <c r="KE164" s="17"/>
      <c r="KF164" s="17"/>
      <c r="KG164" s="17"/>
      <c r="KH164" s="17"/>
      <c r="KI164" s="17"/>
      <c r="KJ164" s="17"/>
      <c r="KK164" s="17"/>
      <c r="KL164" s="17"/>
      <c r="KM164" s="17"/>
      <c r="KN164" s="17"/>
      <c r="KO164" s="17"/>
      <c r="KP164" s="17"/>
      <c r="KQ164" s="17"/>
      <c r="KR164" s="17"/>
      <c r="KS164" s="17"/>
      <c r="KT164" s="17"/>
      <c r="KU164" s="17"/>
      <c r="KV164" s="17"/>
      <c r="KW164" s="17"/>
      <c r="KX164" s="17"/>
      <c r="KY164" s="17"/>
    </row>
    <row r="165" spans="1:311" x14ac:dyDescent="0.25">
      <c r="A165" s="17"/>
      <c r="B165" s="17"/>
      <c r="C165" s="17"/>
      <c r="D165" s="17"/>
      <c r="E165" s="17"/>
      <c r="F165" s="17"/>
      <c r="G165" s="17"/>
      <c r="H165" s="17"/>
      <c r="I165" s="17"/>
      <c r="J165" s="17"/>
      <c r="K165" s="17"/>
      <c r="L165" s="17"/>
      <c r="M165" s="17"/>
      <c r="N165" s="17"/>
      <c r="O165" s="17"/>
      <c r="P165" s="17"/>
      <c r="Q165" s="17"/>
      <c r="R165" s="17"/>
      <c r="S165" s="17"/>
      <c r="T165" s="17"/>
      <c r="U165" s="17"/>
      <c r="V165" s="17"/>
      <c r="W165" s="17"/>
      <c r="X165" s="17"/>
      <c r="Y165" s="17"/>
      <c r="Z165" s="17"/>
      <c r="AA165" s="17"/>
      <c r="AB165" s="17"/>
      <c r="AC165" s="17"/>
      <c r="AD165" s="17"/>
      <c r="AE165" s="17"/>
      <c r="AF165" s="17"/>
      <c r="AG165" s="17"/>
      <c r="AH165" s="17"/>
      <c r="AI165" s="17"/>
      <c r="AJ165" s="17"/>
      <c r="AK165" s="17"/>
      <c r="AL165" s="17"/>
      <c r="AM165" s="17"/>
      <c r="AN165" s="17"/>
      <c r="AO165" s="17"/>
      <c r="AP165" s="17"/>
      <c r="AQ165" s="17"/>
      <c r="AR165" s="17"/>
      <c r="AS165" s="17"/>
      <c r="AT165" s="17"/>
      <c r="AU165" s="17"/>
      <c r="AV165" s="17"/>
      <c r="AW165" s="17"/>
      <c r="AX165" s="17"/>
      <c r="AY165" s="17"/>
      <c r="AZ165" s="17"/>
      <c r="BA165" s="17"/>
      <c r="BB165" s="17"/>
      <c r="BC165" s="17"/>
      <c r="BD165" s="17"/>
      <c r="BE165" s="17"/>
      <c r="BF165" s="17"/>
      <c r="BG165" s="17"/>
      <c r="BH165" s="17"/>
      <c r="BI165" s="17"/>
      <c r="BJ165" s="17"/>
      <c r="BK165" s="17"/>
      <c r="BL165" s="17"/>
      <c r="BM165" s="17"/>
      <c r="BN165" s="17"/>
      <c r="BO165" s="17"/>
      <c r="BP165" s="17"/>
      <c r="BQ165" s="17"/>
      <c r="BR165" s="17"/>
      <c r="BS165" s="17"/>
      <c r="BT165" s="17"/>
      <c r="BU165" s="17"/>
      <c r="BV165" s="17"/>
      <c r="BW165" s="17"/>
      <c r="BX165" s="17"/>
      <c r="BY165" s="17"/>
      <c r="BZ165" s="17"/>
      <c r="CA165" s="17"/>
      <c r="CB165" s="17"/>
      <c r="CC165" s="17"/>
      <c r="CD165" s="17"/>
      <c r="CE165" s="17"/>
      <c r="CF165" s="17"/>
      <c r="CG165" s="17"/>
      <c r="CH165" s="17"/>
      <c r="CI165" s="17"/>
      <c r="CJ165" s="17"/>
      <c r="CK165" s="17"/>
      <c r="CL165" s="17"/>
      <c r="CM165" s="17"/>
      <c r="CN165" s="17"/>
      <c r="CO165" s="17"/>
      <c r="CP165" s="17"/>
      <c r="CQ165" s="17"/>
      <c r="CR165" s="17"/>
      <c r="CS165" s="17"/>
      <c r="CT165" s="17"/>
      <c r="CU165" s="17"/>
      <c r="CV165" s="17"/>
      <c r="CW165" s="17"/>
      <c r="CX165" s="17"/>
      <c r="CY165" s="17"/>
      <c r="CZ165" s="17"/>
      <c r="DA165" s="17"/>
      <c r="DB165" s="17"/>
      <c r="DC165" s="17"/>
      <c r="DD165" s="17"/>
      <c r="DE165" s="17"/>
      <c r="DF165" s="17"/>
      <c r="DG165" s="17"/>
      <c r="DH165" s="17"/>
      <c r="DI165" s="17"/>
      <c r="DJ165" s="17"/>
      <c r="DK165" s="17"/>
      <c r="DL165" s="17"/>
      <c r="DM165" s="17"/>
      <c r="DN165" s="17"/>
      <c r="DO165" s="17"/>
      <c r="DP165" s="17"/>
      <c r="DQ165" s="17"/>
      <c r="DR165" s="17"/>
      <c r="DS165" s="17"/>
      <c r="DT165" s="17"/>
      <c r="DU165" s="17"/>
      <c r="DV165" s="17"/>
      <c r="DW165" s="17"/>
      <c r="DX165" s="17"/>
      <c r="DY165" s="17"/>
      <c r="DZ165" s="17"/>
      <c r="EA165" s="17"/>
      <c r="EB165" s="17"/>
      <c r="EC165" s="17"/>
      <c r="ED165" s="17"/>
      <c r="EE165" s="17"/>
      <c r="EF165" s="17"/>
      <c r="EG165" s="17"/>
      <c r="EH165" s="17"/>
      <c r="EI165" s="17"/>
      <c r="EJ165" s="17"/>
      <c r="EK165" s="17"/>
      <c r="EL165" s="17"/>
      <c r="EM165" s="17"/>
      <c r="EN165" s="17"/>
      <c r="EO165" s="17"/>
      <c r="EP165" s="17"/>
      <c r="EQ165" s="17"/>
      <c r="ER165" s="17"/>
      <c r="ES165" s="17"/>
      <c r="ET165" s="17"/>
      <c r="EU165" s="17"/>
      <c r="EV165" s="17"/>
      <c r="EW165" s="17"/>
      <c r="EX165" s="17"/>
      <c r="EY165" s="17"/>
      <c r="EZ165" s="17"/>
      <c r="FA165" s="17"/>
      <c r="FB165" s="17"/>
      <c r="FC165" s="17"/>
      <c r="FD165" s="17"/>
      <c r="FE165" s="17"/>
      <c r="FF165" s="17"/>
      <c r="FG165" s="17"/>
      <c r="FH165" s="17"/>
      <c r="FI165" s="17"/>
      <c r="FJ165" s="17"/>
      <c r="FK165" s="17"/>
      <c r="FL165" s="17"/>
      <c r="FM165" s="17"/>
      <c r="FN165" s="17"/>
      <c r="FO165" s="17"/>
      <c r="FP165" s="17"/>
      <c r="FQ165" s="17"/>
      <c r="FR165" s="17"/>
      <c r="FS165" s="17"/>
      <c r="FT165" s="17"/>
      <c r="FU165" s="17"/>
      <c r="FV165" s="17"/>
      <c r="FW165" s="17"/>
      <c r="FX165" s="17"/>
      <c r="FY165" s="17"/>
      <c r="FZ165" s="17"/>
      <c r="GA165" s="17"/>
      <c r="GB165" s="17"/>
      <c r="GC165" s="17"/>
      <c r="GD165" s="17"/>
      <c r="GE165" s="17"/>
      <c r="GF165" s="17"/>
      <c r="GG165" s="17"/>
      <c r="GH165" s="17"/>
      <c r="GI165" s="17"/>
      <c r="GJ165" s="17"/>
      <c r="GK165" s="17"/>
      <c r="GL165" s="17"/>
      <c r="GM165" s="17"/>
      <c r="GN165" s="17"/>
      <c r="GO165" s="17"/>
      <c r="GP165" s="17"/>
      <c r="GQ165" s="17"/>
      <c r="GR165" s="17"/>
      <c r="GS165" s="17"/>
      <c r="GT165" s="17"/>
      <c r="GU165" s="17"/>
      <c r="GV165" s="17"/>
      <c r="GW165" s="17"/>
      <c r="GX165" s="17"/>
      <c r="GY165" s="17"/>
      <c r="GZ165" s="17"/>
      <c r="HA165" s="17"/>
      <c r="HB165" s="17"/>
      <c r="HC165" s="17"/>
      <c r="HD165" s="17"/>
      <c r="HE165" s="17"/>
      <c r="HF165" s="17"/>
      <c r="HG165" s="17"/>
      <c r="HH165" s="17"/>
      <c r="HI165" s="17"/>
      <c r="HJ165" s="17"/>
      <c r="HK165" s="17"/>
      <c r="HL165" s="17"/>
      <c r="HM165" s="17"/>
      <c r="HN165" s="17"/>
      <c r="HO165" s="17"/>
      <c r="HP165" s="17"/>
      <c r="HQ165" s="17"/>
      <c r="HR165" s="17"/>
      <c r="HS165" s="17"/>
      <c r="HT165" s="17"/>
      <c r="HU165" s="17"/>
      <c r="HV165" s="17"/>
      <c r="HW165" s="17"/>
      <c r="HX165" s="17"/>
      <c r="HY165" s="17"/>
      <c r="HZ165" s="17"/>
      <c r="IA165" s="17"/>
      <c r="IB165" s="17"/>
      <c r="IC165" s="17"/>
      <c r="ID165" s="17"/>
      <c r="IE165" s="17"/>
      <c r="IF165" s="17"/>
      <c r="IG165" s="17"/>
      <c r="IH165" s="17"/>
      <c r="II165" s="17"/>
      <c r="IJ165" s="17"/>
      <c r="IK165" s="17"/>
      <c r="IL165" s="17"/>
      <c r="IM165" s="17"/>
      <c r="IN165" s="17"/>
      <c r="IO165" s="17"/>
      <c r="IP165" s="17"/>
      <c r="IQ165" s="17"/>
      <c r="IR165" s="17"/>
      <c r="IS165" s="17"/>
      <c r="IT165" s="17"/>
      <c r="IU165" s="17"/>
      <c r="IV165" s="17"/>
      <c r="IW165" s="17"/>
      <c r="IX165" s="17"/>
      <c r="IY165" s="17"/>
      <c r="IZ165" s="17"/>
      <c r="JA165" s="17"/>
      <c r="JB165" s="17"/>
      <c r="JC165" s="17"/>
      <c r="JD165" s="17"/>
      <c r="JE165" s="17"/>
      <c r="JF165" s="17"/>
      <c r="JG165" s="17"/>
      <c r="JH165" s="17"/>
      <c r="JI165" s="17"/>
      <c r="JJ165" s="17"/>
      <c r="JK165" s="17"/>
      <c r="JL165" s="17"/>
      <c r="JM165" s="17"/>
      <c r="JN165" s="17"/>
      <c r="JO165" s="17"/>
      <c r="JP165" s="17"/>
      <c r="JQ165" s="17"/>
      <c r="JR165" s="17"/>
      <c r="JS165" s="17"/>
      <c r="JT165" s="17"/>
      <c r="JU165" s="17"/>
      <c r="JV165" s="17"/>
      <c r="JW165" s="17"/>
      <c r="JX165" s="17"/>
      <c r="JY165" s="17"/>
      <c r="JZ165" s="17"/>
      <c r="KA165" s="17"/>
      <c r="KB165" s="17"/>
      <c r="KC165" s="17"/>
      <c r="KD165" s="17"/>
      <c r="KE165" s="17"/>
      <c r="KF165" s="17"/>
      <c r="KG165" s="17"/>
      <c r="KH165" s="17"/>
      <c r="KI165" s="17"/>
      <c r="KJ165" s="17"/>
      <c r="KK165" s="17"/>
      <c r="KL165" s="17"/>
      <c r="KM165" s="17"/>
      <c r="KN165" s="17"/>
      <c r="KO165" s="17"/>
      <c r="KP165" s="17"/>
      <c r="KQ165" s="17"/>
      <c r="KR165" s="17"/>
      <c r="KS165" s="17"/>
      <c r="KT165" s="17"/>
      <c r="KU165" s="17"/>
      <c r="KV165" s="17"/>
      <c r="KW165" s="17"/>
      <c r="KX165" s="17"/>
      <c r="KY165" s="17"/>
    </row>
    <row r="166" spans="1:311" x14ac:dyDescent="0.25">
      <c r="A166" s="17"/>
      <c r="B166" s="17"/>
      <c r="C166" s="17"/>
      <c r="D166" s="17"/>
      <c r="E166" s="17"/>
      <c r="F166" s="17"/>
      <c r="G166" s="17"/>
      <c r="H166" s="17"/>
      <c r="I166" s="17"/>
      <c r="J166" s="17"/>
      <c r="K166" s="17"/>
      <c r="L166" s="17"/>
      <c r="M166" s="17"/>
      <c r="N166" s="17"/>
      <c r="O166" s="17"/>
      <c r="P166" s="17"/>
      <c r="Q166" s="17"/>
      <c r="R166" s="17"/>
      <c r="S166" s="17"/>
      <c r="T166" s="17"/>
      <c r="U166" s="17"/>
      <c r="V166" s="17"/>
      <c r="W166" s="17"/>
      <c r="X166" s="17"/>
      <c r="Y166" s="17"/>
      <c r="Z166" s="17"/>
      <c r="AA166" s="17"/>
      <c r="AB166" s="17"/>
      <c r="AC166" s="17"/>
      <c r="AD166" s="17"/>
      <c r="AE166" s="17"/>
      <c r="AF166" s="17"/>
      <c r="AG166" s="17"/>
      <c r="AH166" s="17"/>
      <c r="AI166" s="17"/>
      <c r="AJ166" s="17"/>
      <c r="AK166" s="17"/>
      <c r="AL166" s="17"/>
      <c r="AM166" s="17"/>
      <c r="AN166" s="17"/>
      <c r="AO166" s="17"/>
      <c r="AP166" s="17"/>
      <c r="AQ166" s="17"/>
      <c r="AR166" s="17"/>
      <c r="AS166" s="17"/>
      <c r="AT166" s="17"/>
      <c r="AU166" s="17"/>
      <c r="AV166" s="17"/>
      <c r="AW166" s="17"/>
      <c r="AX166" s="17"/>
      <c r="AY166" s="17"/>
      <c r="AZ166" s="17"/>
      <c r="BA166" s="17"/>
      <c r="BB166" s="17"/>
      <c r="BC166" s="17"/>
      <c r="BD166" s="17"/>
      <c r="BE166" s="17"/>
      <c r="BF166" s="17"/>
      <c r="BG166" s="17"/>
      <c r="BH166" s="17"/>
      <c r="BI166" s="17"/>
      <c r="BJ166" s="17"/>
      <c r="BK166" s="17"/>
      <c r="BL166" s="17"/>
      <c r="BM166" s="17"/>
      <c r="BN166" s="17"/>
      <c r="BO166" s="17"/>
      <c r="BP166" s="17"/>
      <c r="BQ166" s="17"/>
      <c r="BR166" s="17"/>
      <c r="BS166" s="17"/>
      <c r="BT166" s="17"/>
      <c r="BU166" s="17"/>
      <c r="BV166" s="17"/>
      <c r="BW166" s="17"/>
      <c r="BX166" s="17"/>
      <c r="BY166" s="17"/>
      <c r="BZ166" s="17"/>
      <c r="CA166" s="17"/>
      <c r="CB166" s="17"/>
      <c r="CC166" s="17"/>
      <c r="CD166" s="17"/>
      <c r="CE166" s="17"/>
      <c r="CF166" s="17"/>
      <c r="CG166" s="17"/>
      <c r="CH166" s="17"/>
      <c r="CI166" s="17"/>
      <c r="CJ166" s="17"/>
      <c r="CK166" s="17"/>
      <c r="CL166" s="17"/>
      <c r="CM166" s="17"/>
      <c r="CN166" s="17"/>
      <c r="CO166" s="17"/>
      <c r="CP166" s="17"/>
      <c r="CQ166" s="17"/>
      <c r="CR166" s="17"/>
      <c r="CS166" s="17"/>
      <c r="CT166" s="17"/>
      <c r="CU166" s="17"/>
      <c r="CV166" s="17"/>
      <c r="CW166" s="17"/>
      <c r="CX166" s="17"/>
      <c r="CY166" s="17"/>
      <c r="CZ166" s="17"/>
      <c r="DA166" s="17"/>
      <c r="DB166" s="17"/>
      <c r="DC166" s="17"/>
      <c r="DD166" s="17"/>
      <c r="DE166" s="17"/>
      <c r="DF166" s="17"/>
      <c r="DG166" s="17"/>
      <c r="DH166" s="17"/>
      <c r="DI166" s="17"/>
      <c r="DJ166" s="17"/>
      <c r="DK166" s="17"/>
      <c r="DL166" s="17"/>
      <c r="DM166" s="17"/>
      <c r="DN166" s="17"/>
      <c r="DO166" s="17"/>
      <c r="DP166" s="17"/>
      <c r="DQ166" s="17"/>
      <c r="DR166" s="17"/>
      <c r="DS166" s="17"/>
      <c r="DT166" s="17"/>
      <c r="DU166" s="17"/>
      <c r="DV166" s="17"/>
      <c r="DW166" s="17"/>
      <c r="DX166" s="17"/>
      <c r="DY166" s="17"/>
      <c r="DZ166" s="17"/>
      <c r="EA166" s="17"/>
      <c r="EB166" s="17"/>
      <c r="EC166" s="17"/>
      <c r="ED166" s="17"/>
      <c r="EE166" s="17"/>
      <c r="EF166" s="17"/>
      <c r="EG166" s="17"/>
      <c r="EH166" s="17"/>
      <c r="EI166" s="17"/>
      <c r="EJ166" s="17"/>
      <c r="EK166" s="17"/>
      <c r="EL166" s="17"/>
      <c r="EM166" s="17"/>
      <c r="EN166" s="17"/>
      <c r="EO166" s="17"/>
      <c r="EP166" s="17"/>
      <c r="EQ166" s="17"/>
      <c r="ER166" s="17"/>
      <c r="ES166" s="17"/>
      <c r="ET166" s="17"/>
      <c r="EU166" s="17"/>
      <c r="EV166" s="17"/>
      <c r="EW166" s="17"/>
      <c r="EX166" s="17"/>
      <c r="EY166" s="17"/>
      <c r="EZ166" s="17"/>
      <c r="FA166" s="17"/>
      <c r="FB166" s="17"/>
      <c r="FC166" s="17"/>
      <c r="FD166" s="17"/>
      <c r="FE166" s="17"/>
      <c r="FF166" s="17"/>
      <c r="FG166" s="17"/>
      <c r="FH166" s="17"/>
      <c r="FI166" s="17"/>
      <c r="FJ166" s="17"/>
      <c r="FK166" s="17"/>
      <c r="FL166" s="17"/>
      <c r="FM166" s="17"/>
      <c r="FN166" s="17"/>
      <c r="FO166" s="17"/>
      <c r="FP166" s="17"/>
      <c r="FQ166" s="17"/>
      <c r="FR166" s="17"/>
      <c r="FS166" s="17"/>
      <c r="FT166" s="17"/>
      <c r="FU166" s="17"/>
      <c r="FV166" s="17"/>
      <c r="FW166" s="17"/>
      <c r="FX166" s="17"/>
      <c r="FY166" s="17"/>
      <c r="FZ166" s="17"/>
      <c r="GA166" s="17"/>
      <c r="GB166" s="17"/>
      <c r="GC166" s="17"/>
      <c r="GD166" s="17"/>
      <c r="GE166" s="17"/>
      <c r="GF166" s="17"/>
      <c r="GG166" s="17"/>
      <c r="GH166" s="17"/>
      <c r="GI166" s="17"/>
      <c r="GJ166" s="17"/>
      <c r="GK166" s="17"/>
      <c r="GL166" s="17"/>
      <c r="GM166" s="17"/>
      <c r="GN166" s="17"/>
      <c r="GO166" s="17"/>
      <c r="GP166" s="17"/>
      <c r="GQ166" s="17"/>
      <c r="GR166" s="17"/>
      <c r="GS166" s="17"/>
      <c r="GT166" s="17"/>
      <c r="GU166" s="17"/>
      <c r="GV166" s="17"/>
      <c r="GW166" s="17"/>
      <c r="GX166" s="17"/>
      <c r="GY166" s="17"/>
      <c r="GZ166" s="17"/>
      <c r="HA166" s="17"/>
      <c r="HB166" s="17"/>
      <c r="HC166" s="17"/>
      <c r="HD166" s="17"/>
      <c r="HE166" s="17"/>
      <c r="HF166" s="17"/>
      <c r="HG166" s="17"/>
      <c r="HH166" s="17"/>
      <c r="HI166" s="17"/>
      <c r="HJ166" s="17"/>
      <c r="HK166" s="17"/>
      <c r="HL166" s="17"/>
      <c r="HM166" s="17"/>
      <c r="HN166" s="17"/>
      <c r="HO166" s="17"/>
      <c r="HP166" s="17"/>
      <c r="HQ166" s="17"/>
      <c r="HR166" s="17"/>
      <c r="HS166" s="17"/>
      <c r="HT166" s="17"/>
      <c r="HU166" s="17"/>
      <c r="HV166" s="17"/>
      <c r="HW166" s="17"/>
      <c r="HX166" s="17"/>
      <c r="HY166" s="17"/>
      <c r="HZ166" s="17"/>
      <c r="IA166" s="17"/>
      <c r="IB166" s="17"/>
      <c r="IC166" s="17"/>
      <c r="ID166" s="17"/>
      <c r="IE166" s="17"/>
      <c r="IF166" s="17"/>
      <c r="IG166" s="17"/>
      <c r="IH166" s="17"/>
      <c r="II166" s="17"/>
      <c r="IJ166" s="17"/>
      <c r="IK166" s="17"/>
      <c r="IL166" s="17"/>
      <c r="IM166" s="17"/>
      <c r="IN166" s="17"/>
      <c r="IO166" s="17"/>
      <c r="IP166" s="17"/>
      <c r="IQ166" s="17"/>
      <c r="IR166" s="17"/>
      <c r="IS166" s="17"/>
      <c r="IT166" s="17"/>
      <c r="IU166" s="17"/>
      <c r="IV166" s="17"/>
      <c r="IW166" s="17"/>
      <c r="IX166" s="17"/>
      <c r="IY166" s="17"/>
      <c r="IZ166" s="17"/>
      <c r="JA166" s="17"/>
      <c r="JB166" s="17"/>
      <c r="JC166" s="17"/>
      <c r="JD166" s="17"/>
      <c r="JE166" s="17"/>
      <c r="JF166" s="17"/>
      <c r="JG166" s="17"/>
      <c r="JH166" s="17"/>
      <c r="JI166" s="17"/>
      <c r="JJ166" s="17"/>
      <c r="JK166" s="17"/>
      <c r="JL166" s="17"/>
      <c r="JM166" s="17"/>
      <c r="JN166" s="17"/>
      <c r="JO166" s="17"/>
      <c r="JP166" s="17"/>
      <c r="JQ166" s="17"/>
      <c r="JR166" s="17"/>
      <c r="JS166" s="17"/>
      <c r="JT166" s="17"/>
      <c r="JU166" s="17"/>
      <c r="JV166" s="17"/>
      <c r="JW166" s="17"/>
      <c r="JX166" s="17"/>
      <c r="JY166" s="17"/>
      <c r="JZ166" s="17"/>
      <c r="KA166" s="17"/>
      <c r="KB166" s="17"/>
      <c r="KC166" s="17"/>
      <c r="KD166" s="17"/>
      <c r="KE166" s="17"/>
      <c r="KF166" s="17"/>
      <c r="KG166" s="17"/>
      <c r="KH166" s="17"/>
      <c r="KI166" s="17"/>
      <c r="KJ166" s="17"/>
      <c r="KK166" s="17"/>
      <c r="KL166" s="17"/>
      <c r="KM166" s="17"/>
      <c r="KN166" s="17"/>
      <c r="KO166" s="17"/>
      <c r="KP166" s="17"/>
      <c r="KQ166" s="17"/>
      <c r="KR166" s="17"/>
      <c r="KS166" s="17"/>
      <c r="KT166" s="17"/>
      <c r="KU166" s="17"/>
      <c r="KV166" s="17"/>
      <c r="KW166" s="17"/>
      <c r="KX166" s="17"/>
      <c r="KY166" s="17"/>
    </row>
    <row r="167" spans="1:311" x14ac:dyDescent="0.25">
      <c r="A167" s="17"/>
      <c r="B167" s="17"/>
      <c r="C167" s="17"/>
      <c r="D167" s="17"/>
      <c r="E167" s="17"/>
      <c r="F167" s="17"/>
      <c r="G167" s="17"/>
      <c r="H167" s="17"/>
      <c r="I167" s="17"/>
      <c r="J167" s="17"/>
      <c r="K167" s="17"/>
      <c r="L167" s="17"/>
      <c r="M167" s="17"/>
      <c r="N167" s="17"/>
      <c r="O167" s="17"/>
      <c r="P167" s="17"/>
      <c r="Q167" s="17"/>
      <c r="R167" s="17"/>
      <c r="S167" s="17"/>
      <c r="T167" s="17"/>
      <c r="U167" s="17"/>
      <c r="V167" s="17"/>
      <c r="W167" s="17"/>
      <c r="X167" s="17"/>
      <c r="Y167" s="17"/>
      <c r="Z167" s="17"/>
      <c r="AA167" s="17"/>
      <c r="AB167" s="17"/>
      <c r="AC167" s="17"/>
      <c r="AD167" s="17"/>
      <c r="AE167" s="17"/>
      <c r="AF167" s="17"/>
      <c r="AG167" s="17"/>
      <c r="AH167" s="17"/>
      <c r="AI167" s="17"/>
      <c r="AJ167" s="17"/>
      <c r="AK167" s="17"/>
      <c r="AL167" s="17"/>
      <c r="AM167" s="17"/>
      <c r="AN167" s="17"/>
      <c r="AO167" s="17"/>
      <c r="AP167" s="17"/>
      <c r="AQ167" s="17"/>
      <c r="AR167" s="17"/>
      <c r="AS167" s="17"/>
      <c r="AT167" s="17"/>
      <c r="AU167" s="17"/>
      <c r="AV167" s="17"/>
      <c r="AW167" s="17"/>
      <c r="AX167" s="17"/>
      <c r="AY167" s="17"/>
      <c r="AZ167" s="17"/>
      <c r="BA167" s="17"/>
      <c r="BB167" s="17"/>
      <c r="BC167" s="17"/>
      <c r="BD167" s="17"/>
      <c r="BE167" s="17"/>
      <c r="BF167" s="17"/>
      <c r="BG167" s="17"/>
      <c r="BH167" s="17"/>
      <c r="BI167" s="17"/>
      <c r="BJ167" s="17"/>
      <c r="BK167" s="17"/>
      <c r="BL167" s="17"/>
      <c r="BM167" s="17"/>
      <c r="BN167" s="17"/>
      <c r="BO167" s="17"/>
      <c r="BP167" s="17"/>
      <c r="BQ167" s="17"/>
      <c r="BR167" s="17"/>
      <c r="BS167" s="17"/>
      <c r="BT167" s="17"/>
      <c r="BU167" s="17"/>
      <c r="BV167" s="17"/>
      <c r="BW167" s="17"/>
      <c r="BX167" s="17"/>
      <c r="BY167" s="17"/>
      <c r="BZ167" s="17"/>
      <c r="CA167" s="17"/>
      <c r="CB167" s="17"/>
      <c r="CC167" s="17"/>
      <c r="CD167" s="17"/>
      <c r="CE167" s="17"/>
      <c r="CF167" s="17"/>
      <c r="CG167" s="17"/>
      <c r="CH167" s="17"/>
      <c r="CI167" s="17"/>
      <c r="CJ167" s="17"/>
      <c r="CK167" s="17"/>
      <c r="CL167" s="17"/>
      <c r="CM167" s="17"/>
      <c r="CN167" s="17"/>
      <c r="CO167" s="17"/>
      <c r="CP167" s="17"/>
      <c r="CQ167" s="17"/>
      <c r="CR167" s="17"/>
      <c r="CS167" s="17"/>
      <c r="CT167" s="17"/>
      <c r="CU167" s="17"/>
      <c r="CV167" s="17"/>
      <c r="CW167" s="17"/>
      <c r="CX167" s="17"/>
      <c r="CY167" s="17"/>
      <c r="CZ167" s="17"/>
      <c r="DA167" s="17"/>
      <c r="DB167" s="17"/>
      <c r="DC167" s="17"/>
      <c r="DD167" s="17"/>
      <c r="DE167" s="17"/>
      <c r="DF167" s="17"/>
      <c r="DG167" s="17"/>
      <c r="DH167" s="17"/>
      <c r="DI167" s="17"/>
      <c r="DJ167" s="17"/>
      <c r="DK167" s="17"/>
      <c r="DL167" s="17"/>
      <c r="DM167" s="17"/>
      <c r="DN167" s="17"/>
      <c r="DO167" s="17"/>
      <c r="DP167" s="17"/>
      <c r="DQ167" s="17"/>
      <c r="DR167" s="17"/>
      <c r="DS167" s="17"/>
      <c r="DT167" s="17"/>
      <c r="DU167" s="17"/>
      <c r="DV167" s="17"/>
      <c r="DW167" s="17"/>
      <c r="DX167" s="17"/>
      <c r="DY167" s="17"/>
      <c r="DZ167" s="17"/>
      <c r="EA167" s="17"/>
      <c r="EB167" s="17"/>
      <c r="EC167" s="17"/>
      <c r="ED167" s="17"/>
      <c r="EE167" s="17"/>
      <c r="EF167" s="17"/>
      <c r="EG167" s="17"/>
      <c r="EH167" s="17"/>
      <c r="EI167" s="17"/>
      <c r="EJ167" s="17"/>
      <c r="EK167" s="17"/>
      <c r="EL167" s="17"/>
      <c r="EM167" s="17"/>
      <c r="EN167" s="17"/>
      <c r="EO167" s="17"/>
      <c r="EP167" s="17"/>
      <c r="EQ167" s="17"/>
      <c r="ER167" s="17"/>
      <c r="ES167" s="17"/>
      <c r="ET167" s="17"/>
      <c r="EU167" s="17"/>
      <c r="EV167" s="17"/>
      <c r="EW167" s="17"/>
      <c r="EX167" s="17"/>
      <c r="EY167" s="17"/>
      <c r="EZ167" s="17"/>
      <c r="FA167" s="17"/>
      <c r="FB167" s="17"/>
      <c r="FC167" s="17"/>
      <c r="FD167" s="17"/>
      <c r="FE167" s="17"/>
      <c r="FF167" s="17"/>
      <c r="FG167" s="17"/>
      <c r="FH167" s="17"/>
      <c r="FI167" s="17"/>
      <c r="FJ167" s="17"/>
      <c r="FK167" s="17"/>
      <c r="FL167" s="17"/>
      <c r="FM167" s="17"/>
      <c r="FN167" s="17"/>
      <c r="FO167" s="17"/>
      <c r="FP167" s="17"/>
      <c r="FQ167" s="17"/>
      <c r="FR167" s="17"/>
      <c r="FS167" s="17"/>
      <c r="FT167" s="17"/>
      <c r="FU167" s="17"/>
      <c r="FV167" s="17"/>
      <c r="FW167" s="17"/>
      <c r="FX167" s="17"/>
      <c r="FY167" s="17"/>
      <c r="FZ167" s="17"/>
      <c r="GA167" s="17"/>
      <c r="GB167" s="17"/>
      <c r="GC167" s="17"/>
      <c r="GD167" s="17"/>
      <c r="GE167" s="17"/>
      <c r="GF167" s="17"/>
      <c r="GG167" s="17"/>
      <c r="GH167" s="17"/>
      <c r="GI167" s="17"/>
      <c r="GJ167" s="17"/>
      <c r="GK167" s="17"/>
      <c r="GL167" s="17"/>
      <c r="GM167" s="17"/>
      <c r="GN167" s="17"/>
      <c r="GO167" s="17"/>
      <c r="GP167" s="17"/>
      <c r="GQ167" s="17"/>
      <c r="GR167" s="17"/>
      <c r="GS167" s="17"/>
      <c r="GT167" s="17"/>
      <c r="GU167" s="17"/>
      <c r="GV167" s="17"/>
      <c r="GW167" s="17"/>
      <c r="GX167" s="17"/>
      <c r="GY167" s="17"/>
      <c r="GZ167" s="17"/>
      <c r="HA167" s="17"/>
      <c r="HB167" s="17"/>
      <c r="HC167" s="17"/>
      <c r="HD167" s="17"/>
      <c r="HE167" s="17"/>
      <c r="HF167" s="17"/>
      <c r="HG167" s="17"/>
      <c r="HH167" s="17"/>
      <c r="HI167" s="17"/>
      <c r="HJ167" s="17"/>
      <c r="HK167" s="17"/>
      <c r="HL167" s="17"/>
      <c r="HM167" s="17"/>
      <c r="HN167" s="17"/>
      <c r="HO167" s="17"/>
      <c r="HP167" s="17"/>
      <c r="HQ167" s="17"/>
      <c r="HR167" s="17"/>
      <c r="HS167" s="17"/>
      <c r="HT167" s="17"/>
      <c r="HU167" s="17"/>
      <c r="HV167" s="17"/>
      <c r="HW167" s="17"/>
      <c r="HX167" s="17"/>
      <c r="HY167" s="17"/>
      <c r="HZ167" s="17"/>
      <c r="IA167" s="17"/>
      <c r="IB167" s="17"/>
      <c r="IC167" s="17"/>
      <c r="ID167" s="17"/>
      <c r="IE167" s="17"/>
      <c r="IF167" s="17"/>
      <c r="IG167" s="17"/>
      <c r="IH167" s="17"/>
      <c r="II167" s="17"/>
      <c r="IJ167" s="17"/>
      <c r="IK167" s="17"/>
      <c r="IL167" s="17"/>
      <c r="IM167" s="17"/>
      <c r="IN167" s="17"/>
      <c r="IO167" s="17"/>
      <c r="IP167" s="17"/>
      <c r="IQ167" s="17"/>
      <c r="IR167" s="17"/>
      <c r="IS167" s="17"/>
      <c r="IT167" s="17"/>
      <c r="IU167" s="17"/>
      <c r="IV167" s="17"/>
      <c r="IW167" s="17"/>
      <c r="IX167" s="17"/>
      <c r="IY167" s="17"/>
      <c r="IZ167" s="17"/>
      <c r="JA167" s="17"/>
      <c r="JB167" s="17"/>
      <c r="JC167" s="17"/>
      <c r="JD167" s="17"/>
      <c r="JE167" s="17"/>
      <c r="JF167" s="17"/>
      <c r="JG167" s="17"/>
      <c r="JH167" s="17"/>
      <c r="JI167" s="17"/>
      <c r="JJ167" s="17"/>
      <c r="JK167" s="17"/>
      <c r="JL167" s="17"/>
      <c r="JM167" s="17"/>
      <c r="JN167" s="17"/>
      <c r="JO167" s="17"/>
      <c r="JP167" s="17"/>
      <c r="JQ167" s="17"/>
      <c r="JR167" s="17"/>
      <c r="JS167" s="17"/>
      <c r="JT167" s="17"/>
      <c r="JU167" s="17"/>
      <c r="JV167" s="17"/>
      <c r="JW167" s="17"/>
      <c r="JX167" s="17"/>
      <c r="JY167" s="17"/>
      <c r="JZ167" s="17"/>
      <c r="KA167" s="17"/>
      <c r="KB167" s="17"/>
      <c r="KC167" s="17"/>
      <c r="KD167" s="17"/>
      <c r="KE167" s="17"/>
      <c r="KF167" s="17"/>
      <c r="KG167" s="17"/>
      <c r="KH167" s="17"/>
      <c r="KI167" s="17"/>
      <c r="KJ167" s="17"/>
      <c r="KK167" s="17"/>
      <c r="KL167" s="17"/>
      <c r="KM167" s="17"/>
      <c r="KN167" s="17"/>
      <c r="KO167" s="17"/>
      <c r="KP167" s="17"/>
      <c r="KQ167" s="17"/>
      <c r="KR167" s="17"/>
      <c r="KS167" s="17"/>
      <c r="KT167" s="17"/>
      <c r="KU167" s="17"/>
      <c r="KV167" s="17"/>
      <c r="KW167" s="17"/>
      <c r="KX167" s="17"/>
      <c r="KY167" s="17"/>
    </row>
    <row r="168" spans="1:311" x14ac:dyDescent="0.25">
      <c r="A168" s="17"/>
      <c r="B168" s="17"/>
      <c r="C168" s="17"/>
      <c r="D168" s="17"/>
      <c r="E168" s="17"/>
      <c r="F168" s="17"/>
      <c r="G168" s="17"/>
      <c r="H168" s="17"/>
      <c r="I168" s="17"/>
      <c r="J168" s="17"/>
      <c r="K168" s="17"/>
      <c r="L168" s="17"/>
      <c r="M168" s="17"/>
      <c r="N168" s="17"/>
      <c r="O168" s="17"/>
      <c r="P168" s="17"/>
      <c r="Q168" s="17"/>
      <c r="R168" s="17"/>
      <c r="S168" s="17"/>
      <c r="T168" s="17"/>
      <c r="U168" s="17"/>
      <c r="V168" s="17"/>
      <c r="W168" s="17"/>
      <c r="X168" s="17"/>
      <c r="Y168" s="17"/>
      <c r="Z168" s="17"/>
      <c r="AA168" s="17"/>
      <c r="AB168" s="17"/>
      <c r="AC168" s="17"/>
      <c r="AD168" s="17"/>
      <c r="AE168" s="17"/>
      <c r="AF168" s="17"/>
      <c r="AG168" s="17"/>
      <c r="AH168" s="17"/>
      <c r="AI168" s="17"/>
      <c r="AJ168" s="17"/>
      <c r="AK168" s="17"/>
      <c r="AL168" s="17"/>
      <c r="AM168" s="17"/>
      <c r="AN168" s="17"/>
      <c r="AO168" s="17"/>
      <c r="AP168" s="17"/>
      <c r="AQ168" s="17"/>
      <c r="AR168" s="17"/>
      <c r="AS168" s="17"/>
      <c r="AT168" s="17"/>
      <c r="AU168" s="17"/>
      <c r="AV168" s="17"/>
      <c r="AW168" s="17"/>
      <c r="AX168" s="17"/>
      <c r="AY168" s="17"/>
      <c r="AZ168" s="17"/>
      <c r="BA168" s="17"/>
      <c r="BB168" s="17"/>
      <c r="BC168" s="17"/>
      <c r="BD168" s="17"/>
      <c r="BE168" s="17"/>
      <c r="BF168" s="17"/>
      <c r="BG168" s="17"/>
      <c r="BH168" s="17"/>
      <c r="BI168" s="17"/>
      <c r="BJ168" s="17"/>
      <c r="BK168" s="17"/>
      <c r="BL168" s="17"/>
      <c r="BM168" s="17"/>
      <c r="BN168" s="17"/>
      <c r="BO168" s="17"/>
      <c r="BP168" s="17"/>
      <c r="BQ168" s="17"/>
      <c r="BR168" s="17"/>
      <c r="BS168" s="17"/>
      <c r="BT168" s="17"/>
      <c r="BU168" s="17"/>
      <c r="BV168" s="17"/>
      <c r="BW168" s="17"/>
      <c r="BX168" s="17"/>
      <c r="BY168" s="17"/>
      <c r="BZ168" s="17"/>
      <c r="CA168" s="17"/>
      <c r="CB168" s="17"/>
      <c r="CC168" s="17"/>
      <c r="CD168" s="17"/>
      <c r="CE168" s="17"/>
      <c r="CF168" s="17"/>
      <c r="CG168" s="17"/>
      <c r="CH168" s="17"/>
      <c r="CI168" s="17"/>
      <c r="CJ168" s="17"/>
      <c r="CK168" s="17"/>
      <c r="CL168" s="17"/>
      <c r="CM168" s="17"/>
      <c r="CN168" s="17"/>
      <c r="CO168" s="17"/>
      <c r="CP168" s="17"/>
      <c r="CQ168" s="17"/>
      <c r="CR168" s="17"/>
      <c r="CS168" s="17"/>
      <c r="CT168" s="17"/>
      <c r="CU168" s="17"/>
      <c r="CV168" s="17"/>
      <c r="CW168" s="17"/>
      <c r="CX168" s="17"/>
      <c r="CY168" s="17"/>
      <c r="CZ168" s="17"/>
      <c r="DA168" s="17"/>
      <c r="DB168" s="17"/>
      <c r="DC168" s="17"/>
      <c r="DD168" s="17"/>
      <c r="DE168" s="17"/>
      <c r="DF168" s="17"/>
      <c r="DG168" s="17"/>
      <c r="DH168" s="17"/>
      <c r="DI168" s="17"/>
      <c r="DJ168" s="17"/>
      <c r="DK168" s="17"/>
      <c r="DL168" s="17"/>
      <c r="DM168" s="17"/>
      <c r="DN168" s="17"/>
      <c r="DO168" s="17"/>
      <c r="DP168" s="17"/>
      <c r="DQ168" s="17"/>
      <c r="DR168" s="17"/>
      <c r="DS168" s="17"/>
      <c r="DT168" s="17"/>
      <c r="DU168" s="17"/>
      <c r="DV168" s="17"/>
      <c r="DW168" s="17"/>
      <c r="DX168" s="17"/>
      <c r="DY168" s="17"/>
      <c r="DZ168" s="17"/>
      <c r="EA168" s="17"/>
      <c r="EB168" s="17"/>
      <c r="EC168" s="17"/>
      <c r="ED168" s="17"/>
      <c r="EE168" s="17"/>
      <c r="EF168" s="17"/>
      <c r="EG168" s="17"/>
      <c r="EH168" s="17"/>
      <c r="EI168" s="17"/>
      <c r="EJ168" s="17"/>
      <c r="EK168" s="17"/>
      <c r="EL168" s="17"/>
      <c r="EM168" s="17"/>
      <c r="EN168" s="17"/>
      <c r="EO168" s="17"/>
      <c r="EP168" s="17"/>
      <c r="EQ168" s="17"/>
      <c r="ER168" s="17"/>
      <c r="ES168" s="17"/>
      <c r="ET168" s="17"/>
      <c r="EU168" s="17"/>
      <c r="EV168" s="17"/>
      <c r="EW168" s="17"/>
      <c r="EX168" s="17"/>
      <c r="EY168" s="17"/>
      <c r="EZ168" s="17"/>
      <c r="FA168" s="17"/>
      <c r="FB168" s="17"/>
      <c r="FC168" s="17"/>
      <c r="FD168" s="17"/>
      <c r="FE168" s="17"/>
      <c r="FF168" s="17"/>
      <c r="FG168" s="17"/>
      <c r="FH168" s="17"/>
      <c r="FI168" s="17"/>
      <c r="FJ168" s="17"/>
      <c r="FK168" s="17"/>
      <c r="FL168" s="17"/>
      <c r="FM168" s="17"/>
      <c r="FN168" s="17"/>
      <c r="FO168" s="17"/>
      <c r="FP168" s="17"/>
      <c r="FQ168" s="17"/>
      <c r="FR168" s="17"/>
      <c r="FS168" s="17"/>
      <c r="FT168" s="17"/>
      <c r="FU168" s="17"/>
      <c r="FV168" s="17"/>
      <c r="FW168" s="17"/>
      <c r="FX168" s="17"/>
      <c r="FY168" s="17"/>
      <c r="FZ168" s="17"/>
      <c r="GA168" s="17"/>
      <c r="GB168" s="17"/>
      <c r="GC168" s="17"/>
      <c r="GD168" s="17"/>
      <c r="GE168" s="17"/>
      <c r="GF168" s="17"/>
      <c r="GG168" s="17"/>
      <c r="GH168" s="17"/>
      <c r="GI168" s="17"/>
      <c r="GJ168" s="17"/>
      <c r="GK168" s="17"/>
      <c r="GL168" s="17"/>
      <c r="GM168" s="17"/>
      <c r="GN168" s="17"/>
      <c r="GO168" s="17"/>
      <c r="GP168" s="17"/>
      <c r="GQ168" s="17"/>
      <c r="GR168" s="17"/>
      <c r="GS168" s="17"/>
      <c r="GT168" s="17"/>
      <c r="GU168" s="17"/>
      <c r="GV168" s="17"/>
      <c r="GW168" s="17"/>
      <c r="GX168" s="17"/>
      <c r="GY168" s="17"/>
      <c r="GZ168" s="17"/>
      <c r="HA168" s="17"/>
      <c r="HB168" s="17"/>
      <c r="HC168" s="17"/>
      <c r="HD168" s="17"/>
      <c r="HE168" s="17"/>
      <c r="HF168" s="17"/>
      <c r="HG168" s="17"/>
      <c r="HH168" s="17"/>
      <c r="HI168" s="17"/>
      <c r="HJ168" s="17"/>
      <c r="HK168" s="17"/>
      <c r="HL168" s="17"/>
      <c r="HM168" s="17"/>
      <c r="HN168" s="17"/>
      <c r="HO168" s="17"/>
      <c r="HP168" s="17"/>
      <c r="HQ168" s="17"/>
      <c r="HR168" s="17"/>
      <c r="HS168" s="17"/>
      <c r="HT168" s="17"/>
      <c r="HU168" s="17"/>
      <c r="HV168" s="17"/>
      <c r="HW168" s="17"/>
      <c r="HX168" s="17"/>
      <c r="HY168" s="17"/>
      <c r="HZ168" s="17"/>
      <c r="IA168" s="17"/>
      <c r="IB168" s="17"/>
      <c r="IC168" s="17"/>
      <c r="ID168" s="17"/>
      <c r="IE168" s="17"/>
      <c r="IF168" s="17"/>
      <c r="IG168" s="17"/>
      <c r="IH168" s="17"/>
      <c r="II168" s="17"/>
      <c r="IJ168" s="17"/>
      <c r="IK168" s="17"/>
      <c r="IL168" s="17"/>
      <c r="IM168" s="17"/>
      <c r="IN168" s="17"/>
      <c r="IO168" s="17"/>
      <c r="IP168" s="17"/>
      <c r="IQ168" s="17"/>
      <c r="IR168" s="17"/>
      <c r="IS168" s="17"/>
      <c r="IT168" s="17"/>
      <c r="IU168" s="17"/>
      <c r="IV168" s="17"/>
      <c r="IW168" s="17"/>
      <c r="IX168" s="17"/>
      <c r="IY168" s="17"/>
      <c r="IZ168" s="17"/>
      <c r="JA168" s="17"/>
      <c r="JB168" s="17"/>
      <c r="JC168" s="17"/>
      <c r="JD168" s="17"/>
      <c r="JE168" s="17"/>
      <c r="JF168" s="17"/>
      <c r="JG168" s="17"/>
      <c r="JH168" s="17"/>
      <c r="JI168" s="17"/>
      <c r="JJ168" s="17"/>
      <c r="JK168" s="17"/>
      <c r="JL168" s="17"/>
      <c r="JM168" s="17"/>
      <c r="JN168" s="17"/>
      <c r="JO168" s="17"/>
      <c r="JP168" s="17"/>
      <c r="JQ168" s="17"/>
      <c r="JR168" s="17"/>
      <c r="JS168" s="17"/>
      <c r="JT168" s="17"/>
      <c r="JU168" s="17"/>
      <c r="JV168" s="17"/>
      <c r="JW168" s="17"/>
      <c r="JX168" s="17"/>
      <c r="JY168" s="17"/>
      <c r="JZ168" s="17"/>
      <c r="KA168" s="17"/>
      <c r="KB168" s="17"/>
      <c r="KC168" s="17"/>
      <c r="KD168" s="17"/>
      <c r="KE168" s="17"/>
      <c r="KF168" s="17"/>
      <c r="KG168" s="17"/>
      <c r="KH168" s="17"/>
      <c r="KI168" s="17"/>
      <c r="KJ168" s="17"/>
      <c r="KK168" s="17"/>
      <c r="KL168" s="17"/>
      <c r="KM168" s="17"/>
      <c r="KN168" s="17"/>
      <c r="KO168" s="17"/>
      <c r="KP168" s="17"/>
      <c r="KQ168" s="17"/>
      <c r="KR168" s="17"/>
      <c r="KS168" s="17"/>
      <c r="KT168" s="17"/>
      <c r="KU168" s="17"/>
      <c r="KV168" s="17"/>
      <c r="KW168" s="17"/>
      <c r="KX168" s="17"/>
      <c r="KY168" s="17"/>
    </row>
    <row r="169" spans="1:311" x14ac:dyDescent="0.25">
      <c r="A169" s="17"/>
      <c r="B169" s="17"/>
      <c r="C169" s="17"/>
      <c r="D169" s="17"/>
      <c r="E169" s="17"/>
      <c r="F169" s="17"/>
      <c r="G169" s="17"/>
      <c r="H169" s="17"/>
      <c r="I169" s="17"/>
      <c r="J169" s="17"/>
      <c r="K169" s="17"/>
      <c r="L169" s="17"/>
      <c r="M169" s="17"/>
      <c r="N169" s="17"/>
      <c r="O169" s="17"/>
      <c r="P169" s="17"/>
      <c r="Q169" s="17"/>
      <c r="R169" s="17"/>
      <c r="S169" s="17"/>
      <c r="T169" s="17"/>
      <c r="U169" s="17"/>
      <c r="V169" s="17"/>
      <c r="W169" s="17"/>
      <c r="X169" s="17"/>
      <c r="Y169" s="17"/>
      <c r="Z169" s="17"/>
      <c r="AA169" s="17"/>
      <c r="AB169" s="17"/>
      <c r="AC169" s="17"/>
      <c r="AD169" s="17"/>
      <c r="AE169" s="17"/>
      <c r="AF169" s="17"/>
      <c r="AG169" s="17"/>
      <c r="AH169" s="17"/>
      <c r="AI169" s="17"/>
      <c r="AJ169" s="17"/>
      <c r="AK169" s="17"/>
      <c r="AL169" s="17"/>
      <c r="AM169" s="17"/>
      <c r="AN169" s="17"/>
      <c r="AO169" s="17"/>
      <c r="AP169" s="17"/>
      <c r="AQ169" s="17"/>
      <c r="AR169" s="17"/>
      <c r="AS169" s="17"/>
      <c r="AT169" s="17"/>
      <c r="AU169" s="17"/>
      <c r="AV169" s="17"/>
      <c r="AW169" s="17"/>
      <c r="AX169" s="17"/>
      <c r="AY169" s="17"/>
      <c r="AZ169" s="17"/>
      <c r="BA169" s="17"/>
      <c r="BB169" s="17"/>
      <c r="BC169" s="17"/>
      <c r="BD169" s="17"/>
      <c r="BE169" s="17"/>
      <c r="BF169" s="17"/>
      <c r="BG169" s="17"/>
      <c r="BH169" s="17"/>
      <c r="BI169" s="17"/>
      <c r="BJ169" s="17"/>
      <c r="BK169" s="17"/>
      <c r="BL169" s="17"/>
      <c r="BM169" s="17"/>
      <c r="BN169" s="17"/>
      <c r="BO169" s="17"/>
      <c r="BP169" s="17"/>
      <c r="BQ169" s="17"/>
      <c r="BR169" s="17"/>
      <c r="BS169" s="17"/>
      <c r="BT169" s="17"/>
      <c r="BU169" s="17"/>
      <c r="BV169" s="17"/>
      <c r="BW169" s="17"/>
      <c r="BX169" s="17"/>
      <c r="BY169" s="17"/>
      <c r="BZ169" s="17"/>
      <c r="CA169" s="17"/>
      <c r="CB169" s="17"/>
      <c r="CC169" s="17"/>
      <c r="CD169" s="17"/>
      <c r="CE169" s="17"/>
      <c r="CF169" s="17"/>
      <c r="CG169" s="17"/>
      <c r="CH169" s="17"/>
      <c r="CI169" s="17"/>
      <c r="CJ169" s="17"/>
      <c r="CK169" s="17"/>
      <c r="CL169" s="17"/>
      <c r="CM169" s="17"/>
      <c r="CN169" s="17"/>
      <c r="CO169" s="17"/>
      <c r="CP169" s="17"/>
      <c r="CQ169" s="17"/>
      <c r="CR169" s="17"/>
      <c r="CS169" s="17"/>
      <c r="CT169" s="17"/>
      <c r="CU169" s="17"/>
      <c r="CV169" s="17"/>
      <c r="CW169" s="17"/>
      <c r="CX169" s="17"/>
      <c r="CY169" s="17"/>
      <c r="CZ169" s="17"/>
      <c r="DA169" s="17"/>
      <c r="DB169" s="17"/>
      <c r="DC169" s="17"/>
      <c r="DD169" s="17"/>
      <c r="DE169" s="17"/>
      <c r="DF169" s="17"/>
      <c r="DG169" s="17"/>
      <c r="DH169" s="17"/>
      <c r="DI169" s="17"/>
      <c r="DJ169" s="17"/>
      <c r="DK169" s="17"/>
      <c r="DL169" s="17"/>
      <c r="DM169" s="17"/>
      <c r="DN169" s="17"/>
      <c r="DO169" s="17"/>
      <c r="DP169" s="17"/>
      <c r="DQ169" s="17"/>
      <c r="DR169" s="17"/>
      <c r="DS169" s="17"/>
      <c r="DT169" s="17"/>
      <c r="DU169" s="17"/>
      <c r="DV169" s="17"/>
      <c r="DW169" s="17"/>
      <c r="DX169" s="17"/>
      <c r="DY169" s="17"/>
      <c r="DZ169" s="17"/>
      <c r="EA169" s="17"/>
      <c r="EB169" s="17"/>
      <c r="EC169" s="17"/>
      <c r="ED169" s="17"/>
      <c r="EE169" s="17"/>
      <c r="EF169" s="17"/>
      <c r="EG169" s="17"/>
      <c r="EH169" s="17"/>
      <c r="EI169" s="17"/>
      <c r="EJ169" s="17"/>
      <c r="EK169" s="17"/>
      <c r="EL169" s="17"/>
      <c r="EM169" s="17"/>
      <c r="EN169" s="17"/>
      <c r="EO169" s="17"/>
      <c r="EP169" s="17"/>
      <c r="EQ169" s="17"/>
      <c r="ER169" s="17"/>
      <c r="ES169" s="17"/>
      <c r="ET169" s="17"/>
      <c r="EU169" s="17"/>
      <c r="EV169" s="17"/>
      <c r="EW169" s="17"/>
      <c r="EX169" s="17"/>
      <c r="EY169" s="17"/>
      <c r="EZ169" s="17"/>
      <c r="FA169" s="17"/>
      <c r="FB169" s="17"/>
      <c r="FC169" s="17"/>
      <c r="FD169" s="17"/>
      <c r="FE169" s="17"/>
      <c r="FF169" s="17"/>
      <c r="FG169" s="17"/>
      <c r="FH169" s="17"/>
      <c r="FI169" s="17"/>
      <c r="FJ169" s="17"/>
      <c r="FK169" s="17"/>
      <c r="FL169" s="17"/>
      <c r="FM169" s="17"/>
      <c r="FN169" s="17"/>
      <c r="FO169" s="17"/>
      <c r="FP169" s="17"/>
      <c r="FQ169" s="17"/>
      <c r="FR169" s="17"/>
      <c r="FS169" s="17"/>
      <c r="FT169" s="17"/>
      <c r="FU169" s="17"/>
      <c r="FV169" s="17"/>
      <c r="FW169" s="17"/>
      <c r="FX169" s="17"/>
      <c r="FY169" s="17"/>
      <c r="FZ169" s="17"/>
      <c r="GA169" s="17"/>
      <c r="GB169" s="17"/>
      <c r="GC169" s="17"/>
      <c r="GD169" s="17"/>
      <c r="GE169" s="17"/>
      <c r="GF169" s="17"/>
      <c r="GG169" s="17"/>
      <c r="GH169" s="17"/>
      <c r="GI169" s="17"/>
      <c r="GJ169" s="17"/>
      <c r="GK169" s="17"/>
      <c r="GL169" s="17"/>
      <c r="GM169" s="17"/>
      <c r="GN169" s="17"/>
      <c r="GO169" s="17"/>
      <c r="GP169" s="17"/>
      <c r="GQ169" s="17"/>
      <c r="GR169" s="17"/>
      <c r="GS169" s="17"/>
      <c r="GT169" s="17"/>
      <c r="GU169" s="17"/>
      <c r="GV169" s="17"/>
      <c r="GW169" s="17"/>
      <c r="GX169" s="17"/>
      <c r="GY169" s="17"/>
      <c r="GZ169" s="17"/>
      <c r="HA169" s="17"/>
      <c r="HB169" s="17"/>
      <c r="HC169" s="17"/>
      <c r="HD169" s="17"/>
      <c r="HE169" s="17"/>
      <c r="HF169" s="17"/>
      <c r="HG169" s="17"/>
      <c r="HH169" s="17"/>
      <c r="HI169" s="17"/>
      <c r="HJ169" s="17"/>
      <c r="HK169" s="17"/>
      <c r="HL169" s="17"/>
      <c r="HM169" s="17"/>
      <c r="HN169" s="17"/>
      <c r="HO169" s="17"/>
      <c r="HP169" s="17"/>
      <c r="HQ169" s="17"/>
      <c r="HR169" s="17"/>
      <c r="HS169" s="17"/>
      <c r="HT169" s="17"/>
      <c r="HU169" s="17"/>
      <c r="HV169" s="17"/>
      <c r="HW169" s="17"/>
      <c r="HX169" s="17"/>
      <c r="HY169" s="17"/>
      <c r="HZ169" s="17"/>
      <c r="IA169" s="17"/>
      <c r="IB169" s="17"/>
      <c r="IC169" s="17"/>
      <c r="ID169" s="17"/>
      <c r="IE169" s="17"/>
      <c r="IF169" s="17"/>
      <c r="IG169" s="17"/>
      <c r="IH169" s="17"/>
      <c r="II169" s="17"/>
      <c r="IJ169" s="17"/>
      <c r="IK169" s="17"/>
      <c r="IL169" s="17"/>
      <c r="IM169" s="17"/>
      <c r="IN169" s="17"/>
      <c r="IO169" s="17"/>
      <c r="IP169" s="17"/>
      <c r="IQ169" s="17"/>
      <c r="IR169" s="17"/>
      <c r="IS169" s="17"/>
      <c r="IT169" s="17"/>
      <c r="IU169" s="17"/>
      <c r="IV169" s="17"/>
      <c r="IW169" s="17"/>
      <c r="IX169" s="17"/>
      <c r="IY169" s="17"/>
      <c r="IZ169" s="17"/>
      <c r="JA169" s="17"/>
      <c r="JB169" s="17"/>
      <c r="JC169" s="17"/>
      <c r="JD169" s="17"/>
      <c r="JE169" s="17"/>
      <c r="JF169" s="17"/>
      <c r="JG169" s="17"/>
      <c r="JH169" s="17"/>
      <c r="JI169" s="17"/>
      <c r="JJ169" s="17"/>
      <c r="JK169" s="17"/>
      <c r="JL169" s="17"/>
      <c r="JM169" s="17"/>
      <c r="JN169" s="17"/>
      <c r="JO169" s="17"/>
      <c r="JP169" s="17"/>
      <c r="JQ169" s="17"/>
      <c r="JR169" s="17"/>
      <c r="JS169" s="17"/>
      <c r="JT169" s="17"/>
      <c r="JU169" s="17"/>
      <c r="JV169" s="17"/>
      <c r="JW169" s="17"/>
      <c r="JX169" s="17"/>
      <c r="JY169" s="17"/>
      <c r="JZ169" s="17"/>
      <c r="KA169" s="17"/>
      <c r="KB169" s="17"/>
      <c r="KC169" s="17"/>
      <c r="KD169" s="17"/>
      <c r="KE169" s="17"/>
      <c r="KF169" s="17"/>
      <c r="KG169" s="17"/>
      <c r="KH169" s="17"/>
      <c r="KI169" s="17"/>
      <c r="KJ169" s="17"/>
      <c r="KK169" s="17"/>
      <c r="KL169" s="17"/>
      <c r="KM169" s="17"/>
      <c r="KN169" s="17"/>
      <c r="KO169" s="17"/>
      <c r="KP169" s="17"/>
      <c r="KQ169" s="17"/>
      <c r="KR169" s="17"/>
      <c r="KS169" s="17"/>
      <c r="KT169" s="17"/>
      <c r="KU169" s="17"/>
      <c r="KV169" s="17"/>
      <c r="KW169" s="17"/>
      <c r="KX169" s="17"/>
      <c r="KY169" s="17"/>
    </row>
    <row r="170" spans="1:311" x14ac:dyDescent="0.25">
      <c r="A170" s="17"/>
      <c r="B170" s="17"/>
      <c r="C170" s="17"/>
      <c r="D170" s="17"/>
      <c r="E170" s="17"/>
      <c r="F170" s="17"/>
      <c r="G170" s="17"/>
      <c r="H170" s="17"/>
      <c r="I170" s="17"/>
      <c r="J170" s="17"/>
      <c r="K170" s="17"/>
      <c r="L170" s="17"/>
      <c r="M170" s="17"/>
      <c r="N170" s="17"/>
      <c r="O170" s="17"/>
      <c r="P170" s="17"/>
      <c r="Q170" s="17"/>
      <c r="R170" s="17"/>
      <c r="S170" s="17"/>
      <c r="T170" s="17"/>
      <c r="U170" s="17"/>
      <c r="V170" s="17"/>
      <c r="W170" s="17"/>
      <c r="X170" s="17"/>
      <c r="Y170" s="17"/>
      <c r="Z170" s="17"/>
      <c r="AA170" s="17"/>
      <c r="AB170" s="17"/>
      <c r="AC170" s="17"/>
      <c r="AD170" s="17"/>
      <c r="AE170" s="17"/>
      <c r="AF170" s="17"/>
      <c r="AG170" s="17"/>
      <c r="AH170" s="17"/>
      <c r="AI170" s="17"/>
      <c r="AJ170" s="17"/>
      <c r="AK170" s="17"/>
      <c r="AL170" s="17"/>
      <c r="AM170" s="17"/>
      <c r="AN170" s="17"/>
      <c r="AO170" s="17"/>
      <c r="AP170" s="17"/>
      <c r="AQ170" s="17"/>
      <c r="AR170" s="17"/>
      <c r="AS170" s="17"/>
      <c r="AT170" s="17"/>
      <c r="AU170" s="17"/>
      <c r="AV170" s="17"/>
      <c r="AW170" s="17"/>
      <c r="AX170" s="17"/>
      <c r="AY170" s="17"/>
      <c r="AZ170" s="17"/>
      <c r="BA170" s="17"/>
      <c r="BB170" s="17"/>
      <c r="BC170" s="17"/>
      <c r="BD170" s="17"/>
      <c r="BE170" s="17"/>
      <c r="BF170" s="17"/>
      <c r="BG170" s="17"/>
      <c r="BH170" s="17"/>
      <c r="BI170" s="17"/>
      <c r="BJ170" s="17"/>
      <c r="BK170" s="17"/>
      <c r="BL170" s="17"/>
      <c r="BM170" s="17"/>
      <c r="BN170" s="17"/>
      <c r="BO170" s="17"/>
      <c r="BP170" s="17"/>
      <c r="BQ170" s="17"/>
      <c r="BR170" s="17"/>
      <c r="BS170" s="17"/>
      <c r="BT170" s="17"/>
      <c r="BU170" s="17"/>
      <c r="BV170" s="17"/>
      <c r="BW170" s="17"/>
      <c r="BX170" s="17"/>
      <c r="BY170" s="17"/>
      <c r="BZ170" s="17"/>
      <c r="CA170" s="17"/>
      <c r="CB170" s="17"/>
      <c r="CC170" s="17"/>
      <c r="CD170" s="17"/>
      <c r="CE170" s="17"/>
      <c r="CF170" s="17"/>
      <c r="CG170" s="17"/>
      <c r="CH170" s="17"/>
      <c r="CI170" s="17"/>
      <c r="CJ170" s="17"/>
      <c r="CK170" s="17"/>
      <c r="CL170" s="17"/>
      <c r="CM170" s="17"/>
      <c r="CN170" s="17"/>
      <c r="CO170" s="17"/>
      <c r="CP170" s="17"/>
      <c r="CQ170" s="17"/>
      <c r="CR170" s="17"/>
      <c r="CS170" s="17"/>
      <c r="CT170" s="17"/>
      <c r="CU170" s="17"/>
      <c r="CV170" s="17"/>
      <c r="CW170" s="17"/>
      <c r="CX170" s="17"/>
      <c r="CY170" s="17"/>
      <c r="CZ170" s="17"/>
      <c r="DA170" s="17"/>
      <c r="DB170" s="17"/>
      <c r="DC170" s="17"/>
      <c r="DD170" s="17"/>
      <c r="DE170" s="17"/>
      <c r="DF170" s="17"/>
      <c r="DG170" s="17"/>
      <c r="DH170" s="17"/>
      <c r="DI170" s="17"/>
      <c r="DJ170" s="17"/>
      <c r="DK170" s="17"/>
      <c r="DL170" s="17"/>
      <c r="DM170" s="17"/>
      <c r="DN170" s="17"/>
      <c r="DO170" s="17"/>
      <c r="DP170" s="17"/>
      <c r="DQ170" s="17"/>
      <c r="DR170" s="17"/>
      <c r="DS170" s="17"/>
      <c r="DT170" s="17"/>
      <c r="DU170" s="17"/>
      <c r="DV170" s="17"/>
      <c r="DW170" s="17"/>
      <c r="DX170" s="17"/>
      <c r="DY170" s="17"/>
      <c r="DZ170" s="17"/>
      <c r="EA170" s="17"/>
      <c r="EB170" s="17"/>
      <c r="EC170" s="17"/>
      <c r="ED170" s="17"/>
      <c r="EE170" s="17"/>
      <c r="EF170" s="17"/>
      <c r="EG170" s="17"/>
      <c r="EH170" s="17"/>
      <c r="EI170" s="17"/>
      <c r="EJ170" s="17"/>
      <c r="EK170" s="17"/>
      <c r="EL170" s="17"/>
      <c r="EM170" s="17"/>
      <c r="EN170" s="17"/>
      <c r="EO170" s="17"/>
      <c r="EP170" s="17"/>
      <c r="EQ170" s="17"/>
      <c r="ER170" s="17"/>
      <c r="ES170" s="17"/>
      <c r="ET170" s="17"/>
      <c r="EU170" s="17"/>
      <c r="EV170" s="17"/>
      <c r="EW170" s="17"/>
      <c r="EX170" s="17"/>
      <c r="EY170" s="17"/>
      <c r="EZ170" s="17"/>
      <c r="FA170" s="17"/>
      <c r="FB170" s="17"/>
      <c r="FC170" s="17"/>
      <c r="FD170" s="17"/>
      <c r="FE170" s="17"/>
      <c r="FF170" s="17"/>
      <c r="FG170" s="17"/>
      <c r="FH170" s="17"/>
      <c r="FI170" s="17"/>
      <c r="FJ170" s="17"/>
      <c r="FK170" s="17"/>
      <c r="FL170" s="17"/>
      <c r="FM170" s="17"/>
      <c r="FN170" s="17"/>
      <c r="FO170" s="17"/>
      <c r="FP170" s="17"/>
      <c r="FQ170" s="17"/>
      <c r="FR170" s="17"/>
      <c r="FS170" s="17"/>
      <c r="FT170" s="17"/>
      <c r="FU170" s="17"/>
      <c r="FV170" s="17"/>
      <c r="FW170" s="17"/>
      <c r="FX170" s="17"/>
      <c r="FY170" s="17"/>
      <c r="FZ170" s="17"/>
      <c r="GA170" s="17"/>
      <c r="GB170" s="17"/>
      <c r="GC170" s="17"/>
      <c r="GD170" s="17"/>
      <c r="GE170" s="17"/>
      <c r="GF170" s="17"/>
      <c r="GG170" s="17"/>
      <c r="GH170" s="17"/>
      <c r="GI170" s="17"/>
      <c r="GJ170" s="17"/>
      <c r="GK170" s="17"/>
      <c r="GL170" s="17"/>
      <c r="GM170" s="17"/>
      <c r="GN170" s="17"/>
      <c r="GO170" s="17"/>
      <c r="GP170" s="17"/>
      <c r="GQ170" s="17"/>
      <c r="GR170" s="17"/>
      <c r="GS170" s="17"/>
      <c r="GT170" s="17"/>
      <c r="GU170" s="17"/>
      <c r="GV170" s="17"/>
      <c r="GW170" s="17"/>
      <c r="GX170" s="17"/>
      <c r="GY170" s="17"/>
      <c r="GZ170" s="17"/>
      <c r="HA170" s="17"/>
      <c r="HB170" s="17"/>
      <c r="HC170" s="17"/>
      <c r="HD170" s="17"/>
      <c r="HE170" s="17"/>
      <c r="HF170" s="17"/>
      <c r="HG170" s="17"/>
      <c r="HH170" s="17"/>
      <c r="HI170" s="17"/>
      <c r="HJ170" s="17"/>
      <c r="HK170" s="17"/>
      <c r="HL170" s="17"/>
      <c r="HM170" s="17"/>
      <c r="HN170" s="17"/>
      <c r="HO170" s="17"/>
      <c r="HP170" s="17"/>
      <c r="HQ170" s="17"/>
      <c r="HR170" s="17"/>
      <c r="HS170" s="17"/>
      <c r="HT170" s="17"/>
      <c r="HU170" s="17"/>
      <c r="HV170" s="17"/>
      <c r="HW170" s="17"/>
      <c r="HX170" s="17"/>
      <c r="HY170" s="17"/>
      <c r="HZ170" s="17"/>
      <c r="IA170" s="17"/>
      <c r="IB170" s="17"/>
      <c r="IC170" s="17"/>
      <c r="ID170" s="17"/>
      <c r="IE170" s="17"/>
      <c r="IF170" s="17"/>
      <c r="IG170" s="17"/>
      <c r="IH170" s="17"/>
      <c r="II170" s="17"/>
      <c r="IJ170" s="17"/>
      <c r="IK170" s="17"/>
      <c r="IL170" s="17"/>
      <c r="IM170" s="17"/>
      <c r="IN170" s="17"/>
      <c r="IO170" s="17"/>
      <c r="IP170" s="17"/>
      <c r="IQ170" s="17"/>
      <c r="IR170" s="17"/>
      <c r="IS170" s="17"/>
      <c r="IT170" s="17"/>
      <c r="IU170" s="17"/>
      <c r="IV170" s="17"/>
      <c r="IW170" s="17"/>
      <c r="IX170" s="17"/>
      <c r="IY170" s="17"/>
      <c r="IZ170" s="17"/>
      <c r="JA170" s="17"/>
      <c r="JB170" s="17"/>
      <c r="JC170" s="17"/>
      <c r="JD170" s="17"/>
      <c r="JE170" s="17"/>
      <c r="JF170" s="17"/>
      <c r="JG170" s="17"/>
      <c r="JH170" s="17"/>
      <c r="JI170" s="17"/>
      <c r="JJ170" s="17"/>
      <c r="JK170" s="17"/>
      <c r="JL170" s="17"/>
      <c r="JM170" s="17"/>
      <c r="JN170" s="17"/>
      <c r="JO170" s="17"/>
      <c r="JP170" s="17"/>
      <c r="JQ170" s="17"/>
      <c r="JR170" s="17"/>
      <c r="JS170" s="17"/>
      <c r="JT170" s="17"/>
      <c r="JU170" s="17"/>
      <c r="JV170" s="17"/>
      <c r="JW170" s="17"/>
      <c r="JX170" s="17"/>
      <c r="JY170" s="17"/>
      <c r="JZ170" s="17"/>
      <c r="KA170" s="17"/>
      <c r="KB170" s="17"/>
      <c r="KC170" s="17"/>
      <c r="KD170" s="17"/>
      <c r="KE170" s="17"/>
      <c r="KF170" s="17"/>
      <c r="KG170" s="17"/>
      <c r="KH170" s="17"/>
      <c r="KI170" s="17"/>
      <c r="KJ170" s="17"/>
      <c r="KK170" s="17"/>
      <c r="KL170" s="17"/>
      <c r="KM170" s="17"/>
      <c r="KN170" s="17"/>
      <c r="KO170" s="17"/>
      <c r="KP170" s="17"/>
      <c r="KQ170" s="17"/>
      <c r="KR170" s="17"/>
      <c r="KS170" s="17"/>
      <c r="KT170" s="17"/>
      <c r="KU170" s="17"/>
      <c r="KV170" s="17"/>
      <c r="KW170" s="17"/>
      <c r="KX170" s="17"/>
      <c r="KY170" s="17"/>
    </row>
    <row r="171" spans="1:311" x14ac:dyDescent="0.25">
      <c r="A171" s="17"/>
      <c r="B171" s="17"/>
      <c r="C171" s="17"/>
      <c r="D171" s="17"/>
      <c r="E171" s="17"/>
      <c r="F171" s="17"/>
      <c r="G171" s="17"/>
      <c r="H171" s="17"/>
      <c r="I171" s="17"/>
      <c r="J171" s="17"/>
      <c r="K171" s="17"/>
      <c r="L171" s="17"/>
      <c r="M171" s="17"/>
      <c r="N171" s="17"/>
      <c r="O171" s="17"/>
      <c r="P171" s="17"/>
      <c r="Q171" s="17"/>
      <c r="R171" s="17"/>
      <c r="S171" s="17"/>
      <c r="T171" s="17"/>
      <c r="U171" s="17"/>
      <c r="V171" s="17"/>
      <c r="W171" s="17"/>
      <c r="X171" s="17"/>
      <c r="Y171" s="17"/>
      <c r="Z171" s="17"/>
      <c r="AA171" s="17"/>
      <c r="AB171" s="17"/>
      <c r="AC171" s="17"/>
      <c r="AD171" s="17"/>
      <c r="AE171" s="17"/>
      <c r="AF171" s="17"/>
      <c r="AG171" s="17"/>
      <c r="AH171" s="17"/>
      <c r="AI171" s="17"/>
      <c r="AJ171" s="17"/>
      <c r="AK171" s="17"/>
      <c r="AL171" s="17"/>
      <c r="AM171" s="17"/>
      <c r="AN171" s="17"/>
      <c r="AO171" s="17"/>
      <c r="AP171" s="17"/>
      <c r="AQ171" s="17"/>
      <c r="AR171" s="17"/>
      <c r="AS171" s="17"/>
      <c r="AT171" s="17"/>
      <c r="AU171" s="17"/>
      <c r="AV171" s="17"/>
      <c r="AW171" s="17"/>
      <c r="AX171" s="17"/>
      <c r="AY171" s="17"/>
      <c r="AZ171" s="17"/>
      <c r="BA171" s="17"/>
      <c r="BB171" s="17"/>
      <c r="BC171" s="17"/>
      <c r="BD171" s="17"/>
      <c r="BE171" s="17"/>
      <c r="BF171" s="17"/>
      <c r="BG171" s="17"/>
      <c r="BH171" s="17"/>
      <c r="BI171" s="17"/>
      <c r="BJ171" s="17"/>
      <c r="BK171" s="17"/>
      <c r="BL171" s="17"/>
      <c r="BM171" s="17"/>
      <c r="BN171" s="17"/>
      <c r="BO171" s="17"/>
      <c r="BP171" s="17"/>
      <c r="BQ171" s="17"/>
      <c r="BR171" s="17"/>
      <c r="BS171" s="17"/>
      <c r="BT171" s="17"/>
      <c r="BU171" s="17"/>
      <c r="BV171" s="17"/>
      <c r="BW171" s="17"/>
      <c r="BX171" s="17"/>
      <c r="BY171" s="17"/>
      <c r="BZ171" s="17"/>
      <c r="CA171" s="17"/>
      <c r="CB171" s="17"/>
      <c r="CC171" s="17"/>
      <c r="CD171" s="17"/>
      <c r="CE171" s="17"/>
      <c r="CF171" s="17"/>
      <c r="CG171" s="17"/>
      <c r="CH171" s="17"/>
      <c r="CI171" s="17"/>
      <c r="CJ171" s="17"/>
      <c r="CK171" s="17"/>
      <c r="CL171" s="17"/>
      <c r="CM171" s="17"/>
      <c r="CN171" s="17"/>
      <c r="CO171" s="17"/>
      <c r="CP171" s="17"/>
      <c r="CQ171" s="17"/>
      <c r="CR171" s="17"/>
      <c r="CS171" s="17"/>
      <c r="CT171" s="17"/>
      <c r="CU171" s="17"/>
      <c r="CV171" s="17"/>
      <c r="CW171" s="17"/>
      <c r="CX171" s="17"/>
      <c r="CY171" s="17"/>
      <c r="CZ171" s="17"/>
      <c r="DA171" s="17"/>
      <c r="DB171" s="17"/>
      <c r="DC171" s="17"/>
      <c r="DD171" s="17"/>
      <c r="DE171" s="17"/>
      <c r="DF171" s="17"/>
      <c r="DG171" s="17"/>
      <c r="DH171" s="17"/>
      <c r="DI171" s="17"/>
      <c r="DJ171" s="17"/>
      <c r="DK171" s="17"/>
      <c r="DL171" s="17"/>
      <c r="DM171" s="17"/>
      <c r="DN171" s="17"/>
      <c r="DO171" s="17"/>
      <c r="DP171" s="17"/>
      <c r="DQ171" s="17"/>
      <c r="DR171" s="17"/>
      <c r="DS171" s="17"/>
      <c r="DT171" s="17"/>
      <c r="DU171" s="17"/>
      <c r="DV171" s="17"/>
      <c r="DW171" s="17"/>
      <c r="DX171" s="17"/>
      <c r="DY171" s="17"/>
      <c r="DZ171" s="17"/>
      <c r="EA171" s="17"/>
      <c r="EB171" s="17"/>
      <c r="EC171" s="17"/>
      <c r="ED171" s="17"/>
      <c r="EE171" s="17"/>
      <c r="EF171" s="17"/>
      <c r="EG171" s="17"/>
      <c r="EH171" s="17"/>
      <c r="EI171" s="17"/>
      <c r="EJ171" s="17"/>
      <c r="EK171" s="17"/>
      <c r="EL171" s="17"/>
      <c r="EM171" s="17"/>
      <c r="EN171" s="17"/>
      <c r="EO171" s="17"/>
      <c r="EP171" s="17"/>
      <c r="EQ171" s="17"/>
      <c r="ER171" s="17"/>
      <c r="ES171" s="17"/>
      <c r="ET171" s="17"/>
      <c r="EU171" s="17"/>
      <c r="EV171" s="17"/>
      <c r="EW171" s="17"/>
      <c r="EX171" s="17"/>
      <c r="EY171" s="17"/>
      <c r="EZ171" s="17"/>
      <c r="FA171" s="17"/>
      <c r="FB171" s="17"/>
      <c r="FC171" s="17"/>
      <c r="FD171" s="17"/>
      <c r="FE171" s="17"/>
      <c r="FF171" s="17"/>
      <c r="FG171" s="17"/>
      <c r="FH171" s="17"/>
      <c r="FI171" s="17"/>
      <c r="FJ171" s="17"/>
      <c r="FK171" s="17"/>
      <c r="FL171" s="17"/>
      <c r="FM171" s="17"/>
      <c r="FN171" s="17"/>
      <c r="FO171" s="17"/>
      <c r="FP171" s="17"/>
      <c r="FQ171" s="17"/>
      <c r="FR171" s="17"/>
      <c r="FS171" s="17"/>
      <c r="FT171" s="17"/>
      <c r="FU171" s="17"/>
      <c r="FV171" s="17"/>
      <c r="FW171" s="17"/>
      <c r="FX171" s="17"/>
      <c r="FY171" s="17"/>
      <c r="FZ171" s="17"/>
      <c r="GA171" s="17"/>
      <c r="GB171" s="17"/>
      <c r="GC171" s="17"/>
      <c r="GD171" s="17"/>
      <c r="GE171" s="17"/>
      <c r="GF171" s="17"/>
      <c r="GG171" s="17"/>
      <c r="GH171" s="17"/>
      <c r="GI171" s="17"/>
      <c r="GJ171" s="17"/>
      <c r="GK171" s="17"/>
      <c r="GL171" s="17"/>
      <c r="GM171" s="17"/>
      <c r="GN171" s="17"/>
      <c r="GO171" s="17"/>
      <c r="GP171" s="17"/>
      <c r="GQ171" s="17"/>
      <c r="GR171" s="17"/>
      <c r="GS171" s="17"/>
      <c r="GT171" s="17"/>
      <c r="GU171" s="17"/>
      <c r="GV171" s="17"/>
      <c r="GW171" s="17"/>
      <c r="GX171" s="17"/>
      <c r="GY171" s="17"/>
      <c r="GZ171" s="17"/>
      <c r="HA171" s="17"/>
      <c r="HB171" s="17"/>
      <c r="HC171" s="17"/>
      <c r="HD171" s="17"/>
      <c r="HE171" s="17"/>
      <c r="HF171" s="17"/>
      <c r="HG171" s="17"/>
      <c r="HH171" s="17"/>
      <c r="HI171" s="17"/>
      <c r="HJ171" s="17"/>
      <c r="HK171" s="17"/>
      <c r="HL171" s="17"/>
      <c r="HM171" s="17"/>
      <c r="HN171" s="17"/>
      <c r="HO171" s="17"/>
      <c r="HP171" s="17"/>
      <c r="HQ171" s="17"/>
      <c r="HR171" s="17"/>
      <c r="HS171" s="17"/>
      <c r="HT171" s="17"/>
      <c r="HU171" s="17"/>
      <c r="HV171" s="17"/>
      <c r="HW171" s="17"/>
      <c r="HX171" s="17"/>
      <c r="HY171" s="17"/>
      <c r="HZ171" s="17"/>
      <c r="IA171" s="17"/>
      <c r="IB171" s="17"/>
      <c r="IC171" s="17"/>
      <c r="ID171" s="17"/>
      <c r="IE171" s="17"/>
      <c r="IF171" s="17"/>
      <c r="IG171" s="17"/>
      <c r="IH171" s="17"/>
      <c r="II171" s="17"/>
      <c r="IJ171" s="17"/>
      <c r="IK171" s="17"/>
      <c r="IL171" s="17"/>
      <c r="IM171" s="17"/>
      <c r="IN171" s="17"/>
      <c r="IO171" s="17"/>
      <c r="IP171" s="17"/>
      <c r="IQ171" s="17"/>
      <c r="IR171" s="17"/>
      <c r="IS171" s="17"/>
      <c r="IT171" s="17"/>
      <c r="IU171" s="17"/>
      <c r="IV171" s="17"/>
      <c r="IW171" s="17"/>
      <c r="IX171" s="17"/>
      <c r="IY171" s="17"/>
      <c r="IZ171" s="17"/>
      <c r="JA171" s="17"/>
      <c r="JB171" s="17"/>
      <c r="JC171" s="17"/>
      <c r="JD171" s="17"/>
      <c r="JE171" s="17"/>
      <c r="JF171" s="17"/>
      <c r="JG171" s="17"/>
      <c r="JH171" s="17"/>
      <c r="JI171" s="17"/>
      <c r="JJ171" s="17"/>
      <c r="JK171" s="17"/>
      <c r="JL171" s="17"/>
      <c r="JM171" s="17"/>
      <c r="JN171" s="17"/>
      <c r="JO171" s="17"/>
      <c r="JP171" s="17"/>
      <c r="JQ171" s="17"/>
      <c r="JR171" s="17"/>
      <c r="JS171" s="17"/>
      <c r="JT171" s="17"/>
      <c r="JU171" s="17"/>
      <c r="JV171" s="17"/>
      <c r="JW171" s="17"/>
      <c r="JX171" s="17"/>
      <c r="JY171" s="17"/>
      <c r="JZ171" s="17"/>
      <c r="KA171" s="17"/>
      <c r="KB171" s="17"/>
      <c r="KC171" s="17"/>
      <c r="KD171" s="17"/>
      <c r="KE171" s="17"/>
      <c r="KF171" s="17"/>
      <c r="KG171" s="17"/>
      <c r="KH171" s="17"/>
      <c r="KI171" s="17"/>
      <c r="KJ171" s="17"/>
      <c r="KK171" s="17"/>
      <c r="KL171" s="17"/>
      <c r="KM171" s="17"/>
      <c r="KN171" s="17"/>
      <c r="KO171" s="17"/>
      <c r="KP171" s="17"/>
      <c r="KQ171" s="17"/>
      <c r="KR171" s="17"/>
      <c r="KS171" s="17"/>
      <c r="KT171" s="17"/>
      <c r="KU171" s="17"/>
      <c r="KV171" s="17"/>
      <c r="KW171" s="17"/>
      <c r="KX171" s="17"/>
      <c r="KY171" s="17"/>
    </row>
    <row r="172" spans="1:311" x14ac:dyDescent="0.25">
      <c r="A172" s="17"/>
      <c r="B172" s="17"/>
      <c r="C172" s="17"/>
      <c r="D172" s="17"/>
      <c r="E172" s="17"/>
      <c r="F172" s="17"/>
      <c r="G172" s="17"/>
      <c r="H172" s="17"/>
      <c r="I172" s="17"/>
      <c r="J172" s="17"/>
      <c r="K172" s="17"/>
      <c r="L172" s="17"/>
      <c r="M172" s="17"/>
      <c r="N172" s="17"/>
      <c r="O172" s="17"/>
      <c r="P172" s="17"/>
      <c r="Q172" s="17"/>
      <c r="R172" s="17"/>
      <c r="S172" s="17"/>
      <c r="T172" s="17"/>
      <c r="U172" s="17"/>
      <c r="V172" s="17"/>
      <c r="W172" s="17"/>
      <c r="X172" s="17"/>
      <c r="Y172" s="17"/>
      <c r="Z172" s="17"/>
      <c r="AA172" s="17"/>
      <c r="AB172" s="17"/>
      <c r="AC172" s="17"/>
      <c r="AD172" s="17"/>
      <c r="AE172" s="17"/>
      <c r="AF172" s="17"/>
      <c r="AG172" s="17"/>
      <c r="AH172" s="17"/>
      <c r="AI172" s="17"/>
      <c r="AJ172" s="17"/>
      <c r="AK172" s="17"/>
      <c r="AL172" s="17"/>
      <c r="AM172" s="17"/>
      <c r="AN172" s="17"/>
      <c r="AO172" s="17"/>
      <c r="AP172" s="17"/>
      <c r="AQ172" s="17"/>
      <c r="AR172" s="17"/>
      <c r="AS172" s="17"/>
      <c r="AT172" s="17"/>
      <c r="AU172" s="17"/>
      <c r="AV172" s="17"/>
      <c r="AW172" s="17"/>
      <c r="AX172" s="17"/>
      <c r="AY172" s="17"/>
      <c r="AZ172" s="17"/>
      <c r="BA172" s="17"/>
      <c r="BB172" s="17"/>
      <c r="BC172" s="17"/>
      <c r="BD172" s="17"/>
      <c r="BE172" s="17"/>
      <c r="BF172" s="17"/>
      <c r="BG172" s="17"/>
      <c r="BH172" s="17"/>
      <c r="BI172" s="17"/>
      <c r="BJ172" s="17"/>
      <c r="BK172" s="17"/>
      <c r="BL172" s="17"/>
      <c r="BM172" s="17"/>
      <c r="BN172" s="17"/>
      <c r="BO172" s="17"/>
      <c r="BP172" s="17"/>
      <c r="BQ172" s="17"/>
      <c r="BR172" s="17"/>
      <c r="BS172" s="17"/>
      <c r="BT172" s="17"/>
      <c r="BU172" s="17"/>
      <c r="BV172" s="17"/>
      <c r="BW172" s="17"/>
      <c r="BX172" s="17"/>
      <c r="BY172" s="17"/>
      <c r="BZ172" s="17"/>
      <c r="CA172" s="17"/>
      <c r="CB172" s="17"/>
      <c r="CC172" s="17"/>
      <c r="CD172" s="17"/>
      <c r="CE172" s="17"/>
      <c r="CF172" s="17"/>
      <c r="CG172" s="17"/>
      <c r="CH172" s="17"/>
      <c r="CI172" s="17"/>
      <c r="CJ172" s="17"/>
      <c r="CK172" s="17"/>
      <c r="CL172" s="17"/>
      <c r="CM172" s="17"/>
      <c r="CN172" s="17"/>
      <c r="CO172" s="17"/>
      <c r="CP172" s="17"/>
      <c r="CQ172" s="17"/>
      <c r="CR172" s="17"/>
      <c r="CS172" s="17"/>
      <c r="CT172" s="17"/>
      <c r="CU172" s="17"/>
      <c r="CV172" s="17"/>
      <c r="CW172" s="17"/>
      <c r="CX172" s="17"/>
      <c r="CY172" s="17"/>
      <c r="CZ172" s="17"/>
      <c r="DA172" s="17"/>
      <c r="DB172" s="17"/>
      <c r="DC172" s="17"/>
      <c r="DD172" s="17"/>
      <c r="DE172" s="17"/>
      <c r="DF172" s="17"/>
      <c r="DG172" s="17"/>
      <c r="DH172" s="17"/>
      <c r="DI172" s="17"/>
      <c r="DJ172" s="17"/>
      <c r="DK172" s="17"/>
      <c r="DL172" s="17"/>
      <c r="DM172" s="17"/>
      <c r="DN172" s="17"/>
      <c r="DO172" s="17"/>
      <c r="DP172" s="17"/>
      <c r="DQ172" s="17"/>
      <c r="DR172" s="17"/>
      <c r="DS172" s="17"/>
      <c r="DT172" s="17"/>
      <c r="DU172" s="17"/>
      <c r="DV172" s="17"/>
      <c r="DW172" s="17"/>
      <c r="DX172" s="17"/>
      <c r="DY172" s="17"/>
      <c r="DZ172" s="17"/>
      <c r="EA172" s="17"/>
      <c r="EB172" s="17"/>
      <c r="EC172" s="17"/>
      <c r="ED172" s="17"/>
      <c r="EE172" s="17"/>
      <c r="EF172" s="17"/>
      <c r="EG172" s="17"/>
      <c r="EH172" s="17"/>
      <c r="EI172" s="17"/>
      <c r="EJ172" s="17"/>
      <c r="EK172" s="17"/>
      <c r="EL172" s="17"/>
      <c r="EM172" s="17"/>
      <c r="EN172" s="17"/>
      <c r="EO172" s="17"/>
      <c r="EP172" s="17"/>
      <c r="EQ172" s="17"/>
      <c r="ER172" s="17"/>
      <c r="ES172" s="17"/>
      <c r="ET172" s="17"/>
      <c r="EU172" s="17"/>
      <c r="EV172" s="17"/>
      <c r="EW172" s="17"/>
      <c r="EX172" s="17"/>
      <c r="EY172" s="17"/>
      <c r="EZ172" s="17"/>
      <c r="FA172" s="17"/>
      <c r="FB172" s="17"/>
      <c r="FC172" s="17"/>
      <c r="FD172" s="17"/>
      <c r="FE172" s="17"/>
      <c r="FF172" s="17"/>
      <c r="FG172" s="17"/>
      <c r="FH172" s="17"/>
      <c r="FI172" s="17"/>
      <c r="FJ172" s="17"/>
      <c r="FK172" s="17"/>
      <c r="FL172" s="17"/>
      <c r="FM172" s="17"/>
      <c r="FN172" s="17"/>
      <c r="FO172" s="17"/>
      <c r="FP172" s="17"/>
      <c r="FQ172" s="17"/>
      <c r="FR172" s="17"/>
      <c r="FS172" s="17"/>
      <c r="FT172" s="17"/>
      <c r="FU172" s="17"/>
      <c r="FV172" s="17"/>
      <c r="FW172" s="17"/>
      <c r="FX172" s="17"/>
      <c r="FY172" s="17"/>
      <c r="FZ172" s="17"/>
      <c r="GA172" s="17"/>
      <c r="GB172" s="17"/>
      <c r="GC172" s="17"/>
      <c r="GD172" s="17"/>
      <c r="GE172" s="17"/>
      <c r="GF172" s="17"/>
      <c r="GG172" s="17"/>
      <c r="GH172" s="17"/>
      <c r="GI172" s="17"/>
      <c r="GJ172" s="17"/>
      <c r="GK172" s="17"/>
      <c r="GL172" s="17"/>
      <c r="GM172" s="17"/>
      <c r="GN172" s="17"/>
      <c r="GO172" s="17"/>
      <c r="GP172" s="17"/>
      <c r="GQ172" s="17"/>
      <c r="GR172" s="17"/>
      <c r="GS172" s="17"/>
      <c r="GT172" s="17"/>
      <c r="GU172" s="17"/>
      <c r="GV172" s="17"/>
      <c r="GW172" s="17"/>
      <c r="GX172" s="17"/>
      <c r="GY172" s="17"/>
      <c r="GZ172" s="17"/>
      <c r="HA172" s="17"/>
      <c r="HB172" s="17"/>
      <c r="HC172" s="17"/>
      <c r="HD172" s="17"/>
      <c r="HE172" s="17"/>
      <c r="HF172" s="17"/>
      <c r="HG172" s="17"/>
      <c r="HH172" s="17"/>
      <c r="HI172" s="17"/>
      <c r="HJ172" s="17"/>
      <c r="HK172" s="17"/>
      <c r="HL172" s="17"/>
      <c r="HM172" s="17"/>
      <c r="HN172" s="17"/>
      <c r="HO172" s="17"/>
      <c r="HP172" s="17"/>
      <c r="HQ172" s="17"/>
      <c r="HR172" s="17"/>
      <c r="HS172" s="17"/>
      <c r="HT172" s="17"/>
      <c r="HU172" s="17"/>
      <c r="HV172" s="17"/>
      <c r="HW172" s="17"/>
      <c r="HX172" s="17"/>
      <c r="HY172" s="17"/>
      <c r="HZ172" s="17"/>
      <c r="IA172" s="17"/>
      <c r="IB172" s="17"/>
      <c r="IC172" s="17"/>
      <c r="ID172" s="17"/>
      <c r="IE172" s="17"/>
      <c r="IF172" s="17"/>
      <c r="IG172" s="17"/>
      <c r="IH172" s="17"/>
      <c r="II172" s="17"/>
      <c r="IJ172" s="17"/>
      <c r="IK172" s="17"/>
      <c r="IL172" s="17"/>
      <c r="IM172" s="17"/>
      <c r="IN172" s="17"/>
      <c r="IO172" s="17"/>
      <c r="IP172" s="17"/>
      <c r="IQ172" s="17"/>
      <c r="IR172" s="17"/>
      <c r="IS172" s="17"/>
      <c r="IT172" s="17"/>
      <c r="IU172" s="17"/>
      <c r="IV172" s="17"/>
      <c r="IW172" s="17"/>
      <c r="IX172" s="17"/>
      <c r="IY172" s="17"/>
      <c r="IZ172" s="17"/>
      <c r="JA172" s="17"/>
      <c r="JB172" s="17"/>
      <c r="JC172" s="17"/>
      <c r="JD172" s="17"/>
      <c r="JE172" s="17"/>
      <c r="JF172" s="17"/>
      <c r="JG172" s="17"/>
      <c r="JH172" s="17"/>
      <c r="JI172" s="17"/>
      <c r="JJ172" s="17"/>
      <c r="JK172" s="17"/>
      <c r="JL172" s="17"/>
      <c r="JM172" s="17"/>
      <c r="JN172" s="17"/>
      <c r="JO172" s="17"/>
      <c r="JP172" s="17"/>
      <c r="JQ172" s="17"/>
      <c r="JR172" s="17"/>
      <c r="JS172" s="17"/>
      <c r="JT172" s="17"/>
      <c r="JU172" s="17"/>
      <c r="JV172" s="17"/>
      <c r="JW172" s="17"/>
      <c r="JX172" s="17"/>
      <c r="JY172" s="17"/>
      <c r="JZ172" s="17"/>
      <c r="KA172" s="17"/>
      <c r="KB172" s="17"/>
      <c r="KC172" s="17"/>
      <c r="KD172" s="17"/>
      <c r="KE172" s="17"/>
      <c r="KF172" s="17"/>
      <c r="KG172" s="17"/>
      <c r="KH172" s="17"/>
      <c r="KI172" s="17"/>
      <c r="KJ172" s="17"/>
      <c r="KK172" s="17"/>
      <c r="KL172" s="17"/>
      <c r="KM172" s="17"/>
      <c r="KN172" s="17"/>
      <c r="KO172" s="17"/>
      <c r="KP172" s="17"/>
      <c r="KQ172" s="17"/>
      <c r="KR172" s="17"/>
      <c r="KS172" s="17"/>
      <c r="KT172" s="17"/>
      <c r="KU172" s="17"/>
      <c r="KV172" s="17"/>
      <c r="KW172" s="17"/>
      <c r="KX172" s="17"/>
      <c r="KY172" s="17"/>
    </row>
    <row r="173" spans="1:311" x14ac:dyDescent="0.25">
      <c r="A173" s="17"/>
      <c r="B173" s="17"/>
      <c r="C173" s="17"/>
      <c r="D173" s="17"/>
      <c r="E173" s="17"/>
      <c r="F173" s="17"/>
      <c r="G173" s="17"/>
      <c r="H173" s="17"/>
      <c r="I173" s="17"/>
      <c r="J173" s="17"/>
      <c r="K173" s="17"/>
      <c r="L173" s="17"/>
      <c r="M173" s="17"/>
      <c r="N173" s="17"/>
      <c r="O173" s="17"/>
      <c r="P173" s="17"/>
      <c r="Q173" s="17"/>
      <c r="R173" s="17"/>
      <c r="S173" s="17"/>
      <c r="T173" s="17"/>
      <c r="U173" s="17"/>
      <c r="V173" s="17"/>
      <c r="W173" s="17"/>
      <c r="X173" s="17"/>
      <c r="Y173" s="17"/>
      <c r="Z173" s="17"/>
      <c r="AA173" s="17"/>
      <c r="AB173" s="17"/>
      <c r="AC173" s="17"/>
      <c r="AD173" s="17"/>
      <c r="AE173" s="17"/>
      <c r="AF173" s="17"/>
      <c r="AG173" s="17"/>
      <c r="AH173" s="17"/>
      <c r="AI173" s="17"/>
      <c r="AJ173" s="17"/>
      <c r="AK173" s="17"/>
      <c r="AL173" s="17"/>
      <c r="AM173" s="17"/>
      <c r="AN173" s="17"/>
      <c r="AO173" s="17"/>
      <c r="AP173" s="17"/>
      <c r="AQ173" s="17"/>
      <c r="AR173" s="17"/>
      <c r="AS173" s="17"/>
      <c r="AT173" s="17"/>
      <c r="AU173" s="17"/>
      <c r="AV173" s="17"/>
      <c r="AW173" s="17"/>
      <c r="AX173" s="17"/>
      <c r="AY173" s="17"/>
      <c r="AZ173" s="17"/>
      <c r="BA173" s="17"/>
      <c r="BB173" s="17"/>
      <c r="BC173" s="17"/>
      <c r="BD173" s="17"/>
      <c r="BE173" s="17"/>
      <c r="BF173" s="17"/>
      <c r="BG173" s="17"/>
      <c r="BH173" s="17"/>
      <c r="BI173" s="17"/>
      <c r="BJ173" s="17"/>
      <c r="BK173" s="17"/>
      <c r="BL173" s="17"/>
      <c r="BM173" s="17"/>
      <c r="BN173" s="17"/>
      <c r="BO173" s="17"/>
      <c r="BP173" s="17"/>
      <c r="BQ173" s="17"/>
      <c r="BR173" s="17"/>
      <c r="BS173" s="17"/>
      <c r="BT173" s="17"/>
      <c r="BU173" s="17"/>
      <c r="BV173" s="17"/>
      <c r="BW173" s="17"/>
      <c r="BX173" s="17"/>
      <c r="BY173" s="17"/>
      <c r="BZ173" s="17"/>
      <c r="CA173" s="17"/>
      <c r="CB173" s="17"/>
      <c r="CC173" s="17"/>
      <c r="CD173" s="17"/>
      <c r="CE173" s="17"/>
      <c r="CF173" s="17"/>
      <c r="CG173" s="17"/>
      <c r="CH173" s="17"/>
      <c r="CI173" s="17"/>
      <c r="CJ173" s="17"/>
      <c r="CK173" s="17"/>
      <c r="CL173" s="17"/>
      <c r="CM173" s="17"/>
      <c r="CN173" s="17"/>
      <c r="CO173" s="17"/>
      <c r="CP173" s="17"/>
      <c r="CQ173" s="17"/>
      <c r="CR173" s="17"/>
      <c r="CS173" s="17"/>
      <c r="CT173" s="17"/>
      <c r="CU173" s="17"/>
      <c r="CV173" s="17"/>
      <c r="CW173" s="17"/>
      <c r="CX173" s="17"/>
      <c r="CY173" s="17"/>
      <c r="CZ173" s="17"/>
      <c r="DA173" s="17"/>
      <c r="DB173" s="17"/>
      <c r="DC173" s="17"/>
      <c r="DD173" s="17"/>
      <c r="DE173" s="17"/>
      <c r="DF173" s="17"/>
      <c r="DG173" s="17"/>
      <c r="DH173" s="17"/>
      <c r="DI173" s="17"/>
      <c r="DJ173" s="17"/>
      <c r="DK173" s="17"/>
      <c r="DL173" s="17"/>
      <c r="DM173" s="17"/>
      <c r="DN173" s="17"/>
      <c r="DO173" s="17"/>
      <c r="DP173" s="17"/>
      <c r="DQ173" s="17"/>
      <c r="DR173" s="17"/>
      <c r="DS173" s="17"/>
      <c r="DT173" s="17"/>
      <c r="DU173" s="17"/>
      <c r="DV173" s="17"/>
      <c r="DW173" s="17"/>
      <c r="DX173" s="17"/>
      <c r="DY173" s="17"/>
      <c r="DZ173" s="17"/>
      <c r="EA173" s="17"/>
      <c r="EB173" s="17"/>
      <c r="EC173" s="17"/>
      <c r="ED173" s="17"/>
      <c r="EE173" s="17"/>
      <c r="EF173" s="17"/>
      <c r="EG173" s="17"/>
      <c r="EH173" s="17"/>
      <c r="EI173" s="17"/>
      <c r="EJ173" s="17"/>
      <c r="EK173" s="17"/>
      <c r="EL173" s="17"/>
      <c r="EM173" s="17"/>
      <c r="EN173" s="17"/>
      <c r="EO173" s="17"/>
      <c r="EP173" s="17"/>
      <c r="EQ173" s="17"/>
      <c r="ER173" s="17"/>
      <c r="ES173" s="17"/>
      <c r="ET173" s="17"/>
      <c r="EU173" s="17"/>
      <c r="EV173" s="17"/>
      <c r="EW173" s="17"/>
      <c r="EX173" s="17"/>
      <c r="EY173" s="17"/>
      <c r="EZ173" s="17"/>
      <c r="FA173" s="17"/>
      <c r="FB173" s="17"/>
      <c r="FC173" s="17"/>
      <c r="FD173" s="17"/>
      <c r="FE173" s="17"/>
      <c r="FF173" s="17"/>
      <c r="FG173" s="17"/>
      <c r="FH173" s="17"/>
      <c r="FI173" s="17"/>
      <c r="FJ173" s="17"/>
      <c r="FK173" s="17"/>
      <c r="FL173" s="17"/>
      <c r="FM173" s="17"/>
      <c r="FN173" s="17"/>
      <c r="FO173" s="17"/>
      <c r="FP173" s="17"/>
      <c r="FQ173" s="17"/>
      <c r="FR173" s="17"/>
      <c r="FS173" s="17"/>
      <c r="FT173" s="17"/>
      <c r="FU173" s="17"/>
      <c r="FV173" s="17"/>
      <c r="FW173" s="17"/>
      <c r="FX173" s="17"/>
      <c r="FY173" s="17"/>
      <c r="FZ173" s="17"/>
      <c r="GA173" s="17"/>
      <c r="GB173" s="17"/>
      <c r="GC173" s="17"/>
      <c r="GD173" s="17"/>
      <c r="GE173" s="17"/>
      <c r="GF173" s="17"/>
      <c r="GG173" s="17"/>
      <c r="GH173" s="17"/>
      <c r="GI173" s="17"/>
      <c r="GJ173" s="17"/>
      <c r="GK173" s="17"/>
      <c r="GL173" s="17"/>
      <c r="GM173" s="17"/>
      <c r="GN173" s="17"/>
      <c r="GO173" s="17"/>
      <c r="GP173" s="17"/>
      <c r="GQ173" s="17"/>
      <c r="GR173" s="17"/>
      <c r="GS173" s="17"/>
      <c r="GT173" s="17"/>
      <c r="GU173" s="17"/>
      <c r="GV173" s="17"/>
      <c r="GW173" s="17"/>
      <c r="GX173" s="17"/>
      <c r="GY173" s="17"/>
      <c r="GZ173" s="17"/>
      <c r="HA173" s="17"/>
      <c r="HB173" s="17"/>
      <c r="HC173" s="17"/>
      <c r="HD173" s="17"/>
      <c r="HE173" s="17"/>
      <c r="HF173" s="17"/>
      <c r="HG173" s="17"/>
      <c r="HH173" s="17"/>
      <c r="HI173" s="17"/>
      <c r="HJ173" s="17"/>
      <c r="HK173" s="17"/>
      <c r="HL173" s="17"/>
      <c r="HM173" s="17"/>
      <c r="HN173" s="17"/>
      <c r="HO173" s="17"/>
      <c r="HP173" s="17"/>
      <c r="HQ173" s="17"/>
      <c r="HR173" s="17"/>
      <c r="HS173" s="17"/>
      <c r="HT173" s="17"/>
      <c r="HU173" s="17"/>
      <c r="HV173" s="17"/>
      <c r="HW173" s="17"/>
      <c r="HX173" s="17"/>
      <c r="HY173" s="17"/>
      <c r="HZ173" s="17"/>
      <c r="IA173" s="17"/>
      <c r="IB173" s="17"/>
      <c r="IC173" s="17"/>
      <c r="ID173" s="17"/>
      <c r="IE173" s="17"/>
      <c r="IF173" s="17"/>
      <c r="IG173" s="17"/>
      <c r="IH173" s="17"/>
      <c r="II173" s="17"/>
      <c r="IJ173" s="17"/>
      <c r="IK173" s="17"/>
      <c r="IL173" s="17"/>
      <c r="IM173" s="17"/>
      <c r="IN173" s="17"/>
      <c r="IO173" s="17"/>
      <c r="IP173" s="17"/>
      <c r="IQ173" s="17"/>
      <c r="IR173" s="17"/>
      <c r="IS173" s="17"/>
      <c r="IT173" s="17"/>
      <c r="IU173" s="17"/>
      <c r="IV173" s="17"/>
      <c r="IW173" s="17"/>
      <c r="IX173" s="17"/>
      <c r="IY173" s="17"/>
      <c r="IZ173" s="17"/>
      <c r="JA173" s="17"/>
      <c r="JB173" s="17"/>
      <c r="JC173" s="17"/>
      <c r="JD173" s="17"/>
      <c r="JE173" s="17"/>
      <c r="JF173" s="17"/>
      <c r="JG173" s="17"/>
      <c r="JH173" s="17"/>
      <c r="JI173" s="17"/>
      <c r="JJ173" s="17"/>
      <c r="JK173" s="17"/>
      <c r="JL173" s="17"/>
      <c r="JM173" s="17"/>
      <c r="JN173" s="17"/>
      <c r="JO173" s="17"/>
      <c r="JP173" s="17"/>
      <c r="JQ173" s="17"/>
      <c r="JR173" s="17"/>
      <c r="JS173" s="17"/>
      <c r="JT173" s="17"/>
      <c r="JU173" s="17"/>
      <c r="JV173" s="17"/>
      <c r="JW173" s="17"/>
      <c r="JX173" s="17"/>
      <c r="JY173" s="17"/>
      <c r="JZ173" s="17"/>
      <c r="KA173" s="17"/>
      <c r="KB173" s="17"/>
      <c r="KC173" s="17"/>
      <c r="KD173" s="17"/>
      <c r="KE173" s="17"/>
      <c r="KF173" s="17"/>
      <c r="KG173" s="17"/>
      <c r="KH173" s="17"/>
      <c r="KI173" s="17"/>
      <c r="KJ173" s="17"/>
      <c r="KK173" s="17"/>
      <c r="KL173" s="17"/>
      <c r="KM173" s="17"/>
      <c r="KN173" s="17"/>
      <c r="KO173" s="17"/>
      <c r="KP173" s="17"/>
      <c r="KQ173" s="17"/>
      <c r="KR173" s="17"/>
      <c r="KS173" s="17"/>
      <c r="KT173" s="17"/>
      <c r="KU173" s="17"/>
      <c r="KV173" s="17"/>
      <c r="KW173" s="17"/>
      <c r="KX173" s="17"/>
      <c r="KY173" s="17"/>
    </row>
    <row r="174" spans="1:311" x14ac:dyDescent="0.25">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17"/>
      <c r="AU174" s="17"/>
      <c r="AV174" s="17"/>
      <c r="AW174" s="17"/>
      <c r="AX174" s="17"/>
      <c r="AY174" s="17"/>
      <c r="AZ174" s="17"/>
      <c r="BA174" s="17"/>
      <c r="BB174" s="17"/>
      <c r="BC174" s="17"/>
      <c r="BD174" s="17"/>
      <c r="BE174" s="17"/>
      <c r="BF174" s="17"/>
      <c r="BG174" s="17"/>
      <c r="BH174" s="17"/>
      <c r="BI174" s="17"/>
      <c r="BJ174" s="17"/>
      <c r="BK174" s="17"/>
      <c r="BL174" s="17"/>
      <c r="BM174" s="17"/>
      <c r="BN174" s="17"/>
      <c r="BO174" s="17"/>
      <c r="BP174" s="17"/>
      <c r="BQ174" s="17"/>
      <c r="BR174" s="17"/>
      <c r="BS174" s="17"/>
      <c r="BT174" s="17"/>
      <c r="BU174" s="17"/>
      <c r="BV174" s="17"/>
      <c r="BW174" s="17"/>
      <c r="BX174" s="17"/>
      <c r="BY174" s="17"/>
      <c r="BZ174" s="17"/>
      <c r="CA174" s="17"/>
      <c r="CB174" s="17"/>
      <c r="CC174" s="17"/>
      <c r="CD174" s="17"/>
      <c r="CE174" s="17"/>
      <c r="CF174" s="17"/>
      <c r="CG174" s="17"/>
      <c r="CH174" s="17"/>
      <c r="CI174" s="17"/>
      <c r="CJ174" s="17"/>
      <c r="CK174" s="17"/>
      <c r="CL174" s="17"/>
      <c r="CM174" s="17"/>
      <c r="CN174" s="17"/>
      <c r="CO174" s="17"/>
      <c r="CP174" s="17"/>
      <c r="CQ174" s="17"/>
      <c r="CR174" s="17"/>
      <c r="CS174" s="17"/>
      <c r="CT174" s="17"/>
      <c r="CU174" s="17"/>
      <c r="CV174" s="17"/>
      <c r="CW174" s="17"/>
      <c r="CX174" s="17"/>
      <c r="CY174" s="17"/>
      <c r="CZ174" s="17"/>
      <c r="DA174" s="17"/>
      <c r="DB174" s="17"/>
      <c r="DC174" s="17"/>
      <c r="DD174" s="17"/>
      <c r="DE174" s="17"/>
      <c r="DF174" s="17"/>
      <c r="DG174" s="17"/>
      <c r="DH174" s="17"/>
      <c r="DI174" s="17"/>
      <c r="DJ174" s="17"/>
      <c r="DK174" s="17"/>
      <c r="DL174" s="17"/>
      <c r="DM174" s="17"/>
      <c r="DN174" s="17"/>
      <c r="DO174" s="17"/>
      <c r="DP174" s="17"/>
      <c r="DQ174" s="17"/>
      <c r="DR174" s="17"/>
      <c r="DS174" s="17"/>
      <c r="DT174" s="17"/>
      <c r="DU174" s="17"/>
      <c r="DV174" s="17"/>
      <c r="DW174" s="17"/>
      <c r="DX174" s="17"/>
      <c r="DY174" s="17"/>
      <c r="DZ174" s="17"/>
      <c r="EA174" s="17"/>
      <c r="EB174" s="17"/>
      <c r="EC174" s="17"/>
      <c r="ED174" s="17"/>
      <c r="EE174" s="17"/>
      <c r="EF174" s="17"/>
      <c r="EG174" s="17"/>
      <c r="EH174" s="17"/>
      <c r="EI174" s="17"/>
      <c r="EJ174" s="17"/>
      <c r="EK174" s="17"/>
      <c r="EL174" s="17"/>
      <c r="EM174" s="17"/>
      <c r="EN174" s="17"/>
      <c r="EO174" s="17"/>
      <c r="EP174" s="17"/>
      <c r="EQ174" s="17"/>
      <c r="ER174" s="17"/>
      <c r="ES174" s="17"/>
      <c r="ET174" s="17"/>
      <c r="EU174" s="17"/>
      <c r="EV174" s="17"/>
      <c r="EW174" s="17"/>
      <c r="EX174" s="17"/>
      <c r="EY174" s="17"/>
      <c r="EZ174" s="17"/>
      <c r="FA174" s="17"/>
      <c r="FB174" s="17"/>
      <c r="FC174" s="17"/>
      <c r="FD174" s="17"/>
      <c r="FE174" s="17"/>
      <c r="FF174" s="17"/>
      <c r="FG174" s="17"/>
      <c r="FH174" s="17"/>
      <c r="FI174" s="17"/>
      <c r="FJ174" s="17"/>
      <c r="FK174" s="17"/>
      <c r="FL174" s="17"/>
      <c r="FM174" s="17"/>
      <c r="FN174" s="17"/>
      <c r="FO174" s="17"/>
      <c r="FP174" s="17"/>
      <c r="FQ174" s="17"/>
      <c r="FR174" s="17"/>
      <c r="FS174" s="17"/>
      <c r="FT174" s="17"/>
      <c r="FU174" s="17"/>
      <c r="FV174" s="17"/>
      <c r="FW174" s="17"/>
      <c r="FX174" s="17"/>
      <c r="FY174" s="17"/>
      <c r="FZ174" s="17"/>
      <c r="GA174" s="17"/>
      <c r="GB174" s="17"/>
      <c r="GC174" s="17"/>
      <c r="GD174" s="17"/>
      <c r="GE174" s="17"/>
      <c r="GF174" s="17"/>
      <c r="GG174" s="17"/>
      <c r="GH174" s="17"/>
      <c r="GI174" s="17"/>
      <c r="GJ174" s="17"/>
      <c r="GK174" s="17"/>
      <c r="GL174" s="17"/>
      <c r="GM174" s="17"/>
      <c r="GN174" s="17"/>
      <c r="GO174" s="17"/>
      <c r="GP174" s="17"/>
      <c r="GQ174" s="17"/>
      <c r="GR174" s="17"/>
      <c r="GS174" s="17"/>
      <c r="GT174" s="17"/>
      <c r="GU174" s="17"/>
      <c r="GV174" s="17"/>
      <c r="GW174" s="17"/>
      <c r="GX174" s="17"/>
      <c r="GY174" s="17"/>
      <c r="GZ174" s="17"/>
      <c r="HA174" s="17"/>
      <c r="HB174" s="17"/>
      <c r="HC174" s="17"/>
      <c r="HD174" s="17"/>
      <c r="HE174" s="17"/>
      <c r="HF174" s="17"/>
      <c r="HG174" s="17"/>
      <c r="HH174" s="17"/>
      <c r="HI174" s="17"/>
      <c r="HJ174" s="17"/>
      <c r="HK174" s="17"/>
      <c r="HL174" s="17"/>
      <c r="HM174" s="17"/>
      <c r="HN174" s="17"/>
      <c r="HO174" s="17"/>
      <c r="HP174" s="17"/>
      <c r="HQ174" s="17"/>
      <c r="HR174" s="17"/>
      <c r="HS174" s="17"/>
      <c r="HT174" s="17"/>
      <c r="HU174" s="17"/>
      <c r="HV174" s="17"/>
      <c r="HW174" s="17"/>
      <c r="HX174" s="17"/>
      <c r="HY174" s="17"/>
      <c r="HZ174" s="17"/>
      <c r="IA174" s="17"/>
      <c r="IB174" s="17"/>
      <c r="IC174" s="17"/>
      <c r="ID174" s="17"/>
      <c r="IE174" s="17"/>
      <c r="IF174" s="17"/>
      <c r="IG174" s="17"/>
      <c r="IH174" s="17"/>
      <c r="II174" s="17"/>
      <c r="IJ174" s="17"/>
      <c r="IK174" s="17"/>
      <c r="IL174" s="17"/>
      <c r="IM174" s="17"/>
      <c r="IN174" s="17"/>
      <c r="IO174" s="17"/>
      <c r="IP174" s="17"/>
      <c r="IQ174" s="17"/>
      <c r="IR174" s="17"/>
      <c r="IS174" s="17"/>
      <c r="IT174" s="17"/>
      <c r="IU174" s="17"/>
      <c r="IV174" s="17"/>
      <c r="IW174" s="17"/>
      <c r="IX174" s="17"/>
      <c r="IY174" s="17"/>
      <c r="IZ174" s="17"/>
      <c r="JA174" s="17"/>
      <c r="JB174" s="17"/>
      <c r="JC174" s="17"/>
      <c r="JD174" s="17"/>
      <c r="JE174" s="17"/>
      <c r="JF174" s="17"/>
      <c r="JG174" s="17"/>
      <c r="JH174" s="17"/>
      <c r="JI174" s="17"/>
      <c r="JJ174" s="17"/>
      <c r="JK174" s="17"/>
      <c r="JL174" s="17"/>
      <c r="JM174" s="17"/>
      <c r="JN174" s="17"/>
      <c r="JO174" s="17"/>
      <c r="JP174" s="17"/>
      <c r="JQ174" s="17"/>
      <c r="JR174" s="17"/>
      <c r="JS174" s="17"/>
      <c r="JT174" s="17"/>
      <c r="JU174" s="17"/>
      <c r="JV174" s="17"/>
      <c r="JW174" s="17"/>
      <c r="JX174" s="17"/>
      <c r="JY174" s="17"/>
      <c r="JZ174" s="17"/>
      <c r="KA174" s="17"/>
      <c r="KB174" s="17"/>
      <c r="KC174" s="17"/>
      <c r="KD174" s="17"/>
      <c r="KE174" s="17"/>
      <c r="KF174" s="17"/>
      <c r="KG174" s="17"/>
      <c r="KH174" s="17"/>
      <c r="KI174" s="17"/>
      <c r="KJ174" s="17"/>
      <c r="KK174" s="17"/>
      <c r="KL174" s="17"/>
      <c r="KM174" s="17"/>
      <c r="KN174" s="17"/>
      <c r="KO174" s="17"/>
      <c r="KP174" s="17"/>
      <c r="KQ174" s="17"/>
      <c r="KR174" s="17"/>
      <c r="KS174" s="17"/>
      <c r="KT174" s="17"/>
      <c r="KU174" s="17"/>
      <c r="KV174" s="17"/>
      <c r="KW174" s="17"/>
      <c r="KX174" s="17"/>
      <c r="KY174" s="17"/>
    </row>
    <row r="175" spans="1:311" x14ac:dyDescent="0.25">
      <c r="A175" s="17"/>
      <c r="B175" s="17"/>
      <c r="C175" s="17"/>
      <c r="D175" s="17"/>
      <c r="E175" s="17"/>
      <c r="F175" s="17"/>
      <c r="G175" s="17"/>
      <c r="H175" s="17"/>
      <c r="I175" s="17"/>
      <c r="J175" s="17"/>
      <c r="K175" s="17"/>
      <c r="L175" s="17"/>
      <c r="M175" s="17"/>
      <c r="N175" s="17"/>
      <c r="O175" s="17"/>
      <c r="P175" s="17"/>
      <c r="Q175" s="17"/>
      <c r="R175" s="17"/>
      <c r="S175" s="17"/>
      <c r="T175" s="17"/>
      <c r="U175" s="17"/>
      <c r="V175" s="17"/>
      <c r="W175" s="17"/>
      <c r="X175" s="17"/>
      <c r="Y175" s="17"/>
      <c r="Z175" s="17"/>
      <c r="AA175" s="17"/>
      <c r="AB175" s="17"/>
      <c r="AC175" s="17"/>
      <c r="AD175" s="17"/>
      <c r="AE175" s="17"/>
      <c r="AF175" s="17"/>
      <c r="AG175" s="17"/>
      <c r="AH175" s="17"/>
      <c r="AI175" s="17"/>
      <c r="AJ175" s="17"/>
      <c r="AK175" s="17"/>
      <c r="AL175" s="17"/>
      <c r="AM175" s="17"/>
      <c r="AN175" s="17"/>
      <c r="AO175" s="17"/>
      <c r="AP175" s="17"/>
      <c r="AQ175" s="17"/>
      <c r="AR175" s="17"/>
      <c r="AS175" s="17"/>
      <c r="AT175" s="17"/>
      <c r="AU175" s="17"/>
      <c r="AV175" s="17"/>
      <c r="AW175" s="17"/>
      <c r="AX175" s="17"/>
      <c r="AY175" s="17"/>
      <c r="AZ175" s="17"/>
      <c r="BA175" s="17"/>
      <c r="BB175" s="17"/>
      <c r="BC175" s="17"/>
      <c r="BD175" s="17"/>
      <c r="BE175" s="17"/>
      <c r="BF175" s="17"/>
      <c r="BG175" s="17"/>
      <c r="BH175" s="17"/>
      <c r="BI175" s="17"/>
      <c r="BJ175" s="17"/>
      <c r="BK175" s="17"/>
      <c r="BL175" s="17"/>
      <c r="BM175" s="17"/>
      <c r="BN175" s="17"/>
      <c r="BO175" s="17"/>
      <c r="BP175" s="17"/>
      <c r="BQ175" s="17"/>
      <c r="BR175" s="17"/>
      <c r="BS175" s="17"/>
      <c r="BT175" s="17"/>
      <c r="BU175" s="17"/>
      <c r="BV175" s="17"/>
      <c r="BW175" s="17"/>
      <c r="BX175" s="17"/>
      <c r="BY175" s="17"/>
      <c r="BZ175" s="17"/>
      <c r="CA175" s="17"/>
      <c r="CB175" s="17"/>
      <c r="CC175" s="17"/>
      <c r="CD175" s="17"/>
      <c r="CE175" s="17"/>
      <c r="CF175" s="17"/>
      <c r="CG175" s="17"/>
      <c r="CH175" s="17"/>
      <c r="CI175" s="17"/>
      <c r="CJ175" s="17"/>
      <c r="CK175" s="17"/>
      <c r="CL175" s="17"/>
      <c r="CM175" s="17"/>
      <c r="CN175" s="17"/>
      <c r="CO175" s="17"/>
      <c r="CP175" s="17"/>
      <c r="CQ175" s="17"/>
      <c r="CR175" s="17"/>
      <c r="CS175" s="17"/>
      <c r="CT175" s="17"/>
      <c r="CU175" s="17"/>
      <c r="CV175" s="17"/>
      <c r="CW175" s="17"/>
      <c r="CX175" s="17"/>
      <c r="CY175" s="17"/>
      <c r="CZ175" s="17"/>
      <c r="DA175" s="17"/>
      <c r="DB175" s="17"/>
      <c r="DC175" s="17"/>
      <c r="DD175" s="17"/>
      <c r="DE175" s="17"/>
      <c r="DF175" s="17"/>
      <c r="DG175" s="17"/>
      <c r="DH175" s="17"/>
      <c r="DI175" s="17"/>
      <c r="DJ175" s="17"/>
      <c r="DK175" s="17"/>
      <c r="DL175" s="17"/>
      <c r="DM175" s="17"/>
      <c r="DN175" s="17"/>
      <c r="DO175" s="17"/>
      <c r="DP175" s="17"/>
      <c r="DQ175" s="17"/>
      <c r="DR175" s="17"/>
      <c r="DS175" s="17"/>
      <c r="DT175" s="17"/>
      <c r="DU175" s="17"/>
      <c r="DV175" s="17"/>
      <c r="DW175" s="17"/>
      <c r="DX175" s="17"/>
      <c r="DY175" s="17"/>
      <c r="DZ175" s="17"/>
      <c r="EA175" s="17"/>
      <c r="EB175" s="17"/>
      <c r="EC175" s="17"/>
      <c r="ED175" s="17"/>
      <c r="EE175" s="17"/>
      <c r="EF175" s="17"/>
      <c r="EG175" s="17"/>
      <c r="EH175" s="17"/>
      <c r="EI175" s="17"/>
      <c r="EJ175" s="17"/>
      <c r="EK175" s="17"/>
      <c r="EL175" s="17"/>
      <c r="EM175" s="17"/>
      <c r="EN175" s="17"/>
      <c r="EO175" s="17"/>
      <c r="EP175" s="17"/>
      <c r="EQ175" s="17"/>
      <c r="ER175" s="17"/>
      <c r="ES175" s="17"/>
      <c r="ET175" s="17"/>
      <c r="EU175" s="17"/>
      <c r="EV175" s="17"/>
      <c r="EW175" s="17"/>
      <c r="EX175" s="17"/>
      <c r="EY175" s="17"/>
      <c r="EZ175" s="17"/>
      <c r="FA175" s="17"/>
      <c r="FB175" s="17"/>
      <c r="FC175" s="17"/>
      <c r="FD175" s="17"/>
      <c r="FE175" s="17"/>
      <c r="FF175" s="17"/>
      <c r="FG175" s="17"/>
      <c r="FH175" s="17"/>
      <c r="FI175" s="17"/>
      <c r="FJ175" s="17"/>
      <c r="FK175" s="17"/>
      <c r="FL175" s="17"/>
      <c r="FM175" s="17"/>
      <c r="FN175" s="17"/>
      <c r="FO175" s="17"/>
      <c r="FP175" s="17"/>
      <c r="FQ175" s="17"/>
      <c r="FR175" s="17"/>
      <c r="FS175" s="17"/>
      <c r="FT175" s="17"/>
      <c r="FU175" s="17"/>
      <c r="FV175" s="17"/>
      <c r="FW175" s="17"/>
      <c r="FX175" s="17"/>
      <c r="FY175" s="17"/>
      <c r="FZ175" s="17"/>
      <c r="GA175" s="17"/>
      <c r="GB175" s="17"/>
      <c r="GC175" s="17"/>
      <c r="GD175" s="17"/>
      <c r="GE175" s="17"/>
      <c r="GF175" s="17"/>
      <c r="GG175" s="17"/>
      <c r="GH175" s="17"/>
      <c r="GI175" s="17"/>
      <c r="GJ175" s="17"/>
      <c r="GK175" s="17"/>
      <c r="GL175" s="17"/>
      <c r="GM175" s="17"/>
      <c r="GN175" s="17"/>
      <c r="GO175" s="17"/>
      <c r="GP175" s="17"/>
      <c r="GQ175" s="17"/>
      <c r="GR175" s="17"/>
      <c r="GS175" s="17"/>
      <c r="GT175" s="17"/>
      <c r="GU175" s="17"/>
      <c r="GV175" s="17"/>
      <c r="GW175" s="17"/>
      <c r="GX175" s="17"/>
      <c r="GY175" s="17"/>
      <c r="GZ175" s="17"/>
      <c r="HA175" s="17"/>
      <c r="HB175" s="17"/>
      <c r="HC175" s="17"/>
      <c r="HD175" s="17"/>
      <c r="HE175" s="17"/>
      <c r="HF175" s="17"/>
      <c r="HG175" s="17"/>
      <c r="HH175" s="17"/>
      <c r="HI175" s="17"/>
      <c r="HJ175" s="17"/>
      <c r="HK175" s="17"/>
      <c r="HL175" s="17"/>
      <c r="HM175" s="17"/>
      <c r="HN175" s="17"/>
      <c r="HO175" s="17"/>
      <c r="HP175" s="17"/>
      <c r="HQ175" s="17"/>
      <c r="HR175" s="17"/>
      <c r="HS175" s="17"/>
      <c r="HT175" s="17"/>
      <c r="HU175" s="17"/>
      <c r="HV175" s="17"/>
      <c r="HW175" s="17"/>
      <c r="HX175" s="17"/>
      <c r="HY175" s="17"/>
      <c r="HZ175" s="17"/>
      <c r="IA175" s="17"/>
      <c r="IB175" s="17"/>
      <c r="IC175" s="17"/>
      <c r="ID175" s="17"/>
      <c r="IE175" s="17"/>
      <c r="IF175" s="17"/>
      <c r="IG175" s="17"/>
      <c r="IH175" s="17"/>
      <c r="II175" s="17"/>
      <c r="IJ175" s="17"/>
      <c r="IK175" s="17"/>
      <c r="IL175" s="17"/>
      <c r="IM175" s="17"/>
      <c r="IN175" s="17"/>
      <c r="IO175" s="17"/>
      <c r="IP175" s="17"/>
      <c r="IQ175" s="17"/>
      <c r="IR175" s="17"/>
      <c r="IS175" s="17"/>
      <c r="IT175" s="17"/>
      <c r="IU175" s="17"/>
      <c r="IV175" s="17"/>
      <c r="IW175" s="17"/>
      <c r="IX175" s="17"/>
      <c r="IY175" s="17"/>
      <c r="IZ175" s="17"/>
      <c r="JA175" s="17"/>
      <c r="JB175" s="17"/>
      <c r="JC175" s="17"/>
      <c r="JD175" s="17"/>
      <c r="JE175" s="17"/>
      <c r="JF175" s="17"/>
      <c r="JG175" s="17"/>
      <c r="JH175" s="17"/>
      <c r="JI175" s="17"/>
      <c r="JJ175" s="17"/>
      <c r="JK175" s="17"/>
      <c r="JL175" s="17"/>
      <c r="JM175" s="17"/>
      <c r="JN175" s="17"/>
      <c r="JO175" s="17"/>
      <c r="JP175" s="17"/>
      <c r="JQ175" s="17"/>
      <c r="JR175" s="17"/>
      <c r="JS175" s="17"/>
      <c r="JT175" s="17"/>
      <c r="JU175" s="17"/>
      <c r="JV175" s="17"/>
      <c r="JW175" s="17"/>
      <c r="JX175" s="17"/>
      <c r="JY175" s="17"/>
      <c r="JZ175" s="17"/>
      <c r="KA175" s="17"/>
      <c r="KB175" s="17"/>
      <c r="KC175" s="17"/>
      <c r="KD175" s="17"/>
      <c r="KE175" s="17"/>
      <c r="KF175" s="17"/>
      <c r="KG175" s="17"/>
      <c r="KH175" s="17"/>
      <c r="KI175" s="17"/>
      <c r="KJ175" s="17"/>
      <c r="KK175" s="17"/>
      <c r="KL175" s="17"/>
      <c r="KM175" s="17"/>
      <c r="KN175" s="17"/>
      <c r="KO175" s="17"/>
      <c r="KP175" s="17"/>
      <c r="KQ175" s="17"/>
      <c r="KR175" s="17"/>
      <c r="KS175" s="17"/>
      <c r="KT175" s="17"/>
      <c r="KU175" s="17"/>
      <c r="KV175" s="17"/>
      <c r="KW175" s="17"/>
      <c r="KX175" s="17"/>
      <c r="KY175" s="17"/>
    </row>
    <row r="176" spans="1:311" x14ac:dyDescent="0.25">
      <c r="A176" s="17"/>
      <c r="B176" s="17"/>
      <c r="C176" s="17"/>
      <c r="D176" s="17"/>
      <c r="E176" s="17"/>
      <c r="F176" s="17"/>
      <c r="G176" s="17"/>
      <c r="H176" s="17"/>
      <c r="I176" s="17"/>
      <c r="J176" s="17"/>
      <c r="K176" s="17"/>
      <c r="L176" s="17"/>
      <c r="M176" s="17"/>
      <c r="N176" s="17"/>
      <c r="O176" s="17"/>
      <c r="P176" s="17"/>
      <c r="Q176" s="17"/>
      <c r="R176" s="17"/>
      <c r="S176" s="17"/>
      <c r="T176" s="17"/>
      <c r="U176" s="17"/>
      <c r="V176" s="17"/>
      <c r="W176" s="17"/>
      <c r="X176" s="17"/>
      <c r="Y176" s="17"/>
      <c r="Z176" s="17"/>
      <c r="AA176" s="17"/>
      <c r="AB176" s="17"/>
      <c r="AC176" s="17"/>
      <c r="AD176" s="17"/>
      <c r="AE176" s="17"/>
      <c r="AF176" s="17"/>
      <c r="AG176" s="17"/>
      <c r="AH176" s="17"/>
      <c r="AI176" s="17"/>
      <c r="AJ176" s="17"/>
      <c r="AK176" s="17"/>
      <c r="AL176" s="17"/>
      <c r="AM176" s="17"/>
      <c r="AN176" s="17"/>
      <c r="AO176" s="17"/>
      <c r="AP176" s="17"/>
      <c r="AQ176" s="17"/>
      <c r="AR176" s="17"/>
      <c r="AS176" s="17"/>
      <c r="AT176" s="17"/>
      <c r="AU176" s="17"/>
      <c r="AV176" s="17"/>
      <c r="AW176" s="17"/>
      <c r="AX176" s="17"/>
      <c r="AY176" s="17"/>
      <c r="AZ176" s="17"/>
      <c r="BA176" s="17"/>
      <c r="BB176" s="17"/>
      <c r="BC176" s="17"/>
      <c r="BD176" s="17"/>
      <c r="BE176" s="17"/>
      <c r="BF176" s="17"/>
      <c r="BG176" s="17"/>
      <c r="BH176" s="17"/>
      <c r="BI176" s="17"/>
      <c r="BJ176" s="17"/>
      <c r="BK176" s="17"/>
      <c r="BL176" s="17"/>
      <c r="BM176" s="17"/>
      <c r="BN176" s="17"/>
      <c r="BO176" s="17"/>
      <c r="BP176" s="17"/>
      <c r="BQ176" s="17"/>
      <c r="BR176" s="17"/>
      <c r="BS176" s="17"/>
      <c r="BT176" s="17"/>
      <c r="BU176" s="17"/>
      <c r="BV176" s="17"/>
      <c r="BW176" s="17"/>
      <c r="BX176" s="17"/>
      <c r="BY176" s="17"/>
      <c r="BZ176" s="17"/>
      <c r="CA176" s="17"/>
      <c r="CB176" s="17"/>
      <c r="CC176" s="17"/>
      <c r="CD176" s="17"/>
      <c r="CE176" s="17"/>
      <c r="CF176" s="17"/>
      <c r="CG176" s="17"/>
      <c r="CH176" s="17"/>
      <c r="CI176" s="17"/>
      <c r="CJ176" s="17"/>
      <c r="CK176" s="17"/>
      <c r="CL176" s="17"/>
      <c r="CM176" s="17"/>
      <c r="CN176" s="17"/>
      <c r="CO176" s="17"/>
      <c r="CP176" s="17"/>
      <c r="CQ176" s="17"/>
      <c r="CR176" s="17"/>
      <c r="CS176" s="17"/>
      <c r="CT176" s="17"/>
      <c r="CU176" s="17"/>
      <c r="CV176" s="17"/>
      <c r="CW176" s="17"/>
      <c r="CX176" s="17"/>
      <c r="CY176" s="17"/>
      <c r="CZ176" s="17"/>
      <c r="DA176" s="17"/>
      <c r="DB176" s="17"/>
      <c r="DC176" s="17"/>
      <c r="DD176" s="17"/>
      <c r="DE176" s="17"/>
      <c r="DF176" s="17"/>
      <c r="DG176" s="17"/>
      <c r="DH176" s="17"/>
      <c r="DI176" s="17"/>
      <c r="DJ176" s="17"/>
      <c r="DK176" s="17"/>
      <c r="DL176" s="17"/>
      <c r="DM176" s="17"/>
      <c r="DN176" s="17"/>
      <c r="DO176" s="17"/>
      <c r="DP176" s="17"/>
      <c r="DQ176" s="17"/>
      <c r="DR176" s="17"/>
      <c r="DS176" s="17"/>
      <c r="DT176" s="17"/>
      <c r="DU176" s="17"/>
      <c r="DV176" s="17"/>
      <c r="DW176" s="17"/>
      <c r="DX176" s="17"/>
      <c r="DY176" s="17"/>
      <c r="DZ176" s="17"/>
      <c r="EA176" s="17"/>
      <c r="EB176" s="17"/>
      <c r="EC176" s="17"/>
      <c r="ED176" s="17"/>
      <c r="EE176" s="17"/>
      <c r="EF176" s="17"/>
      <c r="EG176" s="17"/>
      <c r="EH176" s="17"/>
      <c r="EI176" s="17"/>
      <c r="EJ176" s="17"/>
      <c r="EK176" s="17"/>
      <c r="EL176" s="17"/>
      <c r="EM176" s="17"/>
      <c r="EN176" s="17"/>
      <c r="EO176" s="17"/>
      <c r="EP176" s="17"/>
      <c r="EQ176" s="17"/>
      <c r="ER176" s="17"/>
      <c r="ES176" s="17"/>
      <c r="ET176" s="17"/>
      <c r="EU176" s="17"/>
      <c r="EV176" s="17"/>
      <c r="EW176" s="17"/>
      <c r="EX176" s="17"/>
      <c r="EY176" s="17"/>
      <c r="EZ176" s="17"/>
      <c r="FA176" s="17"/>
      <c r="FB176" s="17"/>
      <c r="FC176" s="17"/>
      <c r="FD176" s="17"/>
      <c r="FE176" s="17"/>
      <c r="FF176" s="17"/>
      <c r="FG176" s="17"/>
      <c r="FH176" s="17"/>
      <c r="FI176" s="17"/>
      <c r="FJ176" s="17"/>
      <c r="FK176" s="17"/>
      <c r="FL176" s="17"/>
      <c r="FM176" s="17"/>
      <c r="FN176" s="17"/>
      <c r="FO176" s="17"/>
      <c r="FP176" s="17"/>
      <c r="FQ176" s="17"/>
      <c r="FR176" s="17"/>
      <c r="FS176" s="17"/>
      <c r="FT176" s="17"/>
      <c r="FU176" s="17"/>
      <c r="FV176" s="17"/>
      <c r="FW176" s="17"/>
      <c r="FX176" s="17"/>
      <c r="FY176" s="17"/>
      <c r="FZ176" s="17"/>
      <c r="GA176" s="17"/>
      <c r="GB176" s="17"/>
      <c r="GC176" s="17"/>
      <c r="GD176" s="17"/>
      <c r="GE176" s="17"/>
      <c r="GF176" s="17"/>
      <c r="GG176" s="17"/>
      <c r="GH176" s="17"/>
      <c r="GI176" s="17"/>
      <c r="GJ176" s="17"/>
      <c r="GK176" s="17"/>
      <c r="GL176" s="17"/>
      <c r="GM176" s="17"/>
      <c r="GN176" s="17"/>
      <c r="GO176" s="17"/>
      <c r="GP176" s="17"/>
      <c r="GQ176" s="17"/>
      <c r="GR176" s="17"/>
      <c r="GS176" s="17"/>
      <c r="GT176" s="17"/>
      <c r="GU176" s="17"/>
      <c r="GV176" s="17"/>
      <c r="GW176" s="17"/>
      <c r="GX176" s="17"/>
      <c r="GY176" s="17"/>
      <c r="GZ176" s="17"/>
      <c r="HA176" s="17"/>
      <c r="HB176" s="17"/>
      <c r="HC176" s="17"/>
      <c r="HD176" s="17"/>
      <c r="HE176" s="17"/>
      <c r="HF176" s="17"/>
      <c r="HG176" s="17"/>
      <c r="HH176" s="17"/>
      <c r="HI176" s="17"/>
      <c r="HJ176" s="17"/>
      <c r="HK176" s="17"/>
      <c r="HL176" s="17"/>
      <c r="HM176" s="17"/>
      <c r="HN176" s="17"/>
      <c r="HO176" s="17"/>
      <c r="HP176" s="17"/>
      <c r="HQ176" s="17"/>
      <c r="HR176" s="17"/>
      <c r="HS176" s="17"/>
      <c r="HT176" s="17"/>
      <c r="HU176" s="17"/>
      <c r="HV176" s="17"/>
      <c r="HW176" s="17"/>
      <c r="HX176" s="17"/>
      <c r="HY176" s="17"/>
      <c r="HZ176" s="17"/>
      <c r="IA176" s="17"/>
      <c r="IB176" s="17"/>
      <c r="IC176" s="17"/>
      <c r="ID176" s="17"/>
      <c r="IE176" s="17"/>
      <c r="IF176" s="17"/>
      <c r="IG176" s="17"/>
      <c r="IH176" s="17"/>
      <c r="II176" s="17"/>
      <c r="IJ176" s="17"/>
      <c r="IK176" s="17"/>
      <c r="IL176" s="17"/>
      <c r="IM176" s="17"/>
      <c r="IN176" s="17"/>
      <c r="IO176" s="17"/>
      <c r="IP176" s="17"/>
      <c r="IQ176" s="17"/>
      <c r="IR176" s="17"/>
      <c r="IS176" s="17"/>
      <c r="IT176" s="17"/>
      <c r="IU176" s="17"/>
      <c r="IV176" s="17"/>
      <c r="IW176" s="17"/>
      <c r="IX176" s="17"/>
      <c r="IY176" s="17"/>
      <c r="IZ176" s="17"/>
      <c r="JA176" s="17"/>
      <c r="JB176" s="17"/>
      <c r="JC176" s="17"/>
      <c r="JD176" s="17"/>
      <c r="JE176" s="17"/>
      <c r="JF176" s="17"/>
      <c r="JG176" s="17"/>
      <c r="JH176" s="17"/>
      <c r="JI176" s="17"/>
      <c r="JJ176" s="17"/>
      <c r="JK176" s="17"/>
      <c r="JL176" s="17"/>
      <c r="JM176" s="17"/>
      <c r="JN176" s="17"/>
      <c r="JO176" s="17"/>
      <c r="JP176" s="17"/>
      <c r="JQ176" s="17"/>
      <c r="JR176" s="17"/>
      <c r="JS176" s="17"/>
      <c r="JT176" s="17"/>
      <c r="JU176" s="17"/>
      <c r="JV176" s="17"/>
      <c r="JW176" s="17"/>
      <c r="JX176" s="17"/>
      <c r="JY176" s="17"/>
      <c r="JZ176" s="17"/>
      <c r="KA176" s="17"/>
      <c r="KB176" s="17"/>
      <c r="KC176" s="17"/>
      <c r="KD176" s="17"/>
      <c r="KE176" s="17"/>
      <c r="KF176" s="17"/>
      <c r="KG176" s="17"/>
      <c r="KH176" s="17"/>
      <c r="KI176" s="17"/>
      <c r="KJ176" s="17"/>
      <c r="KK176" s="17"/>
      <c r="KL176" s="17"/>
      <c r="KM176" s="17"/>
      <c r="KN176" s="17"/>
      <c r="KO176" s="17"/>
      <c r="KP176" s="17"/>
      <c r="KQ176" s="17"/>
      <c r="KR176" s="17"/>
      <c r="KS176" s="17"/>
      <c r="KT176" s="17"/>
      <c r="KU176" s="17"/>
      <c r="KV176" s="17"/>
      <c r="KW176" s="17"/>
      <c r="KX176" s="17"/>
      <c r="KY176" s="17"/>
    </row>
    <row r="177" spans="1:311" x14ac:dyDescent="0.25">
      <c r="A177" s="17"/>
      <c r="B177" s="17"/>
      <c r="C177" s="17"/>
      <c r="D177" s="17"/>
      <c r="E177" s="17"/>
      <c r="F177" s="17"/>
      <c r="G177" s="17"/>
      <c r="H177" s="17"/>
      <c r="I177" s="17"/>
      <c r="J177" s="17"/>
      <c r="K177" s="17"/>
      <c r="L177" s="17"/>
      <c r="M177" s="17"/>
      <c r="N177" s="17"/>
      <c r="O177" s="17"/>
      <c r="P177" s="17"/>
      <c r="Q177" s="17"/>
      <c r="R177" s="17"/>
      <c r="S177" s="17"/>
      <c r="T177" s="17"/>
      <c r="U177" s="17"/>
      <c r="V177" s="17"/>
      <c r="W177" s="17"/>
      <c r="X177" s="17"/>
      <c r="Y177" s="17"/>
      <c r="Z177" s="17"/>
      <c r="AA177" s="17"/>
      <c r="AB177" s="17"/>
      <c r="AC177" s="17"/>
      <c r="AD177" s="17"/>
      <c r="AE177" s="17"/>
      <c r="AF177" s="17"/>
      <c r="AG177" s="17"/>
      <c r="AH177" s="17"/>
      <c r="AI177" s="17"/>
      <c r="AJ177" s="17"/>
      <c r="AK177" s="17"/>
      <c r="AL177" s="17"/>
      <c r="AM177" s="17"/>
      <c r="AN177" s="17"/>
      <c r="AO177" s="17"/>
      <c r="AP177" s="17"/>
      <c r="AQ177" s="17"/>
      <c r="AR177" s="17"/>
      <c r="AS177" s="17"/>
      <c r="AT177" s="17"/>
      <c r="AU177" s="17"/>
      <c r="AV177" s="17"/>
      <c r="AW177" s="17"/>
      <c r="AX177" s="17"/>
      <c r="AY177" s="17"/>
      <c r="AZ177" s="17"/>
      <c r="BA177" s="17"/>
      <c r="BB177" s="17"/>
      <c r="BC177" s="17"/>
      <c r="BD177" s="17"/>
      <c r="BE177" s="17"/>
      <c r="BF177" s="17"/>
      <c r="BG177" s="17"/>
      <c r="BH177" s="17"/>
      <c r="BI177" s="17"/>
      <c r="BJ177" s="17"/>
      <c r="BK177" s="17"/>
      <c r="BL177" s="17"/>
      <c r="BM177" s="17"/>
      <c r="BN177" s="17"/>
      <c r="BO177" s="17"/>
      <c r="BP177" s="17"/>
      <c r="BQ177" s="17"/>
      <c r="BR177" s="17"/>
      <c r="BS177" s="17"/>
      <c r="BT177" s="17"/>
      <c r="BU177" s="17"/>
      <c r="BV177" s="17"/>
      <c r="BW177" s="17"/>
      <c r="BX177" s="17"/>
      <c r="BY177" s="17"/>
      <c r="BZ177" s="17"/>
      <c r="CA177" s="17"/>
      <c r="CB177" s="17"/>
      <c r="CC177" s="17"/>
      <c r="CD177" s="17"/>
      <c r="CE177" s="17"/>
      <c r="CF177" s="17"/>
      <c r="CG177" s="17"/>
      <c r="CH177" s="17"/>
      <c r="CI177" s="17"/>
      <c r="CJ177" s="17"/>
      <c r="CK177" s="17"/>
      <c r="CL177" s="17"/>
      <c r="CM177" s="17"/>
      <c r="CN177" s="17"/>
      <c r="CO177" s="17"/>
      <c r="CP177" s="17"/>
      <c r="CQ177" s="17"/>
      <c r="CR177" s="17"/>
      <c r="CS177" s="17"/>
      <c r="CT177" s="17"/>
      <c r="CU177" s="17"/>
      <c r="CV177" s="17"/>
      <c r="CW177" s="17"/>
      <c r="CX177" s="17"/>
      <c r="CY177" s="17"/>
      <c r="CZ177" s="17"/>
      <c r="DA177" s="17"/>
      <c r="DB177" s="17"/>
      <c r="DC177" s="17"/>
      <c r="DD177" s="17"/>
      <c r="DE177" s="17"/>
      <c r="DF177" s="17"/>
      <c r="DG177" s="17"/>
      <c r="DH177" s="17"/>
      <c r="DI177" s="17"/>
      <c r="DJ177" s="17"/>
      <c r="DK177" s="17"/>
      <c r="DL177" s="17"/>
      <c r="DM177" s="17"/>
      <c r="DN177" s="17"/>
      <c r="DO177" s="17"/>
      <c r="DP177" s="17"/>
      <c r="DQ177" s="17"/>
      <c r="DR177" s="17"/>
      <c r="DS177" s="17"/>
      <c r="DT177" s="17"/>
      <c r="DU177" s="17"/>
      <c r="DV177" s="17"/>
      <c r="DW177" s="17"/>
      <c r="DX177" s="17"/>
      <c r="DY177" s="17"/>
      <c r="DZ177" s="17"/>
      <c r="EA177" s="17"/>
      <c r="EB177" s="17"/>
      <c r="EC177" s="17"/>
      <c r="ED177" s="17"/>
      <c r="EE177" s="17"/>
      <c r="EF177" s="17"/>
      <c r="EG177" s="17"/>
      <c r="EH177" s="17"/>
      <c r="EI177" s="17"/>
      <c r="EJ177" s="17"/>
      <c r="EK177" s="17"/>
      <c r="EL177" s="17"/>
      <c r="EM177" s="17"/>
      <c r="EN177" s="17"/>
      <c r="EO177" s="17"/>
      <c r="EP177" s="17"/>
      <c r="EQ177" s="17"/>
      <c r="ER177" s="17"/>
      <c r="ES177" s="17"/>
      <c r="ET177" s="17"/>
      <c r="EU177" s="17"/>
      <c r="EV177" s="17"/>
      <c r="EW177" s="17"/>
      <c r="EX177" s="17"/>
      <c r="EY177" s="17"/>
      <c r="EZ177" s="17"/>
      <c r="FA177" s="17"/>
      <c r="FB177" s="17"/>
      <c r="FC177" s="17"/>
      <c r="FD177" s="17"/>
      <c r="FE177" s="17"/>
      <c r="FF177" s="17"/>
      <c r="FG177" s="17"/>
      <c r="FH177" s="17"/>
      <c r="FI177" s="17"/>
      <c r="FJ177" s="17"/>
      <c r="FK177" s="17"/>
      <c r="FL177" s="17"/>
      <c r="FM177" s="17"/>
      <c r="FN177" s="17"/>
      <c r="FO177" s="17"/>
      <c r="FP177" s="17"/>
      <c r="FQ177" s="17"/>
      <c r="FR177" s="17"/>
      <c r="FS177" s="17"/>
      <c r="FT177" s="17"/>
      <c r="FU177" s="17"/>
      <c r="FV177" s="17"/>
      <c r="FW177" s="17"/>
      <c r="FX177" s="17"/>
      <c r="FY177" s="17"/>
      <c r="FZ177" s="17"/>
      <c r="GA177" s="17"/>
      <c r="GB177" s="17"/>
      <c r="GC177" s="17"/>
      <c r="GD177" s="17"/>
      <c r="GE177" s="17"/>
      <c r="GF177" s="17"/>
      <c r="GG177" s="17"/>
      <c r="GH177" s="17"/>
      <c r="GI177" s="17"/>
      <c r="GJ177" s="17"/>
      <c r="GK177" s="17"/>
      <c r="GL177" s="17"/>
      <c r="GM177" s="17"/>
      <c r="GN177" s="17"/>
      <c r="GO177" s="17"/>
      <c r="GP177" s="17"/>
      <c r="GQ177" s="17"/>
      <c r="GR177" s="17"/>
      <c r="GS177" s="17"/>
      <c r="GT177" s="17"/>
      <c r="GU177" s="17"/>
      <c r="GV177" s="17"/>
      <c r="GW177" s="17"/>
      <c r="GX177" s="17"/>
      <c r="GY177" s="17"/>
      <c r="GZ177" s="17"/>
      <c r="HA177" s="17"/>
      <c r="HB177" s="17"/>
      <c r="HC177" s="17"/>
      <c r="HD177" s="17"/>
      <c r="HE177" s="17"/>
      <c r="HF177" s="17"/>
      <c r="HG177" s="17"/>
      <c r="HH177" s="17"/>
      <c r="HI177" s="17"/>
      <c r="HJ177" s="17"/>
      <c r="HK177" s="17"/>
      <c r="HL177" s="17"/>
      <c r="HM177" s="17"/>
      <c r="HN177" s="17"/>
      <c r="HO177" s="17"/>
      <c r="HP177" s="17"/>
      <c r="HQ177" s="17"/>
      <c r="HR177" s="17"/>
      <c r="HS177" s="17"/>
      <c r="HT177" s="17"/>
      <c r="HU177" s="17"/>
      <c r="HV177" s="17"/>
      <c r="HW177" s="17"/>
      <c r="HX177" s="17"/>
      <c r="HY177" s="17"/>
      <c r="HZ177" s="17"/>
      <c r="IA177" s="17"/>
      <c r="IB177" s="17"/>
      <c r="IC177" s="17"/>
      <c r="ID177" s="17"/>
      <c r="IE177" s="17"/>
      <c r="IF177" s="17"/>
      <c r="IG177" s="17"/>
      <c r="IH177" s="17"/>
      <c r="II177" s="17"/>
      <c r="IJ177" s="17"/>
      <c r="IK177" s="17"/>
      <c r="IL177" s="17"/>
      <c r="IM177" s="17"/>
      <c r="IN177" s="17"/>
      <c r="IO177" s="17"/>
      <c r="IP177" s="17"/>
      <c r="IQ177" s="17"/>
      <c r="IR177" s="17"/>
      <c r="IS177" s="17"/>
      <c r="IT177" s="17"/>
      <c r="IU177" s="17"/>
      <c r="IV177" s="17"/>
      <c r="IW177" s="17"/>
      <c r="IX177" s="17"/>
      <c r="IY177" s="17"/>
      <c r="IZ177" s="17"/>
      <c r="JA177" s="17"/>
      <c r="JB177" s="17"/>
      <c r="JC177" s="17"/>
      <c r="JD177" s="17"/>
      <c r="JE177" s="17"/>
      <c r="JF177" s="17"/>
      <c r="JG177" s="17"/>
      <c r="JH177" s="17"/>
      <c r="JI177" s="17"/>
      <c r="JJ177" s="17"/>
      <c r="JK177" s="17"/>
      <c r="JL177" s="17"/>
      <c r="JM177" s="17"/>
      <c r="JN177" s="17"/>
      <c r="JO177" s="17"/>
      <c r="JP177" s="17"/>
      <c r="JQ177" s="17"/>
      <c r="JR177" s="17"/>
      <c r="JS177" s="17"/>
      <c r="JT177" s="17"/>
      <c r="JU177" s="17"/>
      <c r="JV177" s="17"/>
      <c r="JW177" s="17"/>
      <c r="JX177" s="17"/>
      <c r="JY177" s="17"/>
      <c r="JZ177" s="17"/>
      <c r="KA177" s="17"/>
      <c r="KB177" s="17"/>
      <c r="KC177" s="17"/>
      <c r="KD177" s="17"/>
      <c r="KE177" s="17"/>
      <c r="KF177" s="17"/>
      <c r="KG177" s="17"/>
      <c r="KH177" s="17"/>
      <c r="KI177" s="17"/>
      <c r="KJ177" s="17"/>
      <c r="KK177" s="17"/>
      <c r="KL177" s="17"/>
      <c r="KM177" s="17"/>
      <c r="KN177" s="17"/>
      <c r="KO177" s="17"/>
      <c r="KP177" s="17"/>
      <c r="KQ177" s="17"/>
      <c r="KR177" s="17"/>
      <c r="KS177" s="17"/>
      <c r="KT177" s="17"/>
      <c r="KU177" s="17"/>
      <c r="KV177" s="17"/>
      <c r="KW177" s="17"/>
      <c r="KX177" s="17"/>
      <c r="KY177" s="17"/>
    </row>
    <row r="178" spans="1:311" x14ac:dyDescent="0.25">
      <c r="A178" s="17"/>
      <c r="B178" s="17"/>
      <c r="C178" s="17"/>
      <c r="D178" s="17"/>
      <c r="E178" s="17"/>
      <c r="F178" s="17"/>
      <c r="G178" s="17"/>
      <c r="H178" s="17"/>
      <c r="I178" s="17"/>
      <c r="J178" s="17"/>
      <c r="K178" s="17"/>
      <c r="L178" s="17"/>
      <c r="M178" s="17"/>
      <c r="N178" s="17"/>
      <c r="O178" s="17"/>
      <c r="P178" s="17"/>
      <c r="Q178" s="17"/>
      <c r="R178" s="17"/>
      <c r="S178" s="17"/>
      <c r="T178" s="17"/>
      <c r="U178" s="17"/>
      <c r="V178" s="17"/>
      <c r="W178" s="17"/>
      <c r="X178" s="17"/>
      <c r="Y178" s="17"/>
      <c r="Z178" s="17"/>
      <c r="AA178" s="17"/>
      <c r="AB178" s="17"/>
      <c r="AC178" s="17"/>
      <c r="AD178" s="17"/>
      <c r="AE178" s="17"/>
      <c r="AF178" s="17"/>
      <c r="AG178" s="17"/>
      <c r="AH178" s="17"/>
      <c r="AI178" s="17"/>
      <c r="AJ178" s="17"/>
      <c r="AK178" s="17"/>
      <c r="AL178" s="17"/>
      <c r="AM178" s="17"/>
      <c r="AN178" s="17"/>
      <c r="AO178" s="17"/>
      <c r="AP178" s="17"/>
      <c r="AQ178" s="17"/>
      <c r="AR178" s="17"/>
      <c r="AS178" s="17"/>
      <c r="AT178" s="17"/>
      <c r="AU178" s="17"/>
      <c r="AV178" s="17"/>
      <c r="AW178" s="17"/>
      <c r="AX178" s="17"/>
      <c r="AY178" s="17"/>
      <c r="AZ178" s="17"/>
      <c r="BA178" s="17"/>
      <c r="BB178" s="17"/>
      <c r="BC178" s="17"/>
      <c r="BD178" s="17"/>
      <c r="BE178" s="17"/>
      <c r="BF178" s="17"/>
      <c r="BG178" s="17"/>
      <c r="BH178" s="17"/>
      <c r="BI178" s="17"/>
      <c r="BJ178" s="17"/>
      <c r="BK178" s="17"/>
      <c r="BL178" s="17"/>
      <c r="BM178" s="17"/>
      <c r="BN178" s="17"/>
      <c r="BO178" s="17"/>
      <c r="BP178" s="17"/>
      <c r="BQ178" s="17"/>
      <c r="BR178" s="17"/>
      <c r="BS178" s="17"/>
      <c r="BT178" s="17"/>
      <c r="BU178" s="17"/>
      <c r="BV178" s="17"/>
      <c r="BW178" s="17"/>
      <c r="BX178" s="17"/>
      <c r="BY178" s="17"/>
      <c r="BZ178" s="17"/>
      <c r="CA178" s="17"/>
      <c r="CB178" s="17"/>
      <c r="CC178" s="17"/>
      <c r="CD178" s="17"/>
      <c r="CE178" s="17"/>
      <c r="CF178" s="17"/>
      <c r="CG178" s="17"/>
      <c r="CH178" s="17"/>
      <c r="CI178" s="17"/>
      <c r="CJ178" s="17"/>
      <c r="CK178" s="17"/>
      <c r="CL178" s="17"/>
      <c r="CM178" s="17"/>
      <c r="CN178" s="17"/>
      <c r="CO178" s="17"/>
      <c r="CP178" s="17"/>
      <c r="CQ178" s="17"/>
      <c r="CR178" s="17"/>
      <c r="CS178" s="17"/>
      <c r="CT178" s="17"/>
      <c r="CU178" s="17"/>
      <c r="CV178" s="17"/>
      <c r="CW178" s="17"/>
      <c r="CX178" s="17"/>
      <c r="CY178" s="17"/>
      <c r="CZ178" s="17"/>
      <c r="DA178" s="17"/>
      <c r="DB178" s="17"/>
      <c r="DC178" s="17"/>
      <c r="DD178" s="17"/>
      <c r="DE178" s="17"/>
      <c r="DF178" s="17"/>
      <c r="DG178" s="17"/>
      <c r="DH178" s="17"/>
      <c r="DI178" s="17"/>
      <c r="DJ178" s="17"/>
      <c r="DK178" s="17"/>
      <c r="DL178" s="17"/>
      <c r="DM178" s="17"/>
      <c r="DN178" s="17"/>
      <c r="DO178" s="17"/>
      <c r="DP178" s="17"/>
      <c r="DQ178" s="17"/>
      <c r="DR178" s="17"/>
      <c r="DS178" s="17"/>
      <c r="DT178" s="17"/>
      <c r="DU178" s="17"/>
      <c r="DV178" s="17"/>
      <c r="DW178" s="17"/>
      <c r="DX178" s="17"/>
      <c r="DY178" s="17"/>
      <c r="DZ178" s="17"/>
      <c r="EA178" s="17"/>
      <c r="EB178" s="17"/>
      <c r="EC178" s="17"/>
      <c r="ED178" s="17"/>
      <c r="EE178" s="17"/>
      <c r="EF178" s="17"/>
      <c r="EG178" s="17"/>
      <c r="EH178" s="17"/>
      <c r="EI178" s="17"/>
      <c r="EJ178" s="17"/>
      <c r="EK178" s="17"/>
      <c r="EL178" s="17"/>
      <c r="EM178" s="17"/>
      <c r="EN178" s="17"/>
      <c r="EO178" s="17"/>
      <c r="EP178" s="17"/>
      <c r="EQ178" s="17"/>
      <c r="ER178" s="17"/>
      <c r="ES178" s="17"/>
      <c r="ET178" s="17"/>
      <c r="EU178" s="17"/>
      <c r="EV178" s="17"/>
      <c r="EW178" s="17"/>
      <c r="EX178" s="17"/>
      <c r="EY178" s="17"/>
      <c r="EZ178" s="17"/>
      <c r="FA178" s="17"/>
      <c r="FB178" s="17"/>
      <c r="FC178" s="17"/>
      <c r="FD178" s="17"/>
      <c r="FE178" s="17"/>
      <c r="FF178" s="17"/>
      <c r="FG178" s="17"/>
      <c r="FH178" s="17"/>
      <c r="FI178" s="17"/>
      <c r="FJ178" s="17"/>
      <c r="FK178" s="17"/>
      <c r="FL178" s="17"/>
      <c r="FM178" s="17"/>
      <c r="FN178" s="17"/>
      <c r="FO178" s="17"/>
      <c r="FP178" s="17"/>
      <c r="FQ178" s="17"/>
      <c r="FR178" s="17"/>
      <c r="FS178" s="17"/>
      <c r="FT178" s="17"/>
      <c r="FU178" s="17"/>
      <c r="FV178" s="17"/>
      <c r="FW178" s="17"/>
      <c r="FX178" s="17"/>
      <c r="FY178" s="17"/>
      <c r="FZ178" s="17"/>
      <c r="GA178" s="17"/>
      <c r="GB178" s="17"/>
      <c r="GC178" s="17"/>
      <c r="GD178" s="17"/>
      <c r="GE178" s="17"/>
      <c r="GF178" s="17"/>
      <c r="GG178" s="17"/>
      <c r="GH178" s="17"/>
      <c r="GI178" s="17"/>
      <c r="GJ178" s="17"/>
      <c r="GK178" s="17"/>
      <c r="GL178" s="17"/>
      <c r="GM178" s="17"/>
      <c r="GN178" s="17"/>
      <c r="GO178" s="17"/>
      <c r="GP178" s="17"/>
      <c r="GQ178" s="17"/>
      <c r="GR178" s="17"/>
      <c r="GS178" s="17"/>
      <c r="GT178" s="17"/>
      <c r="GU178" s="17"/>
      <c r="GV178" s="17"/>
      <c r="GW178" s="17"/>
      <c r="GX178" s="17"/>
      <c r="GY178" s="17"/>
      <c r="GZ178" s="17"/>
      <c r="HA178" s="17"/>
      <c r="HB178" s="17"/>
      <c r="HC178" s="17"/>
      <c r="HD178" s="17"/>
      <c r="HE178" s="17"/>
      <c r="HF178" s="17"/>
      <c r="HG178" s="17"/>
      <c r="HH178" s="17"/>
      <c r="HI178" s="17"/>
      <c r="HJ178" s="17"/>
      <c r="HK178" s="17"/>
      <c r="HL178" s="17"/>
      <c r="HM178" s="17"/>
      <c r="HN178" s="17"/>
      <c r="HO178" s="17"/>
      <c r="HP178" s="17"/>
      <c r="HQ178" s="17"/>
      <c r="HR178" s="17"/>
      <c r="HS178" s="17"/>
      <c r="HT178" s="17"/>
      <c r="HU178" s="17"/>
      <c r="HV178" s="17"/>
      <c r="HW178" s="17"/>
      <c r="HX178" s="17"/>
      <c r="HY178" s="17"/>
      <c r="HZ178" s="17"/>
      <c r="IA178" s="17"/>
      <c r="IB178" s="17"/>
      <c r="IC178" s="17"/>
      <c r="ID178" s="17"/>
      <c r="IE178" s="17"/>
      <c r="IF178" s="17"/>
      <c r="IG178" s="17"/>
      <c r="IH178" s="17"/>
      <c r="II178" s="17"/>
      <c r="IJ178" s="17"/>
      <c r="IK178" s="17"/>
      <c r="IL178" s="17"/>
      <c r="IM178" s="17"/>
      <c r="IN178" s="17"/>
      <c r="IO178" s="17"/>
      <c r="IP178" s="17"/>
      <c r="IQ178" s="17"/>
      <c r="IR178" s="17"/>
      <c r="IS178" s="17"/>
      <c r="IT178" s="17"/>
      <c r="IU178" s="17"/>
      <c r="IV178" s="17"/>
      <c r="IW178" s="17"/>
      <c r="IX178" s="17"/>
      <c r="IY178" s="17"/>
      <c r="IZ178" s="17"/>
      <c r="JA178" s="17"/>
      <c r="JB178" s="17"/>
      <c r="JC178" s="17"/>
      <c r="JD178" s="17"/>
      <c r="JE178" s="17"/>
      <c r="JF178" s="17"/>
      <c r="JG178" s="17"/>
      <c r="JH178" s="17"/>
      <c r="JI178" s="17"/>
      <c r="JJ178" s="17"/>
      <c r="JK178" s="17"/>
      <c r="JL178" s="17"/>
      <c r="JM178" s="17"/>
      <c r="JN178" s="17"/>
      <c r="JO178" s="17"/>
      <c r="JP178" s="17"/>
      <c r="JQ178" s="17"/>
      <c r="JR178" s="17"/>
      <c r="JS178" s="17"/>
      <c r="JT178" s="17"/>
      <c r="JU178" s="17"/>
      <c r="JV178" s="17"/>
      <c r="JW178" s="17"/>
      <c r="JX178" s="17"/>
      <c r="JY178" s="17"/>
      <c r="JZ178" s="17"/>
      <c r="KA178" s="17"/>
      <c r="KB178" s="17"/>
      <c r="KC178" s="17"/>
      <c r="KD178" s="17"/>
      <c r="KE178" s="17"/>
      <c r="KF178" s="17"/>
      <c r="KG178" s="17"/>
      <c r="KH178" s="17"/>
      <c r="KI178" s="17"/>
      <c r="KJ178" s="17"/>
      <c r="KK178" s="17"/>
      <c r="KL178" s="17"/>
      <c r="KM178" s="17"/>
      <c r="KN178" s="17"/>
      <c r="KO178" s="17"/>
      <c r="KP178" s="17"/>
      <c r="KQ178" s="17"/>
      <c r="KR178" s="17"/>
      <c r="KS178" s="17"/>
      <c r="KT178" s="17"/>
      <c r="KU178" s="17"/>
      <c r="KV178" s="17"/>
      <c r="KW178" s="17"/>
      <c r="KX178" s="17"/>
      <c r="KY178" s="17"/>
    </row>
    <row r="179" spans="1:311" x14ac:dyDescent="0.25">
      <c r="A179" s="17"/>
      <c r="B179" s="17"/>
      <c r="C179" s="17"/>
      <c r="D179" s="17"/>
      <c r="E179" s="17"/>
      <c r="F179" s="17"/>
      <c r="G179" s="17"/>
      <c r="H179" s="17"/>
      <c r="I179" s="17"/>
      <c r="J179" s="17"/>
      <c r="K179" s="17"/>
      <c r="L179" s="17"/>
      <c r="M179" s="17"/>
      <c r="N179" s="17"/>
      <c r="O179" s="17"/>
      <c r="P179" s="17"/>
      <c r="Q179" s="17"/>
      <c r="R179" s="17"/>
      <c r="S179" s="17"/>
      <c r="T179" s="17"/>
      <c r="U179" s="17"/>
      <c r="V179" s="17"/>
      <c r="W179" s="17"/>
      <c r="X179" s="17"/>
      <c r="Y179" s="17"/>
      <c r="Z179" s="17"/>
      <c r="AA179" s="17"/>
      <c r="AB179" s="17"/>
      <c r="AC179" s="17"/>
      <c r="AD179" s="17"/>
      <c r="AE179" s="17"/>
      <c r="AF179" s="17"/>
      <c r="AG179" s="17"/>
      <c r="AH179" s="17"/>
      <c r="AI179" s="17"/>
      <c r="AJ179" s="17"/>
      <c r="AK179" s="17"/>
      <c r="AL179" s="17"/>
      <c r="AM179" s="17"/>
      <c r="AN179" s="17"/>
      <c r="AO179" s="17"/>
      <c r="AP179" s="17"/>
      <c r="AQ179" s="17"/>
      <c r="AR179" s="17"/>
      <c r="AS179" s="17"/>
      <c r="AT179" s="17"/>
      <c r="AU179" s="17"/>
      <c r="AV179" s="17"/>
      <c r="AW179" s="17"/>
      <c r="AX179" s="17"/>
      <c r="AY179" s="17"/>
      <c r="AZ179" s="17"/>
      <c r="BA179" s="17"/>
      <c r="BB179" s="17"/>
      <c r="BC179" s="17"/>
      <c r="BD179" s="17"/>
      <c r="BE179" s="17"/>
      <c r="BF179" s="17"/>
      <c r="BG179" s="17"/>
      <c r="BH179" s="17"/>
      <c r="BI179" s="17"/>
      <c r="BJ179" s="17"/>
      <c r="BK179" s="17"/>
      <c r="BL179" s="17"/>
      <c r="BM179" s="17"/>
      <c r="BN179" s="17"/>
      <c r="BO179" s="17"/>
      <c r="BP179" s="17"/>
      <c r="BQ179" s="17"/>
      <c r="BR179" s="17"/>
      <c r="BS179" s="17"/>
      <c r="BT179" s="17"/>
      <c r="BU179" s="17"/>
      <c r="BV179" s="17"/>
      <c r="BW179" s="17"/>
      <c r="BX179" s="17"/>
      <c r="BY179" s="17"/>
      <c r="BZ179" s="17"/>
      <c r="CA179" s="17"/>
      <c r="CB179" s="17"/>
      <c r="CC179" s="17"/>
      <c r="CD179" s="17"/>
      <c r="CE179" s="17"/>
      <c r="CF179" s="17"/>
      <c r="CG179" s="17"/>
      <c r="CH179" s="17"/>
      <c r="CI179" s="17"/>
      <c r="CJ179" s="17"/>
      <c r="CK179" s="17"/>
      <c r="CL179" s="17"/>
      <c r="CM179" s="17"/>
      <c r="CN179" s="17"/>
      <c r="CO179" s="17"/>
      <c r="CP179" s="17"/>
      <c r="CQ179" s="17"/>
      <c r="CR179" s="17"/>
      <c r="CS179" s="17"/>
      <c r="CT179" s="17"/>
      <c r="CU179" s="17"/>
      <c r="CV179" s="17"/>
      <c r="CW179" s="17"/>
      <c r="CX179" s="17"/>
      <c r="CY179" s="17"/>
      <c r="CZ179" s="17"/>
      <c r="DA179" s="17"/>
      <c r="DB179" s="17"/>
      <c r="DC179" s="17"/>
      <c r="DD179" s="17"/>
      <c r="DE179" s="17"/>
      <c r="DF179" s="17"/>
      <c r="DG179" s="17"/>
      <c r="DH179" s="17"/>
      <c r="DI179" s="17"/>
      <c r="DJ179" s="17"/>
      <c r="DK179" s="17"/>
      <c r="DL179" s="17"/>
      <c r="DM179" s="17"/>
      <c r="DN179" s="17"/>
      <c r="DO179" s="17"/>
      <c r="DP179" s="17"/>
      <c r="DQ179" s="17"/>
      <c r="DR179" s="17"/>
      <c r="DS179" s="17"/>
      <c r="DT179" s="17"/>
      <c r="DU179" s="17"/>
      <c r="DV179" s="17"/>
      <c r="DW179" s="17"/>
      <c r="DX179" s="17"/>
      <c r="DY179" s="17"/>
      <c r="DZ179" s="17"/>
      <c r="EA179" s="17"/>
      <c r="EB179" s="17"/>
      <c r="EC179" s="17"/>
      <c r="ED179" s="17"/>
      <c r="EE179" s="17"/>
      <c r="EF179" s="17"/>
      <c r="EG179" s="17"/>
      <c r="EH179" s="17"/>
      <c r="EI179" s="17"/>
      <c r="EJ179" s="17"/>
      <c r="EK179" s="17"/>
      <c r="EL179" s="17"/>
      <c r="EM179" s="17"/>
      <c r="EN179" s="17"/>
      <c r="EO179" s="17"/>
      <c r="EP179" s="17"/>
      <c r="EQ179" s="17"/>
      <c r="ER179" s="17"/>
      <c r="ES179" s="17"/>
      <c r="ET179" s="17"/>
      <c r="EU179" s="17"/>
      <c r="EV179" s="17"/>
      <c r="EW179" s="17"/>
      <c r="EX179" s="17"/>
      <c r="EY179" s="17"/>
      <c r="EZ179" s="17"/>
      <c r="FA179" s="17"/>
      <c r="FB179" s="17"/>
      <c r="FC179" s="17"/>
      <c r="FD179" s="17"/>
      <c r="FE179" s="17"/>
      <c r="FF179" s="17"/>
      <c r="FG179" s="17"/>
      <c r="FH179" s="17"/>
      <c r="FI179" s="17"/>
      <c r="FJ179" s="17"/>
      <c r="FK179" s="17"/>
      <c r="FL179" s="17"/>
      <c r="FM179" s="17"/>
      <c r="FN179" s="17"/>
      <c r="FO179" s="17"/>
      <c r="FP179" s="17"/>
      <c r="FQ179" s="17"/>
      <c r="FR179" s="17"/>
      <c r="FS179" s="17"/>
      <c r="FT179" s="17"/>
      <c r="FU179" s="17"/>
      <c r="FV179" s="17"/>
      <c r="FW179" s="17"/>
      <c r="FX179" s="17"/>
      <c r="FY179" s="17"/>
      <c r="FZ179" s="17"/>
      <c r="GA179" s="17"/>
      <c r="GB179" s="17"/>
      <c r="GC179" s="17"/>
      <c r="GD179" s="17"/>
      <c r="GE179" s="17"/>
      <c r="GF179" s="17"/>
      <c r="GG179" s="17"/>
      <c r="GH179" s="17"/>
      <c r="GI179" s="17"/>
      <c r="GJ179" s="17"/>
      <c r="GK179" s="17"/>
      <c r="GL179" s="17"/>
      <c r="GM179" s="17"/>
      <c r="GN179" s="17"/>
      <c r="GO179" s="17"/>
      <c r="GP179" s="17"/>
      <c r="GQ179" s="17"/>
      <c r="GR179" s="17"/>
      <c r="GS179" s="17"/>
      <c r="GT179" s="17"/>
      <c r="GU179" s="17"/>
      <c r="GV179" s="17"/>
      <c r="GW179" s="17"/>
      <c r="GX179" s="17"/>
      <c r="GY179" s="17"/>
      <c r="GZ179" s="17"/>
      <c r="HA179" s="17"/>
      <c r="HB179" s="17"/>
      <c r="HC179" s="17"/>
      <c r="HD179" s="17"/>
      <c r="HE179" s="17"/>
      <c r="HF179" s="17"/>
      <c r="HG179" s="17"/>
      <c r="HH179" s="17"/>
      <c r="HI179" s="17"/>
      <c r="HJ179" s="17"/>
      <c r="HK179" s="17"/>
      <c r="HL179" s="17"/>
      <c r="HM179" s="17"/>
      <c r="HN179" s="17"/>
      <c r="HO179" s="17"/>
      <c r="HP179" s="17"/>
      <c r="HQ179" s="17"/>
      <c r="HR179" s="17"/>
      <c r="HS179" s="17"/>
      <c r="HT179" s="17"/>
      <c r="HU179" s="17"/>
      <c r="HV179" s="17"/>
      <c r="HW179" s="17"/>
      <c r="HX179" s="17"/>
      <c r="HY179" s="17"/>
      <c r="HZ179" s="17"/>
      <c r="IA179" s="17"/>
      <c r="IB179" s="17"/>
      <c r="IC179" s="17"/>
      <c r="ID179" s="17"/>
      <c r="IE179" s="17"/>
      <c r="IF179" s="17"/>
      <c r="IG179" s="17"/>
      <c r="IH179" s="17"/>
      <c r="II179" s="17"/>
      <c r="IJ179" s="17"/>
      <c r="IK179" s="17"/>
      <c r="IL179" s="17"/>
      <c r="IM179" s="17"/>
      <c r="IN179" s="17"/>
      <c r="IO179" s="17"/>
      <c r="IP179" s="17"/>
      <c r="IQ179" s="17"/>
      <c r="IR179" s="17"/>
      <c r="IS179" s="17"/>
      <c r="IT179" s="17"/>
      <c r="IU179" s="17"/>
      <c r="IV179" s="17"/>
      <c r="IW179" s="17"/>
      <c r="IX179" s="17"/>
      <c r="IY179" s="17"/>
      <c r="IZ179" s="17"/>
      <c r="JA179" s="17"/>
      <c r="JB179" s="17"/>
      <c r="JC179" s="17"/>
      <c r="JD179" s="17"/>
      <c r="JE179" s="17"/>
      <c r="JF179" s="17"/>
      <c r="JG179" s="17"/>
      <c r="JH179" s="17"/>
      <c r="JI179" s="17"/>
      <c r="JJ179" s="17"/>
      <c r="JK179" s="17"/>
      <c r="JL179" s="17"/>
      <c r="JM179" s="17"/>
      <c r="JN179" s="17"/>
      <c r="JO179" s="17"/>
      <c r="JP179" s="17"/>
      <c r="JQ179" s="17"/>
      <c r="JR179" s="17"/>
      <c r="JS179" s="17"/>
      <c r="JT179" s="17"/>
      <c r="JU179" s="17"/>
      <c r="JV179" s="17"/>
      <c r="JW179" s="17"/>
      <c r="JX179" s="17"/>
      <c r="JY179" s="17"/>
      <c r="JZ179" s="17"/>
      <c r="KA179" s="17"/>
      <c r="KB179" s="17"/>
      <c r="KC179" s="17"/>
      <c r="KD179" s="17"/>
      <c r="KE179" s="17"/>
      <c r="KF179" s="17"/>
      <c r="KG179" s="17"/>
      <c r="KH179" s="17"/>
      <c r="KI179" s="17"/>
      <c r="KJ179" s="17"/>
      <c r="KK179" s="17"/>
      <c r="KL179" s="17"/>
      <c r="KM179" s="17"/>
      <c r="KN179" s="17"/>
      <c r="KO179" s="17"/>
      <c r="KP179" s="17"/>
      <c r="KQ179" s="17"/>
      <c r="KR179" s="17"/>
      <c r="KS179" s="17"/>
      <c r="KT179" s="17"/>
      <c r="KU179" s="17"/>
      <c r="KV179" s="17"/>
      <c r="KW179" s="17"/>
      <c r="KX179" s="17"/>
      <c r="KY179" s="17"/>
    </row>
    <row r="180" spans="1:311" x14ac:dyDescent="0.25">
      <c r="A180" s="17"/>
      <c r="B180" s="17"/>
      <c r="C180" s="17"/>
      <c r="D180" s="17"/>
      <c r="E180" s="17"/>
      <c r="F180" s="17"/>
      <c r="G180" s="17"/>
      <c r="H180" s="17"/>
      <c r="I180" s="17"/>
      <c r="J180" s="17"/>
      <c r="K180" s="17"/>
      <c r="L180" s="17"/>
      <c r="M180" s="17"/>
      <c r="N180" s="17"/>
      <c r="O180" s="17"/>
      <c r="P180" s="17"/>
      <c r="Q180" s="17"/>
      <c r="R180" s="17"/>
      <c r="S180" s="17"/>
      <c r="T180" s="17"/>
      <c r="U180" s="17"/>
      <c r="V180" s="17"/>
      <c r="W180" s="17"/>
      <c r="X180" s="17"/>
      <c r="Y180" s="17"/>
      <c r="Z180" s="17"/>
      <c r="AA180" s="17"/>
      <c r="AB180" s="17"/>
      <c r="AC180" s="17"/>
      <c r="AD180" s="17"/>
      <c r="AE180" s="17"/>
      <c r="AF180" s="17"/>
      <c r="AG180" s="17"/>
      <c r="AH180" s="17"/>
      <c r="AI180" s="17"/>
      <c r="AJ180" s="17"/>
      <c r="AK180" s="17"/>
      <c r="AL180" s="17"/>
      <c r="AM180" s="17"/>
      <c r="AN180" s="17"/>
      <c r="AO180" s="17"/>
      <c r="AP180" s="17"/>
      <c r="AQ180" s="17"/>
      <c r="AR180" s="17"/>
      <c r="AS180" s="17"/>
      <c r="AT180" s="17"/>
      <c r="AU180" s="17"/>
      <c r="AV180" s="17"/>
      <c r="AW180" s="17"/>
      <c r="AX180" s="17"/>
      <c r="AY180" s="17"/>
      <c r="AZ180" s="17"/>
      <c r="BA180" s="17"/>
      <c r="BB180" s="17"/>
      <c r="BC180" s="17"/>
      <c r="BD180" s="17"/>
      <c r="BE180" s="17"/>
      <c r="BF180" s="17"/>
      <c r="BG180" s="17"/>
      <c r="BH180" s="17"/>
      <c r="BI180" s="17"/>
      <c r="BJ180" s="17"/>
      <c r="BK180" s="17"/>
      <c r="BL180" s="17"/>
      <c r="BM180" s="17"/>
      <c r="BN180" s="17"/>
      <c r="BO180" s="17"/>
      <c r="BP180" s="17"/>
      <c r="BQ180" s="17"/>
      <c r="BR180" s="17"/>
      <c r="BS180" s="17"/>
      <c r="BT180" s="17"/>
      <c r="BU180" s="17"/>
      <c r="BV180" s="17"/>
      <c r="BW180" s="17"/>
      <c r="BX180" s="17"/>
      <c r="BY180" s="17"/>
      <c r="BZ180" s="17"/>
      <c r="CA180" s="17"/>
      <c r="CB180" s="17"/>
      <c r="CC180" s="17"/>
      <c r="CD180" s="17"/>
      <c r="CE180" s="17"/>
      <c r="CF180" s="17"/>
      <c r="CG180" s="17"/>
      <c r="CH180" s="17"/>
      <c r="CI180" s="17"/>
      <c r="CJ180" s="17"/>
      <c r="CK180" s="17"/>
      <c r="CL180" s="17"/>
      <c r="CM180" s="17"/>
      <c r="CN180" s="17"/>
      <c r="CO180" s="17"/>
      <c r="CP180" s="17"/>
      <c r="CQ180" s="17"/>
      <c r="CR180" s="17"/>
      <c r="CS180" s="17"/>
      <c r="CT180" s="17"/>
      <c r="CU180" s="17"/>
      <c r="CV180" s="17"/>
      <c r="CW180" s="17"/>
      <c r="CX180" s="17"/>
      <c r="CY180" s="17"/>
      <c r="CZ180" s="17"/>
      <c r="DA180" s="17"/>
      <c r="DB180" s="17"/>
      <c r="DC180" s="17"/>
      <c r="DD180" s="17"/>
      <c r="DE180" s="17"/>
      <c r="DF180" s="17"/>
      <c r="DG180" s="17"/>
      <c r="DH180" s="17"/>
      <c r="DI180" s="17"/>
      <c r="DJ180" s="17"/>
      <c r="DK180" s="17"/>
      <c r="DL180" s="17"/>
      <c r="DM180" s="17"/>
      <c r="DN180" s="17"/>
      <c r="DO180" s="17"/>
      <c r="DP180" s="17"/>
      <c r="DQ180" s="17"/>
      <c r="DR180" s="17"/>
      <c r="DS180" s="17"/>
      <c r="DT180" s="17"/>
      <c r="DU180" s="17"/>
      <c r="DV180" s="17"/>
      <c r="DW180" s="17"/>
      <c r="DX180" s="17"/>
      <c r="DY180" s="17"/>
      <c r="DZ180" s="17"/>
      <c r="EA180" s="17"/>
      <c r="EB180" s="17"/>
      <c r="EC180" s="17"/>
      <c r="ED180" s="17"/>
      <c r="EE180" s="17"/>
      <c r="EF180" s="17"/>
      <c r="EG180" s="17"/>
      <c r="EH180" s="17"/>
      <c r="EI180" s="17"/>
      <c r="EJ180" s="17"/>
      <c r="EK180" s="17"/>
      <c r="EL180" s="17"/>
      <c r="EM180" s="17"/>
      <c r="EN180" s="17"/>
      <c r="EO180" s="17"/>
      <c r="EP180" s="17"/>
      <c r="EQ180" s="17"/>
      <c r="ER180" s="17"/>
      <c r="ES180" s="17"/>
      <c r="ET180" s="17"/>
      <c r="EU180" s="17"/>
      <c r="EV180" s="17"/>
      <c r="EW180" s="17"/>
      <c r="EX180" s="17"/>
      <c r="EY180" s="17"/>
      <c r="EZ180" s="17"/>
      <c r="FA180" s="17"/>
      <c r="FB180" s="17"/>
      <c r="FC180" s="17"/>
      <c r="FD180" s="17"/>
      <c r="FE180" s="17"/>
      <c r="FF180" s="17"/>
      <c r="FG180" s="17"/>
      <c r="FH180" s="17"/>
      <c r="FI180" s="17"/>
      <c r="FJ180" s="17"/>
      <c r="FK180" s="17"/>
      <c r="FL180" s="17"/>
      <c r="FM180" s="17"/>
      <c r="FN180" s="17"/>
      <c r="FO180" s="17"/>
      <c r="FP180" s="17"/>
      <c r="FQ180" s="17"/>
      <c r="FR180" s="17"/>
      <c r="FS180" s="17"/>
      <c r="FT180" s="17"/>
      <c r="FU180" s="17"/>
      <c r="FV180" s="17"/>
      <c r="FW180" s="17"/>
      <c r="FX180" s="17"/>
      <c r="FY180" s="17"/>
      <c r="FZ180" s="17"/>
      <c r="GA180" s="17"/>
      <c r="GB180" s="17"/>
      <c r="GC180" s="17"/>
      <c r="GD180" s="17"/>
      <c r="GE180" s="17"/>
      <c r="GF180" s="17"/>
      <c r="GG180" s="17"/>
      <c r="GH180" s="17"/>
      <c r="GI180" s="17"/>
      <c r="GJ180" s="17"/>
      <c r="GK180" s="17"/>
      <c r="GL180" s="17"/>
      <c r="GM180" s="17"/>
      <c r="GN180" s="17"/>
      <c r="GO180" s="17"/>
      <c r="GP180" s="17"/>
      <c r="GQ180" s="17"/>
      <c r="GR180" s="17"/>
      <c r="GS180" s="17"/>
      <c r="GT180" s="17"/>
      <c r="GU180" s="17"/>
      <c r="GV180" s="17"/>
      <c r="GW180" s="17"/>
      <c r="GX180" s="17"/>
      <c r="GY180" s="17"/>
      <c r="GZ180" s="17"/>
      <c r="HA180" s="17"/>
      <c r="HB180" s="17"/>
      <c r="HC180" s="17"/>
      <c r="HD180" s="17"/>
      <c r="HE180" s="17"/>
      <c r="HF180" s="17"/>
      <c r="HG180" s="17"/>
      <c r="HH180" s="17"/>
      <c r="HI180" s="17"/>
      <c r="HJ180" s="17"/>
      <c r="HK180" s="17"/>
      <c r="HL180" s="17"/>
      <c r="HM180" s="17"/>
      <c r="HN180" s="17"/>
      <c r="HO180" s="17"/>
      <c r="HP180" s="17"/>
      <c r="HQ180" s="17"/>
      <c r="HR180" s="17"/>
      <c r="HS180" s="17"/>
      <c r="HT180" s="17"/>
      <c r="HU180" s="17"/>
      <c r="HV180" s="17"/>
      <c r="HW180" s="17"/>
      <c r="HX180" s="17"/>
      <c r="HY180" s="17"/>
      <c r="HZ180" s="17"/>
      <c r="IA180" s="17"/>
      <c r="IB180" s="17"/>
      <c r="IC180" s="17"/>
      <c r="ID180" s="17"/>
      <c r="IE180" s="17"/>
      <c r="IF180" s="17"/>
      <c r="IG180" s="17"/>
      <c r="IH180" s="17"/>
      <c r="II180" s="17"/>
      <c r="IJ180" s="17"/>
      <c r="IK180" s="17"/>
      <c r="IL180" s="17"/>
      <c r="IM180" s="17"/>
      <c r="IN180" s="17"/>
      <c r="IO180" s="17"/>
      <c r="IP180" s="17"/>
      <c r="IQ180" s="17"/>
      <c r="IR180" s="17"/>
      <c r="IS180" s="17"/>
      <c r="IT180" s="17"/>
      <c r="IU180" s="17"/>
      <c r="IV180" s="17"/>
      <c r="IW180" s="17"/>
      <c r="IX180" s="17"/>
      <c r="IY180" s="17"/>
      <c r="IZ180" s="17"/>
      <c r="JA180" s="17"/>
      <c r="JB180" s="17"/>
      <c r="JC180" s="17"/>
      <c r="JD180" s="17"/>
      <c r="JE180" s="17"/>
      <c r="JF180" s="17"/>
      <c r="JG180" s="17"/>
      <c r="JH180" s="17"/>
      <c r="JI180" s="17"/>
      <c r="JJ180" s="17"/>
      <c r="JK180" s="17"/>
      <c r="JL180" s="17"/>
      <c r="JM180" s="17"/>
      <c r="JN180" s="17"/>
      <c r="JO180" s="17"/>
      <c r="JP180" s="17"/>
      <c r="JQ180" s="17"/>
      <c r="JR180" s="17"/>
      <c r="JS180" s="17"/>
      <c r="JT180" s="17"/>
      <c r="JU180" s="17"/>
      <c r="JV180" s="17"/>
      <c r="JW180" s="17"/>
      <c r="JX180" s="17"/>
      <c r="JY180" s="17"/>
      <c r="JZ180" s="17"/>
      <c r="KA180" s="17"/>
      <c r="KB180" s="17"/>
      <c r="KC180" s="17"/>
      <c r="KD180" s="17"/>
      <c r="KE180" s="17"/>
      <c r="KF180" s="17"/>
      <c r="KG180" s="17"/>
      <c r="KH180" s="17"/>
      <c r="KI180" s="17"/>
      <c r="KJ180" s="17"/>
      <c r="KK180" s="17"/>
      <c r="KL180" s="17"/>
      <c r="KM180" s="17"/>
      <c r="KN180" s="17"/>
      <c r="KO180" s="17"/>
      <c r="KP180" s="17"/>
      <c r="KQ180" s="17"/>
      <c r="KR180" s="17"/>
      <c r="KS180" s="17"/>
      <c r="KT180" s="17"/>
      <c r="KU180" s="17"/>
      <c r="KV180" s="17"/>
      <c r="KW180" s="17"/>
      <c r="KX180" s="17"/>
      <c r="KY180" s="17"/>
    </row>
    <row r="181" spans="1:311" x14ac:dyDescent="0.25">
      <c r="A181" s="17"/>
      <c r="B181" s="17"/>
      <c r="C181" s="17"/>
      <c r="D181" s="17"/>
      <c r="E181" s="17"/>
      <c r="F181" s="17"/>
      <c r="G181" s="17"/>
      <c r="H181" s="17"/>
      <c r="I181" s="17"/>
      <c r="J181" s="17"/>
      <c r="K181" s="17"/>
      <c r="L181" s="17"/>
      <c r="M181" s="17"/>
      <c r="N181" s="17"/>
      <c r="O181" s="17"/>
      <c r="P181" s="17"/>
      <c r="Q181" s="17"/>
      <c r="R181" s="17"/>
      <c r="S181" s="17"/>
      <c r="T181" s="17"/>
      <c r="U181" s="17"/>
      <c r="V181" s="17"/>
      <c r="W181" s="17"/>
      <c r="X181" s="17"/>
      <c r="Y181" s="17"/>
      <c r="Z181" s="17"/>
      <c r="AA181" s="17"/>
      <c r="AB181" s="17"/>
      <c r="AC181" s="17"/>
      <c r="AD181" s="17"/>
      <c r="AE181" s="17"/>
      <c r="AF181" s="17"/>
      <c r="AG181" s="17"/>
      <c r="AH181" s="17"/>
      <c r="AI181" s="17"/>
      <c r="AJ181" s="17"/>
      <c r="AK181" s="17"/>
      <c r="AL181" s="17"/>
      <c r="AM181" s="17"/>
      <c r="AN181" s="17"/>
      <c r="AO181" s="17"/>
      <c r="AP181" s="17"/>
      <c r="AQ181" s="17"/>
      <c r="AR181" s="17"/>
      <c r="AS181" s="17"/>
      <c r="AT181" s="17"/>
      <c r="AU181" s="17"/>
      <c r="AV181" s="17"/>
      <c r="AW181" s="17"/>
      <c r="AX181" s="17"/>
      <c r="AY181" s="17"/>
      <c r="AZ181" s="17"/>
      <c r="BA181" s="17"/>
      <c r="BB181" s="17"/>
      <c r="BC181" s="17"/>
      <c r="BD181" s="17"/>
      <c r="BE181" s="17"/>
      <c r="BF181" s="17"/>
      <c r="BG181" s="17"/>
      <c r="BH181" s="17"/>
      <c r="BI181" s="17"/>
      <c r="BJ181" s="17"/>
      <c r="BK181" s="17"/>
      <c r="BL181" s="17"/>
      <c r="BM181" s="17"/>
      <c r="BN181" s="17"/>
      <c r="BO181" s="17"/>
      <c r="BP181" s="17"/>
      <c r="BQ181" s="17"/>
      <c r="BR181" s="17"/>
      <c r="BS181" s="17"/>
      <c r="BT181" s="17"/>
      <c r="BU181" s="17"/>
      <c r="BV181" s="17"/>
      <c r="BW181" s="17"/>
      <c r="BX181" s="17"/>
      <c r="BY181" s="17"/>
      <c r="BZ181" s="17"/>
      <c r="CA181" s="17"/>
      <c r="CB181" s="17"/>
      <c r="CC181" s="17"/>
      <c r="CD181" s="17"/>
      <c r="CE181" s="17"/>
      <c r="CF181" s="17"/>
      <c r="CG181" s="17"/>
      <c r="CH181" s="17"/>
      <c r="CI181" s="17"/>
      <c r="CJ181" s="17"/>
      <c r="CK181" s="17"/>
      <c r="CL181" s="17"/>
      <c r="CM181" s="17"/>
      <c r="CN181" s="17"/>
      <c r="CO181" s="17"/>
      <c r="CP181" s="17"/>
      <c r="CQ181" s="17"/>
      <c r="CR181" s="17"/>
      <c r="CS181" s="17"/>
      <c r="CT181" s="17"/>
      <c r="CU181" s="17"/>
      <c r="CV181" s="17"/>
      <c r="CW181" s="17"/>
      <c r="CX181" s="17"/>
      <c r="CY181" s="17"/>
      <c r="CZ181" s="17"/>
      <c r="DA181" s="17"/>
      <c r="DB181" s="17"/>
      <c r="DC181" s="17"/>
      <c r="DD181" s="17"/>
      <c r="DE181" s="17"/>
      <c r="DF181" s="17"/>
      <c r="DG181" s="17"/>
      <c r="DH181" s="17"/>
      <c r="DI181" s="17"/>
      <c r="DJ181" s="17"/>
      <c r="DK181" s="17"/>
      <c r="DL181" s="17"/>
      <c r="DM181" s="17"/>
      <c r="DN181" s="17"/>
      <c r="DO181" s="17"/>
      <c r="DP181" s="17"/>
      <c r="DQ181" s="17"/>
      <c r="DR181" s="17"/>
      <c r="DS181" s="17"/>
      <c r="DT181" s="17"/>
      <c r="DU181" s="17"/>
      <c r="DV181" s="17"/>
      <c r="DW181" s="17"/>
      <c r="DX181" s="17"/>
      <c r="DY181" s="17"/>
      <c r="DZ181" s="17"/>
      <c r="EA181" s="17"/>
      <c r="EB181" s="17"/>
      <c r="EC181" s="17"/>
      <c r="ED181" s="17"/>
      <c r="EE181" s="17"/>
      <c r="EF181" s="17"/>
      <c r="EG181" s="17"/>
      <c r="EH181" s="17"/>
      <c r="EI181" s="17"/>
      <c r="EJ181" s="17"/>
      <c r="EK181" s="17"/>
      <c r="EL181" s="17"/>
      <c r="EM181" s="17"/>
      <c r="EN181" s="17"/>
      <c r="EO181" s="17"/>
      <c r="EP181" s="17"/>
      <c r="EQ181" s="17"/>
      <c r="ER181" s="17"/>
      <c r="ES181" s="17"/>
      <c r="ET181" s="17"/>
      <c r="EU181" s="17"/>
      <c r="EV181" s="17"/>
      <c r="EW181" s="17"/>
      <c r="EX181" s="17"/>
      <c r="EY181" s="17"/>
      <c r="EZ181" s="17"/>
      <c r="FA181" s="17"/>
      <c r="FB181" s="17"/>
      <c r="FC181" s="17"/>
      <c r="FD181" s="17"/>
      <c r="FE181" s="17"/>
      <c r="FF181" s="17"/>
      <c r="FG181" s="17"/>
      <c r="FH181" s="17"/>
      <c r="FI181" s="17"/>
      <c r="FJ181" s="17"/>
      <c r="FK181" s="17"/>
      <c r="FL181" s="17"/>
      <c r="FM181" s="17"/>
      <c r="FN181" s="17"/>
      <c r="FO181" s="17"/>
      <c r="FP181" s="17"/>
      <c r="FQ181" s="17"/>
      <c r="FR181" s="17"/>
      <c r="FS181" s="17"/>
      <c r="FT181" s="17"/>
      <c r="FU181" s="17"/>
      <c r="FV181" s="17"/>
      <c r="FW181" s="17"/>
      <c r="FX181" s="17"/>
      <c r="FY181" s="17"/>
      <c r="FZ181" s="17"/>
      <c r="GA181" s="17"/>
      <c r="GB181" s="17"/>
      <c r="GC181" s="17"/>
      <c r="GD181" s="17"/>
      <c r="GE181" s="17"/>
      <c r="GF181" s="17"/>
      <c r="GG181" s="17"/>
      <c r="GH181" s="17"/>
      <c r="GI181" s="17"/>
      <c r="GJ181" s="17"/>
      <c r="GK181" s="17"/>
      <c r="GL181" s="17"/>
      <c r="GM181" s="17"/>
      <c r="GN181" s="17"/>
      <c r="GO181" s="17"/>
      <c r="GP181" s="17"/>
      <c r="GQ181" s="17"/>
      <c r="GR181" s="17"/>
      <c r="GS181" s="17"/>
      <c r="GT181" s="17"/>
      <c r="GU181" s="17"/>
      <c r="GV181" s="17"/>
      <c r="GW181" s="17"/>
      <c r="GX181" s="17"/>
      <c r="GY181" s="17"/>
      <c r="GZ181" s="17"/>
      <c r="HA181" s="17"/>
      <c r="HB181" s="17"/>
      <c r="HC181" s="17"/>
      <c r="HD181" s="17"/>
      <c r="HE181" s="17"/>
      <c r="HF181" s="17"/>
      <c r="HG181" s="17"/>
      <c r="HH181" s="17"/>
      <c r="HI181" s="17"/>
      <c r="HJ181" s="17"/>
      <c r="HK181" s="17"/>
      <c r="HL181" s="17"/>
      <c r="HM181" s="17"/>
      <c r="HN181" s="17"/>
      <c r="HO181" s="17"/>
      <c r="HP181" s="17"/>
      <c r="HQ181" s="17"/>
      <c r="HR181" s="17"/>
      <c r="HS181" s="17"/>
      <c r="HT181" s="17"/>
      <c r="HU181" s="17"/>
      <c r="HV181" s="17"/>
      <c r="HW181" s="17"/>
      <c r="HX181" s="17"/>
      <c r="HY181" s="17"/>
      <c r="HZ181" s="17"/>
      <c r="IA181" s="17"/>
      <c r="IB181" s="17"/>
      <c r="IC181" s="17"/>
      <c r="ID181" s="17"/>
      <c r="IE181" s="17"/>
      <c r="IF181" s="17"/>
      <c r="IG181" s="17"/>
      <c r="IH181" s="17"/>
      <c r="II181" s="17"/>
      <c r="IJ181" s="17"/>
      <c r="IK181" s="17"/>
      <c r="IL181" s="17"/>
      <c r="IM181" s="17"/>
      <c r="IN181" s="17"/>
      <c r="IO181" s="17"/>
      <c r="IP181" s="17"/>
      <c r="IQ181" s="17"/>
      <c r="IR181" s="17"/>
      <c r="IS181" s="17"/>
      <c r="IT181" s="17"/>
      <c r="IU181" s="17"/>
      <c r="IV181" s="17"/>
      <c r="IW181" s="17"/>
      <c r="IX181" s="17"/>
      <c r="IY181" s="17"/>
      <c r="IZ181" s="17"/>
      <c r="JA181" s="17"/>
      <c r="JB181" s="17"/>
      <c r="JC181" s="17"/>
      <c r="JD181" s="17"/>
      <c r="JE181" s="17"/>
      <c r="JF181" s="17"/>
      <c r="JG181" s="17"/>
      <c r="JH181" s="17"/>
      <c r="JI181" s="17"/>
      <c r="JJ181" s="17"/>
      <c r="JK181" s="17"/>
      <c r="JL181" s="17"/>
      <c r="JM181" s="17"/>
      <c r="JN181" s="17"/>
      <c r="JO181" s="17"/>
      <c r="JP181" s="17"/>
      <c r="JQ181" s="17"/>
      <c r="JR181" s="17"/>
      <c r="JS181" s="17"/>
      <c r="JT181" s="17"/>
      <c r="JU181" s="17"/>
      <c r="JV181" s="17"/>
      <c r="JW181" s="17"/>
      <c r="JX181" s="17"/>
      <c r="JY181" s="17"/>
      <c r="JZ181" s="17"/>
      <c r="KA181" s="17"/>
      <c r="KB181" s="17"/>
      <c r="KC181" s="17"/>
      <c r="KD181" s="17"/>
      <c r="KE181" s="17"/>
      <c r="KF181" s="17"/>
      <c r="KG181" s="17"/>
      <c r="KH181" s="17"/>
      <c r="KI181" s="17"/>
      <c r="KJ181" s="17"/>
      <c r="KK181" s="17"/>
      <c r="KL181" s="17"/>
      <c r="KM181" s="17"/>
      <c r="KN181" s="17"/>
      <c r="KO181" s="17"/>
      <c r="KP181" s="17"/>
      <c r="KQ181" s="17"/>
      <c r="KR181" s="17"/>
      <c r="KS181" s="17"/>
      <c r="KT181" s="17"/>
      <c r="KU181" s="17"/>
      <c r="KV181" s="17"/>
      <c r="KW181" s="17"/>
      <c r="KX181" s="17"/>
      <c r="KY181" s="17"/>
    </row>
    <row r="182" spans="1:311" x14ac:dyDescent="0.25">
      <c r="A182" s="17"/>
      <c r="B182" s="17"/>
      <c r="C182" s="17"/>
      <c r="D182" s="17"/>
      <c r="E182" s="17"/>
      <c r="F182" s="17"/>
      <c r="G182" s="17"/>
      <c r="H182" s="17"/>
      <c r="I182" s="17"/>
      <c r="J182" s="17"/>
      <c r="K182" s="17"/>
      <c r="L182" s="17"/>
      <c r="M182" s="17"/>
      <c r="N182" s="17"/>
      <c r="O182" s="17"/>
      <c r="P182" s="17"/>
      <c r="Q182" s="17"/>
      <c r="R182" s="17"/>
      <c r="S182" s="17"/>
      <c r="T182" s="17"/>
      <c r="U182" s="17"/>
      <c r="V182" s="17"/>
      <c r="W182" s="17"/>
      <c r="X182" s="17"/>
      <c r="Y182" s="17"/>
      <c r="Z182" s="17"/>
      <c r="AA182" s="17"/>
      <c r="AB182" s="17"/>
      <c r="AC182" s="17"/>
      <c r="AD182" s="17"/>
      <c r="AE182" s="17"/>
      <c r="AF182" s="17"/>
      <c r="AG182" s="17"/>
      <c r="AH182" s="17"/>
      <c r="AI182" s="17"/>
      <c r="AJ182" s="17"/>
      <c r="AK182" s="17"/>
      <c r="AL182" s="17"/>
      <c r="AM182" s="17"/>
      <c r="AN182" s="17"/>
      <c r="AO182" s="17"/>
      <c r="AP182" s="17"/>
      <c r="AQ182" s="17"/>
      <c r="AR182" s="17"/>
      <c r="AS182" s="17"/>
      <c r="AT182" s="17"/>
      <c r="AU182" s="17"/>
      <c r="AV182" s="17"/>
      <c r="AW182" s="17"/>
      <c r="AX182" s="17"/>
      <c r="AY182" s="17"/>
      <c r="AZ182" s="17"/>
      <c r="BA182" s="17"/>
      <c r="BB182" s="17"/>
      <c r="BC182" s="17"/>
      <c r="BD182" s="17"/>
      <c r="BE182" s="17"/>
      <c r="BF182" s="17"/>
      <c r="BG182" s="17"/>
      <c r="BH182" s="17"/>
      <c r="BI182" s="17"/>
      <c r="BJ182" s="17"/>
      <c r="BK182" s="17"/>
      <c r="BL182" s="17"/>
      <c r="BM182" s="17"/>
      <c r="BN182" s="17"/>
      <c r="BO182" s="17"/>
      <c r="BP182" s="17"/>
      <c r="BQ182" s="17"/>
      <c r="BR182" s="17"/>
      <c r="BS182" s="17"/>
      <c r="BT182" s="17"/>
      <c r="BU182" s="17"/>
      <c r="BV182" s="17"/>
      <c r="BW182" s="17"/>
      <c r="BX182" s="17"/>
      <c r="BY182" s="17"/>
      <c r="BZ182" s="17"/>
      <c r="CA182" s="17"/>
      <c r="CB182" s="17"/>
      <c r="CC182" s="17"/>
      <c r="CD182" s="17"/>
      <c r="CE182" s="17"/>
      <c r="CF182" s="17"/>
      <c r="CG182" s="17"/>
      <c r="CH182" s="17"/>
      <c r="CI182" s="17"/>
      <c r="CJ182" s="17"/>
      <c r="CK182" s="17"/>
      <c r="CL182" s="17"/>
      <c r="CM182" s="17"/>
      <c r="CN182" s="17"/>
      <c r="CO182" s="17"/>
      <c r="CP182" s="17"/>
      <c r="CQ182" s="17"/>
      <c r="CR182" s="17"/>
      <c r="CS182" s="17"/>
      <c r="CT182" s="17"/>
      <c r="CU182" s="17"/>
      <c r="CV182" s="17"/>
      <c r="CW182" s="17"/>
      <c r="CX182" s="17"/>
      <c r="CY182" s="17"/>
      <c r="CZ182" s="17"/>
      <c r="DA182" s="17"/>
      <c r="DB182" s="17"/>
      <c r="DC182" s="17"/>
      <c r="DD182" s="17"/>
      <c r="DE182" s="17"/>
      <c r="DF182" s="17"/>
      <c r="DG182" s="17"/>
      <c r="DH182" s="17"/>
      <c r="DI182" s="17"/>
      <c r="DJ182" s="17"/>
      <c r="DK182" s="17"/>
      <c r="DL182" s="17"/>
      <c r="DM182" s="17"/>
      <c r="DN182" s="17"/>
      <c r="DO182" s="17"/>
      <c r="DP182" s="17"/>
      <c r="DQ182" s="17"/>
      <c r="DR182" s="17"/>
      <c r="DS182" s="17"/>
      <c r="DT182" s="17"/>
      <c r="DU182" s="17"/>
      <c r="DV182" s="17"/>
      <c r="DW182" s="17"/>
      <c r="DX182" s="17"/>
      <c r="DY182" s="17"/>
      <c r="DZ182" s="17"/>
      <c r="EA182" s="17"/>
      <c r="EB182" s="17"/>
      <c r="EC182" s="17"/>
      <c r="ED182" s="17"/>
      <c r="EE182" s="17"/>
      <c r="EF182" s="17"/>
      <c r="EG182" s="17"/>
      <c r="EH182" s="17"/>
      <c r="EI182" s="17"/>
      <c r="EJ182" s="17"/>
      <c r="EK182" s="17"/>
      <c r="EL182" s="17"/>
      <c r="EM182" s="17"/>
      <c r="EN182" s="17"/>
      <c r="EO182" s="17"/>
      <c r="EP182" s="17"/>
      <c r="EQ182" s="17"/>
      <c r="ER182" s="17"/>
      <c r="ES182" s="17"/>
      <c r="ET182" s="17"/>
      <c r="EU182" s="17"/>
      <c r="EV182" s="17"/>
      <c r="EW182" s="17"/>
      <c r="EX182" s="17"/>
      <c r="EY182" s="17"/>
      <c r="EZ182" s="17"/>
      <c r="FA182" s="17"/>
      <c r="FB182" s="17"/>
      <c r="FC182" s="17"/>
      <c r="FD182" s="17"/>
      <c r="FE182" s="17"/>
      <c r="FF182" s="17"/>
      <c r="FG182" s="17"/>
      <c r="FH182" s="17"/>
      <c r="FI182" s="17"/>
      <c r="FJ182" s="17"/>
      <c r="FK182" s="17"/>
      <c r="FL182" s="17"/>
      <c r="FM182" s="17"/>
      <c r="FN182" s="17"/>
      <c r="FO182" s="17"/>
      <c r="FP182" s="17"/>
      <c r="FQ182" s="17"/>
      <c r="FR182" s="17"/>
      <c r="FS182" s="17"/>
      <c r="FT182" s="17"/>
      <c r="FU182" s="17"/>
      <c r="FV182" s="17"/>
      <c r="FW182" s="17"/>
      <c r="FX182" s="17"/>
      <c r="FY182" s="17"/>
      <c r="FZ182" s="17"/>
      <c r="GA182" s="17"/>
      <c r="GB182" s="17"/>
      <c r="GC182" s="17"/>
      <c r="GD182" s="17"/>
      <c r="GE182" s="17"/>
      <c r="GF182" s="17"/>
      <c r="GG182" s="17"/>
      <c r="GH182" s="17"/>
      <c r="GI182" s="17"/>
      <c r="GJ182" s="17"/>
      <c r="GK182" s="17"/>
      <c r="GL182" s="17"/>
      <c r="GM182" s="17"/>
      <c r="GN182" s="17"/>
      <c r="GO182" s="17"/>
      <c r="GP182" s="17"/>
      <c r="GQ182" s="17"/>
      <c r="GR182" s="17"/>
      <c r="GS182" s="17"/>
      <c r="GT182" s="17"/>
      <c r="GU182" s="17"/>
      <c r="GV182" s="17"/>
      <c r="GW182" s="17"/>
      <c r="GX182" s="17"/>
      <c r="GY182" s="17"/>
      <c r="GZ182" s="17"/>
      <c r="HA182" s="17"/>
      <c r="HB182" s="17"/>
      <c r="HC182" s="17"/>
      <c r="HD182" s="17"/>
      <c r="HE182" s="17"/>
      <c r="HF182" s="17"/>
      <c r="HG182" s="17"/>
      <c r="HH182" s="17"/>
      <c r="HI182" s="17"/>
      <c r="HJ182" s="17"/>
      <c r="HK182" s="17"/>
      <c r="HL182" s="17"/>
      <c r="HM182" s="17"/>
      <c r="HN182" s="17"/>
      <c r="HO182" s="17"/>
      <c r="HP182" s="17"/>
      <c r="HQ182" s="17"/>
      <c r="HR182" s="17"/>
      <c r="HS182" s="17"/>
      <c r="HT182" s="17"/>
      <c r="HU182" s="17"/>
      <c r="HV182" s="17"/>
      <c r="HW182" s="17"/>
      <c r="HX182" s="17"/>
      <c r="HY182" s="17"/>
      <c r="HZ182" s="17"/>
      <c r="IA182" s="17"/>
      <c r="IB182" s="17"/>
      <c r="IC182" s="17"/>
      <c r="ID182" s="17"/>
      <c r="IE182" s="17"/>
      <c r="IF182" s="17"/>
      <c r="IG182" s="17"/>
      <c r="IH182" s="17"/>
      <c r="II182" s="17"/>
      <c r="IJ182" s="17"/>
      <c r="IK182" s="17"/>
      <c r="IL182" s="17"/>
      <c r="IM182" s="17"/>
      <c r="IN182" s="17"/>
      <c r="IO182" s="17"/>
      <c r="IP182" s="17"/>
      <c r="IQ182" s="17"/>
      <c r="IR182" s="17"/>
      <c r="IS182" s="17"/>
      <c r="IT182" s="17"/>
      <c r="IU182" s="17"/>
      <c r="IV182" s="17"/>
      <c r="IW182" s="17"/>
      <c r="IX182" s="17"/>
      <c r="IY182" s="17"/>
      <c r="IZ182" s="17"/>
      <c r="JA182" s="17"/>
      <c r="JB182" s="17"/>
      <c r="JC182" s="17"/>
      <c r="JD182" s="17"/>
      <c r="JE182" s="17"/>
      <c r="JF182" s="17"/>
      <c r="JG182" s="17"/>
      <c r="JH182" s="17"/>
      <c r="JI182" s="17"/>
      <c r="JJ182" s="17"/>
      <c r="JK182" s="17"/>
      <c r="JL182" s="17"/>
      <c r="JM182" s="17"/>
      <c r="JN182" s="17"/>
      <c r="JO182" s="17"/>
      <c r="JP182" s="17"/>
      <c r="JQ182" s="17"/>
      <c r="JR182" s="17"/>
      <c r="JS182" s="17"/>
      <c r="JT182" s="17"/>
      <c r="JU182" s="17"/>
      <c r="JV182" s="17"/>
      <c r="JW182" s="17"/>
      <c r="JX182" s="17"/>
      <c r="JY182" s="17"/>
      <c r="JZ182" s="17"/>
      <c r="KA182" s="17"/>
      <c r="KB182" s="17"/>
      <c r="KC182" s="17"/>
      <c r="KD182" s="17"/>
      <c r="KE182" s="17"/>
      <c r="KF182" s="17"/>
      <c r="KG182" s="17"/>
      <c r="KH182" s="17"/>
      <c r="KI182" s="17"/>
      <c r="KJ182" s="17"/>
      <c r="KK182" s="17"/>
      <c r="KL182" s="17"/>
      <c r="KM182" s="17"/>
      <c r="KN182" s="17"/>
      <c r="KO182" s="17"/>
      <c r="KP182" s="17"/>
      <c r="KQ182" s="17"/>
      <c r="KR182" s="17"/>
      <c r="KS182" s="17"/>
      <c r="KT182" s="17"/>
      <c r="KU182" s="17"/>
      <c r="KV182" s="17"/>
      <c r="KW182" s="17"/>
      <c r="KX182" s="17"/>
      <c r="KY182" s="17"/>
    </row>
    <row r="183" spans="1:311" x14ac:dyDescent="0.25">
      <c r="A183" s="17"/>
      <c r="B183" s="17"/>
      <c r="C183" s="17"/>
      <c r="D183" s="17"/>
      <c r="E183" s="17"/>
      <c r="F183" s="17"/>
      <c r="G183" s="17"/>
      <c r="H183" s="17"/>
      <c r="I183" s="17"/>
      <c r="J183" s="17"/>
      <c r="K183" s="17"/>
      <c r="L183" s="17"/>
      <c r="M183" s="17"/>
      <c r="N183" s="17"/>
      <c r="O183" s="17"/>
      <c r="P183" s="17"/>
      <c r="Q183" s="17"/>
      <c r="R183" s="17"/>
      <c r="S183" s="17"/>
      <c r="T183" s="17"/>
      <c r="U183" s="17"/>
      <c r="V183" s="17"/>
      <c r="W183" s="17"/>
      <c r="X183" s="17"/>
      <c r="Y183" s="17"/>
      <c r="Z183" s="17"/>
      <c r="AA183" s="17"/>
      <c r="AB183" s="17"/>
      <c r="AC183" s="17"/>
      <c r="AD183" s="17"/>
      <c r="AE183" s="17"/>
      <c r="AF183" s="17"/>
      <c r="AG183" s="17"/>
      <c r="AH183" s="17"/>
      <c r="AI183" s="17"/>
      <c r="AJ183" s="17"/>
      <c r="AK183" s="17"/>
      <c r="AL183" s="17"/>
      <c r="AM183" s="17"/>
      <c r="AN183" s="17"/>
      <c r="AO183" s="17"/>
      <c r="AP183" s="17"/>
      <c r="AQ183" s="17"/>
      <c r="AR183" s="17"/>
      <c r="AS183" s="17"/>
      <c r="AT183" s="17"/>
      <c r="AU183" s="17"/>
      <c r="AV183" s="17"/>
      <c r="AW183" s="17"/>
      <c r="AX183" s="17"/>
      <c r="AY183" s="17"/>
      <c r="AZ183" s="17"/>
      <c r="BA183" s="17"/>
      <c r="BB183" s="17"/>
      <c r="BC183" s="17"/>
      <c r="BD183" s="17"/>
      <c r="BE183" s="17"/>
      <c r="BF183" s="17"/>
      <c r="BG183" s="17"/>
      <c r="BH183" s="17"/>
      <c r="BI183" s="17"/>
      <c r="BJ183" s="17"/>
      <c r="BK183" s="17"/>
      <c r="BL183" s="17"/>
      <c r="BM183" s="17"/>
      <c r="BN183" s="17"/>
      <c r="BO183" s="17"/>
      <c r="BP183" s="17"/>
      <c r="BQ183" s="17"/>
      <c r="BR183" s="17"/>
      <c r="BS183" s="17"/>
      <c r="BT183" s="17"/>
      <c r="BU183" s="17"/>
      <c r="BV183" s="17"/>
      <c r="BW183" s="17"/>
      <c r="BX183" s="17"/>
      <c r="BY183" s="17"/>
      <c r="BZ183" s="17"/>
      <c r="CA183" s="17"/>
      <c r="CB183" s="17"/>
      <c r="CC183" s="17"/>
      <c r="CD183" s="17"/>
      <c r="CE183" s="17"/>
      <c r="CF183" s="17"/>
      <c r="CG183" s="17"/>
      <c r="CH183" s="17"/>
      <c r="CI183" s="17"/>
      <c r="CJ183" s="17"/>
      <c r="CK183" s="17"/>
      <c r="CL183" s="17"/>
      <c r="CM183" s="17"/>
      <c r="CN183" s="17"/>
      <c r="CO183" s="17"/>
      <c r="CP183" s="17"/>
      <c r="CQ183" s="17"/>
      <c r="CR183" s="17"/>
      <c r="CS183" s="17"/>
      <c r="CT183" s="17"/>
      <c r="CU183" s="17"/>
      <c r="CV183" s="17"/>
      <c r="CW183" s="17"/>
      <c r="CX183" s="17"/>
      <c r="CY183" s="17"/>
      <c r="CZ183" s="17"/>
      <c r="DA183" s="17"/>
      <c r="DB183" s="17"/>
      <c r="DC183" s="17"/>
      <c r="DD183" s="17"/>
      <c r="DE183" s="17"/>
      <c r="DF183" s="17"/>
      <c r="DG183" s="17"/>
      <c r="DH183" s="17"/>
      <c r="DI183" s="17"/>
      <c r="DJ183" s="17"/>
      <c r="DK183" s="17"/>
      <c r="DL183" s="17"/>
      <c r="DM183" s="17"/>
      <c r="DN183" s="17"/>
      <c r="DO183" s="17"/>
      <c r="DP183" s="17"/>
      <c r="DQ183" s="17"/>
      <c r="DR183" s="17"/>
      <c r="DS183" s="17"/>
      <c r="DT183" s="17"/>
      <c r="DU183" s="17"/>
      <c r="DV183" s="17"/>
      <c r="DW183" s="17"/>
      <c r="DX183" s="17"/>
      <c r="DY183" s="17"/>
      <c r="DZ183" s="17"/>
      <c r="EA183" s="17"/>
      <c r="EB183" s="17"/>
      <c r="EC183" s="17"/>
      <c r="ED183" s="17"/>
      <c r="EE183" s="17"/>
      <c r="EF183" s="17"/>
      <c r="EG183" s="17"/>
      <c r="EH183" s="17"/>
      <c r="EI183" s="17"/>
      <c r="EJ183" s="17"/>
      <c r="EK183" s="17"/>
      <c r="EL183" s="17"/>
      <c r="EM183" s="17"/>
      <c r="EN183" s="17"/>
      <c r="EO183" s="17"/>
      <c r="EP183" s="17"/>
      <c r="EQ183" s="17"/>
      <c r="ER183" s="17"/>
      <c r="ES183" s="17"/>
      <c r="ET183" s="17"/>
      <c r="EU183" s="17"/>
      <c r="EV183" s="17"/>
      <c r="EW183" s="17"/>
      <c r="EX183" s="17"/>
      <c r="EY183" s="17"/>
      <c r="EZ183" s="17"/>
      <c r="FA183" s="17"/>
      <c r="FB183" s="17"/>
      <c r="FC183" s="17"/>
      <c r="FD183" s="17"/>
      <c r="FE183" s="17"/>
      <c r="FF183" s="17"/>
      <c r="FG183" s="17"/>
      <c r="FH183" s="17"/>
      <c r="FI183" s="17"/>
      <c r="FJ183" s="17"/>
      <c r="FK183" s="17"/>
      <c r="FL183" s="17"/>
      <c r="FM183" s="17"/>
      <c r="FN183" s="17"/>
      <c r="FO183" s="17"/>
      <c r="FP183" s="17"/>
      <c r="FQ183" s="17"/>
      <c r="FR183" s="17"/>
      <c r="FS183" s="17"/>
      <c r="FT183" s="17"/>
      <c r="FU183" s="17"/>
      <c r="FV183" s="17"/>
      <c r="FW183" s="17"/>
      <c r="FX183" s="17"/>
      <c r="FY183" s="17"/>
      <c r="FZ183" s="17"/>
      <c r="GA183" s="17"/>
      <c r="GB183" s="17"/>
      <c r="GC183" s="17"/>
      <c r="GD183" s="17"/>
      <c r="GE183" s="17"/>
      <c r="GF183" s="17"/>
      <c r="GG183" s="17"/>
      <c r="GH183" s="17"/>
      <c r="GI183" s="17"/>
      <c r="GJ183" s="17"/>
      <c r="GK183" s="17"/>
      <c r="GL183" s="17"/>
      <c r="GM183" s="17"/>
      <c r="GN183" s="17"/>
      <c r="GO183" s="17"/>
      <c r="GP183" s="17"/>
      <c r="GQ183" s="17"/>
      <c r="GR183" s="17"/>
      <c r="GS183" s="17"/>
      <c r="GT183" s="17"/>
      <c r="GU183" s="17"/>
      <c r="GV183" s="17"/>
      <c r="GW183" s="17"/>
      <c r="GX183" s="17"/>
      <c r="GY183" s="17"/>
      <c r="GZ183" s="17"/>
      <c r="HA183" s="17"/>
      <c r="HB183" s="17"/>
      <c r="HC183" s="17"/>
      <c r="HD183" s="17"/>
      <c r="HE183" s="17"/>
      <c r="HF183" s="17"/>
      <c r="HG183" s="17"/>
      <c r="HH183" s="17"/>
      <c r="HI183" s="17"/>
      <c r="HJ183" s="17"/>
      <c r="HK183" s="17"/>
      <c r="HL183" s="17"/>
      <c r="HM183" s="17"/>
      <c r="HN183" s="17"/>
      <c r="HO183" s="17"/>
      <c r="HP183" s="17"/>
      <c r="HQ183" s="17"/>
      <c r="HR183" s="17"/>
      <c r="HS183" s="17"/>
      <c r="HT183" s="17"/>
      <c r="HU183" s="17"/>
      <c r="HV183" s="17"/>
      <c r="HW183" s="17"/>
      <c r="HX183" s="17"/>
      <c r="HY183" s="17"/>
      <c r="HZ183" s="17"/>
      <c r="IA183" s="17"/>
      <c r="IB183" s="17"/>
      <c r="IC183" s="17"/>
      <c r="ID183" s="17"/>
      <c r="IE183" s="17"/>
      <c r="IF183" s="17"/>
      <c r="IG183" s="17"/>
      <c r="IH183" s="17"/>
      <c r="II183" s="17"/>
      <c r="IJ183" s="17"/>
      <c r="IK183" s="17"/>
      <c r="IL183" s="17"/>
      <c r="IM183" s="17"/>
      <c r="IN183" s="17"/>
      <c r="IO183" s="17"/>
      <c r="IP183" s="17"/>
      <c r="IQ183" s="17"/>
      <c r="IR183" s="17"/>
      <c r="IS183" s="17"/>
      <c r="IT183" s="17"/>
      <c r="IU183" s="17"/>
      <c r="IV183" s="17"/>
      <c r="IW183" s="17"/>
      <c r="IX183" s="17"/>
      <c r="IY183" s="17"/>
      <c r="IZ183" s="17"/>
      <c r="JA183" s="17"/>
      <c r="JB183" s="17"/>
      <c r="JC183" s="17"/>
      <c r="JD183" s="17"/>
      <c r="JE183" s="17"/>
      <c r="JF183" s="17"/>
      <c r="JG183" s="17"/>
      <c r="JH183" s="17"/>
      <c r="JI183" s="17"/>
      <c r="JJ183" s="17"/>
      <c r="JK183" s="17"/>
      <c r="JL183" s="17"/>
      <c r="JM183" s="17"/>
      <c r="JN183" s="17"/>
      <c r="JO183" s="17"/>
      <c r="JP183" s="17"/>
      <c r="JQ183" s="17"/>
      <c r="JR183" s="17"/>
      <c r="JS183" s="17"/>
      <c r="JT183" s="17"/>
      <c r="JU183" s="17"/>
      <c r="JV183" s="17"/>
      <c r="JW183" s="17"/>
      <c r="JX183" s="17"/>
      <c r="JY183" s="17"/>
      <c r="JZ183" s="17"/>
      <c r="KA183" s="17"/>
      <c r="KB183" s="17"/>
      <c r="KC183" s="17"/>
      <c r="KD183" s="17"/>
      <c r="KE183" s="17"/>
      <c r="KF183" s="17"/>
      <c r="KG183" s="17"/>
      <c r="KH183" s="17"/>
      <c r="KI183" s="17"/>
      <c r="KJ183" s="17"/>
      <c r="KK183" s="17"/>
      <c r="KL183" s="17"/>
      <c r="KM183" s="17"/>
      <c r="KN183" s="17"/>
      <c r="KO183" s="17"/>
      <c r="KP183" s="17"/>
      <c r="KQ183" s="17"/>
      <c r="KR183" s="17"/>
      <c r="KS183" s="17"/>
      <c r="KT183" s="17"/>
      <c r="KU183" s="17"/>
      <c r="KV183" s="17"/>
      <c r="KW183" s="17"/>
      <c r="KX183" s="17"/>
      <c r="KY183" s="17"/>
    </row>
    <row r="184" spans="1:311" x14ac:dyDescent="0.25">
      <c r="A184" s="17"/>
      <c r="B184" s="17"/>
      <c r="C184" s="17"/>
      <c r="D184" s="17"/>
      <c r="E184" s="17"/>
      <c r="F184" s="17"/>
      <c r="G184" s="17"/>
      <c r="H184" s="17"/>
      <c r="I184" s="17"/>
      <c r="J184" s="17"/>
      <c r="K184" s="17"/>
      <c r="L184" s="17"/>
      <c r="M184" s="17"/>
      <c r="N184" s="17"/>
      <c r="O184" s="17"/>
      <c r="P184" s="17"/>
      <c r="Q184" s="17"/>
      <c r="R184" s="17"/>
      <c r="S184" s="17"/>
      <c r="T184" s="17"/>
      <c r="U184" s="17"/>
      <c r="V184" s="17"/>
      <c r="W184" s="17"/>
      <c r="X184" s="17"/>
      <c r="Y184" s="17"/>
      <c r="Z184" s="17"/>
      <c r="AA184" s="17"/>
      <c r="AB184" s="17"/>
      <c r="AC184" s="17"/>
      <c r="AD184" s="17"/>
      <c r="AE184" s="17"/>
      <c r="AF184" s="17"/>
      <c r="AG184" s="17"/>
      <c r="AH184" s="17"/>
      <c r="AI184" s="17"/>
      <c r="AJ184" s="17"/>
      <c r="AK184" s="17"/>
      <c r="AL184" s="17"/>
      <c r="AM184" s="17"/>
      <c r="AN184" s="17"/>
      <c r="AO184" s="17"/>
      <c r="AP184" s="17"/>
      <c r="AQ184" s="17"/>
      <c r="AR184" s="17"/>
      <c r="AS184" s="17"/>
      <c r="AT184" s="17"/>
      <c r="AU184" s="17"/>
      <c r="AV184" s="17"/>
      <c r="AW184" s="17"/>
      <c r="AX184" s="17"/>
      <c r="AY184" s="17"/>
      <c r="AZ184" s="17"/>
      <c r="BA184" s="17"/>
      <c r="BB184" s="17"/>
      <c r="BC184" s="17"/>
      <c r="BD184" s="17"/>
      <c r="BE184" s="17"/>
      <c r="BF184" s="17"/>
      <c r="BG184" s="17"/>
      <c r="BH184" s="17"/>
      <c r="BI184" s="17"/>
      <c r="BJ184" s="17"/>
      <c r="BK184" s="17"/>
      <c r="BL184" s="17"/>
      <c r="BM184" s="17"/>
      <c r="BN184" s="17"/>
      <c r="BO184" s="17"/>
      <c r="BP184" s="17"/>
      <c r="BQ184" s="17"/>
      <c r="BR184" s="17"/>
      <c r="BS184" s="17"/>
      <c r="BT184" s="17"/>
      <c r="BU184" s="17"/>
      <c r="BV184" s="17"/>
      <c r="BW184" s="17"/>
      <c r="BX184" s="17"/>
      <c r="BY184" s="17"/>
      <c r="BZ184" s="17"/>
      <c r="CA184" s="17"/>
      <c r="CB184" s="17"/>
      <c r="CC184" s="17"/>
      <c r="CD184" s="17"/>
      <c r="CE184" s="17"/>
      <c r="CF184" s="17"/>
      <c r="CG184" s="17"/>
      <c r="CH184" s="17"/>
      <c r="CI184" s="17"/>
      <c r="CJ184" s="17"/>
      <c r="CK184" s="17"/>
      <c r="CL184" s="17"/>
      <c r="CM184" s="17"/>
      <c r="CN184" s="17"/>
      <c r="CO184" s="17"/>
      <c r="CP184" s="17"/>
      <c r="CQ184" s="17"/>
      <c r="CR184" s="17"/>
      <c r="CS184" s="17"/>
      <c r="CT184" s="17"/>
      <c r="CU184" s="17"/>
      <c r="CV184" s="17"/>
      <c r="CW184" s="17"/>
      <c r="CX184" s="17"/>
      <c r="CY184" s="17"/>
      <c r="CZ184" s="17"/>
      <c r="DA184" s="17"/>
      <c r="DB184" s="17"/>
      <c r="DC184" s="17"/>
      <c r="DD184" s="17"/>
      <c r="DE184" s="17"/>
      <c r="DF184" s="17"/>
      <c r="DG184" s="17"/>
      <c r="DH184" s="17"/>
      <c r="DI184" s="17"/>
      <c r="DJ184" s="17"/>
      <c r="DK184" s="17"/>
      <c r="DL184" s="17"/>
      <c r="DM184" s="17"/>
      <c r="DN184" s="17"/>
      <c r="DO184" s="17"/>
      <c r="DP184" s="17"/>
      <c r="DQ184" s="17"/>
      <c r="DR184" s="17"/>
      <c r="DS184" s="17"/>
      <c r="DT184" s="17"/>
      <c r="DU184" s="17"/>
      <c r="DV184" s="17"/>
      <c r="DW184" s="17"/>
      <c r="DX184" s="17"/>
      <c r="DY184" s="17"/>
      <c r="DZ184" s="17"/>
      <c r="EA184" s="17"/>
      <c r="EB184" s="17"/>
      <c r="EC184" s="17"/>
      <c r="ED184" s="17"/>
      <c r="EE184" s="17"/>
      <c r="EF184" s="17"/>
      <c r="EG184" s="17"/>
      <c r="EH184" s="17"/>
      <c r="EI184" s="17"/>
      <c r="EJ184" s="17"/>
      <c r="EK184" s="17"/>
      <c r="EL184" s="17"/>
      <c r="EM184" s="17"/>
      <c r="EN184" s="17"/>
      <c r="EO184" s="17"/>
      <c r="EP184" s="17"/>
      <c r="EQ184" s="17"/>
      <c r="ER184" s="17"/>
      <c r="ES184" s="17"/>
      <c r="ET184" s="17"/>
      <c r="EU184" s="17"/>
      <c r="EV184" s="17"/>
      <c r="EW184" s="17"/>
      <c r="EX184" s="17"/>
      <c r="EY184" s="17"/>
      <c r="EZ184" s="17"/>
      <c r="FA184" s="17"/>
      <c r="FB184" s="17"/>
      <c r="FC184" s="17"/>
      <c r="FD184" s="17"/>
      <c r="FE184" s="17"/>
      <c r="FF184" s="17"/>
      <c r="FG184" s="17"/>
      <c r="FH184" s="17"/>
      <c r="FI184" s="17"/>
      <c r="FJ184" s="17"/>
      <c r="FK184" s="17"/>
      <c r="FL184" s="17"/>
      <c r="FM184" s="17"/>
      <c r="FN184" s="17"/>
      <c r="FO184" s="17"/>
      <c r="FP184" s="17"/>
      <c r="FQ184" s="17"/>
      <c r="FR184" s="17"/>
      <c r="FS184" s="17"/>
      <c r="FT184" s="17"/>
      <c r="FU184" s="17"/>
      <c r="FV184" s="17"/>
      <c r="FW184" s="17"/>
      <c r="FX184" s="17"/>
      <c r="FY184" s="17"/>
      <c r="FZ184" s="17"/>
      <c r="GA184" s="17"/>
      <c r="GB184" s="17"/>
      <c r="GC184" s="17"/>
      <c r="GD184" s="17"/>
      <c r="GE184" s="17"/>
      <c r="GF184" s="17"/>
      <c r="GG184" s="17"/>
      <c r="GH184" s="17"/>
      <c r="GI184" s="17"/>
      <c r="GJ184" s="17"/>
      <c r="GK184" s="17"/>
      <c r="GL184" s="17"/>
      <c r="GM184" s="17"/>
      <c r="GN184" s="17"/>
      <c r="GO184" s="17"/>
      <c r="GP184" s="17"/>
      <c r="GQ184" s="17"/>
      <c r="GR184" s="17"/>
      <c r="GS184" s="17"/>
      <c r="GT184" s="17"/>
      <c r="GU184" s="17"/>
      <c r="GV184" s="17"/>
      <c r="GW184" s="17"/>
      <c r="GX184" s="17"/>
      <c r="GY184" s="17"/>
      <c r="GZ184" s="17"/>
      <c r="HA184" s="17"/>
      <c r="HB184" s="17"/>
      <c r="HC184" s="17"/>
      <c r="HD184" s="17"/>
      <c r="HE184" s="17"/>
      <c r="HF184" s="17"/>
      <c r="HG184" s="17"/>
      <c r="HH184" s="17"/>
      <c r="HI184" s="17"/>
      <c r="HJ184" s="17"/>
      <c r="HK184" s="17"/>
      <c r="HL184" s="17"/>
      <c r="HM184" s="17"/>
      <c r="HN184" s="17"/>
      <c r="HO184" s="17"/>
      <c r="HP184" s="17"/>
      <c r="HQ184" s="17"/>
      <c r="HR184" s="17"/>
      <c r="HS184" s="17"/>
      <c r="HT184" s="17"/>
      <c r="HU184" s="17"/>
      <c r="HV184" s="17"/>
      <c r="HW184" s="17"/>
      <c r="HX184" s="17"/>
      <c r="HY184" s="17"/>
      <c r="HZ184" s="17"/>
      <c r="IA184" s="17"/>
      <c r="IB184" s="17"/>
      <c r="IC184" s="17"/>
      <c r="ID184" s="17"/>
      <c r="IE184" s="17"/>
      <c r="IF184" s="17"/>
      <c r="IG184" s="17"/>
      <c r="IH184" s="17"/>
      <c r="II184" s="17"/>
      <c r="IJ184" s="17"/>
      <c r="IK184" s="17"/>
      <c r="IL184" s="17"/>
      <c r="IM184" s="17"/>
      <c r="IN184" s="17"/>
      <c r="IO184" s="17"/>
      <c r="IP184" s="17"/>
      <c r="IQ184" s="17"/>
      <c r="IR184" s="17"/>
      <c r="IS184" s="17"/>
      <c r="IT184" s="17"/>
      <c r="IU184" s="17"/>
      <c r="IV184" s="17"/>
      <c r="IW184" s="17"/>
      <c r="IX184" s="17"/>
      <c r="IY184" s="17"/>
      <c r="IZ184" s="17"/>
      <c r="JA184" s="17"/>
      <c r="JB184" s="17"/>
      <c r="JC184" s="17"/>
      <c r="JD184" s="17"/>
      <c r="JE184" s="17"/>
      <c r="JF184" s="17"/>
      <c r="JG184" s="17"/>
      <c r="JH184" s="17"/>
      <c r="JI184" s="17"/>
      <c r="JJ184" s="17"/>
      <c r="JK184" s="17"/>
      <c r="JL184" s="17"/>
      <c r="JM184" s="17"/>
      <c r="JN184" s="17"/>
      <c r="JO184" s="17"/>
      <c r="JP184" s="17"/>
      <c r="JQ184" s="17"/>
      <c r="JR184" s="17"/>
      <c r="JS184" s="17"/>
      <c r="JT184" s="17"/>
      <c r="JU184" s="17"/>
      <c r="JV184" s="17"/>
      <c r="JW184" s="17"/>
      <c r="JX184" s="17"/>
      <c r="JY184" s="17"/>
      <c r="JZ184" s="17"/>
      <c r="KA184" s="17"/>
      <c r="KB184" s="17"/>
      <c r="KC184" s="17"/>
      <c r="KD184" s="17"/>
      <c r="KE184" s="17"/>
      <c r="KF184" s="17"/>
      <c r="KG184" s="17"/>
      <c r="KH184" s="17"/>
      <c r="KI184" s="17"/>
      <c r="KJ184" s="17"/>
      <c r="KK184" s="17"/>
      <c r="KL184" s="17"/>
      <c r="KM184" s="17"/>
      <c r="KN184" s="17"/>
      <c r="KO184" s="17"/>
      <c r="KP184" s="17"/>
      <c r="KQ184" s="17"/>
      <c r="KR184" s="17"/>
      <c r="KS184" s="17"/>
      <c r="KT184" s="17"/>
      <c r="KU184" s="17"/>
      <c r="KV184" s="17"/>
      <c r="KW184" s="17"/>
      <c r="KX184" s="17"/>
      <c r="KY184" s="17"/>
    </row>
    <row r="185" spans="1:311" x14ac:dyDescent="0.25">
      <c r="A185" s="17"/>
      <c r="B185" s="17"/>
      <c r="C185" s="17"/>
      <c r="D185" s="17"/>
      <c r="E185" s="17"/>
      <c r="F185" s="17"/>
      <c r="G185" s="17"/>
      <c r="H185" s="17"/>
      <c r="I185" s="17"/>
      <c r="J185" s="17"/>
      <c r="K185" s="17"/>
      <c r="L185" s="17"/>
      <c r="M185" s="17"/>
      <c r="N185" s="17"/>
      <c r="O185" s="17"/>
      <c r="P185" s="17"/>
      <c r="Q185" s="17"/>
      <c r="R185" s="17"/>
      <c r="S185" s="17"/>
      <c r="T185" s="17"/>
      <c r="U185" s="17"/>
      <c r="V185" s="17"/>
      <c r="W185" s="17"/>
      <c r="X185" s="17"/>
      <c r="Y185" s="17"/>
      <c r="Z185" s="17"/>
      <c r="AA185" s="17"/>
      <c r="AB185" s="17"/>
      <c r="AC185" s="17"/>
      <c r="AD185" s="17"/>
      <c r="AE185" s="17"/>
      <c r="AF185" s="17"/>
      <c r="AG185" s="17"/>
      <c r="AH185" s="17"/>
      <c r="AI185" s="17"/>
      <c r="AJ185" s="17"/>
      <c r="AK185" s="17"/>
      <c r="AL185" s="17"/>
      <c r="AM185" s="17"/>
      <c r="AN185" s="17"/>
      <c r="AO185" s="17"/>
      <c r="AP185" s="17"/>
      <c r="AQ185" s="17"/>
      <c r="AR185" s="17"/>
      <c r="AS185" s="17"/>
      <c r="AT185" s="17"/>
      <c r="AU185" s="17"/>
      <c r="AV185" s="17"/>
      <c r="AW185" s="17"/>
      <c r="AX185" s="17"/>
      <c r="AY185" s="17"/>
      <c r="AZ185" s="17"/>
      <c r="BA185" s="17"/>
      <c r="BB185" s="17"/>
      <c r="BC185" s="17"/>
      <c r="BD185" s="17"/>
      <c r="BE185" s="17"/>
      <c r="BF185" s="17"/>
      <c r="BG185" s="17"/>
      <c r="BH185" s="17"/>
      <c r="BI185" s="17"/>
      <c r="BJ185" s="17"/>
      <c r="BK185" s="17"/>
      <c r="BL185" s="17"/>
      <c r="BM185" s="17"/>
      <c r="BN185" s="17"/>
      <c r="BO185" s="17"/>
      <c r="BP185" s="17"/>
      <c r="BQ185" s="17"/>
      <c r="BR185" s="17"/>
      <c r="BS185" s="17"/>
      <c r="BT185" s="17"/>
      <c r="BU185" s="17"/>
      <c r="BV185" s="17"/>
      <c r="BW185" s="17"/>
      <c r="BX185" s="17"/>
      <c r="BY185" s="17"/>
      <c r="BZ185" s="17"/>
      <c r="CA185" s="17"/>
      <c r="CB185" s="17"/>
      <c r="CC185" s="17"/>
      <c r="CD185" s="17"/>
      <c r="CE185" s="17"/>
      <c r="CF185" s="17"/>
      <c r="CG185" s="17"/>
      <c r="CH185" s="17"/>
      <c r="CI185" s="17"/>
      <c r="CJ185" s="17"/>
      <c r="CK185" s="17"/>
      <c r="CL185" s="17"/>
      <c r="CM185" s="17"/>
      <c r="CN185" s="17"/>
      <c r="CO185" s="17"/>
      <c r="CP185" s="17"/>
      <c r="CQ185" s="17"/>
      <c r="CR185" s="17"/>
      <c r="CS185" s="17"/>
      <c r="CT185" s="17"/>
      <c r="CU185" s="17"/>
      <c r="CV185" s="17"/>
      <c r="CW185" s="17"/>
      <c r="CX185" s="17"/>
      <c r="CY185" s="17"/>
      <c r="CZ185" s="17"/>
      <c r="DA185" s="17"/>
      <c r="DB185" s="17"/>
      <c r="DC185" s="17"/>
      <c r="DD185" s="17"/>
      <c r="DE185" s="17"/>
      <c r="DF185" s="17"/>
      <c r="DG185" s="17"/>
      <c r="DH185" s="17"/>
      <c r="DI185" s="17"/>
      <c r="DJ185" s="17"/>
      <c r="DK185" s="17"/>
      <c r="DL185" s="17"/>
      <c r="DM185" s="17"/>
      <c r="DN185" s="17"/>
      <c r="DO185" s="17"/>
      <c r="DP185" s="17"/>
      <c r="DQ185" s="17"/>
      <c r="DR185" s="17"/>
      <c r="DS185" s="17"/>
      <c r="DT185" s="17"/>
      <c r="DU185" s="17"/>
      <c r="DV185" s="17"/>
      <c r="DW185" s="17"/>
      <c r="DX185" s="17"/>
      <c r="DY185" s="17"/>
      <c r="DZ185" s="17"/>
      <c r="EA185" s="17"/>
      <c r="EB185" s="17"/>
      <c r="EC185" s="17"/>
      <c r="ED185" s="17"/>
      <c r="EE185" s="17"/>
      <c r="EF185" s="17"/>
      <c r="EG185" s="17"/>
      <c r="EH185" s="17"/>
      <c r="EI185" s="17"/>
      <c r="EJ185" s="17"/>
      <c r="EK185" s="17"/>
      <c r="EL185" s="17"/>
      <c r="EM185" s="17"/>
      <c r="EN185" s="17"/>
      <c r="EO185" s="17"/>
      <c r="EP185" s="17"/>
      <c r="EQ185" s="17"/>
      <c r="ER185" s="17"/>
      <c r="ES185" s="17"/>
      <c r="ET185" s="17"/>
      <c r="EU185" s="17"/>
      <c r="EV185" s="17"/>
      <c r="EW185" s="17"/>
      <c r="EX185" s="17"/>
      <c r="EY185" s="17"/>
      <c r="EZ185" s="17"/>
      <c r="FA185" s="17"/>
      <c r="FB185" s="17"/>
      <c r="FC185" s="17"/>
      <c r="FD185" s="17"/>
      <c r="FE185" s="17"/>
      <c r="FF185" s="17"/>
      <c r="FG185" s="17"/>
      <c r="FH185" s="17"/>
      <c r="FI185" s="17"/>
      <c r="FJ185" s="17"/>
      <c r="FK185" s="17"/>
      <c r="FL185" s="17"/>
      <c r="FM185" s="17"/>
      <c r="FN185" s="17"/>
      <c r="FO185" s="17"/>
      <c r="FP185" s="17"/>
      <c r="FQ185" s="17"/>
      <c r="FR185" s="17"/>
      <c r="FS185" s="17"/>
      <c r="FT185" s="17"/>
      <c r="FU185" s="17"/>
      <c r="FV185" s="17"/>
      <c r="FW185" s="17"/>
      <c r="FX185" s="17"/>
      <c r="FY185" s="17"/>
      <c r="FZ185" s="17"/>
      <c r="GA185" s="17"/>
      <c r="GB185" s="17"/>
      <c r="GC185" s="17"/>
      <c r="GD185" s="17"/>
      <c r="GE185" s="17"/>
      <c r="GF185" s="17"/>
      <c r="GG185" s="17"/>
      <c r="GH185" s="17"/>
      <c r="GI185" s="17"/>
      <c r="GJ185" s="17"/>
      <c r="GK185" s="17"/>
      <c r="GL185" s="17"/>
      <c r="GM185" s="17"/>
      <c r="GN185" s="17"/>
      <c r="GO185" s="17"/>
      <c r="GP185" s="17"/>
      <c r="GQ185" s="17"/>
      <c r="GR185" s="17"/>
      <c r="GS185" s="17"/>
      <c r="GT185" s="17"/>
      <c r="GU185" s="17"/>
      <c r="GV185" s="17"/>
      <c r="GW185" s="17"/>
      <c r="GX185" s="17"/>
      <c r="GY185" s="17"/>
      <c r="GZ185" s="17"/>
      <c r="HA185" s="17"/>
      <c r="HB185" s="17"/>
      <c r="HC185" s="17"/>
      <c r="HD185" s="17"/>
      <c r="HE185" s="17"/>
      <c r="HF185" s="17"/>
      <c r="HG185" s="17"/>
      <c r="HH185" s="17"/>
      <c r="HI185" s="17"/>
      <c r="HJ185" s="17"/>
      <c r="HK185" s="17"/>
      <c r="HL185" s="17"/>
      <c r="HM185" s="17"/>
      <c r="HN185" s="17"/>
      <c r="HO185" s="17"/>
      <c r="HP185" s="17"/>
      <c r="HQ185" s="17"/>
      <c r="HR185" s="17"/>
      <c r="HS185" s="17"/>
      <c r="HT185" s="17"/>
      <c r="HU185" s="17"/>
      <c r="HV185" s="17"/>
      <c r="HW185" s="17"/>
      <c r="HX185" s="17"/>
      <c r="HY185" s="17"/>
      <c r="HZ185" s="17"/>
      <c r="IA185" s="17"/>
      <c r="IB185" s="17"/>
      <c r="IC185" s="17"/>
      <c r="ID185" s="17"/>
      <c r="IE185" s="17"/>
      <c r="IF185" s="17"/>
      <c r="IG185" s="17"/>
      <c r="IH185" s="17"/>
      <c r="II185" s="17"/>
      <c r="IJ185" s="17"/>
      <c r="IK185" s="17"/>
      <c r="IL185" s="17"/>
      <c r="IM185" s="17"/>
      <c r="IN185" s="17"/>
      <c r="IO185" s="17"/>
      <c r="IP185" s="17"/>
      <c r="IQ185" s="17"/>
      <c r="IR185" s="17"/>
      <c r="IS185" s="17"/>
      <c r="IT185" s="17"/>
      <c r="IU185" s="17"/>
      <c r="IV185" s="17"/>
      <c r="IW185" s="17"/>
      <c r="IX185" s="17"/>
      <c r="IY185" s="17"/>
      <c r="IZ185" s="17"/>
      <c r="JA185" s="17"/>
      <c r="JB185" s="17"/>
      <c r="JC185" s="17"/>
      <c r="JD185" s="17"/>
      <c r="JE185" s="17"/>
      <c r="JF185" s="17"/>
      <c r="JG185" s="17"/>
      <c r="JH185" s="17"/>
      <c r="JI185" s="17"/>
      <c r="JJ185" s="17"/>
      <c r="JK185" s="17"/>
      <c r="JL185" s="17"/>
      <c r="JM185" s="17"/>
      <c r="JN185" s="17"/>
      <c r="JO185" s="17"/>
      <c r="JP185" s="17"/>
      <c r="JQ185" s="17"/>
      <c r="JR185" s="17"/>
      <c r="JS185" s="17"/>
      <c r="JT185" s="17"/>
      <c r="JU185" s="17"/>
      <c r="JV185" s="17"/>
      <c r="JW185" s="17"/>
      <c r="JX185" s="17"/>
      <c r="JY185" s="17"/>
      <c r="JZ185" s="17"/>
      <c r="KA185" s="17"/>
      <c r="KB185" s="17"/>
      <c r="KC185" s="17"/>
      <c r="KD185" s="17"/>
      <c r="KE185" s="17"/>
      <c r="KF185" s="17"/>
      <c r="KG185" s="17"/>
      <c r="KH185" s="17"/>
      <c r="KI185" s="17"/>
      <c r="KJ185" s="17"/>
      <c r="KK185" s="17"/>
      <c r="KL185" s="17"/>
      <c r="KM185" s="17"/>
      <c r="KN185" s="17"/>
      <c r="KO185" s="17"/>
      <c r="KP185" s="17"/>
      <c r="KQ185" s="17"/>
      <c r="KR185" s="17"/>
      <c r="KS185" s="17"/>
      <c r="KT185" s="17"/>
      <c r="KU185" s="17"/>
      <c r="KV185" s="17"/>
      <c r="KW185" s="17"/>
      <c r="KX185" s="17"/>
      <c r="KY185" s="17"/>
    </row>
    <row r="186" spans="1:311" x14ac:dyDescent="0.25">
      <c r="A186" s="17"/>
      <c r="B186" s="17"/>
      <c r="C186" s="17"/>
      <c r="D186" s="17"/>
      <c r="E186" s="17"/>
      <c r="F186" s="17"/>
      <c r="G186" s="17"/>
      <c r="H186" s="17"/>
      <c r="I186" s="17"/>
      <c r="J186" s="17"/>
      <c r="K186" s="17"/>
      <c r="L186" s="17"/>
      <c r="M186" s="17"/>
      <c r="N186" s="17"/>
      <c r="O186" s="17"/>
      <c r="P186" s="17"/>
      <c r="Q186" s="17"/>
      <c r="R186" s="17"/>
      <c r="S186" s="17"/>
      <c r="T186" s="17"/>
      <c r="U186" s="17"/>
      <c r="V186" s="17"/>
      <c r="W186" s="17"/>
      <c r="X186" s="17"/>
      <c r="Y186" s="17"/>
      <c r="Z186" s="17"/>
      <c r="AA186" s="17"/>
      <c r="AB186" s="17"/>
      <c r="AC186" s="17"/>
      <c r="AD186" s="17"/>
      <c r="AE186" s="17"/>
      <c r="AF186" s="17"/>
      <c r="AG186" s="17"/>
      <c r="AH186" s="17"/>
      <c r="AI186" s="17"/>
      <c r="AJ186" s="17"/>
      <c r="AK186" s="17"/>
      <c r="AL186" s="17"/>
      <c r="AM186" s="17"/>
      <c r="AN186" s="17"/>
      <c r="AO186" s="17"/>
      <c r="AP186" s="17"/>
      <c r="AQ186" s="17"/>
      <c r="AR186" s="17"/>
      <c r="AS186" s="17"/>
      <c r="AT186" s="17"/>
      <c r="AU186" s="17"/>
      <c r="AV186" s="17"/>
      <c r="AW186" s="17"/>
      <c r="AX186" s="17"/>
      <c r="AY186" s="17"/>
      <c r="AZ186" s="17"/>
      <c r="BA186" s="17"/>
      <c r="BB186" s="17"/>
      <c r="BC186" s="17"/>
      <c r="BD186" s="17"/>
      <c r="BE186" s="17"/>
      <c r="BF186" s="17"/>
      <c r="BG186" s="17"/>
      <c r="BH186" s="17"/>
      <c r="BI186" s="17"/>
      <c r="BJ186" s="17"/>
      <c r="BK186" s="17"/>
      <c r="BL186" s="17"/>
      <c r="BM186" s="17"/>
      <c r="BN186" s="17"/>
      <c r="BO186" s="17"/>
      <c r="BP186" s="17"/>
      <c r="BQ186" s="17"/>
      <c r="BR186" s="17"/>
      <c r="BS186" s="17"/>
      <c r="BT186" s="17"/>
      <c r="BU186" s="17"/>
      <c r="BV186" s="17"/>
      <c r="BW186" s="17"/>
      <c r="BX186" s="17"/>
      <c r="BY186" s="17"/>
      <c r="BZ186" s="17"/>
      <c r="CA186" s="17"/>
      <c r="CB186" s="17"/>
      <c r="CC186" s="17"/>
      <c r="CD186" s="17"/>
      <c r="CE186" s="17"/>
      <c r="CF186" s="17"/>
      <c r="CG186" s="17"/>
      <c r="CH186" s="17"/>
      <c r="CI186" s="17"/>
      <c r="CJ186" s="17"/>
      <c r="CK186" s="17"/>
      <c r="CL186" s="17"/>
      <c r="CM186" s="17"/>
      <c r="CN186" s="17"/>
      <c r="CO186" s="17"/>
      <c r="CP186" s="17"/>
      <c r="CQ186" s="17"/>
      <c r="CR186" s="17"/>
      <c r="CS186" s="17"/>
      <c r="CT186" s="17"/>
      <c r="CU186" s="17"/>
      <c r="CV186" s="17"/>
      <c r="CW186" s="17"/>
      <c r="CX186" s="17"/>
      <c r="CY186" s="17"/>
      <c r="CZ186" s="17"/>
      <c r="DA186" s="17"/>
      <c r="DB186" s="17"/>
      <c r="DC186" s="17"/>
      <c r="DD186" s="17"/>
      <c r="DE186" s="17"/>
      <c r="DF186" s="17"/>
      <c r="DG186" s="17"/>
      <c r="DH186" s="17"/>
      <c r="DI186" s="17"/>
      <c r="DJ186" s="17"/>
      <c r="DK186" s="17"/>
      <c r="DL186" s="17"/>
      <c r="DM186" s="17"/>
      <c r="DN186" s="17"/>
      <c r="DO186" s="17"/>
      <c r="DP186" s="17"/>
      <c r="DQ186" s="17"/>
      <c r="DR186" s="17"/>
      <c r="DS186" s="17"/>
      <c r="DT186" s="17"/>
      <c r="DU186" s="17"/>
      <c r="DV186" s="17"/>
      <c r="DW186" s="17"/>
      <c r="DX186" s="17"/>
      <c r="DY186" s="17"/>
      <c r="DZ186" s="17"/>
      <c r="EA186" s="17"/>
      <c r="EB186" s="17"/>
      <c r="EC186" s="17"/>
      <c r="ED186" s="17"/>
      <c r="EE186" s="17"/>
      <c r="EF186" s="17"/>
      <c r="EG186" s="17"/>
      <c r="EH186" s="17"/>
      <c r="EI186" s="17"/>
      <c r="EJ186" s="17"/>
      <c r="EK186" s="17"/>
      <c r="EL186" s="17"/>
      <c r="EM186" s="17"/>
      <c r="EN186" s="17"/>
      <c r="EO186" s="17"/>
      <c r="EP186" s="17"/>
      <c r="EQ186" s="17"/>
      <c r="ER186" s="17"/>
      <c r="ES186" s="17"/>
      <c r="ET186" s="17"/>
      <c r="EU186" s="17"/>
      <c r="EV186" s="17"/>
      <c r="EW186" s="17"/>
      <c r="EX186" s="17"/>
      <c r="EY186" s="17"/>
      <c r="EZ186" s="17"/>
      <c r="FA186" s="17"/>
      <c r="FB186" s="17"/>
      <c r="FC186" s="17"/>
      <c r="FD186" s="17"/>
      <c r="FE186" s="17"/>
      <c r="FF186" s="17"/>
      <c r="FG186" s="17"/>
      <c r="FH186" s="17"/>
      <c r="FI186" s="17"/>
      <c r="FJ186" s="17"/>
      <c r="FK186" s="17"/>
      <c r="FL186" s="17"/>
      <c r="FM186" s="17"/>
      <c r="FN186" s="17"/>
      <c r="FO186" s="17"/>
      <c r="FP186" s="17"/>
      <c r="FQ186" s="17"/>
      <c r="FR186" s="17"/>
      <c r="FS186" s="17"/>
      <c r="FT186" s="17"/>
      <c r="FU186" s="17"/>
      <c r="FV186" s="17"/>
      <c r="FW186" s="17"/>
      <c r="FX186" s="17"/>
      <c r="FY186" s="17"/>
      <c r="FZ186" s="17"/>
      <c r="GA186" s="17"/>
      <c r="GB186" s="17"/>
      <c r="GC186" s="17"/>
      <c r="GD186" s="17"/>
      <c r="GE186" s="17"/>
      <c r="GF186" s="17"/>
      <c r="GG186" s="17"/>
      <c r="GH186" s="17"/>
      <c r="GI186" s="17"/>
      <c r="GJ186" s="17"/>
      <c r="GK186" s="17"/>
      <c r="GL186" s="17"/>
      <c r="GM186" s="17"/>
      <c r="GN186" s="17"/>
      <c r="GO186" s="17"/>
      <c r="GP186" s="17"/>
      <c r="GQ186" s="17"/>
      <c r="GR186" s="17"/>
      <c r="GS186" s="17"/>
      <c r="GT186" s="17"/>
      <c r="GU186" s="17"/>
      <c r="GV186" s="17"/>
      <c r="GW186" s="17"/>
      <c r="GX186" s="17"/>
      <c r="GY186" s="17"/>
      <c r="GZ186" s="17"/>
      <c r="HA186" s="17"/>
      <c r="HB186" s="17"/>
      <c r="HC186" s="17"/>
      <c r="HD186" s="17"/>
      <c r="HE186" s="17"/>
      <c r="HF186" s="17"/>
      <c r="HG186" s="17"/>
      <c r="HH186" s="17"/>
      <c r="HI186" s="17"/>
      <c r="HJ186" s="17"/>
      <c r="HK186" s="17"/>
      <c r="HL186" s="17"/>
      <c r="HM186" s="17"/>
      <c r="HN186" s="17"/>
      <c r="HO186" s="17"/>
      <c r="HP186" s="17"/>
      <c r="HQ186" s="17"/>
      <c r="HR186" s="17"/>
      <c r="HS186" s="17"/>
      <c r="HT186" s="17"/>
      <c r="HU186" s="17"/>
      <c r="HV186" s="17"/>
      <c r="HW186" s="17"/>
      <c r="HX186" s="17"/>
      <c r="HY186" s="17"/>
      <c r="HZ186" s="17"/>
      <c r="IA186" s="17"/>
      <c r="IB186" s="17"/>
      <c r="IC186" s="17"/>
      <c r="ID186" s="17"/>
      <c r="IE186" s="17"/>
      <c r="IF186" s="17"/>
      <c r="IG186" s="17"/>
      <c r="IH186" s="17"/>
      <c r="II186" s="17"/>
      <c r="IJ186" s="17"/>
      <c r="IK186" s="17"/>
      <c r="IL186" s="17"/>
      <c r="IM186" s="17"/>
      <c r="IN186" s="17"/>
      <c r="IO186" s="17"/>
      <c r="IP186" s="17"/>
      <c r="IQ186" s="17"/>
      <c r="IR186" s="17"/>
      <c r="IS186" s="17"/>
      <c r="IT186" s="17"/>
      <c r="IU186" s="17"/>
      <c r="IV186" s="17"/>
      <c r="IW186" s="17"/>
      <c r="IX186" s="17"/>
      <c r="IY186" s="17"/>
      <c r="IZ186" s="17"/>
      <c r="JA186" s="17"/>
      <c r="JB186" s="17"/>
      <c r="JC186" s="17"/>
      <c r="JD186" s="17"/>
      <c r="JE186" s="17"/>
      <c r="JF186" s="17"/>
      <c r="JG186" s="17"/>
      <c r="JH186" s="17"/>
      <c r="JI186" s="17"/>
      <c r="JJ186" s="17"/>
      <c r="JK186" s="17"/>
      <c r="JL186" s="17"/>
      <c r="JM186" s="17"/>
      <c r="JN186" s="17"/>
      <c r="JO186" s="17"/>
      <c r="JP186" s="17"/>
      <c r="JQ186" s="17"/>
      <c r="JR186" s="17"/>
      <c r="JS186" s="17"/>
      <c r="JT186" s="17"/>
      <c r="JU186" s="17"/>
      <c r="JV186" s="17"/>
      <c r="JW186" s="17"/>
      <c r="JX186" s="17"/>
      <c r="JY186" s="17"/>
      <c r="JZ186" s="17"/>
      <c r="KA186" s="17"/>
      <c r="KB186" s="17"/>
      <c r="KC186" s="17"/>
      <c r="KD186" s="17"/>
      <c r="KE186" s="17"/>
      <c r="KF186" s="17"/>
      <c r="KG186" s="17"/>
      <c r="KH186" s="17"/>
      <c r="KI186" s="17"/>
      <c r="KJ186" s="17"/>
      <c r="KK186" s="17"/>
      <c r="KL186" s="17"/>
      <c r="KM186" s="17"/>
      <c r="KN186" s="17"/>
      <c r="KO186" s="17"/>
      <c r="KP186" s="17"/>
      <c r="KQ186" s="17"/>
      <c r="KR186" s="17"/>
      <c r="KS186" s="17"/>
      <c r="KT186" s="17"/>
      <c r="KU186" s="17"/>
      <c r="KV186" s="17"/>
      <c r="KW186" s="17"/>
      <c r="KX186" s="17"/>
      <c r="KY186" s="17"/>
    </row>
    <row r="187" spans="1:311" x14ac:dyDescent="0.25">
      <c r="A187" s="17"/>
      <c r="B187" s="17"/>
      <c r="C187" s="17"/>
      <c r="D187" s="17"/>
      <c r="E187" s="17"/>
      <c r="F187" s="17"/>
      <c r="G187" s="17"/>
      <c r="H187" s="17"/>
      <c r="I187" s="17"/>
      <c r="J187" s="17"/>
      <c r="K187" s="17"/>
      <c r="L187" s="17"/>
      <c r="M187" s="17"/>
      <c r="N187" s="17"/>
      <c r="O187" s="17"/>
      <c r="P187" s="17"/>
      <c r="Q187" s="17"/>
      <c r="R187" s="17"/>
      <c r="S187" s="17"/>
      <c r="T187" s="17"/>
      <c r="U187" s="17"/>
      <c r="V187" s="17"/>
      <c r="W187" s="17"/>
      <c r="X187" s="17"/>
      <c r="Y187" s="17"/>
      <c r="Z187" s="17"/>
      <c r="AA187" s="17"/>
      <c r="AB187" s="17"/>
      <c r="AC187" s="17"/>
      <c r="AD187" s="17"/>
      <c r="AE187" s="17"/>
      <c r="AF187" s="17"/>
      <c r="AG187" s="17"/>
      <c r="AH187" s="17"/>
      <c r="AI187" s="17"/>
      <c r="AJ187" s="17"/>
      <c r="AK187" s="17"/>
      <c r="AL187" s="17"/>
      <c r="AM187" s="17"/>
      <c r="AN187" s="17"/>
      <c r="AO187" s="17"/>
      <c r="AP187" s="17"/>
      <c r="AQ187" s="17"/>
      <c r="AR187" s="17"/>
      <c r="AS187" s="17"/>
      <c r="AT187" s="17"/>
      <c r="AU187" s="17"/>
      <c r="AV187" s="17"/>
      <c r="AW187" s="17"/>
      <c r="AX187" s="17"/>
      <c r="AY187" s="17"/>
      <c r="AZ187" s="17"/>
      <c r="BA187" s="17"/>
      <c r="BB187" s="17"/>
      <c r="BC187" s="17"/>
      <c r="BD187" s="17"/>
      <c r="BE187" s="17"/>
      <c r="BF187" s="17"/>
      <c r="BG187" s="17"/>
      <c r="BH187" s="17"/>
      <c r="BI187" s="17"/>
      <c r="BJ187" s="17"/>
      <c r="BK187" s="17"/>
      <c r="BL187" s="17"/>
      <c r="BM187" s="17"/>
      <c r="BN187" s="17"/>
      <c r="BO187" s="17"/>
      <c r="BP187" s="17"/>
      <c r="BQ187" s="17"/>
      <c r="BR187" s="17"/>
      <c r="BS187" s="17"/>
      <c r="BT187" s="17"/>
      <c r="BU187" s="17"/>
      <c r="BV187" s="17"/>
      <c r="BW187" s="17"/>
      <c r="BX187" s="17"/>
      <c r="BY187" s="17"/>
      <c r="BZ187" s="17"/>
      <c r="CA187" s="17"/>
      <c r="CB187" s="17"/>
      <c r="CC187" s="17"/>
      <c r="CD187" s="17"/>
      <c r="CE187" s="17"/>
      <c r="CF187" s="17"/>
      <c r="CG187" s="17"/>
      <c r="CH187" s="17"/>
      <c r="CI187" s="17"/>
      <c r="CJ187" s="17"/>
      <c r="CK187" s="17"/>
      <c r="CL187" s="17"/>
      <c r="CM187" s="17"/>
      <c r="CN187" s="17"/>
      <c r="CO187" s="17"/>
      <c r="CP187" s="17"/>
      <c r="CQ187" s="17"/>
      <c r="CR187" s="17"/>
      <c r="CS187" s="17"/>
      <c r="CT187" s="17"/>
      <c r="CU187" s="17"/>
      <c r="CV187" s="17"/>
      <c r="CW187" s="17"/>
      <c r="CX187" s="17"/>
      <c r="CY187" s="17"/>
      <c r="CZ187" s="17"/>
      <c r="DA187" s="17"/>
      <c r="DB187" s="17"/>
      <c r="DC187" s="17"/>
      <c r="DD187" s="17"/>
      <c r="DE187" s="17"/>
      <c r="DF187" s="17"/>
      <c r="DG187" s="17"/>
      <c r="DH187" s="17"/>
      <c r="DI187" s="17"/>
      <c r="DJ187" s="17"/>
      <c r="DK187" s="17"/>
      <c r="DL187" s="17"/>
      <c r="DM187" s="17"/>
      <c r="DN187" s="17"/>
      <c r="DO187" s="17"/>
      <c r="DP187" s="17"/>
      <c r="DQ187" s="17"/>
      <c r="DR187" s="17"/>
      <c r="DS187" s="17"/>
      <c r="DT187" s="17"/>
      <c r="DU187" s="17"/>
      <c r="DV187" s="17"/>
      <c r="DW187" s="17"/>
      <c r="DX187" s="17"/>
      <c r="DY187" s="17"/>
      <c r="DZ187" s="17"/>
      <c r="EA187" s="17"/>
      <c r="EB187" s="17"/>
      <c r="EC187" s="17"/>
      <c r="ED187" s="17"/>
      <c r="EE187" s="17"/>
      <c r="EF187" s="17"/>
      <c r="EG187" s="17"/>
      <c r="EH187" s="17"/>
      <c r="EI187" s="17"/>
      <c r="EJ187" s="17"/>
      <c r="EK187" s="17"/>
      <c r="EL187" s="17"/>
      <c r="EM187" s="17"/>
      <c r="EN187" s="17"/>
      <c r="EO187" s="17"/>
      <c r="EP187" s="17"/>
      <c r="EQ187" s="17"/>
      <c r="ER187" s="17"/>
      <c r="ES187" s="17"/>
      <c r="ET187" s="17"/>
      <c r="EU187" s="17"/>
      <c r="EV187" s="17"/>
      <c r="EW187" s="17"/>
      <c r="EX187" s="17"/>
      <c r="EY187" s="17"/>
      <c r="EZ187" s="17"/>
      <c r="FA187" s="17"/>
      <c r="FB187" s="17"/>
      <c r="FC187" s="17"/>
      <c r="FD187" s="17"/>
      <c r="FE187" s="17"/>
      <c r="FF187" s="17"/>
      <c r="FG187" s="17"/>
      <c r="FH187" s="17"/>
      <c r="FI187" s="17"/>
      <c r="FJ187" s="17"/>
      <c r="FK187" s="17"/>
      <c r="FL187" s="17"/>
      <c r="FM187" s="17"/>
      <c r="FN187" s="17"/>
      <c r="FO187" s="17"/>
      <c r="FP187" s="17"/>
      <c r="FQ187" s="17"/>
      <c r="FR187" s="17"/>
      <c r="FS187" s="17"/>
      <c r="FT187" s="17"/>
      <c r="FU187" s="17"/>
      <c r="FV187" s="17"/>
      <c r="FW187" s="17"/>
      <c r="FX187" s="17"/>
      <c r="FY187" s="17"/>
      <c r="FZ187" s="17"/>
      <c r="GA187" s="17"/>
      <c r="GB187" s="17"/>
      <c r="GC187" s="17"/>
      <c r="GD187" s="17"/>
      <c r="GE187" s="17"/>
      <c r="GF187" s="17"/>
      <c r="GG187" s="17"/>
      <c r="GH187" s="17"/>
      <c r="GI187" s="17"/>
      <c r="GJ187" s="17"/>
      <c r="GK187" s="17"/>
      <c r="GL187" s="17"/>
      <c r="GM187" s="17"/>
      <c r="GN187" s="17"/>
      <c r="GO187" s="17"/>
      <c r="GP187" s="17"/>
      <c r="GQ187" s="17"/>
      <c r="GR187" s="17"/>
      <c r="GS187" s="17"/>
      <c r="GT187" s="17"/>
      <c r="GU187" s="17"/>
      <c r="GV187" s="17"/>
      <c r="GW187" s="17"/>
      <c r="GX187" s="17"/>
      <c r="GY187" s="17"/>
      <c r="GZ187" s="17"/>
      <c r="HA187" s="17"/>
      <c r="HB187" s="17"/>
      <c r="HC187" s="17"/>
      <c r="HD187" s="17"/>
      <c r="HE187" s="17"/>
      <c r="HF187" s="17"/>
      <c r="HG187" s="17"/>
      <c r="HH187" s="17"/>
      <c r="HI187" s="17"/>
      <c r="HJ187" s="17"/>
      <c r="HK187" s="17"/>
      <c r="HL187" s="17"/>
      <c r="HM187" s="17"/>
      <c r="HN187" s="17"/>
      <c r="HO187" s="17"/>
      <c r="HP187" s="17"/>
      <c r="HQ187" s="17"/>
      <c r="HR187" s="17"/>
      <c r="HS187" s="17"/>
      <c r="HT187" s="17"/>
      <c r="HU187" s="17"/>
      <c r="HV187" s="17"/>
      <c r="HW187" s="17"/>
      <c r="HX187" s="17"/>
      <c r="HY187" s="17"/>
      <c r="HZ187" s="17"/>
      <c r="IA187" s="17"/>
      <c r="IB187" s="17"/>
      <c r="IC187" s="17"/>
      <c r="ID187" s="17"/>
      <c r="IE187" s="17"/>
      <c r="IF187" s="17"/>
      <c r="IG187" s="17"/>
      <c r="IH187" s="17"/>
      <c r="II187" s="17"/>
      <c r="IJ187" s="17"/>
      <c r="IK187" s="17"/>
      <c r="IL187" s="17"/>
      <c r="IM187" s="17"/>
      <c r="IN187" s="17"/>
      <c r="IO187" s="17"/>
      <c r="IP187" s="17"/>
      <c r="IQ187" s="17"/>
      <c r="IR187" s="17"/>
      <c r="IS187" s="17"/>
      <c r="IT187" s="17"/>
      <c r="IU187" s="17"/>
      <c r="IV187" s="17"/>
      <c r="IW187" s="17"/>
      <c r="IX187" s="17"/>
      <c r="IY187" s="17"/>
      <c r="IZ187" s="17"/>
      <c r="JA187" s="17"/>
      <c r="JB187" s="17"/>
      <c r="JC187" s="17"/>
      <c r="JD187" s="17"/>
      <c r="JE187" s="17"/>
      <c r="JF187" s="17"/>
      <c r="JG187" s="17"/>
      <c r="JH187" s="17"/>
      <c r="JI187" s="17"/>
      <c r="JJ187" s="17"/>
      <c r="JK187" s="17"/>
      <c r="JL187" s="17"/>
      <c r="JM187" s="17"/>
      <c r="JN187" s="17"/>
      <c r="JO187" s="17"/>
      <c r="JP187" s="17"/>
      <c r="JQ187" s="17"/>
      <c r="JR187" s="17"/>
      <c r="JS187" s="17"/>
      <c r="JT187" s="17"/>
      <c r="JU187" s="17"/>
      <c r="JV187" s="17"/>
      <c r="JW187" s="17"/>
      <c r="JX187" s="17"/>
      <c r="JY187" s="17"/>
      <c r="JZ187" s="17"/>
      <c r="KA187" s="17"/>
      <c r="KB187" s="17"/>
      <c r="KC187" s="17"/>
      <c r="KD187" s="17"/>
      <c r="KE187" s="17"/>
      <c r="KF187" s="17"/>
      <c r="KG187" s="17"/>
      <c r="KH187" s="17"/>
      <c r="KI187" s="17"/>
      <c r="KJ187" s="17"/>
      <c r="KK187" s="17"/>
      <c r="KL187" s="17"/>
      <c r="KM187" s="17"/>
      <c r="KN187" s="17"/>
      <c r="KO187" s="17"/>
      <c r="KP187" s="17"/>
      <c r="KQ187" s="17"/>
      <c r="KR187" s="17"/>
      <c r="KS187" s="17"/>
      <c r="KT187" s="17"/>
      <c r="KU187" s="17"/>
      <c r="KV187" s="17"/>
      <c r="KW187" s="17"/>
      <c r="KX187" s="17"/>
      <c r="KY187" s="17"/>
    </row>
    <row r="188" spans="1:311" x14ac:dyDescent="0.25">
      <c r="A188" s="17"/>
      <c r="B188" s="17"/>
      <c r="C188" s="17"/>
      <c r="D188" s="17"/>
      <c r="E188" s="17"/>
      <c r="F188" s="17"/>
      <c r="G188" s="17"/>
      <c r="H188" s="17"/>
      <c r="I188" s="17"/>
      <c r="J188" s="17"/>
      <c r="K188" s="17"/>
      <c r="L188" s="17"/>
      <c r="M188" s="17"/>
      <c r="N188" s="17"/>
      <c r="O188" s="17"/>
      <c r="P188" s="17"/>
      <c r="Q188" s="17"/>
      <c r="R188" s="17"/>
      <c r="S188" s="17"/>
      <c r="T188" s="17"/>
      <c r="U188" s="17"/>
      <c r="V188" s="17"/>
      <c r="W188" s="17"/>
      <c r="X188" s="17"/>
      <c r="Y188" s="17"/>
      <c r="Z188" s="17"/>
      <c r="AA188" s="17"/>
      <c r="AB188" s="17"/>
      <c r="AC188" s="17"/>
      <c r="AD188" s="17"/>
      <c r="AE188" s="17"/>
      <c r="AF188" s="17"/>
      <c r="AG188" s="17"/>
      <c r="AH188" s="17"/>
      <c r="AI188" s="17"/>
      <c r="AJ188" s="17"/>
      <c r="AK188" s="17"/>
      <c r="AL188" s="17"/>
      <c r="AM188" s="17"/>
      <c r="AN188" s="17"/>
      <c r="AO188" s="17"/>
      <c r="AP188" s="17"/>
      <c r="AQ188" s="17"/>
      <c r="AR188" s="17"/>
      <c r="AS188" s="17"/>
      <c r="AT188" s="17"/>
      <c r="AU188" s="17"/>
      <c r="AV188" s="17"/>
      <c r="AW188" s="17"/>
      <c r="AX188" s="17"/>
      <c r="AY188" s="17"/>
      <c r="AZ188" s="17"/>
      <c r="BA188" s="17"/>
      <c r="BB188" s="17"/>
      <c r="BC188" s="17"/>
      <c r="BD188" s="17"/>
      <c r="BE188" s="17"/>
      <c r="BF188" s="17"/>
      <c r="BG188" s="17"/>
      <c r="BH188" s="17"/>
      <c r="BI188" s="17"/>
      <c r="BJ188" s="17"/>
      <c r="BK188" s="17"/>
      <c r="BL188" s="17"/>
      <c r="BM188" s="17"/>
      <c r="BN188" s="17"/>
      <c r="BO188" s="17"/>
      <c r="BP188" s="17"/>
      <c r="BQ188" s="17"/>
      <c r="BR188" s="17"/>
      <c r="BS188" s="17"/>
      <c r="BT188" s="17"/>
      <c r="BU188" s="17"/>
      <c r="BV188" s="17"/>
      <c r="BW188" s="17"/>
      <c r="BX188" s="17"/>
      <c r="BY188" s="17"/>
      <c r="BZ188" s="17"/>
      <c r="CA188" s="17"/>
      <c r="CB188" s="17"/>
      <c r="CC188" s="17"/>
      <c r="CD188" s="17"/>
      <c r="CE188" s="17"/>
      <c r="CF188" s="17"/>
      <c r="CG188" s="17"/>
      <c r="CH188" s="17"/>
      <c r="CI188" s="17"/>
      <c r="CJ188" s="17"/>
      <c r="CK188" s="17"/>
      <c r="CL188" s="17"/>
      <c r="CM188" s="17"/>
      <c r="CN188" s="17"/>
      <c r="CO188" s="17"/>
      <c r="CP188" s="17"/>
      <c r="CQ188" s="17"/>
      <c r="CR188" s="17"/>
      <c r="CS188" s="17"/>
      <c r="CT188" s="17"/>
      <c r="CU188" s="17"/>
      <c r="CV188" s="17"/>
      <c r="CW188" s="17"/>
      <c r="CX188" s="17"/>
      <c r="CY188" s="17"/>
      <c r="CZ188" s="17"/>
      <c r="DA188" s="17"/>
      <c r="DB188" s="17"/>
      <c r="DC188" s="17"/>
      <c r="DD188" s="17"/>
      <c r="DE188" s="17"/>
      <c r="DF188" s="17"/>
      <c r="DG188" s="17"/>
      <c r="DH188" s="17"/>
      <c r="DI188" s="17"/>
      <c r="DJ188" s="17"/>
      <c r="DK188" s="17"/>
      <c r="DL188" s="17"/>
      <c r="DM188" s="17"/>
      <c r="DN188" s="17"/>
      <c r="DO188" s="17"/>
      <c r="DP188" s="17"/>
      <c r="DQ188" s="17"/>
      <c r="DR188" s="17"/>
      <c r="DS188" s="17"/>
      <c r="DT188" s="17"/>
      <c r="DU188" s="17"/>
      <c r="DV188" s="17"/>
      <c r="DW188" s="17"/>
      <c r="DX188" s="17"/>
      <c r="DY188" s="17"/>
      <c r="DZ188" s="17"/>
      <c r="EA188" s="17"/>
      <c r="EB188" s="17"/>
      <c r="EC188" s="17"/>
      <c r="ED188" s="17"/>
      <c r="EE188" s="17"/>
      <c r="EF188" s="17"/>
      <c r="EG188" s="17"/>
      <c r="EH188" s="17"/>
      <c r="EI188" s="17"/>
      <c r="EJ188" s="17"/>
      <c r="EK188" s="17"/>
      <c r="EL188" s="17"/>
      <c r="EM188" s="17"/>
      <c r="EN188" s="17"/>
      <c r="EO188" s="17"/>
      <c r="EP188" s="17"/>
      <c r="EQ188" s="17"/>
      <c r="ER188" s="17"/>
      <c r="ES188" s="17"/>
      <c r="ET188" s="17"/>
      <c r="EU188" s="17"/>
      <c r="EV188" s="17"/>
      <c r="EW188" s="17"/>
      <c r="EX188" s="17"/>
      <c r="EY188" s="17"/>
      <c r="EZ188" s="17"/>
      <c r="FA188" s="17"/>
      <c r="FB188" s="17"/>
      <c r="FC188" s="17"/>
      <c r="FD188" s="17"/>
      <c r="FE188" s="17"/>
      <c r="FF188" s="17"/>
      <c r="FG188" s="17"/>
      <c r="FH188" s="17"/>
      <c r="FI188" s="17"/>
      <c r="FJ188" s="17"/>
      <c r="FK188" s="17"/>
      <c r="FL188" s="17"/>
      <c r="FM188" s="17"/>
      <c r="FN188" s="17"/>
      <c r="FO188" s="17"/>
      <c r="FP188" s="17"/>
      <c r="FQ188" s="17"/>
      <c r="FR188" s="17"/>
      <c r="FS188" s="17"/>
      <c r="FT188" s="17"/>
      <c r="FU188" s="17"/>
      <c r="FV188" s="17"/>
      <c r="FW188" s="17"/>
      <c r="FX188" s="17"/>
      <c r="FY188" s="17"/>
      <c r="FZ188" s="17"/>
      <c r="GA188" s="17"/>
      <c r="GB188" s="17"/>
      <c r="GC188" s="17"/>
      <c r="GD188" s="17"/>
      <c r="GE188" s="17"/>
      <c r="GF188" s="17"/>
      <c r="GG188" s="17"/>
      <c r="GH188" s="17"/>
      <c r="GI188" s="17"/>
      <c r="GJ188" s="17"/>
      <c r="GK188" s="17"/>
      <c r="GL188" s="17"/>
      <c r="GM188" s="17"/>
      <c r="GN188" s="17"/>
      <c r="GO188" s="17"/>
      <c r="GP188" s="17"/>
      <c r="GQ188" s="17"/>
      <c r="GR188" s="17"/>
      <c r="GS188" s="17"/>
      <c r="GT188" s="17"/>
      <c r="GU188" s="17"/>
      <c r="GV188" s="17"/>
      <c r="GW188" s="17"/>
      <c r="GX188" s="17"/>
      <c r="GY188" s="17"/>
      <c r="GZ188" s="17"/>
      <c r="HA188" s="17"/>
      <c r="HB188" s="17"/>
      <c r="HC188" s="17"/>
      <c r="HD188" s="17"/>
      <c r="HE188" s="17"/>
      <c r="HF188" s="17"/>
      <c r="HG188" s="17"/>
      <c r="HH188" s="17"/>
      <c r="HI188" s="17"/>
      <c r="HJ188" s="17"/>
      <c r="HK188" s="17"/>
      <c r="HL188" s="17"/>
      <c r="HM188" s="17"/>
      <c r="HN188" s="17"/>
      <c r="HO188" s="17"/>
      <c r="HP188" s="17"/>
      <c r="HQ188" s="17"/>
      <c r="HR188" s="17"/>
      <c r="HS188" s="17"/>
      <c r="HT188" s="17"/>
      <c r="HU188" s="17"/>
      <c r="HV188" s="17"/>
      <c r="HW188" s="17"/>
      <c r="HX188" s="17"/>
      <c r="HY188" s="17"/>
      <c r="HZ188" s="17"/>
      <c r="IA188" s="17"/>
      <c r="IB188" s="17"/>
      <c r="IC188" s="17"/>
      <c r="ID188" s="17"/>
      <c r="IE188" s="17"/>
      <c r="IF188" s="17"/>
      <c r="IG188" s="17"/>
      <c r="IH188" s="17"/>
      <c r="II188" s="17"/>
      <c r="IJ188" s="17"/>
      <c r="IK188" s="17"/>
      <c r="IL188" s="17"/>
      <c r="IM188" s="17"/>
      <c r="IN188" s="17"/>
      <c r="IO188" s="17"/>
      <c r="IP188" s="17"/>
      <c r="IQ188" s="17"/>
      <c r="IR188" s="17"/>
      <c r="IS188" s="17"/>
      <c r="IT188" s="17"/>
      <c r="IU188" s="17"/>
      <c r="IV188" s="17"/>
      <c r="IW188" s="17"/>
      <c r="IX188" s="17"/>
      <c r="IY188" s="17"/>
      <c r="IZ188" s="17"/>
      <c r="JA188" s="17"/>
      <c r="JB188" s="17"/>
      <c r="JC188" s="17"/>
      <c r="JD188" s="17"/>
      <c r="JE188" s="17"/>
      <c r="JF188" s="17"/>
      <c r="JG188" s="17"/>
      <c r="JH188" s="17"/>
      <c r="JI188" s="17"/>
      <c r="JJ188" s="17"/>
      <c r="JK188" s="17"/>
      <c r="JL188" s="17"/>
      <c r="JM188" s="17"/>
      <c r="JN188" s="17"/>
      <c r="JO188" s="17"/>
      <c r="JP188" s="17"/>
      <c r="JQ188" s="17"/>
      <c r="JR188" s="17"/>
      <c r="JS188" s="17"/>
      <c r="JT188" s="17"/>
      <c r="JU188" s="17"/>
      <c r="JV188" s="17"/>
      <c r="JW188" s="17"/>
      <c r="JX188" s="17"/>
      <c r="JY188" s="17"/>
      <c r="JZ188" s="17"/>
      <c r="KA188" s="17"/>
      <c r="KB188" s="17"/>
      <c r="KC188" s="17"/>
      <c r="KD188" s="17"/>
      <c r="KE188" s="17"/>
      <c r="KF188" s="17"/>
      <c r="KG188" s="17"/>
      <c r="KH188" s="17"/>
      <c r="KI188" s="17"/>
      <c r="KJ188" s="17"/>
      <c r="KK188" s="17"/>
      <c r="KL188" s="17"/>
      <c r="KM188" s="17"/>
      <c r="KN188" s="17"/>
      <c r="KO188" s="17"/>
      <c r="KP188" s="17"/>
      <c r="KQ188" s="17"/>
      <c r="KR188" s="17"/>
      <c r="KS188" s="17"/>
      <c r="KT188" s="17"/>
      <c r="KU188" s="17"/>
      <c r="KV188" s="17"/>
      <c r="KW188" s="17"/>
      <c r="KX188" s="17"/>
      <c r="KY188" s="17"/>
    </row>
    <row r="189" spans="1:311" x14ac:dyDescent="0.25">
      <c r="A189" s="17"/>
      <c r="B189" s="17"/>
      <c r="C189" s="17"/>
      <c r="D189" s="17"/>
      <c r="E189" s="17"/>
      <c r="F189" s="17"/>
      <c r="G189" s="17"/>
      <c r="H189" s="17"/>
      <c r="I189" s="17"/>
      <c r="J189" s="17"/>
      <c r="K189" s="17"/>
      <c r="L189" s="17"/>
      <c r="M189" s="17"/>
      <c r="N189" s="17"/>
      <c r="O189" s="17"/>
      <c r="P189" s="17"/>
      <c r="Q189" s="17"/>
      <c r="R189" s="17"/>
      <c r="S189" s="17"/>
      <c r="T189" s="17"/>
      <c r="U189" s="17"/>
      <c r="V189" s="17"/>
      <c r="W189" s="17"/>
      <c r="X189" s="17"/>
      <c r="Y189" s="17"/>
      <c r="Z189" s="17"/>
      <c r="AA189" s="17"/>
      <c r="AB189" s="17"/>
      <c r="AC189" s="17"/>
      <c r="AD189" s="17"/>
      <c r="AE189" s="17"/>
      <c r="AF189" s="17"/>
      <c r="AG189" s="17"/>
      <c r="AH189" s="17"/>
      <c r="AI189" s="17"/>
      <c r="AJ189" s="17"/>
      <c r="AK189" s="17"/>
      <c r="AL189" s="17"/>
      <c r="AM189" s="17"/>
      <c r="AN189" s="17"/>
      <c r="AO189" s="17"/>
      <c r="AP189" s="17"/>
      <c r="AQ189" s="17"/>
      <c r="AR189" s="17"/>
      <c r="AS189" s="17"/>
      <c r="AT189" s="17"/>
      <c r="AU189" s="17"/>
      <c r="AV189" s="17"/>
      <c r="AW189" s="17"/>
      <c r="AX189" s="17"/>
      <c r="AY189" s="17"/>
      <c r="AZ189" s="17"/>
      <c r="BA189" s="17"/>
      <c r="BB189" s="17"/>
      <c r="BC189" s="17"/>
      <c r="BD189" s="17"/>
      <c r="BE189" s="17"/>
      <c r="BF189" s="17"/>
      <c r="BG189" s="17"/>
      <c r="BH189" s="17"/>
      <c r="BI189" s="17"/>
      <c r="BJ189" s="17"/>
      <c r="BK189" s="17"/>
      <c r="BL189" s="17"/>
      <c r="BM189" s="17"/>
      <c r="BN189" s="17"/>
      <c r="BO189" s="17"/>
      <c r="BP189" s="17"/>
      <c r="BQ189" s="17"/>
      <c r="BR189" s="17"/>
      <c r="BS189" s="17"/>
      <c r="BT189" s="17"/>
      <c r="BU189" s="17"/>
      <c r="BV189" s="17"/>
      <c r="BW189" s="17"/>
      <c r="BX189" s="17"/>
      <c r="BY189" s="17"/>
      <c r="BZ189" s="17"/>
      <c r="CA189" s="17"/>
      <c r="CB189" s="17"/>
      <c r="CC189" s="17"/>
      <c r="CD189" s="17"/>
      <c r="CE189" s="17"/>
      <c r="CF189" s="17"/>
      <c r="CG189" s="17"/>
      <c r="CH189" s="17"/>
      <c r="CI189" s="17"/>
      <c r="CJ189" s="17"/>
      <c r="CK189" s="17"/>
      <c r="CL189" s="17"/>
      <c r="CM189" s="17"/>
      <c r="CN189" s="17"/>
      <c r="CO189" s="17"/>
      <c r="CP189" s="17"/>
      <c r="CQ189" s="17"/>
      <c r="CR189" s="17"/>
      <c r="CS189" s="17"/>
      <c r="CT189" s="17"/>
      <c r="CU189" s="17"/>
      <c r="CV189" s="17"/>
      <c r="CW189" s="17"/>
      <c r="CX189" s="17"/>
      <c r="CY189" s="17"/>
      <c r="CZ189" s="17"/>
      <c r="DA189" s="17"/>
      <c r="DB189" s="17"/>
      <c r="DC189" s="17"/>
      <c r="DD189" s="17"/>
      <c r="DE189" s="17"/>
      <c r="DF189" s="17"/>
      <c r="DG189" s="17"/>
      <c r="DH189" s="17"/>
      <c r="DI189" s="17"/>
      <c r="DJ189" s="17"/>
      <c r="DK189" s="17"/>
      <c r="DL189" s="17"/>
      <c r="DM189" s="17"/>
      <c r="DN189" s="17"/>
      <c r="DO189" s="17"/>
      <c r="DP189" s="17"/>
      <c r="DQ189" s="17"/>
      <c r="DR189" s="17"/>
      <c r="DS189" s="17"/>
      <c r="DT189" s="17"/>
      <c r="DU189" s="17"/>
      <c r="DV189" s="17"/>
      <c r="DW189" s="17"/>
      <c r="DX189" s="17"/>
      <c r="DY189" s="17"/>
      <c r="DZ189" s="17"/>
      <c r="EA189" s="17"/>
      <c r="EB189" s="17"/>
      <c r="EC189" s="17"/>
      <c r="ED189" s="17"/>
      <c r="EE189" s="17"/>
      <c r="EF189" s="17"/>
      <c r="EG189" s="17"/>
      <c r="EH189" s="17"/>
      <c r="EI189" s="17"/>
      <c r="EJ189" s="17"/>
      <c r="EK189" s="17"/>
      <c r="EL189" s="17"/>
      <c r="EM189" s="17"/>
      <c r="EN189" s="17"/>
      <c r="EO189" s="17"/>
      <c r="EP189" s="17"/>
      <c r="EQ189" s="17"/>
      <c r="ER189" s="17"/>
      <c r="ES189" s="17"/>
      <c r="ET189" s="17"/>
      <c r="EU189" s="17"/>
      <c r="EV189" s="17"/>
      <c r="EW189" s="17"/>
      <c r="EX189" s="17"/>
      <c r="EY189" s="17"/>
      <c r="EZ189" s="17"/>
      <c r="FA189" s="17"/>
      <c r="FB189" s="17"/>
      <c r="FC189" s="17"/>
      <c r="FD189" s="17"/>
      <c r="FE189" s="17"/>
      <c r="FF189" s="17"/>
      <c r="FG189" s="17"/>
      <c r="FH189" s="17"/>
      <c r="FI189" s="17"/>
      <c r="FJ189" s="17"/>
      <c r="FK189" s="17"/>
      <c r="FL189" s="17"/>
      <c r="FM189" s="17"/>
      <c r="FN189" s="17"/>
      <c r="FO189" s="17"/>
      <c r="FP189" s="17"/>
      <c r="FQ189" s="17"/>
      <c r="FR189" s="17"/>
      <c r="FS189" s="17"/>
      <c r="FT189" s="17"/>
      <c r="FU189" s="17"/>
      <c r="FV189" s="17"/>
      <c r="FW189" s="17"/>
      <c r="FX189" s="17"/>
      <c r="FY189" s="17"/>
      <c r="FZ189" s="17"/>
      <c r="GA189" s="17"/>
      <c r="GB189" s="17"/>
      <c r="GC189" s="17"/>
      <c r="GD189" s="17"/>
      <c r="GE189" s="17"/>
      <c r="GF189" s="17"/>
      <c r="GG189" s="17"/>
      <c r="GH189" s="17"/>
      <c r="GI189" s="17"/>
      <c r="GJ189" s="17"/>
      <c r="GK189" s="17"/>
      <c r="GL189" s="17"/>
      <c r="GM189" s="17"/>
      <c r="GN189" s="17"/>
      <c r="GO189" s="17"/>
      <c r="GP189" s="17"/>
      <c r="GQ189" s="17"/>
      <c r="GR189" s="17"/>
      <c r="GS189" s="17"/>
      <c r="GT189" s="17"/>
      <c r="GU189" s="17"/>
      <c r="GV189" s="17"/>
      <c r="GW189" s="17"/>
      <c r="GX189" s="17"/>
      <c r="GY189" s="17"/>
      <c r="GZ189" s="17"/>
      <c r="HA189" s="17"/>
      <c r="HB189" s="17"/>
      <c r="HC189" s="17"/>
      <c r="HD189" s="17"/>
      <c r="HE189" s="17"/>
      <c r="HF189" s="17"/>
      <c r="HG189" s="17"/>
      <c r="HH189" s="17"/>
      <c r="HI189" s="17"/>
      <c r="HJ189" s="17"/>
      <c r="HK189" s="17"/>
      <c r="HL189" s="17"/>
      <c r="HM189" s="17"/>
      <c r="HN189" s="17"/>
      <c r="HO189" s="17"/>
      <c r="HP189" s="17"/>
      <c r="HQ189" s="17"/>
      <c r="HR189" s="17"/>
      <c r="HS189" s="17"/>
      <c r="HT189" s="17"/>
      <c r="HU189" s="17"/>
      <c r="HV189" s="17"/>
      <c r="HW189" s="17"/>
      <c r="HX189" s="17"/>
      <c r="HY189" s="17"/>
      <c r="HZ189" s="17"/>
      <c r="IA189" s="17"/>
      <c r="IB189" s="17"/>
      <c r="IC189" s="17"/>
      <c r="ID189" s="17"/>
      <c r="IE189" s="17"/>
      <c r="IF189" s="17"/>
      <c r="IG189" s="17"/>
      <c r="IH189" s="17"/>
      <c r="II189" s="17"/>
      <c r="IJ189" s="17"/>
      <c r="IK189" s="17"/>
      <c r="IL189" s="17"/>
      <c r="IM189" s="17"/>
      <c r="IN189" s="17"/>
      <c r="IO189" s="17"/>
      <c r="IP189" s="17"/>
      <c r="IQ189" s="17"/>
      <c r="IR189" s="17"/>
      <c r="IS189" s="17"/>
      <c r="IT189" s="17"/>
      <c r="IU189" s="17"/>
      <c r="IV189" s="17"/>
      <c r="IW189" s="17"/>
      <c r="IX189" s="17"/>
      <c r="IY189" s="17"/>
      <c r="IZ189" s="17"/>
      <c r="JA189" s="17"/>
      <c r="JB189" s="17"/>
      <c r="JC189" s="17"/>
      <c r="JD189" s="17"/>
      <c r="JE189" s="17"/>
      <c r="JF189" s="17"/>
      <c r="JG189" s="17"/>
      <c r="JH189" s="17"/>
      <c r="JI189" s="17"/>
      <c r="JJ189" s="17"/>
      <c r="JK189" s="17"/>
      <c r="JL189" s="17"/>
      <c r="JM189" s="17"/>
      <c r="JN189" s="17"/>
      <c r="JO189" s="17"/>
      <c r="JP189" s="17"/>
      <c r="JQ189" s="17"/>
      <c r="JR189" s="17"/>
      <c r="JS189" s="17"/>
      <c r="JT189" s="17"/>
      <c r="JU189" s="17"/>
      <c r="JV189" s="17"/>
      <c r="JW189" s="17"/>
      <c r="JX189" s="17"/>
      <c r="JY189" s="17"/>
      <c r="JZ189" s="17"/>
      <c r="KA189" s="17"/>
      <c r="KB189" s="17"/>
      <c r="KC189" s="17"/>
      <c r="KD189" s="17"/>
      <c r="KE189" s="17"/>
      <c r="KF189" s="17"/>
      <c r="KG189" s="17"/>
      <c r="KH189" s="17"/>
      <c r="KI189" s="17"/>
      <c r="KJ189" s="17"/>
      <c r="KK189" s="17"/>
      <c r="KL189" s="17"/>
      <c r="KM189" s="17"/>
      <c r="KN189" s="17"/>
      <c r="KO189" s="17"/>
      <c r="KP189" s="17"/>
      <c r="KQ189" s="17"/>
      <c r="KR189" s="17"/>
      <c r="KS189" s="17"/>
      <c r="KT189" s="17"/>
      <c r="KU189" s="17"/>
      <c r="KV189" s="17"/>
      <c r="KW189" s="17"/>
      <c r="KX189" s="17"/>
      <c r="KY189" s="17"/>
    </row>
    <row r="190" spans="1:311" x14ac:dyDescent="0.25">
      <c r="A190" s="17"/>
      <c r="B190" s="17"/>
      <c r="C190" s="17"/>
      <c r="D190" s="17"/>
      <c r="E190" s="17"/>
      <c r="F190" s="17"/>
      <c r="G190" s="17"/>
      <c r="H190" s="17"/>
      <c r="I190" s="17"/>
      <c r="J190" s="17"/>
      <c r="K190" s="17"/>
      <c r="L190" s="17"/>
      <c r="M190" s="17"/>
      <c r="N190" s="17"/>
      <c r="O190" s="17"/>
      <c r="P190" s="17"/>
      <c r="Q190" s="17"/>
      <c r="R190" s="17"/>
      <c r="S190" s="17"/>
      <c r="T190" s="17"/>
      <c r="U190" s="17"/>
      <c r="V190" s="17"/>
      <c r="W190" s="17"/>
      <c r="X190" s="17"/>
      <c r="Y190" s="17"/>
      <c r="Z190" s="17"/>
      <c r="AA190" s="17"/>
      <c r="AB190" s="17"/>
      <c r="AC190" s="17"/>
      <c r="AD190" s="17"/>
      <c r="AE190" s="17"/>
      <c r="AF190" s="17"/>
      <c r="AG190" s="17"/>
      <c r="AH190" s="17"/>
      <c r="AI190" s="17"/>
      <c r="AJ190" s="17"/>
      <c r="AK190" s="17"/>
      <c r="AL190" s="17"/>
      <c r="AM190" s="17"/>
      <c r="AN190" s="17"/>
      <c r="AO190" s="17"/>
      <c r="AP190" s="17"/>
      <c r="AQ190" s="17"/>
      <c r="AR190" s="17"/>
      <c r="AS190" s="17"/>
      <c r="AT190" s="17"/>
      <c r="AU190" s="17"/>
      <c r="AV190" s="17"/>
      <c r="AW190" s="17"/>
      <c r="AX190" s="17"/>
      <c r="AY190" s="17"/>
      <c r="AZ190" s="17"/>
      <c r="BA190" s="17"/>
      <c r="BB190" s="17"/>
      <c r="BC190" s="17"/>
      <c r="BD190" s="17"/>
      <c r="BE190" s="17"/>
      <c r="BF190" s="17"/>
      <c r="BG190" s="17"/>
      <c r="BH190" s="17"/>
      <c r="BI190" s="17"/>
      <c r="BJ190" s="17"/>
      <c r="BK190" s="17"/>
      <c r="BL190" s="17"/>
      <c r="BM190" s="17"/>
      <c r="BN190" s="17"/>
      <c r="BO190" s="17"/>
      <c r="BP190" s="17"/>
      <c r="BQ190" s="17"/>
      <c r="BR190" s="17"/>
      <c r="BS190" s="17"/>
      <c r="BT190" s="17"/>
      <c r="BU190" s="17"/>
      <c r="BV190" s="17"/>
      <c r="BW190" s="17"/>
      <c r="BX190" s="17"/>
      <c r="BY190" s="17"/>
      <c r="BZ190" s="17"/>
      <c r="CA190" s="17"/>
      <c r="CB190" s="17"/>
      <c r="CC190" s="17"/>
      <c r="CD190" s="17"/>
      <c r="CE190" s="17"/>
      <c r="CF190" s="17"/>
      <c r="CG190" s="17"/>
      <c r="CH190" s="17"/>
      <c r="CI190" s="17"/>
      <c r="CJ190" s="17"/>
      <c r="CK190" s="17"/>
      <c r="CL190" s="17"/>
      <c r="CM190" s="17"/>
      <c r="CN190" s="17"/>
      <c r="CO190" s="17"/>
      <c r="CP190" s="17"/>
      <c r="CQ190" s="17"/>
      <c r="CR190" s="17"/>
      <c r="CS190" s="17"/>
      <c r="CT190" s="17"/>
      <c r="CU190" s="17"/>
      <c r="CV190" s="17"/>
      <c r="CW190" s="17"/>
      <c r="CX190" s="17"/>
      <c r="CY190" s="17"/>
      <c r="CZ190" s="17"/>
      <c r="DA190" s="17"/>
      <c r="DB190" s="17"/>
      <c r="DC190" s="17"/>
      <c r="DD190" s="17"/>
      <c r="DE190" s="17"/>
      <c r="DF190" s="17"/>
      <c r="DG190" s="17"/>
      <c r="DH190" s="17"/>
      <c r="DI190" s="17"/>
      <c r="DJ190" s="17"/>
      <c r="DK190" s="17"/>
      <c r="DL190" s="17"/>
      <c r="DM190" s="17"/>
      <c r="DN190" s="17"/>
      <c r="DO190" s="17"/>
      <c r="DP190" s="17"/>
      <c r="DQ190" s="17"/>
      <c r="DR190" s="17"/>
      <c r="DS190" s="17"/>
      <c r="DT190" s="17"/>
      <c r="DU190" s="17"/>
      <c r="DV190" s="17"/>
      <c r="DW190" s="17"/>
      <c r="DX190" s="17"/>
      <c r="DY190" s="17"/>
      <c r="DZ190" s="17"/>
      <c r="EA190" s="17"/>
      <c r="EB190" s="17"/>
      <c r="EC190" s="17"/>
      <c r="ED190" s="17"/>
      <c r="EE190" s="17"/>
      <c r="EF190" s="17"/>
      <c r="EG190" s="17"/>
      <c r="EH190" s="17"/>
      <c r="EI190" s="17"/>
      <c r="EJ190" s="17"/>
      <c r="EK190" s="17"/>
      <c r="EL190" s="17"/>
      <c r="EM190" s="17"/>
      <c r="EN190" s="17"/>
      <c r="EO190" s="17"/>
      <c r="EP190" s="17"/>
      <c r="EQ190" s="17"/>
      <c r="ER190" s="17"/>
      <c r="ES190" s="17"/>
      <c r="ET190" s="17"/>
      <c r="EU190" s="17"/>
      <c r="EV190" s="17"/>
      <c r="EW190" s="17"/>
      <c r="EX190" s="17"/>
      <c r="EY190" s="17"/>
      <c r="EZ190" s="17"/>
      <c r="FA190" s="17"/>
      <c r="FB190" s="17"/>
      <c r="FC190" s="17"/>
      <c r="FD190" s="17"/>
      <c r="FE190" s="17"/>
      <c r="FF190" s="17"/>
      <c r="FG190" s="17"/>
      <c r="FH190" s="17"/>
      <c r="FI190" s="17"/>
      <c r="FJ190" s="17"/>
      <c r="FK190" s="17"/>
      <c r="FL190" s="17"/>
      <c r="FM190" s="17"/>
      <c r="FN190" s="17"/>
      <c r="FO190" s="17"/>
      <c r="FP190" s="17"/>
      <c r="FQ190" s="17"/>
      <c r="FR190" s="17"/>
      <c r="FS190" s="17"/>
      <c r="FT190" s="17"/>
      <c r="FU190" s="17"/>
      <c r="FV190" s="17"/>
      <c r="FW190" s="17"/>
      <c r="FX190" s="17"/>
      <c r="FY190" s="17"/>
      <c r="FZ190" s="17"/>
      <c r="GA190" s="17"/>
      <c r="GB190" s="17"/>
      <c r="GC190" s="17"/>
      <c r="GD190" s="17"/>
      <c r="GE190" s="17"/>
      <c r="GF190" s="17"/>
      <c r="GG190" s="17"/>
      <c r="GH190" s="17"/>
      <c r="GI190" s="17"/>
      <c r="GJ190" s="17"/>
      <c r="GK190" s="17"/>
      <c r="GL190" s="17"/>
      <c r="GM190" s="17"/>
      <c r="GN190" s="17"/>
      <c r="GO190" s="17"/>
      <c r="GP190" s="17"/>
      <c r="GQ190" s="17"/>
      <c r="GR190" s="17"/>
      <c r="GS190" s="17"/>
      <c r="GT190" s="17"/>
      <c r="GU190" s="17"/>
      <c r="GV190" s="17"/>
      <c r="GW190" s="17"/>
      <c r="GX190" s="17"/>
      <c r="GY190" s="17"/>
      <c r="GZ190" s="17"/>
      <c r="HA190" s="17"/>
      <c r="HB190" s="17"/>
      <c r="HC190" s="17"/>
      <c r="HD190" s="17"/>
      <c r="HE190" s="17"/>
      <c r="HF190" s="17"/>
      <c r="HG190" s="17"/>
      <c r="HH190" s="17"/>
      <c r="HI190" s="17"/>
      <c r="HJ190" s="17"/>
      <c r="HK190" s="17"/>
      <c r="HL190" s="17"/>
      <c r="HM190" s="17"/>
      <c r="HN190" s="17"/>
      <c r="HO190" s="17"/>
      <c r="HP190" s="17"/>
      <c r="HQ190" s="17"/>
      <c r="HR190" s="17"/>
      <c r="HS190" s="17"/>
      <c r="HT190" s="17"/>
      <c r="HU190" s="17"/>
      <c r="HV190" s="17"/>
      <c r="HW190" s="17"/>
      <c r="HX190" s="17"/>
      <c r="HY190" s="17"/>
      <c r="HZ190" s="17"/>
      <c r="IA190" s="17"/>
      <c r="IB190" s="17"/>
      <c r="IC190" s="17"/>
      <c r="ID190" s="17"/>
      <c r="IE190" s="17"/>
      <c r="IF190" s="17"/>
      <c r="IG190" s="17"/>
      <c r="IH190" s="17"/>
      <c r="II190" s="17"/>
      <c r="IJ190" s="17"/>
      <c r="IK190" s="17"/>
      <c r="IL190" s="17"/>
      <c r="IM190" s="17"/>
      <c r="IN190" s="17"/>
      <c r="IO190" s="17"/>
      <c r="IP190" s="17"/>
      <c r="IQ190" s="17"/>
      <c r="IR190" s="17"/>
      <c r="IS190" s="17"/>
      <c r="IT190" s="17"/>
      <c r="IU190" s="17"/>
      <c r="IV190" s="17"/>
      <c r="IW190" s="17"/>
      <c r="IX190" s="17"/>
      <c r="IY190" s="17"/>
      <c r="IZ190" s="17"/>
      <c r="JA190" s="17"/>
      <c r="JB190" s="17"/>
      <c r="JC190" s="17"/>
      <c r="JD190" s="17"/>
      <c r="JE190" s="17"/>
      <c r="JF190" s="17"/>
      <c r="JG190" s="17"/>
      <c r="JH190" s="17"/>
      <c r="JI190" s="17"/>
      <c r="JJ190" s="17"/>
      <c r="JK190" s="17"/>
      <c r="JL190" s="17"/>
      <c r="JM190" s="17"/>
      <c r="JN190" s="17"/>
      <c r="JO190" s="17"/>
      <c r="JP190" s="17"/>
      <c r="JQ190" s="17"/>
      <c r="JR190" s="17"/>
      <c r="JS190" s="17"/>
      <c r="JT190" s="17"/>
      <c r="JU190" s="17"/>
      <c r="JV190" s="17"/>
      <c r="JW190" s="17"/>
      <c r="JX190" s="17"/>
      <c r="JY190" s="17"/>
      <c r="JZ190" s="17"/>
      <c r="KA190" s="17"/>
      <c r="KB190" s="17"/>
      <c r="KC190" s="17"/>
      <c r="KD190" s="17"/>
      <c r="KE190" s="17"/>
      <c r="KF190" s="17"/>
      <c r="KG190" s="17"/>
      <c r="KH190" s="17"/>
      <c r="KI190" s="17"/>
      <c r="KJ190" s="17"/>
      <c r="KK190" s="17"/>
      <c r="KL190" s="17"/>
      <c r="KM190" s="17"/>
      <c r="KN190" s="17"/>
      <c r="KO190" s="17"/>
      <c r="KP190" s="17"/>
      <c r="KQ190" s="17"/>
      <c r="KR190" s="17"/>
      <c r="KS190" s="17"/>
      <c r="KT190" s="17"/>
      <c r="KU190" s="17"/>
      <c r="KV190" s="17"/>
      <c r="KW190" s="17"/>
      <c r="KX190" s="17"/>
      <c r="KY190" s="17"/>
    </row>
    <row r="191" spans="1:311" x14ac:dyDescent="0.25">
      <c r="A191" s="17"/>
      <c r="B191" s="17"/>
      <c r="C191" s="17"/>
      <c r="D191" s="17"/>
      <c r="E191" s="17"/>
      <c r="F191" s="17"/>
      <c r="G191" s="17"/>
      <c r="H191" s="17"/>
      <c r="I191" s="17"/>
      <c r="J191" s="17"/>
      <c r="K191" s="17"/>
      <c r="L191" s="17"/>
      <c r="M191" s="17"/>
      <c r="N191" s="17"/>
      <c r="O191" s="17"/>
      <c r="P191" s="17"/>
      <c r="Q191" s="17"/>
      <c r="R191" s="17"/>
      <c r="S191" s="17"/>
      <c r="T191" s="17"/>
      <c r="U191" s="17"/>
      <c r="V191" s="17"/>
      <c r="W191" s="17"/>
      <c r="X191" s="17"/>
      <c r="Y191" s="17"/>
      <c r="Z191" s="17"/>
      <c r="AA191" s="17"/>
      <c r="AB191" s="17"/>
      <c r="AC191" s="17"/>
      <c r="AD191" s="17"/>
      <c r="AE191" s="17"/>
      <c r="AF191" s="17"/>
      <c r="AG191" s="17"/>
      <c r="AH191" s="17"/>
      <c r="AI191" s="17"/>
      <c r="AJ191" s="17"/>
      <c r="AK191" s="17"/>
      <c r="AL191" s="17"/>
      <c r="AM191" s="17"/>
      <c r="AN191" s="17"/>
      <c r="AO191" s="17"/>
      <c r="AP191" s="17"/>
      <c r="AQ191" s="17"/>
      <c r="AR191" s="17"/>
      <c r="AS191" s="17"/>
      <c r="AT191" s="17"/>
      <c r="AU191" s="17"/>
      <c r="AV191" s="17"/>
      <c r="AW191" s="17"/>
      <c r="AX191" s="17"/>
      <c r="AY191" s="17"/>
      <c r="AZ191" s="17"/>
      <c r="BA191" s="17"/>
      <c r="BB191" s="17"/>
      <c r="BC191" s="17"/>
      <c r="BD191" s="17"/>
      <c r="BE191" s="17"/>
      <c r="BF191" s="17"/>
      <c r="BG191" s="17"/>
      <c r="BH191" s="17"/>
      <c r="BI191" s="17"/>
      <c r="BJ191" s="17"/>
      <c r="BK191" s="17"/>
      <c r="BL191" s="17"/>
      <c r="BM191" s="17"/>
      <c r="BN191" s="17"/>
      <c r="BO191" s="17"/>
      <c r="BP191" s="17"/>
      <c r="BQ191" s="17"/>
      <c r="BR191" s="17"/>
      <c r="BS191" s="17"/>
      <c r="BT191" s="17"/>
      <c r="BU191" s="17"/>
      <c r="BV191" s="17"/>
      <c r="BW191" s="17"/>
      <c r="BX191" s="17"/>
      <c r="BY191" s="17"/>
      <c r="BZ191" s="17"/>
      <c r="CA191" s="17"/>
      <c r="CB191" s="17"/>
      <c r="CC191" s="17"/>
      <c r="CD191" s="17"/>
      <c r="CE191" s="17"/>
      <c r="CF191" s="17"/>
      <c r="CG191" s="17"/>
      <c r="CH191" s="17"/>
      <c r="CI191" s="17"/>
      <c r="CJ191" s="17"/>
      <c r="CK191" s="17"/>
      <c r="CL191" s="17"/>
      <c r="CM191" s="17"/>
      <c r="CN191" s="17"/>
      <c r="CO191" s="17"/>
      <c r="CP191" s="17"/>
      <c r="CQ191" s="17"/>
      <c r="CR191" s="17"/>
      <c r="CS191" s="17"/>
      <c r="CT191" s="17"/>
      <c r="CU191" s="17"/>
      <c r="CV191" s="17"/>
      <c r="CW191" s="17"/>
      <c r="CX191" s="17"/>
      <c r="CY191" s="17"/>
      <c r="CZ191" s="17"/>
      <c r="DA191" s="17"/>
      <c r="DB191" s="17"/>
      <c r="DC191" s="17"/>
      <c r="DD191" s="17"/>
      <c r="DE191" s="17"/>
      <c r="DF191" s="17"/>
      <c r="DG191" s="17"/>
      <c r="DH191" s="17"/>
      <c r="DI191" s="17"/>
      <c r="DJ191" s="17"/>
      <c r="DK191" s="17"/>
      <c r="DL191" s="17"/>
      <c r="DM191" s="17"/>
      <c r="DN191" s="17"/>
      <c r="DO191" s="17"/>
      <c r="DP191" s="17"/>
      <c r="DQ191" s="17"/>
      <c r="DR191" s="17"/>
      <c r="DS191" s="17"/>
      <c r="DT191" s="17"/>
      <c r="DU191" s="17"/>
      <c r="DV191" s="17"/>
      <c r="DW191" s="17"/>
      <c r="DX191" s="17"/>
      <c r="DY191" s="17"/>
      <c r="DZ191" s="17"/>
      <c r="EA191" s="17"/>
      <c r="EB191" s="17"/>
      <c r="EC191" s="17"/>
      <c r="ED191" s="17"/>
      <c r="EE191" s="17"/>
      <c r="EF191" s="17"/>
      <c r="EG191" s="17"/>
      <c r="EH191" s="17"/>
      <c r="EI191" s="17"/>
      <c r="EJ191" s="17"/>
      <c r="EK191" s="17"/>
      <c r="EL191" s="17"/>
      <c r="EM191" s="17"/>
      <c r="EN191" s="17"/>
      <c r="EO191" s="17"/>
      <c r="EP191" s="17"/>
      <c r="EQ191" s="17"/>
      <c r="ER191" s="17"/>
      <c r="ES191" s="17"/>
      <c r="ET191" s="17"/>
      <c r="EU191" s="17"/>
      <c r="EV191" s="17"/>
      <c r="EW191" s="17"/>
      <c r="EX191" s="17"/>
      <c r="EY191" s="17"/>
      <c r="EZ191" s="17"/>
      <c r="FA191" s="17"/>
      <c r="FB191" s="17"/>
      <c r="FC191" s="17"/>
      <c r="FD191" s="17"/>
      <c r="FE191" s="17"/>
      <c r="FF191" s="17"/>
      <c r="FG191" s="17"/>
      <c r="FH191" s="17"/>
      <c r="FI191" s="17"/>
      <c r="FJ191" s="17"/>
      <c r="FK191" s="17"/>
      <c r="FL191" s="17"/>
      <c r="FM191" s="17"/>
      <c r="FN191" s="17"/>
      <c r="FO191" s="17"/>
      <c r="FP191" s="17"/>
      <c r="FQ191" s="17"/>
      <c r="FR191" s="17"/>
      <c r="FS191" s="17"/>
      <c r="FT191" s="17"/>
      <c r="FU191" s="17"/>
      <c r="FV191" s="17"/>
      <c r="FW191" s="17"/>
      <c r="FX191" s="17"/>
      <c r="FY191" s="17"/>
      <c r="FZ191" s="17"/>
      <c r="GA191" s="17"/>
      <c r="GB191" s="17"/>
      <c r="GC191" s="17"/>
      <c r="GD191" s="17"/>
      <c r="GE191" s="17"/>
      <c r="GF191" s="17"/>
      <c r="GG191" s="17"/>
      <c r="GH191" s="17"/>
      <c r="GI191" s="17"/>
      <c r="GJ191" s="17"/>
      <c r="GK191" s="17"/>
      <c r="GL191" s="17"/>
      <c r="GM191" s="17"/>
      <c r="GN191" s="17"/>
      <c r="GO191" s="17"/>
      <c r="GP191" s="17"/>
      <c r="GQ191" s="17"/>
      <c r="GR191" s="17"/>
      <c r="GS191" s="17"/>
      <c r="GT191" s="17"/>
      <c r="GU191" s="17"/>
      <c r="GV191" s="17"/>
      <c r="GW191" s="17"/>
      <c r="GX191" s="17"/>
      <c r="GY191" s="17"/>
      <c r="GZ191" s="17"/>
      <c r="HA191" s="17"/>
      <c r="HB191" s="17"/>
      <c r="HC191" s="17"/>
      <c r="HD191" s="17"/>
      <c r="HE191" s="17"/>
      <c r="HF191" s="17"/>
      <c r="HG191" s="17"/>
      <c r="HH191" s="17"/>
      <c r="HI191" s="17"/>
      <c r="HJ191" s="17"/>
      <c r="HK191" s="17"/>
      <c r="HL191" s="17"/>
      <c r="HM191" s="17"/>
      <c r="HN191" s="17"/>
      <c r="HO191" s="17"/>
      <c r="HP191" s="17"/>
      <c r="HQ191" s="17"/>
      <c r="HR191" s="17"/>
      <c r="HS191" s="17"/>
      <c r="HT191" s="17"/>
      <c r="HU191" s="17"/>
      <c r="HV191" s="17"/>
      <c r="HW191" s="17"/>
      <c r="HX191" s="17"/>
      <c r="HY191" s="17"/>
      <c r="HZ191" s="17"/>
      <c r="IA191" s="17"/>
      <c r="IB191" s="17"/>
      <c r="IC191" s="17"/>
      <c r="ID191" s="17"/>
      <c r="IE191" s="17"/>
      <c r="IF191" s="17"/>
      <c r="IG191" s="17"/>
      <c r="IH191" s="17"/>
      <c r="II191" s="17"/>
      <c r="IJ191" s="17"/>
      <c r="IK191" s="17"/>
      <c r="IL191" s="17"/>
      <c r="IM191" s="17"/>
      <c r="IN191" s="17"/>
      <c r="IO191" s="17"/>
      <c r="IP191" s="17"/>
      <c r="IQ191" s="17"/>
      <c r="IR191" s="17"/>
      <c r="IS191" s="17"/>
      <c r="IT191" s="17"/>
      <c r="IU191" s="17"/>
      <c r="IV191" s="17"/>
      <c r="IW191" s="17"/>
      <c r="IX191" s="17"/>
      <c r="IY191" s="17"/>
      <c r="IZ191" s="17"/>
      <c r="JA191" s="17"/>
      <c r="JB191" s="17"/>
      <c r="JC191" s="17"/>
      <c r="JD191" s="17"/>
      <c r="JE191" s="17"/>
      <c r="JF191" s="17"/>
      <c r="JG191" s="17"/>
      <c r="JH191" s="17"/>
      <c r="JI191" s="17"/>
      <c r="JJ191" s="17"/>
      <c r="JK191" s="17"/>
      <c r="JL191" s="17"/>
      <c r="JM191" s="17"/>
      <c r="JN191" s="17"/>
      <c r="JO191" s="17"/>
      <c r="JP191" s="17"/>
      <c r="JQ191" s="17"/>
      <c r="JR191" s="17"/>
      <c r="JS191" s="17"/>
      <c r="JT191" s="17"/>
      <c r="JU191" s="17"/>
      <c r="JV191" s="17"/>
      <c r="JW191" s="17"/>
      <c r="JX191" s="17"/>
      <c r="JY191" s="17"/>
      <c r="JZ191" s="17"/>
      <c r="KA191" s="17"/>
      <c r="KB191" s="17"/>
      <c r="KC191" s="17"/>
      <c r="KD191" s="17"/>
      <c r="KE191" s="17"/>
      <c r="KF191" s="17"/>
      <c r="KG191" s="17"/>
      <c r="KH191" s="17"/>
      <c r="KI191" s="17"/>
      <c r="KJ191" s="17"/>
      <c r="KK191" s="17"/>
      <c r="KL191" s="17"/>
      <c r="KM191" s="17"/>
      <c r="KN191" s="17"/>
      <c r="KO191" s="17"/>
      <c r="KP191" s="17"/>
      <c r="KQ191" s="17"/>
      <c r="KR191" s="17"/>
      <c r="KS191" s="17"/>
      <c r="KT191" s="17"/>
      <c r="KU191" s="17"/>
      <c r="KV191" s="17"/>
      <c r="KW191" s="17"/>
      <c r="KX191" s="17"/>
      <c r="KY191" s="17"/>
    </row>
    <row r="192" spans="1:311" x14ac:dyDescent="0.25">
      <c r="A192" s="17"/>
      <c r="B192" s="17"/>
      <c r="C192" s="17"/>
      <c r="D192" s="17"/>
      <c r="E192" s="17"/>
      <c r="F192" s="17"/>
      <c r="G192" s="17"/>
      <c r="H192" s="17"/>
      <c r="I192" s="17"/>
      <c r="J192" s="17"/>
      <c r="K192" s="17"/>
      <c r="L192" s="17"/>
      <c r="M192" s="17"/>
      <c r="N192" s="17"/>
      <c r="O192" s="17"/>
      <c r="P192" s="17"/>
      <c r="Q192" s="17"/>
      <c r="R192" s="17"/>
      <c r="S192" s="17"/>
      <c r="T192" s="17"/>
      <c r="U192" s="17"/>
      <c r="V192" s="17"/>
      <c r="W192" s="17"/>
      <c r="X192" s="17"/>
      <c r="Y192" s="17"/>
      <c r="Z192" s="17"/>
      <c r="AA192" s="17"/>
      <c r="AB192" s="17"/>
      <c r="AC192" s="17"/>
      <c r="AD192" s="17"/>
      <c r="AE192" s="17"/>
      <c r="AF192" s="17"/>
      <c r="AG192" s="17"/>
      <c r="AH192" s="17"/>
      <c r="AI192" s="17"/>
      <c r="AJ192" s="17"/>
      <c r="AK192" s="17"/>
      <c r="AL192" s="17"/>
      <c r="AM192" s="17"/>
      <c r="AN192" s="17"/>
      <c r="AO192" s="17"/>
      <c r="AP192" s="17"/>
      <c r="AQ192" s="17"/>
      <c r="AR192" s="17"/>
      <c r="AS192" s="17"/>
      <c r="AT192" s="17"/>
      <c r="AU192" s="17"/>
      <c r="AV192" s="17"/>
      <c r="AW192" s="17"/>
      <c r="AX192" s="17"/>
      <c r="AY192" s="17"/>
      <c r="AZ192" s="17"/>
      <c r="BA192" s="17"/>
      <c r="BB192" s="17"/>
      <c r="BC192" s="17"/>
      <c r="BD192" s="17"/>
      <c r="BE192" s="17"/>
      <c r="BF192" s="17"/>
      <c r="BG192" s="17"/>
      <c r="BH192" s="17"/>
      <c r="BI192" s="17"/>
      <c r="BJ192" s="17"/>
      <c r="BK192" s="17"/>
      <c r="BL192" s="17"/>
      <c r="BM192" s="17"/>
      <c r="BN192" s="17"/>
      <c r="BO192" s="17"/>
      <c r="BP192" s="17"/>
      <c r="BQ192" s="17"/>
      <c r="BR192" s="17"/>
      <c r="BS192" s="17"/>
      <c r="BT192" s="17"/>
      <c r="BU192" s="17"/>
      <c r="BV192" s="17"/>
      <c r="BW192" s="17"/>
      <c r="BX192" s="17"/>
      <c r="BY192" s="17"/>
      <c r="BZ192" s="17"/>
      <c r="CA192" s="17"/>
      <c r="CB192" s="17"/>
      <c r="CC192" s="17"/>
      <c r="CD192" s="17"/>
      <c r="CE192" s="17"/>
      <c r="CF192" s="17"/>
      <c r="CG192" s="17"/>
      <c r="CH192" s="17"/>
      <c r="CI192" s="17"/>
      <c r="CJ192" s="17"/>
      <c r="CK192" s="17"/>
      <c r="CL192" s="17"/>
      <c r="CM192" s="17"/>
      <c r="CN192" s="17"/>
      <c r="CO192" s="17"/>
      <c r="CP192" s="17"/>
      <c r="CQ192" s="17"/>
      <c r="CR192" s="17"/>
      <c r="CS192" s="17"/>
      <c r="CT192" s="17"/>
      <c r="CU192" s="17"/>
      <c r="CV192" s="17"/>
      <c r="CW192" s="17"/>
      <c r="CX192" s="17"/>
      <c r="CY192" s="17"/>
      <c r="CZ192" s="17"/>
      <c r="DA192" s="17"/>
      <c r="DB192" s="17"/>
      <c r="DC192" s="17"/>
      <c r="DD192" s="17"/>
      <c r="DE192" s="17"/>
      <c r="DF192" s="17"/>
      <c r="DG192" s="17"/>
      <c r="DH192" s="17"/>
      <c r="DI192" s="17"/>
      <c r="DJ192" s="17"/>
      <c r="DK192" s="17"/>
      <c r="DL192" s="17"/>
      <c r="DM192" s="17"/>
      <c r="DN192" s="17"/>
      <c r="DO192" s="17"/>
      <c r="DP192" s="17"/>
      <c r="DQ192" s="17"/>
      <c r="DR192" s="17"/>
      <c r="DS192" s="17"/>
      <c r="DT192" s="17"/>
      <c r="DU192" s="17"/>
      <c r="DV192" s="17"/>
      <c r="DW192" s="17"/>
      <c r="DX192" s="17"/>
      <c r="DY192" s="17"/>
      <c r="DZ192" s="17"/>
      <c r="EA192" s="17"/>
      <c r="EB192" s="17"/>
      <c r="EC192" s="17"/>
      <c r="ED192" s="17"/>
      <c r="EE192" s="17"/>
      <c r="EF192" s="17"/>
      <c r="EG192" s="17"/>
      <c r="EH192" s="17"/>
      <c r="EI192" s="17"/>
      <c r="EJ192" s="17"/>
      <c r="EK192" s="17"/>
      <c r="EL192" s="17"/>
      <c r="EM192" s="17"/>
      <c r="EN192" s="17"/>
      <c r="EO192" s="17"/>
      <c r="EP192" s="17"/>
      <c r="EQ192" s="17"/>
      <c r="ER192" s="17"/>
      <c r="ES192" s="17"/>
      <c r="ET192" s="17"/>
      <c r="EU192" s="17"/>
      <c r="EV192" s="17"/>
      <c r="EW192" s="17"/>
      <c r="EX192" s="17"/>
      <c r="EY192" s="17"/>
      <c r="EZ192" s="17"/>
      <c r="FA192" s="17"/>
      <c r="FB192" s="17"/>
      <c r="FC192" s="17"/>
      <c r="FD192" s="17"/>
      <c r="FE192" s="17"/>
      <c r="FF192" s="17"/>
      <c r="FG192" s="17"/>
      <c r="FH192" s="17"/>
      <c r="FI192" s="17"/>
      <c r="FJ192" s="17"/>
      <c r="FK192" s="17"/>
      <c r="FL192" s="17"/>
      <c r="FM192" s="17"/>
      <c r="FN192" s="17"/>
      <c r="FO192" s="17"/>
      <c r="FP192" s="17"/>
      <c r="FQ192" s="17"/>
      <c r="FR192" s="17"/>
      <c r="FS192" s="17"/>
      <c r="FT192" s="17"/>
      <c r="FU192" s="17"/>
      <c r="FV192" s="17"/>
      <c r="FW192" s="17"/>
      <c r="FX192" s="17"/>
      <c r="FY192" s="17"/>
      <c r="FZ192" s="17"/>
      <c r="GA192" s="17"/>
      <c r="GB192" s="17"/>
      <c r="GC192" s="17"/>
      <c r="GD192" s="17"/>
      <c r="GE192" s="17"/>
      <c r="GF192" s="17"/>
      <c r="GG192" s="17"/>
      <c r="GH192" s="17"/>
      <c r="GI192" s="17"/>
      <c r="GJ192" s="17"/>
      <c r="GK192" s="17"/>
      <c r="GL192" s="17"/>
      <c r="GM192" s="17"/>
      <c r="GN192" s="17"/>
      <c r="GO192" s="17"/>
      <c r="GP192" s="17"/>
      <c r="GQ192" s="17"/>
      <c r="GR192" s="17"/>
      <c r="GS192" s="17"/>
      <c r="GT192" s="17"/>
      <c r="GU192" s="17"/>
      <c r="GV192" s="17"/>
      <c r="GW192" s="17"/>
      <c r="GX192" s="17"/>
      <c r="GY192" s="17"/>
      <c r="GZ192" s="17"/>
      <c r="HA192" s="17"/>
      <c r="HB192" s="17"/>
      <c r="HC192" s="17"/>
      <c r="HD192" s="17"/>
      <c r="HE192" s="17"/>
      <c r="HF192" s="17"/>
      <c r="HG192" s="17"/>
      <c r="HH192" s="17"/>
      <c r="HI192" s="17"/>
      <c r="HJ192" s="17"/>
      <c r="HK192" s="17"/>
      <c r="HL192" s="17"/>
      <c r="HM192" s="17"/>
      <c r="HN192" s="17"/>
      <c r="HO192" s="17"/>
      <c r="HP192" s="17"/>
      <c r="HQ192" s="17"/>
      <c r="HR192" s="17"/>
      <c r="HS192" s="17"/>
      <c r="HT192" s="17"/>
      <c r="HU192" s="17"/>
      <c r="HV192" s="17"/>
      <c r="HW192" s="17"/>
      <c r="HX192" s="17"/>
      <c r="HY192" s="17"/>
      <c r="HZ192" s="17"/>
      <c r="IA192" s="17"/>
      <c r="IB192" s="17"/>
      <c r="IC192" s="17"/>
      <c r="ID192" s="17"/>
      <c r="IE192" s="17"/>
      <c r="IF192" s="17"/>
      <c r="IG192" s="17"/>
      <c r="IH192" s="17"/>
      <c r="II192" s="17"/>
      <c r="IJ192" s="17"/>
      <c r="IK192" s="17"/>
      <c r="IL192" s="17"/>
      <c r="IM192" s="17"/>
      <c r="IN192" s="17"/>
      <c r="IO192" s="17"/>
      <c r="IP192" s="17"/>
      <c r="IQ192" s="17"/>
      <c r="IR192" s="17"/>
      <c r="IS192" s="17"/>
      <c r="IT192" s="17"/>
      <c r="IU192" s="17"/>
      <c r="IV192" s="17"/>
      <c r="IW192" s="17"/>
      <c r="IX192" s="17"/>
      <c r="IY192" s="17"/>
      <c r="IZ192" s="17"/>
      <c r="JA192" s="17"/>
      <c r="JB192" s="17"/>
      <c r="JC192" s="17"/>
      <c r="JD192" s="17"/>
      <c r="JE192" s="17"/>
      <c r="JF192" s="17"/>
      <c r="JG192" s="17"/>
      <c r="JH192" s="17"/>
      <c r="JI192" s="17"/>
      <c r="JJ192" s="17"/>
      <c r="JK192" s="17"/>
      <c r="JL192" s="17"/>
      <c r="JM192" s="17"/>
      <c r="JN192" s="17"/>
      <c r="JO192" s="17"/>
      <c r="JP192" s="17"/>
      <c r="JQ192" s="17"/>
      <c r="JR192" s="17"/>
      <c r="JS192" s="17"/>
      <c r="JT192" s="17"/>
      <c r="JU192" s="17"/>
      <c r="JV192" s="17"/>
      <c r="JW192" s="17"/>
      <c r="JX192" s="17"/>
      <c r="JY192" s="17"/>
      <c r="JZ192" s="17"/>
      <c r="KA192" s="17"/>
      <c r="KB192" s="17"/>
      <c r="KC192" s="17"/>
      <c r="KD192" s="17"/>
      <c r="KE192" s="17"/>
      <c r="KF192" s="17"/>
      <c r="KG192" s="17"/>
      <c r="KH192" s="17"/>
      <c r="KI192" s="17"/>
      <c r="KJ192" s="17"/>
      <c r="KK192" s="17"/>
      <c r="KL192" s="17"/>
      <c r="KM192" s="17"/>
      <c r="KN192" s="17"/>
      <c r="KO192" s="17"/>
      <c r="KP192" s="17"/>
      <c r="KQ192" s="17"/>
      <c r="KR192" s="17"/>
      <c r="KS192" s="17"/>
      <c r="KT192" s="17"/>
      <c r="KU192" s="17"/>
      <c r="KV192" s="17"/>
      <c r="KW192" s="17"/>
      <c r="KX192" s="17"/>
      <c r="KY192" s="17"/>
    </row>
    <row r="193" spans="1:311" x14ac:dyDescent="0.25">
      <c r="A193" s="17"/>
      <c r="B193" s="17"/>
      <c r="C193" s="17"/>
      <c r="D193" s="17"/>
      <c r="E193" s="17"/>
      <c r="F193" s="17"/>
      <c r="G193" s="17"/>
      <c r="H193" s="17"/>
      <c r="I193" s="17"/>
      <c r="J193" s="17"/>
      <c r="K193" s="17"/>
      <c r="L193" s="17"/>
      <c r="M193" s="17"/>
      <c r="N193" s="17"/>
      <c r="O193" s="17"/>
      <c r="P193" s="17"/>
      <c r="Q193" s="17"/>
      <c r="R193" s="17"/>
      <c r="S193" s="17"/>
      <c r="T193" s="17"/>
      <c r="U193" s="17"/>
      <c r="V193" s="17"/>
      <c r="W193" s="17"/>
      <c r="X193" s="17"/>
      <c r="Y193" s="17"/>
      <c r="Z193" s="17"/>
      <c r="AA193" s="17"/>
      <c r="AB193" s="17"/>
      <c r="AC193" s="17"/>
      <c r="AD193" s="17"/>
      <c r="AE193" s="17"/>
      <c r="AF193" s="17"/>
      <c r="AG193" s="17"/>
      <c r="AH193" s="17"/>
      <c r="AI193" s="17"/>
      <c r="AJ193" s="17"/>
      <c r="AK193" s="17"/>
      <c r="AL193" s="17"/>
      <c r="AM193" s="17"/>
      <c r="AN193" s="17"/>
      <c r="AO193" s="17"/>
      <c r="AP193" s="17"/>
      <c r="AQ193" s="17"/>
      <c r="AR193" s="17"/>
      <c r="AS193" s="17"/>
      <c r="AT193" s="17"/>
      <c r="AU193" s="17"/>
      <c r="AV193" s="17"/>
      <c r="AW193" s="17"/>
      <c r="AX193" s="17"/>
      <c r="AY193" s="17"/>
      <c r="AZ193" s="17"/>
      <c r="BA193" s="17"/>
      <c r="BB193" s="17"/>
      <c r="BC193" s="17"/>
      <c r="BD193" s="17"/>
      <c r="BE193" s="17"/>
      <c r="BF193" s="17"/>
      <c r="BG193" s="17"/>
      <c r="BH193" s="17"/>
      <c r="BI193" s="17"/>
      <c r="BJ193" s="17"/>
      <c r="BK193" s="17"/>
      <c r="BL193" s="17"/>
      <c r="BM193" s="17"/>
      <c r="BN193" s="17"/>
      <c r="BO193" s="17"/>
      <c r="BP193" s="17"/>
      <c r="BQ193" s="17"/>
      <c r="BR193" s="17"/>
      <c r="BS193" s="17"/>
      <c r="BT193" s="17"/>
      <c r="BU193" s="17"/>
      <c r="BV193" s="17"/>
      <c r="BW193" s="17"/>
      <c r="BX193" s="17"/>
      <c r="BY193" s="17"/>
      <c r="BZ193" s="17"/>
      <c r="CA193" s="17"/>
      <c r="CB193" s="17"/>
      <c r="CC193" s="17"/>
      <c r="CD193" s="17"/>
      <c r="CE193" s="17"/>
      <c r="CF193" s="17"/>
      <c r="CG193" s="17"/>
      <c r="CH193" s="17"/>
      <c r="CI193" s="17"/>
      <c r="CJ193" s="17"/>
      <c r="CK193" s="17"/>
      <c r="CL193" s="17"/>
      <c r="CM193" s="17"/>
      <c r="CN193" s="17"/>
      <c r="CO193" s="17"/>
      <c r="CP193" s="17"/>
      <c r="CQ193" s="17"/>
      <c r="CR193" s="17"/>
      <c r="CS193" s="17"/>
      <c r="CT193" s="17"/>
      <c r="CU193" s="17"/>
      <c r="CV193" s="17"/>
      <c r="CW193" s="17"/>
      <c r="CX193" s="17"/>
      <c r="CY193" s="17"/>
      <c r="CZ193" s="17"/>
      <c r="DA193" s="17"/>
      <c r="DB193" s="17"/>
      <c r="DC193" s="17"/>
      <c r="DD193" s="17"/>
      <c r="DE193" s="17"/>
      <c r="DF193" s="17"/>
      <c r="DG193" s="17"/>
      <c r="DH193" s="17"/>
      <c r="DI193" s="17"/>
      <c r="DJ193" s="17"/>
      <c r="DK193" s="17"/>
      <c r="DL193" s="17"/>
      <c r="DM193" s="17"/>
      <c r="DN193" s="17"/>
      <c r="DO193" s="17"/>
      <c r="DP193" s="17"/>
      <c r="DQ193" s="17"/>
      <c r="DR193" s="17"/>
      <c r="DS193" s="17"/>
      <c r="DT193" s="17"/>
      <c r="DU193" s="17"/>
      <c r="DV193" s="17"/>
      <c r="DW193" s="17"/>
      <c r="DX193" s="17"/>
      <c r="DY193" s="17"/>
      <c r="DZ193" s="17"/>
      <c r="EA193" s="17"/>
      <c r="EB193" s="17"/>
      <c r="EC193" s="17"/>
      <c r="ED193" s="17"/>
      <c r="EE193" s="17"/>
      <c r="EF193" s="17"/>
      <c r="EG193" s="17"/>
      <c r="EH193" s="17"/>
      <c r="EI193" s="17"/>
      <c r="EJ193" s="17"/>
      <c r="EK193" s="17"/>
      <c r="EL193" s="17"/>
      <c r="EM193" s="17"/>
      <c r="EN193" s="17"/>
      <c r="EO193" s="17"/>
      <c r="EP193" s="17"/>
      <c r="EQ193" s="17"/>
      <c r="ER193" s="17"/>
      <c r="ES193" s="17"/>
      <c r="ET193" s="17"/>
      <c r="EU193" s="17"/>
      <c r="EV193" s="17"/>
      <c r="EW193" s="17"/>
      <c r="EX193" s="17"/>
      <c r="EY193" s="17"/>
      <c r="EZ193" s="17"/>
      <c r="FA193" s="17"/>
      <c r="FB193" s="17"/>
      <c r="FC193" s="17"/>
      <c r="FD193" s="17"/>
      <c r="FE193" s="17"/>
      <c r="FF193" s="17"/>
      <c r="FG193" s="17"/>
      <c r="FH193" s="17"/>
      <c r="FI193" s="17"/>
      <c r="FJ193" s="17"/>
      <c r="FK193" s="17"/>
      <c r="FL193" s="17"/>
      <c r="FM193" s="17"/>
      <c r="FN193" s="17"/>
      <c r="FO193" s="17"/>
      <c r="FP193" s="17"/>
      <c r="FQ193" s="17"/>
      <c r="FR193" s="17"/>
      <c r="FS193" s="17"/>
      <c r="FT193" s="17"/>
      <c r="FU193" s="17"/>
      <c r="FV193" s="17"/>
      <c r="FW193" s="17"/>
      <c r="FX193" s="17"/>
      <c r="FY193" s="17"/>
      <c r="FZ193" s="17"/>
      <c r="GA193" s="17"/>
      <c r="GB193" s="17"/>
      <c r="GC193" s="17"/>
      <c r="GD193" s="17"/>
      <c r="GE193" s="17"/>
      <c r="GF193" s="17"/>
      <c r="GG193" s="17"/>
      <c r="GH193" s="17"/>
      <c r="GI193" s="17"/>
      <c r="GJ193" s="17"/>
      <c r="GK193" s="17"/>
      <c r="GL193" s="17"/>
      <c r="GM193" s="17"/>
      <c r="GN193" s="17"/>
      <c r="GO193" s="17"/>
      <c r="GP193" s="17"/>
      <c r="GQ193" s="17"/>
      <c r="GR193" s="17"/>
      <c r="GS193" s="17"/>
      <c r="GT193" s="17"/>
      <c r="GU193" s="17"/>
      <c r="GV193" s="17"/>
      <c r="GW193" s="17"/>
      <c r="GX193" s="17"/>
      <c r="GY193" s="17"/>
      <c r="GZ193" s="17"/>
      <c r="HA193" s="17"/>
      <c r="HB193" s="17"/>
      <c r="HC193" s="17"/>
      <c r="HD193" s="17"/>
      <c r="HE193" s="17"/>
      <c r="HF193" s="17"/>
      <c r="HG193" s="17"/>
      <c r="HH193" s="17"/>
      <c r="HI193" s="17"/>
      <c r="HJ193" s="17"/>
      <c r="HK193" s="17"/>
      <c r="HL193" s="17"/>
      <c r="HM193" s="17"/>
      <c r="HN193" s="17"/>
      <c r="HO193" s="17"/>
      <c r="HP193" s="17"/>
      <c r="HQ193" s="17"/>
      <c r="HR193" s="17"/>
      <c r="HS193" s="17"/>
      <c r="HT193" s="17"/>
      <c r="HU193" s="17"/>
      <c r="HV193" s="17"/>
      <c r="HW193" s="17"/>
      <c r="HX193" s="17"/>
      <c r="HY193" s="17"/>
      <c r="HZ193" s="17"/>
      <c r="IA193" s="17"/>
      <c r="IB193" s="17"/>
      <c r="IC193" s="17"/>
      <c r="ID193" s="17"/>
      <c r="IE193" s="17"/>
      <c r="IF193" s="17"/>
      <c r="IG193" s="17"/>
      <c r="IH193" s="17"/>
      <c r="II193" s="17"/>
      <c r="IJ193" s="17"/>
      <c r="IK193" s="17"/>
      <c r="IL193" s="17"/>
      <c r="IM193" s="17"/>
      <c r="IN193" s="17"/>
      <c r="IO193" s="17"/>
      <c r="IP193" s="17"/>
      <c r="IQ193" s="17"/>
      <c r="IR193" s="17"/>
      <c r="IS193" s="17"/>
      <c r="IT193" s="17"/>
      <c r="IU193" s="17"/>
      <c r="IV193" s="17"/>
      <c r="IW193" s="17"/>
      <c r="IX193" s="17"/>
      <c r="IY193" s="17"/>
      <c r="IZ193" s="17"/>
      <c r="JA193" s="17"/>
      <c r="JB193" s="17"/>
      <c r="JC193" s="17"/>
      <c r="JD193" s="17"/>
      <c r="JE193" s="17"/>
      <c r="JF193" s="17"/>
      <c r="JG193" s="17"/>
      <c r="JH193" s="17"/>
      <c r="JI193" s="17"/>
      <c r="JJ193" s="17"/>
      <c r="JK193" s="17"/>
      <c r="JL193" s="17"/>
      <c r="JM193" s="17"/>
      <c r="JN193" s="17"/>
      <c r="JO193" s="17"/>
      <c r="JP193" s="17"/>
      <c r="JQ193" s="17"/>
      <c r="JR193" s="17"/>
      <c r="JS193" s="17"/>
      <c r="JT193" s="17"/>
      <c r="JU193" s="17"/>
      <c r="JV193" s="17"/>
      <c r="JW193" s="17"/>
      <c r="JX193" s="17"/>
      <c r="JY193" s="17"/>
      <c r="JZ193" s="17"/>
      <c r="KA193" s="17"/>
      <c r="KB193" s="17"/>
      <c r="KC193" s="17"/>
      <c r="KD193" s="17"/>
      <c r="KE193" s="17"/>
      <c r="KF193" s="17"/>
      <c r="KG193" s="17"/>
      <c r="KH193" s="17"/>
      <c r="KI193" s="17"/>
      <c r="KJ193" s="17"/>
      <c r="KK193" s="17"/>
      <c r="KL193" s="17"/>
      <c r="KM193" s="17"/>
      <c r="KN193" s="17"/>
      <c r="KO193" s="17"/>
      <c r="KP193" s="17"/>
      <c r="KQ193" s="17"/>
      <c r="KR193" s="17"/>
      <c r="KS193" s="17"/>
      <c r="KT193" s="17"/>
      <c r="KU193" s="17"/>
      <c r="KV193" s="17"/>
      <c r="KW193" s="17"/>
      <c r="KX193" s="17"/>
      <c r="KY193" s="17"/>
    </row>
    <row r="194" spans="1:311" x14ac:dyDescent="0.25">
      <c r="A194" s="17"/>
      <c r="B194" s="17"/>
      <c r="C194" s="17"/>
      <c r="D194" s="17"/>
      <c r="E194" s="17"/>
      <c r="F194" s="17"/>
      <c r="G194" s="17"/>
      <c r="H194" s="17"/>
      <c r="I194" s="17"/>
      <c r="J194" s="17"/>
      <c r="K194" s="17"/>
      <c r="L194" s="17"/>
      <c r="M194" s="17"/>
      <c r="N194" s="17"/>
      <c r="O194" s="17"/>
      <c r="P194" s="17"/>
      <c r="Q194" s="17"/>
      <c r="R194" s="17"/>
      <c r="S194" s="17"/>
      <c r="T194" s="17"/>
      <c r="U194" s="17"/>
      <c r="V194" s="17"/>
      <c r="W194" s="17"/>
      <c r="X194" s="17"/>
      <c r="Y194" s="17"/>
      <c r="Z194" s="17"/>
      <c r="AA194" s="17"/>
      <c r="AB194" s="17"/>
      <c r="AC194" s="17"/>
      <c r="AD194" s="17"/>
      <c r="AE194" s="17"/>
      <c r="AF194" s="17"/>
      <c r="AG194" s="17"/>
      <c r="AH194" s="17"/>
      <c r="AI194" s="17"/>
      <c r="AJ194" s="17"/>
      <c r="AK194" s="17"/>
      <c r="AL194" s="17"/>
      <c r="AM194" s="17"/>
      <c r="AN194" s="17"/>
      <c r="AO194" s="17"/>
      <c r="AP194" s="17"/>
      <c r="AQ194" s="17"/>
      <c r="AR194" s="17"/>
      <c r="AS194" s="17"/>
      <c r="AT194" s="17"/>
      <c r="AU194" s="17"/>
      <c r="AV194" s="17"/>
      <c r="AW194" s="17"/>
      <c r="AX194" s="17"/>
      <c r="AY194" s="17"/>
      <c r="AZ194" s="17"/>
      <c r="BA194" s="17"/>
      <c r="BB194" s="17"/>
      <c r="BC194" s="17"/>
      <c r="BD194" s="17"/>
      <c r="BE194" s="17"/>
      <c r="BF194" s="17"/>
      <c r="BG194" s="17"/>
      <c r="BH194" s="17"/>
      <c r="BI194" s="17"/>
      <c r="BJ194" s="17"/>
      <c r="BK194" s="17"/>
      <c r="BL194" s="17"/>
      <c r="BM194" s="17"/>
      <c r="BN194" s="17"/>
      <c r="BO194" s="17"/>
      <c r="BP194" s="17"/>
      <c r="BQ194" s="17"/>
      <c r="BR194" s="17"/>
      <c r="BS194" s="17"/>
      <c r="BT194" s="17"/>
      <c r="BU194" s="17"/>
      <c r="BV194" s="17"/>
      <c r="BW194" s="17"/>
      <c r="BX194" s="17"/>
      <c r="BY194" s="17"/>
      <c r="BZ194" s="17"/>
      <c r="CA194" s="17"/>
      <c r="CB194" s="17"/>
      <c r="CC194" s="17"/>
      <c r="CD194" s="17"/>
      <c r="CE194" s="17"/>
      <c r="CF194" s="17"/>
      <c r="CG194" s="17"/>
      <c r="CH194" s="17"/>
      <c r="CI194" s="17"/>
      <c r="CJ194" s="17"/>
      <c r="CK194" s="17"/>
      <c r="CL194" s="17"/>
      <c r="CM194" s="17"/>
      <c r="CN194" s="17"/>
      <c r="CO194" s="17"/>
      <c r="CP194" s="17"/>
      <c r="CQ194" s="17"/>
      <c r="CR194" s="17"/>
      <c r="CS194" s="17"/>
      <c r="CT194" s="17"/>
      <c r="CU194" s="17"/>
      <c r="CV194" s="17"/>
      <c r="CW194" s="17"/>
      <c r="CX194" s="17"/>
      <c r="CY194" s="17"/>
      <c r="CZ194" s="17"/>
      <c r="DA194" s="17"/>
      <c r="DB194" s="17"/>
      <c r="DC194" s="17"/>
      <c r="DD194" s="17"/>
      <c r="DE194" s="17"/>
      <c r="DF194" s="17"/>
      <c r="DG194" s="17"/>
      <c r="DH194" s="17"/>
      <c r="DI194" s="17"/>
      <c r="DJ194" s="17"/>
      <c r="DK194" s="17"/>
      <c r="DL194" s="17"/>
      <c r="DM194" s="17"/>
      <c r="DN194" s="17"/>
      <c r="DO194" s="17"/>
      <c r="DP194" s="17"/>
      <c r="DQ194" s="17"/>
      <c r="DR194" s="17"/>
      <c r="DS194" s="17"/>
      <c r="DT194" s="17"/>
      <c r="DU194" s="17"/>
      <c r="DV194" s="17"/>
      <c r="DW194" s="17"/>
      <c r="DX194" s="17"/>
      <c r="DY194" s="17"/>
      <c r="DZ194" s="17"/>
      <c r="EA194" s="17"/>
      <c r="EB194" s="17"/>
      <c r="EC194" s="17"/>
      <c r="ED194" s="17"/>
      <c r="EE194" s="17"/>
      <c r="EF194" s="17"/>
      <c r="EG194" s="17"/>
      <c r="EH194" s="17"/>
      <c r="EI194" s="17"/>
      <c r="EJ194" s="17"/>
      <c r="EK194" s="17"/>
      <c r="EL194" s="17"/>
      <c r="EM194" s="17"/>
      <c r="EN194" s="17"/>
      <c r="EO194" s="17"/>
      <c r="EP194" s="17"/>
      <c r="EQ194" s="17"/>
      <c r="ER194" s="17"/>
      <c r="ES194" s="17"/>
      <c r="ET194" s="17"/>
      <c r="EU194" s="17"/>
      <c r="EV194" s="17"/>
      <c r="EW194" s="17"/>
      <c r="EX194" s="17"/>
      <c r="EY194" s="17"/>
      <c r="EZ194" s="17"/>
      <c r="FA194" s="17"/>
      <c r="FB194" s="17"/>
      <c r="FC194" s="17"/>
      <c r="FD194" s="17"/>
      <c r="FE194" s="17"/>
      <c r="FF194" s="17"/>
      <c r="FG194" s="17"/>
      <c r="FH194" s="17"/>
      <c r="FI194" s="17"/>
      <c r="FJ194" s="17"/>
      <c r="FK194" s="17"/>
      <c r="FL194" s="17"/>
      <c r="FM194" s="17"/>
      <c r="FN194" s="17"/>
      <c r="FO194" s="17"/>
      <c r="FP194" s="17"/>
      <c r="FQ194" s="17"/>
      <c r="FR194" s="17"/>
      <c r="FS194" s="17"/>
      <c r="FT194" s="17"/>
      <c r="FU194" s="17"/>
      <c r="FV194" s="17"/>
      <c r="FW194" s="17"/>
      <c r="FX194" s="17"/>
      <c r="FY194" s="17"/>
      <c r="FZ194" s="17"/>
      <c r="GA194" s="17"/>
      <c r="GB194" s="17"/>
      <c r="GC194" s="17"/>
      <c r="GD194" s="17"/>
      <c r="GE194" s="17"/>
      <c r="GF194" s="17"/>
      <c r="GG194" s="17"/>
      <c r="GH194" s="17"/>
      <c r="GI194" s="17"/>
      <c r="GJ194" s="17"/>
      <c r="GK194" s="17"/>
      <c r="GL194" s="17"/>
      <c r="GM194" s="17"/>
      <c r="GN194" s="17"/>
      <c r="GO194" s="17"/>
      <c r="GP194" s="17"/>
      <c r="GQ194" s="17"/>
      <c r="GR194" s="17"/>
      <c r="GS194" s="17"/>
      <c r="GT194" s="17"/>
      <c r="GU194" s="17"/>
      <c r="GV194" s="17"/>
      <c r="GW194" s="17"/>
      <c r="GX194" s="17"/>
      <c r="GY194" s="17"/>
      <c r="GZ194" s="17"/>
      <c r="HA194" s="17"/>
      <c r="HB194" s="17"/>
      <c r="HC194" s="17"/>
      <c r="HD194" s="17"/>
      <c r="HE194" s="17"/>
      <c r="HF194" s="17"/>
      <c r="HG194" s="17"/>
      <c r="HH194" s="17"/>
      <c r="HI194" s="17"/>
      <c r="HJ194" s="17"/>
      <c r="HK194" s="17"/>
      <c r="HL194" s="17"/>
      <c r="HM194" s="17"/>
      <c r="HN194" s="17"/>
      <c r="HO194" s="17"/>
      <c r="HP194" s="17"/>
      <c r="HQ194" s="17"/>
      <c r="HR194" s="17"/>
      <c r="HS194" s="17"/>
      <c r="HT194" s="17"/>
      <c r="HU194" s="17"/>
      <c r="HV194" s="17"/>
      <c r="HW194" s="17"/>
      <c r="HX194" s="17"/>
      <c r="HY194" s="17"/>
      <c r="HZ194" s="17"/>
      <c r="IA194" s="17"/>
      <c r="IB194" s="17"/>
      <c r="IC194" s="17"/>
      <c r="ID194" s="17"/>
      <c r="IE194" s="17"/>
      <c r="IF194" s="17"/>
      <c r="IG194" s="17"/>
      <c r="IH194" s="17"/>
      <c r="II194" s="17"/>
      <c r="IJ194" s="17"/>
      <c r="IK194" s="17"/>
      <c r="IL194" s="17"/>
      <c r="IM194" s="17"/>
      <c r="IN194" s="17"/>
      <c r="IO194" s="17"/>
      <c r="IP194" s="17"/>
      <c r="IQ194" s="17"/>
      <c r="IR194" s="17"/>
      <c r="IS194" s="17"/>
      <c r="IT194" s="17"/>
      <c r="IU194" s="17"/>
      <c r="IV194" s="17"/>
      <c r="IW194" s="17"/>
      <c r="IX194" s="17"/>
      <c r="IY194" s="17"/>
      <c r="IZ194" s="17"/>
      <c r="JA194" s="17"/>
      <c r="JB194" s="17"/>
      <c r="JC194" s="17"/>
      <c r="JD194" s="17"/>
      <c r="JE194" s="17"/>
      <c r="JF194" s="17"/>
      <c r="JG194" s="17"/>
      <c r="JH194" s="17"/>
      <c r="JI194" s="17"/>
      <c r="JJ194" s="17"/>
      <c r="JK194" s="17"/>
      <c r="JL194" s="17"/>
      <c r="JM194" s="17"/>
      <c r="JN194" s="17"/>
      <c r="JO194" s="17"/>
      <c r="JP194" s="17"/>
      <c r="JQ194" s="17"/>
      <c r="JR194" s="17"/>
      <c r="JS194" s="17"/>
      <c r="JT194" s="17"/>
      <c r="JU194" s="17"/>
      <c r="JV194" s="17"/>
      <c r="JW194" s="17"/>
      <c r="JX194" s="17"/>
      <c r="JY194" s="17"/>
      <c r="JZ194" s="17"/>
      <c r="KA194" s="17"/>
      <c r="KB194" s="17"/>
      <c r="KC194" s="17"/>
      <c r="KD194" s="17"/>
      <c r="KE194" s="17"/>
      <c r="KF194" s="17"/>
      <c r="KG194" s="17"/>
      <c r="KH194" s="17"/>
      <c r="KI194" s="17"/>
      <c r="KJ194" s="17"/>
      <c r="KK194" s="17"/>
      <c r="KL194" s="17"/>
      <c r="KM194" s="17"/>
      <c r="KN194" s="17"/>
      <c r="KO194" s="17"/>
      <c r="KP194" s="17"/>
      <c r="KQ194" s="17"/>
      <c r="KR194" s="17"/>
      <c r="KS194" s="17"/>
      <c r="KT194" s="17"/>
      <c r="KU194" s="17"/>
      <c r="KV194" s="17"/>
      <c r="KW194" s="17"/>
      <c r="KX194" s="17"/>
      <c r="KY194" s="17"/>
    </row>
    <row r="195" spans="1:311" x14ac:dyDescent="0.25">
      <c r="A195" s="17"/>
      <c r="B195" s="17"/>
      <c r="C195" s="17"/>
      <c r="D195" s="17"/>
      <c r="E195" s="17"/>
      <c r="F195" s="17"/>
      <c r="G195" s="17"/>
      <c r="H195" s="17"/>
      <c r="I195" s="17"/>
      <c r="J195" s="17"/>
      <c r="K195" s="17"/>
      <c r="L195" s="17"/>
      <c r="M195" s="17"/>
      <c r="N195" s="17"/>
      <c r="O195" s="17"/>
      <c r="P195" s="17"/>
      <c r="Q195" s="17"/>
      <c r="R195" s="17"/>
      <c r="S195" s="17"/>
      <c r="T195" s="17"/>
      <c r="U195" s="17"/>
      <c r="V195" s="17"/>
      <c r="W195" s="17"/>
      <c r="X195" s="17"/>
      <c r="Y195" s="17"/>
      <c r="Z195" s="17"/>
      <c r="AA195" s="17"/>
      <c r="AB195" s="17"/>
      <c r="AC195" s="17"/>
      <c r="AD195" s="17"/>
      <c r="AE195" s="17"/>
      <c r="AF195" s="17"/>
      <c r="AG195" s="17"/>
      <c r="AH195" s="17"/>
      <c r="AI195" s="17"/>
      <c r="AJ195" s="17"/>
      <c r="AK195" s="17"/>
      <c r="AL195" s="17"/>
      <c r="AM195" s="17"/>
      <c r="AN195" s="17"/>
      <c r="AO195" s="17"/>
      <c r="AP195" s="17"/>
      <c r="AQ195" s="17"/>
      <c r="AR195" s="17"/>
      <c r="AS195" s="17"/>
      <c r="AT195" s="17"/>
      <c r="AU195" s="17"/>
      <c r="AV195" s="17"/>
      <c r="AW195" s="17"/>
      <c r="AX195" s="17"/>
      <c r="AY195" s="17"/>
      <c r="AZ195" s="17"/>
      <c r="BA195" s="17"/>
      <c r="BB195" s="17"/>
      <c r="BC195" s="17"/>
      <c r="BD195" s="17"/>
      <c r="BE195" s="17"/>
      <c r="BF195" s="17"/>
      <c r="BG195" s="17"/>
      <c r="BH195" s="17"/>
      <c r="BI195" s="17"/>
      <c r="BJ195" s="17"/>
      <c r="BK195" s="17"/>
      <c r="BL195" s="17"/>
      <c r="BM195" s="17"/>
      <c r="BN195" s="17"/>
      <c r="BO195" s="17"/>
      <c r="BP195" s="17"/>
      <c r="BQ195" s="17"/>
      <c r="BR195" s="17"/>
      <c r="BS195" s="17"/>
      <c r="BT195" s="17"/>
      <c r="BU195" s="17"/>
      <c r="BV195" s="17"/>
      <c r="BW195" s="17"/>
      <c r="BX195" s="17"/>
      <c r="BY195" s="17"/>
      <c r="BZ195" s="17"/>
      <c r="CA195" s="17"/>
      <c r="CB195" s="17"/>
      <c r="CC195" s="17"/>
      <c r="CD195" s="17"/>
      <c r="CE195" s="17"/>
      <c r="CF195" s="17"/>
      <c r="CG195" s="17"/>
      <c r="CH195" s="17"/>
      <c r="CI195" s="17"/>
      <c r="CJ195" s="17"/>
      <c r="CK195" s="17"/>
      <c r="CL195" s="17"/>
      <c r="CM195" s="17"/>
      <c r="CN195" s="17"/>
      <c r="CO195" s="17"/>
      <c r="CP195" s="17"/>
      <c r="CQ195" s="17"/>
      <c r="CR195" s="17"/>
      <c r="CS195" s="17"/>
      <c r="CT195" s="17"/>
      <c r="CU195" s="17"/>
      <c r="CV195" s="17"/>
      <c r="CW195" s="17"/>
      <c r="CX195" s="17"/>
      <c r="CY195" s="17"/>
      <c r="CZ195" s="17"/>
      <c r="DA195" s="17"/>
      <c r="DB195" s="17"/>
      <c r="DC195" s="17"/>
      <c r="DD195" s="17"/>
      <c r="DE195" s="17"/>
      <c r="DF195" s="17"/>
      <c r="DG195" s="17"/>
      <c r="DH195" s="17"/>
      <c r="DI195" s="17"/>
      <c r="DJ195" s="17"/>
      <c r="DK195" s="17"/>
      <c r="DL195" s="17"/>
      <c r="DM195" s="17"/>
      <c r="DN195" s="17"/>
      <c r="DO195" s="17"/>
      <c r="DP195" s="17"/>
      <c r="DQ195" s="17"/>
      <c r="DR195" s="17"/>
      <c r="DS195" s="17"/>
      <c r="DT195" s="17"/>
      <c r="DU195" s="17"/>
      <c r="DV195" s="17"/>
      <c r="DW195" s="17"/>
      <c r="DX195" s="17"/>
      <c r="DY195" s="17"/>
      <c r="DZ195" s="17"/>
      <c r="EA195" s="17"/>
      <c r="EB195" s="17"/>
      <c r="EC195" s="17"/>
      <c r="ED195" s="17"/>
      <c r="EE195" s="17"/>
      <c r="EF195" s="17"/>
      <c r="EG195" s="17"/>
      <c r="EH195" s="17"/>
      <c r="EI195" s="17"/>
      <c r="EJ195" s="17"/>
      <c r="EK195" s="17"/>
      <c r="EL195" s="17"/>
      <c r="EM195" s="17"/>
      <c r="EN195" s="17"/>
      <c r="EO195" s="17"/>
      <c r="EP195" s="17"/>
      <c r="EQ195" s="17"/>
      <c r="ER195" s="17"/>
      <c r="ES195" s="17"/>
      <c r="ET195" s="17"/>
      <c r="EU195" s="17"/>
      <c r="EV195" s="17"/>
      <c r="EW195" s="17"/>
      <c r="EX195" s="17"/>
      <c r="EY195" s="17"/>
      <c r="EZ195" s="17"/>
      <c r="FA195" s="17"/>
      <c r="FB195" s="17"/>
      <c r="FC195" s="17"/>
      <c r="FD195" s="17"/>
      <c r="FE195" s="17"/>
      <c r="FF195" s="17"/>
      <c r="FG195" s="17"/>
      <c r="FH195" s="17"/>
      <c r="FI195" s="17"/>
      <c r="FJ195" s="17"/>
      <c r="FK195" s="17"/>
      <c r="FL195" s="17"/>
      <c r="FM195" s="17"/>
      <c r="FN195" s="17"/>
      <c r="FO195" s="17"/>
      <c r="FP195" s="17"/>
      <c r="FQ195" s="17"/>
      <c r="FR195" s="17"/>
      <c r="FS195" s="17"/>
      <c r="FT195" s="17"/>
      <c r="FU195" s="17"/>
      <c r="FV195" s="17"/>
      <c r="FW195" s="17"/>
      <c r="FX195" s="17"/>
      <c r="FY195" s="17"/>
      <c r="FZ195" s="17"/>
      <c r="GA195" s="17"/>
      <c r="GB195" s="17"/>
      <c r="GC195" s="17"/>
      <c r="GD195" s="17"/>
      <c r="GE195" s="17"/>
      <c r="GF195" s="17"/>
      <c r="GG195" s="17"/>
      <c r="GH195" s="17"/>
      <c r="GI195" s="17"/>
      <c r="GJ195" s="17"/>
      <c r="GK195" s="17"/>
      <c r="GL195" s="17"/>
      <c r="GM195" s="17"/>
      <c r="GN195" s="17"/>
      <c r="GO195" s="17"/>
      <c r="GP195" s="17"/>
      <c r="GQ195" s="17"/>
      <c r="GR195" s="17"/>
      <c r="GS195" s="17"/>
      <c r="GT195" s="17"/>
      <c r="GU195" s="17"/>
      <c r="GV195" s="17"/>
      <c r="GW195" s="17"/>
      <c r="GX195" s="17"/>
      <c r="GY195" s="17"/>
      <c r="GZ195" s="17"/>
      <c r="HA195" s="17"/>
      <c r="HB195" s="17"/>
      <c r="HC195" s="17"/>
      <c r="HD195" s="17"/>
      <c r="HE195" s="17"/>
      <c r="HF195" s="17"/>
      <c r="HG195" s="17"/>
      <c r="HH195" s="17"/>
      <c r="HI195" s="17"/>
      <c r="HJ195" s="17"/>
      <c r="HK195" s="17"/>
      <c r="HL195" s="17"/>
      <c r="HM195" s="17"/>
      <c r="HN195" s="17"/>
      <c r="HO195" s="17"/>
      <c r="HP195" s="17"/>
      <c r="HQ195" s="17"/>
      <c r="HR195" s="17"/>
      <c r="HS195" s="17"/>
      <c r="HT195" s="17"/>
      <c r="HU195" s="17"/>
      <c r="HV195" s="17"/>
      <c r="HW195" s="17"/>
      <c r="HX195" s="17"/>
      <c r="HY195" s="17"/>
      <c r="HZ195" s="17"/>
      <c r="IA195" s="17"/>
      <c r="IB195" s="17"/>
      <c r="IC195" s="17"/>
      <c r="ID195" s="17"/>
      <c r="IE195" s="17"/>
      <c r="IF195" s="17"/>
      <c r="IG195" s="17"/>
      <c r="IH195" s="17"/>
      <c r="II195" s="17"/>
      <c r="IJ195" s="17"/>
      <c r="IK195" s="17"/>
      <c r="IL195" s="17"/>
      <c r="IM195" s="17"/>
      <c r="IN195" s="17"/>
      <c r="IO195" s="17"/>
      <c r="IP195" s="17"/>
      <c r="IQ195" s="17"/>
      <c r="IR195" s="17"/>
      <c r="IS195" s="17"/>
      <c r="IT195" s="17"/>
      <c r="IU195" s="17"/>
      <c r="IV195" s="17"/>
      <c r="IW195" s="17"/>
      <c r="IX195" s="17"/>
      <c r="IY195" s="17"/>
      <c r="IZ195" s="17"/>
      <c r="JA195" s="17"/>
      <c r="JB195" s="17"/>
      <c r="JC195" s="17"/>
      <c r="JD195" s="17"/>
      <c r="JE195" s="17"/>
      <c r="JF195" s="17"/>
      <c r="JG195" s="17"/>
      <c r="JH195" s="17"/>
      <c r="JI195" s="17"/>
      <c r="JJ195" s="17"/>
      <c r="JK195" s="17"/>
      <c r="JL195" s="17"/>
      <c r="JM195" s="17"/>
      <c r="JN195" s="17"/>
      <c r="JO195" s="17"/>
      <c r="JP195" s="17"/>
      <c r="JQ195" s="17"/>
      <c r="JR195" s="17"/>
      <c r="JS195" s="17"/>
      <c r="JT195" s="17"/>
      <c r="JU195" s="17"/>
      <c r="JV195" s="17"/>
      <c r="JW195" s="17"/>
      <c r="JX195" s="17"/>
      <c r="JY195" s="17"/>
      <c r="JZ195" s="17"/>
      <c r="KA195" s="17"/>
      <c r="KB195" s="17"/>
      <c r="KC195" s="17"/>
      <c r="KD195" s="17"/>
      <c r="KE195" s="17"/>
      <c r="KF195" s="17"/>
      <c r="KG195" s="17"/>
      <c r="KH195" s="17"/>
      <c r="KI195" s="17"/>
      <c r="KJ195" s="17"/>
      <c r="KK195" s="17"/>
      <c r="KL195" s="17"/>
      <c r="KM195" s="17"/>
      <c r="KN195" s="17"/>
      <c r="KO195" s="17"/>
      <c r="KP195" s="17"/>
      <c r="KQ195" s="17"/>
      <c r="KR195" s="17"/>
      <c r="KS195" s="17"/>
      <c r="KT195" s="17"/>
      <c r="KU195" s="17"/>
      <c r="KV195" s="17"/>
      <c r="KW195" s="17"/>
      <c r="KX195" s="17"/>
      <c r="KY195" s="17"/>
    </row>
    <row r="196" spans="1:311" x14ac:dyDescent="0.25">
      <c r="A196" s="17"/>
      <c r="B196" s="17"/>
      <c r="C196" s="17"/>
      <c r="D196" s="17"/>
      <c r="E196" s="17"/>
      <c r="F196" s="17"/>
      <c r="G196" s="17"/>
      <c r="H196" s="17"/>
      <c r="I196" s="17"/>
      <c r="J196" s="17"/>
      <c r="K196" s="17"/>
      <c r="L196" s="17"/>
      <c r="M196" s="17"/>
      <c r="N196" s="17"/>
      <c r="O196" s="17"/>
      <c r="P196" s="17"/>
      <c r="Q196" s="17"/>
      <c r="R196" s="17"/>
      <c r="S196" s="17"/>
      <c r="T196" s="17"/>
      <c r="U196" s="17"/>
      <c r="V196" s="17"/>
      <c r="W196" s="17"/>
      <c r="X196" s="17"/>
      <c r="Y196" s="17"/>
      <c r="Z196" s="17"/>
      <c r="AA196" s="17"/>
      <c r="AB196" s="17"/>
      <c r="AC196" s="17"/>
      <c r="AD196" s="17"/>
      <c r="AE196" s="17"/>
      <c r="AF196" s="17"/>
      <c r="AG196" s="17"/>
      <c r="AH196" s="17"/>
      <c r="AI196" s="17"/>
      <c r="AJ196" s="17"/>
      <c r="AK196" s="17"/>
      <c r="AL196" s="17"/>
      <c r="AM196" s="17"/>
      <c r="AN196" s="17"/>
      <c r="AO196" s="17"/>
      <c r="AP196" s="17"/>
      <c r="AQ196" s="17"/>
      <c r="AR196" s="17"/>
      <c r="AS196" s="17"/>
      <c r="AT196" s="17"/>
      <c r="AU196" s="17"/>
      <c r="AV196" s="17"/>
      <c r="AW196" s="17"/>
      <c r="AX196" s="17"/>
      <c r="AY196" s="17"/>
      <c r="AZ196" s="17"/>
      <c r="BA196" s="17"/>
      <c r="BB196" s="17"/>
      <c r="BC196" s="17"/>
      <c r="BD196" s="17"/>
      <c r="BE196" s="17"/>
      <c r="BF196" s="17"/>
      <c r="BG196" s="17"/>
      <c r="BH196" s="17"/>
      <c r="BI196" s="17"/>
      <c r="BJ196" s="17"/>
      <c r="BK196" s="17"/>
      <c r="BL196" s="17"/>
      <c r="BM196" s="17"/>
      <c r="BN196" s="17"/>
      <c r="BO196" s="17"/>
      <c r="BP196" s="17"/>
      <c r="BQ196" s="17"/>
      <c r="BR196" s="17"/>
      <c r="BS196" s="17"/>
      <c r="BT196" s="17"/>
      <c r="BU196" s="17"/>
      <c r="BV196" s="17"/>
      <c r="BW196" s="17"/>
      <c r="BX196" s="17"/>
      <c r="BY196" s="17"/>
      <c r="BZ196" s="17"/>
      <c r="CA196" s="17"/>
      <c r="CB196" s="17"/>
      <c r="CC196" s="17"/>
      <c r="CD196" s="17"/>
      <c r="CE196" s="17"/>
      <c r="CF196" s="17"/>
      <c r="CG196" s="17"/>
      <c r="CH196" s="17"/>
      <c r="CI196" s="17"/>
      <c r="CJ196" s="17"/>
      <c r="CK196" s="17"/>
      <c r="CL196" s="17"/>
      <c r="CM196" s="17"/>
      <c r="CN196" s="17"/>
      <c r="CO196" s="17"/>
      <c r="CP196" s="17"/>
      <c r="CQ196" s="17"/>
      <c r="CR196" s="17"/>
      <c r="CS196" s="17"/>
      <c r="CT196" s="17"/>
      <c r="CU196" s="17"/>
      <c r="CV196" s="17"/>
      <c r="CW196" s="17"/>
      <c r="CX196" s="17"/>
      <c r="CY196" s="17"/>
      <c r="CZ196" s="17"/>
      <c r="DA196" s="17"/>
      <c r="DB196" s="17"/>
      <c r="DC196" s="17"/>
      <c r="DD196" s="17"/>
      <c r="DE196" s="17"/>
      <c r="DF196" s="17"/>
      <c r="DG196" s="17"/>
      <c r="DH196" s="17"/>
      <c r="DI196" s="17"/>
      <c r="DJ196" s="17"/>
      <c r="DK196" s="17"/>
      <c r="DL196" s="17"/>
      <c r="DM196" s="17"/>
      <c r="DN196" s="17"/>
      <c r="DO196" s="17"/>
      <c r="DP196" s="17"/>
      <c r="DQ196" s="17"/>
      <c r="DR196" s="17"/>
      <c r="DS196" s="17"/>
      <c r="DT196" s="17"/>
      <c r="DU196" s="17"/>
      <c r="DV196" s="17"/>
      <c r="DW196" s="17"/>
      <c r="DX196" s="17"/>
      <c r="DY196" s="17"/>
      <c r="DZ196" s="17"/>
      <c r="EA196" s="17"/>
      <c r="EB196" s="17"/>
      <c r="EC196" s="17"/>
      <c r="ED196" s="17"/>
      <c r="EE196" s="17"/>
      <c r="EF196" s="17"/>
      <c r="EG196" s="17"/>
      <c r="EH196" s="17"/>
      <c r="EI196" s="17"/>
      <c r="EJ196" s="17"/>
      <c r="EK196" s="17"/>
      <c r="EL196" s="17"/>
      <c r="EM196" s="17"/>
      <c r="EN196" s="17"/>
      <c r="EO196" s="17"/>
      <c r="EP196" s="17"/>
      <c r="EQ196" s="17"/>
      <c r="ER196" s="17"/>
      <c r="ES196" s="17"/>
      <c r="ET196" s="17"/>
      <c r="EU196" s="17"/>
      <c r="EV196" s="17"/>
      <c r="EW196" s="17"/>
      <c r="EX196" s="17"/>
      <c r="EY196" s="17"/>
      <c r="EZ196" s="17"/>
      <c r="FA196" s="17"/>
      <c r="FB196" s="17"/>
      <c r="FC196" s="17"/>
      <c r="FD196" s="17"/>
      <c r="FE196" s="17"/>
      <c r="FF196" s="17"/>
      <c r="FG196" s="17"/>
      <c r="FH196" s="17"/>
      <c r="FI196" s="17"/>
      <c r="FJ196" s="17"/>
      <c r="FK196" s="17"/>
      <c r="FL196" s="17"/>
      <c r="FM196" s="17"/>
      <c r="FN196" s="17"/>
      <c r="FO196" s="17"/>
      <c r="FP196" s="17"/>
      <c r="FQ196" s="17"/>
      <c r="FR196" s="17"/>
      <c r="FS196" s="17"/>
      <c r="FT196" s="17"/>
      <c r="FU196" s="17"/>
      <c r="FV196" s="17"/>
      <c r="FW196" s="17"/>
      <c r="FX196" s="17"/>
      <c r="FY196" s="17"/>
      <c r="FZ196" s="17"/>
      <c r="GA196" s="17"/>
      <c r="GB196" s="17"/>
      <c r="GC196" s="17"/>
      <c r="GD196" s="17"/>
      <c r="GE196" s="17"/>
      <c r="GF196" s="17"/>
      <c r="GG196" s="17"/>
      <c r="GH196" s="17"/>
      <c r="GI196" s="17"/>
      <c r="GJ196" s="17"/>
      <c r="GK196" s="17"/>
      <c r="GL196" s="17"/>
      <c r="GM196" s="17"/>
      <c r="GN196" s="17"/>
      <c r="GO196" s="17"/>
      <c r="GP196" s="17"/>
      <c r="GQ196" s="17"/>
      <c r="GR196" s="17"/>
      <c r="GS196" s="17"/>
      <c r="GT196" s="17"/>
      <c r="GU196" s="17"/>
      <c r="GV196" s="17"/>
      <c r="GW196" s="17"/>
      <c r="GX196" s="17"/>
      <c r="GY196" s="17"/>
      <c r="GZ196" s="17"/>
      <c r="HA196" s="17"/>
      <c r="HB196" s="17"/>
      <c r="HC196" s="17"/>
      <c r="HD196" s="17"/>
      <c r="HE196" s="17"/>
      <c r="HF196" s="17"/>
      <c r="HG196" s="17"/>
      <c r="HH196" s="17"/>
      <c r="HI196" s="17"/>
      <c r="HJ196" s="17"/>
      <c r="HK196" s="17"/>
      <c r="HL196" s="17"/>
      <c r="HM196" s="17"/>
      <c r="HN196" s="17"/>
      <c r="HO196" s="17"/>
      <c r="HP196" s="17"/>
      <c r="HQ196" s="17"/>
      <c r="HR196" s="17"/>
      <c r="HS196" s="17"/>
      <c r="HT196" s="17"/>
      <c r="HU196" s="17"/>
      <c r="HV196" s="17"/>
      <c r="HW196" s="17"/>
      <c r="HX196" s="17"/>
      <c r="HY196" s="17"/>
      <c r="HZ196" s="17"/>
      <c r="IA196" s="17"/>
      <c r="IB196" s="17"/>
      <c r="IC196" s="17"/>
      <c r="ID196" s="17"/>
      <c r="IE196" s="17"/>
      <c r="IF196" s="17"/>
      <c r="IG196" s="17"/>
      <c r="IH196" s="17"/>
      <c r="II196" s="17"/>
      <c r="IJ196" s="17"/>
      <c r="IK196" s="17"/>
      <c r="IL196" s="17"/>
      <c r="IM196" s="17"/>
      <c r="IN196" s="17"/>
      <c r="IO196" s="17"/>
      <c r="IP196" s="17"/>
      <c r="IQ196" s="17"/>
      <c r="IR196" s="17"/>
      <c r="IS196" s="17"/>
      <c r="IT196" s="17"/>
      <c r="IU196" s="17"/>
      <c r="IV196" s="17"/>
      <c r="IW196" s="17"/>
      <c r="IX196" s="17"/>
      <c r="IY196" s="17"/>
      <c r="IZ196" s="17"/>
      <c r="JA196" s="17"/>
      <c r="JB196" s="17"/>
      <c r="JC196" s="17"/>
      <c r="JD196" s="17"/>
      <c r="JE196" s="17"/>
      <c r="JF196" s="17"/>
      <c r="JG196" s="17"/>
      <c r="JH196" s="17"/>
      <c r="JI196" s="17"/>
      <c r="JJ196" s="17"/>
      <c r="JK196" s="17"/>
      <c r="JL196" s="17"/>
      <c r="JM196" s="17"/>
      <c r="JN196" s="17"/>
      <c r="JO196" s="17"/>
      <c r="JP196" s="17"/>
      <c r="JQ196" s="17"/>
      <c r="JR196" s="17"/>
      <c r="JS196" s="17"/>
      <c r="JT196" s="17"/>
      <c r="JU196" s="17"/>
      <c r="JV196" s="17"/>
      <c r="JW196" s="17"/>
      <c r="JX196" s="17"/>
      <c r="JY196" s="17"/>
      <c r="JZ196" s="17"/>
      <c r="KA196" s="17"/>
      <c r="KB196" s="17"/>
      <c r="KC196" s="17"/>
      <c r="KD196" s="17"/>
      <c r="KE196" s="17"/>
      <c r="KF196" s="17"/>
      <c r="KG196" s="17"/>
      <c r="KH196" s="17"/>
      <c r="KI196" s="17"/>
      <c r="KJ196" s="17"/>
      <c r="KK196" s="17"/>
      <c r="KL196" s="17"/>
      <c r="KM196" s="17"/>
      <c r="KN196" s="17"/>
      <c r="KO196" s="17"/>
      <c r="KP196" s="17"/>
      <c r="KQ196" s="17"/>
      <c r="KR196" s="17"/>
      <c r="KS196" s="17"/>
      <c r="KT196" s="17"/>
      <c r="KU196" s="17"/>
      <c r="KV196" s="17"/>
      <c r="KW196" s="17"/>
      <c r="KX196" s="17"/>
      <c r="KY196" s="17"/>
    </row>
    <row r="197" spans="1:311" x14ac:dyDescent="0.25">
      <c r="A197" s="17"/>
      <c r="B197" s="17"/>
      <c r="C197" s="17"/>
      <c r="D197" s="17"/>
      <c r="E197" s="17"/>
      <c r="F197" s="17"/>
      <c r="G197" s="17"/>
      <c r="H197" s="17"/>
      <c r="I197" s="17"/>
      <c r="J197" s="17"/>
      <c r="K197" s="17"/>
      <c r="L197" s="17"/>
      <c r="M197" s="17"/>
      <c r="N197" s="17"/>
      <c r="O197" s="17"/>
      <c r="P197" s="17"/>
      <c r="Q197" s="17"/>
      <c r="R197" s="17"/>
      <c r="S197" s="17"/>
      <c r="T197" s="17"/>
      <c r="U197" s="17"/>
      <c r="V197" s="17"/>
      <c r="W197" s="17"/>
      <c r="X197" s="17"/>
      <c r="Y197" s="17"/>
      <c r="Z197" s="17"/>
      <c r="AA197" s="17"/>
      <c r="AB197" s="17"/>
      <c r="AC197" s="17"/>
      <c r="AD197" s="17"/>
      <c r="AE197" s="17"/>
      <c r="AF197" s="17"/>
      <c r="AG197" s="17"/>
      <c r="AH197" s="17"/>
      <c r="AI197" s="17"/>
      <c r="AJ197" s="17"/>
      <c r="AK197" s="17"/>
      <c r="AL197" s="17"/>
      <c r="AM197" s="17"/>
      <c r="AN197" s="17"/>
      <c r="AO197" s="17"/>
      <c r="AP197" s="17"/>
      <c r="AQ197" s="17"/>
      <c r="AR197" s="17"/>
      <c r="AS197" s="17"/>
      <c r="AT197" s="17"/>
      <c r="AU197" s="17"/>
      <c r="AV197" s="17"/>
      <c r="AW197" s="17"/>
      <c r="AX197" s="17"/>
      <c r="AY197" s="17"/>
      <c r="AZ197" s="17"/>
      <c r="BA197" s="17"/>
      <c r="BB197" s="17"/>
      <c r="BC197" s="17"/>
      <c r="BD197" s="17"/>
      <c r="BE197" s="17"/>
      <c r="BF197" s="17"/>
      <c r="BG197" s="17"/>
      <c r="BH197" s="17"/>
      <c r="BI197" s="17"/>
      <c r="BJ197" s="17"/>
      <c r="BK197" s="17"/>
      <c r="BL197" s="17"/>
      <c r="BM197" s="17"/>
      <c r="BN197" s="17"/>
      <c r="BO197" s="17"/>
      <c r="BP197" s="17"/>
      <c r="BQ197" s="17"/>
      <c r="BR197" s="17"/>
      <c r="BS197" s="17"/>
      <c r="BT197" s="17"/>
      <c r="BU197" s="17"/>
      <c r="BV197" s="17"/>
      <c r="BW197" s="17"/>
      <c r="BX197" s="17"/>
      <c r="BY197" s="17"/>
      <c r="BZ197" s="17"/>
      <c r="CA197" s="17"/>
      <c r="CB197" s="17"/>
      <c r="CC197" s="17"/>
      <c r="CD197" s="17"/>
      <c r="CE197" s="17"/>
      <c r="CF197" s="17"/>
      <c r="CG197" s="17"/>
      <c r="CH197" s="17"/>
      <c r="CI197" s="17"/>
      <c r="CJ197" s="17"/>
      <c r="CK197" s="17"/>
      <c r="CL197" s="17"/>
      <c r="CM197" s="17"/>
      <c r="CN197" s="17"/>
      <c r="CO197" s="17"/>
      <c r="CP197" s="17"/>
      <c r="CQ197" s="17"/>
      <c r="CR197" s="17"/>
      <c r="CS197" s="17"/>
      <c r="CT197" s="17"/>
      <c r="CU197" s="17"/>
      <c r="CV197" s="17"/>
      <c r="CW197" s="17"/>
      <c r="CX197" s="17"/>
      <c r="CY197" s="17"/>
      <c r="CZ197" s="17"/>
      <c r="DA197" s="17"/>
      <c r="DB197" s="17"/>
      <c r="DC197" s="17"/>
      <c r="DD197" s="17"/>
      <c r="DE197" s="17"/>
      <c r="DF197" s="17"/>
      <c r="DG197" s="17"/>
      <c r="DH197" s="17"/>
      <c r="DI197" s="17"/>
      <c r="DJ197" s="17"/>
      <c r="DK197" s="17"/>
      <c r="DL197" s="17"/>
      <c r="DM197" s="17"/>
      <c r="DN197" s="17"/>
      <c r="DO197" s="17"/>
      <c r="DP197" s="17"/>
      <c r="DQ197" s="17"/>
      <c r="DR197" s="17"/>
      <c r="DS197" s="17"/>
      <c r="DT197" s="17"/>
      <c r="DU197" s="17"/>
      <c r="DV197" s="17"/>
      <c r="DW197" s="17"/>
      <c r="DX197" s="17"/>
      <c r="DY197" s="17"/>
      <c r="DZ197" s="17"/>
      <c r="EA197" s="17"/>
      <c r="EB197" s="17"/>
      <c r="EC197" s="17"/>
      <c r="ED197" s="17"/>
      <c r="EE197" s="17"/>
      <c r="EF197" s="17"/>
      <c r="EG197" s="17"/>
      <c r="EH197" s="17"/>
      <c r="EI197" s="17"/>
      <c r="EJ197" s="17"/>
      <c r="EK197" s="17"/>
      <c r="EL197" s="17"/>
      <c r="EM197" s="17"/>
      <c r="EN197" s="17"/>
      <c r="EO197" s="17"/>
      <c r="EP197" s="17"/>
      <c r="EQ197" s="17"/>
      <c r="ER197" s="17"/>
      <c r="ES197" s="17"/>
      <c r="ET197" s="17"/>
      <c r="EU197" s="17"/>
      <c r="EV197" s="17"/>
      <c r="EW197" s="17"/>
      <c r="EX197" s="17"/>
      <c r="EY197" s="17"/>
      <c r="EZ197" s="17"/>
      <c r="FA197" s="17"/>
      <c r="FB197" s="17"/>
      <c r="FC197" s="17"/>
      <c r="FD197" s="17"/>
      <c r="FE197" s="17"/>
      <c r="FF197" s="17"/>
      <c r="FG197" s="17"/>
      <c r="FH197" s="17"/>
      <c r="FI197" s="17"/>
      <c r="FJ197" s="17"/>
      <c r="FK197" s="17"/>
      <c r="FL197" s="17"/>
      <c r="FM197" s="17"/>
      <c r="FN197" s="17"/>
      <c r="FO197" s="17"/>
      <c r="FP197" s="17"/>
      <c r="FQ197" s="17"/>
      <c r="FR197" s="17"/>
      <c r="FS197" s="17"/>
      <c r="FT197" s="17"/>
      <c r="FU197" s="17"/>
      <c r="FV197" s="17"/>
      <c r="FW197" s="17"/>
      <c r="FX197" s="17"/>
      <c r="FY197" s="17"/>
      <c r="FZ197" s="17"/>
      <c r="GA197" s="17"/>
      <c r="GB197" s="17"/>
      <c r="GC197" s="17"/>
      <c r="GD197" s="17"/>
      <c r="GE197" s="17"/>
      <c r="GF197" s="17"/>
      <c r="GG197" s="17"/>
      <c r="GH197" s="17"/>
      <c r="GI197" s="17"/>
      <c r="GJ197" s="17"/>
      <c r="GK197" s="17"/>
      <c r="GL197" s="17"/>
      <c r="GM197" s="17"/>
      <c r="GN197" s="17"/>
      <c r="GO197" s="17"/>
      <c r="GP197" s="17"/>
      <c r="GQ197" s="17"/>
      <c r="GR197" s="17"/>
      <c r="GS197" s="17"/>
      <c r="GT197" s="17"/>
      <c r="GU197" s="17"/>
      <c r="GV197" s="17"/>
      <c r="GW197" s="17"/>
      <c r="GX197" s="17"/>
      <c r="GY197" s="17"/>
      <c r="GZ197" s="17"/>
      <c r="HA197" s="17"/>
      <c r="HB197" s="17"/>
      <c r="HC197" s="17"/>
      <c r="HD197" s="17"/>
      <c r="HE197" s="17"/>
      <c r="HF197" s="17"/>
      <c r="HG197" s="17"/>
      <c r="HH197" s="17"/>
      <c r="HI197" s="17"/>
      <c r="HJ197" s="17"/>
      <c r="HK197" s="17"/>
      <c r="HL197" s="17"/>
      <c r="HM197" s="17"/>
      <c r="HN197" s="17"/>
      <c r="HO197" s="17"/>
      <c r="HP197" s="17"/>
      <c r="HQ197" s="17"/>
      <c r="HR197" s="17"/>
      <c r="HS197" s="17"/>
      <c r="HT197" s="17"/>
      <c r="HU197" s="17"/>
      <c r="HV197" s="17"/>
      <c r="HW197" s="17"/>
      <c r="HX197" s="17"/>
      <c r="HY197" s="17"/>
      <c r="HZ197" s="17"/>
      <c r="IA197" s="17"/>
      <c r="IB197" s="17"/>
      <c r="IC197" s="17"/>
      <c r="ID197" s="17"/>
      <c r="IE197" s="17"/>
      <c r="IF197" s="17"/>
      <c r="IG197" s="17"/>
      <c r="IH197" s="17"/>
      <c r="II197" s="17"/>
      <c r="IJ197" s="17"/>
      <c r="IK197" s="17"/>
      <c r="IL197" s="17"/>
      <c r="IM197" s="17"/>
      <c r="IN197" s="17"/>
      <c r="IO197" s="17"/>
      <c r="IP197" s="17"/>
      <c r="IQ197" s="17"/>
      <c r="IR197" s="17"/>
      <c r="IS197" s="17"/>
      <c r="IT197" s="17"/>
      <c r="IU197" s="17"/>
      <c r="IV197" s="17"/>
      <c r="IW197" s="17"/>
      <c r="IX197" s="17"/>
      <c r="IY197" s="17"/>
      <c r="IZ197" s="17"/>
      <c r="JA197" s="17"/>
      <c r="JB197" s="17"/>
      <c r="JC197" s="17"/>
      <c r="JD197" s="17"/>
      <c r="JE197" s="17"/>
      <c r="JF197" s="17"/>
      <c r="JG197" s="17"/>
      <c r="JH197" s="17"/>
      <c r="JI197" s="17"/>
      <c r="JJ197" s="17"/>
      <c r="JK197" s="17"/>
      <c r="JL197" s="17"/>
      <c r="JM197" s="17"/>
      <c r="JN197" s="17"/>
      <c r="JO197" s="17"/>
      <c r="JP197" s="17"/>
      <c r="JQ197" s="17"/>
      <c r="JR197" s="17"/>
      <c r="JS197" s="17"/>
      <c r="JT197" s="17"/>
      <c r="JU197" s="17"/>
      <c r="JV197" s="17"/>
      <c r="JW197" s="17"/>
      <c r="JX197" s="17"/>
      <c r="JY197" s="17"/>
      <c r="JZ197" s="17"/>
      <c r="KA197" s="17"/>
      <c r="KB197" s="17"/>
      <c r="KC197" s="17"/>
      <c r="KD197" s="17"/>
      <c r="KE197" s="17"/>
      <c r="KF197" s="17"/>
      <c r="KG197" s="17"/>
      <c r="KH197" s="17"/>
      <c r="KI197" s="17"/>
      <c r="KJ197" s="17"/>
      <c r="KK197" s="17"/>
      <c r="KL197" s="17"/>
      <c r="KM197" s="17"/>
      <c r="KN197" s="17"/>
      <c r="KO197" s="17"/>
      <c r="KP197" s="17"/>
      <c r="KQ197" s="17"/>
      <c r="KR197" s="17"/>
      <c r="KS197" s="17"/>
      <c r="KT197" s="17"/>
      <c r="KU197" s="17"/>
      <c r="KV197" s="17"/>
      <c r="KW197" s="17"/>
      <c r="KX197" s="17"/>
      <c r="KY197" s="17"/>
    </row>
    <row r="198" spans="1:311" x14ac:dyDescent="0.25">
      <c r="A198" s="17"/>
      <c r="B198" s="17"/>
      <c r="C198" s="17"/>
      <c r="D198" s="17"/>
      <c r="E198" s="17"/>
      <c r="F198" s="17"/>
      <c r="G198" s="17"/>
      <c r="H198" s="17"/>
      <c r="I198" s="17"/>
      <c r="J198" s="17"/>
      <c r="K198" s="17"/>
      <c r="L198" s="17"/>
      <c r="M198" s="17"/>
      <c r="N198" s="17"/>
      <c r="O198" s="17"/>
      <c r="P198" s="17"/>
      <c r="Q198" s="17"/>
      <c r="R198" s="17"/>
      <c r="S198" s="17"/>
      <c r="T198" s="17"/>
      <c r="U198" s="17"/>
      <c r="V198" s="17"/>
      <c r="W198" s="17"/>
      <c r="X198" s="17"/>
      <c r="Y198" s="17"/>
      <c r="Z198" s="17"/>
      <c r="AA198" s="17"/>
      <c r="AB198" s="17"/>
      <c r="AC198" s="17"/>
      <c r="AD198" s="17"/>
      <c r="AE198" s="17"/>
      <c r="AF198" s="17"/>
      <c r="AG198" s="17"/>
      <c r="AH198" s="17"/>
      <c r="AI198" s="17"/>
      <c r="AJ198" s="17"/>
      <c r="AK198" s="17"/>
      <c r="AL198" s="17"/>
      <c r="AM198" s="17"/>
      <c r="AN198" s="17"/>
      <c r="AO198" s="17"/>
      <c r="AP198" s="17"/>
      <c r="AQ198" s="17"/>
      <c r="AR198" s="17"/>
      <c r="AS198" s="17"/>
      <c r="AT198" s="17"/>
      <c r="AU198" s="17"/>
      <c r="AV198" s="17"/>
      <c r="AW198" s="17"/>
      <c r="AX198" s="17"/>
      <c r="AY198" s="17"/>
      <c r="AZ198" s="17"/>
      <c r="BA198" s="17"/>
      <c r="BB198" s="17"/>
      <c r="BC198" s="17"/>
      <c r="BD198" s="17"/>
      <c r="BE198" s="17"/>
      <c r="BF198" s="17"/>
      <c r="BG198" s="17"/>
      <c r="BH198" s="17"/>
      <c r="BI198" s="17"/>
      <c r="BJ198" s="17"/>
      <c r="BK198" s="17"/>
      <c r="BL198" s="17"/>
      <c r="BM198" s="17"/>
      <c r="BN198" s="17"/>
      <c r="BO198" s="17"/>
      <c r="BP198" s="17"/>
      <c r="BQ198" s="17"/>
      <c r="BR198" s="17"/>
      <c r="BS198" s="17"/>
      <c r="BT198" s="17"/>
      <c r="BU198" s="17"/>
      <c r="BV198" s="17"/>
      <c r="BW198" s="17"/>
      <c r="BX198" s="17"/>
      <c r="BY198" s="17"/>
      <c r="BZ198" s="17"/>
      <c r="CA198" s="17"/>
      <c r="CB198" s="17"/>
      <c r="CC198" s="17"/>
      <c r="CD198" s="17"/>
      <c r="CE198" s="17"/>
      <c r="CF198" s="17"/>
      <c r="CG198" s="17"/>
      <c r="CH198" s="17"/>
      <c r="CI198" s="17"/>
      <c r="CJ198" s="17"/>
      <c r="CK198" s="17"/>
      <c r="CL198" s="17"/>
      <c r="CM198" s="17"/>
      <c r="CN198" s="17"/>
      <c r="CO198" s="17"/>
      <c r="CP198" s="17"/>
      <c r="CQ198" s="17"/>
      <c r="CR198" s="17"/>
      <c r="CS198" s="17"/>
      <c r="CT198" s="17"/>
      <c r="CU198" s="17"/>
      <c r="CV198" s="17"/>
      <c r="CW198" s="17"/>
      <c r="CX198" s="17"/>
      <c r="CY198" s="17"/>
      <c r="CZ198" s="17"/>
      <c r="DA198" s="17"/>
      <c r="DB198" s="17"/>
      <c r="DC198" s="17"/>
      <c r="DD198" s="17"/>
      <c r="DE198" s="17"/>
      <c r="DF198" s="17"/>
      <c r="DG198" s="17"/>
      <c r="DH198" s="17"/>
      <c r="DI198" s="17"/>
      <c r="DJ198" s="17"/>
      <c r="DK198" s="17"/>
      <c r="DL198" s="17"/>
      <c r="DM198" s="17"/>
      <c r="DN198" s="17"/>
      <c r="DO198" s="17"/>
      <c r="DP198" s="17"/>
      <c r="DQ198" s="17"/>
      <c r="DR198" s="17"/>
      <c r="DS198" s="17"/>
      <c r="DT198" s="17"/>
      <c r="DU198" s="17"/>
      <c r="DV198" s="17"/>
      <c r="DW198" s="17"/>
      <c r="DX198" s="17"/>
      <c r="DY198" s="17"/>
      <c r="DZ198" s="17"/>
      <c r="EA198" s="17"/>
      <c r="EB198" s="17"/>
      <c r="EC198" s="17"/>
      <c r="ED198" s="17"/>
      <c r="EE198" s="17"/>
      <c r="EF198" s="17"/>
      <c r="EG198" s="17"/>
      <c r="EH198" s="17"/>
      <c r="EI198" s="17"/>
      <c r="EJ198" s="17"/>
      <c r="EK198" s="17"/>
      <c r="EL198" s="17"/>
      <c r="EM198" s="17"/>
      <c r="EN198" s="17"/>
      <c r="EO198" s="17"/>
      <c r="EP198" s="17"/>
      <c r="EQ198" s="17"/>
      <c r="ER198" s="17"/>
      <c r="ES198" s="17"/>
      <c r="ET198" s="17"/>
      <c r="EU198" s="17"/>
      <c r="EV198" s="17"/>
      <c r="EW198" s="17"/>
      <c r="EX198" s="17"/>
      <c r="EY198" s="17"/>
      <c r="EZ198" s="17"/>
      <c r="FA198" s="17"/>
      <c r="FB198" s="17"/>
      <c r="FC198" s="17"/>
      <c r="FD198" s="17"/>
      <c r="FE198" s="17"/>
      <c r="FF198" s="17"/>
      <c r="FG198" s="17"/>
      <c r="FH198" s="17"/>
      <c r="FI198" s="17"/>
      <c r="FJ198" s="17"/>
      <c r="FK198" s="17"/>
      <c r="FL198" s="17"/>
      <c r="FM198" s="17"/>
      <c r="FN198" s="17"/>
      <c r="FO198" s="17"/>
      <c r="FP198" s="17"/>
      <c r="FQ198" s="17"/>
      <c r="FR198" s="17"/>
      <c r="FS198" s="17"/>
      <c r="FT198" s="17"/>
      <c r="FU198" s="17"/>
      <c r="FV198" s="17"/>
      <c r="FW198" s="17"/>
      <c r="FX198" s="17"/>
      <c r="FY198" s="17"/>
      <c r="FZ198" s="17"/>
      <c r="GA198" s="17"/>
      <c r="GB198" s="17"/>
      <c r="GC198" s="17"/>
      <c r="GD198" s="17"/>
      <c r="GE198" s="17"/>
      <c r="GF198" s="17"/>
      <c r="GG198" s="17"/>
      <c r="GH198" s="17"/>
      <c r="GI198" s="17"/>
      <c r="GJ198" s="17"/>
      <c r="GK198" s="17"/>
      <c r="GL198" s="17"/>
      <c r="GM198" s="17"/>
      <c r="GN198" s="17"/>
      <c r="GO198" s="17"/>
      <c r="GP198" s="17"/>
      <c r="GQ198" s="17"/>
      <c r="GR198" s="17"/>
      <c r="GS198" s="17"/>
      <c r="GT198" s="17"/>
      <c r="GU198" s="17"/>
      <c r="GV198" s="17"/>
      <c r="GW198" s="17"/>
      <c r="GX198" s="17"/>
      <c r="GY198" s="17"/>
      <c r="GZ198" s="17"/>
      <c r="HA198" s="17"/>
      <c r="HB198" s="17"/>
      <c r="HC198" s="17"/>
      <c r="HD198" s="17"/>
      <c r="HE198" s="17"/>
      <c r="HF198" s="17"/>
      <c r="HG198" s="17"/>
      <c r="HH198" s="17"/>
      <c r="HI198" s="17"/>
      <c r="HJ198" s="17"/>
      <c r="HK198" s="17"/>
      <c r="HL198" s="17"/>
      <c r="HM198" s="17"/>
      <c r="HN198" s="17"/>
      <c r="HO198" s="17"/>
      <c r="HP198" s="17"/>
      <c r="HQ198" s="17"/>
      <c r="HR198" s="17"/>
      <c r="HS198" s="17"/>
      <c r="HT198" s="17"/>
      <c r="HU198" s="17"/>
      <c r="HV198" s="17"/>
      <c r="HW198" s="17"/>
      <c r="HX198" s="17"/>
      <c r="HY198" s="17"/>
      <c r="HZ198" s="17"/>
      <c r="IA198" s="17"/>
      <c r="IB198" s="17"/>
      <c r="IC198" s="17"/>
      <c r="ID198" s="17"/>
      <c r="IE198" s="17"/>
      <c r="IF198" s="17"/>
      <c r="IG198" s="17"/>
      <c r="IH198" s="17"/>
      <c r="II198" s="17"/>
      <c r="IJ198" s="17"/>
      <c r="IK198" s="17"/>
      <c r="IL198" s="17"/>
      <c r="IM198" s="17"/>
      <c r="IN198" s="17"/>
      <c r="IO198" s="17"/>
      <c r="IP198" s="17"/>
      <c r="IQ198" s="17"/>
      <c r="IR198" s="17"/>
      <c r="IS198" s="17"/>
      <c r="IT198" s="17"/>
      <c r="IU198" s="17"/>
      <c r="IV198" s="17"/>
      <c r="IW198" s="17"/>
      <c r="IX198" s="17"/>
      <c r="IY198" s="17"/>
      <c r="IZ198" s="17"/>
      <c r="JA198" s="17"/>
      <c r="JB198" s="17"/>
      <c r="JC198" s="17"/>
      <c r="JD198" s="17"/>
      <c r="JE198" s="17"/>
      <c r="JF198" s="17"/>
      <c r="JG198" s="17"/>
      <c r="JH198" s="17"/>
      <c r="JI198" s="17"/>
      <c r="JJ198" s="17"/>
      <c r="JK198" s="17"/>
      <c r="JL198" s="17"/>
      <c r="JM198" s="17"/>
      <c r="JN198" s="17"/>
      <c r="JO198" s="17"/>
      <c r="JP198" s="17"/>
      <c r="JQ198" s="17"/>
      <c r="JR198" s="17"/>
      <c r="JS198" s="17"/>
      <c r="JT198" s="17"/>
      <c r="JU198" s="17"/>
      <c r="JV198" s="17"/>
      <c r="JW198" s="17"/>
      <c r="JX198" s="17"/>
      <c r="JY198" s="17"/>
      <c r="JZ198" s="17"/>
      <c r="KA198" s="17"/>
      <c r="KB198" s="17"/>
      <c r="KC198" s="17"/>
      <c r="KD198" s="17"/>
      <c r="KE198" s="17"/>
      <c r="KF198" s="17"/>
      <c r="KG198" s="17"/>
      <c r="KH198" s="17"/>
      <c r="KI198" s="17"/>
      <c r="KJ198" s="17"/>
      <c r="KK198" s="17"/>
      <c r="KL198" s="17"/>
      <c r="KM198" s="17"/>
      <c r="KN198" s="17"/>
      <c r="KO198" s="17"/>
      <c r="KP198" s="17"/>
      <c r="KQ198" s="17"/>
      <c r="KR198" s="17"/>
      <c r="KS198" s="17"/>
      <c r="KT198" s="17"/>
      <c r="KU198" s="17"/>
      <c r="KV198" s="17"/>
      <c r="KW198" s="17"/>
      <c r="KX198" s="17"/>
      <c r="KY198" s="17"/>
    </row>
    <row r="199" spans="1:311" x14ac:dyDescent="0.25">
      <c r="A199" s="17"/>
      <c r="B199" s="17"/>
      <c r="C199" s="17"/>
      <c r="D199" s="17"/>
      <c r="E199" s="17"/>
      <c r="F199" s="17"/>
      <c r="G199" s="17"/>
      <c r="H199" s="17"/>
      <c r="I199" s="17"/>
      <c r="J199" s="17"/>
      <c r="K199" s="17"/>
      <c r="L199" s="17"/>
      <c r="M199" s="17"/>
      <c r="N199" s="17"/>
      <c r="O199" s="17"/>
      <c r="P199" s="17"/>
      <c r="Q199" s="17"/>
      <c r="R199" s="17"/>
      <c r="S199" s="17"/>
      <c r="T199" s="17"/>
      <c r="U199" s="17"/>
      <c r="V199" s="17"/>
      <c r="W199" s="17"/>
      <c r="X199" s="17"/>
      <c r="Y199" s="17"/>
      <c r="Z199" s="17"/>
      <c r="AA199" s="17"/>
      <c r="AB199" s="17"/>
      <c r="AC199" s="17"/>
      <c r="AD199" s="17"/>
      <c r="AE199" s="17"/>
      <c r="AF199" s="17"/>
      <c r="AG199" s="17"/>
      <c r="AH199" s="17"/>
      <c r="AI199" s="17"/>
      <c r="AJ199" s="17"/>
      <c r="AK199" s="17"/>
      <c r="AL199" s="17"/>
      <c r="AM199" s="17"/>
      <c r="AN199" s="17"/>
      <c r="AO199" s="17"/>
      <c r="AP199" s="17"/>
      <c r="AQ199" s="17"/>
      <c r="AR199" s="17"/>
      <c r="AS199" s="17"/>
      <c r="AT199" s="17"/>
      <c r="AU199" s="17"/>
      <c r="AV199" s="17"/>
      <c r="AW199" s="17"/>
      <c r="AX199" s="17"/>
      <c r="AY199" s="17"/>
      <c r="AZ199" s="17"/>
      <c r="BA199" s="17"/>
      <c r="BB199" s="17"/>
      <c r="BC199" s="17"/>
      <c r="BD199" s="17"/>
      <c r="BE199" s="17"/>
      <c r="BF199" s="17"/>
      <c r="BG199" s="17"/>
      <c r="BH199" s="17"/>
      <c r="BI199" s="17"/>
      <c r="BJ199" s="17"/>
      <c r="BK199" s="17"/>
      <c r="BL199" s="17"/>
      <c r="BM199" s="17"/>
      <c r="BN199" s="17"/>
      <c r="BO199" s="17"/>
      <c r="BP199" s="17"/>
      <c r="BQ199" s="17"/>
      <c r="BR199" s="17"/>
      <c r="BS199" s="17"/>
      <c r="BT199" s="17"/>
      <c r="BU199" s="17"/>
      <c r="BV199" s="17"/>
      <c r="BW199" s="17"/>
      <c r="BX199" s="17"/>
      <c r="BY199" s="17"/>
      <c r="BZ199" s="17"/>
      <c r="CA199" s="17"/>
      <c r="CB199" s="17"/>
      <c r="CC199" s="17"/>
      <c r="CD199" s="17"/>
      <c r="CE199" s="17"/>
      <c r="CF199" s="17"/>
      <c r="CG199" s="17"/>
      <c r="CH199" s="17"/>
      <c r="CI199" s="17"/>
      <c r="CJ199" s="17"/>
      <c r="CK199" s="17"/>
      <c r="CL199" s="17"/>
      <c r="CM199" s="17"/>
      <c r="CN199" s="17"/>
      <c r="CO199" s="17"/>
      <c r="CP199" s="17"/>
      <c r="CQ199" s="17"/>
      <c r="CR199" s="17"/>
      <c r="CS199" s="17"/>
      <c r="CT199" s="17"/>
      <c r="CU199" s="17"/>
      <c r="CV199" s="17"/>
      <c r="CW199" s="17"/>
      <c r="CX199" s="17"/>
      <c r="CY199" s="17"/>
      <c r="CZ199" s="17"/>
      <c r="DA199" s="17"/>
      <c r="DB199" s="17"/>
      <c r="DC199" s="17"/>
      <c r="DD199" s="17"/>
      <c r="DE199" s="17"/>
      <c r="DF199" s="17"/>
      <c r="DG199" s="17"/>
      <c r="DH199" s="17"/>
      <c r="DI199" s="17"/>
      <c r="DJ199" s="17"/>
      <c r="DK199" s="17"/>
      <c r="DL199" s="17"/>
      <c r="DM199" s="17"/>
      <c r="DN199" s="17"/>
      <c r="DO199" s="17"/>
      <c r="DP199" s="17"/>
      <c r="DQ199" s="17"/>
      <c r="DR199" s="17"/>
      <c r="DS199" s="17"/>
      <c r="DT199" s="17"/>
      <c r="DU199" s="17"/>
      <c r="DV199" s="17"/>
      <c r="DW199" s="17"/>
      <c r="DX199" s="17"/>
      <c r="DY199" s="17"/>
      <c r="DZ199" s="17"/>
      <c r="EA199" s="17"/>
      <c r="EB199" s="17"/>
      <c r="EC199" s="17"/>
      <c r="ED199" s="17"/>
      <c r="EE199" s="17"/>
      <c r="EF199" s="17"/>
      <c r="EG199" s="17"/>
      <c r="EH199" s="17"/>
      <c r="EI199" s="17"/>
      <c r="EJ199" s="17"/>
      <c r="EK199" s="17"/>
      <c r="EL199" s="17"/>
      <c r="EM199" s="17"/>
      <c r="EN199" s="17"/>
      <c r="EO199" s="17"/>
      <c r="EP199" s="17"/>
      <c r="EQ199" s="17"/>
      <c r="ER199" s="17"/>
      <c r="ES199" s="17"/>
      <c r="ET199" s="17"/>
      <c r="EU199" s="17"/>
      <c r="EV199" s="17"/>
      <c r="EW199" s="17"/>
      <c r="EX199" s="17"/>
      <c r="EY199" s="17"/>
      <c r="EZ199" s="17"/>
      <c r="FA199" s="17"/>
      <c r="FB199" s="17"/>
      <c r="FC199" s="17"/>
      <c r="FD199" s="17"/>
      <c r="FE199" s="17"/>
      <c r="FF199" s="17"/>
      <c r="FG199" s="17"/>
      <c r="FH199" s="17"/>
      <c r="FI199" s="17"/>
      <c r="FJ199" s="17"/>
      <c r="FK199" s="17"/>
      <c r="FL199" s="17"/>
      <c r="FM199" s="17"/>
      <c r="FN199" s="17"/>
      <c r="FO199" s="17"/>
      <c r="FP199" s="17"/>
      <c r="FQ199" s="17"/>
      <c r="FR199" s="17"/>
      <c r="FS199" s="17"/>
      <c r="FT199" s="17"/>
      <c r="FU199" s="17"/>
      <c r="FV199" s="17"/>
      <c r="FW199" s="17"/>
      <c r="FX199" s="17"/>
      <c r="FY199" s="17"/>
      <c r="FZ199" s="17"/>
      <c r="GA199" s="17"/>
      <c r="GB199" s="17"/>
      <c r="GC199" s="17"/>
      <c r="GD199" s="17"/>
      <c r="GE199" s="17"/>
      <c r="GF199" s="17"/>
      <c r="GG199" s="17"/>
      <c r="GH199" s="17"/>
      <c r="GI199" s="17"/>
      <c r="GJ199" s="17"/>
      <c r="GK199" s="17"/>
      <c r="GL199" s="17"/>
      <c r="GM199" s="17"/>
      <c r="GN199" s="17"/>
      <c r="GO199" s="17"/>
      <c r="GP199" s="17"/>
      <c r="GQ199" s="17"/>
      <c r="GR199" s="17"/>
      <c r="GS199" s="17"/>
      <c r="GT199" s="17"/>
      <c r="GU199" s="17"/>
      <c r="GV199" s="17"/>
      <c r="GW199" s="17"/>
      <c r="GX199" s="17"/>
      <c r="GY199" s="17"/>
      <c r="GZ199" s="17"/>
      <c r="HA199" s="17"/>
      <c r="HB199" s="17"/>
      <c r="HC199" s="17"/>
      <c r="HD199" s="17"/>
      <c r="HE199" s="17"/>
      <c r="HF199" s="17"/>
      <c r="HG199" s="17"/>
      <c r="HH199" s="17"/>
      <c r="HI199" s="17"/>
      <c r="HJ199" s="17"/>
      <c r="HK199" s="17"/>
      <c r="HL199" s="17"/>
      <c r="HM199" s="17"/>
      <c r="HN199" s="17"/>
      <c r="HO199" s="17"/>
      <c r="HP199" s="17"/>
      <c r="HQ199" s="17"/>
      <c r="HR199" s="17"/>
      <c r="HS199" s="17"/>
      <c r="HT199" s="17"/>
      <c r="HU199" s="17"/>
      <c r="HV199" s="17"/>
      <c r="HW199" s="17"/>
      <c r="HX199" s="17"/>
      <c r="HY199" s="17"/>
      <c r="HZ199" s="17"/>
      <c r="IA199" s="17"/>
      <c r="IB199" s="17"/>
      <c r="IC199" s="17"/>
      <c r="ID199" s="17"/>
      <c r="IE199" s="17"/>
      <c r="IF199" s="17"/>
      <c r="IG199" s="17"/>
      <c r="IH199" s="17"/>
      <c r="II199" s="17"/>
      <c r="IJ199" s="17"/>
      <c r="IK199" s="17"/>
      <c r="IL199" s="17"/>
      <c r="IM199" s="17"/>
      <c r="IN199" s="17"/>
      <c r="IO199" s="17"/>
      <c r="IP199" s="17"/>
      <c r="IQ199" s="17"/>
      <c r="IR199" s="17"/>
      <c r="IS199" s="17"/>
      <c r="IT199" s="17"/>
      <c r="IU199" s="17"/>
      <c r="IV199" s="17"/>
      <c r="IW199" s="17"/>
      <c r="IX199" s="17"/>
      <c r="IY199" s="17"/>
      <c r="IZ199" s="17"/>
      <c r="JA199" s="17"/>
      <c r="JB199" s="17"/>
      <c r="JC199" s="17"/>
      <c r="JD199" s="17"/>
      <c r="JE199" s="17"/>
      <c r="JF199" s="17"/>
      <c r="JG199" s="17"/>
      <c r="JH199" s="17"/>
      <c r="JI199" s="17"/>
      <c r="JJ199" s="17"/>
      <c r="JK199" s="17"/>
      <c r="JL199" s="17"/>
      <c r="JM199" s="17"/>
      <c r="JN199" s="17"/>
      <c r="JO199" s="17"/>
      <c r="JP199" s="17"/>
      <c r="JQ199" s="17"/>
      <c r="JR199" s="17"/>
      <c r="JS199" s="17"/>
      <c r="JT199" s="17"/>
      <c r="JU199" s="17"/>
      <c r="JV199" s="17"/>
      <c r="JW199" s="17"/>
      <c r="JX199" s="17"/>
      <c r="JY199" s="17"/>
      <c r="JZ199" s="17"/>
      <c r="KA199" s="17"/>
      <c r="KB199" s="17"/>
      <c r="KC199" s="17"/>
      <c r="KD199" s="17"/>
      <c r="KE199" s="17"/>
      <c r="KF199" s="17"/>
      <c r="KG199" s="17"/>
      <c r="KH199" s="17"/>
      <c r="KI199" s="17"/>
      <c r="KJ199" s="17"/>
      <c r="KK199" s="17"/>
      <c r="KL199" s="17"/>
      <c r="KM199" s="17"/>
      <c r="KN199" s="17"/>
      <c r="KO199" s="17"/>
      <c r="KP199" s="17"/>
      <c r="KQ199" s="17"/>
      <c r="KR199" s="17"/>
      <c r="KS199" s="17"/>
      <c r="KT199" s="17"/>
      <c r="KU199" s="17"/>
      <c r="KV199" s="17"/>
      <c r="KW199" s="17"/>
      <c r="KX199" s="17"/>
      <c r="KY199" s="17"/>
    </row>
    <row r="200" spans="1:311" x14ac:dyDescent="0.25">
      <c r="A200" s="17"/>
      <c r="B200" s="17"/>
      <c r="C200" s="17"/>
      <c r="D200" s="17"/>
      <c r="E200" s="17"/>
      <c r="F200" s="17"/>
      <c r="G200" s="17"/>
      <c r="H200" s="17"/>
      <c r="I200" s="17"/>
      <c r="J200" s="17"/>
      <c r="K200" s="17"/>
      <c r="L200" s="17"/>
      <c r="M200" s="17"/>
      <c r="N200" s="17"/>
      <c r="O200" s="17"/>
      <c r="P200" s="17"/>
      <c r="Q200" s="17"/>
      <c r="R200" s="17"/>
      <c r="S200" s="17"/>
      <c r="T200" s="17"/>
      <c r="U200" s="17"/>
      <c r="V200" s="17"/>
      <c r="W200" s="17"/>
      <c r="X200" s="17"/>
      <c r="Y200" s="17"/>
      <c r="Z200" s="17"/>
      <c r="AA200" s="17"/>
      <c r="AB200" s="17"/>
      <c r="AC200" s="17"/>
      <c r="AD200" s="17"/>
      <c r="AE200" s="17"/>
      <c r="AF200" s="17"/>
      <c r="AG200" s="17"/>
      <c r="AH200" s="17"/>
      <c r="AI200" s="17"/>
      <c r="AJ200" s="17"/>
      <c r="AK200" s="17"/>
      <c r="AL200" s="17"/>
      <c r="AM200" s="17"/>
      <c r="AN200" s="17"/>
      <c r="AO200" s="17"/>
      <c r="AP200" s="17"/>
      <c r="AQ200" s="17"/>
      <c r="AR200" s="17"/>
      <c r="AS200" s="17"/>
      <c r="AT200" s="17"/>
      <c r="AU200" s="17"/>
      <c r="AV200" s="17"/>
      <c r="AW200" s="17"/>
      <c r="AX200" s="17"/>
      <c r="AY200" s="17"/>
      <c r="AZ200" s="17"/>
      <c r="BA200" s="17"/>
      <c r="BB200" s="17"/>
      <c r="BC200" s="17"/>
      <c r="BD200" s="17"/>
      <c r="BE200" s="17"/>
      <c r="BF200" s="17"/>
      <c r="BG200" s="17"/>
      <c r="BH200" s="17"/>
      <c r="BI200" s="17"/>
      <c r="BJ200" s="17"/>
      <c r="BK200" s="17"/>
      <c r="BL200" s="17"/>
      <c r="BM200" s="17"/>
      <c r="BN200" s="17"/>
      <c r="BO200" s="17"/>
      <c r="BP200" s="17"/>
      <c r="BQ200" s="17"/>
      <c r="BR200" s="17"/>
      <c r="BS200" s="17"/>
      <c r="BT200" s="17"/>
      <c r="BU200" s="17"/>
      <c r="BV200" s="17"/>
      <c r="BW200" s="17"/>
      <c r="BX200" s="17"/>
      <c r="BY200" s="17"/>
      <c r="BZ200" s="17"/>
      <c r="CA200" s="17"/>
      <c r="CB200" s="17"/>
      <c r="CC200" s="17"/>
      <c r="CD200" s="17"/>
      <c r="CE200" s="17"/>
      <c r="CF200" s="17"/>
      <c r="CG200" s="17"/>
      <c r="CH200" s="17"/>
      <c r="CI200" s="17"/>
      <c r="CJ200" s="17"/>
      <c r="CK200" s="17"/>
      <c r="CL200" s="17"/>
      <c r="CM200" s="17"/>
      <c r="CN200" s="17"/>
      <c r="CO200" s="17"/>
      <c r="CP200" s="17"/>
      <c r="CQ200" s="17"/>
      <c r="CR200" s="17"/>
      <c r="CS200" s="17"/>
      <c r="CT200" s="17"/>
      <c r="CU200" s="17"/>
      <c r="CV200" s="17"/>
      <c r="CW200" s="17"/>
      <c r="CX200" s="17"/>
      <c r="CY200" s="17"/>
      <c r="CZ200" s="17"/>
      <c r="DA200" s="17"/>
      <c r="DB200" s="17"/>
      <c r="DC200" s="17"/>
      <c r="DD200" s="17"/>
      <c r="DE200" s="17"/>
      <c r="DF200" s="17"/>
      <c r="DG200" s="17"/>
      <c r="DH200" s="17"/>
      <c r="DI200" s="17"/>
      <c r="DJ200" s="17"/>
      <c r="DK200" s="17"/>
      <c r="DL200" s="17"/>
      <c r="DM200" s="17"/>
      <c r="DN200" s="17"/>
      <c r="DO200" s="17"/>
      <c r="DP200" s="17"/>
      <c r="DQ200" s="17"/>
      <c r="DR200" s="17"/>
      <c r="DS200" s="17"/>
      <c r="DT200" s="17"/>
      <c r="DU200" s="17"/>
      <c r="DV200" s="17"/>
      <c r="DW200" s="17"/>
      <c r="DX200" s="17"/>
      <c r="DY200" s="17"/>
      <c r="DZ200" s="17"/>
      <c r="EA200" s="17"/>
      <c r="EB200" s="17"/>
      <c r="EC200" s="17"/>
      <c r="ED200" s="17"/>
      <c r="EE200" s="17"/>
      <c r="EF200" s="17"/>
      <c r="EG200" s="17"/>
      <c r="EH200" s="17"/>
      <c r="EI200" s="17"/>
      <c r="EJ200" s="17"/>
      <c r="EK200" s="17"/>
      <c r="EL200" s="17"/>
      <c r="EM200" s="17"/>
      <c r="EN200" s="17"/>
      <c r="EO200" s="17"/>
      <c r="EP200" s="17"/>
      <c r="EQ200" s="17"/>
      <c r="ER200" s="17"/>
      <c r="ES200" s="17"/>
      <c r="ET200" s="17"/>
      <c r="EU200" s="17"/>
      <c r="EV200" s="17"/>
      <c r="EW200" s="17"/>
      <c r="EX200" s="17"/>
      <c r="EY200" s="17"/>
      <c r="EZ200" s="17"/>
      <c r="FA200" s="17"/>
      <c r="FB200" s="17"/>
      <c r="FC200" s="17"/>
      <c r="FD200" s="17"/>
      <c r="FE200" s="17"/>
      <c r="FF200" s="17"/>
      <c r="FG200" s="17"/>
      <c r="FH200" s="17"/>
      <c r="FI200" s="17"/>
      <c r="FJ200" s="17"/>
      <c r="FK200" s="17"/>
      <c r="FL200" s="17"/>
      <c r="FM200" s="17"/>
      <c r="FN200" s="17"/>
      <c r="FO200" s="17"/>
      <c r="FP200" s="17"/>
      <c r="FQ200" s="17"/>
      <c r="FR200" s="17"/>
      <c r="FS200" s="17"/>
      <c r="FT200" s="17"/>
      <c r="FU200" s="17"/>
      <c r="FV200" s="17"/>
      <c r="FW200" s="17"/>
      <c r="FX200" s="17"/>
      <c r="FY200" s="17"/>
      <c r="FZ200" s="17"/>
      <c r="GA200" s="17"/>
      <c r="GB200" s="17"/>
      <c r="GC200" s="17"/>
      <c r="GD200" s="17"/>
      <c r="GE200" s="17"/>
      <c r="GF200" s="17"/>
      <c r="GG200" s="17"/>
      <c r="GH200" s="17"/>
      <c r="GI200" s="17"/>
      <c r="GJ200" s="17"/>
      <c r="GK200" s="17"/>
      <c r="GL200" s="17"/>
      <c r="GM200" s="17"/>
      <c r="GN200" s="17"/>
      <c r="GO200" s="17"/>
      <c r="GP200" s="17"/>
      <c r="GQ200" s="17"/>
      <c r="GR200" s="17"/>
      <c r="GS200" s="17"/>
      <c r="GT200" s="17"/>
      <c r="GU200" s="17"/>
      <c r="GV200" s="17"/>
      <c r="GW200" s="17"/>
      <c r="GX200" s="17"/>
      <c r="GY200" s="17"/>
      <c r="GZ200" s="17"/>
      <c r="HA200" s="17"/>
      <c r="HB200" s="17"/>
      <c r="HC200" s="17"/>
      <c r="HD200" s="17"/>
      <c r="HE200" s="17"/>
      <c r="HF200" s="17"/>
      <c r="HG200" s="17"/>
      <c r="HH200" s="17"/>
      <c r="HI200" s="17"/>
      <c r="HJ200" s="17"/>
      <c r="HK200" s="17"/>
      <c r="HL200" s="17"/>
      <c r="HM200" s="17"/>
      <c r="HN200" s="17"/>
      <c r="HO200" s="17"/>
      <c r="HP200" s="17"/>
      <c r="HQ200" s="17"/>
      <c r="HR200" s="17"/>
      <c r="HS200" s="17"/>
      <c r="HT200" s="17"/>
      <c r="HU200" s="17"/>
      <c r="HV200" s="17"/>
      <c r="HW200" s="17"/>
      <c r="HX200" s="17"/>
      <c r="HY200" s="17"/>
      <c r="HZ200" s="17"/>
      <c r="IA200" s="17"/>
      <c r="IB200" s="17"/>
      <c r="IC200" s="17"/>
      <c r="ID200" s="17"/>
      <c r="IE200" s="17"/>
      <c r="IF200" s="17"/>
      <c r="IG200" s="17"/>
      <c r="IH200" s="17"/>
      <c r="II200" s="17"/>
      <c r="IJ200" s="17"/>
      <c r="IK200" s="17"/>
      <c r="IL200" s="17"/>
      <c r="IM200" s="17"/>
      <c r="IN200" s="17"/>
      <c r="IO200" s="17"/>
      <c r="IP200" s="17"/>
      <c r="IQ200" s="17"/>
      <c r="IR200" s="17"/>
      <c r="IS200" s="17"/>
      <c r="IT200" s="17"/>
      <c r="IU200" s="17"/>
      <c r="IV200" s="17"/>
      <c r="IW200" s="17"/>
      <c r="IX200" s="17"/>
      <c r="IY200" s="17"/>
      <c r="IZ200" s="17"/>
      <c r="JA200" s="17"/>
      <c r="JB200" s="17"/>
      <c r="JC200" s="17"/>
      <c r="JD200" s="17"/>
      <c r="JE200" s="17"/>
      <c r="JF200" s="17"/>
      <c r="JG200" s="17"/>
      <c r="JH200" s="17"/>
      <c r="JI200" s="17"/>
      <c r="JJ200" s="17"/>
      <c r="JK200" s="17"/>
      <c r="JL200" s="17"/>
      <c r="JM200" s="17"/>
      <c r="JN200" s="17"/>
      <c r="JO200" s="17"/>
      <c r="JP200" s="17"/>
      <c r="JQ200" s="17"/>
      <c r="JR200" s="17"/>
      <c r="JS200" s="17"/>
      <c r="JT200" s="17"/>
      <c r="JU200" s="17"/>
      <c r="JV200" s="17"/>
      <c r="JW200" s="17"/>
      <c r="JX200" s="17"/>
      <c r="JY200" s="17"/>
      <c r="JZ200" s="17"/>
      <c r="KA200" s="17"/>
      <c r="KB200" s="17"/>
      <c r="KC200" s="17"/>
      <c r="KD200" s="17"/>
      <c r="KE200" s="17"/>
      <c r="KF200" s="17"/>
      <c r="KG200" s="17"/>
      <c r="KH200" s="17"/>
      <c r="KI200" s="17"/>
      <c r="KJ200" s="17"/>
      <c r="KK200" s="17"/>
      <c r="KL200" s="17"/>
      <c r="KM200" s="17"/>
      <c r="KN200" s="17"/>
      <c r="KO200" s="17"/>
      <c r="KP200" s="17"/>
      <c r="KQ200" s="17"/>
      <c r="KR200" s="17"/>
      <c r="KS200" s="17"/>
      <c r="KT200" s="17"/>
      <c r="KU200" s="17"/>
      <c r="KV200" s="17"/>
      <c r="KW200" s="17"/>
      <c r="KX200" s="17"/>
      <c r="KY200" s="17"/>
    </row>
    <row r="201" spans="1:311" x14ac:dyDescent="0.25">
      <c r="A201" s="17"/>
      <c r="B201" s="17"/>
      <c r="C201" s="17"/>
      <c r="D201" s="17"/>
      <c r="E201" s="17"/>
      <c r="F201" s="17"/>
      <c r="G201" s="17"/>
      <c r="H201" s="17"/>
      <c r="I201" s="17"/>
      <c r="J201" s="17"/>
      <c r="K201" s="17"/>
      <c r="L201" s="17"/>
      <c r="M201" s="17"/>
      <c r="N201" s="17"/>
      <c r="O201" s="17"/>
      <c r="P201" s="17"/>
      <c r="Q201" s="17"/>
      <c r="R201" s="17"/>
      <c r="S201" s="17"/>
      <c r="T201" s="17"/>
      <c r="U201" s="17"/>
      <c r="V201" s="17"/>
      <c r="W201" s="17"/>
      <c r="X201" s="17"/>
      <c r="Y201" s="17"/>
      <c r="Z201" s="17"/>
      <c r="AA201" s="17"/>
      <c r="AB201" s="17"/>
      <c r="AC201" s="17"/>
      <c r="AD201" s="17"/>
      <c r="AE201" s="17"/>
      <c r="AF201" s="17"/>
      <c r="AG201" s="17"/>
      <c r="AH201" s="17"/>
      <c r="AI201" s="17"/>
      <c r="AJ201" s="17"/>
      <c r="AK201" s="17"/>
      <c r="AL201" s="17"/>
      <c r="AM201" s="17"/>
      <c r="AN201" s="17"/>
      <c r="AO201" s="17"/>
      <c r="AP201" s="17"/>
      <c r="AQ201" s="17"/>
      <c r="AR201" s="17"/>
      <c r="AS201" s="17"/>
      <c r="AT201" s="17"/>
      <c r="AU201" s="17"/>
      <c r="AV201" s="17"/>
      <c r="AW201" s="17"/>
      <c r="AX201" s="17"/>
      <c r="AY201" s="17"/>
      <c r="AZ201" s="17"/>
      <c r="BA201" s="17"/>
      <c r="BB201" s="17"/>
      <c r="BC201" s="17"/>
      <c r="BD201" s="17"/>
      <c r="BE201" s="17"/>
      <c r="BF201" s="17"/>
      <c r="BG201" s="17"/>
      <c r="BH201" s="17"/>
      <c r="BI201" s="17"/>
      <c r="BJ201" s="17"/>
      <c r="BK201" s="17"/>
      <c r="BL201" s="17"/>
      <c r="BM201" s="17"/>
      <c r="BN201" s="17"/>
      <c r="BO201" s="17"/>
      <c r="BP201" s="17"/>
      <c r="BQ201" s="17"/>
      <c r="BR201" s="17"/>
      <c r="BS201" s="17"/>
      <c r="BT201" s="17"/>
      <c r="BU201" s="17"/>
      <c r="BV201" s="17"/>
      <c r="BW201" s="17"/>
      <c r="BX201" s="17"/>
      <c r="BY201" s="17"/>
      <c r="BZ201" s="17"/>
      <c r="CA201" s="17"/>
      <c r="CB201" s="17"/>
      <c r="CC201" s="17"/>
      <c r="CD201" s="17"/>
      <c r="CE201" s="17"/>
      <c r="CF201" s="17"/>
      <c r="CG201" s="17"/>
      <c r="CH201" s="17"/>
      <c r="CI201" s="17"/>
      <c r="CJ201" s="17"/>
      <c r="CK201" s="17"/>
      <c r="CL201" s="17"/>
      <c r="CM201" s="17"/>
      <c r="CN201" s="17"/>
      <c r="CO201" s="17"/>
      <c r="CP201" s="17"/>
      <c r="CQ201" s="17"/>
      <c r="CR201" s="17"/>
      <c r="CS201" s="17"/>
      <c r="CT201" s="17"/>
      <c r="CU201" s="17"/>
      <c r="CV201" s="17"/>
      <c r="CW201" s="17"/>
      <c r="CX201" s="17"/>
      <c r="CY201" s="17"/>
      <c r="CZ201" s="17"/>
      <c r="DA201" s="17"/>
      <c r="DB201" s="17"/>
      <c r="DC201" s="17"/>
      <c r="DD201" s="17"/>
      <c r="DE201" s="17"/>
      <c r="DF201" s="17"/>
      <c r="DG201" s="17"/>
      <c r="DH201" s="17"/>
      <c r="DI201" s="17"/>
      <c r="DJ201" s="17"/>
      <c r="DK201" s="17"/>
      <c r="DL201" s="17"/>
      <c r="DM201" s="17"/>
      <c r="DN201" s="17"/>
      <c r="DO201" s="17"/>
      <c r="DP201" s="17"/>
      <c r="DQ201" s="17"/>
      <c r="DR201" s="17"/>
      <c r="DS201" s="17"/>
      <c r="DT201" s="17"/>
      <c r="DU201" s="17"/>
      <c r="DV201" s="17"/>
      <c r="DW201" s="17"/>
      <c r="DX201" s="17"/>
      <c r="DY201" s="17"/>
      <c r="DZ201" s="17"/>
      <c r="EA201" s="17"/>
      <c r="EB201" s="17"/>
      <c r="EC201" s="17"/>
      <c r="ED201" s="17"/>
      <c r="EE201" s="17"/>
      <c r="EF201" s="17"/>
      <c r="EG201" s="17"/>
      <c r="EH201" s="17"/>
      <c r="EI201" s="17"/>
      <c r="EJ201" s="17"/>
      <c r="EK201" s="17"/>
      <c r="EL201" s="17"/>
      <c r="EM201" s="17"/>
      <c r="EN201" s="17"/>
      <c r="EO201" s="17"/>
      <c r="EP201" s="17"/>
      <c r="EQ201" s="17"/>
      <c r="ER201" s="17"/>
      <c r="ES201" s="17"/>
      <c r="ET201" s="17"/>
      <c r="EU201" s="17"/>
      <c r="EV201" s="17"/>
      <c r="EW201" s="17"/>
      <c r="EX201" s="17"/>
      <c r="EY201" s="17"/>
      <c r="EZ201" s="17"/>
      <c r="FA201" s="17"/>
      <c r="FB201" s="17"/>
      <c r="FC201" s="17"/>
      <c r="FD201" s="17"/>
      <c r="FE201" s="17"/>
      <c r="FF201" s="17"/>
      <c r="FG201" s="17"/>
      <c r="FH201" s="17"/>
      <c r="FI201" s="17"/>
      <c r="FJ201" s="17"/>
      <c r="FK201" s="17"/>
      <c r="FL201" s="17"/>
      <c r="FM201" s="17"/>
      <c r="FN201" s="17"/>
      <c r="FO201" s="17"/>
      <c r="FP201" s="17"/>
      <c r="FQ201" s="17"/>
      <c r="FR201" s="17"/>
      <c r="FS201" s="17"/>
      <c r="FT201" s="17"/>
      <c r="FU201" s="17"/>
      <c r="FV201" s="17"/>
      <c r="FW201" s="17"/>
      <c r="FX201" s="17"/>
      <c r="FY201" s="17"/>
      <c r="FZ201" s="17"/>
      <c r="GA201" s="17"/>
      <c r="GB201" s="17"/>
      <c r="GC201" s="17"/>
      <c r="GD201" s="17"/>
      <c r="GE201" s="17"/>
      <c r="GF201" s="17"/>
      <c r="GG201" s="17"/>
      <c r="GH201" s="17"/>
      <c r="GI201" s="17"/>
      <c r="GJ201" s="17"/>
      <c r="GK201" s="17"/>
      <c r="GL201" s="17"/>
      <c r="GM201" s="17"/>
      <c r="GN201" s="17"/>
      <c r="GO201" s="17"/>
      <c r="GP201" s="17"/>
      <c r="GQ201" s="17"/>
      <c r="GR201" s="17"/>
      <c r="GS201" s="17"/>
      <c r="GT201" s="17"/>
      <c r="GU201" s="17"/>
      <c r="GV201" s="17"/>
      <c r="GW201" s="17"/>
      <c r="GX201" s="17"/>
      <c r="GY201" s="17"/>
      <c r="GZ201" s="17"/>
      <c r="HA201" s="17"/>
      <c r="HB201" s="17"/>
      <c r="HC201" s="17"/>
      <c r="HD201" s="17"/>
      <c r="HE201" s="17"/>
      <c r="HF201" s="17"/>
      <c r="HG201" s="17"/>
      <c r="HH201" s="17"/>
      <c r="HI201" s="17"/>
      <c r="HJ201" s="17"/>
      <c r="HK201" s="17"/>
      <c r="HL201" s="17"/>
      <c r="HM201" s="17"/>
      <c r="HN201" s="17"/>
      <c r="HO201" s="17"/>
      <c r="HP201" s="17"/>
      <c r="HQ201" s="17"/>
      <c r="HR201" s="17"/>
      <c r="HS201" s="17"/>
      <c r="HT201" s="17"/>
      <c r="HU201" s="17"/>
      <c r="HV201" s="17"/>
      <c r="HW201" s="17"/>
      <c r="HX201" s="17"/>
      <c r="HY201" s="17"/>
      <c r="HZ201" s="17"/>
      <c r="IA201" s="17"/>
      <c r="IB201" s="17"/>
      <c r="IC201" s="17"/>
      <c r="ID201" s="17"/>
      <c r="IE201" s="17"/>
      <c r="IF201" s="17"/>
      <c r="IG201" s="17"/>
      <c r="IH201" s="17"/>
      <c r="II201" s="17"/>
      <c r="IJ201" s="17"/>
      <c r="IK201" s="17"/>
      <c r="IL201" s="17"/>
      <c r="IM201" s="17"/>
      <c r="IN201" s="17"/>
      <c r="IO201" s="17"/>
      <c r="IP201" s="17"/>
      <c r="IQ201" s="17"/>
      <c r="IR201" s="17"/>
      <c r="IS201" s="17"/>
      <c r="IT201" s="17"/>
      <c r="IU201" s="17"/>
      <c r="IV201" s="17"/>
      <c r="IW201" s="17"/>
      <c r="IX201" s="17"/>
      <c r="IY201" s="17"/>
      <c r="IZ201" s="17"/>
      <c r="JA201" s="17"/>
      <c r="JB201" s="17"/>
      <c r="JC201" s="17"/>
      <c r="JD201" s="17"/>
      <c r="JE201" s="17"/>
      <c r="JF201" s="17"/>
      <c r="JG201" s="17"/>
      <c r="JH201" s="17"/>
      <c r="JI201" s="17"/>
      <c r="JJ201" s="17"/>
      <c r="JK201" s="17"/>
      <c r="JL201" s="17"/>
      <c r="JM201" s="17"/>
      <c r="JN201" s="17"/>
      <c r="JO201" s="17"/>
      <c r="JP201" s="17"/>
      <c r="JQ201" s="17"/>
      <c r="JR201" s="17"/>
      <c r="JS201" s="17"/>
      <c r="JT201" s="17"/>
      <c r="JU201" s="17"/>
      <c r="JV201" s="17"/>
      <c r="JW201" s="17"/>
      <c r="JX201" s="17"/>
      <c r="JY201" s="17"/>
      <c r="JZ201" s="17"/>
      <c r="KA201" s="17"/>
      <c r="KB201" s="17"/>
      <c r="KC201" s="17"/>
      <c r="KD201" s="17"/>
      <c r="KE201" s="17"/>
      <c r="KF201" s="17"/>
      <c r="KG201" s="17"/>
      <c r="KH201" s="17"/>
      <c r="KI201" s="17"/>
      <c r="KJ201" s="17"/>
      <c r="KK201" s="17"/>
      <c r="KL201" s="17"/>
      <c r="KM201" s="17"/>
      <c r="KN201" s="17"/>
      <c r="KO201" s="17"/>
      <c r="KP201" s="17"/>
      <c r="KQ201" s="17"/>
      <c r="KR201" s="17"/>
      <c r="KS201" s="17"/>
      <c r="KT201" s="17"/>
      <c r="KU201" s="17"/>
      <c r="KV201" s="17"/>
      <c r="KW201" s="17"/>
      <c r="KX201" s="17"/>
      <c r="KY201" s="17"/>
    </row>
    <row r="202" spans="1:311" x14ac:dyDescent="0.25">
      <c r="A202" s="17"/>
      <c r="B202" s="17"/>
      <c r="C202" s="17"/>
      <c r="D202" s="17"/>
      <c r="E202" s="17"/>
      <c r="F202" s="17"/>
      <c r="G202" s="17"/>
      <c r="H202" s="17"/>
      <c r="I202" s="17"/>
      <c r="J202" s="17"/>
      <c r="K202" s="17"/>
      <c r="L202" s="17"/>
      <c r="M202" s="17"/>
      <c r="N202" s="17"/>
      <c r="O202" s="17"/>
      <c r="P202" s="17"/>
      <c r="Q202" s="17"/>
      <c r="R202" s="17"/>
      <c r="S202" s="17"/>
      <c r="T202" s="17"/>
      <c r="U202" s="17"/>
      <c r="V202" s="17"/>
      <c r="W202" s="17"/>
      <c r="X202" s="17"/>
      <c r="Y202" s="17"/>
      <c r="Z202" s="17"/>
      <c r="AA202" s="17"/>
      <c r="AB202" s="17"/>
      <c r="AC202" s="17"/>
      <c r="AD202" s="17"/>
      <c r="AE202" s="17"/>
      <c r="AF202" s="17"/>
      <c r="AG202" s="17"/>
      <c r="AH202" s="17"/>
      <c r="AI202" s="17"/>
      <c r="AJ202" s="17"/>
      <c r="AK202" s="17"/>
      <c r="AL202" s="17"/>
      <c r="AM202" s="17"/>
      <c r="AN202" s="17"/>
      <c r="AO202" s="17"/>
      <c r="AP202" s="17"/>
      <c r="AQ202" s="17"/>
      <c r="AR202" s="17"/>
      <c r="AS202" s="17"/>
      <c r="AT202" s="17"/>
      <c r="AU202" s="17"/>
      <c r="AV202" s="17"/>
      <c r="AW202" s="17"/>
      <c r="AX202" s="17"/>
      <c r="AY202" s="17"/>
      <c r="AZ202" s="17"/>
      <c r="BA202" s="17"/>
      <c r="BB202" s="17"/>
      <c r="BC202" s="17"/>
      <c r="BD202" s="17"/>
      <c r="BE202" s="17"/>
      <c r="BF202" s="17"/>
      <c r="BG202" s="17"/>
      <c r="BH202" s="17"/>
      <c r="BI202" s="17"/>
      <c r="BJ202" s="17"/>
      <c r="BK202" s="17"/>
      <c r="BL202" s="17"/>
      <c r="BM202" s="17"/>
      <c r="BN202" s="17"/>
      <c r="BO202" s="17"/>
      <c r="BP202" s="17"/>
      <c r="BQ202" s="17"/>
      <c r="BR202" s="17"/>
      <c r="BS202" s="17"/>
      <c r="BT202" s="17"/>
      <c r="BU202" s="17"/>
      <c r="BV202" s="17"/>
      <c r="BW202" s="17"/>
      <c r="BX202" s="17"/>
      <c r="BY202" s="17"/>
      <c r="BZ202" s="17"/>
      <c r="CA202" s="17"/>
      <c r="CB202" s="17"/>
      <c r="CC202" s="17"/>
      <c r="CD202" s="17"/>
      <c r="CE202" s="17"/>
      <c r="CF202" s="17"/>
      <c r="CG202" s="17"/>
      <c r="CH202" s="17"/>
      <c r="CI202" s="17"/>
      <c r="CJ202" s="17"/>
      <c r="CK202" s="17"/>
      <c r="CL202" s="17"/>
      <c r="CM202" s="17"/>
      <c r="CN202" s="17"/>
      <c r="CO202" s="17"/>
      <c r="CP202" s="17"/>
      <c r="CQ202" s="17"/>
      <c r="CR202" s="17"/>
      <c r="CS202" s="17"/>
      <c r="CT202" s="17"/>
      <c r="CU202" s="17"/>
      <c r="CV202" s="17"/>
      <c r="CW202" s="17"/>
      <c r="CX202" s="17"/>
      <c r="CY202" s="17"/>
      <c r="CZ202" s="17"/>
      <c r="DA202" s="17"/>
      <c r="DB202" s="17"/>
      <c r="DC202" s="17"/>
      <c r="DD202" s="17"/>
      <c r="DE202" s="17"/>
      <c r="DF202" s="17"/>
      <c r="DG202" s="17"/>
      <c r="DH202" s="17"/>
      <c r="DI202" s="17"/>
      <c r="DJ202" s="17"/>
      <c r="DK202" s="17"/>
      <c r="DL202" s="17"/>
      <c r="DM202" s="17"/>
      <c r="DN202" s="17"/>
      <c r="DO202" s="17"/>
      <c r="DP202" s="17"/>
      <c r="DQ202" s="17"/>
      <c r="DR202" s="17"/>
      <c r="DS202" s="17"/>
      <c r="DT202" s="17"/>
      <c r="DU202" s="17"/>
      <c r="DV202" s="17"/>
      <c r="DW202" s="17"/>
      <c r="DX202" s="17"/>
      <c r="DY202" s="17"/>
      <c r="DZ202" s="17"/>
      <c r="EA202" s="17"/>
      <c r="EB202" s="17"/>
      <c r="EC202" s="17"/>
      <c r="ED202" s="17"/>
      <c r="EE202" s="17"/>
      <c r="EF202" s="17"/>
      <c r="EG202" s="17"/>
      <c r="EH202" s="17"/>
      <c r="EI202" s="17"/>
      <c r="EJ202" s="17"/>
      <c r="EK202" s="17"/>
      <c r="EL202" s="17"/>
      <c r="EM202" s="17"/>
      <c r="EN202" s="17"/>
      <c r="EO202" s="17"/>
      <c r="EP202" s="17"/>
      <c r="EQ202" s="17"/>
      <c r="ER202" s="17"/>
      <c r="ES202" s="17"/>
      <c r="ET202" s="17"/>
      <c r="EU202" s="17"/>
      <c r="EV202" s="17"/>
      <c r="EW202" s="17"/>
      <c r="EX202" s="17"/>
      <c r="EY202" s="17"/>
      <c r="EZ202" s="17"/>
      <c r="FA202" s="17"/>
      <c r="FB202" s="17"/>
      <c r="FC202" s="17"/>
      <c r="FD202" s="17"/>
      <c r="FE202" s="17"/>
      <c r="FF202" s="17"/>
      <c r="FG202" s="17"/>
      <c r="FH202" s="17"/>
      <c r="FI202" s="17"/>
      <c r="FJ202" s="17"/>
      <c r="FK202" s="17"/>
      <c r="FL202" s="17"/>
      <c r="FM202" s="17"/>
      <c r="FN202" s="17"/>
      <c r="FO202" s="17"/>
      <c r="FP202" s="17"/>
      <c r="FQ202" s="17"/>
      <c r="FR202" s="17"/>
      <c r="FS202" s="17"/>
      <c r="FT202" s="17"/>
      <c r="FU202" s="17"/>
      <c r="FV202" s="17"/>
      <c r="FW202" s="17"/>
      <c r="FX202" s="17"/>
      <c r="FY202" s="17"/>
      <c r="FZ202" s="17"/>
      <c r="GA202" s="17"/>
      <c r="GB202" s="17"/>
      <c r="GC202" s="17"/>
      <c r="GD202" s="17"/>
      <c r="GE202" s="17"/>
      <c r="GF202" s="17"/>
      <c r="GG202" s="17"/>
      <c r="GH202" s="17"/>
      <c r="GI202" s="17"/>
      <c r="GJ202" s="17"/>
      <c r="GK202" s="17"/>
      <c r="GL202" s="17"/>
      <c r="GM202" s="17"/>
      <c r="GN202" s="17"/>
      <c r="GO202" s="17"/>
      <c r="GP202" s="17"/>
      <c r="GQ202" s="17"/>
      <c r="GR202" s="17"/>
      <c r="GS202" s="17"/>
      <c r="GT202" s="17"/>
      <c r="GU202" s="17"/>
      <c r="GV202" s="17"/>
      <c r="GW202" s="17"/>
      <c r="GX202" s="17"/>
      <c r="GY202" s="17"/>
      <c r="GZ202" s="17"/>
      <c r="HA202" s="17"/>
      <c r="HB202" s="17"/>
      <c r="HC202" s="17"/>
      <c r="HD202" s="17"/>
      <c r="HE202" s="17"/>
      <c r="HF202" s="17"/>
      <c r="HG202" s="17"/>
      <c r="HH202" s="17"/>
      <c r="HI202" s="17"/>
      <c r="HJ202" s="17"/>
      <c r="HK202" s="17"/>
      <c r="HL202" s="17"/>
      <c r="HM202" s="17"/>
      <c r="HN202" s="17"/>
      <c r="HO202" s="17"/>
      <c r="HP202" s="17"/>
      <c r="HQ202" s="17"/>
      <c r="HR202" s="17"/>
      <c r="HS202" s="17"/>
      <c r="HT202" s="17"/>
      <c r="HU202" s="17"/>
      <c r="HV202" s="17"/>
      <c r="HW202" s="17"/>
      <c r="HX202" s="17"/>
      <c r="HY202" s="17"/>
      <c r="HZ202" s="17"/>
      <c r="IA202" s="17"/>
      <c r="IB202" s="17"/>
      <c r="IC202" s="17"/>
      <c r="ID202" s="17"/>
      <c r="IE202" s="17"/>
      <c r="IF202" s="17"/>
      <c r="IG202" s="17"/>
      <c r="IH202" s="17"/>
      <c r="II202" s="17"/>
      <c r="IJ202" s="17"/>
      <c r="IK202" s="17"/>
      <c r="IL202" s="17"/>
      <c r="IM202" s="17"/>
      <c r="IN202" s="17"/>
      <c r="IO202" s="17"/>
      <c r="IP202" s="17"/>
      <c r="IQ202" s="17"/>
      <c r="IR202" s="17"/>
      <c r="IS202" s="17"/>
      <c r="IT202" s="17"/>
      <c r="IU202" s="17"/>
      <c r="IV202" s="17"/>
      <c r="IW202" s="17"/>
      <c r="IX202" s="17"/>
      <c r="IY202" s="17"/>
      <c r="IZ202" s="17"/>
      <c r="JA202" s="17"/>
      <c r="JB202" s="17"/>
      <c r="JC202" s="17"/>
      <c r="JD202" s="17"/>
      <c r="JE202" s="17"/>
      <c r="JF202" s="17"/>
      <c r="JG202" s="17"/>
      <c r="JH202" s="17"/>
      <c r="JI202" s="17"/>
      <c r="JJ202" s="17"/>
      <c r="JK202" s="17"/>
      <c r="JL202" s="17"/>
      <c r="JM202" s="17"/>
      <c r="JN202" s="17"/>
      <c r="JO202" s="17"/>
      <c r="JP202" s="17"/>
      <c r="JQ202" s="17"/>
      <c r="JR202" s="17"/>
      <c r="JS202" s="17"/>
      <c r="JT202" s="17"/>
      <c r="JU202" s="17"/>
      <c r="JV202" s="17"/>
      <c r="JW202" s="17"/>
      <c r="JX202" s="17"/>
      <c r="JY202" s="17"/>
      <c r="JZ202" s="17"/>
      <c r="KA202" s="17"/>
      <c r="KB202" s="17"/>
      <c r="KC202" s="17"/>
      <c r="KD202" s="17"/>
      <c r="KE202" s="17"/>
      <c r="KF202" s="17"/>
      <c r="KG202" s="17"/>
      <c r="KH202" s="17"/>
      <c r="KI202" s="17"/>
      <c r="KJ202" s="17"/>
      <c r="KK202" s="17"/>
      <c r="KL202" s="17"/>
      <c r="KM202" s="17"/>
      <c r="KN202" s="17"/>
      <c r="KO202" s="17"/>
      <c r="KP202" s="17"/>
      <c r="KQ202" s="17"/>
      <c r="KR202" s="17"/>
      <c r="KS202" s="17"/>
      <c r="KT202" s="17"/>
      <c r="KU202" s="17"/>
      <c r="KV202" s="17"/>
      <c r="KW202" s="17"/>
      <c r="KX202" s="17"/>
      <c r="KY202" s="17"/>
    </row>
    <row r="203" spans="1:311" x14ac:dyDescent="0.25">
      <c r="A203" s="17"/>
      <c r="B203" s="17"/>
      <c r="C203" s="17"/>
      <c r="D203" s="17"/>
      <c r="E203" s="17"/>
      <c r="F203" s="17"/>
      <c r="G203" s="17"/>
      <c r="H203" s="17"/>
      <c r="I203" s="17"/>
      <c r="J203" s="17"/>
      <c r="K203" s="17"/>
      <c r="L203" s="17"/>
      <c r="M203" s="17"/>
      <c r="N203" s="17"/>
      <c r="O203" s="17"/>
      <c r="P203" s="17"/>
      <c r="Q203" s="17"/>
      <c r="R203" s="17"/>
      <c r="S203" s="17"/>
      <c r="T203" s="17"/>
      <c r="U203" s="17"/>
      <c r="V203" s="17"/>
      <c r="W203" s="17"/>
      <c r="X203" s="17"/>
      <c r="Y203" s="17"/>
      <c r="Z203" s="17"/>
      <c r="AA203" s="17"/>
      <c r="AB203" s="17"/>
      <c r="AC203" s="17"/>
      <c r="AD203" s="17"/>
      <c r="AE203" s="17"/>
      <c r="AF203" s="17"/>
      <c r="AG203" s="17"/>
      <c r="AH203" s="17"/>
      <c r="AI203" s="17"/>
      <c r="AJ203" s="17"/>
      <c r="AK203" s="17"/>
      <c r="AL203" s="17"/>
      <c r="AM203" s="17"/>
      <c r="AN203" s="17"/>
      <c r="AO203" s="17"/>
      <c r="AP203" s="17"/>
      <c r="AQ203" s="17"/>
      <c r="AR203" s="17"/>
      <c r="AS203" s="17"/>
      <c r="AT203" s="17"/>
      <c r="AU203" s="17"/>
      <c r="AV203" s="17"/>
      <c r="AW203" s="17"/>
      <c r="AX203" s="17"/>
      <c r="AY203" s="17"/>
      <c r="AZ203" s="17"/>
      <c r="BA203" s="17"/>
      <c r="BB203" s="17"/>
      <c r="BC203" s="17"/>
      <c r="BD203" s="17"/>
      <c r="BE203" s="17"/>
      <c r="BF203" s="17"/>
      <c r="BG203" s="17"/>
      <c r="BH203" s="17"/>
      <c r="BI203" s="17"/>
      <c r="BJ203" s="17"/>
      <c r="BK203" s="17"/>
      <c r="BL203" s="17"/>
      <c r="BM203" s="17"/>
      <c r="BN203" s="17"/>
      <c r="BO203" s="17"/>
      <c r="BP203" s="17"/>
      <c r="BQ203" s="17"/>
      <c r="BR203" s="17"/>
      <c r="BS203" s="17"/>
      <c r="BT203" s="17"/>
      <c r="BU203" s="17"/>
      <c r="BV203" s="17"/>
      <c r="BW203" s="17"/>
      <c r="BX203" s="17"/>
      <c r="BY203" s="17"/>
      <c r="BZ203" s="17"/>
      <c r="CA203" s="17"/>
      <c r="CB203" s="17"/>
      <c r="CC203" s="17"/>
      <c r="CD203" s="17"/>
      <c r="CE203" s="17"/>
      <c r="CF203" s="17"/>
      <c r="CG203" s="17"/>
      <c r="CH203" s="17"/>
      <c r="CI203" s="17"/>
      <c r="CJ203" s="17"/>
      <c r="CK203" s="17"/>
      <c r="CL203" s="17"/>
      <c r="CM203" s="17"/>
      <c r="CN203" s="17"/>
      <c r="CO203" s="17"/>
      <c r="CP203" s="17"/>
      <c r="CQ203" s="17"/>
      <c r="CR203" s="17"/>
      <c r="CS203" s="17"/>
      <c r="CT203" s="17"/>
      <c r="CU203" s="17"/>
      <c r="CV203" s="17"/>
      <c r="CW203" s="17"/>
      <c r="CX203" s="17"/>
      <c r="CY203" s="17"/>
      <c r="CZ203" s="17"/>
      <c r="DA203" s="17"/>
      <c r="DB203" s="17"/>
      <c r="DC203" s="17"/>
      <c r="DD203" s="17"/>
      <c r="DE203" s="17"/>
      <c r="DF203" s="17"/>
      <c r="DG203" s="17"/>
      <c r="DH203" s="17"/>
      <c r="DI203" s="17"/>
      <c r="DJ203" s="17"/>
      <c r="DK203" s="17"/>
      <c r="DL203" s="17"/>
      <c r="DM203" s="17"/>
      <c r="DN203" s="17"/>
      <c r="DO203" s="17"/>
      <c r="DP203" s="17"/>
      <c r="DQ203" s="17"/>
      <c r="DR203" s="17"/>
      <c r="DS203" s="17"/>
      <c r="DT203" s="17"/>
      <c r="DU203" s="17"/>
      <c r="DV203" s="17"/>
      <c r="DW203" s="17"/>
      <c r="DX203" s="17"/>
      <c r="DY203" s="17"/>
      <c r="DZ203" s="17"/>
      <c r="EA203" s="17"/>
      <c r="EB203" s="17"/>
      <c r="EC203" s="17"/>
      <c r="ED203" s="17"/>
      <c r="EE203" s="17"/>
      <c r="EF203" s="17"/>
      <c r="EG203" s="17"/>
      <c r="EH203" s="17"/>
      <c r="EI203" s="17"/>
      <c r="EJ203" s="17"/>
      <c r="EK203" s="17"/>
      <c r="EL203" s="17"/>
      <c r="EM203" s="17"/>
      <c r="EN203" s="17"/>
      <c r="EO203" s="17"/>
      <c r="EP203" s="17"/>
      <c r="EQ203" s="17"/>
      <c r="ER203" s="17"/>
      <c r="ES203" s="17"/>
      <c r="ET203" s="17"/>
      <c r="EU203" s="17"/>
      <c r="EV203" s="17"/>
      <c r="EW203" s="17"/>
      <c r="EX203" s="17"/>
      <c r="EY203" s="17"/>
      <c r="EZ203" s="17"/>
      <c r="FA203" s="17"/>
      <c r="FB203" s="17"/>
      <c r="FC203" s="17"/>
      <c r="FD203" s="17"/>
      <c r="FE203" s="17"/>
      <c r="FF203" s="17"/>
      <c r="FG203" s="17"/>
      <c r="FH203" s="17"/>
      <c r="FI203" s="17"/>
      <c r="FJ203" s="17"/>
      <c r="FK203" s="17"/>
      <c r="FL203" s="17"/>
      <c r="FM203" s="17"/>
      <c r="FN203" s="17"/>
      <c r="FO203" s="17"/>
      <c r="FP203" s="17"/>
      <c r="FQ203" s="17"/>
      <c r="FR203" s="17"/>
      <c r="FS203" s="17"/>
      <c r="FT203" s="17"/>
      <c r="FU203" s="17"/>
      <c r="FV203" s="17"/>
      <c r="FW203" s="17"/>
      <c r="FX203" s="17"/>
      <c r="FY203" s="17"/>
      <c r="FZ203" s="17"/>
      <c r="GA203" s="17"/>
      <c r="GB203" s="17"/>
      <c r="GC203" s="17"/>
      <c r="GD203" s="17"/>
      <c r="GE203" s="17"/>
      <c r="GF203" s="17"/>
      <c r="GG203" s="17"/>
      <c r="GH203" s="17"/>
      <c r="GI203" s="17"/>
      <c r="GJ203" s="17"/>
      <c r="GK203" s="17"/>
      <c r="GL203" s="17"/>
      <c r="GM203" s="17"/>
      <c r="GN203" s="17"/>
      <c r="GO203" s="17"/>
      <c r="GP203" s="17"/>
      <c r="GQ203" s="17"/>
      <c r="GR203" s="17"/>
      <c r="GS203" s="17"/>
      <c r="GT203" s="17"/>
      <c r="GU203" s="17"/>
      <c r="GV203" s="17"/>
      <c r="GW203" s="17"/>
      <c r="GX203" s="17"/>
      <c r="GY203" s="17"/>
      <c r="GZ203" s="17"/>
      <c r="HA203" s="17"/>
      <c r="HB203" s="17"/>
      <c r="HC203" s="17"/>
      <c r="HD203" s="17"/>
      <c r="HE203" s="17"/>
      <c r="HF203" s="17"/>
      <c r="HG203" s="17"/>
      <c r="HH203" s="17"/>
      <c r="HI203" s="17"/>
      <c r="HJ203" s="17"/>
      <c r="HK203" s="17"/>
      <c r="HL203" s="17"/>
      <c r="HM203" s="17"/>
      <c r="HN203" s="17"/>
      <c r="HO203" s="17"/>
      <c r="HP203" s="17"/>
      <c r="HQ203" s="17"/>
      <c r="HR203" s="17"/>
      <c r="HS203" s="17"/>
      <c r="HT203" s="17"/>
      <c r="HU203" s="17"/>
      <c r="HV203" s="17"/>
      <c r="HW203" s="17"/>
      <c r="HX203" s="17"/>
      <c r="HY203" s="17"/>
      <c r="HZ203" s="17"/>
      <c r="IA203" s="17"/>
      <c r="IB203" s="17"/>
      <c r="IC203" s="17"/>
      <c r="ID203" s="17"/>
      <c r="IE203" s="17"/>
      <c r="IF203" s="17"/>
      <c r="IG203" s="17"/>
      <c r="IH203" s="17"/>
      <c r="II203" s="17"/>
      <c r="IJ203" s="17"/>
      <c r="IK203" s="17"/>
      <c r="IL203" s="17"/>
      <c r="IM203" s="17"/>
      <c r="IN203" s="17"/>
      <c r="IO203" s="17"/>
      <c r="IP203" s="17"/>
      <c r="IQ203" s="17"/>
      <c r="IR203" s="17"/>
      <c r="IS203" s="17"/>
      <c r="IT203" s="17"/>
      <c r="IU203" s="17"/>
      <c r="IV203" s="17"/>
      <c r="IW203" s="17"/>
      <c r="IX203" s="17"/>
      <c r="IY203" s="17"/>
      <c r="IZ203" s="17"/>
      <c r="JA203" s="17"/>
      <c r="JB203" s="17"/>
      <c r="JC203" s="17"/>
      <c r="JD203" s="17"/>
      <c r="JE203" s="17"/>
      <c r="JF203" s="17"/>
      <c r="JG203" s="17"/>
      <c r="JH203" s="17"/>
      <c r="JI203" s="17"/>
      <c r="JJ203" s="17"/>
      <c r="JK203" s="17"/>
      <c r="JL203" s="17"/>
      <c r="JM203" s="17"/>
      <c r="JN203" s="17"/>
      <c r="JO203" s="17"/>
      <c r="JP203" s="17"/>
      <c r="JQ203" s="17"/>
      <c r="JR203" s="17"/>
      <c r="JS203" s="17"/>
      <c r="JT203" s="17"/>
      <c r="JU203" s="17"/>
      <c r="JV203" s="17"/>
      <c r="JW203" s="17"/>
      <c r="JX203" s="17"/>
      <c r="JY203" s="17"/>
      <c r="JZ203" s="17"/>
      <c r="KA203" s="17"/>
      <c r="KB203" s="17"/>
      <c r="KC203" s="17"/>
      <c r="KD203" s="17"/>
      <c r="KE203" s="17"/>
      <c r="KF203" s="17"/>
      <c r="KG203" s="17"/>
      <c r="KH203" s="17"/>
      <c r="KI203" s="17"/>
      <c r="KJ203" s="17"/>
      <c r="KK203" s="17"/>
      <c r="KL203" s="17"/>
      <c r="KM203" s="17"/>
      <c r="KN203" s="17"/>
      <c r="KO203" s="17"/>
      <c r="KP203" s="17"/>
      <c r="KQ203" s="17"/>
      <c r="KR203" s="17"/>
      <c r="KS203" s="17"/>
      <c r="KT203" s="17"/>
      <c r="KU203" s="17"/>
      <c r="KV203" s="17"/>
      <c r="KW203" s="17"/>
      <c r="KX203" s="17"/>
      <c r="KY203" s="17"/>
    </row>
    <row r="204" spans="1:311" x14ac:dyDescent="0.25">
      <c r="A204" s="17"/>
      <c r="B204" s="17"/>
      <c r="C204" s="17"/>
      <c r="D204" s="17"/>
      <c r="E204" s="17"/>
      <c r="F204" s="17"/>
      <c r="G204" s="17"/>
      <c r="H204" s="17"/>
      <c r="I204" s="17"/>
      <c r="J204" s="17"/>
      <c r="K204" s="17"/>
      <c r="L204" s="17"/>
      <c r="M204" s="17"/>
      <c r="N204" s="17"/>
      <c r="O204" s="17"/>
      <c r="P204" s="17"/>
      <c r="Q204" s="17"/>
      <c r="R204" s="17"/>
      <c r="S204" s="17"/>
      <c r="T204" s="17"/>
      <c r="U204" s="17"/>
      <c r="V204" s="17"/>
      <c r="W204" s="17"/>
      <c r="X204" s="17"/>
      <c r="Y204" s="17"/>
      <c r="Z204" s="17"/>
      <c r="AA204" s="17"/>
      <c r="AB204" s="17"/>
      <c r="AC204" s="17"/>
      <c r="AD204" s="17"/>
      <c r="AE204" s="17"/>
      <c r="AF204" s="17"/>
      <c r="AG204" s="17"/>
      <c r="AH204" s="17"/>
      <c r="AI204" s="17"/>
      <c r="AJ204" s="17"/>
      <c r="AK204" s="17"/>
      <c r="AL204" s="17"/>
      <c r="AM204" s="17"/>
      <c r="AN204" s="17"/>
      <c r="AO204" s="17"/>
      <c r="AP204" s="17"/>
      <c r="AQ204" s="17"/>
      <c r="AR204" s="17"/>
      <c r="AS204" s="17"/>
      <c r="AT204" s="17"/>
      <c r="AU204" s="17"/>
      <c r="AV204" s="17"/>
      <c r="AW204" s="17"/>
      <c r="AX204" s="17"/>
      <c r="AY204" s="17"/>
      <c r="AZ204" s="17"/>
      <c r="BA204" s="17"/>
      <c r="BB204" s="17"/>
      <c r="BC204" s="17"/>
      <c r="BD204" s="17"/>
      <c r="BE204" s="17"/>
      <c r="BF204" s="17"/>
      <c r="BG204" s="17"/>
      <c r="BH204" s="17"/>
      <c r="BI204" s="17"/>
      <c r="BJ204" s="17"/>
      <c r="BK204" s="17"/>
      <c r="BL204" s="17"/>
      <c r="BM204" s="17"/>
      <c r="BN204" s="17"/>
      <c r="BO204" s="17"/>
      <c r="BP204" s="17"/>
      <c r="BQ204" s="17"/>
      <c r="BR204" s="17"/>
      <c r="BS204" s="17"/>
      <c r="BT204" s="17"/>
      <c r="BU204" s="17"/>
      <c r="BV204" s="17"/>
      <c r="BW204" s="17"/>
      <c r="BX204" s="17"/>
      <c r="BY204" s="17"/>
      <c r="BZ204" s="17"/>
      <c r="CA204" s="17"/>
      <c r="CB204" s="17"/>
      <c r="CC204" s="17"/>
      <c r="CD204" s="17"/>
      <c r="CE204" s="17"/>
      <c r="CF204" s="17"/>
      <c r="CG204" s="17"/>
      <c r="CH204" s="17"/>
      <c r="CI204" s="17"/>
      <c r="CJ204" s="17"/>
      <c r="CK204" s="17"/>
      <c r="CL204" s="17"/>
      <c r="CM204" s="17"/>
      <c r="CN204" s="17"/>
      <c r="CO204" s="17"/>
      <c r="CP204" s="17"/>
      <c r="CQ204" s="17"/>
      <c r="CR204" s="17"/>
      <c r="CS204" s="17"/>
      <c r="CT204" s="17"/>
      <c r="CU204" s="17"/>
      <c r="CV204" s="17"/>
      <c r="CW204" s="17"/>
      <c r="CX204" s="17"/>
      <c r="CY204" s="17"/>
      <c r="CZ204" s="17"/>
      <c r="DA204" s="17"/>
      <c r="DB204" s="17"/>
      <c r="DC204" s="17"/>
      <c r="DD204" s="17"/>
      <c r="DE204" s="17"/>
      <c r="DF204" s="17"/>
      <c r="DG204" s="17"/>
      <c r="DH204" s="17"/>
      <c r="DI204" s="17"/>
      <c r="DJ204" s="17"/>
      <c r="DK204" s="17"/>
      <c r="DL204" s="17"/>
      <c r="DM204" s="17"/>
      <c r="DN204" s="17"/>
      <c r="DO204" s="17"/>
      <c r="DP204" s="17"/>
      <c r="DQ204" s="17"/>
      <c r="DR204" s="17"/>
      <c r="DS204" s="17"/>
      <c r="DT204" s="17"/>
      <c r="DU204" s="17"/>
      <c r="DV204" s="17"/>
      <c r="DW204" s="17"/>
      <c r="DX204" s="17"/>
      <c r="DY204" s="17"/>
      <c r="DZ204" s="17"/>
      <c r="EA204" s="17"/>
      <c r="EB204" s="17"/>
      <c r="EC204" s="17"/>
      <c r="ED204" s="17"/>
      <c r="EE204" s="17"/>
      <c r="EF204" s="17"/>
      <c r="EG204" s="17"/>
      <c r="EH204" s="17"/>
      <c r="EI204" s="17"/>
      <c r="EJ204" s="17"/>
      <c r="EK204" s="17"/>
      <c r="EL204" s="17"/>
      <c r="EM204" s="17"/>
      <c r="EN204" s="17"/>
      <c r="EO204" s="17"/>
      <c r="EP204" s="17"/>
      <c r="EQ204" s="17"/>
      <c r="ER204" s="17"/>
      <c r="ES204" s="17"/>
      <c r="ET204" s="17"/>
      <c r="EU204" s="17"/>
      <c r="EV204" s="17"/>
      <c r="EW204" s="17"/>
      <c r="EX204" s="17"/>
      <c r="EY204" s="17"/>
      <c r="EZ204" s="17"/>
      <c r="FA204" s="17"/>
      <c r="FB204" s="17"/>
      <c r="FC204" s="17"/>
      <c r="FD204" s="17"/>
      <c r="FE204" s="17"/>
      <c r="FF204" s="17"/>
      <c r="FG204" s="17"/>
      <c r="FH204" s="17"/>
      <c r="FI204" s="17"/>
      <c r="FJ204" s="17"/>
      <c r="FK204" s="17"/>
      <c r="FL204" s="17"/>
      <c r="FM204" s="17"/>
      <c r="FN204" s="17"/>
      <c r="FO204" s="17"/>
      <c r="FP204" s="17"/>
      <c r="FQ204" s="17"/>
      <c r="FR204" s="17"/>
      <c r="FS204" s="17"/>
      <c r="FT204" s="17"/>
      <c r="FU204" s="17"/>
      <c r="FV204" s="17"/>
      <c r="FW204" s="17"/>
      <c r="FX204" s="17"/>
      <c r="FY204" s="17"/>
      <c r="FZ204" s="17"/>
      <c r="GA204" s="17"/>
      <c r="GB204" s="17"/>
      <c r="GC204" s="17"/>
      <c r="GD204" s="17"/>
      <c r="GE204" s="17"/>
      <c r="GF204" s="17"/>
      <c r="GG204" s="17"/>
      <c r="GH204" s="17"/>
      <c r="GI204" s="17"/>
      <c r="GJ204" s="17"/>
      <c r="GK204" s="17"/>
      <c r="GL204" s="17"/>
      <c r="GM204" s="17"/>
      <c r="GN204" s="17"/>
      <c r="GO204" s="17"/>
      <c r="GP204" s="17"/>
      <c r="GQ204" s="17"/>
      <c r="GR204" s="17"/>
      <c r="GS204" s="17"/>
      <c r="GT204" s="17"/>
      <c r="GU204" s="17"/>
      <c r="GV204" s="17"/>
      <c r="GW204" s="17"/>
      <c r="GX204" s="17"/>
      <c r="GY204" s="17"/>
      <c r="GZ204" s="17"/>
      <c r="HA204" s="17"/>
      <c r="HB204" s="17"/>
      <c r="HC204" s="17"/>
      <c r="HD204" s="17"/>
      <c r="HE204" s="17"/>
      <c r="HF204" s="17"/>
      <c r="HG204" s="17"/>
      <c r="HH204" s="17"/>
      <c r="HI204" s="17"/>
      <c r="HJ204" s="17"/>
      <c r="HK204" s="17"/>
      <c r="HL204" s="17"/>
      <c r="HM204" s="17"/>
      <c r="HN204" s="17"/>
      <c r="HO204" s="17"/>
      <c r="HP204" s="17"/>
      <c r="HQ204" s="17"/>
      <c r="HR204" s="17"/>
      <c r="HS204" s="17"/>
      <c r="HT204" s="17"/>
      <c r="HU204" s="17"/>
      <c r="HV204" s="17"/>
      <c r="HW204" s="17"/>
      <c r="HX204" s="17"/>
      <c r="HY204" s="17"/>
      <c r="HZ204" s="17"/>
      <c r="IA204" s="17"/>
      <c r="IB204" s="17"/>
      <c r="IC204" s="17"/>
      <c r="ID204" s="17"/>
      <c r="IE204" s="17"/>
      <c r="IF204" s="17"/>
      <c r="IG204" s="17"/>
      <c r="IH204" s="17"/>
      <c r="II204" s="17"/>
      <c r="IJ204" s="17"/>
      <c r="IK204" s="17"/>
      <c r="IL204" s="17"/>
      <c r="IM204" s="17"/>
      <c r="IN204" s="17"/>
      <c r="IO204" s="17"/>
      <c r="IP204" s="17"/>
      <c r="IQ204" s="17"/>
      <c r="IR204" s="17"/>
      <c r="IS204" s="17"/>
      <c r="IT204" s="17"/>
      <c r="IU204" s="17"/>
      <c r="IV204" s="17"/>
      <c r="IW204" s="17"/>
      <c r="IX204" s="17"/>
      <c r="IY204" s="17"/>
      <c r="IZ204" s="17"/>
      <c r="JA204" s="17"/>
      <c r="JB204" s="17"/>
      <c r="JC204" s="17"/>
      <c r="JD204" s="17"/>
      <c r="JE204" s="17"/>
      <c r="JF204" s="17"/>
      <c r="JG204" s="17"/>
      <c r="JH204" s="17"/>
      <c r="JI204" s="17"/>
      <c r="JJ204" s="17"/>
      <c r="JK204" s="17"/>
      <c r="JL204" s="17"/>
      <c r="JM204" s="17"/>
      <c r="JN204" s="17"/>
      <c r="JO204" s="17"/>
      <c r="JP204" s="17"/>
      <c r="JQ204" s="17"/>
      <c r="JR204" s="17"/>
      <c r="JS204" s="17"/>
      <c r="JT204" s="17"/>
      <c r="JU204" s="17"/>
      <c r="JV204" s="17"/>
      <c r="JW204" s="17"/>
      <c r="JX204" s="17"/>
      <c r="JY204" s="17"/>
      <c r="JZ204" s="17"/>
      <c r="KA204" s="17"/>
      <c r="KB204" s="17"/>
      <c r="KC204" s="17"/>
      <c r="KD204" s="17"/>
      <c r="KE204" s="17"/>
      <c r="KF204" s="17"/>
      <c r="KG204" s="17"/>
      <c r="KH204" s="17"/>
      <c r="KI204" s="17"/>
      <c r="KJ204" s="17"/>
      <c r="KK204" s="17"/>
      <c r="KL204" s="17"/>
      <c r="KM204" s="17"/>
      <c r="KN204" s="17"/>
      <c r="KO204" s="17"/>
      <c r="KP204" s="17"/>
      <c r="KQ204" s="17"/>
      <c r="KR204" s="17"/>
      <c r="KS204" s="17"/>
      <c r="KT204" s="17"/>
      <c r="KU204" s="17"/>
      <c r="KV204" s="17"/>
      <c r="KW204" s="17"/>
      <c r="KX204" s="17"/>
      <c r="KY204" s="17"/>
    </row>
    <row r="205" spans="1:311" x14ac:dyDescent="0.25">
      <c r="A205" s="17"/>
      <c r="B205" s="17"/>
      <c r="C205" s="17"/>
      <c r="D205" s="17"/>
      <c r="E205" s="17"/>
      <c r="F205" s="17"/>
      <c r="G205" s="17"/>
      <c r="H205" s="17"/>
      <c r="I205" s="17"/>
      <c r="J205" s="17"/>
      <c r="K205" s="17"/>
      <c r="L205" s="17"/>
      <c r="M205" s="17"/>
      <c r="N205" s="17"/>
      <c r="O205" s="17"/>
      <c r="P205" s="17"/>
      <c r="Q205" s="17"/>
      <c r="R205" s="17"/>
      <c r="S205" s="17"/>
      <c r="T205" s="17"/>
      <c r="U205" s="17"/>
      <c r="V205" s="17"/>
      <c r="W205" s="17"/>
      <c r="X205" s="17"/>
      <c r="Y205" s="17"/>
      <c r="Z205" s="17"/>
      <c r="AA205" s="17"/>
      <c r="AB205" s="17"/>
      <c r="AC205" s="17"/>
      <c r="AD205" s="17"/>
      <c r="AE205" s="17"/>
      <c r="AF205" s="17"/>
      <c r="AG205" s="17"/>
      <c r="AH205" s="17"/>
      <c r="AI205" s="17"/>
      <c r="AJ205" s="17"/>
      <c r="AK205" s="17"/>
      <c r="AL205" s="17"/>
      <c r="AM205" s="17"/>
      <c r="AN205" s="17"/>
      <c r="AO205" s="17"/>
      <c r="AP205" s="17"/>
      <c r="AQ205" s="17"/>
      <c r="AR205" s="17"/>
      <c r="AS205" s="17"/>
      <c r="AT205" s="17"/>
      <c r="AU205" s="17"/>
      <c r="AV205" s="17"/>
      <c r="AW205" s="17"/>
      <c r="AX205" s="17"/>
      <c r="AY205" s="17"/>
      <c r="AZ205" s="17"/>
      <c r="BA205" s="17"/>
      <c r="BB205" s="17"/>
      <c r="BC205" s="17"/>
      <c r="BD205" s="17"/>
      <c r="BE205" s="17"/>
      <c r="BF205" s="17"/>
      <c r="BG205" s="17"/>
      <c r="BH205" s="17"/>
      <c r="BI205" s="17"/>
      <c r="BJ205" s="17"/>
      <c r="BK205" s="17"/>
      <c r="BL205" s="17"/>
      <c r="BM205" s="17"/>
      <c r="BN205" s="17"/>
      <c r="BO205" s="17"/>
      <c r="BP205" s="17"/>
      <c r="BQ205" s="17"/>
      <c r="BR205" s="17"/>
      <c r="BS205" s="17"/>
      <c r="BT205" s="17"/>
      <c r="BU205" s="17"/>
      <c r="BV205" s="17"/>
      <c r="BW205" s="17"/>
      <c r="BX205" s="17"/>
      <c r="BY205" s="17"/>
      <c r="BZ205" s="17"/>
      <c r="CA205" s="17"/>
      <c r="CB205" s="17"/>
      <c r="CC205" s="17"/>
      <c r="CD205" s="17"/>
      <c r="CE205" s="17"/>
      <c r="CF205" s="17"/>
      <c r="CG205" s="17"/>
      <c r="CH205" s="17"/>
      <c r="CI205" s="17"/>
      <c r="CJ205" s="17"/>
      <c r="CK205" s="17"/>
      <c r="CL205" s="17"/>
      <c r="CM205" s="17"/>
      <c r="CN205" s="17"/>
      <c r="CO205" s="17"/>
      <c r="CP205" s="17"/>
      <c r="CQ205" s="17"/>
      <c r="CR205" s="17"/>
      <c r="CS205" s="17"/>
      <c r="CT205" s="17"/>
      <c r="CU205" s="17"/>
      <c r="CV205" s="17"/>
      <c r="CW205" s="17"/>
      <c r="CX205" s="17"/>
      <c r="CY205" s="17"/>
      <c r="CZ205" s="17"/>
      <c r="DA205" s="17"/>
      <c r="DB205" s="17"/>
      <c r="DC205" s="17"/>
      <c r="DD205" s="17"/>
      <c r="DE205" s="17"/>
      <c r="DF205" s="17"/>
      <c r="DG205" s="17"/>
      <c r="DH205" s="17"/>
      <c r="DI205" s="17"/>
      <c r="DJ205" s="17"/>
      <c r="DK205" s="17"/>
      <c r="DL205" s="17"/>
      <c r="DM205" s="17"/>
      <c r="DN205" s="17"/>
      <c r="DO205" s="17"/>
      <c r="DP205" s="17"/>
      <c r="DQ205" s="17"/>
      <c r="DR205" s="17"/>
      <c r="DS205" s="17"/>
      <c r="DT205" s="17"/>
      <c r="DU205" s="17"/>
      <c r="DV205" s="17"/>
      <c r="DW205" s="17"/>
      <c r="DX205" s="17"/>
      <c r="DY205" s="17"/>
      <c r="DZ205" s="17"/>
      <c r="EA205" s="17"/>
      <c r="EB205" s="17"/>
      <c r="EC205" s="17"/>
      <c r="ED205" s="17"/>
      <c r="EE205" s="17"/>
      <c r="EF205" s="17"/>
      <c r="EG205" s="17"/>
      <c r="EH205" s="17"/>
      <c r="EI205" s="17"/>
      <c r="EJ205" s="17"/>
      <c r="EK205" s="17"/>
      <c r="EL205" s="17"/>
      <c r="EM205" s="17"/>
      <c r="EN205" s="17"/>
      <c r="EO205" s="17"/>
      <c r="EP205" s="17"/>
      <c r="EQ205" s="17"/>
      <c r="ER205" s="17"/>
      <c r="ES205" s="17"/>
      <c r="ET205" s="17"/>
      <c r="EU205" s="17"/>
      <c r="EV205" s="17"/>
      <c r="EW205" s="17"/>
      <c r="EX205" s="17"/>
      <c r="EY205" s="17"/>
      <c r="EZ205" s="17"/>
      <c r="FA205" s="17"/>
      <c r="FB205" s="17"/>
      <c r="FC205" s="17"/>
      <c r="FD205" s="17"/>
      <c r="FE205" s="17"/>
      <c r="FF205" s="17"/>
      <c r="FG205" s="17"/>
      <c r="FH205" s="17"/>
      <c r="FI205" s="17"/>
      <c r="FJ205" s="17"/>
      <c r="FK205" s="17"/>
      <c r="FL205" s="17"/>
      <c r="FM205" s="17"/>
      <c r="FN205" s="17"/>
      <c r="FO205" s="17"/>
      <c r="FP205" s="17"/>
      <c r="FQ205" s="17"/>
      <c r="FR205" s="17"/>
      <c r="FS205" s="17"/>
      <c r="FT205" s="17"/>
      <c r="FU205" s="17"/>
      <c r="FV205" s="17"/>
      <c r="FW205" s="17"/>
      <c r="FX205" s="17"/>
      <c r="FY205" s="17"/>
      <c r="FZ205" s="17"/>
      <c r="GA205" s="17"/>
      <c r="GB205" s="17"/>
      <c r="GC205" s="17"/>
      <c r="GD205" s="17"/>
      <c r="GE205" s="17"/>
      <c r="GF205" s="17"/>
      <c r="GG205" s="17"/>
      <c r="GH205" s="17"/>
      <c r="GI205" s="17"/>
      <c r="GJ205" s="17"/>
      <c r="GK205" s="17"/>
      <c r="GL205" s="17"/>
      <c r="GM205" s="17"/>
      <c r="GN205" s="17"/>
      <c r="GO205" s="17"/>
      <c r="GP205" s="17"/>
      <c r="GQ205" s="17"/>
      <c r="GR205" s="17"/>
      <c r="GS205" s="17"/>
      <c r="GT205" s="17"/>
      <c r="GU205" s="17"/>
      <c r="GV205" s="17"/>
      <c r="GW205" s="17"/>
      <c r="GX205" s="17"/>
      <c r="GY205" s="17"/>
      <c r="GZ205" s="17"/>
      <c r="HA205" s="17"/>
      <c r="HB205" s="17"/>
      <c r="HC205" s="17"/>
      <c r="HD205" s="17"/>
      <c r="HE205" s="17"/>
      <c r="HF205" s="17"/>
      <c r="HG205" s="17"/>
      <c r="HH205" s="17"/>
      <c r="HI205" s="17"/>
      <c r="HJ205" s="17"/>
      <c r="HK205" s="17"/>
      <c r="HL205" s="17"/>
      <c r="HM205" s="17"/>
      <c r="HN205" s="17"/>
      <c r="HO205" s="17"/>
      <c r="HP205" s="17"/>
      <c r="HQ205" s="17"/>
      <c r="HR205" s="17"/>
      <c r="HS205" s="17"/>
      <c r="HT205" s="17"/>
      <c r="HU205" s="17"/>
      <c r="HV205" s="17"/>
      <c r="HW205" s="17"/>
      <c r="HX205" s="17"/>
      <c r="HY205" s="17"/>
      <c r="HZ205" s="17"/>
      <c r="IA205" s="17"/>
      <c r="IB205" s="17"/>
      <c r="IC205" s="17"/>
      <c r="ID205" s="17"/>
      <c r="IE205" s="17"/>
      <c r="IF205" s="17"/>
      <c r="IG205" s="17"/>
      <c r="IH205" s="17"/>
      <c r="II205" s="17"/>
      <c r="IJ205" s="17"/>
      <c r="IK205" s="17"/>
      <c r="IL205" s="17"/>
      <c r="IM205" s="17"/>
      <c r="IN205" s="17"/>
      <c r="IO205" s="17"/>
      <c r="IP205" s="17"/>
      <c r="IQ205" s="17"/>
      <c r="IR205" s="17"/>
      <c r="IS205" s="17"/>
      <c r="IT205" s="17"/>
      <c r="IU205" s="17"/>
      <c r="IV205" s="17"/>
      <c r="IW205" s="17"/>
      <c r="IX205" s="17"/>
      <c r="IY205" s="17"/>
      <c r="IZ205" s="17"/>
      <c r="JA205" s="17"/>
      <c r="JB205" s="17"/>
      <c r="JC205" s="17"/>
      <c r="JD205" s="17"/>
      <c r="JE205" s="17"/>
      <c r="JF205" s="17"/>
      <c r="JG205" s="17"/>
      <c r="JH205" s="17"/>
      <c r="JI205" s="17"/>
      <c r="JJ205" s="17"/>
      <c r="JK205" s="17"/>
      <c r="JL205" s="17"/>
      <c r="JM205" s="17"/>
      <c r="JN205" s="17"/>
      <c r="JO205" s="17"/>
      <c r="JP205" s="17"/>
      <c r="JQ205" s="17"/>
      <c r="JR205" s="17"/>
      <c r="JS205" s="17"/>
      <c r="JT205" s="17"/>
      <c r="JU205" s="17"/>
      <c r="JV205" s="17"/>
      <c r="JW205" s="17"/>
      <c r="JX205" s="17"/>
      <c r="JY205" s="17"/>
      <c r="JZ205" s="17"/>
      <c r="KA205" s="17"/>
      <c r="KB205" s="17"/>
      <c r="KC205" s="17"/>
      <c r="KD205" s="17"/>
      <c r="KE205" s="17"/>
      <c r="KF205" s="17"/>
      <c r="KG205" s="17"/>
      <c r="KH205" s="17"/>
      <c r="KI205" s="17"/>
      <c r="KJ205" s="17"/>
      <c r="KK205" s="17"/>
      <c r="KL205" s="17"/>
      <c r="KM205" s="17"/>
      <c r="KN205" s="17"/>
      <c r="KO205" s="17"/>
      <c r="KP205" s="17"/>
      <c r="KQ205" s="17"/>
      <c r="KR205" s="17"/>
      <c r="KS205" s="17"/>
      <c r="KT205" s="17"/>
      <c r="KU205" s="17"/>
      <c r="KV205" s="17"/>
      <c r="KW205" s="17"/>
      <c r="KX205" s="17"/>
      <c r="KY205" s="17"/>
    </row>
    <row r="206" spans="1:311" x14ac:dyDescent="0.25">
      <c r="A206" s="17"/>
      <c r="B206" s="17"/>
      <c r="C206" s="17"/>
      <c r="D206" s="17"/>
      <c r="E206" s="17"/>
      <c r="F206" s="17"/>
      <c r="G206" s="17"/>
      <c r="H206" s="17"/>
      <c r="I206" s="17"/>
      <c r="J206" s="17"/>
      <c r="K206" s="17"/>
      <c r="L206" s="17"/>
      <c r="M206" s="17"/>
      <c r="N206" s="17"/>
      <c r="O206" s="17"/>
      <c r="P206" s="17"/>
      <c r="Q206" s="17"/>
      <c r="R206" s="17"/>
      <c r="S206" s="17"/>
      <c r="T206" s="17"/>
      <c r="U206" s="17"/>
      <c r="V206" s="17"/>
      <c r="W206" s="17"/>
      <c r="X206" s="17"/>
      <c r="Y206" s="17"/>
      <c r="Z206" s="17"/>
      <c r="AA206" s="17"/>
      <c r="AB206" s="17"/>
      <c r="AC206" s="17"/>
      <c r="AD206" s="17"/>
      <c r="AE206" s="17"/>
      <c r="AF206" s="17"/>
      <c r="AG206" s="17"/>
      <c r="AH206" s="17"/>
      <c r="AI206" s="17"/>
      <c r="AJ206" s="17"/>
      <c r="AK206" s="17"/>
      <c r="AL206" s="17"/>
      <c r="AM206" s="17"/>
      <c r="AN206" s="17"/>
      <c r="AO206" s="17"/>
      <c r="AP206" s="17"/>
      <c r="AQ206" s="17"/>
      <c r="AR206" s="17"/>
      <c r="AS206" s="17"/>
      <c r="AT206" s="17"/>
      <c r="AU206" s="17"/>
      <c r="AV206" s="17"/>
      <c r="AW206" s="17"/>
      <c r="AX206" s="17"/>
      <c r="AY206" s="17"/>
      <c r="AZ206" s="17"/>
      <c r="BA206" s="17"/>
      <c r="BB206" s="17"/>
      <c r="BC206" s="17"/>
      <c r="BD206" s="17"/>
      <c r="BE206" s="17"/>
      <c r="BF206" s="17"/>
      <c r="BG206" s="17"/>
      <c r="BH206" s="17"/>
      <c r="BI206" s="17"/>
      <c r="BJ206" s="17"/>
      <c r="BK206" s="17"/>
      <c r="BL206" s="17"/>
      <c r="BM206" s="17"/>
      <c r="BN206" s="17"/>
      <c r="BO206" s="17"/>
      <c r="BP206" s="17"/>
      <c r="BQ206" s="17"/>
      <c r="BR206" s="17"/>
      <c r="BS206" s="17"/>
      <c r="BT206" s="17"/>
      <c r="BU206" s="17"/>
      <c r="BV206" s="17"/>
      <c r="BW206" s="17"/>
      <c r="BX206" s="17"/>
      <c r="BY206" s="17"/>
      <c r="BZ206" s="17"/>
      <c r="CA206" s="17"/>
      <c r="CB206" s="17"/>
      <c r="CC206" s="17"/>
      <c r="CD206" s="17"/>
      <c r="CE206" s="17"/>
      <c r="CF206" s="17"/>
      <c r="CG206" s="17"/>
      <c r="CH206" s="17"/>
      <c r="CI206" s="17"/>
      <c r="CJ206" s="17"/>
      <c r="CK206" s="17"/>
      <c r="CL206" s="17"/>
      <c r="CM206" s="17"/>
      <c r="CN206" s="17"/>
      <c r="CO206" s="17"/>
      <c r="CP206" s="17"/>
      <c r="CQ206" s="17"/>
      <c r="CR206" s="17"/>
      <c r="CS206" s="17"/>
      <c r="CT206" s="17"/>
      <c r="CU206" s="17"/>
      <c r="CV206" s="17"/>
      <c r="CW206" s="17"/>
      <c r="CX206" s="17"/>
      <c r="CY206" s="17"/>
      <c r="CZ206" s="17"/>
      <c r="DA206" s="17"/>
      <c r="DB206" s="17"/>
      <c r="DC206" s="17"/>
      <c r="DD206" s="17"/>
      <c r="DE206" s="17"/>
      <c r="DF206" s="17"/>
      <c r="DG206" s="17"/>
      <c r="DH206" s="17"/>
      <c r="DI206" s="17"/>
      <c r="DJ206" s="17"/>
      <c r="DK206" s="17"/>
      <c r="DL206" s="17"/>
      <c r="DM206" s="17"/>
      <c r="DN206" s="17"/>
      <c r="DO206" s="17"/>
      <c r="DP206" s="17"/>
      <c r="DQ206" s="17"/>
      <c r="DR206" s="17"/>
      <c r="DS206" s="17"/>
      <c r="DT206" s="17"/>
      <c r="DU206" s="17"/>
      <c r="DV206" s="17"/>
      <c r="DW206" s="17"/>
      <c r="DX206" s="17"/>
      <c r="DY206" s="17"/>
      <c r="DZ206" s="17"/>
      <c r="EA206" s="17"/>
      <c r="EB206" s="17"/>
      <c r="EC206" s="17"/>
      <c r="ED206" s="17"/>
      <c r="EE206" s="17"/>
      <c r="EF206" s="17"/>
      <c r="EG206" s="17"/>
      <c r="EH206" s="17"/>
      <c r="EI206" s="17"/>
      <c r="EJ206" s="17"/>
      <c r="EK206" s="17"/>
      <c r="EL206" s="17"/>
      <c r="EM206" s="17"/>
      <c r="EN206" s="17"/>
      <c r="EO206" s="17"/>
      <c r="EP206" s="17"/>
      <c r="EQ206" s="17"/>
      <c r="ER206" s="17"/>
      <c r="ES206" s="17"/>
      <c r="ET206" s="17"/>
      <c r="EU206" s="17"/>
      <c r="EV206" s="17"/>
      <c r="EW206" s="17"/>
      <c r="EX206" s="17"/>
      <c r="EY206" s="17"/>
      <c r="EZ206" s="17"/>
      <c r="FA206" s="17"/>
      <c r="FB206" s="17"/>
      <c r="FC206" s="17"/>
      <c r="FD206" s="17"/>
      <c r="FE206" s="17"/>
      <c r="FF206" s="17"/>
      <c r="FG206" s="17"/>
      <c r="FH206" s="17"/>
      <c r="FI206" s="17"/>
      <c r="FJ206" s="17"/>
      <c r="FK206" s="17"/>
      <c r="FL206" s="17"/>
      <c r="FM206" s="17"/>
      <c r="FN206" s="17"/>
      <c r="FO206" s="17"/>
      <c r="FP206" s="17"/>
      <c r="FQ206" s="17"/>
      <c r="FR206" s="17"/>
      <c r="FS206" s="17"/>
      <c r="FT206" s="17"/>
      <c r="FU206" s="17"/>
      <c r="FV206" s="17"/>
      <c r="FW206" s="17"/>
      <c r="FX206" s="17"/>
      <c r="FY206" s="17"/>
      <c r="FZ206" s="17"/>
      <c r="GA206" s="17"/>
      <c r="GB206" s="17"/>
      <c r="GC206" s="17"/>
      <c r="GD206" s="17"/>
      <c r="GE206" s="17"/>
      <c r="GF206" s="17"/>
      <c r="GG206" s="17"/>
      <c r="GH206" s="17"/>
      <c r="GI206" s="17"/>
      <c r="GJ206" s="17"/>
      <c r="GK206" s="17"/>
      <c r="GL206" s="17"/>
      <c r="GM206" s="17"/>
      <c r="GN206" s="17"/>
      <c r="GO206" s="17"/>
      <c r="GP206" s="17"/>
      <c r="GQ206" s="17"/>
      <c r="GR206" s="17"/>
      <c r="GS206" s="17"/>
      <c r="GT206" s="17"/>
      <c r="GU206" s="17"/>
      <c r="GV206" s="17"/>
      <c r="GW206" s="17"/>
      <c r="GX206" s="17"/>
      <c r="GY206" s="17"/>
      <c r="GZ206" s="17"/>
      <c r="HA206" s="17"/>
      <c r="HB206" s="17"/>
      <c r="HC206" s="17"/>
      <c r="HD206" s="17"/>
      <c r="HE206" s="17"/>
      <c r="HF206" s="17"/>
      <c r="HG206" s="17"/>
      <c r="HH206" s="17"/>
      <c r="HI206" s="17"/>
      <c r="HJ206" s="17"/>
      <c r="HK206" s="17"/>
      <c r="HL206" s="17"/>
      <c r="HM206" s="17"/>
      <c r="HN206" s="17"/>
      <c r="HO206" s="17"/>
      <c r="HP206" s="17"/>
      <c r="HQ206" s="17"/>
      <c r="HR206" s="17"/>
      <c r="HS206" s="17"/>
      <c r="HT206" s="17"/>
      <c r="HU206" s="17"/>
      <c r="HV206" s="17"/>
      <c r="HW206" s="17"/>
      <c r="HX206" s="17"/>
      <c r="HY206" s="17"/>
      <c r="HZ206" s="17"/>
      <c r="IA206" s="17"/>
      <c r="IB206" s="17"/>
      <c r="IC206" s="17"/>
      <c r="ID206" s="17"/>
      <c r="IE206" s="17"/>
      <c r="IF206" s="17"/>
      <c r="IG206" s="17"/>
      <c r="IH206" s="17"/>
      <c r="II206" s="17"/>
      <c r="IJ206" s="17"/>
      <c r="IK206" s="17"/>
      <c r="IL206" s="17"/>
      <c r="IM206" s="17"/>
      <c r="IN206" s="17"/>
      <c r="IO206" s="17"/>
      <c r="IP206" s="17"/>
      <c r="IQ206" s="17"/>
      <c r="IR206" s="17"/>
      <c r="IS206" s="17"/>
      <c r="IT206" s="17"/>
      <c r="IU206" s="17"/>
      <c r="IV206" s="17"/>
      <c r="IW206" s="17"/>
      <c r="IX206" s="17"/>
      <c r="IY206" s="17"/>
      <c r="IZ206" s="17"/>
      <c r="JA206" s="17"/>
      <c r="JB206" s="17"/>
      <c r="JC206" s="17"/>
      <c r="JD206" s="17"/>
      <c r="JE206" s="17"/>
      <c r="JF206" s="17"/>
      <c r="JG206" s="17"/>
      <c r="JH206" s="17"/>
      <c r="JI206" s="17"/>
      <c r="JJ206" s="17"/>
      <c r="JK206" s="17"/>
      <c r="JL206" s="17"/>
      <c r="JM206" s="17"/>
      <c r="JN206" s="17"/>
      <c r="JO206" s="17"/>
      <c r="JP206" s="17"/>
      <c r="JQ206" s="17"/>
      <c r="JR206" s="17"/>
      <c r="JS206" s="17"/>
      <c r="JT206" s="17"/>
      <c r="JU206" s="17"/>
      <c r="JV206" s="17"/>
      <c r="JW206" s="17"/>
      <c r="JX206" s="17"/>
      <c r="JY206" s="17"/>
      <c r="JZ206" s="17"/>
      <c r="KA206" s="17"/>
      <c r="KB206" s="17"/>
      <c r="KC206" s="17"/>
      <c r="KD206" s="17"/>
      <c r="KE206" s="17"/>
      <c r="KF206" s="17"/>
      <c r="KG206" s="17"/>
      <c r="KH206" s="17"/>
      <c r="KI206" s="17"/>
      <c r="KJ206" s="17"/>
      <c r="KK206" s="17"/>
      <c r="KL206" s="17"/>
      <c r="KM206" s="17"/>
      <c r="KN206" s="17"/>
      <c r="KO206" s="17"/>
      <c r="KP206" s="17"/>
      <c r="KQ206" s="17"/>
      <c r="KR206" s="17"/>
      <c r="KS206" s="17"/>
      <c r="KT206" s="17"/>
      <c r="KU206" s="17"/>
      <c r="KV206" s="17"/>
      <c r="KW206" s="17"/>
      <c r="KX206" s="17"/>
      <c r="KY206" s="17"/>
    </row>
    <row r="207" spans="1:311" x14ac:dyDescent="0.25">
      <c r="A207" s="17"/>
      <c r="B207" s="17"/>
      <c r="C207" s="17"/>
      <c r="D207" s="17"/>
      <c r="E207" s="17"/>
      <c r="F207" s="17"/>
      <c r="G207" s="17"/>
      <c r="H207" s="17"/>
      <c r="I207" s="17"/>
      <c r="J207" s="17"/>
      <c r="K207" s="17"/>
      <c r="L207" s="17"/>
      <c r="M207" s="17"/>
      <c r="N207" s="17"/>
      <c r="O207" s="17"/>
      <c r="P207" s="17"/>
      <c r="Q207" s="17"/>
      <c r="R207" s="17"/>
      <c r="S207" s="17"/>
      <c r="T207" s="17"/>
      <c r="U207" s="17"/>
      <c r="V207" s="17"/>
      <c r="W207" s="17"/>
      <c r="X207" s="17"/>
      <c r="Y207" s="17"/>
      <c r="Z207" s="17"/>
      <c r="AA207" s="17"/>
      <c r="AB207" s="17"/>
      <c r="AC207" s="17"/>
      <c r="AD207" s="17"/>
      <c r="AE207" s="17"/>
      <c r="AF207" s="17"/>
      <c r="AG207" s="17"/>
      <c r="AH207" s="17"/>
      <c r="AI207" s="17"/>
      <c r="AJ207" s="17"/>
      <c r="AK207" s="17"/>
      <c r="AL207" s="17"/>
      <c r="AM207" s="17"/>
      <c r="AN207" s="17"/>
      <c r="AO207" s="17"/>
      <c r="AP207" s="17"/>
      <c r="AQ207" s="17"/>
      <c r="AR207" s="17"/>
      <c r="AS207" s="17"/>
      <c r="AT207" s="17"/>
      <c r="AU207" s="17"/>
      <c r="AV207" s="17"/>
      <c r="AW207" s="17"/>
      <c r="AX207" s="17"/>
      <c r="AY207" s="17"/>
      <c r="AZ207" s="17"/>
      <c r="BA207" s="17"/>
      <c r="BB207" s="17"/>
      <c r="BC207" s="17"/>
      <c r="BD207" s="17"/>
      <c r="BE207" s="17"/>
      <c r="BF207" s="17"/>
      <c r="BG207" s="17"/>
      <c r="BH207" s="17"/>
      <c r="BI207" s="17"/>
      <c r="BJ207" s="17"/>
      <c r="BK207" s="17"/>
      <c r="BL207" s="17"/>
      <c r="BM207" s="17"/>
      <c r="BN207" s="17"/>
      <c r="BO207" s="17"/>
      <c r="BP207" s="17"/>
      <c r="BQ207" s="17"/>
      <c r="BR207" s="17"/>
      <c r="BS207" s="17"/>
      <c r="BT207" s="17"/>
      <c r="BU207" s="17"/>
      <c r="BV207" s="17"/>
      <c r="BW207" s="17"/>
      <c r="BX207" s="17"/>
      <c r="BY207" s="17"/>
      <c r="BZ207" s="17"/>
      <c r="CA207" s="17"/>
      <c r="CB207" s="17"/>
      <c r="CC207" s="17"/>
      <c r="CD207" s="17"/>
      <c r="CE207" s="17"/>
      <c r="CF207" s="17"/>
      <c r="CG207" s="17"/>
      <c r="CH207" s="17"/>
      <c r="CI207" s="17"/>
      <c r="CJ207" s="17"/>
      <c r="CK207" s="17"/>
      <c r="CL207" s="17"/>
      <c r="CM207" s="17"/>
      <c r="CN207" s="17"/>
      <c r="CO207" s="17"/>
      <c r="CP207" s="17"/>
      <c r="CQ207" s="17"/>
      <c r="CR207" s="17"/>
      <c r="CS207" s="17"/>
      <c r="CT207" s="17"/>
      <c r="CU207" s="17"/>
      <c r="CV207" s="17"/>
      <c r="CW207" s="17"/>
      <c r="CX207" s="17"/>
      <c r="CY207" s="17"/>
      <c r="CZ207" s="17"/>
      <c r="DA207" s="17"/>
      <c r="DB207" s="17"/>
      <c r="DC207" s="17"/>
      <c r="DD207" s="17"/>
      <c r="DE207" s="17"/>
      <c r="DF207" s="17"/>
      <c r="DG207" s="17"/>
      <c r="DH207" s="17"/>
      <c r="DI207" s="17"/>
      <c r="DJ207" s="17"/>
      <c r="DK207" s="17"/>
      <c r="DL207" s="17"/>
      <c r="DM207" s="17"/>
      <c r="DN207" s="17"/>
      <c r="DO207" s="17"/>
      <c r="DP207" s="17"/>
      <c r="DQ207" s="17"/>
      <c r="DR207" s="17"/>
      <c r="DS207" s="17"/>
      <c r="DT207" s="17"/>
      <c r="DU207" s="17"/>
      <c r="DV207" s="17"/>
      <c r="DW207" s="17"/>
      <c r="DX207" s="17"/>
      <c r="DY207" s="17"/>
      <c r="DZ207" s="17"/>
      <c r="EA207" s="17"/>
      <c r="EB207" s="17"/>
      <c r="EC207" s="17"/>
      <c r="ED207" s="17"/>
      <c r="EE207" s="17"/>
      <c r="EF207" s="17"/>
      <c r="EG207" s="17"/>
      <c r="EH207" s="17"/>
      <c r="EI207" s="17"/>
      <c r="EJ207" s="17"/>
      <c r="EK207" s="17"/>
      <c r="EL207" s="17"/>
      <c r="EM207" s="17"/>
      <c r="EN207" s="17"/>
      <c r="EO207" s="17"/>
      <c r="EP207" s="17"/>
      <c r="EQ207" s="17"/>
      <c r="ER207" s="17"/>
      <c r="ES207" s="17"/>
      <c r="ET207" s="17"/>
      <c r="EU207" s="17"/>
      <c r="EV207" s="17"/>
      <c r="EW207" s="17"/>
      <c r="EX207" s="17"/>
      <c r="EY207" s="17"/>
      <c r="EZ207" s="17"/>
      <c r="FA207" s="17"/>
      <c r="FB207" s="17"/>
      <c r="FC207" s="17"/>
      <c r="FD207" s="17"/>
      <c r="FE207" s="17"/>
      <c r="FF207" s="17"/>
      <c r="FG207" s="17"/>
      <c r="FH207" s="17"/>
      <c r="FI207" s="17"/>
      <c r="FJ207" s="17"/>
      <c r="FK207" s="17"/>
      <c r="FL207" s="17"/>
      <c r="FM207" s="17"/>
      <c r="FN207" s="17"/>
      <c r="FO207" s="17"/>
      <c r="FP207" s="17"/>
      <c r="FQ207" s="17"/>
      <c r="FR207" s="17"/>
      <c r="FS207" s="17"/>
      <c r="FT207" s="17"/>
      <c r="FU207" s="17"/>
      <c r="FV207" s="17"/>
      <c r="FW207" s="17"/>
      <c r="FX207" s="17"/>
      <c r="FY207" s="17"/>
      <c r="FZ207" s="17"/>
      <c r="GA207" s="17"/>
      <c r="GB207" s="17"/>
      <c r="GC207" s="17"/>
      <c r="GD207" s="17"/>
      <c r="GE207" s="17"/>
      <c r="GF207" s="17"/>
      <c r="GG207" s="17"/>
      <c r="GH207" s="17"/>
      <c r="GI207" s="17"/>
      <c r="GJ207" s="17"/>
      <c r="GK207" s="17"/>
      <c r="GL207" s="17"/>
      <c r="GM207" s="17"/>
      <c r="GN207" s="17"/>
      <c r="GO207" s="17"/>
      <c r="GP207" s="17"/>
      <c r="GQ207" s="17"/>
      <c r="GR207" s="17"/>
      <c r="GS207" s="17"/>
      <c r="GT207" s="17"/>
      <c r="GU207" s="17"/>
      <c r="GV207" s="17"/>
      <c r="GW207" s="17"/>
      <c r="GX207" s="17"/>
      <c r="GY207" s="17"/>
      <c r="GZ207" s="17"/>
      <c r="HA207" s="17"/>
      <c r="HB207" s="17"/>
      <c r="HC207" s="17"/>
      <c r="HD207" s="17"/>
      <c r="HE207" s="17"/>
      <c r="HF207" s="17"/>
      <c r="HG207" s="17"/>
      <c r="HH207" s="17"/>
      <c r="HI207" s="17"/>
      <c r="HJ207" s="17"/>
      <c r="HK207" s="17"/>
      <c r="HL207" s="17"/>
      <c r="HM207" s="17"/>
      <c r="HN207" s="17"/>
      <c r="HO207" s="17"/>
      <c r="HP207" s="17"/>
      <c r="HQ207" s="17"/>
      <c r="HR207" s="17"/>
      <c r="HS207" s="17"/>
      <c r="HT207" s="17"/>
      <c r="HU207" s="17"/>
      <c r="HV207" s="17"/>
      <c r="HW207" s="17"/>
      <c r="HX207" s="17"/>
      <c r="HY207" s="17"/>
      <c r="HZ207" s="17"/>
      <c r="IA207" s="17"/>
      <c r="IB207" s="17"/>
      <c r="IC207" s="17"/>
      <c r="ID207" s="17"/>
      <c r="IE207" s="17"/>
      <c r="IF207" s="17"/>
      <c r="IG207" s="17"/>
      <c r="IH207" s="17"/>
      <c r="II207" s="17"/>
      <c r="IJ207" s="17"/>
      <c r="IK207" s="17"/>
      <c r="IL207" s="17"/>
      <c r="IM207" s="17"/>
      <c r="IN207" s="17"/>
      <c r="IO207" s="17"/>
      <c r="IP207" s="17"/>
      <c r="IQ207" s="17"/>
      <c r="IR207" s="17"/>
      <c r="IS207" s="17"/>
      <c r="IT207" s="17"/>
      <c r="IU207" s="17"/>
      <c r="IV207" s="17"/>
      <c r="IW207" s="17"/>
      <c r="IX207" s="17"/>
      <c r="IY207" s="17"/>
      <c r="IZ207" s="17"/>
      <c r="JA207" s="17"/>
      <c r="JB207" s="17"/>
      <c r="JC207" s="17"/>
      <c r="JD207" s="17"/>
      <c r="JE207" s="17"/>
      <c r="JF207" s="17"/>
      <c r="JG207" s="17"/>
      <c r="JH207" s="17"/>
      <c r="JI207" s="17"/>
      <c r="JJ207" s="17"/>
      <c r="JK207" s="17"/>
      <c r="JL207" s="17"/>
      <c r="JM207" s="17"/>
      <c r="JN207" s="17"/>
      <c r="JO207" s="17"/>
      <c r="JP207" s="17"/>
      <c r="JQ207" s="17"/>
      <c r="JR207" s="17"/>
      <c r="JS207" s="17"/>
      <c r="JT207" s="17"/>
      <c r="JU207" s="17"/>
      <c r="JV207" s="17"/>
      <c r="JW207" s="17"/>
      <c r="JX207" s="17"/>
      <c r="JY207" s="17"/>
      <c r="JZ207" s="17"/>
      <c r="KA207" s="17"/>
      <c r="KB207" s="17"/>
      <c r="KC207" s="17"/>
      <c r="KD207" s="17"/>
      <c r="KE207" s="17"/>
      <c r="KF207" s="17"/>
      <c r="KG207" s="17"/>
      <c r="KH207" s="17"/>
      <c r="KI207" s="17"/>
      <c r="KJ207" s="17"/>
      <c r="KK207" s="17"/>
      <c r="KL207" s="17"/>
      <c r="KM207" s="17"/>
      <c r="KN207" s="17"/>
      <c r="KO207" s="17"/>
      <c r="KP207" s="17"/>
      <c r="KQ207" s="17"/>
      <c r="KR207" s="17"/>
      <c r="KS207" s="17"/>
      <c r="KT207" s="17"/>
      <c r="KU207" s="17"/>
      <c r="KV207" s="17"/>
      <c r="KW207" s="17"/>
      <c r="KX207" s="17"/>
      <c r="KY207" s="17"/>
    </row>
    <row r="208" spans="1:311" x14ac:dyDescent="0.25">
      <c r="A208" s="17"/>
      <c r="B208" s="17"/>
      <c r="C208" s="17"/>
      <c r="D208" s="17"/>
      <c r="E208" s="17"/>
      <c r="F208" s="17"/>
      <c r="G208" s="17"/>
      <c r="H208" s="17"/>
      <c r="I208" s="17"/>
      <c r="J208" s="17"/>
      <c r="K208" s="17"/>
      <c r="L208" s="17"/>
      <c r="M208" s="17"/>
      <c r="N208" s="17"/>
      <c r="O208" s="17"/>
      <c r="P208" s="17"/>
      <c r="Q208" s="17"/>
      <c r="R208" s="17"/>
      <c r="S208" s="17"/>
      <c r="T208" s="17"/>
      <c r="U208" s="17"/>
      <c r="V208" s="17"/>
      <c r="W208" s="17"/>
      <c r="X208" s="17"/>
      <c r="Y208" s="17"/>
      <c r="Z208" s="17"/>
      <c r="AA208" s="17"/>
      <c r="AB208" s="17"/>
      <c r="AC208" s="17"/>
      <c r="AD208" s="17"/>
      <c r="AE208" s="17"/>
      <c r="AF208" s="17"/>
      <c r="AG208" s="17"/>
      <c r="AH208" s="17"/>
      <c r="AI208" s="17"/>
      <c r="AJ208" s="17"/>
      <c r="AK208" s="17"/>
      <c r="AL208" s="17"/>
      <c r="AM208" s="17"/>
      <c r="AN208" s="17"/>
      <c r="AO208" s="17"/>
      <c r="AP208" s="17"/>
      <c r="AQ208" s="17"/>
      <c r="AR208" s="17"/>
      <c r="AS208" s="17"/>
      <c r="AT208" s="17"/>
      <c r="AU208" s="17"/>
      <c r="AV208" s="17"/>
      <c r="AW208" s="17"/>
      <c r="AX208" s="17"/>
      <c r="AY208" s="17"/>
      <c r="AZ208" s="17"/>
      <c r="BA208" s="17"/>
      <c r="BB208" s="17"/>
      <c r="BC208" s="17"/>
      <c r="BD208" s="17"/>
      <c r="BE208" s="17"/>
      <c r="BF208" s="17"/>
      <c r="BG208" s="17"/>
      <c r="BH208" s="17"/>
      <c r="BI208" s="17"/>
      <c r="BJ208" s="17"/>
      <c r="BK208" s="17"/>
      <c r="BL208" s="17"/>
      <c r="BM208" s="17"/>
      <c r="BN208" s="17"/>
      <c r="BO208" s="17"/>
      <c r="BP208" s="17"/>
      <c r="BQ208" s="17"/>
      <c r="BR208" s="17"/>
      <c r="BS208" s="17"/>
      <c r="BT208" s="17"/>
      <c r="BU208" s="17"/>
      <c r="BV208" s="17"/>
      <c r="BW208" s="17"/>
      <c r="BX208" s="17"/>
      <c r="BY208" s="17"/>
      <c r="BZ208" s="17"/>
      <c r="CA208" s="17"/>
      <c r="CB208" s="17"/>
      <c r="CC208" s="17"/>
      <c r="CD208" s="17"/>
      <c r="CE208" s="17"/>
      <c r="CF208" s="17"/>
      <c r="CG208" s="17"/>
      <c r="CH208" s="17"/>
      <c r="CI208" s="17"/>
      <c r="CJ208" s="17"/>
      <c r="CK208" s="17"/>
      <c r="CL208" s="17"/>
      <c r="CM208" s="17"/>
      <c r="CN208" s="17"/>
      <c r="CO208" s="17"/>
      <c r="CP208" s="17"/>
      <c r="CQ208" s="17"/>
      <c r="CR208" s="17"/>
      <c r="CS208" s="17"/>
      <c r="CT208" s="17"/>
      <c r="CU208" s="17"/>
      <c r="CV208" s="17"/>
      <c r="CW208" s="17"/>
      <c r="CX208" s="17"/>
      <c r="CY208" s="17"/>
      <c r="CZ208" s="17"/>
      <c r="DA208" s="17"/>
      <c r="DB208" s="17"/>
      <c r="DC208" s="17"/>
      <c r="DD208" s="17"/>
      <c r="DE208" s="17"/>
      <c r="DF208" s="17"/>
      <c r="DG208" s="17"/>
      <c r="DH208" s="17"/>
      <c r="DI208" s="17"/>
      <c r="DJ208" s="17"/>
      <c r="DK208" s="17"/>
      <c r="DL208" s="17"/>
      <c r="DM208" s="17"/>
      <c r="DN208" s="17"/>
      <c r="DO208" s="17"/>
      <c r="DP208" s="17"/>
      <c r="DQ208" s="17"/>
      <c r="DR208" s="17"/>
      <c r="DS208" s="17"/>
      <c r="DT208" s="17"/>
      <c r="DU208" s="17"/>
      <c r="DV208" s="17"/>
      <c r="DW208" s="17"/>
      <c r="DX208" s="17"/>
      <c r="DY208" s="17"/>
      <c r="DZ208" s="17"/>
      <c r="EA208" s="17"/>
      <c r="EB208" s="17"/>
      <c r="EC208" s="17"/>
      <c r="ED208" s="17"/>
      <c r="EE208" s="17"/>
      <c r="EF208" s="17"/>
      <c r="EG208" s="17"/>
      <c r="EH208" s="17"/>
      <c r="EI208" s="17"/>
      <c r="EJ208" s="17"/>
      <c r="EK208" s="17"/>
      <c r="EL208" s="17"/>
      <c r="EM208" s="17"/>
      <c r="EN208" s="17"/>
      <c r="EO208" s="17"/>
      <c r="EP208" s="17"/>
      <c r="EQ208" s="17"/>
      <c r="ER208" s="17"/>
      <c r="ES208" s="17"/>
      <c r="ET208" s="17"/>
      <c r="EU208" s="17"/>
      <c r="EV208" s="17"/>
      <c r="EW208" s="17"/>
      <c r="EX208" s="17"/>
      <c r="EY208" s="17"/>
      <c r="EZ208" s="17"/>
      <c r="FA208" s="17"/>
      <c r="FB208" s="17"/>
      <c r="FC208" s="17"/>
      <c r="FD208" s="17"/>
      <c r="FE208" s="17"/>
      <c r="FF208" s="17"/>
      <c r="FG208" s="17"/>
      <c r="FH208" s="17"/>
      <c r="FI208" s="17"/>
      <c r="FJ208" s="17"/>
      <c r="FK208" s="17"/>
      <c r="FL208" s="17"/>
      <c r="FM208" s="17"/>
      <c r="FN208" s="17"/>
      <c r="FO208" s="17"/>
      <c r="FP208" s="17"/>
      <c r="FQ208" s="17"/>
      <c r="FR208" s="17"/>
      <c r="FS208" s="17"/>
      <c r="FT208" s="17"/>
      <c r="FU208" s="17"/>
      <c r="FV208" s="17"/>
      <c r="FW208" s="17"/>
      <c r="FX208" s="17"/>
      <c r="FY208" s="17"/>
      <c r="FZ208" s="17"/>
      <c r="GA208" s="17"/>
      <c r="GB208" s="17"/>
      <c r="GC208" s="17"/>
      <c r="GD208" s="17"/>
      <c r="GE208" s="17"/>
      <c r="GF208" s="17"/>
      <c r="GG208" s="17"/>
      <c r="GH208" s="17"/>
      <c r="GI208" s="17"/>
      <c r="GJ208" s="17"/>
      <c r="GK208" s="17"/>
      <c r="GL208" s="17"/>
      <c r="GM208" s="17"/>
      <c r="GN208" s="17"/>
      <c r="GO208" s="17"/>
      <c r="GP208" s="17"/>
      <c r="GQ208" s="17"/>
      <c r="GR208" s="17"/>
      <c r="GS208" s="17"/>
      <c r="GT208" s="17"/>
      <c r="GU208" s="17"/>
      <c r="GV208" s="17"/>
      <c r="GW208" s="17"/>
      <c r="GX208" s="17"/>
      <c r="GY208" s="17"/>
      <c r="GZ208" s="17"/>
      <c r="HA208" s="17"/>
      <c r="HB208" s="17"/>
      <c r="HC208" s="17"/>
      <c r="HD208" s="17"/>
      <c r="HE208" s="17"/>
      <c r="HF208" s="17"/>
      <c r="HG208" s="17"/>
      <c r="HH208" s="17"/>
      <c r="HI208" s="17"/>
      <c r="HJ208" s="17"/>
      <c r="HK208" s="17"/>
      <c r="HL208" s="17"/>
      <c r="HM208" s="17"/>
      <c r="HN208" s="17"/>
      <c r="HO208" s="17"/>
      <c r="HP208" s="17"/>
      <c r="HQ208" s="17"/>
      <c r="HR208" s="17"/>
      <c r="HS208" s="17"/>
      <c r="HT208" s="17"/>
      <c r="HU208" s="17"/>
      <c r="HV208" s="17"/>
      <c r="HW208" s="17"/>
      <c r="HX208" s="17"/>
      <c r="HY208" s="17"/>
      <c r="HZ208" s="17"/>
      <c r="IA208" s="17"/>
      <c r="IB208" s="17"/>
      <c r="IC208" s="17"/>
      <c r="ID208" s="17"/>
      <c r="IE208" s="17"/>
      <c r="IF208" s="17"/>
      <c r="IG208" s="17"/>
      <c r="IH208" s="17"/>
      <c r="II208" s="17"/>
      <c r="IJ208" s="17"/>
      <c r="IK208" s="17"/>
      <c r="IL208" s="17"/>
      <c r="IM208" s="17"/>
      <c r="IN208" s="17"/>
      <c r="IO208" s="17"/>
      <c r="IP208" s="17"/>
      <c r="IQ208" s="17"/>
      <c r="IR208" s="17"/>
      <c r="IS208" s="17"/>
      <c r="IT208" s="17"/>
      <c r="IU208" s="17"/>
      <c r="IV208" s="17"/>
      <c r="IW208" s="17"/>
      <c r="IX208" s="17"/>
      <c r="IY208" s="17"/>
      <c r="IZ208" s="17"/>
      <c r="JA208" s="17"/>
      <c r="JB208" s="17"/>
      <c r="JC208" s="17"/>
      <c r="JD208" s="17"/>
      <c r="JE208" s="17"/>
      <c r="JF208" s="17"/>
      <c r="JG208" s="17"/>
      <c r="JH208" s="17"/>
      <c r="JI208" s="17"/>
      <c r="JJ208" s="17"/>
      <c r="JK208" s="17"/>
      <c r="JL208" s="17"/>
      <c r="JM208" s="17"/>
      <c r="JN208" s="17"/>
      <c r="JO208" s="17"/>
      <c r="JP208" s="17"/>
      <c r="JQ208" s="17"/>
      <c r="JR208" s="17"/>
      <c r="JS208" s="17"/>
      <c r="JT208" s="17"/>
      <c r="JU208" s="17"/>
      <c r="JV208" s="17"/>
      <c r="JW208" s="17"/>
      <c r="JX208" s="17"/>
      <c r="JY208" s="17"/>
      <c r="JZ208" s="17"/>
      <c r="KA208" s="17"/>
      <c r="KB208" s="17"/>
      <c r="KC208" s="17"/>
      <c r="KD208" s="17"/>
      <c r="KE208" s="17"/>
      <c r="KF208" s="17"/>
      <c r="KG208" s="17"/>
      <c r="KH208" s="17"/>
      <c r="KI208" s="17"/>
      <c r="KJ208" s="17"/>
      <c r="KK208" s="17"/>
      <c r="KL208" s="17"/>
      <c r="KM208" s="17"/>
      <c r="KN208" s="17"/>
      <c r="KO208" s="17"/>
      <c r="KP208" s="17"/>
      <c r="KQ208" s="17"/>
      <c r="KR208" s="17"/>
      <c r="KS208" s="17"/>
      <c r="KT208" s="17"/>
      <c r="KU208" s="17"/>
      <c r="KV208" s="17"/>
      <c r="KW208" s="17"/>
      <c r="KX208" s="17"/>
      <c r="KY208" s="17"/>
    </row>
    <row r="209" spans="1:311" x14ac:dyDescent="0.25">
      <c r="A209" s="17"/>
      <c r="B209" s="17"/>
      <c r="C209" s="17"/>
      <c r="D209" s="17"/>
      <c r="E209" s="17"/>
      <c r="F209" s="17"/>
      <c r="G209" s="17"/>
      <c r="H209" s="17"/>
      <c r="I209" s="17"/>
      <c r="J209" s="17"/>
      <c r="K209" s="17"/>
      <c r="L209" s="17"/>
      <c r="M209" s="17"/>
      <c r="N209" s="17"/>
      <c r="O209" s="17"/>
      <c r="P209" s="17"/>
      <c r="Q209" s="17"/>
      <c r="R209" s="17"/>
      <c r="S209" s="17"/>
      <c r="T209" s="17"/>
      <c r="U209" s="17"/>
      <c r="V209" s="17"/>
      <c r="W209" s="17"/>
      <c r="X209" s="17"/>
      <c r="Y209" s="17"/>
      <c r="Z209" s="17"/>
      <c r="AA209" s="17"/>
      <c r="AB209" s="17"/>
      <c r="AC209" s="17"/>
      <c r="AD209" s="17"/>
      <c r="AE209" s="17"/>
      <c r="AF209" s="17"/>
      <c r="AG209" s="17"/>
      <c r="AH209" s="17"/>
      <c r="AI209" s="17"/>
      <c r="AJ209" s="17"/>
      <c r="AK209" s="17"/>
      <c r="AL209" s="17"/>
      <c r="AM209" s="17"/>
      <c r="AN209" s="17"/>
      <c r="AO209" s="17"/>
      <c r="AP209" s="17"/>
      <c r="AQ209" s="17"/>
      <c r="AR209" s="17"/>
      <c r="AS209" s="17"/>
      <c r="AT209" s="17"/>
      <c r="AU209" s="17"/>
      <c r="AV209" s="17"/>
      <c r="AW209" s="17"/>
      <c r="AX209" s="17"/>
      <c r="AY209" s="17"/>
      <c r="AZ209" s="17"/>
      <c r="BA209" s="17"/>
      <c r="BB209" s="17"/>
      <c r="BC209" s="17"/>
      <c r="BD209" s="17"/>
      <c r="BE209" s="17"/>
      <c r="BF209" s="17"/>
      <c r="BG209" s="17"/>
      <c r="BH209" s="17"/>
      <c r="BI209" s="17"/>
      <c r="BJ209" s="17"/>
      <c r="BK209" s="17"/>
      <c r="BL209" s="17"/>
      <c r="BM209" s="17"/>
      <c r="BN209" s="17"/>
      <c r="BO209" s="17"/>
      <c r="BP209" s="17"/>
      <c r="BQ209" s="17"/>
      <c r="BR209" s="17"/>
      <c r="BS209" s="17"/>
      <c r="BT209" s="17"/>
      <c r="BU209" s="17"/>
      <c r="BV209" s="17"/>
      <c r="BW209" s="17"/>
      <c r="BX209" s="17"/>
      <c r="BY209" s="17"/>
      <c r="BZ209" s="17"/>
      <c r="CA209" s="17"/>
      <c r="CB209" s="17"/>
      <c r="CC209" s="17"/>
      <c r="CD209" s="17"/>
      <c r="CE209" s="17"/>
      <c r="CF209" s="17"/>
      <c r="CG209" s="17"/>
      <c r="CH209" s="17"/>
      <c r="CI209" s="17"/>
      <c r="CJ209" s="17"/>
      <c r="CK209" s="17"/>
      <c r="CL209" s="17"/>
      <c r="CM209" s="17"/>
      <c r="CN209" s="17"/>
      <c r="CO209" s="17"/>
      <c r="CP209" s="17"/>
      <c r="CQ209" s="17"/>
      <c r="CR209" s="17"/>
      <c r="CS209" s="17"/>
      <c r="CT209" s="17"/>
      <c r="CU209" s="17"/>
      <c r="CV209" s="17"/>
      <c r="CW209" s="17"/>
      <c r="CX209" s="17"/>
      <c r="CY209" s="17"/>
      <c r="CZ209" s="17"/>
      <c r="DA209" s="17"/>
      <c r="DB209" s="17"/>
      <c r="DC209" s="17"/>
      <c r="DD209" s="17"/>
      <c r="DE209" s="17"/>
      <c r="DF209" s="17"/>
      <c r="DG209" s="17"/>
      <c r="DH209" s="17"/>
      <c r="DI209" s="17"/>
      <c r="DJ209" s="17"/>
      <c r="DK209" s="17"/>
      <c r="DL209" s="17"/>
      <c r="DM209" s="17"/>
      <c r="DN209" s="17"/>
      <c r="DO209" s="17"/>
      <c r="DP209" s="17"/>
      <c r="DQ209" s="17"/>
      <c r="DR209" s="17"/>
      <c r="DS209" s="17"/>
      <c r="DT209" s="17"/>
      <c r="DU209" s="17"/>
      <c r="DV209" s="17"/>
      <c r="DW209" s="17"/>
      <c r="DX209" s="17"/>
      <c r="DY209" s="17"/>
      <c r="DZ209" s="17"/>
      <c r="EA209" s="17"/>
      <c r="EB209" s="17"/>
      <c r="EC209" s="17"/>
      <c r="ED209" s="17"/>
      <c r="EE209" s="17"/>
      <c r="EF209" s="17"/>
      <c r="EG209" s="17"/>
      <c r="EH209" s="17"/>
      <c r="EI209" s="17"/>
      <c r="EJ209" s="17"/>
      <c r="EK209" s="17"/>
      <c r="EL209" s="17"/>
      <c r="EM209" s="17"/>
      <c r="EN209" s="17"/>
      <c r="EO209" s="17"/>
      <c r="EP209" s="17"/>
      <c r="EQ209" s="17"/>
      <c r="ER209" s="17"/>
      <c r="ES209" s="17"/>
      <c r="ET209" s="17"/>
      <c r="EU209" s="17"/>
      <c r="EV209" s="17"/>
      <c r="EW209" s="17"/>
      <c r="EX209" s="17"/>
      <c r="EY209" s="17"/>
      <c r="EZ209" s="17"/>
      <c r="FA209" s="17"/>
      <c r="FB209" s="17"/>
      <c r="FC209" s="17"/>
      <c r="FD209" s="17"/>
      <c r="FE209" s="17"/>
      <c r="FF209" s="17"/>
      <c r="FG209" s="17"/>
      <c r="FH209" s="17"/>
      <c r="FI209" s="17"/>
      <c r="FJ209" s="17"/>
      <c r="FK209" s="17"/>
      <c r="FL209" s="17"/>
      <c r="FM209" s="17"/>
      <c r="FN209" s="17"/>
      <c r="FO209" s="17"/>
      <c r="FP209" s="17"/>
      <c r="FQ209" s="17"/>
      <c r="FR209" s="17"/>
      <c r="FS209" s="17"/>
      <c r="FT209" s="17"/>
      <c r="FU209" s="17"/>
      <c r="FV209" s="17"/>
      <c r="FW209" s="17"/>
      <c r="FX209" s="17"/>
      <c r="FY209" s="17"/>
      <c r="FZ209" s="17"/>
      <c r="GA209" s="17"/>
      <c r="GB209" s="17"/>
      <c r="GC209" s="17"/>
      <c r="GD209" s="17"/>
      <c r="GE209" s="17"/>
      <c r="GF209" s="17"/>
      <c r="GG209" s="17"/>
      <c r="GH209" s="17"/>
      <c r="GI209" s="17"/>
      <c r="GJ209" s="17"/>
      <c r="GK209" s="17"/>
      <c r="GL209" s="17"/>
      <c r="GM209" s="17"/>
      <c r="GN209" s="17"/>
      <c r="GO209" s="17"/>
      <c r="GP209" s="17"/>
      <c r="GQ209" s="17"/>
      <c r="GR209" s="17"/>
      <c r="GS209" s="17"/>
      <c r="GT209" s="17"/>
      <c r="GU209" s="17"/>
      <c r="GV209" s="17"/>
      <c r="GW209" s="17"/>
      <c r="GX209" s="17"/>
      <c r="GY209" s="17"/>
      <c r="GZ209" s="17"/>
      <c r="HA209" s="17"/>
      <c r="HB209" s="17"/>
      <c r="HC209" s="17"/>
      <c r="HD209" s="17"/>
      <c r="HE209" s="17"/>
      <c r="HF209" s="17"/>
      <c r="HG209" s="17"/>
      <c r="HH209" s="17"/>
      <c r="HI209" s="17"/>
      <c r="HJ209" s="17"/>
      <c r="HK209" s="17"/>
      <c r="HL209" s="17"/>
      <c r="HM209" s="17"/>
      <c r="HN209" s="17"/>
      <c r="HO209" s="17"/>
      <c r="HP209" s="17"/>
      <c r="HQ209" s="17"/>
      <c r="HR209" s="17"/>
      <c r="HS209" s="17"/>
      <c r="HT209" s="17"/>
      <c r="HU209" s="17"/>
      <c r="HV209" s="17"/>
      <c r="HW209" s="17"/>
      <c r="HX209" s="17"/>
      <c r="HY209" s="17"/>
      <c r="HZ209" s="17"/>
      <c r="IA209" s="17"/>
      <c r="IB209" s="17"/>
      <c r="IC209" s="17"/>
      <c r="ID209" s="17"/>
      <c r="IE209" s="17"/>
      <c r="IF209" s="17"/>
      <c r="IG209" s="17"/>
      <c r="IH209" s="17"/>
      <c r="II209" s="17"/>
      <c r="IJ209" s="17"/>
      <c r="IK209" s="17"/>
      <c r="IL209" s="17"/>
      <c r="IM209" s="17"/>
      <c r="IN209" s="17"/>
      <c r="IO209" s="17"/>
      <c r="IP209" s="17"/>
      <c r="IQ209" s="17"/>
      <c r="IR209" s="17"/>
      <c r="IS209" s="17"/>
      <c r="IT209" s="17"/>
      <c r="IU209" s="17"/>
      <c r="IV209" s="17"/>
      <c r="IW209" s="17"/>
      <c r="IX209" s="17"/>
      <c r="IY209" s="17"/>
      <c r="IZ209" s="17"/>
      <c r="JA209" s="17"/>
      <c r="JB209" s="17"/>
      <c r="JC209" s="17"/>
      <c r="JD209" s="17"/>
      <c r="JE209" s="17"/>
      <c r="JF209" s="17"/>
      <c r="JG209" s="17"/>
      <c r="JH209" s="17"/>
      <c r="JI209" s="17"/>
      <c r="JJ209" s="17"/>
      <c r="JK209" s="17"/>
      <c r="JL209" s="17"/>
      <c r="JM209" s="17"/>
      <c r="JN209" s="17"/>
      <c r="JO209" s="17"/>
      <c r="JP209" s="17"/>
      <c r="JQ209" s="17"/>
      <c r="JR209" s="17"/>
      <c r="JS209" s="17"/>
      <c r="JT209" s="17"/>
      <c r="JU209" s="17"/>
      <c r="JV209" s="17"/>
      <c r="JW209" s="17"/>
      <c r="JX209" s="17"/>
      <c r="JY209" s="17"/>
      <c r="JZ209" s="17"/>
      <c r="KA209" s="17"/>
      <c r="KB209" s="17"/>
      <c r="KC209" s="17"/>
      <c r="KD209" s="17"/>
      <c r="KE209" s="17"/>
      <c r="KF209" s="17"/>
      <c r="KG209" s="17"/>
      <c r="KH209" s="17"/>
      <c r="KI209" s="17"/>
      <c r="KJ209" s="17"/>
      <c r="KK209" s="17"/>
      <c r="KL209" s="17"/>
      <c r="KM209" s="17"/>
      <c r="KN209" s="17"/>
      <c r="KO209" s="17"/>
      <c r="KP209" s="17"/>
      <c r="KQ209" s="17"/>
      <c r="KR209" s="17"/>
      <c r="KS209" s="17"/>
      <c r="KT209" s="17"/>
      <c r="KU209" s="17"/>
      <c r="KV209" s="17"/>
      <c r="KW209" s="17"/>
      <c r="KX209" s="17"/>
      <c r="KY209" s="17"/>
    </row>
    <row r="210" spans="1:311" x14ac:dyDescent="0.25">
      <c r="A210" s="17"/>
      <c r="B210" s="17"/>
      <c r="C210" s="17"/>
      <c r="D210" s="17"/>
      <c r="E210" s="17"/>
      <c r="F210" s="17"/>
      <c r="G210" s="17"/>
      <c r="H210" s="17"/>
      <c r="I210" s="17"/>
      <c r="J210" s="17"/>
      <c r="K210" s="17"/>
      <c r="L210" s="17"/>
      <c r="M210" s="17"/>
      <c r="N210" s="17"/>
      <c r="O210" s="17"/>
      <c r="P210" s="17"/>
      <c r="Q210" s="17"/>
      <c r="R210" s="17"/>
      <c r="S210" s="17"/>
      <c r="T210" s="17"/>
      <c r="U210" s="17"/>
      <c r="V210" s="17"/>
      <c r="W210" s="17"/>
      <c r="X210" s="17"/>
      <c r="Y210" s="17"/>
      <c r="Z210" s="17"/>
      <c r="AA210" s="17"/>
      <c r="AB210" s="17"/>
      <c r="AC210" s="17"/>
      <c r="AD210" s="17"/>
      <c r="AE210" s="17"/>
      <c r="AF210" s="17"/>
      <c r="AG210" s="17"/>
      <c r="AH210" s="17"/>
      <c r="AI210" s="17"/>
      <c r="AJ210" s="17"/>
      <c r="AK210" s="17"/>
      <c r="AL210" s="17"/>
      <c r="AM210" s="17"/>
      <c r="AN210" s="17"/>
      <c r="AO210" s="17"/>
      <c r="AP210" s="17"/>
      <c r="AQ210" s="17"/>
      <c r="AR210" s="17"/>
      <c r="AS210" s="17"/>
      <c r="AT210" s="17"/>
      <c r="AU210" s="17"/>
      <c r="AV210" s="17"/>
      <c r="AW210" s="17"/>
      <c r="AX210" s="17"/>
      <c r="AY210" s="17"/>
      <c r="AZ210" s="17"/>
      <c r="BA210" s="17"/>
      <c r="BB210" s="17"/>
      <c r="BC210" s="17"/>
      <c r="BD210" s="17"/>
      <c r="BE210" s="17"/>
      <c r="BF210" s="17"/>
      <c r="BG210" s="17"/>
      <c r="BH210" s="17"/>
      <c r="BI210" s="17"/>
      <c r="BJ210" s="17"/>
      <c r="BK210" s="17"/>
      <c r="BL210" s="17"/>
      <c r="BM210" s="17"/>
      <c r="BN210" s="17"/>
      <c r="BO210" s="17"/>
      <c r="BP210" s="17"/>
      <c r="BQ210" s="17"/>
      <c r="BR210" s="17"/>
      <c r="BS210" s="17"/>
      <c r="BT210" s="17"/>
      <c r="BU210" s="17"/>
      <c r="BV210" s="17"/>
      <c r="BW210" s="17"/>
      <c r="BX210" s="17"/>
      <c r="BY210" s="17"/>
      <c r="BZ210" s="17"/>
      <c r="CA210" s="17"/>
      <c r="CB210" s="17"/>
      <c r="CC210" s="17"/>
      <c r="CD210" s="17"/>
      <c r="CE210" s="17"/>
      <c r="CF210" s="17"/>
      <c r="CG210" s="17"/>
      <c r="CH210" s="17"/>
      <c r="CI210" s="17"/>
      <c r="CJ210" s="17"/>
      <c r="CK210" s="17"/>
      <c r="CL210" s="17"/>
      <c r="CM210" s="17"/>
      <c r="CN210" s="17"/>
      <c r="CO210" s="17"/>
      <c r="CP210" s="17"/>
      <c r="CQ210" s="17"/>
      <c r="CR210" s="17"/>
      <c r="CS210" s="17"/>
      <c r="CT210" s="17"/>
      <c r="CU210" s="17"/>
      <c r="CV210" s="17"/>
      <c r="CW210" s="17"/>
      <c r="CX210" s="17"/>
      <c r="CY210" s="17"/>
      <c r="CZ210" s="17"/>
      <c r="DA210" s="17"/>
      <c r="DB210" s="17"/>
      <c r="DC210" s="17"/>
      <c r="DD210" s="17"/>
      <c r="DE210" s="17"/>
      <c r="DF210" s="17"/>
      <c r="DG210" s="17"/>
      <c r="DH210" s="17"/>
      <c r="DI210" s="17"/>
      <c r="DJ210" s="17"/>
      <c r="DK210" s="17"/>
      <c r="DL210" s="17"/>
      <c r="DM210" s="17"/>
      <c r="DN210" s="17"/>
      <c r="DO210" s="17"/>
      <c r="DP210" s="17"/>
      <c r="DQ210" s="17"/>
      <c r="DR210" s="17"/>
      <c r="DS210" s="17"/>
      <c r="DT210" s="17"/>
      <c r="DU210" s="17"/>
      <c r="DV210" s="17"/>
      <c r="DW210" s="17"/>
      <c r="DX210" s="17"/>
      <c r="DY210" s="17"/>
      <c r="DZ210" s="17"/>
      <c r="EA210" s="17"/>
      <c r="EB210" s="17"/>
      <c r="EC210" s="17"/>
      <c r="ED210" s="17"/>
      <c r="EE210" s="17"/>
      <c r="EF210" s="17"/>
      <c r="EG210" s="17"/>
      <c r="EH210" s="17"/>
      <c r="EI210" s="17"/>
      <c r="EJ210" s="17"/>
      <c r="EK210" s="17"/>
      <c r="EL210" s="17"/>
      <c r="EM210" s="17"/>
      <c r="EN210" s="17"/>
      <c r="EO210" s="17"/>
      <c r="EP210" s="17"/>
      <c r="EQ210" s="17"/>
      <c r="ER210" s="17"/>
      <c r="ES210" s="17"/>
      <c r="ET210" s="17"/>
      <c r="EU210" s="17"/>
      <c r="EV210" s="17"/>
      <c r="EW210" s="17"/>
      <c r="EX210" s="17"/>
      <c r="EY210" s="17"/>
      <c r="EZ210" s="17"/>
      <c r="FA210" s="17"/>
      <c r="FB210" s="17"/>
      <c r="FC210" s="17"/>
      <c r="FD210" s="17"/>
      <c r="FE210" s="17"/>
      <c r="FF210" s="17"/>
      <c r="FG210" s="17"/>
      <c r="FH210" s="17"/>
      <c r="FI210" s="17"/>
      <c r="FJ210" s="17"/>
      <c r="FK210" s="17"/>
      <c r="FL210" s="17"/>
      <c r="FM210" s="17"/>
      <c r="FN210" s="17"/>
      <c r="FO210" s="17"/>
      <c r="FP210" s="17"/>
      <c r="FQ210" s="17"/>
      <c r="FR210" s="17"/>
      <c r="FS210" s="17"/>
      <c r="FT210" s="17"/>
      <c r="FU210" s="17"/>
      <c r="FV210" s="17"/>
      <c r="FW210" s="17"/>
      <c r="FX210" s="17"/>
      <c r="FY210" s="17"/>
      <c r="FZ210" s="17"/>
      <c r="GA210" s="17"/>
      <c r="GB210" s="17"/>
      <c r="GC210" s="17"/>
      <c r="GD210" s="17"/>
      <c r="GE210" s="17"/>
      <c r="GF210" s="17"/>
      <c r="GG210" s="17"/>
      <c r="GH210" s="17"/>
      <c r="GI210" s="17"/>
      <c r="GJ210" s="17"/>
      <c r="GK210" s="17"/>
      <c r="GL210" s="17"/>
      <c r="GM210" s="17"/>
      <c r="GN210" s="17"/>
      <c r="GO210" s="17"/>
      <c r="GP210" s="17"/>
      <c r="GQ210" s="17"/>
      <c r="GR210" s="17"/>
      <c r="GS210" s="17"/>
      <c r="GT210" s="17"/>
      <c r="GU210" s="17"/>
      <c r="GV210" s="17"/>
      <c r="GW210" s="17"/>
      <c r="GX210" s="17"/>
      <c r="GY210" s="17"/>
      <c r="GZ210" s="17"/>
      <c r="HA210" s="17"/>
      <c r="HB210" s="17"/>
      <c r="HC210" s="17"/>
      <c r="HD210" s="17"/>
      <c r="HE210" s="17"/>
      <c r="HF210" s="17"/>
      <c r="HG210" s="17"/>
      <c r="HH210" s="17"/>
      <c r="HI210" s="17"/>
      <c r="HJ210" s="17"/>
      <c r="HK210" s="17"/>
      <c r="HL210" s="17"/>
      <c r="HM210" s="17"/>
      <c r="HN210" s="17"/>
      <c r="HO210" s="17"/>
      <c r="HP210" s="17"/>
      <c r="HQ210" s="17"/>
      <c r="HR210" s="17"/>
      <c r="HS210" s="17"/>
      <c r="HT210" s="17"/>
      <c r="HU210" s="17"/>
      <c r="HV210" s="17"/>
      <c r="HW210" s="17"/>
      <c r="HX210" s="17"/>
      <c r="HY210" s="17"/>
      <c r="HZ210" s="17"/>
      <c r="IA210" s="17"/>
      <c r="IB210" s="17"/>
      <c r="IC210" s="17"/>
      <c r="ID210" s="17"/>
      <c r="IE210" s="17"/>
      <c r="IF210" s="17"/>
      <c r="IG210" s="17"/>
      <c r="IH210" s="17"/>
      <c r="II210" s="17"/>
      <c r="IJ210" s="17"/>
      <c r="IK210" s="17"/>
      <c r="IL210" s="17"/>
      <c r="IM210" s="17"/>
      <c r="IN210" s="17"/>
      <c r="IO210" s="17"/>
      <c r="IP210" s="17"/>
      <c r="IQ210" s="17"/>
      <c r="IR210" s="17"/>
      <c r="IS210" s="17"/>
      <c r="IT210" s="17"/>
      <c r="IU210" s="17"/>
      <c r="IV210" s="17"/>
      <c r="IW210" s="17"/>
      <c r="IX210" s="17"/>
      <c r="IY210" s="17"/>
      <c r="IZ210" s="17"/>
      <c r="JA210" s="17"/>
      <c r="JB210" s="17"/>
      <c r="JC210" s="17"/>
      <c r="JD210" s="17"/>
      <c r="JE210" s="17"/>
      <c r="JF210" s="17"/>
      <c r="JG210" s="17"/>
      <c r="JH210" s="17"/>
      <c r="JI210" s="17"/>
      <c r="JJ210" s="17"/>
      <c r="JK210" s="17"/>
      <c r="JL210" s="17"/>
      <c r="JM210" s="17"/>
      <c r="JN210" s="17"/>
      <c r="JO210" s="17"/>
      <c r="JP210" s="17"/>
      <c r="JQ210" s="17"/>
      <c r="JR210" s="17"/>
      <c r="JS210" s="17"/>
      <c r="JT210" s="17"/>
      <c r="JU210" s="17"/>
      <c r="JV210" s="17"/>
      <c r="JW210" s="17"/>
      <c r="JX210" s="17"/>
      <c r="JY210" s="17"/>
      <c r="JZ210" s="17"/>
      <c r="KA210" s="17"/>
      <c r="KB210" s="17"/>
      <c r="KC210" s="17"/>
      <c r="KD210" s="17"/>
      <c r="KE210" s="17"/>
      <c r="KF210" s="17"/>
      <c r="KG210" s="17"/>
      <c r="KH210" s="17"/>
      <c r="KI210" s="17"/>
      <c r="KJ210" s="17"/>
      <c r="KK210" s="17"/>
      <c r="KL210" s="17"/>
      <c r="KM210" s="17"/>
      <c r="KN210" s="17"/>
      <c r="KO210" s="17"/>
      <c r="KP210" s="17"/>
      <c r="KQ210" s="17"/>
      <c r="KR210" s="17"/>
      <c r="KS210" s="17"/>
      <c r="KT210" s="17"/>
      <c r="KU210" s="17"/>
      <c r="KV210" s="17"/>
      <c r="KW210" s="17"/>
      <c r="KX210" s="17"/>
      <c r="KY210" s="17"/>
    </row>
    <row r="211" spans="1:311" x14ac:dyDescent="0.25">
      <c r="A211" s="17"/>
      <c r="B211" s="17"/>
      <c r="C211" s="17"/>
      <c r="D211" s="17"/>
      <c r="E211" s="17"/>
      <c r="F211" s="17"/>
      <c r="G211" s="17"/>
      <c r="H211" s="17"/>
      <c r="I211" s="17"/>
      <c r="J211" s="17"/>
      <c r="K211" s="17"/>
      <c r="L211" s="17"/>
      <c r="M211" s="17"/>
      <c r="N211" s="17"/>
      <c r="O211" s="17"/>
      <c r="P211" s="17"/>
      <c r="Q211" s="17"/>
      <c r="R211" s="17"/>
      <c r="S211" s="17"/>
      <c r="T211" s="17"/>
      <c r="U211" s="17"/>
      <c r="V211" s="17"/>
      <c r="W211" s="17"/>
      <c r="X211" s="17"/>
      <c r="Y211" s="17"/>
      <c r="Z211" s="17"/>
      <c r="AA211" s="17"/>
      <c r="AB211" s="17"/>
      <c r="AC211" s="17"/>
      <c r="AD211" s="17"/>
      <c r="AE211" s="17"/>
      <c r="AF211" s="17"/>
      <c r="AG211" s="17"/>
      <c r="AH211" s="17"/>
      <c r="AI211" s="17"/>
      <c r="AJ211" s="17"/>
      <c r="AK211" s="17"/>
      <c r="AL211" s="17"/>
      <c r="AM211" s="17"/>
      <c r="AN211" s="17"/>
      <c r="AO211" s="17"/>
      <c r="AP211" s="17"/>
      <c r="AQ211" s="17"/>
      <c r="AR211" s="17"/>
      <c r="AS211" s="17"/>
      <c r="AT211" s="17"/>
      <c r="AU211" s="17"/>
      <c r="AV211" s="17"/>
      <c r="AW211" s="17"/>
      <c r="AX211" s="17"/>
      <c r="AY211" s="17"/>
      <c r="AZ211" s="17"/>
      <c r="BA211" s="17"/>
      <c r="BB211" s="17"/>
      <c r="BC211" s="17"/>
      <c r="BD211" s="17"/>
      <c r="BE211" s="17"/>
      <c r="BF211" s="17"/>
      <c r="BG211" s="17"/>
      <c r="BH211" s="17"/>
      <c r="BI211" s="17"/>
      <c r="BJ211" s="17"/>
      <c r="BK211" s="17"/>
      <c r="BL211" s="17"/>
      <c r="BM211" s="17"/>
      <c r="BN211" s="17"/>
      <c r="BO211" s="17"/>
      <c r="BP211" s="17"/>
      <c r="BQ211" s="17"/>
      <c r="BR211" s="17"/>
      <c r="BS211" s="17"/>
      <c r="BT211" s="17"/>
      <c r="BU211" s="17"/>
      <c r="BV211" s="17"/>
      <c r="BW211" s="17"/>
      <c r="BX211" s="17"/>
      <c r="BY211" s="17"/>
      <c r="BZ211" s="17"/>
      <c r="CA211" s="17"/>
      <c r="CB211" s="17"/>
      <c r="CC211" s="17"/>
      <c r="CD211" s="17"/>
      <c r="CE211" s="17"/>
      <c r="CF211" s="17"/>
      <c r="CG211" s="17"/>
      <c r="CH211" s="17"/>
      <c r="CI211" s="17"/>
      <c r="CJ211" s="17"/>
      <c r="CK211" s="17"/>
      <c r="CL211" s="17"/>
      <c r="CM211" s="17"/>
      <c r="CN211" s="17"/>
      <c r="CO211" s="17"/>
      <c r="CP211" s="17"/>
      <c r="CQ211" s="17"/>
      <c r="CR211" s="17"/>
      <c r="CS211" s="17"/>
      <c r="CT211" s="17"/>
      <c r="CU211" s="17"/>
      <c r="CV211" s="17"/>
      <c r="CW211" s="17"/>
      <c r="CX211" s="17"/>
      <c r="CY211" s="17"/>
      <c r="CZ211" s="17"/>
      <c r="DA211" s="17"/>
      <c r="DB211" s="17"/>
      <c r="DC211" s="17"/>
      <c r="DD211" s="17"/>
      <c r="DE211" s="17"/>
      <c r="DF211" s="17"/>
      <c r="DG211" s="17"/>
      <c r="DH211" s="17"/>
      <c r="DI211" s="17"/>
      <c r="DJ211" s="17"/>
      <c r="DK211" s="17"/>
      <c r="DL211" s="17"/>
      <c r="DM211" s="17"/>
      <c r="DN211" s="17"/>
      <c r="DO211" s="17"/>
      <c r="DP211" s="17"/>
      <c r="DQ211" s="17"/>
      <c r="DR211" s="17"/>
      <c r="DS211" s="17"/>
      <c r="DT211" s="17"/>
      <c r="DU211" s="17"/>
      <c r="DV211" s="17"/>
      <c r="DW211" s="17"/>
      <c r="DX211" s="17"/>
      <c r="DY211" s="17"/>
      <c r="DZ211" s="17"/>
      <c r="EA211" s="17"/>
      <c r="EB211" s="17"/>
      <c r="EC211" s="17"/>
      <c r="ED211" s="17"/>
      <c r="EE211" s="17"/>
      <c r="EF211" s="17"/>
      <c r="EG211" s="17"/>
      <c r="EH211" s="17"/>
      <c r="EI211" s="17"/>
      <c r="EJ211" s="17"/>
      <c r="EK211" s="17"/>
      <c r="EL211" s="17"/>
      <c r="EM211" s="17"/>
      <c r="EN211" s="17"/>
      <c r="EO211" s="17"/>
      <c r="EP211" s="17"/>
      <c r="EQ211" s="17"/>
      <c r="ER211" s="17"/>
      <c r="ES211" s="17"/>
      <c r="ET211" s="17"/>
      <c r="EU211" s="17"/>
      <c r="EV211" s="17"/>
      <c r="EW211" s="17"/>
      <c r="EX211" s="17"/>
      <c r="EY211" s="17"/>
      <c r="EZ211" s="17"/>
      <c r="FA211" s="17"/>
      <c r="FB211" s="17"/>
      <c r="FC211" s="17"/>
      <c r="FD211" s="17"/>
      <c r="FE211" s="17"/>
      <c r="FF211" s="17"/>
      <c r="FG211" s="17"/>
      <c r="FH211" s="17"/>
      <c r="FI211" s="17"/>
      <c r="FJ211" s="17"/>
      <c r="FK211" s="17"/>
      <c r="FL211" s="17"/>
      <c r="FM211" s="17"/>
      <c r="FN211" s="17"/>
      <c r="FO211" s="17"/>
      <c r="FP211" s="17"/>
      <c r="FQ211" s="17"/>
      <c r="FR211" s="17"/>
      <c r="FS211" s="17"/>
      <c r="FT211" s="17"/>
      <c r="FU211" s="17"/>
      <c r="FV211" s="17"/>
      <c r="FW211" s="17"/>
      <c r="FX211" s="17"/>
      <c r="FY211" s="17"/>
      <c r="FZ211" s="17"/>
      <c r="GA211" s="17"/>
      <c r="GB211" s="17"/>
      <c r="GC211" s="17"/>
      <c r="GD211" s="17"/>
      <c r="GE211" s="17"/>
      <c r="GF211" s="17"/>
      <c r="GG211" s="17"/>
      <c r="GH211" s="17"/>
      <c r="GI211" s="17"/>
      <c r="GJ211" s="17"/>
      <c r="GK211" s="17"/>
      <c r="GL211" s="17"/>
      <c r="GM211" s="17"/>
      <c r="GN211" s="17"/>
      <c r="GO211" s="17"/>
      <c r="GP211" s="17"/>
      <c r="GQ211" s="17"/>
      <c r="GR211" s="17"/>
      <c r="GS211" s="17"/>
      <c r="GT211" s="17"/>
      <c r="GU211" s="17"/>
      <c r="GV211" s="17"/>
      <c r="GW211" s="17"/>
      <c r="GX211" s="17"/>
      <c r="GY211" s="17"/>
      <c r="GZ211" s="17"/>
      <c r="HA211" s="17"/>
      <c r="HB211" s="17"/>
      <c r="HC211" s="17"/>
      <c r="HD211" s="17"/>
      <c r="HE211" s="17"/>
      <c r="HF211" s="17"/>
      <c r="HG211" s="17"/>
      <c r="HH211" s="17"/>
      <c r="HI211" s="17"/>
      <c r="HJ211" s="17"/>
      <c r="HK211" s="17"/>
      <c r="HL211" s="17"/>
      <c r="HM211" s="17"/>
      <c r="HN211" s="17"/>
      <c r="HO211" s="17"/>
      <c r="HP211" s="17"/>
      <c r="HQ211" s="17"/>
      <c r="HR211" s="17"/>
      <c r="HS211" s="17"/>
      <c r="HT211" s="17"/>
      <c r="HU211" s="17"/>
      <c r="HV211" s="17"/>
      <c r="HW211" s="17"/>
      <c r="HX211" s="17"/>
      <c r="HY211" s="17"/>
      <c r="HZ211" s="17"/>
      <c r="IA211" s="17"/>
      <c r="IB211" s="17"/>
      <c r="IC211" s="17"/>
      <c r="ID211" s="17"/>
      <c r="IE211" s="17"/>
      <c r="IF211" s="17"/>
      <c r="IG211" s="17"/>
      <c r="IH211" s="17"/>
      <c r="II211" s="17"/>
      <c r="IJ211" s="17"/>
      <c r="IK211" s="17"/>
      <c r="IL211" s="17"/>
      <c r="IM211" s="17"/>
      <c r="IN211" s="17"/>
      <c r="IO211" s="17"/>
      <c r="IP211" s="17"/>
      <c r="IQ211" s="17"/>
      <c r="IR211" s="17"/>
      <c r="IS211" s="17"/>
      <c r="IT211" s="17"/>
      <c r="IU211" s="17"/>
      <c r="IV211" s="17"/>
      <c r="IW211" s="17"/>
      <c r="IX211" s="17"/>
      <c r="IY211" s="17"/>
      <c r="IZ211" s="17"/>
      <c r="JA211" s="17"/>
      <c r="JB211" s="17"/>
      <c r="JC211" s="17"/>
      <c r="JD211" s="17"/>
      <c r="JE211" s="17"/>
      <c r="JF211" s="17"/>
      <c r="JG211" s="17"/>
      <c r="JH211" s="17"/>
      <c r="JI211" s="17"/>
      <c r="JJ211" s="17"/>
      <c r="JK211" s="17"/>
      <c r="JL211" s="17"/>
      <c r="JM211" s="17"/>
      <c r="JN211" s="17"/>
      <c r="JO211" s="17"/>
      <c r="JP211" s="17"/>
      <c r="JQ211" s="17"/>
      <c r="JR211" s="17"/>
      <c r="JS211" s="17"/>
      <c r="JT211" s="17"/>
      <c r="JU211" s="17"/>
      <c r="JV211" s="17"/>
      <c r="JW211" s="17"/>
      <c r="JX211" s="17"/>
      <c r="JY211" s="17"/>
      <c r="JZ211" s="17"/>
      <c r="KA211" s="17"/>
      <c r="KB211" s="17"/>
      <c r="KC211" s="17"/>
      <c r="KD211" s="17"/>
      <c r="KE211" s="17"/>
      <c r="KF211" s="17"/>
      <c r="KG211" s="17"/>
      <c r="KH211" s="17"/>
      <c r="KI211" s="17"/>
      <c r="KJ211" s="17"/>
      <c r="KK211" s="17"/>
      <c r="KL211" s="17"/>
      <c r="KM211" s="17"/>
      <c r="KN211" s="17"/>
      <c r="KO211" s="17"/>
      <c r="KP211" s="17"/>
      <c r="KQ211" s="17"/>
      <c r="KR211" s="17"/>
      <c r="KS211" s="17"/>
      <c r="KT211" s="17"/>
      <c r="KU211" s="17"/>
      <c r="KV211" s="17"/>
      <c r="KW211" s="17"/>
      <c r="KX211" s="17"/>
      <c r="KY211" s="17"/>
    </row>
    <row r="212" spans="1:311" x14ac:dyDescent="0.25">
      <c r="A212" s="17"/>
      <c r="B212" s="17"/>
      <c r="C212" s="17"/>
      <c r="D212" s="17"/>
      <c r="E212" s="17"/>
      <c r="F212" s="17"/>
      <c r="G212" s="17"/>
      <c r="H212" s="17"/>
      <c r="I212" s="17"/>
      <c r="J212" s="17"/>
      <c r="K212" s="17"/>
      <c r="L212" s="17"/>
      <c r="M212" s="17"/>
      <c r="N212" s="17"/>
      <c r="O212" s="17"/>
      <c r="P212" s="17"/>
      <c r="Q212" s="17"/>
      <c r="R212" s="17"/>
      <c r="S212" s="17"/>
      <c r="T212" s="17"/>
      <c r="U212" s="17"/>
      <c r="V212" s="17"/>
      <c r="W212" s="17"/>
      <c r="X212" s="17"/>
      <c r="Y212" s="17"/>
      <c r="Z212" s="17"/>
      <c r="AA212" s="17"/>
      <c r="AB212" s="17"/>
      <c r="AC212" s="17"/>
      <c r="AD212" s="17"/>
      <c r="AE212" s="17"/>
      <c r="AF212" s="17"/>
      <c r="AG212" s="17"/>
      <c r="AH212" s="17"/>
      <c r="AI212" s="17"/>
      <c r="AJ212" s="17"/>
      <c r="AK212" s="17"/>
      <c r="AL212" s="17"/>
      <c r="AM212" s="17"/>
      <c r="AN212" s="17"/>
      <c r="AO212" s="17"/>
      <c r="AP212" s="17"/>
      <c r="AQ212" s="17"/>
      <c r="AR212" s="17"/>
      <c r="AS212" s="17"/>
      <c r="AT212" s="17"/>
      <c r="AU212" s="17"/>
      <c r="AV212" s="17"/>
      <c r="AW212" s="17"/>
      <c r="AX212" s="17"/>
      <c r="AY212" s="17"/>
      <c r="AZ212" s="17"/>
      <c r="BA212" s="17"/>
      <c r="BB212" s="17"/>
      <c r="BC212" s="17"/>
      <c r="BD212" s="17"/>
      <c r="BE212" s="17"/>
      <c r="BF212" s="17"/>
      <c r="BG212" s="17"/>
      <c r="BH212" s="17"/>
      <c r="BI212" s="17"/>
      <c r="BJ212" s="17"/>
      <c r="BK212" s="17"/>
      <c r="BL212" s="17"/>
      <c r="BM212" s="17"/>
      <c r="BN212" s="17"/>
      <c r="BO212" s="17"/>
      <c r="BP212" s="17"/>
      <c r="BQ212" s="17"/>
      <c r="BR212" s="17"/>
      <c r="BS212" s="17"/>
      <c r="BT212" s="17"/>
      <c r="BU212" s="17"/>
      <c r="BV212" s="17"/>
      <c r="BW212" s="17"/>
      <c r="BX212" s="17"/>
      <c r="BY212" s="17"/>
      <c r="BZ212" s="17"/>
      <c r="CA212" s="17"/>
      <c r="CB212" s="17"/>
      <c r="CC212" s="17"/>
      <c r="CD212" s="17"/>
      <c r="CE212" s="17"/>
      <c r="CF212" s="17"/>
      <c r="CG212" s="17"/>
      <c r="CH212" s="17"/>
      <c r="CI212" s="17"/>
      <c r="CJ212" s="17"/>
      <c r="CK212" s="17"/>
      <c r="CL212" s="17"/>
      <c r="CM212" s="17"/>
      <c r="CN212" s="17"/>
      <c r="CO212" s="17"/>
      <c r="CP212" s="17"/>
      <c r="CQ212" s="17"/>
      <c r="CR212" s="17"/>
      <c r="CS212" s="17"/>
      <c r="CT212" s="17"/>
      <c r="CU212" s="17"/>
      <c r="CV212" s="17"/>
      <c r="CW212" s="17"/>
      <c r="CX212" s="17"/>
      <c r="CY212" s="17"/>
      <c r="CZ212" s="17"/>
      <c r="DA212" s="17"/>
      <c r="DB212" s="17"/>
      <c r="DC212" s="17"/>
      <c r="DD212" s="17"/>
      <c r="DE212" s="17"/>
      <c r="DF212" s="17"/>
      <c r="DG212" s="17"/>
      <c r="DH212" s="17"/>
      <c r="DI212" s="17"/>
      <c r="DJ212" s="17"/>
      <c r="DK212" s="17"/>
      <c r="DL212" s="17"/>
      <c r="DM212" s="17"/>
      <c r="DN212" s="17"/>
      <c r="DO212" s="17"/>
      <c r="DP212" s="17"/>
      <c r="DQ212" s="17"/>
      <c r="DR212" s="17"/>
      <c r="DS212" s="17"/>
      <c r="DT212" s="17"/>
      <c r="DU212" s="17"/>
      <c r="DV212" s="17"/>
      <c r="DW212" s="17"/>
      <c r="DX212" s="17"/>
      <c r="DY212" s="17"/>
      <c r="DZ212" s="17"/>
      <c r="EA212" s="17"/>
      <c r="EB212" s="17"/>
      <c r="EC212" s="17"/>
      <c r="ED212" s="17"/>
      <c r="EE212" s="17"/>
      <c r="EF212" s="17"/>
      <c r="EG212" s="17"/>
      <c r="EH212" s="17"/>
      <c r="EI212" s="17"/>
      <c r="EJ212" s="17"/>
      <c r="EK212" s="17"/>
      <c r="EL212" s="17"/>
      <c r="EM212" s="17"/>
      <c r="EN212" s="17"/>
      <c r="EO212" s="17"/>
      <c r="EP212" s="17"/>
      <c r="EQ212" s="17"/>
      <c r="ER212" s="17"/>
      <c r="ES212" s="17"/>
      <c r="ET212" s="17"/>
      <c r="EU212" s="17"/>
      <c r="EV212" s="17"/>
      <c r="EW212" s="17"/>
      <c r="EX212" s="17"/>
      <c r="EY212" s="17"/>
      <c r="EZ212" s="17"/>
      <c r="FA212" s="17"/>
      <c r="FB212" s="17"/>
      <c r="FC212" s="17"/>
      <c r="FD212" s="17"/>
      <c r="FE212" s="17"/>
      <c r="FF212" s="17"/>
      <c r="FG212" s="17"/>
      <c r="FH212" s="17"/>
      <c r="FI212" s="17"/>
      <c r="FJ212" s="17"/>
      <c r="FK212" s="17"/>
      <c r="FL212" s="17"/>
      <c r="FM212" s="17"/>
      <c r="FN212" s="17"/>
      <c r="FO212" s="17"/>
      <c r="FP212" s="17"/>
      <c r="FQ212" s="17"/>
      <c r="FR212" s="17"/>
      <c r="FS212" s="17"/>
      <c r="FT212" s="17"/>
      <c r="FU212" s="17"/>
      <c r="FV212" s="17"/>
      <c r="FW212" s="17"/>
      <c r="FX212" s="17"/>
      <c r="FY212" s="17"/>
      <c r="FZ212" s="17"/>
      <c r="GA212" s="17"/>
      <c r="GB212" s="17"/>
      <c r="GC212" s="17"/>
      <c r="GD212" s="17"/>
      <c r="GE212" s="17"/>
      <c r="GF212" s="17"/>
      <c r="GG212" s="17"/>
      <c r="GH212" s="17"/>
      <c r="GI212" s="17"/>
      <c r="GJ212" s="17"/>
      <c r="GK212" s="17"/>
      <c r="GL212" s="17"/>
      <c r="GM212" s="17"/>
      <c r="GN212" s="17"/>
      <c r="GO212" s="17"/>
      <c r="GP212" s="17"/>
      <c r="GQ212" s="17"/>
      <c r="GR212" s="17"/>
      <c r="GS212" s="17"/>
      <c r="GT212" s="17"/>
      <c r="GU212" s="17"/>
      <c r="GV212" s="17"/>
      <c r="GW212" s="17"/>
      <c r="GX212" s="17"/>
      <c r="GY212" s="17"/>
      <c r="GZ212" s="17"/>
      <c r="HA212" s="17"/>
      <c r="HB212" s="17"/>
      <c r="HC212" s="17"/>
      <c r="HD212" s="17"/>
      <c r="HE212" s="17"/>
      <c r="HF212" s="17"/>
      <c r="HG212" s="17"/>
      <c r="HH212" s="17"/>
      <c r="HI212" s="17"/>
      <c r="HJ212" s="17"/>
      <c r="HK212" s="17"/>
      <c r="HL212" s="17"/>
      <c r="HM212" s="17"/>
      <c r="HN212" s="17"/>
      <c r="HO212" s="17"/>
      <c r="HP212" s="17"/>
      <c r="HQ212" s="17"/>
      <c r="HR212" s="17"/>
      <c r="HS212" s="17"/>
      <c r="HT212" s="17"/>
      <c r="HU212" s="17"/>
      <c r="HV212" s="17"/>
      <c r="HW212" s="17"/>
      <c r="HX212" s="17"/>
      <c r="HY212" s="17"/>
      <c r="HZ212" s="17"/>
      <c r="IA212" s="17"/>
      <c r="IB212" s="17"/>
      <c r="IC212" s="17"/>
      <c r="ID212" s="17"/>
      <c r="IE212" s="17"/>
      <c r="IF212" s="17"/>
      <c r="IG212" s="17"/>
      <c r="IH212" s="17"/>
      <c r="II212" s="17"/>
      <c r="IJ212" s="17"/>
      <c r="IK212" s="17"/>
      <c r="IL212" s="17"/>
      <c r="IM212" s="17"/>
      <c r="IN212" s="17"/>
      <c r="IO212" s="17"/>
      <c r="IP212" s="17"/>
      <c r="IQ212" s="17"/>
      <c r="IR212" s="17"/>
      <c r="IS212" s="17"/>
      <c r="IT212" s="17"/>
      <c r="IU212" s="17"/>
      <c r="IV212" s="17"/>
      <c r="IW212" s="17"/>
      <c r="IX212" s="17"/>
      <c r="IY212" s="17"/>
      <c r="IZ212" s="17"/>
      <c r="JA212" s="17"/>
      <c r="JB212" s="17"/>
      <c r="JC212" s="17"/>
      <c r="JD212" s="17"/>
      <c r="JE212" s="17"/>
      <c r="JF212" s="17"/>
      <c r="JG212" s="17"/>
      <c r="JH212" s="17"/>
      <c r="JI212" s="17"/>
      <c r="JJ212" s="17"/>
      <c r="JK212" s="17"/>
      <c r="JL212" s="17"/>
      <c r="JM212" s="17"/>
      <c r="JN212" s="17"/>
      <c r="JO212" s="17"/>
      <c r="JP212" s="17"/>
      <c r="JQ212" s="17"/>
      <c r="JR212" s="17"/>
      <c r="JS212" s="17"/>
      <c r="JT212" s="17"/>
      <c r="JU212" s="17"/>
      <c r="JV212" s="17"/>
      <c r="JW212" s="17"/>
      <c r="JX212" s="17"/>
      <c r="JY212" s="17"/>
      <c r="JZ212" s="17"/>
      <c r="KA212" s="17"/>
      <c r="KB212" s="17"/>
      <c r="KC212" s="17"/>
      <c r="KD212" s="17"/>
      <c r="KE212" s="17"/>
      <c r="KF212" s="17"/>
      <c r="KG212" s="17"/>
      <c r="KH212" s="17"/>
      <c r="KI212" s="17"/>
      <c r="KJ212" s="17"/>
      <c r="KK212" s="17"/>
      <c r="KL212" s="17"/>
      <c r="KM212" s="17"/>
      <c r="KN212" s="17"/>
      <c r="KO212" s="17"/>
      <c r="KP212" s="17"/>
      <c r="KQ212" s="17"/>
      <c r="KR212" s="17"/>
      <c r="KS212" s="17"/>
      <c r="KT212" s="17"/>
      <c r="KU212" s="17"/>
      <c r="KV212" s="17"/>
      <c r="KW212" s="17"/>
      <c r="KX212" s="17"/>
      <c r="KY212" s="17"/>
    </row>
    <row r="213" spans="1:311" x14ac:dyDescent="0.25">
      <c r="A213" s="17"/>
      <c r="B213" s="17"/>
      <c r="C213" s="17"/>
      <c r="D213" s="17"/>
      <c r="E213" s="17"/>
      <c r="F213" s="17"/>
      <c r="G213" s="17"/>
      <c r="H213" s="17"/>
      <c r="I213" s="17"/>
      <c r="J213" s="17"/>
      <c r="K213" s="17"/>
      <c r="L213" s="17"/>
      <c r="M213" s="17"/>
      <c r="N213" s="17"/>
      <c r="O213" s="17"/>
      <c r="P213" s="17"/>
      <c r="Q213" s="17"/>
      <c r="R213" s="17"/>
      <c r="S213" s="17"/>
      <c r="T213" s="17"/>
      <c r="U213" s="17"/>
      <c r="V213" s="17"/>
      <c r="W213" s="17"/>
      <c r="X213" s="17"/>
      <c r="Y213" s="17"/>
      <c r="Z213" s="17"/>
      <c r="AA213" s="17"/>
      <c r="AB213" s="17"/>
      <c r="AC213" s="17"/>
      <c r="AD213" s="17"/>
      <c r="AE213" s="17"/>
      <c r="AF213" s="17"/>
      <c r="AG213" s="17"/>
      <c r="AH213" s="17"/>
      <c r="AI213" s="17"/>
      <c r="AJ213" s="17"/>
      <c r="AK213" s="17"/>
      <c r="AL213" s="17"/>
      <c r="AM213" s="17"/>
      <c r="AN213" s="17"/>
      <c r="AO213" s="17"/>
      <c r="AP213" s="17"/>
      <c r="AQ213" s="17"/>
      <c r="AR213" s="17"/>
      <c r="AS213" s="17"/>
      <c r="AT213" s="17"/>
      <c r="AU213" s="17"/>
      <c r="AV213" s="17"/>
      <c r="AW213" s="17"/>
      <c r="AX213" s="17"/>
      <c r="AY213" s="17"/>
      <c r="AZ213" s="17"/>
      <c r="BA213" s="17"/>
      <c r="BB213" s="17"/>
      <c r="BC213" s="17"/>
      <c r="BD213" s="17"/>
      <c r="BE213" s="17"/>
      <c r="BF213" s="17"/>
      <c r="BG213" s="17"/>
      <c r="BH213" s="17"/>
      <c r="BI213" s="17"/>
      <c r="BJ213" s="17"/>
      <c r="BK213" s="17"/>
      <c r="BL213" s="17"/>
      <c r="BM213" s="17"/>
      <c r="BN213" s="17"/>
      <c r="BO213" s="17"/>
      <c r="BP213" s="17"/>
      <c r="BQ213" s="17"/>
      <c r="BR213" s="17"/>
      <c r="BS213" s="17"/>
      <c r="BT213" s="17"/>
      <c r="BU213" s="17"/>
      <c r="BV213" s="17"/>
      <c r="BW213" s="17"/>
      <c r="BX213" s="17"/>
      <c r="BY213" s="17"/>
      <c r="BZ213" s="17"/>
      <c r="CA213" s="17"/>
      <c r="CB213" s="17"/>
      <c r="CC213" s="17"/>
      <c r="CD213" s="17"/>
      <c r="CE213" s="17"/>
      <c r="CF213" s="17"/>
      <c r="CG213" s="17"/>
      <c r="CH213" s="17"/>
      <c r="CI213" s="17"/>
      <c r="CJ213" s="17"/>
      <c r="CK213" s="17"/>
      <c r="CL213" s="17"/>
      <c r="CM213" s="17"/>
      <c r="CN213" s="17"/>
      <c r="CO213" s="17"/>
      <c r="CP213" s="17"/>
      <c r="CQ213" s="17"/>
      <c r="CR213" s="17"/>
      <c r="CS213" s="17"/>
      <c r="CT213" s="17"/>
      <c r="CU213" s="17"/>
      <c r="CV213" s="17"/>
      <c r="CW213" s="17"/>
      <c r="CX213" s="17"/>
      <c r="CY213" s="17"/>
      <c r="CZ213" s="17"/>
      <c r="DA213" s="17"/>
      <c r="DB213" s="17"/>
      <c r="DC213" s="17"/>
      <c r="DD213" s="17"/>
      <c r="DE213" s="17"/>
      <c r="DF213" s="17"/>
      <c r="DG213" s="17"/>
      <c r="DH213" s="17"/>
      <c r="DI213" s="17"/>
      <c r="DJ213" s="17"/>
      <c r="DK213" s="17"/>
      <c r="DL213" s="17"/>
      <c r="DM213" s="17"/>
      <c r="DN213" s="17"/>
      <c r="DO213" s="17"/>
      <c r="DP213" s="17"/>
      <c r="DQ213" s="17"/>
      <c r="DR213" s="17"/>
      <c r="DS213" s="17"/>
      <c r="DT213" s="17"/>
      <c r="DU213" s="17"/>
      <c r="DV213" s="17"/>
      <c r="DW213" s="17"/>
      <c r="DX213" s="17"/>
      <c r="DY213" s="17"/>
      <c r="DZ213" s="17"/>
      <c r="EA213" s="17"/>
      <c r="EB213" s="17"/>
      <c r="EC213" s="17"/>
      <c r="ED213" s="17"/>
      <c r="EE213" s="17"/>
      <c r="EF213" s="17"/>
      <c r="EG213" s="17"/>
      <c r="EH213" s="17"/>
      <c r="EI213" s="17"/>
      <c r="EJ213" s="17"/>
      <c r="EK213" s="17"/>
      <c r="EL213" s="17"/>
      <c r="EM213" s="17"/>
      <c r="EN213" s="17"/>
      <c r="EO213" s="17"/>
      <c r="EP213" s="17"/>
      <c r="EQ213" s="17"/>
      <c r="ER213" s="17"/>
      <c r="ES213" s="17"/>
      <c r="ET213" s="17"/>
      <c r="EU213" s="17"/>
      <c r="EV213" s="17"/>
      <c r="EW213" s="17"/>
      <c r="EX213" s="17"/>
      <c r="EY213" s="17"/>
      <c r="EZ213" s="17"/>
      <c r="FA213" s="17"/>
      <c r="FB213" s="17"/>
      <c r="FC213" s="17"/>
      <c r="FD213" s="17"/>
      <c r="FE213" s="17"/>
      <c r="FF213" s="17"/>
      <c r="FG213" s="17"/>
      <c r="FH213" s="17"/>
      <c r="FI213" s="17"/>
      <c r="FJ213" s="17"/>
      <c r="FK213" s="17"/>
      <c r="FL213" s="17"/>
      <c r="FM213" s="17"/>
      <c r="FN213" s="17"/>
      <c r="FO213" s="17"/>
      <c r="FP213" s="17"/>
      <c r="FQ213" s="17"/>
      <c r="FR213" s="17"/>
      <c r="FS213" s="17"/>
      <c r="FT213" s="17"/>
      <c r="FU213" s="17"/>
      <c r="FV213" s="17"/>
      <c r="FW213" s="17"/>
      <c r="FX213" s="17"/>
      <c r="FY213" s="17"/>
      <c r="FZ213" s="17"/>
      <c r="GA213" s="17"/>
      <c r="GB213" s="17"/>
      <c r="GC213" s="17"/>
      <c r="GD213" s="17"/>
      <c r="GE213" s="17"/>
      <c r="GF213" s="17"/>
      <c r="GG213" s="17"/>
      <c r="GH213" s="17"/>
      <c r="GI213" s="17"/>
      <c r="GJ213" s="17"/>
      <c r="GK213" s="17"/>
      <c r="GL213" s="17"/>
      <c r="GM213" s="17"/>
      <c r="GN213" s="17"/>
      <c r="GO213" s="17"/>
      <c r="GP213" s="17"/>
      <c r="GQ213" s="17"/>
      <c r="GR213" s="17"/>
      <c r="GS213" s="17"/>
      <c r="GT213" s="17"/>
      <c r="GU213" s="17"/>
      <c r="GV213" s="17"/>
      <c r="GW213" s="17"/>
      <c r="GX213" s="17"/>
      <c r="GY213" s="17"/>
      <c r="GZ213" s="17"/>
      <c r="HA213" s="17"/>
      <c r="HB213" s="17"/>
      <c r="HC213" s="17"/>
      <c r="HD213" s="17"/>
      <c r="HE213" s="17"/>
      <c r="HF213" s="17"/>
      <c r="HG213" s="17"/>
      <c r="HH213" s="17"/>
      <c r="HI213" s="17"/>
      <c r="HJ213" s="17"/>
      <c r="HK213" s="17"/>
      <c r="HL213" s="17"/>
      <c r="HM213" s="17"/>
      <c r="HN213" s="17"/>
      <c r="HO213" s="17"/>
      <c r="HP213" s="17"/>
      <c r="HQ213" s="17"/>
      <c r="HR213" s="17"/>
      <c r="HS213" s="17"/>
      <c r="HT213" s="17"/>
      <c r="HU213" s="17"/>
      <c r="HV213" s="17"/>
      <c r="HW213" s="17"/>
      <c r="HX213" s="17"/>
      <c r="HY213" s="17"/>
      <c r="HZ213" s="17"/>
      <c r="IA213" s="17"/>
      <c r="IB213" s="17"/>
      <c r="IC213" s="17"/>
      <c r="ID213" s="17"/>
      <c r="IE213" s="17"/>
      <c r="IF213" s="17"/>
      <c r="IG213" s="17"/>
      <c r="IH213" s="17"/>
      <c r="II213" s="17"/>
      <c r="IJ213" s="17"/>
      <c r="IK213" s="17"/>
      <c r="IL213" s="17"/>
      <c r="IM213" s="17"/>
      <c r="IN213" s="17"/>
      <c r="IO213" s="17"/>
      <c r="IP213" s="17"/>
      <c r="IQ213" s="17"/>
      <c r="IR213" s="17"/>
      <c r="IS213" s="17"/>
      <c r="IT213" s="17"/>
      <c r="IU213" s="17"/>
      <c r="IV213" s="17"/>
      <c r="IW213" s="17"/>
      <c r="IX213" s="17"/>
      <c r="IY213" s="17"/>
      <c r="IZ213" s="17"/>
      <c r="JA213" s="17"/>
      <c r="JB213" s="17"/>
      <c r="JC213" s="17"/>
      <c r="JD213" s="17"/>
      <c r="JE213" s="17"/>
      <c r="JF213" s="17"/>
      <c r="JG213" s="17"/>
      <c r="JH213" s="17"/>
      <c r="JI213" s="17"/>
      <c r="JJ213" s="17"/>
      <c r="JK213" s="17"/>
      <c r="JL213" s="17"/>
      <c r="JM213" s="17"/>
      <c r="JN213" s="17"/>
      <c r="JO213" s="17"/>
      <c r="JP213" s="17"/>
      <c r="JQ213" s="17"/>
      <c r="JR213" s="17"/>
      <c r="JS213" s="17"/>
      <c r="JT213" s="17"/>
      <c r="JU213" s="17"/>
      <c r="JV213" s="17"/>
      <c r="JW213" s="17"/>
      <c r="JX213" s="17"/>
      <c r="JY213" s="17"/>
      <c r="JZ213" s="17"/>
      <c r="KA213" s="17"/>
      <c r="KB213" s="17"/>
      <c r="KC213" s="17"/>
      <c r="KD213" s="17"/>
      <c r="KE213" s="17"/>
      <c r="KF213" s="17"/>
      <c r="KG213" s="17"/>
      <c r="KH213" s="17"/>
      <c r="KI213" s="17"/>
      <c r="KJ213" s="17"/>
      <c r="KK213" s="17"/>
      <c r="KL213" s="17"/>
      <c r="KM213" s="17"/>
      <c r="KN213" s="17"/>
      <c r="KO213" s="17"/>
      <c r="KP213" s="17"/>
      <c r="KQ213" s="17"/>
      <c r="KR213" s="17"/>
      <c r="KS213" s="17"/>
      <c r="KT213" s="17"/>
      <c r="KU213" s="17"/>
      <c r="KV213" s="17"/>
      <c r="KW213" s="17"/>
      <c r="KX213" s="17"/>
      <c r="KY213" s="17"/>
    </row>
    <row r="214" spans="1:311" x14ac:dyDescent="0.25">
      <c r="A214" s="17"/>
      <c r="B214" s="17"/>
      <c r="C214" s="17"/>
      <c r="D214" s="17"/>
      <c r="E214" s="17"/>
      <c r="F214" s="17"/>
      <c r="G214" s="17"/>
      <c r="H214" s="17"/>
      <c r="I214" s="17"/>
      <c r="J214" s="17"/>
      <c r="K214" s="17"/>
      <c r="L214" s="17"/>
      <c r="M214" s="17"/>
      <c r="N214" s="17"/>
      <c r="O214" s="17"/>
      <c r="P214" s="17"/>
      <c r="Q214" s="17"/>
      <c r="R214" s="17"/>
      <c r="S214" s="17"/>
      <c r="T214" s="17"/>
      <c r="U214" s="17"/>
      <c r="V214" s="17"/>
      <c r="W214" s="17"/>
      <c r="X214" s="17"/>
      <c r="Y214" s="17"/>
      <c r="Z214" s="17"/>
      <c r="AA214" s="17"/>
      <c r="AB214" s="17"/>
      <c r="AC214" s="17"/>
      <c r="AD214" s="17"/>
      <c r="AE214" s="17"/>
      <c r="AF214" s="17"/>
      <c r="AG214" s="17"/>
      <c r="AH214" s="17"/>
      <c r="AI214" s="17"/>
      <c r="AJ214" s="17"/>
      <c r="AK214" s="17"/>
      <c r="AL214" s="17"/>
      <c r="AM214" s="17"/>
      <c r="AN214" s="17"/>
      <c r="AO214" s="17"/>
      <c r="AP214" s="17"/>
      <c r="AQ214" s="17"/>
      <c r="AR214" s="17"/>
      <c r="AS214" s="17"/>
      <c r="AT214" s="17"/>
      <c r="AU214" s="17"/>
      <c r="AV214" s="17"/>
      <c r="AW214" s="17"/>
      <c r="AX214" s="17"/>
      <c r="AY214" s="17"/>
      <c r="AZ214" s="17"/>
      <c r="BA214" s="17"/>
      <c r="BB214" s="17"/>
      <c r="BC214" s="17"/>
      <c r="BD214" s="17"/>
      <c r="BE214" s="17"/>
      <c r="BF214" s="17"/>
      <c r="BG214" s="17"/>
      <c r="BH214" s="17"/>
      <c r="BI214" s="17"/>
      <c r="BJ214" s="17"/>
      <c r="BK214" s="17"/>
      <c r="BL214" s="17"/>
      <c r="BM214" s="17"/>
      <c r="BN214" s="17"/>
      <c r="BO214" s="17"/>
      <c r="BP214" s="17"/>
      <c r="BQ214" s="17"/>
      <c r="BR214" s="17"/>
      <c r="BS214" s="17"/>
      <c r="BT214" s="17"/>
      <c r="BU214" s="17"/>
      <c r="BV214" s="17"/>
      <c r="BW214" s="17"/>
      <c r="BX214" s="17"/>
      <c r="BY214" s="17"/>
      <c r="BZ214" s="17"/>
      <c r="CA214" s="17"/>
      <c r="CB214" s="17"/>
      <c r="CC214" s="17"/>
      <c r="CD214" s="17"/>
      <c r="CE214" s="17"/>
      <c r="CF214" s="17"/>
      <c r="CG214" s="17"/>
      <c r="CH214" s="17"/>
      <c r="CI214" s="17"/>
      <c r="CJ214" s="17"/>
      <c r="CK214" s="17"/>
      <c r="CL214" s="17"/>
      <c r="CM214" s="17"/>
      <c r="CN214" s="17"/>
      <c r="CO214" s="17"/>
      <c r="CP214" s="17"/>
      <c r="CQ214" s="17"/>
      <c r="CR214" s="17"/>
      <c r="CS214" s="17"/>
      <c r="CT214" s="17"/>
      <c r="CU214" s="17"/>
      <c r="CV214" s="17"/>
      <c r="CW214" s="17"/>
      <c r="CX214" s="17"/>
      <c r="CY214" s="17"/>
      <c r="CZ214" s="17"/>
      <c r="DA214" s="17"/>
      <c r="DB214" s="17"/>
      <c r="DC214" s="17"/>
      <c r="DD214" s="17"/>
      <c r="DE214" s="17"/>
      <c r="DF214" s="17"/>
      <c r="DG214" s="17"/>
      <c r="DH214" s="17"/>
      <c r="DI214" s="17"/>
      <c r="DJ214" s="17"/>
      <c r="DK214" s="17"/>
      <c r="DL214" s="17"/>
      <c r="DM214" s="17"/>
      <c r="DN214" s="17"/>
      <c r="DO214" s="17"/>
      <c r="DP214" s="17"/>
      <c r="DQ214" s="17"/>
      <c r="DR214" s="17"/>
      <c r="DS214" s="17"/>
      <c r="DT214" s="17"/>
      <c r="DU214" s="17"/>
      <c r="DV214" s="17"/>
      <c r="DW214" s="17"/>
      <c r="DX214" s="17"/>
      <c r="DY214" s="17"/>
      <c r="DZ214" s="17"/>
      <c r="EA214" s="17"/>
      <c r="EB214" s="17"/>
      <c r="EC214" s="17"/>
      <c r="ED214" s="17"/>
      <c r="EE214" s="17"/>
      <c r="EF214" s="17"/>
      <c r="EG214" s="17"/>
      <c r="EH214" s="17"/>
      <c r="EI214" s="17"/>
      <c r="EJ214" s="17"/>
      <c r="EK214" s="17"/>
      <c r="EL214" s="17"/>
      <c r="EM214" s="17"/>
      <c r="EN214" s="17"/>
      <c r="EO214" s="17"/>
      <c r="EP214" s="17"/>
      <c r="EQ214" s="17"/>
      <c r="ER214" s="17"/>
      <c r="ES214" s="17"/>
      <c r="ET214" s="17"/>
      <c r="EU214" s="17"/>
      <c r="EV214" s="17"/>
      <c r="EW214" s="17"/>
      <c r="EX214" s="17"/>
      <c r="EY214" s="17"/>
      <c r="EZ214" s="17"/>
      <c r="FA214" s="17"/>
      <c r="FB214" s="17"/>
      <c r="FC214" s="17"/>
      <c r="FD214" s="17"/>
      <c r="FE214" s="17"/>
      <c r="FF214" s="17"/>
      <c r="FG214" s="17"/>
      <c r="FH214" s="17"/>
      <c r="FI214" s="17"/>
      <c r="FJ214" s="17"/>
      <c r="FK214" s="17"/>
      <c r="FL214" s="17"/>
      <c r="FM214" s="17"/>
      <c r="FN214" s="17"/>
      <c r="FO214" s="17"/>
      <c r="FP214" s="17"/>
      <c r="FQ214" s="17"/>
      <c r="FR214" s="17"/>
      <c r="FS214" s="17"/>
      <c r="FT214" s="17"/>
      <c r="FU214" s="17"/>
      <c r="FV214" s="17"/>
      <c r="FW214" s="17"/>
      <c r="FX214" s="17"/>
      <c r="FY214" s="17"/>
      <c r="FZ214" s="17"/>
      <c r="GA214" s="17"/>
      <c r="GB214" s="17"/>
      <c r="GC214" s="17"/>
      <c r="GD214" s="17"/>
      <c r="GE214" s="17"/>
      <c r="GF214" s="17"/>
      <c r="GG214" s="17"/>
      <c r="GH214" s="17"/>
      <c r="GI214" s="17"/>
      <c r="GJ214" s="17"/>
      <c r="GK214" s="17"/>
      <c r="GL214" s="17"/>
      <c r="GM214" s="17"/>
      <c r="GN214" s="17"/>
      <c r="GO214" s="17"/>
      <c r="GP214" s="17"/>
      <c r="GQ214" s="17"/>
      <c r="GR214" s="17"/>
      <c r="GS214" s="17"/>
      <c r="GT214" s="17"/>
      <c r="GU214" s="17"/>
      <c r="GV214" s="17"/>
      <c r="GW214" s="17"/>
      <c r="GX214" s="17"/>
      <c r="GY214" s="17"/>
      <c r="GZ214" s="17"/>
      <c r="HA214" s="17"/>
      <c r="HB214" s="17"/>
      <c r="HC214" s="17"/>
      <c r="HD214" s="17"/>
      <c r="HE214" s="17"/>
      <c r="HF214" s="17"/>
      <c r="HG214" s="17"/>
      <c r="HH214" s="17"/>
      <c r="HI214" s="17"/>
      <c r="HJ214" s="17"/>
      <c r="HK214" s="17"/>
      <c r="HL214" s="17"/>
      <c r="HM214" s="17"/>
      <c r="HN214" s="17"/>
      <c r="HO214" s="17"/>
      <c r="HP214" s="17"/>
      <c r="HQ214" s="17"/>
      <c r="HR214" s="17"/>
      <c r="HS214" s="17"/>
      <c r="HT214" s="17"/>
      <c r="HU214" s="17"/>
      <c r="HV214" s="17"/>
      <c r="HW214" s="17"/>
      <c r="HX214" s="17"/>
      <c r="HY214" s="17"/>
      <c r="HZ214" s="17"/>
      <c r="IA214" s="17"/>
      <c r="IB214" s="17"/>
      <c r="IC214" s="17"/>
      <c r="ID214" s="17"/>
      <c r="IE214" s="17"/>
      <c r="IF214" s="17"/>
      <c r="IG214" s="17"/>
      <c r="IH214" s="17"/>
      <c r="II214" s="17"/>
      <c r="IJ214" s="17"/>
      <c r="IK214" s="17"/>
      <c r="IL214" s="17"/>
      <c r="IM214" s="17"/>
      <c r="IN214" s="17"/>
      <c r="IO214" s="17"/>
      <c r="IP214" s="17"/>
      <c r="IQ214" s="17"/>
      <c r="IR214" s="17"/>
      <c r="IS214" s="17"/>
      <c r="IT214" s="17"/>
      <c r="IU214" s="17"/>
      <c r="IV214" s="17"/>
      <c r="IW214" s="17"/>
      <c r="IX214" s="17"/>
      <c r="IY214" s="17"/>
      <c r="IZ214" s="17"/>
      <c r="JA214" s="17"/>
      <c r="JB214" s="17"/>
      <c r="JC214" s="17"/>
      <c r="JD214" s="17"/>
      <c r="JE214" s="17"/>
      <c r="JF214" s="17"/>
      <c r="JG214" s="17"/>
      <c r="JH214" s="17"/>
      <c r="JI214" s="17"/>
      <c r="JJ214" s="17"/>
      <c r="JK214" s="17"/>
      <c r="JL214" s="17"/>
      <c r="JM214" s="17"/>
      <c r="JN214" s="17"/>
      <c r="JO214" s="17"/>
      <c r="JP214" s="17"/>
      <c r="JQ214" s="17"/>
      <c r="JR214" s="17"/>
      <c r="JS214" s="17"/>
      <c r="JT214" s="17"/>
      <c r="JU214" s="17"/>
      <c r="JV214" s="17"/>
      <c r="JW214" s="17"/>
      <c r="JX214" s="17"/>
      <c r="JY214" s="17"/>
      <c r="JZ214" s="17"/>
      <c r="KA214" s="17"/>
      <c r="KB214" s="17"/>
      <c r="KC214" s="17"/>
      <c r="KD214" s="17"/>
      <c r="KE214" s="17"/>
      <c r="KF214" s="17"/>
      <c r="KG214" s="17"/>
      <c r="KH214" s="17"/>
      <c r="KI214" s="17"/>
      <c r="KJ214" s="17"/>
      <c r="KK214" s="17"/>
      <c r="KL214" s="17"/>
      <c r="KM214" s="17"/>
      <c r="KN214" s="17"/>
      <c r="KO214" s="17"/>
      <c r="KP214" s="17"/>
      <c r="KQ214" s="17"/>
      <c r="KR214" s="17"/>
      <c r="KS214" s="17"/>
      <c r="KT214" s="17"/>
      <c r="KU214" s="17"/>
      <c r="KV214" s="17"/>
      <c r="KW214" s="17"/>
      <c r="KX214" s="17"/>
      <c r="KY214" s="17"/>
    </row>
    <row r="215" spans="1:311" x14ac:dyDescent="0.25">
      <c r="A215" s="17"/>
      <c r="B215" s="17"/>
      <c r="C215" s="17"/>
      <c r="D215" s="17"/>
      <c r="E215" s="17"/>
      <c r="F215" s="17"/>
      <c r="G215" s="17"/>
      <c r="H215" s="17"/>
      <c r="I215" s="17"/>
      <c r="J215" s="17"/>
      <c r="K215" s="17"/>
      <c r="L215" s="17"/>
      <c r="M215" s="17"/>
      <c r="N215" s="17"/>
      <c r="O215" s="17"/>
      <c r="P215" s="17"/>
      <c r="Q215" s="17"/>
      <c r="R215" s="17"/>
      <c r="S215" s="17"/>
      <c r="T215" s="17"/>
      <c r="U215" s="17"/>
      <c r="V215" s="17"/>
      <c r="W215" s="17"/>
      <c r="X215" s="17"/>
      <c r="Y215" s="17"/>
      <c r="Z215" s="17"/>
      <c r="AA215" s="17"/>
      <c r="AB215" s="17"/>
      <c r="AC215" s="17"/>
      <c r="AD215" s="17"/>
      <c r="AE215" s="17"/>
      <c r="AF215" s="17"/>
      <c r="AG215" s="17"/>
      <c r="AH215" s="17"/>
      <c r="AI215" s="17"/>
      <c r="AJ215" s="17"/>
      <c r="AK215" s="17"/>
      <c r="AL215" s="17"/>
      <c r="AM215" s="17"/>
      <c r="AN215" s="17"/>
      <c r="AO215" s="17"/>
      <c r="AP215" s="17"/>
      <c r="AQ215" s="17"/>
      <c r="AR215" s="17"/>
      <c r="AS215" s="17"/>
      <c r="AT215" s="17"/>
      <c r="AU215" s="17"/>
      <c r="AV215" s="17"/>
      <c r="AW215" s="17"/>
      <c r="AX215" s="17"/>
      <c r="AY215" s="17"/>
      <c r="AZ215" s="17"/>
      <c r="BA215" s="17"/>
      <c r="BB215" s="17"/>
      <c r="BC215" s="17"/>
      <c r="BD215" s="17"/>
      <c r="BE215" s="17"/>
      <c r="BF215" s="17"/>
      <c r="BG215" s="17"/>
      <c r="BH215" s="17"/>
      <c r="BI215" s="17"/>
      <c r="BJ215" s="17"/>
      <c r="BK215" s="17"/>
      <c r="BL215" s="17"/>
      <c r="BM215" s="17"/>
      <c r="BN215" s="17"/>
      <c r="BO215" s="17"/>
      <c r="BP215" s="17"/>
      <c r="BQ215" s="17"/>
      <c r="BR215" s="17"/>
      <c r="BS215" s="17"/>
      <c r="BT215" s="17"/>
      <c r="BU215" s="17"/>
      <c r="BV215" s="17"/>
      <c r="BW215" s="17"/>
      <c r="BX215" s="17"/>
      <c r="BY215" s="17"/>
      <c r="BZ215" s="17"/>
      <c r="CA215" s="17"/>
      <c r="CB215" s="17"/>
      <c r="CC215" s="17"/>
      <c r="CD215" s="17"/>
      <c r="CE215" s="17"/>
      <c r="CF215" s="17"/>
      <c r="CG215" s="17"/>
      <c r="CH215" s="17"/>
      <c r="CI215" s="17"/>
      <c r="CJ215" s="17"/>
      <c r="CK215" s="17"/>
      <c r="CL215" s="17"/>
      <c r="CM215" s="17"/>
      <c r="CN215" s="17"/>
      <c r="CO215" s="17"/>
      <c r="CP215" s="17"/>
      <c r="CQ215" s="17"/>
      <c r="CR215" s="17"/>
      <c r="CS215" s="17"/>
      <c r="CT215" s="17"/>
      <c r="CU215" s="17"/>
      <c r="CV215" s="17"/>
      <c r="CW215" s="17"/>
      <c r="CX215" s="17"/>
      <c r="CY215" s="17"/>
      <c r="CZ215" s="17"/>
      <c r="DA215" s="17"/>
      <c r="DB215" s="17"/>
      <c r="DC215" s="17"/>
      <c r="DD215" s="17"/>
      <c r="DE215" s="17"/>
      <c r="DF215" s="17"/>
      <c r="DG215" s="17"/>
      <c r="DH215" s="17"/>
      <c r="DI215" s="17"/>
      <c r="DJ215" s="17"/>
      <c r="DK215" s="17"/>
      <c r="DL215" s="17"/>
      <c r="DM215" s="17"/>
      <c r="DN215" s="17"/>
      <c r="DO215" s="17"/>
      <c r="DP215" s="17"/>
      <c r="DQ215" s="17"/>
      <c r="DR215" s="17"/>
      <c r="DS215" s="17"/>
      <c r="DT215" s="17"/>
      <c r="DU215" s="17"/>
      <c r="DV215" s="17"/>
      <c r="DW215" s="17"/>
      <c r="DX215" s="17"/>
      <c r="DY215" s="17"/>
      <c r="DZ215" s="17"/>
      <c r="EA215" s="17"/>
      <c r="EB215" s="17"/>
      <c r="EC215" s="17"/>
      <c r="ED215" s="17"/>
      <c r="EE215" s="17"/>
      <c r="EF215" s="17"/>
      <c r="EG215" s="17"/>
      <c r="EH215" s="17"/>
      <c r="EI215" s="17"/>
      <c r="EJ215" s="17"/>
      <c r="EK215" s="17"/>
      <c r="EL215" s="17"/>
      <c r="EM215" s="17"/>
      <c r="EN215" s="17"/>
      <c r="EO215" s="17"/>
      <c r="EP215" s="17"/>
      <c r="EQ215" s="17"/>
      <c r="ER215" s="17"/>
      <c r="ES215" s="17"/>
      <c r="ET215" s="17"/>
      <c r="EU215" s="17"/>
      <c r="EV215" s="17"/>
      <c r="EW215" s="17"/>
      <c r="EX215" s="17"/>
      <c r="EY215" s="17"/>
      <c r="EZ215" s="17"/>
      <c r="FA215" s="17"/>
      <c r="FB215" s="17"/>
      <c r="FC215" s="17"/>
      <c r="FD215" s="17"/>
      <c r="FE215" s="17"/>
      <c r="FF215" s="17"/>
      <c r="FG215" s="17"/>
      <c r="FH215" s="17"/>
      <c r="FI215" s="17"/>
      <c r="FJ215" s="17"/>
      <c r="FK215" s="17"/>
      <c r="FL215" s="17"/>
      <c r="FM215" s="17"/>
      <c r="FN215" s="17"/>
      <c r="FO215" s="17"/>
      <c r="FP215" s="17"/>
      <c r="FQ215" s="17"/>
      <c r="FR215" s="17"/>
      <c r="FS215" s="17"/>
      <c r="FT215" s="17"/>
      <c r="FU215" s="17"/>
      <c r="FV215" s="17"/>
      <c r="FW215" s="17"/>
      <c r="FX215" s="17"/>
      <c r="FY215" s="17"/>
      <c r="FZ215" s="17"/>
      <c r="GA215" s="17"/>
      <c r="GB215" s="17"/>
      <c r="GC215" s="17"/>
      <c r="GD215" s="17"/>
      <c r="GE215" s="17"/>
      <c r="GF215" s="17"/>
      <c r="GG215" s="17"/>
      <c r="GH215" s="17"/>
      <c r="GI215" s="17"/>
      <c r="GJ215" s="17"/>
      <c r="GK215" s="17"/>
      <c r="GL215" s="17"/>
      <c r="GM215" s="17"/>
      <c r="GN215" s="17"/>
      <c r="GO215" s="17"/>
      <c r="GP215" s="17"/>
      <c r="GQ215" s="17"/>
      <c r="GR215" s="17"/>
      <c r="GS215" s="17"/>
      <c r="GT215" s="17"/>
      <c r="GU215" s="17"/>
      <c r="GV215" s="17"/>
      <c r="GW215" s="17"/>
      <c r="GX215" s="17"/>
      <c r="GY215" s="17"/>
      <c r="GZ215" s="17"/>
      <c r="HA215" s="17"/>
      <c r="HB215" s="17"/>
      <c r="HC215" s="17"/>
      <c r="HD215" s="17"/>
      <c r="HE215" s="17"/>
      <c r="HF215" s="17"/>
      <c r="HG215" s="17"/>
      <c r="HH215" s="17"/>
      <c r="HI215" s="17"/>
      <c r="HJ215" s="17"/>
      <c r="HK215" s="17"/>
      <c r="HL215" s="17"/>
      <c r="HM215" s="17"/>
      <c r="HN215" s="17"/>
      <c r="HO215" s="17"/>
      <c r="HP215" s="17"/>
      <c r="HQ215" s="17"/>
      <c r="HR215" s="17"/>
      <c r="HS215" s="17"/>
      <c r="HT215" s="17"/>
      <c r="HU215" s="17"/>
      <c r="HV215" s="17"/>
      <c r="HW215" s="17"/>
      <c r="HX215" s="17"/>
      <c r="HY215" s="17"/>
      <c r="HZ215" s="17"/>
      <c r="IA215" s="17"/>
      <c r="IB215" s="17"/>
      <c r="IC215" s="17"/>
      <c r="ID215" s="17"/>
      <c r="IE215" s="17"/>
      <c r="IF215" s="17"/>
      <c r="IG215" s="17"/>
      <c r="IH215" s="17"/>
      <c r="II215" s="17"/>
      <c r="IJ215" s="17"/>
      <c r="IK215" s="17"/>
      <c r="IL215" s="17"/>
      <c r="IM215" s="17"/>
      <c r="IN215" s="17"/>
      <c r="IO215" s="17"/>
      <c r="IP215" s="17"/>
      <c r="IQ215" s="17"/>
      <c r="IR215" s="17"/>
      <c r="IS215" s="17"/>
      <c r="IT215" s="17"/>
      <c r="IU215" s="17"/>
      <c r="IV215" s="17"/>
      <c r="IW215" s="17"/>
      <c r="IX215" s="17"/>
      <c r="IY215" s="17"/>
      <c r="IZ215" s="17"/>
      <c r="JA215" s="17"/>
      <c r="JB215" s="17"/>
      <c r="JC215" s="17"/>
      <c r="JD215" s="17"/>
      <c r="JE215" s="17"/>
      <c r="JF215" s="17"/>
      <c r="JG215" s="17"/>
      <c r="JH215" s="17"/>
      <c r="JI215" s="17"/>
      <c r="JJ215" s="17"/>
      <c r="JK215" s="17"/>
      <c r="JL215" s="17"/>
      <c r="JM215" s="17"/>
      <c r="JN215" s="17"/>
      <c r="JO215" s="17"/>
      <c r="JP215" s="17"/>
      <c r="JQ215" s="17"/>
      <c r="JR215" s="17"/>
      <c r="JS215" s="17"/>
      <c r="JT215" s="17"/>
      <c r="JU215" s="17"/>
      <c r="JV215" s="17"/>
      <c r="JW215" s="17"/>
      <c r="JX215" s="17"/>
      <c r="JY215" s="17"/>
      <c r="JZ215" s="17"/>
      <c r="KA215" s="17"/>
      <c r="KB215" s="17"/>
      <c r="KC215" s="17"/>
      <c r="KD215" s="17"/>
      <c r="KE215" s="17"/>
      <c r="KF215" s="17"/>
      <c r="KG215" s="17"/>
      <c r="KH215" s="17"/>
      <c r="KI215" s="17"/>
      <c r="KJ215" s="17"/>
      <c r="KK215" s="17"/>
      <c r="KL215" s="17"/>
      <c r="KM215" s="17"/>
      <c r="KN215" s="17"/>
      <c r="KO215" s="17"/>
      <c r="KP215" s="17"/>
      <c r="KQ215" s="17"/>
      <c r="KR215" s="17"/>
      <c r="KS215" s="17"/>
      <c r="KT215" s="17"/>
      <c r="KU215" s="17"/>
      <c r="KV215" s="17"/>
      <c r="KW215" s="17"/>
      <c r="KX215" s="17"/>
      <c r="KY215" s="17"/>
    </row>
    <row r="216" spans="1:311" x14ac:dyDescent="0.25">
      <c r="A216" s="17"/>
      <c r="B216" s="17"/>
      <c r="C216" s="17"/>
      <c r="D216" s="17"/>
      <c r="E216" s="17"/>
      <c r="F216" s="17"/>
      <c r="G216" s="17"/>
      <c r="H216" s="17"/>
      <c r="I216" s="17"/>
      <c r="J216" s="17"/>
      <c r="K216" s="17"/>
      <c r="L216" s="17"/>
      <c r="M216" s="17"/>
      <c r="N216" s="17"/>
      <c r="O216" s="17"/>
      <c r="P216" s="17"/>
      <c r="Q216" s="17"/>
      <c r="R216" s="17"/>
      <c r="S216" s="17"/>
      <c r="T216" s="17"/>
      <c r="U216" s="17"/>
      <c r="V216" s="17"/>
      <c r="W216" s="17"/>
      <c r="X216" s="17"/>
      <c r="Y216" s="17"/>
      <c r="Z216" s="17"/>
      <c r="AA216" s="17"/>
      <c r="AB216" s="17"/>
      <c r="AC216" s="17"/>
      <c r="AD216" s="17"/>
      <c r="AE216" s="17"/>
      <c r="AF216" s="17"/>
      <c r="AG216" s="17"/>
      <c r="AH216" s="17"/>
      <c r="AI216" s="17"/>
      <c r="AJ216" s="17"/>
      <c r="AK216" s="17"/>
      <c r="AL216" s="17"/>
      <c r="AM216" s="17"/>
      <c r="AN216" s="17"/>
      <c r="AO216" s="17"/>
      <c r="AP216" s="17"/>
      <c r="AQ216" s="17"/>
      <c r="AR216" s="17"/>
      <c r="AS216" s="17"/>
      <c r="AT216" s="17"/>
      <c r="AU216" s="17"/>
      <c r="AV216" s="17"/>
      <c r="AW216" s="17"/>
      <c r="AX216" s="17"/>
      <c r="AY216" s="17"/>
      <c r="AZ216" s="17"/>
      <c r="BA216" s="17"/>
      <c r="BB216" s="17"/>
      <c r="BC216" s="17"/>
      <c r="BD216" s="17"/>
      <c r="BE216" s="17"/>
      <c r="BF216" s="17"/>
      <c r="BG216" s="17"/>
      <c r="BH216" s="17"/>
      <c r="BI216" s="17"/>
      <c r="BJ216" s="17"/>
      <c r="BK216" s="17"/>
      <c r="BL216" s="17"/>
      <c r="BM216" s="17"/>
      <c r="BN216" s="17"/>
      <c r="BO216" s="17"/>
      <c r="BP216" s="17"/>
      <c r="BQ216" s="17"/>
      <c r="BR216" s="17"/>
      <c r="BS216" s="17"/>
      <c r="BT216" s="17"/>
      <c r="BU216" s="17"/>
      <c r="BV216" s="17"/>
      <c r="BW216" s="17"/>
      <c r="BX216" s="17"/>
      <c r="BY216" s="17"/>
      <c r="BZ216" s="17"/>
      <c r="CA216" s="17"/>
      <c r="CB216" s="17"/>
      <c r="CC216" s="17"/>
      <c r="CD216" s="17"/>
      <c r="CE216" s="17"/>
      <c r="CF216" s="17"/>
      <c r="CG216" s="17"/>
      <c r="CH216" s="17"/>
      <c r="CI216" s="17"/>
      <c r="CJ216" s="17"/>
      <c r="CK216" s="17"/>
      <c r="CL216" s="17"/>
      <c r="CM216" s="17"/>
      <c r="CN216" s="17"/>
      <c r="CO216" s="17"/>
      <c r="CP216" s="17"/>
      <c r="CQ216" s="17"/>
      <c r="CR216" s="17"/>
      <c r="CS216" s="17"/>
      <c r="CT216" s="17"/>
      <c r="CU216" s="17"/>
      <c r="CV216" s="17"/>
      <c r="CW216" s="17"/>
      <c r="CX216" s="17"/>
      <c r="CY216" s="17"/>
      <c r="CZ216" s="17"/>
      <c r="DA216" s="17"/>
      <c r="DB216" s="17"/>
      <c r="DC216" s="17"/>
      <c r="DD216" s="17"/>
      <c r="DE216" s="17"/>
      <c r="DF216" s="17"/>
      <c r="DG216" s="17"/>
      <c r="DH216" s="17"/>
      <c r="DI216" s="17"/>
      <c r="DJ216" s="17"/>
      <c r="DK216" s="17"/>
      <c r="DL216" s="17"/>
      <c r="DM216" s="17"/>
      <c r="DN216" s="17"/>
      <c r="DO216" s="17"/>
      <c r="DP216" s="17"/>
      <c r="DQ216" s="17"/>
      <c r="DR216" s="17"/>
      <c r="DS216" s="17"/>
      <c r="DT216" s="17"/>
      <c r="DU216" s="17"/>
      <c r="DV216" s="17"/>
      <c r="DW216" s="17"/>
      <c r="DX216" s="17"/>
      <c r="DY216" s="17"/>
      <c r="DZ216" s="17"/>
      <c r="EA216" s="17"/>
      <c r="EB216" s="17"/>
      <c r="EC216" s="17"/>
      <c r="ED216" s="17"/>
      <c r="EE216" s="17"/>
      <c r="EF216" s="17"/>
      <c r="EG216" s="17"/>
      <c r="EH216" s="17"/>
      <c r="EI216" s="17"/>
      <c r="EJ216" s="17"/>
      <c r="EK216" s="17"/>
      <c r="EL216" s="17"/>
      <c r="EM216" s="17"/>
      <c r="EN216" s="17"/>
      <c r="EO216" s="17"/>
      <c r="EP216" s="17"/>
      <c r="EQ216" s="17"/>
      <c r="ER216" s="17"/>
      <c r="ES216" s="17"/>
      <c r="ET216" s="17"/>
      <c r="EU216" s="17"/>
      <c r="EV216" s="17"/>
      <c r="EW216" s="17"/>
      <c r="EX216" s="17"/>
      <c r="EY216" s="17"/>
      <c r="EZ216" s="17"/>
      <c r="FA216" s="17"/>
      <c r="FB216" s="17"/>
      <c r="FC216" s="17"/>
      <c r="FD216" s="17"/>
      <c r="FE216" s="17"/>
      <c r="FF216" s="17"/>
      <c r="FG216" s="17"/>
      <c r="FH216" s="17"/>
      <c r="FI216" s="17"/>
      <c r="FJ216" s="17"/>
      <c r="FK216" s="17"/>
      <c r="FL216" s="17"/>
      <c r="FM216" s="17"/>
      <c r="FN216" s="17"/>
      <c r="FO216" s="17"/>
      <c r="FP216" s="17"/>
      <c r="FQ216" s="17"/>
      <c r="FR216" s="17"/>
      <c r="FS216" s="17"/>
      <c r="FT216" s="17"/>
      <c r="FU216" s="17"/>
      <c r="FV216" s="17"/>
      <c r="FW216" s="17"/>
      <c r="FX216" s="17"/>
      <c r="FY216" s="17"/>
      <c r="FZ216" s="17"/>
      <c r="GA216" s="17"/>
      <c r="GB216" s="17"/>
      <c r="GC216" s="17"/>
      <c r="GD216" s="17"/>
      <c r="GE216" s="17"/>
      <c r="GF216" s="17"/>
      <c r="GG216" s="17"/>
      <c r="GH216" s="17"/>
      <c r="GI216" s="17"/>
      <c r="GJ216" s="17"/>
      <c r="GK216" s="17"/>
      <c r="GL216" s="17"/>
      <c r="GM216" s="17"/>
      <c r="GN216" s="17"/>
      <c r="GO216" s="17"/>
      <c r="GP216" s="17"/>
      <c r="GQ216" s="17"/>
      <c r="GR216" s="17"/>
      <c r="GS216" s="17"/>
      <c r="GT216" s="17"/>
      <c r="GU216" s="17"/>
      <c r="GV216" s="17"/>
      <c r="GW216" s="17"/>
      <c r="GX216" s="17"/>
      <c r="GY216" s="17"/>
      <c r="GZ216" s="17"/>
      <c r="HA216" s="17"/>
      <c r="HB216" s="17"/>
      <c r="HC216" s="17"/>
      <c r="HD216" s="17"/>
      <c r="HE216" s="17"/>
      <c r="HF216" s="17"/>
      <c r="HG216" s="17"/>
      <c r="HH216" s="17"/>
      <c r="HI216" s="17"/>
      <c r="HJ216" s="17"/>
      <c r="HK216" s="17"/>
      <c r="HL216" s="17"/>
      <c r="HM216" s="17"/>
      <c r="HN216" s="17"/>
      <c r="HO216" s="17"/>
      <c r="HP216" s="17"/>
      <c r="HQ216" s="17"/>
      <c r="HR216" s="17"/>
      <c r="HS216" s="17"/>
      <c r="HT216" s="17"/>
      <c r="HU216" s="17"/>
      <c r="HV216" s="17"/>
      <c r="HW216" s="17"/>
      <c r="HX216" s="17"/>
      <c r="HY216" s="17"/>
      <c r="HZ216" s="17"/>
      <c r="IA216" s="17"/>
      <c r="IB216" s="17"/>
      <c r="IC216" s="17"/>
      <c r="ID216" s="17"/>
      <c r="IE216" s="17"/>
      <c r="IF216" s="17"/>
      <c r="IG216" s="17"/>
      <c r="IH216" s="17"/>
      <c r="II216" s="17"/>
      <c r="IJ216" s="17"/>
      <c r="IK216" s="17"/>
      <c r="IL216" s="17"/>
      <c r="IM216" s="17"/>
      <c r="IN216" s="17"/>
      <c r="IO216" s="17"/>
      <c r="IP216" s="17"/>
      <c r="IQ216" s="17"/>
      <c r="IR216" s="17"/>
      <c r="IS216" s="17"/>
      <c r="IT216" s="17"/>
      <c r="IU216" s="17"/>
      <c r="IV216" s="17"/>
      <c r="IW216" s="17"/>
      <c r="IX216" s="17"/>
      <c r="IY216" s="17"/>
      <c r="IZ216" s="17"/>
      <c r="JA216" s="17"/>
      <c r="JB216" s="17"/>
      <c r="JC216" s="17"/>
      <c r="JD216" s="17"/>
      <c r="JE216" s="17"/>
      <c r="JF216" s="17"/>
      <c r="JG216" s="17"/>
      <c r="JH216" s="17"/>
      <c r="JI216" s="17"/>
      <c r="JJ216" s="17"/>
      <c r="JK216" s="17"/>
      <c r="JL216" s="17"/>
      <c r="JM216" s="17"/>
      <c r="JN216" s="17"/>
      <c r="JO216" s="17"/>
      <c r="JP216" s="17"/>
      <c r="JQ216" s="17"/>
      <c r="JR216" s="17"/>
      <c r="JS216" s="17"/>
      <c r="JT216" s="17"/>
      <c r="JU216" s="17"/>
      <c r="JV216" s="17"/>
      <c r="JW216" s="17"/>
      <c r="JX216" s="17"/>
      <c r="JY216" s="17"/>
      <c r="JZ216" s="17"/>
      <c r="KA216" s="17"/>
      <c r="KB216" s="17"/>
      <c r="KC216" s="17"/>
      <c r="KD216" s="17"/>
      <c r="KE216" s="17"/>
      <c r="KF216" s="17"/>
      <c r="KG216" s="17"/>
      <c r="KH216" s="17"/>
      <c r="KI216" s="17"/>
      <c r="KJ216" s="17"/>
      <c r="KK216" s="17"/>
      <c r="KL216" s="17"/>
      <c r="KM216" s="17"/>
      <c r="KN216" s="17"/>
      <c r="KO216" s="17"/>
      <c r="KP216" s="17"/>
      <c r="KQ216" s="17"/>
      <c r="KR216" s="17"/>
      <c r="KS216" s="17"/>
      <c r="KT216" s="17"/>
      <c r="KU216" s="17"/>
      <c r="KV216" s="17"/>
      <c r="KW216" s="17"/>
      <c r="KX216" s="17"/>
      <c r="KY216" s="17"/>
    </row>
    <row r="217" spans="1:311" x14ac:dyDescent="0.25">
      <c r="A217" s="17"/>
      <c r="B217" s="17"/>
      <c r="C217" s="17"/>
      <c r="D217" s="17"/>
      <c r="E217" s="17"/>
      <c r="F217" s="17"/>
      <c r="G217" s="17"/>
      <c r="H217" s="17"/>
      <c r="I217" s="17"/>
      <c r="J217" s="17"/>
      <c r="K217" s="17"/>
      <c r="L217" s="17"/>
      <c r="M217" s="17"/>
      <c r="N217" s="17"/>
      <c r="O217" s="17"/>
      <c r="P217" s="17"/>
      <c r="Q217" s="17"/>
      <c r="R217" s="17"/>
      <c r="S217" s="17"/>
      <c r="T217" s="17"/>
      <c r="U217" s="17"/>
      <c r="V217" s="17"/>
      <c r="W217" s="17"/>
      <c r="X217" s="17"/>
      <c r="Y217" s="17"/>
      <c r="Z217" s="17"/>
      <c r="AA217" s="17"/>
      <c r="AB217" s="17"/>
      <c r="AC217" s="17"/>
      <c r="AD217" s="17"/>
      <c r="AE217" s="17"/>
      <c r="AF217" s="17"/>
      <c r="AG217" s="17"/>
      <c r="AH217" s="17"/>
      <c r="AI217" s="17"/>
      <c r="AJ217" s="17"/>
      <c r="AK217" s="17"/>
      <c r="AL217" s="17"/>
      <c r="AM217" s="17"/>
      <c r="AN217" s="17"/>
      <c r="AO217" s="17"/>
      <c r="AP217" s="17"/>
      <c r="AQ217" s="17"/>
      <c r="AR217" s="17"/>
      <c r="AS217" s="17"/>
      <c r="AT217" s="17"/>
      <c r="AU217" s="17"/>
      <c r="AV217" s="17"/>
      <c r="AW217" s="17"/>
      <c r="AX217" s="17"/>
      <c r="AY217" s="17"/>
      <c r="AZ217" s="17"/>
      <c r="BA217" s="17"/>
      <c r="BB217" s="17"/>
      <c r="BC217" s="17"/>
      <c r="BD217" s="17"/>
      <c r="BE217" s="17"/>
      <c r="BF217" s="17"/>
      <c r="BG217" s="17"/>
      <c r="BH217" s="17"/>
      <c r="BI217" s="17"/>
      <c r="BJ217" s="17"/>
      <c r="BK217" s="17"/>
      <c r="BL217" s="17"/>
      <c r="BM217" s="17"/>
      <c r="BN217" s="17"/>
      <c r="BO217" s="17"/>
      <c r="BP217" s="17"/>
      <c r="BQ217" s="17"/>
      <c r="BR217" s="17"/>
      <c r="BS217" s="17"/>
      <c r="BT217" s="17"/>
      <c r="BU217" s="17"/>
      <c r="BV217" s="17"/>
      <c r="BW217" s="17"/>
      <c r="BX217" s="17"/>
      <c r="BY217" s="17"/>
      <c r="BZ217" s="17"/>
      <c r="CA217" s="17"/>
      <c r="CB217" s="17"/>
      <c r="CC217" s="17"/>
      <c r="CD217" s="17"/>
      <c r="CE217" s="17"/>
      <c r="CF217" s="17"/>
      <c r="CG217" s="17"/>
      <c r="CH217" s="17"/>
      <c r="CI217" s="17"/>
      <c r="CJ217" s="17"/>
      <c r="CK217" s="17"/>
      <c r="CL217" s="17"/>
      <c r="CM217" s="17"/>
      <c r="CN217" s="17"/>
      <c r="CO217" s="17"/>
      <c r="CP217" s="17"/>
      <c r="CQ217" s="17"/>
      <c r="CR217" s="17"/>
      <c r="CS217" s="17"/>
      <c r="CT217" s="17"/>
      <c r="CU217" s="17"/>
      <c r="CV217" s="17"/>
      <c r="CW217" s="17"/>
      <c r="CX217" s="17"/>
      <c r="CY217" s="17"/>
      <c r="CZ217" s="17"/>
      <c r="DA217" s="17"/>
      <c r="DB217" s="17"/>
      <c r="DC217" s="17"/>
      <c r="DD217" s="17"/>
      <c r="DE217" s="17"/>
      <c r="DF217" s="17"/>
      <c r="DG217" s="17"/>
      <c r="DH217" s="17"/>
      <c r="DI217" s="17"/>
      <c r="DJ217" s="17"/>
      <c r="DK217" s="17"/>
      <c r="DL217" s="17"/>
      <c r="DM217" s="17"/>
      <c r="DN217" s="17"/>
      <c r="DO217" s="17"/>
      <c r="DP217" s="17"/>
      <c r="DQ217" s="17"/>
      <c r="DR217" s="17"/>
      <c r="DS217" s="17"/>
      <c r="DT217" s="17"/>
      <c r="DU217" s="17"/>
      <c r="DV217" s="17"/>
      <c r="DW217" s="17"/>
      <c r="DX217" s="17"/>
      <c r="DY217" s="17"/>
      <c r="DZ217" s="17"/>
      <c r="EA217" s="17"/>
      <c r="EB217" s="17"/>
      <c r="EC217" s="17"/>
      <c r="ED217" s="17"/>
      <c r="EE217" s="17"/>
      <c r="EF217" s="17"/>
      <c r="EG217" s="17"/>
      <c r="EH217" s="17"/>
      <c r="EI217" s="17"/>
      <c r="EJ217" s="17"/>
      <c r="EK217" s="17"/>
      <c r="EL217" s="17"/>
      <c r="EM217" s="17"/>
      <c r="EN217" s="17"/>
      <c r="EO217" s="17"/>
      <c r="EP217" s="17"/>
      <c r="EQ217" s="17"/>
      <c r="ER217" s="17"/>
      <c r="ES217" s="17"/>
      <c r="ET217" s="17"/>
      <c r="EU217" s="17"/>
      <c r="EV217" s="17"/>
      <c r="EW217" s="17"/>
      <c r="EX217" s="17"/>
      <c r="EY217" s="17"/>
      <c r="EZ217" s="17"/>
      <c r="FA217" s="17"/>
      <c r="FB217" s="17"/>
      <c r="FC217" s="17"/>
      <c r="FD217" s="17"/>
      <c r="FE217" s="17"/>
      <c r="FF217" s="17"/>
      <c r="FG217" s="17"/>
      <c r="FH217" s="17"/>
      <c r="FI217" s="17"/>
      <c r="FJ217" s="17"/>
      <c r="FK217" s="17"/>
      <c r="FL217" s="17"/>
      <c r="FM217" s="17"/>
      <c r="FN217" s="17"/>
      <c r="FO217" s="17"/>
      <c r="FP217" s="17"/>
      <c r="FQ217" s="17"/>
      <c r="FR217" s="17"/>
      <c r="FS217" s="17"/>
      <c r="FT217" s="17"/>
      <c r="FU217" s="17"/>
      <c r="FV217" s="17"/>
      <c r="FW217" s="17"/>
      <c r="FX217" s="17"/>
      <c r="FY217" s="17"/>
      <c r="FZ217" s="17"/>
      <c r="GA217" s="17"/>
      <c r="GB217" s="17"/>
      <c r="GC217" s="17"/>
      <c r="GD217" s="17"/>
      <c r="GE217" s="17"/>
      <c r="GF217" s="17"/>
      <c r="GG217" s="17"/>
      <c r="GH217" s="17"/>
      <c r="GI217" s="17"/>
      <c r="GJ217" s="17"/>
      <c r="GK217" s="17"/>
      <c r="GL217" s="17"/>
      <c r="GM217" s="17"/>
      <c r="GN217" s="17"/>
      <c r="GO217" s="17"/>
      <c r="GP217" s="17"/>
      <c r="GQ217" s="17"/>
      <c r="GR217" s="17"/>
      <c r="GS217" s="17"/>
      <c r="GT217" s="17"/>
      <c r="GU217" s="17"/>
      <c r="GV217" s="17"/>
      <c r="GW217" s="17"/>
      <c r="GX217" s="17"/>
      <c r="GY217" s="17"/>
      <c r="GZ217" s="17"/>
      <c r="HA217" s="17"/>
      <c r="HB217" s="17"/>
      <c r="HC217" s="17"/>
      <c r="HD217" s="17"/>
      <c r="HE217" s="17"/>
      <c r="HF217" s="17"/>
      <c r="HG217" s="17"/>
      <c r="HH217" s="17"/>
      <c r="HI217" s="17"/>
      <c r="HJ217" s="17"/>
      <c r="HK217" s="17"/>
      <c r="HL217" s="17"/>
      <c r="HM217" s="17"/>
      <c r="HN217" s="17"/>
      <c r="HO217" s="17"/>
      <c r="HP217" s="17"/>
      <c r="HQ217" s="17"/>
      <c r="HR217" s="17"/>
      <c r="HS217" s="17"/>
      <c r="HT217" s="17"/>
      <c r="HU217" s="17"/>
      <c r="HV217" s="17"/>
      <c r="HW217" s="17"/>
      <c r="HX217" s="17"/>
      <c r="HY217" s="17"/>
      <c r="HZ217" s="17"/>
      <c r="IA217" s="17"/>
      <c r="IB217" s="17"/>
      <c r="IC217" s="17"/>
      <c r="ID217" s="17"/>
      <c r="IE217" s="17"/>
      <c r="IF217" s="17"/>
      <c r="IG217" s="17"/>
      <c r="IH217" s="17"/>
      <c r="II217" s="17"/>
      <c r="IJ217" s="17"/>
      <c r="IK217" s="17"/>
      <c r="IL217" s="17"/>
      <c r="IM217" s="17"/>
      <c r="IN217" s="17"/>
      <c r="IO217" s="17"/>
      <c r="IP217" s="17"/>
      <c r="IQ217" s="17"/>
      <c r="IR217" s="17"/>
      <c r="IS217" s="17"/>
      <c r="IT217" s="17"/>
      <c r="IU217" s="17"/>
      <c r="IV217" s="17"/>
      <c r="IW217" s="17"/>
      <c r="IX217" s="17"/>
      <c r="IY217" s="17"/>
      <c r="IZ217" s="17"/>
      <c r="JA217" s="17"/>
      <c r="JB217" s="17"/>
      <c r="JC217" s="17"/>
      <c r="JD217" s="17"/>
      <c r="JE217" s="17"/>
      <c r="JF217" s="17"/>
      <c r="JG217" s="17"/>
      <c r="JH217" s="17"/>
      <c r="JI217" s="17"/>
      <c r="JJ217" s="17"/>
      <c r="JK217" s="17"/>
      <c r="JL217" s="17"/>
      <c r="JM217" s="17"/>
      <c r="JN217" s="17"/>
      <c r="JO217" s="17"/>
      <c r="JP217" s="17"/>
      <c r="JQ217" s="17"/>
      <c r="JR217" s="17"/>
      <c r="JS217" s="17"/>
      <c r="JT217" s="17"/>
      <c r="JU217" s="17"/>
      <c r="JV217" s="17"/>
      <c r="JW217" s="17"/>
      <c r="JX217" s="17"/>
      <c r="JY217" s="17"/>
      <c r="JZ217" s="17"/>
      <c r="KA217" s="17"/>
      <c r="KB217" s="17"/>
      <c r="KC217" s="17"/>
      <c r="KD217" s="17"/>
      <c r="KE217" s="17"/>
      <c r="KF217" s="17"/>
      <c r="KG217" s="17"/>
      <c r="KH217" s="17"/>
      <c r="KI217" s="17"/>
      <c r="KJ217" s="17"/>
      <c r="KK217" s="17"/>
      <c r="KL217" s="17"/>
      <c r="KM217" s="17"/>
      <c r="KN217" s="17"/>
      <c r="KO217" s="17"/>
      <c r="KP217" s="17"/>
      <c r="KQ217" s="17"/>
      <c r="KR217" s="17"/>
      <c r="KS217" s="17"/>
      <c r="KT217" s="17"/>
      <c r="KU217" s="17"/>
      <c r="KV217" s="17"/>
      <c r="KW217" s="17"/>
      <c r="KX217" s="17"/>
      <c r="KY217" s="17"/>
    </row>
    <row r="218" spans="1:311" x14ac:dyDescent="0.25">
      <c r="A218" s="17"/>
      <c r="B218" s="17"/>
      <c r="C218" s="17"/>
      <c r="D218" s="17"/>
      <c r="E218" s="17"/>
      <c r="F218" s="17"/>
      <c r="G218" s="17"/>
      <c r="H218" s="17"/>
      <c r="I218" s="17"/>
      <c r="J218" s="17"/>
      <c r="K218" s="17"/>
      <c r="L218" s="17"/>
      <c r="M218" s="17"/>
      <c r="N218" s="17"/>
      <c r="O218" s="17"/>
      <c r="P218" s="17"/>
      <c r="Q218" s="17"/>
      <c r="R218" s="17"/>
      <c r="S218" s="17"/>
      <c r="T218" s="17"/>
      <c r="U218" s="17"/>
      <c r="V218" s="17"/>
      <c r="W218" s="17"/>
      <c r="X218" s="17"/>
      <c r="Y218" s="17"/>
      <c r="Z218" s="17"/>
      <c r="AA218" s="17"/>
      <c r="AB218" s="17"/>
      <c r="AC218" s="17"/>
      <c r="AD218" s="17"/>
      <c r="AE218" s="17"/>
      <c r="AF218" s="17"/>
      <c r="AG218" s="17"/>
      <c r="AH218" s="17"/>
      <c r="AI218" s="17"/>
      <c r="AJ218" s="17"/>
      <c r="AK218" s="17"/>
      <c r="AL218" s="17"/>
      <c r="AM218" s="17"/>
      <c r="AN218" s="17"/>
      <c r="AO218" s="17"/>
      <c r="AP218" s="17"/>
      <c r="AQ218" s="17"/>
      <c r="AR218" s="17"/>
      <c r="AS218" s="17"/>
      <c r="AT218" s="17"/>
      <c r="AU218" s="17"/>
      <c r="AV218" s="17"/>
      <c r="AW218" s="17"/>
      <c r="AX218" s="17"/>
      <c r="AY218" s="17"/>
      <c r="AZ218" s="17"/>
      <c r="BA218" s="17"/>
      <c r="BB218" s="17"/>
      <c r="BC218" s="17"/>
      <c r="BD218" s="17"/>
      <c r="BE218" s="17"/>
      <c r="BF218" s="17"/>
      <c r="BG218" s="17"/>
      <c r="BH218" s="17"/>
      <c r="BI218" s="17"/>
      <c r="BJ218" s="17"/>
      <c r="BK218" s="17"/>
      <c r="BL218" s="17"/>
      <c r="BM218" s="17"/>
      <c r="BN218" s="17"/>
      <c r="BO218" s="17"/>
      <c r="BP218" s="17"/>
      <c r="BQ218" s="17"/>
      <c r="BR218" s="17"/>
      <c r="BS218" s="17"/>
      <c r="BT218" s="17"/>
      <c r="BU218" s="17"/>
      <c r="BV218" s="17"/>
      <c r="BW218" s="17"/>
      <c r="BX218" s="17"/>
      <c r="BY218" s="17"/>
      <c r="BZ218" s="17"/>
      <c r="CA218" s="17"/>
      <c r="CB218" s="17"/>
      <c r="CC218" s="17"/>
      <c r="CD218" s="17"/>
      <c r="CE218" s="17"/>
      <c r="CF218" s="17"/>
      <c r="CG218" s="17"/>
      <c r="CH218" s="17"/>
      <c r="CI218" s="17"/>
      <c r="CJ218" s="17"/>
      <c r="CK218" s="17"/>
      <c r="CL218" s="17"/>
      <c r="CM218" s="17"/>
      <c r="CN218" s="17"/>
      <c r="CO218" s="17"/>
      <c r="CP218" s="17"/>
      <c r="CQ218" s="17"/>
      <c r="CR218" s="17"/>
      <c r="CS218" s="17"/>
      <c r="CT218" s="17"/>
      <c r="CU218" s="17"/>
      <c r="CV218" s="17"/>
      <c r="CW218" s="17"/>
      <c r="CX218" s="17"/>
      <c r="CY218" s="17"/>
      <c r="CZ218" s="17"/>
      <c r="DA218" s="17"/>
      <c r="DB218" s="17"/>
      <c r="DC218" s="17"/>
      <c r="DD218" s="17"/>
      <c r="DE218" s="17"/>
      <c r="DF218" s="17"/>
      <c r="DG218" s="17"/>
      <c r="DH218" s="17"/>
      <c r="DI218" s="17"/>
      <c r="DJ218" s="17"/>
      <c r="DK218" s="17"/>
      <c r="DL218" s="17"/>
      <c r="DM218" s="17"/>
      <c r="DN218" s="17"/>
      <c r="DO218" s="17"/>
      <c r="DP218" s="17"/>
      <c r="DQ218" s="17"/>
      <c r="DR218" s="17"/>
      <c r="DS218" s="17"/>
      <c r="DT218" s="17"/>
      <c r="DU218" s="17"/>
      <c r="DV218" s="17"/>
      <c r="DW218" s="17"/>
      <c r="DX218" s="17"/>
      <c r="DY218" s="17"/>
      <c r="DZ218" s="17"/>
      <c r="EA218" s="17"/>
      <c r="EB218" s="17"/>
      <c r="EC218" s="17"/>
      <c r="ED218" s="17"/>
      <c r="EE218" s="17"/>
      <c r="EF218" s="17"/>
      <c r="EG218" s="17"/>
      <c r="EH218" s="17"/>
      <c r="EI218" s="17"/>
      <c r="EJ218" s="17"/>
      <c r="EK218" s="17"/>
      <c r="EL218" s="17"/>
      <c r="EM218" s="17"/>
      <c r="EN218" s="17"/>
      <c r="EO218" s="17"/>
      <c r="EP218" s="17"/>
      <c r="EQ218" s="17"/>
      <c r="ER218" s="17"/>
      <c r="ES218" s="17"/>
      <c r="ET218" s="17"/>
      <c r="EU218" s="17"/>
      <c r="EV218" s="17"/>
      <c r="EW218" s="17"/>
      <c r="EX218" s="17"/>
      <c r="EY218" s="17"/>
      <c r="EZ218" s="17"/>
      <c r="FA218" s="17"/>
      <c r="FB218" s="17"/>
      <c r="FC218" s="17"/>
      <c r="FD218" s="17"/>
      <c r="FE218" s="17"/>
      <c r="FF218" s="17"/>
      <c r="FG218" s="17"/>
      <c r="FH218" s="17"/>
      <c r="FI218" s="17"/>
      <c r="FJ218" s="17"/>
      <c r="FK218" s="17"/>
      <c r="FL218" s="17"/>
      <c r="FM218" s="17"/>
      <c r="FN218" s="17"/>
      <c r="FO218" s="17"/>
      <c r="FP218" s="17"/>
      <c r="FQ218" s="17"/>
      <c r="FR218" s="17"/>
      <c r="FS218" s="17"/>
      <c r="FT218" s="17"/>
      <c r="FU218" s="17"/>
      <c r="FV218" s="17"/>
      <c r="FW218" s="17"/>
      <c r="FX218" s="17"/>
      <c r="FY218" s="17"/>
      <c r="FZ218" s="17"/>
      <c r="GA218" s="17"/>
      <c r="GB218" s="17"/>
      <c r="GC218" s="17"/>
      <c r="GD218" s="17"/>
      <c r="GE218" s="17"/>
      <c r="GF218" s="17"/>
      <c r="GG218" s="17"/>
      <c r="GH218" s="17"/>
      <c r="GI218" s="17"/>
      <c r="GJ218" s="17"/>
      <c r="GK218" s="17"/>
      <c r="GL218" s="17"/>
      <c r="GM218" s="17"/>
      <c r="GN218" s="17"/>
      <c r="GO218" s="17"/>
      <c r="GP218" s="17"/>
      <c r="GQ218" s="17"/>
      <c r="GR218" s="17"/>
      <c r="GS218" s="17"/>
      <c r="GT218" s="17"/>
      <c r="GU218" s="17"/>
      <c r="GV218" s="17"/>
      <c r="GW218" s="17"/>
      <c r="GX218" s="17"/>
      <c r="GY218" s="17"/>
      <c r="GZ218" s="17"/>
      <c r="HA218" s="17"/>
      <c r="HB218" s="17"/>
      <c r="HC218" s="17"/>
      <c r="HD218" s="17"/>
      <c r="HE218" s="17"/>
      <c r="HF218" s="17"/>
      <c r="HG218" s="17"/>
      <c r="HH218" s="17"/>
      <c r="HI218" s="17"/>
      <c r="HJ218" s="17"/>
      <c r="HK218" s="17"/>
      <c r="HL218" s="17"/>
      <c r="HM218" s="17"/>
      <c r="HN218" s="17"/>
      <c r="HO218" s="17"/>
      <c r="HP218" s="17"/>
      <c r="HQ218" s="17"/>
      <c r="HR218" s="17"/>
      <c r="HS218" s="17"/>
      <c r="HT218" s="17"/>
      <c r="HU218" s="17"/>
      <c r="HV218" s="17"/>
      <c r="HW218" s="17"/>
      <c r="HX218" s="17"/>
      <c r="HY218" s="17"/>
      <c r="HZ218" s="17"/>
      <c r="IA218" s="17"/>
      <c r="IB218" s="17"/>
      <c r="IC218" s="17"/>
      <c r="ID218" s="17"/>
      <c r="IE218" s="17"/>
      <c r="IF218" s="17"/>
      <c r="IG218" s="17"/>
      <c r="IH218" s="17"/>
      <c r="II218" s="17"/>
      <c r="IJ218" s="17"/>
      <c r="IK218" s="17"/>
      <c r="IL218" s="17"/>
      <c r="IM218" s="17"/>
      <c r="IN218" s="17"/>
      <c r="IO218" s="17"/>
      <c r="IP218" s="17"/>
      <c r="IQ218" s="17"/>
      <c r="IR218" s="17"/>
      <c r="IS218" s="17"/>
      <c r="IT218" s="17"/>
      <c r="IU218" s="17"/>
      <c r="IV218" s="17"/>
      <c r="IW218" s="17"/>
      <c r="IX218" s="17"/>
      <c r="IY218" s="17"/>
      <c r="IZ218" s="17"/>
      <c r="JA218" s="17"/>
      <c r="JB218" s="17"/>
      <c r="JC218" s="17"/>
      <c r="JD218" s="17"/>
      <c r="JE218" s="17"/>
      <c r="JF218" s="17"/>
      <c r="JG218" s="17"/>
      <c r="JH218" s="17"/>
      <c r="JI218" s="17"/>
      <c r="JJ218" s="17"/>
      <c r="JK218" s="17"/>
      <c r="JL218" s="17"/>
      <c r="JM218" s="17"/>
      <c r="JN218" s="17"/>
      <c r="JO218" s="17"/>
      <c r="JP218" s="17"/>
      <c r="JQ218" s="17"/>
      <c r="JR218" s="17"/>
      <c r="JS218" s="17"/>
      <c r="JT218" s="17"/>
      <c r="JU218" s="17"/>
      <c r="JV218" s="17"/>
      <c r="JW218" s="17"/>
      <c r="JX218" s="17"/>
      <c r="JY218" s="17"/>
      <c r="JZ218" s="17"/>
      <c r="KA218" s="17"/>
      <c r="KB218" s="17"/>
      <c r="KC218" s="17"/>
      <c r="KD218" s="17"/>
      <c r="KE218" s="17"/>
      <c r="KF218" s="17"/>
      <c r="KG218" s="17"/>
      <c r="KH218" s="17"/>
      <c r="KI218" s="17"/>
      <c r="KJ218" s="17"/>
      <c r="KK218" s="17"/>
      <c r="KL218" s="17"/>
      <c r="KM218" s="17"/>
      <c r="KN218" s="17"/>
      <c r="KO218" s="17"/>
      <c r="KP218" s="17"/>
      <c r="KQ218" s="17"/>
      <c r="KR218" s="17"/>
      <c r="KS218" s="17"/>
      <c r="KT218" s="17"/>
      <c r="KU218" s="17"/>
      <c r="KV218" s="17"/>
      <c r="KW218" s="17"/>
      <c r="KX218" s="17"/>
      <c r="KY218" s="17"/>
    </row>
    <row r="219" spans="1:311" x14ac:dyDescent="0.25">
      <c r="A219" s="17"/>
      <c r="B219" s="17"/>
      <c r="C219" s="17"/>
      <c r="D219" s="17"/>
      <c r="E219" s="17"/>
      <c r="F219" s="17"/>
      <c r="G219" s="17"/>
      <c r="H219" s="17"/>
      <c r="I219" s="17"/>
      <c r="J219" s="17"/>
      <c r="K219" s="17"/>
      <c r="L219" s="17"/>
      <c r="M219" s="17"/>
      <c r="N219" s="17"/>
      <c r="O219" s="17"/>
      <c r="P219" s="17"/>
      <c r="Q219" s="17"/>
      <c r="R219" s="17"/>
      <c r="S219" s="17"/>
      <c r="T219" s="17"/>
      <c r="U219" s="17"/>
      <c r="V219" s="17"/>
      <c r="W219" s="17"/>
      <c r="X219" s="17"/>
      <c r="Y219" s="17"/>
      <c r="Z219" s="17"/>
      <c r="AA219" s="17"/>
      <c r="AB219" s="17"/>
      <c r="AC219" s="17"/>
      <c r="AD219" s="17"/>
      <c r="AE219" s="17"/>
      <c r="AF219" s="17"/>
      <c r="AG219" s="17"/>
      <c r="AH219" s="17"/>
      <c r="AI219" s="17"/>
      <c r="AJ219" s="17"/>
      <c r="AK219" s="17"/>
      <c r="AL219" s="17"/>
      <c r="AM219" s="17"/>
      <c r="AN219" s="17"/>
      <c r="AO219" s="17"/>
      <c r="AP219" s="17"/>
      <c r="AQ219" s="17"/>
      <c r="AR219" s="17"/>
      <c r="AS219" s="17"/>
      <c r="AT219" s="17"/>
      <c r="AU219" s="17"/>
      <c r="AV219" s="17"/>
      <c r="AW219" s="17"/>
      <c r="AX219" s="17"/>
      <c r="AY219" s="17"/>
      <c r="AZ219" s="17"/>
      <c r="BA219" s="17"/>
      <c r="BB219" s="17"/>
      <c r="BC219" s="17"/>
      <c r="BD219" s="17"/>
      <c r="BE219" s="17"/>
      <c r="BF219" s="17"/>
      <c r="BG219" s="17"/>
      <c r="BH219" s="17"/>
      <c r="BI219" s="17"/>
      <c r="BJ219" s="17"/>
      <c r="BK219" s="17"/>
      <c r="BL219" s="17"/>
      <c r="BM219" s="17"/>
      <c r="BN219" s="17"/>
      <c r="BO219" s="17"/>
      <c r="BP219" s="17"/>
      <c r="BQ219" s="17"/>
      <c r="BR219" s="17"/>
      <c r="BS219" s="17"/>
      <c r="BT219" s="17"/>
      <c r="BU219" s="17"/>
      <c r="BV219" s="17"/>
      <c r="BW219" s="17"/>
      <c r="BX219" s="17"/>
      <c r="BY219" s="17"/>
      <c r="BZ219" s="17"/>
      <c r="CA219" s="17"/>
      <c r="CB219" s="17"/>
      <c r="CC219" s="17"/>
      <c r="CD219" s="17"/>
      <c r="CE219" s="17"/>
      <c r="CF219" s="17"/>
      <c r="CG219" s="17"/>
      <c r="CH219" s="17"/>
      <c r="CI219" s="17"/>
      <c r="CJ219" s="17"/>
      <c r="CK219" s="17"/>
      <c r="CL219" s="17"/>
      <c r="CM219" s="17"/>
      <c r="CN219" s="17"/>
      <c r="CO219" s="17"/>
      <c r="CP219" s="17"/>
      <c r="CQ219" s="17"/>
      <c r="CR219" s="17"/>
      <c r="CS219" s="17"/>
      <c r="CT219" s="17"/>
      <c r="CU219" s="17"/>
      <c r="CV219" s="17"/>
      <c r="CW219" s="17"/>
      <c r="CX219" s="17"/>
      <c r="CY219" s="17"/>
      <c r="CZ219" s="17"/>
      <c r="DA219" s="17"/>
      <c r="DB219" s="17"/>
      <c r="DC219" s="17"/>
      <c r="DD219" s="17"/>
      <c r="DE219" s="17"/>
      <c r="DF219" s="17"/>
      <c r="DG219" s="17"/>
      <c r="DH219" s="17"/>
      <c r="DI219" s="17"/>
      <c r="DJ219" s="17"/>
      <c r="DK219" s="17"/>
      <c r="DL219" s="17"/>
      <c r="DM219" s="17"/>
      <c r="DN219" s="17"/>
      <c r="DO219" s="17"/>
      <c r="DP219" s="17"/>
      <c r="DQ219" s="17"/>
      <c r="DR219" s="17"/>
      <c r="DS219" s="17"/>
      <c r="DT219" s="17"/>
      <c r="DU219" s="17"/>
      <c r="DV219" s="17"/>
      <c r="DW219" s="17"/>
      <c r="DX219" s="17"/>
      <c r="DY219" s="17"/>
      <c r="DZ219" s="17"/>
      <c r="EA219" s="17"/>
      <c r="EB219" s="17"/>
      <c r="EC219" s="17"/>
      <c r="ED219" s="17"/>
      <c r="EE219" s="17"/>
      <c r="EF219" s="17"/>
      <c r="EG219" s="17"/>
      <c r="EH219" s="17"/>
      <c r="EI219" s="17"/>
      <c r="EJ219" s="17"/>
      <c r="EK219" s="17"/>
      <c r="EL219" s="17"/>
      <c r="EM219" s="17"/>
      <c r="EN219" s="17"/>
      <c r="EO219" s="17"/>
      <c r="EP219" s="17"/>
      <c r="EQ219" s="17"/>
      <c r="ER219" s="17"/>
      <c r="ES219" s="17"/>
      <c r="ET219" s="17"/>
      <c r="EU219" s="17"/>
      <c r="EV219" s="17"/>
      <c r="EW219" s="17"/>
      <c r="EX219" s="17"/>
      <c r="EY219" s="17"/>
      <c r="EZ219" s="17"/>
      <c r="FA219" s="17"/>
      <c r="FB219" s="17"/>
      <c r="FC219" s="17"/>
      <c r="FD219" s="17"/>
      <c r="FE219" s="17"/>
      <c r="FF219" s="17"/>
      <c r="FG219" s="17"/>
      <c r="FH219" s="17"/>
      <c r="FI219" s="17"/>
      <c r="FJ219" s="17"/>
      <c r="FK219" s="17"/>
      <c r="FL219" s="17"/>
      <c r="FM219" s="17"/>
      <c r="FN219" s="17"/>
      <c r="FO219" s="17"/>
      <c r="FP219" s="17"/>
      <c r="FQ219" s="17"/>
      <c r="FR219" s="17"/>
      <c r="FS219" s="17"/>
      <c r="FT219" s="17"/>
      <c r="FU219" s="17"/>
      <c r="FV219" s="17"/>
      <c r="FW219" s="17"/>
      <c r="FX219" s="17"/>
      <c r="FY219" s="17"/>
      <c r="FZ219" s="17"/>
      <c r="GA219" s="17"/>
      <c r="GB219" s="17"/>
      <c r="GC219" s="17"/>
      <c r="GD219" s="17"/>
      <c r="GE219" s="17"/>
      <c r="GF219" s="17"/>
      <c r="GG219" s="17"/>
      <c r="GH219" s="17"/>
      <c r="GI219" s="17"/>
      <c r="GJ219" s="17"/>
      <c r="GK219" s="17"/>
      <c r="GL219" s="17"/>
      <c r="GM219" s="17"/>
      <c r="GN219" s="17"/>
      <c r="GO219" s="17"/>
      <c r="GP219" s="17"/>
      <c r="GQ219" s="17"/>
      <c r="GR219" s="17"/>
      <c r="GS219" s="17"/>
      <c r="GT219" s="17"/>
      <c r="GU219" s="17"/>
      <c r="GV219" s="17"/>
      <c r="GW219" s="17"/>
      <c r="GX219" s="17"/>
      <c r="GY219" s="17"/>
      <c r="GZ219" s="17"/>
      <c r="HA219" s="17"/>
      <c r="HB219" s="17"/>
      <c r="HC219" s="17"/>
      <c r="HD219" s="17"/>
      <c r="HE219" s="17"/>
      <c r="HF219" s="17"/>
      <c r="HG219" s="17"/>
      <c r="HH219" s="17"/>
      <c r="HI219" s="17"/>
      <c r="HJ219" s="17"/>
      <c r="HK219" s="17"/>
      <c r="HL219" s="17"/>
      <c r="HM219" s="17"/>
      <c r="HN219" s="17"/>
      <c r="HO219" s="17"/>
      <c r="HP219" s="17"/>
      <c r="HQ219" s="17"/>
      <c r="HR219" s="17"/>
      <c r="HS219" s="17"/>
      <c r="HT219" s="17"/>
      <c r="HU219" s="17"/>
      <c r="HV219" s="17"/>
      <c r="HW219" s="17"/>
      <c r="HX219" s="17"/>
      <c r="HY219" s="17"/>
      <c r="HZ219" s="17"/>
      <c r="IA219" s="17"/>
      <c r="IB219" s="17"/>
      <c r="IC219" s="17"/>
      <c r="ID219" s="17"/>
      <c r="IE219" s="17"/>
      <c r="IF219" s="17"/>
      <c r="IG219" s="17"/>
      <c r="IH219" s="17"/>
      <c r="II219" s="17"/>
      <c r="IJ219" s="17"/>
      <c r="IK219" s="17"/>
      <c r="IL219" s="17"/>
      <c r="IM219" s="17"/>
      <c r="IN219" s="17"/>
      <c r="IO219" s="17"/>
      <c r="IP219" s="17"/>
      <c r="IQ219" s="17"/>
      <c r="IR219" s="17"/>
      <c r="IS219" s="17"/>
      <c r="IT219" s="17"/>
      <c r="IU219" s="17"/>
      <c r="IV219" s="17"/>
      <c r="IW219" s="17"/>
      <c r="IX219" s="17"/>
      <c r="IY219" s="17"/>
      <c r="IZ219" s="17"/>
      <c r="JA219" s="17"/>
      <c r="JB219" s="17"/>
      <c r="JC219" s="17"/>
      <c r="JD219" s="17"/>
      <c r="JE219" s="17"/>
      <c r="JF219" s="17"/>
      <c r="JG219" s="17"/>
      <c r="JH219" s="17"/>
      <c r="JI219" s="17"/>
      <c r="JJ219" s="17"/>
      <c r="JK219" s="17"/>
      <c r="JL219" s="17"/>
      <c r="JM219" s="17"/>
      <c r="JN219" s="17"/>
      <c r="JO219" s="17"/>
      <c r="JP219" s="17"/>
      <c r="JQ219" s="17"/>
      <c r="JR219" s="17"/>
      <c r="JS219" s="17"/>
      <c r="JT219" s="17"/>
      <c r="JU219" s="17"/>
      <c r="JV219" s="17"/>
      <c r="JW219" s="17"/>
      <c r="JX219" s="17"/>
      <c r="JY219" s="17"/>
      <c r="JZ219" s="17"/>
      <c r="KA219" s="17"/>
      <c r="KB219" s="17"/>
      <c r="KC219" s="17"/>
      <c r="KD219" s="17"/>
      <c r="KE219" s="17"/>
      <c r="KF219" s="17"/>
      <c r="KG219" s="17"/>
      <c r="KH219" s="17"/>
      <c r="KI219" s="17"/>
      <c r="KJ219" s="17"/>
      <c r="KK219" s="17"/>
      <c r="KL219" s="17"/>
      <c r="KM219" s="17"/>
      <c r="KN219" s="17"/>
      <c r="KO219" s="17"/>
      <c r="KP219" s="17"/>
      <c r="KQ219" s="17"/>
      <c r="KR219" s="17"/>
      <c r="KS219" s="17"/>
      <c r="KT219" s="17"/>
      <c r="KU219" s="17"/>
      <c r="KV219" s="17"/>
      <c r="KW219" s="17"/>
      <c r="KX219" s="17"/>
      <c r="KY219" s="17"/>
    </row>
    <row r="220" spans="1:311" x14ac:dyDescent="0.25">
      <c r="A220" s="17"/>
      <c r="B220" s="17"/>
      <c r="C220" s="17"/>
      <c r="D220" s="17"/>
      <c r="E220" s="17"/>
      <c r="F220" s="17"/>
      <c r="G220" s="17"/>
      <c r="H220" s="17"/>
      <c r="I220" s="17"/>
      <c r="J220" s="17"/>
      <c r="K220" s="17"/>
      <c r="L220" s="17"/>
      <c r="M220" s="17"/>
      <c r="N220" s="17"/>
      <c r="O220" s="17"/>
      <c r="P220" s="17"/>
      <c r="Q220" s="17"/>
      <c r="R220" s="17"/>
      <c r="S220" s="17"/>
      <c r="T220" s="17"/>
      <c r="U220" s="17"/>
      <c r="V220" s="17"/>
      <c r="W220" s="17"/>
      <c r="X220" s="17"/>
      <c r="Y220" s="17"/>
      <c r="Z220" s="17"/>
      <c r="AA220" s="17"/>
      <c r="AB220" s="17"/>
      <c r="AC220" s="17"/>
      <c r="AD220" s="17"/>
      <c r="AE220" s="17"/>
      <c r="AF220" s="17"/>
      <c r="AG220" s="17"/>
      <c r="AH220" s="17"/>
      <c r="AI220" s="17"/>
      <c r="AJ220" s="17"/>
      <c r="AK220" s="17"/>
      <c r="AL220" s="17"/>
      <c r="AM220" s="17"/>
      <c r="AN220" s="17"/>
      <c r="AO220" s="17"/>
      <c r="AP220" s="17"/>
      <c r="AQ220" s="17"/>
      <c r="AR220" s="17"/>
      <c r="AS220" s="17"/>
      <c r="AT220" s="17"/>
      <c r="AU220" s="17"/>
      <c r="AV220" s="17"/>
      <c r="AW220" s="17"/>
      <c r="AX220" s="17"/>
      <c r="AY220" s="17"/>
      <c r="AZ220" s="17"/>
      <c r="BA220" s="17"/>
      <c r="BB220" s="17"/>
      <c r="BC220" s="17"/>
      <c r="BD220" s="17"/>
      <c r="BE220" s="17"/>
      <c r="BF220" s="17"/>
      <c r="BG220" s="17"/>
      <c r="BH220" s="17"/>
      <c r="BI220" s="17"/>
      <c r="BJ220" s="17"/>
      <c r="BK220" s="17"/>
      <c r="BL220" s="17"/>
      <c r="BM220" s="17"/>
      <c r="BN220" s="17"/>
      <c r="BO220" s="17"/>
      <c r="BP220" s="17"/>
      <c r="BQ220" s="17"/>
      <c r="BR220" s="17"/>
      <c r="BS220" s="17"/>
      <c r="BT220" s="17"/>
      <c r="BU220" s="17"/>
      <c r="BV220" s="17"/>
      <c r="BW220" s="17"/>
      <c r="BX220" s="17"/>
      <c r="BY220" s="17"/>
      <c r="BZ220" s="17"/>
      <c r="CA220" s="17"/>
      <c r="CB220" s="17"/>
      <c r="CC220" s="17"/>
      <c r="CD220" s="17"/>
      <c r="CE220" s="17"/>
      <c r="CF220" s="17"/>
      <c r="CG220" s="17"/>
      <c r="CH220" s="17"/>
      <c r="CI220" s="17"/>
      <c r="CJ220" s="17"/>
      <c r="CK220" s="17"/>
      <c r="CL220" s="17"/>
      <c r="CM220" s="17"/>
      <c r="CN220" s="17"/>
      <c r="CO220" s="17"/>
      <c r="CP220" s="17"/>
      <c r="CQ220" s="17"/>
      <c r="CR220" s="17"/>
      <c r="CS220" s="17"/>
      <c r="CT220" s="17"/>
      <c r="CU220" s="17"/>
      <c r="CV220" s="17"/>
      <c r="CW220" s="17"/>
      <c r="CX220" s="17"/>
      <c r="CY220" s="17"/>
      <c r="CZ220" s="17"/>
      <c r="DA220" s="17"/>
      <c r="DB220" s="17"/>
      <c r="DC220" s="17"/>
      <c r="DD220" s="17"/>
      <c r="DE220" s="17"/>
      <c r="DF220" s="17"/>
      <c r="DG220" s="17"/>
      <c r="DH220" s="17"/>
      <c r="DI220" s="17"/>
      <c r="DJ220" s="17"/>
      <c r="DK220" s="17"/>
      <c r="DL220" s="17"/>
      <c r="DM220" s="17"/>
      <c r="DN220" s="17"/>
      <c r="DO220" s="17"/>
      <c r="DP220" s="17"/>
      <c r="DQ220" s="17"/>
      <c r="DR220" s="17"/>
      <c r="DS220" s="17"/>
      <c r="DT220" s="17"/>
      <c r="DU220" s="17"/>
      <c r="DV220" s="17"/>
      <c r="DW220" s="17"/>
      <c r="DX220" s="17"/>
      <c r="DY220" s="17"/>
      <c r="DZ220" s="17"/>
      <c r="EA220" s="17"/>
      <c r="EB220" s="17"/>
      <c r="EC220" s="17"/>
      <c r="ED220" s="17"/>
      <c r="EE220" s="17"/>
      <c r="EF220" s="17"/>
      <c r="EG220" s="17"/>
      <c r="EH220" s="17"/>
      <c r="EI220" s="17"/>
      <c r="EJ220" s="17"/>
      <c r="EK220" s="17"/>
      <c r="EL220" s="17"/>
      <c r="EM220" s="17"/>
      <c r="EN220" s="17"/>
      <c r="EO220" s="17"/>
      <c r="EP220" s="17"/>
      <c r="EQ220" s="17"/>
      <c r="ER220" s="17"/>
      <c r="ES220" s="17"/>
      <c r="ET220" s="17"/>
      <c r="EU220" s="17"/>
      <c r="EV220" s="17"/>
      <c r="EW220" s="17"/>
      <c r="EX220" s="17"/>
      <c r="EY220" s="17"/>
      <c r="EZ220" s="17"/>
      <c r="FA220" s="17"/>
      <c r="FB220" s="17"/>
      <c r="FC220" s="17"/>
      <c r="FD220" s="17"/>
      <c r="FE220" s="17"/>
      <c r="FF220" s="17"/>
      <c r="FG220" s="17"/>
      <c r="FH220" s="17"/>
      <c r="FI220" s="17"/>
      <c r="FJ220" s="17"/>
      <c r="FK220" s="17"/>
      <c r="FL220" s="17"/>
      <c r="FM220" s="17"/>
      <c r="FN220" s="17"/>
      <c r="FO220" s="17"/>
      <c r="FP220" s="17"/>
      <c r="FQ220" s="17"/>
      <c r="FR220" s="17"/>
      <c r="FS220" s="17"/>
      <c r="FT220" s="17"/>
      <c r="FU220" s="17"/>
      <c r="FV220" s="17"/>
      <c r="FW220" s="17"/>
      <c r="FX220" s="17"/>
      <c r="FY220" s="17"/>
      <c r="FZ220" s="17"/>
      <c r="GA220" s="17"/>
      <c r="GB220" s="17"/>
      <c r="GC220" s="17"/>
      <c r="GD220" s="17"/>
      <c r="GE220" s="17"/>
      <c r="GF220" s="17"/>
      <c r="GG220" s="17"/>
      <c r="GH220" s="17"/>
      <c r="GI220" s="17"/>
      <c r="GJ220" s="17"/>
      <c r="GK220" s="17"/>
      <c r="GL220" s="17"/>
      <c r="GM220" s="17"/>
      <c r="GN220" s="17"/>
      <c r="GO220" s="17"/>
      <c r="GP220" s="17"/>
      <c r="GQ220" s="17"/>
      <c r="GR220" s="17"/>
      <c r="GS220" s="17"/>
      <c r="GT220" s="17"/>
      <c r="GU220" s="17"/>
      <c r="GV220" s="17"/>
      <c r="GW220" s="17"/>
      <c r="GX220" s="17"/>
      <c r="GY220" s="17"/>
      <c r="GZ220" s="17"/>
      <c r="HA220" s="17"/>
      <c r="HB220" s="17"/>
      <c r="HC220" s="17"/>
      <c r="HD220" s="17"/>
      <c r="HE220" s="17"/>
      <c r="HF220" s="17"/>
      <c r="HG220" s="17"/>
      <c r="HH220" s="17"/>
      <c r="HI220" s="17"/>
      <c r="HJ220" s="17"/>
      <c r="HK220" s="17"/>
      <c r="HL220" s="17"/>
      <c r="HM220" s="17"/>
      <c r="HN220" s="17"/>
      <c r="HO220" s="17"/>
      <c r="HP220" s="17"/>
      <c r="HQ220" s="17"/>
      <c r="HR220" s="17"/>
      <c r="HS220" s="17"/>
      <c r="HT220" s="17"/>
      <c r="HU220" s="17"/>
      <c r="HV220" s="17"/>
      <c r="HW220" s="17"/>
      <c r="HX220" s="17"/>
      <c r="HY220" s="17"/>
      <c r="HZ220" s="17"/>
      <c r="IA220" s="17"/>
      <c r="IB220" s="17"/>
      <c r="IC220" s="17"/>
      <c r="ID220" s="17"/>
      <c r="IE220" s="17"/>
      <c r="IF220" s="17"/>
      <c r="IG220" s="17"/>
      <c r="IH220" s="17"/>
      <c r="II220" s="17"/>
      <c r="IJ220" s="17"/>
      <c r="IK220" s="17"/>
      <c r="IL220" s="17"/>
      <c r="IM220" s="17"/>
      <c r="IN220" s="17"/>
      <c r="IO220" s="17"/>
      <c r="IP220" s="17"/>
      <c r="IQ220" s="17"/>
      <c r="IR220" s="17"/>
      <c r="IS220" s="17"/>
      <c r="IT220" s="17"/>
      <c r="IU220" s="17"/>
      <c r="IV220" s="17"/>
      <c r="IW220" s="17"/>
      <c r="IX220" s="17"/>
      <c r="IY220" s="17"/>
      <c r="IZ220" s="17"/>
      <c r="JA220" s="17"/>
      <c r="JB220" s="17"/>
      <c r="JC220" s="17"/>
      <c r="JD220" s="17"/>
      <c r="JE220" s="17"/>
      <c r="JF220" s="17"/>
      <c r="JG220" s="17"/>
      <c r="JH220" s="17"/>
      <c r="JI220" s="17"/>
      <c r="JJ220" s="17"/>
      <c r="JK220" s="17"/>
      <c r="JL220" s="17"/>
      <c r="JM220" s="17"/>
      <c r="JN220" s="17"/>
      <c r="JO220" s="17"/>
      <c r="JP220" s="17"/>
      <c r="JQ220" s="17"/>
      <c r="JR220" s="17"/>
      <c r="JS220" s="17"/>
      <c r="JT220" s="17"/>
      <c r="JU220" s="17"/>
      <c r="JV220" s="17"/>
      <c r="JW220" s="17"/>
      <c r="JX220" s="17"/>
      <c r="JY220" s="17"/>
      <c r="JZ220" s="17"/>
      <c r="KA220" s="17"/>
      <c r="KB220" s="17"/>
      <c r="KC220" s="17"/>
      <c r="KD220" s="17"/>
      <c r="KE220" s="17"/>
      <c r="KF220" s="17"/>
      <c r="KG220" s="17"/>
      <c r="KH220" s="17"/>
      <c r="KI220" s="17"/>
      <c r="KJ220" s="17"/>
      <c r="KK220" s="17"/>
      <c r="KL220" s="17"/>
      <c r="KM220" s="17"/>
      <c r="KN220" s="17"/>
      <c r="KO220" s="17"/>
      <c r="KP220" s="17"/>
      <c r="KQ220" s="17"/>
      <c r="KR220" s="17"/>
      <c r="KS220" s="17"/>
      <c r="KT220" s="17"/>
      <c r="KU220" s="17"/>
      <c r="KV220" s="17"/>
      <c r="KW220" s="17"/>
      <c r="KX220" s="17"/>
      <c r="KY220" s="17"/>
    </row>
    <row r="221" spans="1:311" x14ac:dyDescent="0.25">
      <c r="A221" s="17"/>
      <c r="B221" s="17"/>
      <c r="C221" s="17"/>
      <c r="D221" s="17"/>
      <c r="E221" s="17"/>
      <c r="F221" s="17"/>
      <c r="G221" s="17"/>
      <c r="H221" s="17"/>
      <c r="I221" s="17"/>
      <c r="J221" s="17"/>
      <c r="K221" s="17"/>
      <c r="L221" s="17"/>
      <c r="M221" s="17"/>
      <c r="N221" s="17"/>
      <c r="O221" s="17"/>
      <c r="P221" s="17"/>
      <c r="Q221" s="17"/>
      <c r="R221" s="17"/>
      <c r="S221" s="17"/>
      <c r="T221" s="17"/>
      <c r="U221" s="17"/>
      <c r="V221" s="17"/>
      <c r="W221" s="17"/>
      <c r="X221" s="17"/>
      <c r="Y221" s="17"/>
      <c r="Z221" s="17"/>
      <c r="AA221" s="17"/>
      <c r="AB221" s="17"/>
      <c r="AC221" s="17"/>
      <c r="AD221" s="17"/>
      <c r="AE221" s="17"/>
      <c r="AF221" s="17"/>
      <c r="AG221" s="17"/>
      <c r="AH221" s="17"/>
      <c r="AI221" s="17"/>
      <c r="AJ221" s="17"/>
      <c r="AK221" s="17"/>
      <c r="AL221" s="17"/>
      <c r="AM221" s="17"/>
      <c r="AN221" s="17"/>
      <c r="AO221" s="17"/>
      <c r="AP221" s="17"/>
      <c r="AQ221" s="17"/>
      <c r="AR221" s="17"/>
      <c r="AS221" s="17"/>
      <c r="AT221" s="17"/>
      <c r="AU221" s="17"/>
      <c r="AV221" s="17"/>
      <c r="AW221" s="17"/>
      <c r="AX221" s="17"/>
      <c r="AY221" s="17"/>
      <c r="AZ221" s="17"/>
      <c r="BA221" s="17"/>
      <c r="BB221" s="17"/>
      <c r="BC221" s="17"/>
      <c r="BD221" s="17"/>
      <c r="BE221" s="17"/>
      <c r="BF221" s="17"/>
      <c r="BG221" s="17"/>
      <c r="BH221" s="17"/>
      <c r="BI221" s="17"/>
      <c r="BJ221" s="17"/>
      <c r="BK221" s="17"/>
      <c r="BL221" s="17"/>
      <c r="BM221" s="17"/>
      <c r="BN221" s="17"/>
      <c r="BO221" s="17"/>
      <c r="BP221" s="17"/>
      <c r="BQ221" s="17"/>
      <c r="BR221" s="17"/>
      <c r="BS221" s="17"/>
      <c r="BT221" s="17"/>
      <c r="BU221" s="17"/>
      <c r="BV221" s="17"/>
      <c r="BW221" s="17"/>
      <c r="BX221" s="17"/>
      <c r="BY221" s="17"/>
      <c r="BZ221" s="17"/>
      <c r="CA221" s="17"/>
      <c r="CB221" s="17"/>
      <c r="CC221" s="17"/>
      <c r="CD221" s="17"/>
      <c r="CE221" s="17"/>
      <c r="CF221" s="17"/>
      <c r="CG221" s="17"/>
      <c r="CH221" s="17"/>
      <c r="CI221" s="17"/>
      <c r="CJ221" s="17"/>
      <c r="CK221" s="17"/>
      <c r="CL221" s="17"/>
      <c r="CM221" s="17"/>
      <c r="CN221" s="17"/>
      <c r="CO221" s="17"/>
      <c r="CP221" s="17"/>
      <c r="CQ221" s="17"/>
      <c r="CR221" s="17"/>
      <c r="CS221" s="17"/>
      <c r="CT221" s="17"/>
      <c r="CU221" s="17"/>
      <c r="CV221" s="17"/>
      <c r="CW221" s="17"/>
      <c r="CX221" s="17"/>
      <c r="CY221" s="17"/>
      <c r="CZ221" s="17"/>
      <c r="DA221" s="17"/>
      <c r="DB221" s="17"/>
      <c r="DC221" s="17"/>
      <c r="DD221" s="17"/>
      <c r="DE221" s="17"/>
      <c r="DF221" s="17"/>
      <c r="DG221" s="17"/>
      <c r="DH221" s="17"/>
      <c r="DI221" s="17"/>
      <c r="DJ221" s="17"/>
      <c r="DK221" s="17"/>
      <c r="DL221" s="17"/>
      <c r="DM221" s="17"/>
      <c r="DN221" s="17"/>
      <c r="DO221" s="17"/>
      <c r="DP221" s="17"/>
      <c r="DQ221" s="17"/>
      <c r="DR221" s="17"/>
      <c r="DS221" s="17"/>
      <c r="DT221" s="17"/>
      <c r="DU221" s="17"/>
      <c r="DV221" s="17"/>
      <c r="DW221" s="17"/>
      <c r="DX221" s="17"/>
      <c r="DY221" s="17"/>
      <c r="DZ221" s="17"/>
      <c r="EA221" s="17"/>
      <c r="EB221" s="17"/>
      <c r="EC221" s="17"/>
      <c r="ED221" s="17"/>
      <c r="EE221" s="17"/>
      <c r="EF221" s="17"/>
      <c r="EG221" s="17"/>
      <c r="EH221" s="17"/>
      <c r="EI221" s="17"/>
      <c r="EJ221" s="17"/>
      <c r="EK221" s="17"/>
      <c r="EL221" s="17"/>
      <c r="EM221" s="17"/>
      <c r="EN221" s="17"/>
      <c r="EO221" s="17"/>
      <c r="EP221" s="17"/>
      <c r="EQ221" s="17"/>
      <c r="ER221" s="17"/>
      <c r="ES221" s="17"/>
      <c r="ET221" s="17"/>
      <c r="EU221" s="17"/>
      <c r="EV221" s="17"/>
      <c r="EW221" s="17"/>
      <c r="EX221" s="17"/>
      <c r="EY221" s="17"/>
      <c r="EZ221" s="17"/>
      <c r="FA221" s="17"/>
      <c r="FB221" s="17"/>
      <c r="FC221" s="17"/>
      <c r="FD221" s="17"/>
      <c r="FE221" s="17"/>
      <c r="FF221" s="17"/>
      <c r="FG221" s="17"/>
      <c r="FH221" s="17"/>
      <c r="FI221" s="17"/>
      <c r="FJ221" s="17"/>
      <c r="FK221" s="17"/>
      <c r="FL221" s="17"/>
      <c r="FM221" s="17"/>
      <c r="FN221" s="17"/>
      <c r="FO221" s="17"/>
      <c r="FP221" s="17"/>
      <c r="FQ221" s="17"/>
      <c r="FR221" s="17"/>
      <c r="FS221" s="17"/>
      <c r="FT221" s="17"/>
      <c r="FU221" s="17"/>
      <c r="FV221" s="17"/>
      <c r="FW221" s="17"/>
      <c r="FX221" s="17"/>
      <c r="FY221" s="17"/>
      <c r="FZ221" s="17"/>
      <c r="GA221" s="17"/>
      <c r="GB221" s="17"/>
      <c r="GC221" s="17"/>
      <c r="GD221" s="17"/>
      <c r="GE221" s="17"/>
      <c r="GF221" s="17"/>
      <c r="GG221" s="17"/>
      <c r="GH221" s="17"/>
      <c r="GI221" s="17"/>
      <c r="GJ221" s="17"/>
      <c r="GK221" s="17"/>
      <c r="GL221" s="17"/>
      <c r="GM221" s="17"/>
      <c r="GN221" s="17"/>
      <c r="GO221" s="17"/>
      <c r="GP221" s="17"/>
      <c r="GQ221" s="17"/>
      <c r="GR221" s="17"/>
      <c r="GS221" s="17"/>
      <c r="GT221" s="17"/>
      <c r="GU221" s="17"/>
      <c r="GV221" s="17"/>
      <c r="GW221" s="17"/>
      <c r="GX221" s="17"/>
      <c r="GY221" s="17"/>
      <c r="GZ221" s="17"/>
      <c r="HA221" s="17"/>
      <c r="HB221" s="17"/>
      <c r="HC221" s="17"/>
      <c r="HD221" s="17"/>
      <c r="HE221" s="17"/>
      <c r="HF221" s="17"/>
      <c r="HG221" s="17"/>
      <c r="HH221" s="17"/>
      <c r="HI221" s="17"/>
      <c r="HJ221" s="17"/>
      <c r="HK221" s="17"/>
      <c r="HL221" s="17"/>
      <c r="HM221" s="17"/>
      <c r="HN221" s="17"/>
      <c r="HO221" s="17"/>
      <c r="HP221" s="17"/>
      <c r="HQ221" s="17"/>
      <c r="HR221" s="17"/>
      <c r="HS221" s="17"/>
      <c r="HT221" s="17"/>
      <c r="HU221" s="17"/>
      <c r="HV221" s="17"/>
      <c r="HW221" s="17"/>
      <c r="HX221" s="17"/>
      <c r="HY221" s="17"/>
      <c r="HZ221" s="17"/>
      <c r="IA221" s="17"/>
      <c r="IB221" s="17"/>
      <c r="IC221" s="17"/>
      <c r="ID221" s="17"/>
      <c r="IE221" s="17"/>
      <c r="IF221" s="17"/>
      <c r="IG221" s="17"/>
      <c r="IH221" s="17"/>
      <c r="II221" s="17"/>
      <c r="IJ221" s="17"/>
      <c r="IK221" s="17"/>
      <c r="IL221" s="17"/>
      <c r="IM221" s="17"/>
      <c r="IN221" s="17"/>
      <c r="IO221" s="17"/>
      <c r="IP221" s="17"/>
      <c r="IQ221" s="17"/>
      <c r="IR221" s="17"/>
      <c r="IS221" s="17"/>
      <c r="IT221" s="17"/>
      <c r="IU221" s="17"/>
      <c r="IV221" s="17"/>
      <c r="IW221" s="17"/>
      <c r="IX221" s="17"/>
      <c r="IY221" s="17"/>
      <c r="IZ221" s="17"/>
      <c r="JA221" s="17"/>
      <c r="JB221" s="17"/>
      <c r="JC221" s="17"/>
      <c r="JD221" s="17"/>
      <c r="JE221" s="17"/>
      <c r="JF221" s="17"/>
      <c r="JG221" s="17"/>
      <c r="JH221" s="17"/>
      <c r="JI221" s="17"/>
      <c r="JJ221" s="17"/>
      <c r="JK221" s="17"/>
      <c r="JL221" s="17"/>
      <c r="JM221" s="17"/>
      <c r="JN221" s="17"/>
      <c r="JO221" s="17"/>
      <c r="JP221" s="17"/>
      <c r="JQ221" s="17"/>
      <c r="JR221" s="17"/>
      <c r="JS221" s="17"/>
      <c r="JT221" s="17"/>
      <c r="JU221" s="17"/>
      <c r="JV221" s="17"/>
      <c r="JW221" s="17"/>
      <c r="JX221" s="17"/>
      <c r="JY221" s="17"/>
      <c r="JZ221" s="17"/>
      <c r="KA221" s="17"/>
      <c r="KB221" s="17"/>
      <c r="KC221" s="17"/>
      <c r="KD221" s="17"/>
      <c r="KE221" s="17"/>
      <c r="KF221" s="17"/>
      <c r="KG221" s="17"/>
      <c r="KH221" s="17"/>
      <c r="KI221" s="17"/>
      <c r="KJ221" s="17"/>
      <c r="KK221" s="17"/>
      <c r="KL221" s="17"/>
      <c r="KM221" s="17"/>
      <c r="KN221" s="17"/>
      <c r="KO221" s="17"/>
      <c r="KP221" s="17"/>
      <c r="KQ221" s="17"/>
      <c r="KR221" s="17"/>
      <c r="KS221" s="17"/>
      <c r="KT221" s="17"/>
      <c r="KU221" s="17"/>
      <c r="KV221" s="17"/>
      <c r="KW221" s="17"/>
      <c r="KX221" s="17"/>
      <c r="KY221" s="17"/>
    </row>
    <row r="222" spans="1:311" x14ac:dyDescent="0.25">
      <c r="A222" s="17"/>
      <c r="B222" s="17"/>
      <c r="C222" s="17"/>
      <c r="D222" s="17"/>
      <c r="E222" s="17"/>
      <c r="F222" s="17"/>
      <c r="G222" s="17"/>
      <c r="H222" s="17"/>
      <c r="I222" s="17"/>
      <c r="J222" s="17"/>
      <c r="K222" s="17"/>
      <c r="L222" s="17"/>
      <c r="M222" s="17"/>
      <c r="N222" s="17"/>
      <c r="O222" s="17"/>
      <c r="P222" s="17"/>
      <c r="Q222" s="17"/>
      <c r="R222" s="17"/>
      <c r="S222" s="17"/>
      <c r="T222" s="17"/>
      <c r="U222" s="17"/>
      <c r="V222" s="17"/>
      <c r="W222" s="17"/>
      <c r="X222" s="17"/>
      <c r="Y222" s="17"/>
      <c r="Z222" s="17"/>
      <c r="AA222" s="17"/>
      <c r="AB222" s="17"/>
      <c r="AC222" s="17"/>
      <c r="AD222" s="17"/>
      <c r="AE222" s="17"/>
      <c r="AF222" s="17"/>
      <c r="AG222" s="17"/>
      <c r="AH222" s="17"/>
      <c r="AI222" s="17"/>
      <c r="AJ222" s="17"/>
      <c r="AK222" s="17"/>
      <c r="AL222" s="17"/>
      <c r="AM222" s="17"/>
      <c r="AN222" s="17"/>
      <c r="AO222" s="17"/>
      <c r="AP222" s="17"/>
      <c r="AQ222" s="17"/>
      <c r="AR222" s="17"/>
      <c r="AS222" s="17"/>
      <c r="AT222" s="17"/>
      <c r="AU222" s="17"/>
      <c r="AV222" s="17"/>
      <c r="AW222" s="17"/>
      <c r="AX222" s="17"/>
      <c r="AY222" s="17"/>
      <c r="AZ222" s="17"/>
      <c r="BA222" s="17"/>
      <c r="BB222" s="17"/>
      <c r="BC222" s="17"/>
      <c r="BD222" s="17"/>
      <c r="BE222" s="17"/>
      <c r="BF222" s="17"/>
      <c r="BG222" s="17"/>
      <c r="BH222" s="17"/>
      <c r="BI222" s="17"/>
      <c r="BJ222" s="17"/>
      <c r="BK222" s="17"/>
      <c r="BL222" s="17"/>
      <c r="BM222" s="17"/>
      <c r="BN222" s="17"/>
      <c r="BO222" s="17"/>
      <c r="BP222" s="17"/>
      <c r="BQ222" s="17"/>
      <c r="BR222" s="17"/>
      <c r="BS222" s="17"/>
      <c r="BT222" s="17"/>
      <c r="BU222" s="17"/>
      <c r="BV222" s="17"/>
      <c r="BW222" s="17"/>
      <c r="BX222" s="17"/>
      <c r="BY222" s="17"/>
      <c r="BZ222" s="17"/>
      <c r="CA222" s="17"/>
      <c r="CB222" s="17"/>
      <c r="CC222" s="17"/>
      <c r="CD222" s="17"/>
      <c r="CE222" s="17"/>
      <c r="CF222" s="17"/>
      <c r="CG222" s="17"/>
      <c r="CH222" s="17"/>
      <c r="CI222" s="17"/>
      <c r="CJ222" s="17"/>
      <c r="CK222" s="17"/>
      <c r="CL222" s="17"/>
      <c r="CM222" s="17"/>
      <c r="CN222" s="17"/>
      <c r="CO222" s="17"/>
      <c r="CP222" s="17"/>
      <c r="CQ222" s="17"/>
      <c r="CR222" s="17"/>
      <c r="CS222" s="17"/>
      <c r="CT222" s="17"/>
      <c r="CU222" s="17"/>
      <c r="CV222" s="17"/>
      <c r="CW222" s="17"/>
      <c r="CX222" s="17"/>
      <c r="CY222" s="17"/>
      <c r="CZ222" s="17"/>
      <c r="DA222" s="17"/>
      <c r="DB222" s="17"/>
      <c r="DC222" s="17"/>
      <c r="DD222" s="17"/>
      <c r="DE222" s="17"/>
      <c r="DF222" s="17"/>
      <c r="DG222" s="17"/>
      <c r="DH222" s="17"/>
      <c r="DI222" s="17"/>
      <c r="DJ222" s="17"/>
      <c r="DK222" s="17"/>
      <c r="DL222" s="17"/>
      <c r="DM222" s="17"/>
      <c r="DN222" s="17"/>
      <c r="DO222" s="17"/>
      <c r="DP222" s="17"/>
      <c r="DQ222" s="17"/>
      <c r="DR222" s="17"/>
      <c r="DS222" s="17"/>
      <c r="DT222" s="17"/>
      <c r="DU222" s="17"/>
      <c r="DV222" s="17"/>
      <c r="DW222" s="17"/>
      <c r="DX222" s="17"/>
      <c r="DY222" s="17"/>
      <c r="DZ222" s="17"/>
      <c r="EA222" s="17"/>
      <c r="EB222" s="17"/>
      <c r="EC222" s="17"/>
      <c r="ED222" s="17"/>
      <c r="EE222" s="17"/>
      <c r="EF222" s="17"/>
      <c r="EG222" s="17"/>
      <c r="EH222" s="17"/>
      <c r="EI222" s="17"/>
      <c r="EJ222" s="17"/>
      <c r="EK222" s="17"/>
      <c r="EL222" s="17"/>
      <c r="EM222" s="17"/>
      <c r="EN222" s="17"/>
      <c r="EO222" s="17"/>
      <c r="EP222" s="17"/>
      <c r="EQ222" s="17"/>
      <c r="ER222" s="17"/>
      <c r="ES222" s="17"/>
      <c r="ET222" s="17"/>
      <c r="EU222" s="17"/>
      <c r="EV222" s="17"/>
      <c r="EW222" s="17"/>
      <c r="EX222" s="17"/>
      <c r="EY222" s="17"/>
      <c r="EZ222" s="17"/>
      <c r="FA222" s="17"/>
      <c r="FB222" s="17"/>
      <c r="FC222" s="17"/>
      <c r="FD222" s="17"/>
      <c r="FE222" s="17"/>
      <c r="FF222" s="17"/>
      <c r="FG222" s="17"/>
      <c r="FH222" s="17"/>
      <c r="FI222" s="17"/>
      <c r="FJ222" s="17"/>
      <c r="FK222" s="17"/>
      <c r="FL222" s="17"/>
      <c r="FM222" s="17"/>
      <c r="FN222" s="17"/>
      <c r="FO222" s="17"/>
      <c r="FP222" s="17"/>
      <c r="FQ222" s="17"/>
      <c r="FR222" s="17"/>
      <c r="FS222" s="17"/>
      <c r="FT222" s="17"/>
      <c r="FU222" s="17"/>
      <c r="FV222" s="17"/>
      <c r="FW222" s="17"/>
      <c r="FX222" s="17"/>
      <c r="FY222" s="17"/>
      <c r="FZ222" s="17"/>
      <c r="GA222" s="17"/>
      <c r="GB222" s="17"/>
      <c r="GC222" s="17"/>
      <c r="GD222" s="17"/>
      <c r="GE222" s="17"/>
      <c r="GF222" s="17"/>
      <c r="GG222" s="17"/>
      <c r="GH222" s="17"/>
      <c r="GI222" s="17"/>
      <c r="GJ222" s="17"/>
      <c r="GK222" s="17"/>
      <c r="GL222" s="17"/>
      <c r="GM222" s="17"/>
      <c r="GN222" s="17"/>
      <c r="GO222" s="17"/>
      <c r="GP222" s="17"/>
      <c r="GQ222" s="17"/>
      <c r="GR222" s="17"/>
      <c r="GS222" s="17"/>
      <c r="GT222" s="17"/>
      <c r="GU222" s="17"/>
      <c r="GV222" s="17"/>
      <c r="GW222" s="17"/>
      <c r="GX222" s="17"/>
      <c r="GY222" s="17"/>
      <c r="GZ222" s="17"/>
      <c r="HA222" s="17"/>
      <c r="HB222" s="17"/>
      <c r="HC222" s="17"/>
      <c r="HD222" s="17"/>
      <c r="HE222" s="17"/>
      <c r="HF222" s="17"/>
      <c r="HG222" s="17"/>
      <c r="HH222" s="17"/>
      <c r="HI222" s="17"/>
      <c r="HJ222" s="17"/>
      <c r="HK222" s="17"/>
      <c r="HL222" s="17"/>
      <c r="HM222" s="17"/>
      <c r="HN222" s="17"/>
      <c r="HO222" s="17"/>
      <c r="HP222" s="17"/>
      <c r="HQ222" s="17"/>
      <c r="HR222" s="17"/>
      <c r="HS222" s="17"/>
      <c r="HT222" s="17"/>
      <c r="HU222" s="17"/>
      <c r="HV222" s="17"/>
      <c r="HW222" s="17"/>
      <c r="HX222" s="17"/>
      <c r="HY222" s="17"/>
      <c r="HZ222" s="17"/>
      <c r="IA222" s="17"/>
      <c r="IB222" s="17"/>
      <c r="IC222" s="17"/>
      <c r="ID222" s="17"/>
      <c r="IE222" s="17"/>
      <c r="IF222" s="17"/>
      <c r="IG222" s="17"/>
      <c r="IH222" s="17"/>
      <c r="II222" s="17"/>
      <c r="IJ222" s="17"/>
      <c r="IK222" s="17"/>
      <c r="IL222" s="17"/>
      <c r="IM222" s="17"/>
      <c r="IN222" s="17"/>
      <c r="IO222" s="17"/>
      <c r="IP222" s="17"/>
      <c r="IQ222" s="17"/>
      <c r="IR222" s="17"/>
      <c r="IS222" s="17"/>
      <c r="IT222" s="17"/>
      <c r="IU222" s="17"/>
      <c r="IV222" s="17"/>
      <c r="IW222" s="17"/>
      <c r="IX222" s="17"/>
      <c r="IY222" s="17"/>
      <c r="IZ222" s="17"/>
      <c r="JA222" s="17"/>
      <c r="JB222" s="17"/>
      <c r="JC222" s="17"/>
      <c r="JD222" s="17"/>
      <c r="JE222" s="17"/>
      <c r="JF222" s="17"/>
      <c r="JG222" s="17"/>
      <c r="JH222" s="17"/>
      <c r="JI222" s="17"/>
      <c r="JJ222" s="17"/>
      <c r="JK222" s="17"/>
      <c r="JL222" s="17"/>
      <c r="JM222" s="17"/>
      <c r="JN222" s="17"/>
      <c r="JO222" s="17"/>
      <c r="JP222" s="17"/>
      <c r="JQ222" s="17"/>
      <c r="JR222" s="17"/>
      <c r="JS222" s="17"/>
      <c r="JT222" s="17"/>
      <c r="JU222" s="17"/>
      <c r="JV222" s="17"/>
      <c r="JW222" s="17"/>
      <c r="JX222" s="17"/>
      <c r="JY222" s="17"/>
      <c r="JZ222" s="17"/>
      <c r="KA222" s="17"/>
      <c r="KB222" s="17"/>
      <c r="KC222" s="17"/>
      <c r="KD222" s="17"/>
      <c r="KE222" s="17"/>
      <c r="KF222" s="17"/>
      <c r="KG222" s="17"/>
      <c r="KH222" s="17"/>
      <c r="KI222" s="17"/>
      <c r="KJ222" s="17"/>
      <c r="KK222" s="17"/>
      <c r="KL222" s="17"/>
      <c r="KM222" s="17"/>
      <c r="KN222" s="17"/>
      <c r="KO222" s="17"/>
      <c r="KP222" s="17"/>
      <c r="KQ222" s="17"/>
      <c r="KR222" s="17"/>
      <c r="KS222" s="17"/>
      <c r="KT222" s="17"/>
      <c r="KU222" s="17"/>
      <c r="KV222" s="17"/>
      <c r="KW222" s="17"/>
      <c r="KX222" s="17"/>
      <c r="KY222" s="17"/>
    </row>
    <row r="223" spans="1:311" x14ac:dyDescent="0.25">
      <c r="A223" s="17"/>
      <c r="B223" s="17"/>
      <c r="C223" s="17"/>
      <c r="D223" s="17"/>
      <c r="E223" s="17"/>
      <c r="F223" s="17"/>
      <c r="G223" s="17"/>
      <c r="H223" s="17"/>
      <c r="I223" s="17"/>
      <c r="J223" s="17"/>
      <c r="K223" s="17"/>
      <c r="L223" s="17"/>
      <c r="M223" s="17"/>
      <c r="N223" s="17"/>
      <c r="O223" s="17"/>
      <c r="P223" s="17"/>
      <c r="Q223" s="17"/>
      <c r="R223" s="17"/>
      <c r="S223" s="17"/>
      <c r="T223" s="17"/>
      <c r="U223" s="17"/>
      <c r="V223" s="17"/>
      <c r="W223" s="17"/>
      <c r="X223" s="17"/>
      <c r="Y223" s="17"/>
      <c r="Z223" s="17"/>
      <c r="AA223" s="17"/>
      <c r="AB223" s="17"/>
      <c r="AC223" s="17"/>
      <c r="AD223" s="17"/>
      <c r="AE223" s="17"/>
      <c r="AF223" s="17"/>
      <c r="AG223" s="17"/>
      <c r="AH223" s="17"/>
      <c r="AI223" s="17"/>
      <c r="AJ223" s="17"/>
      <c r="AK223" s="17"/>
      <c r="AL223" s="17"/>
      <c r="AM223" s="17"/>
      <c r="AN223" s="17"/>
      <c r="AO223" s="17"/>
      <c r="AP223" s="17"/>
      <c r="AQ223" s="17"/>
      <c r="AR223" s="17"/>
      <c r="AS223" s="17"/>
      <c r="AT223" s="17"/>
      <c r="AU223" s="17"/>
      <c r="AV223" s="17"/>
      <c r="AW223" s="17"/>
      <c r="AX223" s="17"/>
      <c r="AY223" s="17"/>
      <c r="AZ223" s="17"/>
      <c r="BA223" s="17"/>
      <c r="BB223" s="17"/>
      <c r="BC223" s="17"/>
      <c r="BD223" s="17"/>
      <c r="BE223" s="17"/>
      <c r="BF223" s="17"/>
      <c r="BG223" s="17"/>
      <c r="BH223" s="17"/>
      <c r="BI223" s="17"/>
      <c r="BJ223" s="17"/>
      <c r="BK223" s="17"/>
      <c r="BL223" s="17"/>
      <c r="BM223" s="17"/>
      <c r="BN223" s="17"/>
      <c r="BO223" s="17"/>
      <c r="BP223" s="17"/>
      <c r="BQ223" s="17"/>
      <c r="BR223" s="17"/>
      <c r="BS223" s="17"/>
      <c r="BT223" s="17"/>
      <c r="BU223" s="17"/>
      <c r="BV223" s="17"/>
      <c r="BW223" s="17"/>
      <c r="BX223" s="17"/>
      <c r="BY223" s="17"/>
      <c r="BZ223" s="17"/>
      <c r="CA223" s="17"/>
      <c r="CB223" s="17"/>
      <c r="CC223" s="17"/>
      <c r="CD223" s="17"/>
      <c r="CE223" s="17"/>
      <c r="CF223" s="17"/>
      <c r="CG223" s="17"/>
      <c r="CH223" s="17"/>
      <c r="CI223" s="17"/>
      <c r="CJ223" s="17"/>
      <c r="CK223" s="17"/>
      <c r="CL223" s="17"/>
      <c r="CM223" s="17"/>
      <c r="CN223" s="17"/>
      <c r="CO223" s="17"/>
      <c r="CP223" s="17"/>
      <c r="CQ223" s="17"/>
      <c r="CR223" s="17"/>
      <c r="CS223" s="17"/>
      <c r="CT223" s="17"/>
      <c r="CU223" s="17"/>
      <c r="CV223" s="17"/>
      <c r="CW223" s="17"/>
      <c r="CX223" s="17"/>
      <c r="CY223" s="17"/>
      <c r="CZ223" s="17"/>
      <c r="DA223" s="17"/>
      <c r="DB223" s="17"/>
      <c r="DC223" s="17"/>
      <c r="DD223" s="17"/>
      <c r="DE223" s="17"/>
      <c r="DF223" s="17"/>
      <c r="DG223" s="17"/>
      <c r="DH223" s="17"/>
      <c r="DI223" s="17"/>
      <c r="DJ223" s="17"/>
      <c r="DK223" s="17"/>
      <c r="DL223" s="17"/>
      <c r="DM223" s="17"/>
      <c r="DN223" s="17"/>
      <c r="DO223" s="17"/>
      <c r="DP223" s="17"/>
      <c r="DQ223" s="17"/>
      <c r="DR223" s="17"/>
      <c r="DS223" s="17"/>
      <c r="DT223" s="17"/>
      <c r="DU223" s="17"/>
      <c r="DV223" s="17"/>
      <c r="DW223" s="17"/>
      <c r="DX223" s="17"/>
      <c r="DY223" s="17"/>
      <c r="DZ223" s="17"/>
      <c r="EA223" s="17"/>
      <c r="EB223" s="17"/>
      <c r="EC223" s="17"/>
      <c r="ED223" s="17"/>
      <c r="EE223" s="17"/>
      <c r="EF223" s="17"/>
      <c r="EG223" s="17"/>
      <c r="EH223" s="17"/>
      <c r="EI223" s="17"/>
      <c r="EJ223" s="17"/>
      <c r="EK223" s="17"/>
      <c r="EL223" s="17"/>
      <c r="EM223" s="17"/>
      <c r="EN223" s="17"/>
      <c r="EO223" s="17"/>
      <c r="EP223" s="17"/>
      <c r="EQ223" s="17"/>
      <c r="ER223" s="17"/>
      <c r="ES223" s="17"/>
      <c r="ET223" s="17"/>
      <c r="EU223" s="17"/>
      <c r="EV223" s="17"/>
      <c r="EW223" s="17"/>
      <c r="EX223" s="17"/>
      <c r="EY223" s="17"/>
      <c r="EZ223" s="17"/>
      <c r="FA223" s="17"/>
      <c r="FB223" s="17"/>
      <c r="FC223" s="17"/>
      <c r="FD223" s="17"/>
      <c r="FE223" s="17"/>
      <c r="FF223" s="17"/>
      <c r="FG223" s="17"/>
      <c r="FH223" s="17"/>
      <c r="FI223" s="17"/>
      <c r="FJ223" s="17"/>
      <c r="FK223" s="17"/>
      <c r="FL223" s="17"/>
      <c r="FM223" s="17"/>
      <c r="FN223" s="17"/>
      <c r="FO223" s="17"/>
      <c r="FP223" s="17"/>
      <c r="FQ223" s="17"/>
      <c r="FR223" s="17"/>
      <c r="FS223" s="17"/>
      <c r="FT223" s="17"/>
      <c r="FU223" s="17"/>
      <c r="FV223" s="17"/>
      <c r="FW223" s="17"/>
      <c r="FX223" s="17"/>
      <c r="FY223" s="17"/>
      <c r="FZ223" s="17"/>
      <c r="GA223" s="17"/>
      <c r="GB223" s="17"/>
      <c r="GC223" s="17"/>
      <c r="GD223" s="17"/>
      <c r="GE223" s="17"/>
      <c r="GF223" s="17"/>
      <c r="GG223" s="17"/>
      <c r="GH223" s="17"/>
      <c r="GI223" s="17"/>
      <c r="GJ223" s="17"/>
      <c r="GK223" s="17"/>
      <c r="GL223" s="17"/>
      <c r="GM223" s="17"/>
      <c r="GN223" s="17"/>
      <c r="GO223" s="17"/>
      <c r="GP223" s="17"/>
      <c r="GQ223" s="17"/>
      <c r="GR223" s="17"/>
      <c r="GS223" s="17"/>
      <c r="GT223" s="17"/>
      <c r="GU223" s="17"/>
      <c r="GV223" s="17"/>
      <c r="GW223" s="17"/>
      <c r="GX223" s="17"/>
      <c r="GY223" s="17"/>
      <c r="GZ223" s="17"/>
      <c r="HA223" s="17"/>
      <c r="HB223" s="17"/>
      <c r="HC223" s="17"/>
      <c r="HD223" s="17"/>
      <c r="HE223" s="17"/>
      <c r="HF223" s="17"/>
      <c r="HG223" s="17"/>
      <c r="HH223" s="17"/>
      <c r="HI223" s="17"/>
      <c r="HJ223" s="17"/>
      <c r="HK223" s="17"/>
      <c r="HL223" s="17"/>
      <c r="HM223" s="17"/>
      <c r="HN223" s="17"/>
      <c r="HO223" s="17"/>
      <c r="HP223" s="17"/>
      <c r="HQ223" s="17"/>
      <c r="HR223" s="17"/>
      <c r="HS223" s="17"/>
      <c r="HT223" s="17"/>
      <c r="HU223" s="17"/>
      <c r="HV223" s="17"/>
      <c r="HW223" s="17"/>
      <c r="HX223" s="17"/>
      <c r="HY223" s="17"/>
      <c r="HZ223" s="17"/>
      <c r="IA223" s="17"/>
      <c r="IB223" s="17"/>
      <c r="IC223" s="17"/>
      <c r="ID223" s="17"/>
      <c r="IE223" s="17"/>
      <c r="IF223" s="17"/>
      <c r="IG223" s="17"/>
      <c r="IH223" s="17"/>
      <c r="II223" s="17"/>
      <c r="IJ223" s="17"/>
      <c r="IK223" s="17"/>
      <c r="IL223" s="17"/>
      <c r="IM223" s="17"/>
      <c r="IN223" s="17"/>
      <c r="IO223" s="17"/>
      <c r="IP223" s="17"/>
      <c r="IQ223" s="17"/>
      <c r="IR223" s="17"/>
      <c r="IS223" s="17"/>
      <c r="IT223" s="17"/>
      <c r="IU223" s="17"/>
      <c r="IV223" s="17"/>
      <c r="IW223" s="17"/>
      <c r="IX223" s="17"/>
      <c r="IY223" s="17"/>
      <c r="IZ223" s="17"/>
      <c r="JA223" s="17"/>
      <c r="JB223" s="17"/>
      <c r="JC223" s="17"/>
      <c r="JD223" s="17"/>
      <c r="JE223" s="17"/>
      <c r="JF223" s="17"/>
      <c r="JG223" s="17"/>
      <c r="JH223" s="17"/>
      <c r="JI223" s="17"/>
      <c r="JJ223" s="17"/>
      <c r="JK223" s="17"/>
      <c r="JL223" s="17"/>
      <c r="JM223" s="17"/>
      <c r="JN223" s="17"/>
      <c r="JO223" s="17"/>
      <c r="JP223" s="17"/>
      <c r="JQ223" s="17"/>
      <c r="JR223" s="17"/>
      <c r="JS223" s="17"/>
      <c r="JT223" s="17"/>
      <c r="JU223" s="17"/>
      <c r="JV223" s="17"/>
      <c r="JW223" s="17"/>
      <c r="JX223" s="17"/>
      <c r="JY223" s="17"/>
      <c r="JZ223" s="17"/>
      <c r="KA223" s="17"/>
      <c r="KB223" s="17"/>
      <c r="KC223" s="17"/>
      <c r="KD223" s="17"/>
      <c r="KE223" s="17"/>
      <c r="KF223" s="17"/>
      <c r="KG223" s="17"/>
      <c r="KH223" s="17"/>
      <c r="KI223" s="17"/>
      <c r="KJ223" s="17"/>
      <c r="KK223" s="17"/>
      <c r="KL223" s="17"/>
      <c r="KM223" s="17"/>
      <c r="KN223" s="17"/>
      <c r="KO223" s="17"/>
      <c r="KP223" s="17"/>
      <c r="KQ223" s="17"/>
      <c r="KR223" s="17"/>
      <c r="KS223" s="17"/>
      <c r="KT223" s="17"/>
      <c r="KU223" s="17"/>
      <c r="KV223" s="17"/>
      <c r="KW223" s="17"/>
      <c r="KX223" s="17"/>
      <c r="KY223" s="17"/>
    </row>
    <row r="224" spans="1:311" x14ac:dyDescent="0.25">
      <c r="A224" s="17"/>
      <c r="B224" s="17"/>
      <c r="C224" s="17"/>
      <c r="D224" s="17"/>
      <c r="E224" s="17"/>
      <c r="F224" s="17"/>
      <c r="G224" s="17"/>
      <c r="H224" s="17"/>
      <c r="I224" s="17"/>
      <c r="J224" s="17"/>
      <c r="K224" s="17"/>
      <c r="L224" s="17"/>
      <c r="M224" s="17"/>
      <c r="N224" s="17"/>
      <c r="O224" s="17"/>
      <c r="P224" s="17"/>
      <c r="Q224" s="17"/>
      <c r="R224" s="17"/>
      <c r="S224" s="17"/>
      <c r="T224" s="17"/>
      <c r="U224" s="17"/>
      <c r="V224" s="17"/>
      <c r="W224" s="17"/>
      <c r="X224" s="17"/>
      <c r="Y224" s="17"/>
      <c r="Z224" s="17"/>
      <c r="AA224" s="17"/>
      <c r="AB224" s="17"/>
      <c r="AC224" s="17"/>
      <c r="AD224" s="17"/>
      <c r="AE224" s="17"/>
      <c r="AF224" s="17"/>
      <c r="AG224" s="17"/>
      <c r="AH224" s="17"/>
      <c r="AI224" s="17"/>
      <c r="AJ224" s="17"/>
      <c r="AK224" s="17"/>
      <c r="AL224" s="17"/>
      <c r="AM224" s="17"/>
      <c r="AN224" s="17"/>
      <c r="AO224" s="17"/>
      <c r="AP224" s="17"/>
      <c r="AQ224" s="17"/>
      <c r="AR224" s="17"/>
      <c r="AS224" s="17"/>
      <c r="AT224" s="17"/>
      <c r="AU224" s="17"/>
      <c r="AV224" s="17"/>
      <c r="AW224" s="17"/>
      <c r="AX224" s="17"/>
      <c r="AY224" s="17"/>
      <c r="AZ224" s="17"/>
      <c r="BA224" s="17"/>
      <c r="BB224" s="17"/>
      <c r="BC224" s="17"/>
      <c r="BD224" s="17"/>
      <c r="BE224" s="17"/>
      <c r="BF224" s="17"/>
      <c r="BG224" s="17"/>
      <c r="BH224" s="17"/>
      <c r="BI224" s="17"/>
      <c r="BJ224" s="17"/>
      <c r="BK224" s="17"/>
      <c r="BL224" s="17"/>
      <c r="BM224" s="17"/>
      <c r="BN224" s="17"/>
      <c r="BO224" s="17"/>
      <c r="BP224" s="17"/>
      <c r="BQ224" s="17"/>
      <c r="BR224" s="17"/>
      <c r="BS224" s="17"/>
      <c r="BT224" s="17"/>
      <c r="BU224" s="17"/>
      <c r="BV224" s="17"/>
      <c r="BW224" s="17"/>
      <c r="BX224" s="17"/>
      <c r="BY224" s="17"/>
      <c r="BZ224" s="17"/>
      <c r="CA224" s="17"/>
      <c r="CB224" s="17"/>
      <c r="CC224" s="17"/>
      <c r="CD224" s="17"/>
      <c r="CE224" s="17"/>
      <c r="CF224" s="17"/>
      <c r="CG224" s="17"/>
      <c r="CH224" s="17"/>
      <c r="CI224" s="17"/>
      <c r="CJ224" s="17"/>
      <c r="CK224" s="17"/>
      <c r="CL224" s="17"/>
      <c r="CM224" s="17"/>
      <c r="CN224" s="17"/>
      <c r="CO224" s="17"/>
      <c r="CP224" s="17"/>
      <c r="CQ224" s="17"/>
      <c r="CR224" s="17"/>
      <c r="CS224" s="17"/>
      <c r="CT224" s="17"/>
      <c r="CU224" s="17"/>
      <c r="CV224" s="17"/>
      <c r="CW224" s="17"/>
      <c r="CX224" s="17"/>
      <c r="CY224" s="17"/>
      <c r="CZ224" s="17"/>
      <c r="DA224" s="17"/>
      <c r="DB224" s="17"/>
      <c r="DC224" s="17"/>
      <c r="DD224" s="17"/>
      <c r="DE224" s="17"/>
      <c r="DF224" s="17"/>
      <c r="DG224" s="17"/>
      <c r="DH224" s="17"/>
      <c r="DI224" s="17"/>
      <c r="DJ224" s="17"/>
      <c r="DK224" s="17"/>
      <c r="DL224" s="17"/>
      <c r="DM224" s="17"/>
      <c r="DN224" s="17"/>
      <c r="DO224" s="17"/>
      <c r="DP224" s="17"/>
      <c r="DQ224" s="17"/>
      <c r="DR224" s="17"/>
      <c r="DS224" s="17"/>
      <c r="DT224" s="17"/>
      <c r="DU224" s="17"/>
      <c r="DV224" s="17"/>
      <c r="DW224" s="17"/>
      <c r="DX224" s="17"/>
      <c r="DY224" s="17"/>
      <c r="DZ224" s="17"/>
      <c r="EA224" s="17"/>
      <c r="EB224" s="17"/>
      <c r="EC224" s="17"/>
      <c r="ED224" s="17"/>
      <c r="EE224" s="17"/>
      <c r="EF224" s="17"/>
      <c r="EG224" s="17"/>
      <c r="EH224" s="17"/>
      <c r="EI224" s="17"/>
      <c r="EJ224" s="17"/>
      <c r="EK224" s="17"/>
      <c r="EL224" s="17"/>
      <c r="EM224" s="17"/>
      <c r="EN224" s="17"/>
      <c r="EO224" s="17"/>
      <c r="EP224" s="17"/>
      <c r="EQ224" s="17"/>
      <c r="ER224" s="17"/>
      <c r="ES224" s="17"/>
      <c r="ET224" s="17"/>
      <c r="EU224" s="17"/>
      <c r="EV224" s="17"/>
      <c r="EW224" s="17"/>
      <c r="EX224" s="17"/>
      <c r="EY224" s="17"/>
      <c r="EZ224" s="17"/>
      <c r="FA224" s="17"/>
      <c r="FB224" s="17"/>
      <c r="FC224" s="17"/>
      <c r="FD224" s="17"/>
      <c r="FE224" s="17"/>
      <c r="FF224" s="17"/>
      <c r="FG224" s="17"/>
      <c r="FH224" s="17"/>
      <c r="FI224" s="17"/>
      <c r="FJ224" s="17"/>
      <c r="FK224" s="17"/>
      <c r="FL224" s="17"/>
      <c r="FM224" s="17"/>
      <c r="FN224" s="17"/>
      <c r="FO224" s="17"/>
      <c r="FP224" s="17"/>
      <c r="FQ224" s="17"/>
      <c r="FR224" s="17"/>
      <c r="FS224" s="17"/>
      <c r="FT224" s="17"/>
      <c r="FU224" s="17"/>
      <c r="FV224" s="17"/>
      <c r="FW224" s="17"/>
      <c r="FX224" s="17"/>
      <c r="FY224" s="17"/>
      <c r="FZ224" s="17"/>
      <c r="GA224" s="17"/>
      <c r="GB224" s="17"/>
      <c r="GC224" s="17"/>
      <c r="GD224" s="17"/>
      <c r="GE224" s="17"/>
      <c r="GF224" s="17"/>
      <c r="GG224" s="17"/>
      <c r="GH224" s="17"/>
      <c r="GI224" s="17"/>
      <c r="GJ224" s="17"/>
      <c r="GK224" s="17"/>
      <c r="GL224" s="17"/>
      <c r="GM224" s="17"/>
      <c r="GN224" s="17"/>
      <c r="GO224" s="17"/>
      <c r="GP224" s="17"/>
      <c r="GQ224" s="17"/>
      <c r="GR224" s="17"/>
      <c r="GS224" s="17"/>
      <c r="GT224" s="17"/>
      <c r="GU224" s="17"/>
      <c r="GV224" s="17"/>
      <c r="GW224" s="17"/>
      <c r="GX224" s="17"/>
      <c r="GY224" s="17"/>
      <c r="GZ224" s="17"/>
      <c r="HA224" s="17"/>
      <c r="HB224" s="17"/>
      <c r="HC224" s="17"/>
      <c r="HD224" s="17"/>
      <c r="HE224" s="17"/>
      <c r="HF224" s="17"/>
      <c r="HG224" s="17"/>
      <c r="HH224" s="17"/>
      <c r="HI224" s="17"/>
      <c r="HJ224" s="17"/>
      <c r="HK224" s="17"/>
      <c r="HL224" s="17"/>
      <c r="HM224" s="17"/>
      <c r="HN224" s="17"/>
      <c r="HO224" s="17"/>
      <c r="HP224" s="17"/>
      <c r="HQ224" s="17"/>
      <c r="HR224" s="17"/>
      <c r="HS224" s="17"/>
      <c r="HT224" s="17"/>
      <c r="HU224" s="17"/>
      <c r="HV224" s="17"/>
      <c r="HW224" s="17"/>
      <c r="HX224" s="17"/>
      <c r="HY224" s="17"/>
      <c r="HZ224" s="17"/>
      <c r="IA224" s="17"/>
      <c r="IB224" s="17"/>
      <c r="IC224" s="17"/>
      <c r="ID224" s="17"/>
      <c r="IE224" s="17"/>
      <c r="IF224" s="17"/>
      <c r="IG224" s="17"/>
      <c r="IH224" s="17"/>
      <c r="II224" s="17"/>
      <c r="IJ224" s="17"/>
      <c r="IK224" s="17"/>
      <c r="IL224" s="17"/>
      <c r="IM224" s="17"/>
      <c r="IN224" s="17"/>
      <c r="IO224" s="17"/>
      <c r="IP224" s="17"/>
      <c r="IQ224" s="17"/>
      <c r="IR224" s="17"/>
      <c r="IS224" s="17"/>
      <c r="IT224" s="17"/>
      <c r="IU224" s="17"/>
      <c r="IV224" s="17"/>
      <c r="IW224" s="17"/>
      <c r="IX224" s="17"/>
      <c r="IY224" s="17"/>
      <c r="IZ224" s="17"/>
      <c r="JA224" s="17"/>
      <c r="JB224" s="17"/>
      <c r="JC224" s="17"/>
      <c r="JD224" s="17"/>
      <c r="JE224" s="17"/>
      <c r="JF224" s="17"/>
      <c r="JG224" s="17"/>
      <c r="JH224" s="17"/>
      <c r="JI224" s="17"/>
      <c r="JJ224" s="17"/>
      <c r="JK224" s="17"/>
      <c r="JL224" s="17"/>
      <c r="JM224" s="17"/>
      <c r="JN224" s="17"/>
      <c r="JO224" s="17"/>
      <c r="JP224" s="17"/>
      <c r="JQ224" s="17"/>
      <c r="JR224" s="17"/>
      <c r="JS224" s="17"/>
      <c r="JT224" s="17"/>
      <c r="JU224" s="17"/>
      <c r="JV224" s="17"/>
      <c r="JW224" s="17"/>
      <c r="JX224" s="17"/>
      <c r="JY224" s="17"/>
      <c r="JZ224" s="17"/>
      <c r="KA224" s="17"/>
      <c r="KB224" s="17"/>
      <c r="KC224" s="17"/>
      <c r="KD224" s="17"/>
      <c r="KE224" s="17"/>
      <c r="KF224" s="17"/>
      <c r="KG224" s="17"/>
      <c r="KH224" s="17"/>
      <c r="KI224" s="17"/>
      <c r="KJ224" s="17"/>
      <c r="KK224" s="17"/>
      <c r="KL224" s="17"/>
      <c r="KM224" s="17"/>
      <c r="KN224" s="17"/>
      <c r="KO224" s="17"/>
      <c r="KP224" s="17"/>
      <c r="KQ224" s="17"/>
      <c r="KR224" s="17"/>
      <c r="KS224" s="17"/>
      <c r="KT224" s="17"/>
      <c r="KU224" s="17"/>
      <c r="KV224" s="17"/>
      <c r="KW224" s="17"/>
      <c r="KX224" s="17"/>
      <c r="KY224" s="17"/>
    </row>
    <row r="225" spans="1:311" x14ac:dyDescent="0.25">
      <c r="A225" s="17"/>
      <c r="B225" s="17"/>
      <c r="C225" s="17"/>
      <c r="D225" s="17"/>
      <c r="E225" s="17"/>
      <c r="F225" s="17"/>
      <c r="G225" s="17"/>
      <c r="H225" s="17"/>
      <c r="I225" s="17"/>
      <c r="J225" s="17"/>
      <c r="K225" s="17"/>
      <c r="L225" s="17"/>
      <c r="M225" s="17"/>
      <c r="N225" s="17"/>
      <c r="O225" s="17"/>
      <c r="P225" s="17"/>
      <c r="Q225" s="17"/>
      <c r="R225" s="17"/>
      <c r="S225" s="17"/>
      <c r="T225" s="17"/>
      <c r="U225" s="17"/>
      <c r="V225" s="17"/>
      <c r="W225" s="17"/>
      <c r="X225" s="17"/>
      <c r="Y225" s="17"/>
      <c r="Z225" s="17"/>
      <c r="AA225" s="17"/>
      <c r="AB225" s="17"/>
      <c r="AC225" s="17"/>
      <c r="AD225" s="17"/>
      <c r="AE225" s="17"/>
      <c r="AF225" s="17"/>
      <c r="AG225" s="17"/>
      <c r="AH225" s="17"/>
      <c r="AI225" s="17"/>
      <c r="AJ225" s="17"/>
      <c r="AK225" s="17"/>
      <c r="AL225" s="17"/>
      <c r="AM225" s="17"/>
      <c r="AN225" s="17"/>
      <c r="AO225" s="17"/>
      <c r="AP225" s="17"/>
      <c r="AQ225" s="17"/>
      <c r="AR225" s="17"/>
      <c r="AS225" s="17"/>
      <c r="AT225" s="17"/>
      <c r="AU225" s="17"/>
      <c r="AV225" s="17"/>
      <c r="AW225" s="17"/>
      <c r="AX225" s="17"/>
      <c r="AY225" s="17"/>
      <c r="AZ225" s="17"/>
      <c r="BA225" s="17"/>
      <c r="BB225" s="17"/>
      <c r="BC225" s="17"/>
      <c r="BD225" s="17"/>
      <c r="BE225" s="17"/>
      <c r="BF225" s="17"/>
      <c r="BG225" s="17"/>
      <c r="BH225" s="17"/>
      <c r="BI225" s="17"/>
      <c r="BJ225" s="17"/>
      <c r="BK225" s="17"/>
      <c r="BL225" s="17"/>
      <c r="BM225" s="17"/>
      <c r="BN225" s="17"/>
      <c r="BO225" s="17"/>
      <c r="BP225" s="17"/>
      <c r="BQ225" s="17"/>
      <c r="BR225" s="17"/>
      <c r="BS225" s="17"/>
      <c r="BT225" s="17"/>
      <c r="BU225" s="17"/>
      <c r="BV225" s="17"/>
      <c r="BW225" s="17"/>
      <c r="BX225" s="17"/>
      <c r="BY225" s="17"/>
      <c r="BZ225" s="17"/>
      <c r="CA225" s="17"/>
      <c r="CB225" s="17"/>
      <c r="CC225" s="17"/>
      <c r="CD225" s="17"/>
      <c r="CE225" s="17"/>
      <c r="CF225" s="17"/>
      <c r="CG225" s="17"/>
      <c r="CH225" s="17"/>
      <c r="CI225" s="17"/>
      <c r="CJ225" s="17"/>
      <c r="CK225" s="17"/>
      <c r="CL225" s="17"/>
      <c r="CM225" s="17"/>
      <c r="CN225" s="17"/>
      <c r="CO225" s="17"/>
      <c r="CP225" s="17"/>
      <c r="CQ225" s="17"/>
      <c r="CR225" s="17"/>
      <c r="CS225" s="17"/>
      <c r="CT225" s="17"/>
      <c r="CU225" s="17"/>
      <c r="CV225" s="17"/>
      <c r="CW225" s="17"/>
      <c r="CX225" s="17"/>
      <c r="CY225" s="17"/>
      <c r="CZ225" s="17"/>
      <c r="DA225" s="17"/>
      <c r="DB225" s="17"/>
      <c r="DC225" s="17"/>
      <c r="DD225" s="17"/>
      <c r="DE225" s="17"/>
      <c r="DF225" s="17"/>
      <c r="DG225" s="17"/>
      <c r="DH225" s="17"/>
      <c r="DI225" s="17"/>
      <c r="DJ225" s="17"/>
      <c r="DK225" s="17"/>
      <c r="DL225" s="17"/>
      <c r="DM225" s="17"/>
      <c r="DN225" s="17"/>
      <c r="DO225" s="17"/>
      <c r="DP225" s="17"/>
      <c r="DQ225" s="17"/>
      <c r="DR225" s="17"/>
      <c r="DS225" s="17"/>
      <c r="DT225" s="17"/>
      <c r="DU225" s="17"/>
      <c r="DV225" s="17"/>
      <c r="DW225" s="17"/>
      <c r="DX225" s="17"/>
      <c r="DY225" s="17"/>
      <c r="DZ225" s="17"/>
      <c r="EA225" s="17"/>
      <c r="EB225" s="17"/>
      <c r="EC225" s="17"/>
      <c r="ED225" s="17"/>
      <c r="EE225" s="17"/>
      <c r="EF225" s="17"/>
      <c r="EG225" s="17"/>
      <c r="EH225" s="17"/>
      <c r="EI225" s="17"/>
      <c r="EJ225" s="17"/>
      <c r="EK225" s="17"/>
      <c r="EL225" s="17"/>
      <c r="EM225" s="17"/>
      <c r="EN225" s="17"/>
      <c r="EO225" s="17"/>
      <c r="EP225" s="17"/>
      <c r="EQ225" s="17"/>
      <c r="ER225" s="17"/>
      <c r="ES225" s="17"/>
      <c r="ET225" s="17"/>
      <c r="EU225" s="17"/>
      <c r="EV225" s="17"/>
      <c r="EW225" s="17"/>
      <c r="EX225" s="17"/>
      <c r="EY225" s="17"/>
      <c r="EZ225" s="17"/>
      <c r="FA225" s="17"/>
      <c r="FB225" s="17"/>
      <c r="FC225" s="17"/>
      <c r="FD225" s="17"/>
      <c r="FE225" s="17"/>
      <c r="FF225" s="17"/>
      <c r="FG225" s="17"/>
      <c r="FH225" s="17"/>
      <c r="FI225" s="17"/>
      <c r="FJ225" s="17"/>
      <c r="FK225" s="17"/>
      <c r="FL225" s="17"/>
      <c r="FM225" s="17"/>
      <c r="FN225" s="17"/>
      <c r="FO225" s="17"/>
      <c r="FP225" s="17"/>
      <c r="FQ225" s="17"/>
      <c r="FR225" s="17"/>
      <c r="FS225" s="17"/>
      <c r="FT225" s="17"/>
      <c r="FU225" s="17"/>
      <c r="FV225" s="17"/>
      <c r="FW225" s="17"/>
      <c r="FX225" s="17"/>
      <c r="FY225" s="17"/>
      <c r="FZ225" s="17"/>
      <c r="GA225" s="17"/>
      <c r="GB225" s="17"/>
      <c r="GC225" s="17"/>
      <c r="GD225" s="17"/>
      <c r="GE225" s="17"/>
      <c r="GF225" s="17"/>
      <c r="GG225" s="17"/>
      <c r="GH225" s="17"/>
      <c r="GI225" s="17"/>
      <c r="GJ225" s="17"/>
      <c r="GK225" s="17"/>
      <c r="GL225" s="17"/>
      <c r="GM225" s="17"/>
      <c r="GN225" s="17"/>
      <c r="GO225" s="17"/>
      <c r="GP225" s="17"/>
      <c r="GQ225" s="17"/>
      <c r="GR225" s="17"/>
      <c r="GS225" s="17"/>
      <c r="GT225" s="17"/>
      <c r="GU225" s="17"/>
      <c r="GV225" s="17"/>
      <c r="GW225" s="17"/>
      <c r="GX225" s="17"/>
      <c r="GY225" s="17"/>
      <c r="GZ225" s="17"/>
      <c r="HA225" s="17"/>
      <c r="HB225" s="17"/>
      <c r="HC225" s="17"/>
      <c r="HD225" s="17"/>
      <c r="HE225" s="17"/>
      <c r="HF225" s="17"/>
      <c r="HG225" s="17"/>
      <c r="HH225" s="17"/>
      <c r="HI225" s="17"/>
      <c r="HJ225" s="17"/>
      <c r="HK225" s="17"/>
      <c r="HL225" s="17"/>
      <c r="HM225" s="17"/>
      <c r="HN225" s="17"/>
      <c r="HO225" s="17"/>
      <c r="HP225" s="17"/>
      <c r="HQ225" s="17"/>
      <c r="HR225" s="17"/>
      <c r="HS225" s="17"/>
      <c r="HT225" s="17"/>
      <c r="HU225" s="17"/>
      <c r="HV225" s="17"/>
      <c r="HW225" s="17"/>
      <c r="HX225" s="17"/>
      <c r="HY225" s="17"/>
      <c r="HZ225" s="17"/>
      <c r="IA225" s="17"/>
      <c r="IB225" s="17"/>
      <c r="IC225" s="17"/>
      <c r="ID225" s="17"/>
      <c r="IE225" s="17"/>
      <c r="IF225" s="17"/>
      <c r="IG225" s="17"/>
      <c r="IH225" s="17"/>
      <c r="II225" s="17"/>
      <c r="IJ225" s="17"/>
      <c r="IK225" s="17"/>
      <c r="IL225" s="17"/>
      <c r="IM225" s="17"/>
      <c r="IN225" s="17"/>
      <c r="IO225" s="17"/>
      <c r="IP225" s="17"/>
      <c r="IQ225" s="17"/>
      <c r="IR225" s="17"/>
      <c r="IS225" s="17"/>
      <c r="IT225" s="17"/>
      <c r="IU225" s="17"/>
      <c r="IV225" s="17"/>
      <c r="IW225" s="17"/>
      <c r="IX225" s="17"/>
      <c r="IY225" s="17"/>
      <c r="IZ225" s="17"/>
      <c r="JA225" s="17"/>
      <c r="JB225" s="17"/>
      <c r="JC225" s="17"/>
      <c r="JD225" s="17"/>
      <c r="JE225" s="17"/>
      <c r="JF225" s="17"/>
      <c r="JG225" s="17"/>
      <c r="JH225" s="17"/>
      <c r="JI225" s="17"/>
      <c r="JJ225" s="17"/>
      <c r="JK225" s="17"/>
      <c r="JL225" s="17"/>
      <c r="JM225" s="17"/>
      <c r="JN225" s="17"/>
      <c r="JO225" s="17"/>
      <c r="JP225" s="17"/>
      <c r="JQ225" s="17"/>
      <c r="JR225" s="17"/>
      <c r="JS225" s="17"/>
      <c r="JT225" s="17"/>
      <c r="JU225" s="17"/>
      <c r="JV225" s="17"/>
      <c r="JW225" s="17"/>
      <c r="JX225" s="17"/>
      <c r="JY225" s="17"/>
      <c r="JZ225" s="17"/>
      <c r="KA225" s="17"/>
      <c r="KB225" s="17"/>
      <c r="KC225" s="17"/>
      <c r="KD225" s="17"/>
      <c r="KE225" s="17"/>
      <c r="KF225" s="17"/>
      <c r="KG225" s="17"/>
      <c r="KH225" s="17"/>
      <c r="KI225" s="17"/>
      <c r="KJ225" s="17"/>
      <c r="KK225" s="17"/>
      <c r="KL225" s="17"/>
      <c r="KM225" s="17"/>
      <c r="KN225" s="17"/>
      <c r="KO225" s="17"/>
      <c r="KP225" s="17"/>
      <c r="KQ225" s="17"/>
      <c r="KR225" s="17"/>
      <c r="KS225" s="17"/>
      <c r="KT225" s="17"/>
      <c r="KU225" s="17"/>
      <c r="KV225" s="17"/>
      <c r="KW225" s="17"/>
      <c r="KX225" s="17"/>
      <c r="KY225" s="17"/>
    </row>
    <row r="226" spans="1:311" x14ac:dyDescent="0.25">
      <c r="A226" s="17"/>
      <c r="B226" s="17"/>
      <c r="C226" s="17"/>
      <c r="D226" s="17"/>
      <c r="E226" s="17"/>
      <c r="F226" s="17"/>
      <c r="G226" s="17"/>
      <c r="H226" s="17"/>
      <c r="I226" s="17"/>
      <c r="J226" s="17"/>
      <c r="K226" s="17"/>
      <c r="L226" s="17"/>
      <c r="M226" s="17"/>
      <c r="N226" s="17"/>
      <c r="O226" s="17"/>
      <c r="P226" s="17"/>
      <c r="Q226" s="17"/>
      <c r="R226" s="17"/>
      <c r="S226" s="17"/>
      <c r="T226" s="17"/>
      <c r="U226" s="17"/>
      <c r="V226" s="17"/>
      <c r="W226" s="17"/>
      <c r="X226" s="17"/>
      <c r="Y226" s="17"/>
      <c r="Z226" s="17"/>
      <c r="AA226" s="17"/>
      <c r="AB226" s="17"/>
      <c r="AC226" s="17"/>
      <c r="AD226" s="17"/>
      <c r="AE226" s="17"/>
      <c r="AF226" s="17"/>
      <c r="AG226" s="17"/>
      <c r="AH226" s="17"/>
      <c r="AI226" s="17"/>
      <c r="AJ226" s="17"/>
      <c r="AK226" s="17"/>
      <c r="AL226" s="17"/>
      <c r="AM226" s="17"/>
      <c r="AN226" s="17"/>
      <c r="AO226" s="17"/>
      <c r="AP226" s="17"/>
      <c r="AQ226" s="17"/>
      <c r="AR226" s="17"/>
      <c r="AS226" s="17"/>
      <c r="AT226" s="17"/>
      <c r="AU226" s="17"/>
      <c r="AV226" s="17"/>
      <c r="AW226" s="17"/>
      <c r="AX226" s="17"/>
      <c r="AY226" s="17"/>
      <c r="AZ226" s="17"/>
      <c r="BA226" s="17"/>
      <c r="BB226" s="17"/>
      <c r="BC226" s="17"/>
      <c r="BD226" s="17"/>
      <c r="BE226" s="17"/>
      <c r="BF226" s="17"/>
      <c r="BG226" s="17"/>
      <c r="BH226" s="17"/>
      <c r="BI226" s="17"/>
      <c r="BJ226" s="17"/>
      <c r="BK226" s="17"/>
      <c r="BL226" s="17"/>
      <c r="BM226" s="17"/>
      <c r="BN226" s="17"/>
      <c r="BO226" s="17"/>
      <c r="BP226" s="17"/>
      <c r="BQ226" s="17"/>
      <c r="BR226" s="17"/>
      <c r="BS226" s="17"/>
      <c r="BT226" s="17"/>
      <c r="BU226" s="17"/>
      <c r="BV226" s="17"/>
      <c r="BW226" s="17"/>
      <c r="BX226" s="17"/>
      <c r="BY226" s="17"/>
      <c r="BZ226" s="17"/>
      <c r="CA226" s="17"/>
      <c r="CB226" s="17"/>
      <c r="CC226" s="17"/>
      <c r="CD226" s="17"/>
      <c r="CE226" s="17"/>
      <c r="CF226" s="17"/>
      <c r="CG226" s="17"/>
      <c r="CH226" s="17"/>
      <c r="CI226" s="17"/>
      <c r="CJ226" s="17"/>
      <c r="CK226" s="17"/>
      <c r="CL226" s="17"/>
      <c r="CM226" s="17"/>
      <c r="CN226" s="17"/>
      <c r="CO226" s="17"/>
      <c r="CP226" s="17"/>
      <c r="CQ226" s="17"/>
      <c r="CR226" s="17"/>
      <c r="CS226" s="17"/>
      <c r="CT226" s="17"/>
      <c r="CU226" s="17"/>
      <c r="CV226" s="17"/>
      <c r="CW226" s="17"/>
      <c r="CX226" s="17"/>
      <c r="CY226" s="17"/>
      <c r="CZ226" s="17"/>
      <c r="DA226" s="17"/>
      <c r="DB226" s="17"/>
      <c r="DC226" s="17"/>
      <c r="DD226" s="17"/>
      <c r="DE226" s="17"/>
      <c r="DF226" s="17"/>
      <c r="DG226" s="17"/>
      <c r="DH226" s="17"/>
      <c r="DI226" s="17"/>
      <c r="DJ226" s="17"/>
      <c r="DK226" s="17"/>
      <c r="DL226" s="17"/>
      <c r="DM226" s="17"/>
      <c r="DN226" s="17"/>
      <c r="DO226" s="17"/>
      <c r="DP226" s="17"/>
      <c r="DQ226" s="17"/>
      <c r="DR226" s="17"/>
      <c r="DS226" s="17"/>
      <c r="DT226" s="17"/>
      <c r="DU226" s="17"/>
      <c r="DV226" s="17"/>
      <c r="DW226" s="17"/>
      <c r="DX226" s="17"/>
      <c r="DY226" s="17"/>
      <c r="DZ226" s="17"/>
      <c r="EA226" s="17"/>
      <c r="EB226" s="17"/>
      <c r="EC226" s="17"/>
      <c r="ED226" s="17"/>
      <c r="EE226" s="17"/>
      <c r="EF226" s="17"/>
      <c r="EG226" s="17"/>
      <c r="EH226" s="17"/>
      <c r="EI226" s="17"/>
      <c r="EJ226" s="17"/>
      <c r="EK226" s="17"/>
      <c r="EL226" s="17"/>
      <c r="EM226" s="17"/>
      <c r="EN226" s="17"/>
      <c r="EO226" s="17"/>
      <c r="EP226" s="17"/>
      <c r="EQ226" s="17"/>
      <c r="ER226" s="17"/>
      <c r="ES226" s="17"/>
      <c r="ET226" s="17"/>
      <c r="EU226" s="17"/>
      <c r="EV226" s="17"/>
      <c r="EW226" s="17"/>
      <c r="EX226" s="17"/>
      <c r="EY226" s="17"/>
      <c r="EZ226" s="17"/>
      <c r="FA226" s="17"/>
      <c r="FB226" s="17"/>
      <c r="FC226" s="17"/>
      <c r="FD226" s="17"/>
      <c r="FE226" s="17"/>
      <c r="FF226" s="17"/>
      <c r="FG226" s="17"/>
      <c r="FH226" s="17"/>
      <c r="FI226" s="17"/>
      <c r="FJ226" s="17"/>
      <c r="FK226" s="17"/>
      <c r="FL226" s="17"/>
      <c r="FM226" s="17"/>
      <c r="FN226" s="17"/>
      <c r="FO226" s="17"/>
      <c r="FP226" s="17"/>
      <c r="FQ226" s="17"/>
      <c r="FR226" s="17"/>
      <c r="FS226" s="17"/>
      <c r="FT226" s="17"/>
      <c r="FU226" s="17"/>
      <c r="FV226" s="17"/>
      <c r="FW226" s="17"/>
      <c r="FX226" s="17"/>
      <c r="FY226" s="17"/>
      <c r="FZ226" s="17"/>
      <c r="GA226" s="17"/>
      <c r="GB226" s="17"/>
      <c r="GC226" s="17"/>
      <c r="GD226" s="17"/>
      <c r="GE226" s="17"/>
      <c r="GF226" s="17"/>
      <c r="GG226" s="17"/>
      <c r="GH226" s="17"/>
      <c r="GI226" s="17"/>
      <c r="GJ226" s="17"/>
      <c r="GK226" s="17"/>
      <c r="GL226" s="17"/>
      <c r="GM226" s="17"/>
      <c r="GN226" s="17"/>
      <c r="GO226" s="17"/>
      <c r="GP226" s="17"/>
      <c r="GQ226" s="17"/>
      <c r="GR226" s="17"/>
      <c r="GS226" s="17"/>
      <c r="GT226" s="17"/>
      <c r="GU226" s="17"/>
      <c r="GV226" s="17"/>
      <c r="GW226" s="17"/>
      <c r="GX226" s="17"/>
      <c r="GY226" s="17"/>
      <c r="GZ226" s="17"/>
      <c r="HA226" s="17"/>
      <c r="HB226" s="17"/>
      <c r="HC226" s="17"/>
      <c r="HD226" s="17"/>
      <c r="HE226" s="17"/>
      <c r="HF226" s="17"/>
      <c r="HG226" s="17"/>
      <c r="HH226" s="17"/>
      <c r="HI226" s="17"/>
      <c r="HJ226" s="17"/>
      <c r="HK226" s="17"/>
      <c r="HL226" s="17"/>
      <c r="HM226" s="17"/>
      <c r="HN226" s="17"/>
      <c r="HO226" s="17"/>
      <c r="HP226" s="17"/>
      <c r="HQ226" s="17"/>
      <c r="HR226" s="17"/>
      <c r="HS226" s="17"/>
      <c r="HT226" s="17"/>
      <c r="HU226" s="17"/>
      <c r="HV226" s="17"/>
      <c r="HW226" s="17"/>
      <c r="HX226" s="17"/>
      <c r="HY226" s="17"/>
      <c r="HZ226" s="17"/>
      <c r="IA226" s="17"/>
      <c r="IB226" s="17"/>
      <c r="IC226" s="17"/>
      <c r="ID226" s="17"/>
      <c r="IE226" s="17"/>
      <c r="IF226" s="17"/>
      <c r="IG226" s="17"/>
      <c r="IH226" s="17"/>
      <c r="II226" s="17"/>
      <c r="IJ226" s="17"/>
      <c r="IK226" s="17"/>
      <c r="IL226" s="17"/>
      <c r="IM226" s="17"/>
      <c r="IN226" s="17"/>
      <c r="IO226" s="17"/>
      <c r="IP226" s="17"/>
      <c r="IQ226" s="17"/>
      <c r="IR226" s="17"/>
      <c r="IS226" s="17"/>
      <c r="IT226" s="17"/>
      <c r="IU226" s="17"/>
      <c r="IV226" s="17"/>
      <c r="IW226" s="17"/>
      <c r="IX226" s="17"/>
      <c r="IY226" s="17"/>
      <c r="IZ226" s="17"/>
      <c r="JA226" s="17"/>
      <c r="JB226" s="17"/>
      <c r="JC226" s="17"/>
      <c r="JD226" s="17"/>
      <c r="JE226" s="17"/>
      <c r="JF226" s="17"/>
      <c r="JG226" s="17"/>
      <c r="JH226" s="17"/>
      <c r="JI226" s="17"/>
      <c r="JJ226" s="17"/>
      <c r="JK226" s="17"/>
      <c r="JL226" s="17"/>
      <c r="JM226" s="17"/>
      <c r="JN226" s="17"/>
      <c r="JO226" s="17"/>
      <c r="JP226" s="17"/>
      <c r="JQ226" s="17"/>
      <c r="JR226" s="17"/>
      <c r="JS226" s="17"/>
      <c r="JT226" s="17"/>
      <c r="JU226" s="17"/>
      <c r="JV226" s="17"/>
      <c r="JW226" s="17"/>
      <c r="JX226" s="17"/>
      <c r="JY226" s="17"/>
      <c r="JZ226" s="17"/>
      <c r="KA226" s="17"/>
      <c r="KB226" s="17"/>
      <c r="KC226" s="17"/>
      <c r="KD226" s="17"/>
      <c r="KE226" s="17"/>
      <c r="KF226" s="17"/>
      <c r="KG226" s="17"/>
      <c r="KH226" s="17"/>
      <c r="KI226" s="17"/>
      <c r="KJ226" s="17"/>
      <c r="KK226" s="17"/>
      <c r="KL226" s="17"/>
      <c r="KM226" s="17"/>
      <c r="KN226" s="17"/>
      <c r="KO226" s="17"/>
      <c r="KP226" s="17"/>
      <c r="KQ226" s="17"/>
      <c r="KR226" s="17"/>
      <c r="KS226" s="17"/>
      <c r="KT226" s="17"/>
      <c r="KU226" s="17"/>
      <c r="KV226" s="17"/>
      <c r="KW226" s="17"/>
      <c r="KX226" s="17"/>
      <c r="KY226" s="17"/>
    </row>
    <row r="227" spans="1:311" x14ac:dyDescent="0.25">
      <c r="A227" s="17"/>
      <c r="B227" s="17"/>
      <c r="C227" s="17"/>
      <c r="D227" s="17"/>
      <c r="E227" s="17"/>
      <c r="F227" s="17"/>
      <c r="G227" s="17"/>
      <c r="H227" s="17"/>
      <c r="I227" s="17"/>
      <c r="J227" s="17"/>
      <c r="K227" s="17"/>
      <c r="L227" s="17"/>
      <c r="M227" s="17"/>
      <c r="N227" s="17"/>
      <c r="O227" s="17"/>
      <c r="P227" s="17"/>
      <c r="Q227" s="17"/>
      <c r="R227" s="17"/>
      <c r="S227" s="17"/>
      <c r="T227" s="17"/>
      <c r="U227" s="17"/>
      <c r="V227" s="17"/>
      <c r="W227" s="17"/>
      <c r="X227" s="17"/>
      <c r="Y227" s="17"/>
      <c r="Z227" s="17"/>
      <c r="AA227" s="17"/>
      <c r="AB227" s="17"/>
      <c r="AC227" s="17"/>
      <c r="AD227" s="17"/>
      <c r="AE227" s="17"/>
      <c r="AF227" s="17"/>
      <c r="AG227" s="17"/>
      <c r="AH227" s="17"/>
      <c r="AI227" s="17"/>
      <c r="AJ227" s="17"/>
      <c r="AK227" s="17"/>
      <c r="AL227" s="17"/>
      <c r="AM227" s="17"/>
      <c r="AN227" s="17"/>
      <c r="AO227" s="17"/>
      <c r="AP227" s="17"/>
      <c r="AQ227" s="17"/>
      <c r="AR227" s="17"/>
      <c r="AS227" s="17"/>
      <c r="AT227" s="17"/>
      <c r="AU227" s="17"/>
      <c r="AV227" s="17"/>
      <c r="AW227" s="17"/>
      <c r="AX227" s="17"/>
      <c r="AY227" s="17"/>
      <c r="AZ227" s="17"/>
      <c r="BA227" s="17"/>
      <c r="BB227" s="17"/>
      <c r="BC227" s="17"/>
      <c r="BD227" s="17"/>
      <c r="BE227" s="17"/>
      <c r="BF227" s="17"/>
      <c r="BG227" s="17"/>
      <c r="BH227" s="17"/>
      <c r="BI227" s="17"/>
      <c r="BJ227" s="17"/>
      <c r="BK227" s="17"/>
      <c r="BL227" s="17"/>
      <c r="BM227" s="17"/>
      <c r="BN227" s="17"/>
      <c r="BO227" s="17"/>
      <c r="BP227" s="17"/>
      <c r="BQ227" s="17"/>
      <c r="BR227" s="17"/>
      <c r="BS227" s="17"/>
      <c r="BT227" s="17"/>
      <c r="BU227" s="17"/>
      <c r="BV227" s="17"/>
      <c r="BW227" s="17"/>
      <c r="BX227" s="17"/>
      <c r="BY227" s="17"/>
      <c r="BZ227" s="17"/>
      <c r="CA227" s="17"/>
      <c r="CB227" s="17"/>
      <c r="CC227" s="17"/>
      <c r="CD227" s="17"/>
      <c r="CE227" s="17"/>
      <c r="CF227" s="17"/>
      <c r="CG227" s="17"/>
      <c r="CH227" s="17"/>
      <c r="CI227" s="17"/>
      <c r="CJ227" s="17"/>
      <c r="CK227" s="17"/>
      <c r="CL227" s="17"/>
      <c r="CM227" s="17"/>
      <c r="CN227" s="17"/>
      <c r="CO227" s="17"/>
      <c r="CP227" s="17"/>
      <c r="CQ227" s="17"/>
      <c r="CR227" s="17"/>
      <c r="CS227" s="17"/>
      <c r="CT227" s="17"/>
      <c r="CU227" s="17"/>
      <c r="CV227" s="17"/>
      <c r="CW227" s="17"/>
      <c r="CX227" s="17"/>
      <c r="CY227" s="17"/>
      <c r="CZ227" s="17"/>
      <c r="DA227" s="17"/>
      <c r="DB227" s="17"/>
      <c r="DC227" s="17"/>
      <c r="DD227" s="17"/>
      <c r="DE227" s="17"/>
      <c r="DF227" s="17"/>
      <c r="DG227" s="17"/>
      <c r="DH227" s="17"/>
      <c r="DI227" s="17"/>
      <c r="DJ227" s="17"/>
      <c r="DK227" s="17"/>
      <c r="DL227" s="17"/>
      <c r="DM227" s="17"/>
      <c r="DN227" s="17"/>
      <c r="DO227" s="17"/>
      <c r="DP227" s="17"/>
      <c r="DQ227" s="17"/>
      <c r="DR227" s="17"/>
      <c r="DS227" s="17"/>
      <c r="DT227" s="17"/>
      <c r="DU227" s="17"/>
      <c r="DV227" s="17"/>
      <c r="DW227" s="17"/>
      <c r="DX227" s="17"/>
      <c r="DY227" s="17"/>
      <c r="DZ227" s="17"/>
      <c r="EA227" s="17"/>
      <c r="EB227" s="17"/>
      <c r="EC227" s="17"/>
      <c r="ED227" s="17"/>
      <c r="EE227" s="17"/>
      <c r="EF227" s="17"/>
      <c r="EG227" s="17"/>
      <c r="EH227" s="17"/>
      <c r="EI227" s="17"/>
      <c r="EJ227" s="17"/>
      <c r="EK227" s="17"/>
      <c r="EL227" s="17"/>
      <c r="EM227" s="17"/>
      <c r="EN227" s="17"/>
      <c r="EO227" s="17"/>
      <c r="EP227" s="17"/>
      <c r="EQ227" s="17"/>
      <c r="ER227" s="17"/>
      <c r="ES227" s="17"/>
      <c r="ET227" s="17"/>
      <c r="EU227" s="17"/>
      <c r="EV227" s="17"/>
      <c r="EW227" s="17"/>
      <c r="EX227" s="17"/>
      <c r="EY227" s="17"/>
      <c r="EZ227" s="17"/>
      <c r="FA227" s="17"/>
      <c r="FB227" s="17"/>
      <c r="FC227" s="17"/>
      <c r="FD227" s="17"/>
      <c r="FE227" s="17"/>
      <c r="FF227" s="17"/>
      <c r="FG227" s="17"/>
      <c r="FH227" s="17"/>
      <c r="FI227" s="17"/>
      <c r="FJ227" s="17"/>
      <c r="FK227" s="17"/>
      <c r="FL227" s="17"/>
      <c r="FM227" s="17"/>
      <c r="FN227" s="17"/>
      <c r="FO227" s="17"/>
      <c r="FP227" s="17"/>
      <c r="FQ227" s="17"/>
      <c r="FR227" s="17"/>
      <c r="FS227" s="17"/>
      <c r="FT227" s="17"/>
      <c r="FU227" s="17"/>
      <c r="FV227" s="17"/>
      <c r="FW227" s="17"/>
      <c r="FX227" s="17"/>
      <c r="FY227" s="17"/>
      <c r="FZ227" s="17"/>
      <c r="GA227" s="17"/>
      <c r="GB227" s="17"/>
      <c r="GC227" s="17"/>
      <c r="GD227" s="17"/>
      <c r="GE227" s="17"/>
      <c r="GF227" s="17"/>
      <c r="GG227" s="17"/>
      <c r="GH227" s="17"/>
      <c r="GI227" s="17"/>
      <c r="GJ227" s="17"/>
      <c r="GK227" s="17"/>
      <c r="GL227" s="17"/>
      <c r="GM227" s="17"/>
      <c r="GN227" s="17"/>
      <c r="GO227" s="17"/>
      <c r="GP227" s="17"/>
      <c r="GQ227" s="17"/>
      <c r="GR227" s="17"/>
      <c r="GS227" s="17"/>
      <c r="GT227" s="17"/>
      <c r="GU227" s="17"/>
      <c r="GV227" s="17"/>
      <c r="GW227" s="17"/>
      <c r="GX227" s="17"/>
      <c r="GY227" s="17"/>
      <c r="GZ227" s="17"/>
      <c r="HA227" s="17"/>
      <c r="HB227" s="17"/>
      <c r="HC227" s="17"/>
      <c r="HD227" s="17"/>
      <c r="HE227" s="17"/>
      <c r="HF227" s="17"/>
      <c r="HG227" s="17"/>
      <c r="HH227" s="17"/>
      <c r="HI227" s="17"/>
      <c r="HJ227" s="17"/>
      <c r="HK227" s="17"/>
      <c r="HL227" s="17"/>
      <c r="HM227" s="17"/>
      <c r="HN227" s="17"/>
      <c r="HO227" s="17"/>
      <c r="HP227" s="17"/>
      <c r="HQ227" s="17"/>
      <c r="HR227" s="17"/>
      <c r="HS227" s="17"/>
      <c r="HT227" s="17"/>
      <c r="HU227" s="17"/>
      <c r="HV227" s="17"/>
      <c r="HW227" s="17"/>
      <c r="HX227" s="17"/>
      <c r="HY227" s="17"/>
      <c r="HZ227" s="17"/>
      <c r="IA227" s="17"/>
      <c r="IB227" s="17"/>
      <c r="IC227" s="17"/>
      <c r="ID227" s="17"/>
      <c r="IE227" s="17"/>
      <c r="IF227" s="17"/>
      <c r="IG227" s="17"/>
      <c r="IH227" s="17"/>
      <c r="II227" s="17"/>
      <c r="IJ227" s="17"/>
      <c r="IK227" s="17"/>
      <c r="IL227" s="17"/>
      <c r="IM227" s="17"/>
      <c r="IN227" s="17"/>
      <c r="IO227" s="17"/>
      <c r="IP227" s="17"/>
      <c r="IQ227" s="17"/>
      <c r="IR227" s="17"/>
      <c r="IS227" s="17"/>
      <c r="IT227" s="17"/>
      <c r="IU227" s="17"/>
      <c r="IV227" s="17"/>
      <c r="IW227" s="17"/>
      <c r="IX227" s="17"/>
      <c r="IY227" s="17"/>
      <c r="IZ227" s="17"/>
      <c r="JA227" s="17"/>
      <c r="JB227" s="17"/>
      <c r="JC227" s="17"/>
      <c r="JD227" s="17"/>
      <c r="JE227" s="17"/>
      <c r="JF227" s="17"/>
      <c r="JG227" s="17"/>
      <c r="JH227" s="17"/>
      <c r="JI227" s="17"/>
      <c r="JJ227" s="17"/>
      <c r="JK227" s="17"/>
      <c r="JL227" s="17"/>
      <c r="JM227" s="17"/>
      <c r="JN227" s="17"/>
      <c r="JO227" s="17"/>
      <c r="JP227" s="17"/>
      <c r="JQ227" s="17"/>
      <c r="JR227" s="17"/>
      <c r="JS227" s="17"/>
      <c r="JT227" s="17"/>
      <c r="JU227" s="17"/>
      <c r="JV227" s="17"/>
      <c r="JW227" s="17"/>
      <c r="JX227" s="17"/>
      <c r="JY227" s="17"/>
      <c r="JZ227" s="17"/>
      <c r="KA227" s="17"/>
      <c r="KB227" s="17"/>
      <c r="KC227" s="17"/>
      <c r="KD227" s="17"/>
      <c r="KE227" s="17"/>
      <c r="KF227" s="17"/>
      <c r="KG227" s="17"/>
      <c r="KH227" s="17"/>
      <c r="KI227" s="17"/>
      <c r="KJ227" s="17"/>
      <c r="KK227" s="17"/>
      <c r="KL227" s="17"/>
      <c r="KM227" s="17"/>
      <c r="KN227" s="17"/>
      <c r="KO227" s="17"/>
      <c r="KP227" s="17"/>
      <c r="KQ227" s="17"/>
      <c r="KR227" s="17"/>
      <c r="KS227" s="17"/>
      <c r="KT227" s="17"/>
      <c r="KU227" s="17"/>
      <c r="KV227" s="17"/>
      <c r="KW227" s="17"/>
      <c r="KX227" s="17"/>
      <c r="KY227" s="17"/>
    </row>
    <row r="228" spans="1:311" x14ac:dyDescent="0.25">
      <c r="A228" s="17"/>
      <c r="B228" s="17"/>
      <c r="C228" s="17"/>
      <c r="D228" s="17"/>
      <c r="E228" s="17"/>
      <c r="F228" s="17"/>
      <c r="G228" s="17"/>
      <c r="H228" s="17"/>
      <c r="I228" s="17"/>
      <c r="J228" s="17"/>
      <c r="K228" s="17"/>
      <c r="L228" s="17"/>
      <c r="M228" s="17"/>
      <c r="N228" s="17"/>
      <c r="O228" s="17"/>
      <c r="P228" s="17"/>
      <c r="Q228" s="17"/>
      <c r="R228" s="17"/>
      <c r="S228" s="17"/>
      <c r="T228" s="17"/>
      <c r="U228" s="17"/>
      <c r="V228" s="17"/>
      <c r="W228" s="17"/>
      <c r="X228" s="17"/>
      <c r="Y228" s="17"/>
      <c r="Z228" s="17"/>
      <c r="AA228" s="17"/>
      <c r="AB228" s="17"/>
      <c r="AC228" s="17"/>
      <c r="AD228" s="17"/>
      <c r="AE228" s="17"/>
      <c r="AF228" s="17"/>
      <c r="AG228" s="17"/>
      <c r="AH228" s="17"/>
      <c r="AI228" s="17"/>
      <c r="AJ228" s="17"/>
      <c r="AK228" s="17"/>
      <c r="AL228" s="17"/>
      <c r="AM228" s="17"/>
      <c r="AN228" s="17"/>
      <c r="AO228" s="17"/>
      <c r="AP228" s="17"/>
      <c r="AQ228" s="17"/>
      <c r="AR228" s="17"/>
      <c r="AS228" s="17"/>
      <c r="AT228" s="17"/>
      <c r="AU228" s="17"/>
      <c r="AV228" s="17"/>
      <c r="AW228" s="17"/>
      <c r="AX228" s="17"/>
      <c r="AY228" s="17"/>
      <c r="AZ228" s="17"/>
      <c r="BA228" s="17"/>
      <c r="BB228" s="17"/>
      <c r="BC228" s="17"/>
      <c r="BD228" s="17"/>
      <c r="BE228" s="17"/>
      <c r="BF228" s="17"/>
      <c r="BG228" s="17"/>
      <c r="BH228" s="17"/>
      <c r="BI228" s="17"/>
      <c r="BJ228" s="17"/>
      <c r="BK228" s="17"/>
      <c r="BL228" s="17"/>
      <c r="BM228" s="17"/>
      <c r="BN228" s="17"/>
      <c r="BO228" s="17"/>
      <c r="BP228" s="17"/>
      <c r="BQ228" s="17"/>
      <c r="BR228" s="17"/>
      <c r="BS228" s="17"/>
      <c r="BT228" s="17"/>
      <c r="BU228" s="17"/>
      <c r="BV228" s="17"/>
      <c r="BW228" s="17"/>
      <c r="BX228" s="17"/>
      <c r="BY228" s="17"/>
      <c r="BZ228" s="17"/>
      <c r="CA228" s="17"/>
      <c r="CB228" s="17"/>
      <c r="CC228" s="17"/>
      <c r="CD228" s="17"/>
      <c r="CE228" s="17"/>
      <c r="CF228" s="17"/>
      <c r="CG228" s="17"/>
      <c r="CH228" s="17"/>
      <c r="CI228" s="17"/>
      <c r="CJ228" s="17"/>
      <c r="CK228" s="17"/>
      <c r="CL228" s="17"/>
      <c r="CM228" s="17"/>
      <c r="CN228" s="17"/>
      <c r="CO228" s="17"/>
      <c r="CP228" s="17"/>
      <c r="CQ228" s="17"/>
      <c r="CR228" s="17"/>
      <c r="CS228" s="17"/>
      <c r="CT228" s="17"/>
      <c r="CU228" s="17"/>
      <c r="CV228" s="17"/>
      <c r="CW228" s="17"/>
      <c r="CX228" s="17"/>
      <c r="CY228" s="17"/>
      <c r="CZ228" s="17"/>
      <c r="DA228" s="17"/>
      <c r="DB228" s="17"/>
      <c r="DC228" s="17"/>
      <c r="DD228" s="17"/>
      <c r="DE228" s="17"/>
      <c r="DF228" s="17"/>
      <c r="DG228" s="17"/>
      <c r="DH228" s="17"/>
      <c r="DI228" s="17"/>
      <c r="DJ228" s="17"/>
      <c r="DK228" s="17"/>
      <c r="DL228" s="17"/>
      <c r="DM228" s="17"/>
      <c r="DN228" s="17"/>
      <c r="DO228" s="17"/>
      <c r="DP228" s="17"/>
      <c r="DQ228" s="17"/>
      <c r="DR228" s="17"/>
      <c r="DS228" s="17"/>
      <c r="DT228" s="17"/>
      <c r="DU228" s="17"/>
      <c r="DV228" s="17"/>
      <c r="DW228" s="17"/>
      <c r="DX228" s="17"/>
      <c r="DY228" s="17"/>
      <c r="DZ228" s="17"/>
      <c r="EA228" s="17"/>
      <c r="EB228" s="17"/>
      <c r="EC228" s="17"/>
      <c r="ED228" s="17"/>
      <c r="EE228" s="17"/>
      <c r="EF228" s="17"/>
      <c r="EG228" s="17"/>
      <c r="EH228" s="17"/>
      <c r="EI228" s="17"/>
      <c r="EJ228" s="17"/>
      <c r="EK228" s="17"/>
      <c r="EL228" s="17"/>
      <c r="EM228" s="17"/>
      <c r="EN228" s="17"/>
      <c r="EO228" s="17"/>
      <c r="EP228" s="17"/>
      <c r="EQ228" s="17"/>
      <c r="ER228" s="17"/>
      <c r="ES228" s="17"/>
      <c r="ET228" s="17"/>
      <c r="EU228" s="17"/>
      <c r="EV228" s="17"/>
      <c r="EW228" s="17"/>
      <c r="EX228" s="17"/>
      <c r="EY228" s="17"/>
      <c r="EZ228" s="17"/>
      <c r="FA228" s="17"/>
      <c r="FB228" s="17"/>
      <c r="FC228" s="17"/>
      <c r="FD228" s="17"/>
      <c r="FE228" s="17"/>
      <c r="FF228" s="17"/>
      <c r="FG228" s="17"/>
      <c r="FH228" s="17"/>
      <c r="FI228" s="17"/>
      <c r="FJ228" s="17"/>
      <c r="FK228" s="17"/>
      <c r="FL228" s="17"/>
      <c r="FM228" s="17"/>
      <c r="FN228" s="17"/>
      <c r="FO228" s="17"/>
      <c r="FP228" s="17"/>
      <c r="FQ228" s="17"/>
      <c r="FR228" s="17"/>
      <c r="FS228" s="17"/>
      <c r="FT228" s="17"/>
      <c r="FU228" s="17"/>
      <c r="FV228" s="17"/>
      <c r="FW228" s="17"/>
      <c r="FX228" s="17"/>
      <c r="FY228" s="17"/>
      <c r="FZ228" s="17"/>
      <c r="GA228" s="17"/>
      <c r="GB228" s="17"/>
      <c r="GC228" s="17"/>
      <c r="GD228" s="17"/>
      <c r="GE228" s="17"/>
      <c r="GF228" s="17"/>
      <c r="GG228" s="17"/>
      <c r="GH228" s="17"/>
      <c r="GI228" s="17"/>
      <c r="GJ228" s="17"/>
      <c r="GK228" s="17"/>
      <c r="GL228" s="17"/>
      <c r="GM228" s="17"/>
      <c r="GN228" s="17"/>
      <c r="GO228" s="17"/>
      <c r="GP228" s="17"/>
      <c r="GQ228" s="17"/>
      <c r="GR228" s="17"/>
      <c r="GS228" s="17"/>
      <c r="GT228" s="17"/>
      <c r="GU228" s="17"/>
      <c r="GV228" s="17"/>
      <c r="GW228" s="17"/>
      <c r="GX228" s="17"/>
      <c r="GY228" s="17"/>
      <c r="GZ228" s="17"/>
      <c r="HA228" s="17"/>
      <c r="HB228" s="17"/>
      <c r="HC228" s="17"/>
      <c r="HD228" s="17"/>
      <c r="HE228" s="17"/>
      <c r="HF228" s="17"/>
      <c r="HG228" s="17"/>
      <c r="HH228" s="17"/>
      <c r="HI228" s="17"/>
      <c r="HJ228" s="17"/>
      <c r="HK228" s="17"/>
      <c r="HL228" s="17"/>
      <c r="HM228" s="17"/>
      <c r="HN228" s="17"/>
      <c r="HO228" s="17"/>
      <c r="HP228" s="17"/>
      <c r="HQ228" s="17"/>
      <c r="HR228" s="17"/>
      <c r="HS228" s="17"/>
      <c r="HT228" s="17"/>
      <c r="HU228" s="17"/>
      <c r="HV228" s="17"/>
      <c r="HW228" s="17"/>
      <c r="HX228" s="17"/>
      <c r="HY228" s="17"/>
      <c r="HZ228" s="17"/>
      <c r="IA228" s="17"/>
      <c r="IB228" s="17"/>
      <c r="IC228" s="17"/>
      <c r="ID228" s="17"/>
      <c r="IE228" s="17"/>
      <c r="IF228" s="17"/>
      <c r="IG228" s="17"/>
      <c r="IH228" s="17"/>
      <c r="II228" s="17"/>
      <c r="IJ228" s="17"/>
      <c r="IK228" s="17"/>
      <c r="IL228" s="17"/>
      <c r="IM228" s="17"/>
      <c r="IN228" s="17"/>
      <c r="IO228" s="17"/>
      <c r="IP228" s="17"/>
      <c r="IQ228" s="17"/>
      <c r="IR228" s="17"/>
      <c r="IS228" s="17"/>
      <c r="IT228" s="17"/>
      <c r="IU228" s="17"/>
      <c r="IV228" s="17"/>
      <c r="IW228" s="17"/>
      <c r="IX228" s="17"/>
      <c r="IY228" s="17"/>
      <c r="IZ228" s="17"/>
      <c r="JA228" s="17"/>
      <c r="JB228" s="17"/>
      <c r="JC228" s="17"/>
      <c r="JD228" s="17"/>
      <c r="JE228" s="17"/>
      <c r="JF228" s="17"/>
      <c r="JG228" s="17"/>
      <c r="JH228" s="17"/>
      <c r="JI228" s="17"/>
      <c r="JJ228" s="17"/>
      <c r="JK228" s="17"/>
      <c r="JL228" s="17"/>
      <c r="JM228" s="17"/>
      <c r="JN228" s="17"/>
      <c r="JO228" s="17"/>
      <c r="JP228" s="17"/>
      <c r="JQ228" s="17"/>
      <c r="JR228" s="17"/>
      <c r="JS228" s="17"/>
      <c r="JT228" s="17"/>
      <c r="JU228" s="17"/>
      <c r="JV228" s="17"/>
      <c r="JW228" s="17"/>
      <c r="JX228" s="17"/>
      <c r="JY228" s="17"/>
      <c r="JZ228" s="17"/>
      <c r="KA228" s="17"/>
      <c r="KB228" s="17"/>
      <c r="KC228" s="17"/>
      <c r="KD228" s="17"/>
      <c r="KE228" s="17"/>
      <c r="KF228" s="17"/>
      <c r="KG228" s="17"/>
      <c r="KH228" s="17"/>
      <c r="KI228" s="17"/>
      <c r="KJ228" s="17"/>
      <c r="KK228" s="17"/>
      <c r="KL228" s="17"/>
      <c r="KM228" s="17"/>
      <c r="KN228" s="17"/>
      <c r="KO228" s="17"/>
      <c r="KP228" s="17"/>
      <c r="KQ228" s="17"/>
      <c r="KR228" s="17"/>
      <c r="KS228" s="17"/>
      <c r="KT228" s="17"/>
      <c r="KU228" s="17"/>
      <c r="KV228" s="17"/>
      <c r="KW228" s="17"/>
      <c r="KX228" s="17"/>
      <c r="KY228" s="17"/>
    </row>
    <row r="229" spans="1:311" x14ac:dyDescent="0.25">
      <c r="A229" s="17"/>
      <c r="B229" s="17"/>
      <c r="C229" s="17"/>
      <c r="D229" s="17"/>
      <c r="E229" s="17"/>
      <c r="F229" s="17"/>
      <c r="G229" s="17"/>
      <c r="H229" s="17"/>
      <c r="I229" s="17"/>
      <c r="J229" s="17"/>
      <c r="K229" s="17"/>
      <c r="L229" s="17"/>
      <c r="M229" s="17"/>
      <c r="N229" s="17"/>
      <c r="O229" s="17"/>
      <c r="P229" s="17"/>
      <c r="Q229" s="17"/>
      <c r="R229" s="17"/>
      <c r="S229" s="17"/>
      <c r="T229" s="17"/>
      <c r="U229" s="17"/>
      <c r="V229" s="17"/>
      <c r="W229" s="17"/>
      <c r="X229" s="17"/>
      <c r="Y229" s="17"/>
      <c r="Z229" s="17"/>
      <c r="AA229" s="17"/>
      <c r="AB229" s="17"/>
      <c r="AC229" s="17"/>
      <c r="AD229" s="17"/>
      <c r="AE229" s="17"/>
      <c r="AF229" s="17"/>
      <c r="AG229" s="17"/>
      <c r="AH229" s="17"/>
      <c r="AI229" s="17"/>
      <c r="AJ229" s="17"/>
      <c r="AK229" s="17"/>
      <c r="AL229" s="17"/>
      <c r="AM229" s="17"/>
      <c r="AN229" s="17"/>
      <c r="AO229" s="17"/>
      <c r="AP229" s="17"/>
      <c r="AQ229" s="17"/>
      <c r="AR229" s="17"/>
      <c r="AS229" s="17"/>
      <c r="AT229" s="17"/>
      <c r="AU229" s="17"/>
      <c r="AV229" s="17"/>
      <c r="AW229" s="17"/>
      <c r="AX229" s="17"/>
      <c r="AY229" s="17"/>
      <c r="AZ229" s="17"/>
      <c r="BA229" s="17"/>
      <c r="BB229" s="17"/>
      <c r="BC229" s="17"/>
      <c r="BD229" s="17"/>
      <c r="BE229" s="17"/>
      <c r="BF229" s="17"/>
      <c r="BG229" s="17"/>
      <c r="BH229" s="17"/>
      <c r="BI229" s="17"/>
      <c r="BJ229" s="17"/>
      <c r="BK229" s="17"/>
      <c r="BL229" s="17"/>
      <c r="BM229" s="17"/>
      <c r="BN229" s="17"/>
      <c r="BO229" s="17"/>
      <c r="BP229" s="17"/>
      <c r="BQ229" s="17"/>
      <c r="BR229" s="17"/>
      <c r="BS229" s="17"/>
      <c r="BT229" s="17"/>
      <c r="BU229" s="17"/>
      <c r="BV229" s="17"/>
      <c r="BW229" s="17"/>
      <c r="BX229" s="17"/>
      <c r="BY229" s="17"/>
      <c r="BZ229" s="17"/>
      <c r="CA229" s="17"/>
      <c r="CB229" s="17"/>
      <c r="CC229" s="17"/>
      <c r="CD229" s="17"/>
      <c r="CE229" s="17"/>
      <c r="CF229" s="17"/>
      <c r="CG229" s="17"/>
      <c r="CH229" s="17"/>
      <c r="CI229" s="17"/>
      <c r="CJ229" s="17"/>
      <c r="CK229" s="17"/>
      <c r="CL229" s="17"/>
      <c r="CM229" s="17"/>
      <c r="CN229" s="17"/>
      <c r="CO229" s="17"/>
      <c r="CP229" s="17"/>
      <c r="CQ229" s="17"/>
      <c r="CR229" s="17"/>
      <c r="CS229" s="17"/>
      <c r="CT229" s="17"/>
      <c r="CU229" s="17"/>
      <c r="CV229" s="17"/>
      <c r="CW229" s="17"/>
      <c r="CX229" s="17"/>
      <c r="CY229" s="17"/>
      <c r="CZ229" s="17"/>
      <c r="DA229" s="17"/>
      <c r="DB229" s="17"/>
      <c r="DC229" s="17"/>
      <c r="DD229" s="17"/>
      <c r="DE229" s="17"/>
      <c r="DF229" s="17"/>
      <c r="DG229" s="17"/>
      <c r="DH229" s="17"/>
      <c r="DI229" s="17"/>
      <c r="DJ229" s="17"/>
      <c r="DK229" s="17"/>
      <c r="DL229" s="17"/>
      <c r="DM229" s="17"/>
      <c r="DN229" s="17"/>
      <c r="DO229" s="17"/>
      <c r="DP229" s="17"/>
      <c r="DQ229" s="17"/>
      <c r="DR229" s="17"/>
      <c r="DS229" s="17"/>
      <c r="DT229" s="17"/>
      <c r="DU229" s="17"/>
      <c r="DV229" s="17"/>
      <c r="DW229" s="17"/>
      <c r="DX229" s="17"/>
      <c r="DY229" s="17"/>
      <c r="DZ229" s="17"/>
      <c r="EA229" s="17"/>
      <c r="EB229" s="17"/>
      <c r="EC229" s="17"/>
      <c r="ED229" s="17"/>
      <c r="EE229" s="17"/>
      <c r="EF229" s="17"/>
      <c r="EG229" s="17"/>
      <c r="EH229" s="17"/>
      <c r="EI229" s="17"/>
      <c r="EJ229" s="17"/>
      <c r="EK229" s="17"/>
      <c r="EL229" s="17"/>
      <c r="EM229" s="17"/>
      <c r="EN229" s="17"/>
      <c r="EO229" s="17"/>
      <c r="EP229" s="17"/>
      <c r="EQ229" s="17"/>
      <c r="ER229" s="17"/>
      <c r="ES229" s="17"/>
      <c r="ET229" s="17"/>
      <c r="EU229" s="17"/>
      <c r="EV229" s="17"/>
      <c r="EW229" s="17"/>
      <c r="EX229" s="17"/>
      <c r="EY229" s="17"/>
      <c r="EZ229" s="17"/>
      <c r="FA229" s="17"/>
      <c r="FB229" s="17"/>
      <c r="FC229" s="17"/>
      <c r="FD229" s="17"/>
      <c r="FE229" s="17"/>
      <c r="FF229" s="17"/>
      <c r="FG229" s="17"/>
      <c r="FH229" s="17"/>
      <c r="FI229" s="17"/>
      <c r="FJ229" s="17"/>
      <c r="FK229" s="17"/>
      <c r="FL229" s="17"/>
      <c r="FM229" s="17"/>
      <c r="FN229" s="17"/>
      <c r="FO229" s="17"/>
      <c r="FP229" s="17"/>
      <c r="FQ229" s="17"/>
      <c r="FR229" s="17"/>
      <c r="FS229" s="17"/>
      <c r="FT229" s="17"/>
      <c r="FU229" s="17"/>
      <c r="FV229" s="17"/>
      <c r="FW229" s="17"/>
      <c r="FX229" s="17"/>
      <c r="FY229" s="17"/>
      <c r="FZ229" s="17"/>
      <c r="GA229" s="17"/>
      <c r="GB229" s="17"/>
      <c r="GC229" s="17"/>
      <c r="GD229" s="17"/>
      <c r="GE229" s="17"/>
      <c r="GF229" s="17"/>
      <c r="GG229" s="17"/>
      <c r="GH229" s="17"/>
      <c r="GI229" s="17"/>
      <c r="GJ229" s="17"/>
      <c r="GK229" s="17"/>
      <c r="GL229" s="17"/>
      <c r="GM229" s="17"/>
      <c r="GN229" s="17"/>
      <c r="GO229" s="17"/>
      <c r="GP229" s="17"/>
      <c r="GQ229" s="17"/>
      <c r="GR229" s="17"/>
      <c r="GS229" s="17"/>
      <c r="GT229" s="17"/>
      <c r="GU229" s="17"/>
      <c r="GV229" s="17"/>
      <c r="GW229" s="17"/>
      <c r="GX229" s="17"/>
      <c r="GY229" s="17"/>
      <c r="GZ229" s="17"/>
      <c r="HA229" s="17"/>
      <c r="HB229" s="17"/>
      <c r="HC229" s="17"/>
      <c r="HD229" s="17"/>
      <c r="HE229" s="17"/>
      <c r="HF229" s="17"/>
      <c r="HG229" s="17"/>
      <c r="HH229" s="17"/>
      <c r="HI229" s="17"/>
      <c r="HJ229" s="17"/>
      <c r="HK229" s="17"/>
      <c r="HL229" s="17"/>
      <c r="HM229" s="17"/>
      <c r="HN229" s="17"/>
      <c r="HO229" s="17"/>
      <c r="HP229" s="17"/>
      <c r="HQ229" s="17"/>
      <c r="HR229" s="17"/>
      <c r="HS229" s="17"/>
      <c r="HT229" s="17"/>
      <c r="HU229" s="17"/>
      <c r="HV229" s="17"/>
      <c r="HW229" s="17"/>
      <c r="HX229" s="17"/>
      <c r="HY229" s="17"/>
      <c r="HZ229" s="17"/>
      <c r="IA229" s="17"/>
      <c r="IB229" s="17"/>
      <c r="IC229" s="17"/>
      <c r="ID229" s="17"/>
      <c r="IE229" s="17"/>
      <c r="IF229" s="17"/>
      <c r="IG229" s="17"/>
      <c r="IH229" s="17"/>
      <c r="II229" s="17"/>
      <c r="IJ229" s="17"/>
      <c r="IK229" s="17"/>
      <c r="IL229" s="17"/>
      <c r="IM229" s="17"/>
      <c r="IN229" s="17"/>
      <c r="IO229" s="17"/>
      <c r="IP229" s="17"/>
      <c r="IQ229" s="17"/>
      <c r="IR229" s="17"/>
      <c r="IS229" s="17"/>
      <c r="IT229" s="17"/>
      <c r="IU229" s="17"/>
      <c r="IV229" s="17"/>
      <c r="IW229" s="17"/>
      <c r="IX229" s="17"/>
      <c r="IY229" s="17"/>
      <c r="IZ229" s="17"/>
      <c r="JA229" s="17"/>
      <c r="JB229" s="17"/>
      <c r="JC229" s="17"/>
      <c r="JD229" s="17"/>
      <c r="JE229" s="17"/>
      <c r="JF229" s="17"/>
      <c r="JG229" s="17"/>
      <c r="JH229" s="17"/>
      <c r="JI229" s="17"/>
      <c r="JJ229" s="17"/>
      <c r="JK229" s="17"/>
      <c r="JL229" s="17"/>
      <c r="JM229" s="17"/>
      <c r="JN229" s="17"/>
      <c r="JO229" s="17"/>
      <c r="JP229" s="17"/>
      <c r="JQ229" s="17"/>
      <c r="JR229" s="17"/>
      <c r="JS229" s="17"/>
      <c r="JT229" s="17"/>
      <c r="JU229" s="17"/>
      <c r="JV229" s="17"/>
      <c r="JW229" s="17"/>
      <c r="JX229" s="17"/>
      <c r="JY229" s="17"/>
      <c r="JZ229" s="17"/>
      <c r="KA229" s="17"/>
      <c r="KB229" s="17"/>
      <c r="KC229" s="17"/>
      <c r="KD229" s="17"/>
      <c r="KE229" s="17"/>
      <c r="KF229" s="17"/>
      <c r="KG229" s="17"/>
      <c r="KH229" s="17"/>
      <c r="KI229" s="17"/>
      <c r="KJ229" s="17"/>
      <c r="KK229" s="17"/>
      <c r="KL229" s="17"/>
      <c r="KM229" s="17"/>
      <c r="KN229" s="17"/>
      <c r="KO229" s="17"/>
      <c r="KP229" s="17"/>
      <c r="KQ229" s="17"/>
      <c r="KR229" s="17"/>
      <c r="KS229" s="17"/>
      <c r="KT229" s="17"/>
      <c r="KU229" s="17"/>
      <c r="KV229" s="17"/>
      <c r="KW229" s="17"/>
      <c r="KX229" s="17"/>
      <c r="KY229" s="17"/>
    </row>
    <row r="230" spans="1:311" x14ac:dyDescent="0.25">
      <c r="A230" s="17"/>
      <c r="B230" s="17"/>
      <c r="C230" s="17"/>
      <c r="D230" s="17"/>
      <c r="E230" s="17"/>
      <c r="F230" s="17"/>
      <c r="G230" s="17"/>
      <c r="H230" s="17"/>
      <c r="I230" s="17"/>
      <c r="J230" s="17"/>
      <c r="K230" s="17"/>
      <c r="L230" s="17"/>
      <c r="M230" s="17"/>
      <c r="N230" s="17"/>
      <c r="O230" s="17"/>
      <c r="P230" s="17"/>
      <c r="Q230" s="17"/>
      <c r="R230" s="17"/>
      <c r="S230" s="17"/>
      <c r="T230" s="17"/>
      <c r="U230" s="17"/>
      <c r="V230" s="17"/>
      <c r="W230" s="17"/>
      <c r="X230" s="17"/>
      <c r="Y230" s="17"/>
      <c r="Z230" s="17"/>
      <c r="AA230" s="17"/>
      <c r="AB230" s="17"/>
      <c r="AC230" s="17"/>
      <c r="AD230" s="17"/>
      <c r="AE230" s="17"/>
      <c r="AF230" s="17"/>
      <c r="AG230" s="17"/>
      <c r="AH230" s="17"/>
      <c r="AI230" s="17"/>
      <c r="AJ230" s="17"/>
      <c r="AK230" s="17"/>
      <c r="AL230" s="17"/>
      <c r="AM230" s="17"/>
      <c r="AN230" s="17"/>
      <c r="AO230" s="17"/>
      <c r="AP230" s="17"/>
      <c r="AQ230" s="17"/>
      <c r="AR230" s="17"/>
      <c r="AS230" s="17"/>
      <c r="AT230" s="17"/>
      <c r="AU230" s="17"/>
      <c r="AV230" s="17"/>
      <c r="AW230" s="17"/>
      <c r="AX230" s="17"/>
      <c r="AY230" s="17"/>
      <c r="AZ230" s="17"/>
      <c r="BA230" s="17"/>
      <c r="BB230" s="17"/>
      <c r="BC230" s="17"/>
      <c r="BD230" s="17"/>
      <c r="BE230" s="17"/>
      <c r="BF230" s="17"/>
      <c r="BG230" s="17"/>
      <c r="BH230" s="17"/>
      <c r="BI230" s="17"/>
      <c r="BJ230" s="17"/>
      <c r="BK230" s="17"/>
      <c r="BL230" s="17"/>
      <c r="BM230" s="17"/>
      <c r="BN230" s="17"/>
      <c r="BO230" s="17"/>
      <c r="BP230" s="17"/>
      <c r="BQ230" s="17"/>
      <c r="BR230" s="17"/>
      <c r="BS230" s="17"/>
      <c r="BT230" s="17"/>
      <c r="BU230" s="17"/>
      <c r="BV230" s="17"/>
      <c r="BW230" s="17"/>
      <c r="BX230" s="17"/>
      <c r="BY230" s="17"/>
      <c r="BZ230" s="17"/>
      <c r="CA230" s="17"/>
      <c r="CB230" s="17"/>
      <c r="CC230" s="17"/>
      <c r="CD230" s="17"/>
      <c r="CE230" s="17"/>
      <c r="CF230" s="17"/>
      <c r="CG230" s="17"/>
      <c r="CH230" s="17"/>
      <c r="CI230" s="17"/>
      <c r="CJ230" s="17"/>
      <c r="CK230" s="17"/>
      <c r="CL230" s="17"/>
      <c r="CM230" s="17"/>
      <c r="CN230" s="17"/>
      <c r="CO230" s="17"/>
      <c r="CP230" s="17"/>
      <c r="CQ230" s="17"/>
      <c r="CR230" s="17"/>
      <c r="CS230" s="17"/>
      <c r="CT230" s="17"/>
      <c r="CU230" s="17"/>
      <c r="CV230" s="17"/>
      <c r="CW230" s="17"/>
      <c r="CX230" s="17"/>
      <c r="CY230" s="17"/>
      <c r="CZ230" s="17"/>
      <c r="DA230" s="17"/>
      <c r="DB230" s="17"/>
      <c r="DC230" s="17"/>
      <c r="DD230" s="17"/>
      <c r="DE230" s="17"/>
      <c r="DF230" s="17"/>
      <c r="DG230" s="17"/>
      <c r="DH230" s="17"/>
      <c r="DI230" s="17"/>
      <c r="DJ230" s="17"/>
      <c r="DK230" s="17"/>
      <c r="DL230" s="17"/>
      <c r="DM230" s="17"/>
      <c r="DN230" s="17"/>
      <c r="DO230" s="17"/>
      <c r="DP230" s="17"/>
      <c r="DQ230" s="17"/>
      <c r="DR230" s="17"/>
      <c r="DS230" s="17"/>
      <c r="DT230" s="17"/>
      <c r="DU230" s="17"/>
      <c r="DV230" s="17"/>
      <c r="DW230" s="17"/>
      <c r="DX230" s="17"/>
      <c r="DY230" s="17"/>
      <c r="DZ230" s="17"/>
      <c r="EA230" s="17"/>
      <c r="EB230" s="17"/>
      <c r="EC230" s="17"/>
      <c r="ED230" s="17"/>
      <c r="EE230" s="17"/>
      <c r="EF230" s="17"/>
      <c r="EG230" s="17"/>
      <c r="EH230" s="17"/>
      <c r="EI230" s="17"/>
      <c r="EJ230" s="17"/>
      <c r="EK230" s="17"/>
      <c r="EL230" s="17"/>
      <c r="EM230" s="17"/>
      <c r="EN230" s="17"/>
      <c r="EO230" s="17"/>
      <c r="EP230" s="17"/>
      <c r="EQ230" s="17"/>
      <c r="ER230" s="17"/>
      <c r="ES230" s="17"/>
      <c r="ET230" s="17"/>
      <c r="EU230" s="17"/>
      <c r="EV230" s="17"/>
      <c r="EW230" s="17"/>
      <c r="EX230" s="17"/>
      <c r="EY230" s="17"/>
      <c r="EZ230" s="17"/>
      <c r="FA230" s="17"/>
      <c r="FB230" s="17"/>
      <c r="FC230" s="17"/>
      <c r="FD230" s="17"/>
      <c r="FE230" s="17"/>
      <c r="FF230" s="17"/>
      <c r="FG230" s="17"/>
      <c r="FH230" s="17"/>
      <c r="FI230" s="17"/>
      <c r="FJ230" s="17"/>
      <c r="FK230" s="17"/>
      <c r="FL230" s="17"/>
      <c r="FM230" s="17"/>
      <c r="FN230" s="17"/>
      <c r="FO230" s="17"/>
      <c r="FP230" s="17"/>
      <c r="FQ230" s="17"/>
      <c r="FR230" s="17"/>
      <c r="FS230" s="17"/>
      <c r="FT230" s="17"/>
      <c r="FU230" s="17"/>
      <c r="FV230" s="17"/>
      <c r="FW230" s="17"/>
      <c r="FX230" s="17"/>
      <c r="FY230" s="17"/>
      <c r="FZ230" s="17"/>
      <c r="GA230" s="17"/>
      <c r="GB230" s="17"/>
      <c r="GC230" s="17"/>
      <c r="GD230" s="17"/>
      <c r="GE230" s="17"/>
      <c r="GF230" s="17"/>
      <c r="GG230" s="17"/>
      <c r="GH230" s="17"/>
      <c r="GI230" s="17"/>
      <c r="GJ230" s="17"/>
      <c r="GK230" s="17"/>
      <c r="GL230" s="17"/>
      <c r="GM230" s="17"/>
      <c r="GN230" s="17"/>
      <c r="GO230" s="17"/>
      <c r="GP230" s="17"/>
      <c r="GQ230" s="17"/>
      <c r="GR230" s="17"/>
      <c r="GS230" s="17"/>
      <c r="GT230" s="17"/>
      <c r="GU230" s="17"/>
      <c r="GV230" s="17"/>
      <c r="GW230" s="17"/>
      <c r="GX230" s="17"/>
      <c r="GY230" s="17"/>
      <c r="GZ230" s="17"/>
      <c r="HA230" s="17"/>
      <c r="HB230" s="17"/>
      <c r="HC230" s="17"/>
      <c r="HD230" s="17"/>
      <c r="HE230" s="17"/>
      <c r="HF230" s="17"/>
      <c r="HG230" s="17"/>
      <c r="HH230" s="17"/>
      <c r="HI230" s="17"/>
      <c r="HJ230" s="17"/>
      <c r="HK230" s="17"/>
      <c r="HL230" s="17"/>
      <c r="HM230" s="17"/>
      <c r="HN230" s="17"/>
      <c r="HO230" s="17"/>
      <c r="HP230" s="17"/>
      <c r="HQ230" s="17"/>
      <c r="HR230" s="17"/>
      <c r="HS230" s="17"/>
      <c r="HT230" s="17"/>
      <c r="HU230" s="17"/>
      <c r="HV230" s="17"/>
      <c r="HW230" s="17"/>
      <c r="HX230" s="17"/>
      <c r="HY230" s="17"/>
      <c r="HZ230" s="17"/>
      <c r="IA230" s="17"/>
      <c r="IB230" s="17"/>
      <c r="IC230" s="17"/>
      <c r="ID230" s="17"/>
      <c r="IE230" s="17"/>
      <c r="IF230" s="17"/>
      <c r="IG230" s="17"/>
      <c r="IH230" s="17"/>
      <c r="II230" s="17"/>
      <c r="IJ230" s="17"/>
      <c r="IK230" s="17"/>
      <c r="IL230" s="17"/>
      <c r="IM230" s="17"/>
      <c r="IN230" s="17"/>
      <c r="IO230" s="17"/>
      <c r="IP230" s="17"/>
      <c r="IQ230" s="17"/>
      <c r="IR230" s="17"/>
      <c r="IS230" s="17"/>
      <c r="IT230" s="17"/>
      <c r="IU230" s="17"/>
      <c r="IV230" s="17"/>
      <c r="IW230" s="17"/>
      <c r="IX230" s="17"/>
      <c r="IY230" s="17"/>
      <c r="IZ230" s="17"/>
      <c r="JA230" s="17"/>
      <c r="JB230" s="17"/>
      <c r="JC230" s="17"/>
      <c r="JD230" s="17"/>
      <c r="JE230" s="17"/>
      <c r="JF230" s="17"/>
      <c r="JG230" s="17"/>
      <c r="JH230" s="17"/>
      <c r="JI230" s="17"/>
      <c r="JJ230" s="17"/>
      <c r="JK230" s="17"/>
      <c r="JL230" s="17"/>
      <c r="JM230" s="17"/>
      <c r="JN230" s="17"/>
      <c r="JO230" s="17"/>
      <c r="JP230" s="17"/>
      <c r="JQ230" s="17"/>
      <c r="JR230" s="17"/>
      <c r="JS230" s="17"/>
      <c r="JT230" s="17"/>
      <c r="JU230" s="17"/>
      <c r="JV230" s="17"/>
      <c r="JW230" s="17"/>
      <c r="JX230" s="17"/>
      <c r="JY230" s="17"/>
      <c r="JZ230" s="17"/>
      <c r="KA230" s="17"/>
      <c r="KB230" s="17"/>
      <c r="KC230" s="17"/>
      <c r="KD230" s="17"/>
      <c r="KE230" s="17"/>
      <c r="KF230" s="17"/>
      <c r="KG230" s="17"/>
      <c r="KH230" s="17"/>
      <c r="KI230" s="17"/>
      <c r="KJ230" s="17"/>
      <c r="KK230" s="17"/>
      <c r="KL230" s="17"/>
      <c r="KM230" s="17"/>
      <c r="KN230" s="17"/>
      <c r="KO230" s="17"/>
      <c r="KP230" s="17"/>
      <c r="KQ230" s="17"/>
      <c r="KR230" s="17"/>
      <c r="KS230" s="17"/>
      <c r="KT230" s="17"/>
      <c r="KU230" s="17"/>
      <c r="KV230" s="17"/>
      <c r="KW230" s="17"/>
      <c r="KX230" s="17"/>
      <c r="KY230" s="17"/>
    </row>
    <row r="231" spans="1:311" x14ac:dyDescent="0.25">
      <c r="A231" s="17"/>
      <c r="B231" s="17"/>
      <c r="C231" s="17"/>
      <c r="D231" s="17"/>
      <c r="E231" s="17"/>
      <c r="F231" s="17"/>
      <c r="G231" s="17"/>
      <c r="H231" s="17"/>
      <c r="I231" s="17"/>
      <c r="J231" s="17"/>
      <c r="K231" s="17"/>
      <c r="L231" s="17"/>
      <c r="M231" s="17"/>
      <c r="N231" s="17"/>
      <c r="O231" s="17"/>
      <c r="P231" s="17"/>
      <c r="Q231" s="17"/>
      <c r="R231" s="17"/>
      <c r="S231" s="17"/>
      <c r="T231" s="17"/>
      <c r="U231" s="17"/>
      <c r="V231" s="17"/>
      <c r="W231" s="17"/>
      <c r="X231" s="17"/>
      <c r="Y231" s="17"/>
      <c r="Z231" s="17"/>
      <c r="AA231" s="17"/>
      <c r="AB231" s="17"/>
      <c r="AC231" s="17"/>
      <c r="AD231" s="17"/>
      <c r="AE231" s="17"/>
      <c r="AF231" s="17"/>
      <c r="AG231" s="17"/>
      <c r="AH231" s="17"/>
      <c r="AI231" s="17"/>
      <c r="AJ231" s="17"/>
      <c r="AK231" s="17"/>
      <c r="AL231" s="17"/>
      <c r="AM231" s="17"/>
      <c r="AN231" s="17"/>
      <c r="AO231" s="17"/>
      <c r="AP231" s="17"/>
      <c r="AQ231" s="17"/>
      <c r="AR231" s="17"/>
      <c r="AS231" s="17"/>
      <c r="AT231" s="17"/>
      <c r="AU231" s="17"/>
      <c r="AV231" s="17"/>
      <c r="AW231" s="17"/>
      <c r="AX231" s="17"/>
      <c r="AY231" s="17"/>
      <c r="AZ231" s="17"/>
      <c r="BA231" s="17"/>
      <c r="BB231" s="17"/>
      <c r="BC231" s="17"/>
      <c r="BD231" s="17"/>
      <c r="BE231" s="17"/>
      <c r="BF231" s="17"/>
      <c r="BG231" s="17"/>
      <c r="BH231" s="17"/>
      <c r="BI231" s="17"/>
      <c r="BJ231" s="17"/>
      <c r="BK231" s="17"/>
      <c r="BL231" s="17"/>
      <c r="BM231" s="17"/>
      <c r="BN231" s="17"/>
      <c r="BO231" s="17"/>
      <c r="BP231" s="17"/>
      <c r="BQ231" s="17"/>
      <c r="BR231" s="17"/>
      <c r="BS231" s="17"/>
      <c r="BT231" s="17"/>
      <c r="BU231" s="17"/>
      <c r="BV231" s="17"/>
      <c r="BW231" s="17"/>
      <c r="BX231" s="17"/>
      <c r="BY231" s="17"/>
      <c r="BZ231" s="17"/>
      <c r="CA231" s="17"/>
      <c r="CB231" s="17"/>
      <c r="CC231" s="17"/>
      <c r="CD231" s="17"/>
      <c r="CE231" s="17"/>
      <c r="CF231" s="17"/>
      <c r="CG231" s="17"/>
      <c r="CH231" s="17"/>
      <c r="CI231" s="17"/>
      <c r="CJ231" s="17"/>
      <c r="CK231" s="17"/>
      <c r="CL231" s="17"/>
      <c r="CM231" s="17"/>
      <c r="CN231" s="17"/>
      <c r="CO231" s="17"/>
      <c r="CP231" s="17"/>
      <c r="CQ231" s="17"/>
      <c r="CR231" s="17"/>
      <c r="CS231" s="17"/>
      <c r="CT231" s="17"/>
      <c r="CU231" s="17"/>
      <c r="CV231" s="17"/>
      <c r="CW231" s="17"/>
      <c r="CX231" s="17"/>
      <c r="CY231" s="17"/>
      <c r="CZ231" s="17"/>
      <c r="DA231" s="17"/>
      <c r="DB231" s="17"/>
      <c r="DC231" s="17"/>
      <c r="DD231" s="17"/>
      <c r="DE231" s="17"/>
      <c r="DF231" s="17"/>
      <c r="DG231" s="17"/>
      <c r="DH231" s="17"/>
      <c r="DI231" s="17"/>
      <c r="DJ231" s="17"/>
      <c r="DK231" s="17"/>
      <c r="DL231" s="17"/>
      <c r="DM231" s="17"/>
      <c r="DN231" s="17"/>
      <c r="DO231" s="17"/>
      <c r="DP231" s="17"/>
      <c r="DQ231" s="17"/>
      <c r="DR231" s="17"/>
      <c r="DS231" s="17"/>
      <c r="DT231" s="17"/>
      <c r="DU231" s="17"/>
      <c r="DV231" s="17"/>
      <c r="DW231" s="17"/>
      <c r="DX231" s="17"/>
      <c r="DY231" s="17"/>
      <c r="DZ231" s="17"/>
      <c r="EA231" s="17"/>
      <c r="EB231" s="17"/>
      <c r="EC231" s="17"/>
      <c r="ED231" s="17"/>
      <c r="EE231" s="17"/>
      <c r="EF231" s="17"/>
      <c r="EG231" s="17"/>
      <c r="EH231" s="17"/>
      <c r="EI231" s="17"/>
      <c r="EJ231" s="17"/>
      <c r="EK231" s="17"/>
      <c r="EL231" s="17"/>
      <c r="EM231" s="17"/>
      <c r="EN231" s="17"/>
      <c r="EO231" s="17"/>
      <c r="EP231" s="17"/>
      <c r="EQ231" s="17"/>
      <c r="ER231" s="17"/>
      <c r="ES231" s="17"/>
      <c r="ET231" s="17"/>
      <c r="EU231" s="17"/>
      <c r="EV231" s="17"/>
      <c r="EW231" s="17"/>
      <c r="EX231" s="17"/>
      <c r="EY231" s="17"/>
      <c r="EZ231" s="17"/>
      <c r="FA231" s="17"/>
      <c r="FB231" s="17"/>
      <c r="FC231" s="17"/>
      <c r="FD231" s="17"/>
      <c r="FE231" s="17"/>
      <c r="FF231" s="17"/>
      <c r="FG231" s="17"/>
      <c r="FH231" s="17"/>
      <c r="FI231" s="17"/>
      <c r="FJ231" s="17"/>
      <c r="FK231" s="17"/>
      <c r="FL231" s="17"/>
      <c r="FM231" s="17"/>
      <c r="FN231" s="17"/>
      <c r="FO231" s="17"/>
      <c r="FP231" s="17"/>
      <c r="FQ231" s="17"/>
      <c r="FR231" s="17"/>
      <c r="FS231" s="17"/>
      <c r="FT231" s="17"/>
      <c r="FU231" s="17"/>
      <c r="FV231" s="17"/>
      <c r="FW231" s="17"/>
      <c r="FX231" s="17"/>
      <c r="FY231" s="17"/>
      <c r="FZ231" s="17"/>
      <c r="GA231" s="17"/>
      <c r="GB231" s="17"/>
      <c r="GC231" s="17"/>
      <c r="GD231" s="17"/>
      <c r="GE231" s="17"/>
      <c r="GF231" s="17"/>
      <c r="GG231" s="17"/>
      <c r="GH231" s="17"/>
      <c r="GI231" s="17"/>
      <c r="GJ231" s="17"/>
      <c r="GK231" s="17"/>
      <c r="GL231" s="17"/>
      <c r="GM231" s="17"/>
      <c r="GN231" s="17"/>
      <c r="GO231" s="17"/>
      <c r="GP231" s="17"/>
      <c r="GQ231" s="17"/>
      <c r="GR231" s="17"/>
      <c r="GS231" s="17"/>
      <c r="GT231" s="17"/>
      <c r="GU231" s="17"/>
      <c r="GV231" s="17"/>
      <c r="GW231" s="17"/>
      <c r="GX231" s="17"/>
      <c r="GY231" s="17"/>
      <c r="GZ231" s="17"/>
      <c r="HA231" s="17"/>
      <c r="HB231" s="17"/>
      <c r="HC231" s="17"/>
      <c r="HD231" s="17"/>
      <c r="HE231" s="17"/>
      <c r="HF231" s="17"/>
      <c r="HG231" s="17"/>
      <c r="HH231" s="17"/>
      <c r="HI231" s="17"/>
      <c r="HJ231" s="17"/>
      <c r="HK231" s="17"/>
      <c r="HL231" s="17"/>
      <c r="HM231" s="17"/>
      <c r="HN231" s="17"/>
      <c r="HO231" s="17"/>
      <c r="HP231" s="17"/>
      <c r="HQ231" s="17"/>
      <c r="HR231" s="17"/>
      <c r="HS231" s="17"/>
      <c r="HT231" s="17"/>
      <c r="HU231" s="17"/>
      <c r="HV231" s="17"/>
      <c r="HW231" s="17"/>
      <c r="HX231" s="17"/>
      <c r="HY231" s="17"/>
      <c r="HZ231" s="17"/>
      <c r="IA231" s="17"/>
      <c r="IB231" s="17"/>
      <c r="IC231" s="17"/>
      <c r="ID231" s="17"/>
      <c r="IE231" s="17"/>
      <c r="IF231" s="17"/>
      <c r="IG231" s="17"/>
      <c r="IH231" s="17"/>
      <c r="II231" s="17"/>
      <c r="IJ231" s="17"/>
      <c r="IK231" s="17"/>
      <c r="IL231" s="17"/>
      <c r="IM231" s="17"/>
      <c r="IN231" s="17"/>
      <c r="IO231" s="17"/>
      <c r="IP231" s="17"/>
      <c r="IQ231" s="17"/>
      <c r="IR231" s="17"/>
      <c r="IS231" s="17"/>
      <c r="IT231" s="17"/>
      <c r="IU231" s="17"/>
      <c r="IV231" s="17"/>
      <c r="IW231" s="17"/>
      <c r="IX231" s="17"/>
      <c r="IY231" s="17"/>
      <c r="IZ231" s="17"/>
      <c r="JA231" s="17"/>
      <c r="JB231" s="17"/>
      <c r="JC231" s="17"/>
      <c r="JD231" s="17"/>
      <c r="JE231" s="17"/>
      <c r="JF231" s="17"/>
      <c r="JG231" s="17"/>
      <c r="JH231" s="17"/>
      <c r="JI231" s="17"/>
      <c r="JJ231" s="17"/>
      <c r="JK231" s="17"/>
      <c r="JL231" s="17"/>
      <c r="JM231" s="17"/>
      <c r="JN231" s="17"/>
      <c r="JO231" s="17"/>
      <c r="JP231" s="17"/>
      <c r="JQ231" s="17"/>
      <c r="JR231" s="17"/>
      <c r="JS231" s="17"/>
      <c r="JT231" s="17"/>
      <c r="JU231" s="17"/>
      <c r="JV231" s="17"/>
      <c r="JW231" s="17"/>
      <c r="JX231" s="17"/>
      <c r="JY231" s="17"/>
      <c r="JZ231" s="17"/>
      <c r="KA231" s="17"/>
      <c r="KB231" s="17"/>
      <c r="KC231" s="17"/>
      <c r="KD231" s="17"/>
      <c r="KE231" s="17"/>
      <c r="KF231" s="17"/>
      <c r="KG231" s="17"/>
      <c r="KH231" s="17"/>
      <c r="KI231" s="17"/>
      <c r="KJ231" s="17"/>
      <c r="KK231" s="17"/>
      <c r="KL231" s="17"/>
      <c r="KM231" s="17"/>
      <c r="KN231" s="17"/>
      <c r="KO231" s="17"/>
      <c r="KP231" s="17"/>
      <c r="KQ231" s="17"/>
      <c r="KR231" s="17"/>
      <c r="KS231" s="17"/>
      <c r="KT231" s="17"/>
      <c r="KU231" s="17"/>
      <c r="KV231" s="17"/>
      <c r="KW231" s="17"/>
      <c r="KX231" s="17"/>
      <c r="KY231" s="17"/>
    </row>
    <row r="232" spans="1:311" x14ac:dyDescent="0.25">
      <c r="A232" s="17"/>
      <c r="B232" s="17"/>
      <c r="C232" s="17"/>
      <c r="D232" s="17"/>
      <c r="E232" s="17"/>
      <c r="F232" s="17"/>
      <c r="G232" s="17"/>
      <c r="H232" s="17"/>
      <c r="I232" s="17"/>
      <c r="J232" s="17"/>
      <c r="K232" s="17"/>
      <c r="L232" s="17"/>
      <c r="M232" s="17"/>
      <c r="N232" s="17"/>
      <c r="O232" s="17"/>
      <c r="P232" s="17"/>
      <c r="Q232" s="17"/>
      <c r="R232" s="17"/>
      <c r="S232" s="17"/>
      <c r="T232" s="17"/>
      <c r="U232" s="17"/>
      <c r="V232" s="17"/>
      <c r="W232" s="17"/>
      <c r="X232" s="17"/>
      <c r="Y232" s="17"/>
      <c r="Z232" s="17"/>
      <c r="AA232" s="17"/>
      <c r="AB232" s="17"/>
      <c r="AC232" s="17"/>
      <c r="AD232" s="17"/>
      <c r="AE232" s="17"/>
      <c r="AF232" s="17"/>
      <c r="AG232" s="17"/>
      <c r="AH232" s="17"/>
      <c r="AI232" s="17"/>
      <c r="AJ232" s="17"/>
      <c r="AK232" s="17"/>
      <c r="AL232" s="17"/>
      <c r="AM232" s="17"/>
      <c r="AN232" s="17"/>
      <c r="AO232" s="17"/>
      <c r="AP232" s="17"/>
      <c r="AQ232" s="17"/>
      <c r="AR232" s="17"/>
      <c r="AS232" s="17"/>
      <c r="AT232" s="17"/>
      <c r="AU232" s="17"/>
      <c r="AV232" s="17"/>
      <c r="AW232" s="17"/>
      <c r="AX232" s="17"/>
      <c r="AY232" s="17"/>
      <c r="AZ232" s="17"/>
      <c r="BA232" s="17"/>
      <c r="BB232" s="17"/>
      <c r="BC232" s="17"/>
      <c r="BD232" s="17"/>
      <c r="BE232" s="17"/>
      <c r="BF232" s="17"/>
      <c r="BG232" s="17"/>
      <c r="BH232" s="17"/>
      <c r="BI232" s="17"/>
      <c r="BJ232" s="17"/>
      <c r="BK232" s="17"/>
      <c r="BL232" s="17"/>
      <c r="BM232" s="17"/>
      <c r="BN232" s="17"/>
      <c r="BO232" s="17"/>
      <c r="BP232" s="17"/>
      <c r="BQ232" s="17"/>
      <c r="BR232" s="17"/>
      <c r="BS232" s="17"/>
      <c r="BT232" s="17"/>
      <c r="BU232" s="17"/>
      <c r="BV232" s="17"/>
      <c r="BW232" s="17"/>
      <c r="BX232" s="17"/>
      <c r="BY232" s="17"/>
      <c r="BZ232" s="17"/>
      <c r="CA232" s="17"/>
      <c r="CB232" s="17"/>
      <c r="CC232" s="17"/>
      <c r="CD232" s="17"/>
      <c r="CE232" s="17"/>
      <c r="CF232" s="17"/>
      <c r="CG232" s="17"/>
      <c r="CH232" s="17"/>
      <c r="CI232" s="17"/>
      <c r="CJ232" s="17"/>
      <c r="CK232" s="17"/>
      <c r="CL232" s="17"/>
      <c r="CM232" s="17"/>
      <c r="CN232" s="17"/>
      <c r="CO232" s="17"/>
      <c r="CP232" s="17"/>
      <c r="CQ232" s="17"/>
      <c r="CR232" s="17"/>
      <c r="CS232" s="17"/>
      <c r="CT232" s="17"/>
      <c r="CU232" s="17"/>
      <c r="CV232" s="17"/>
      <c r="CW232" s="17"/>
      <c r="CX232" s="17"/>
      <c r="CY232" s="17"/>
      <c r="CZ232" s="17"/>
      <c r="DA232" s="17"/>
      <c r="DB232" s="17"/>
      <c r="DC232" s="17"/>
      <c r="DD232" s="17"/>
      <c r="DE232" s="17"/>
      <c r="DF232" s="17"/>
      <c r="DG232" s="17"/>
      <c r="DH232" s="17"/>
      <c r="DI232" s="17"/>
      <c r="DJ232" s="17"/>
      <c r="DK232" s="17"/>
      <c r="DL232" s="17"/>
      <c r="DM232" s="17"/>
      <c r="DN232" s="17"/>
      <c r="DO232" s="17"/>
      <c r="DP232" s="17"/>
      <c r="DQ232" s="17"/>
      <c r="DR232" s="17"/>
      <c r="DS232" s="17"/>
      <c r="DT232" s="17"/>
      <c r="DU232" s="17"/>
      <c r="DV232" s="17"/>
      <c r="DW232" s="17"/>
      <c r="DX232" s="17"/>
      <c r="DY232" s="17"/>
      <c r="DZ232" s="17"/>
      <c r="EA232" s="17"/>
      <c r="EB232" s="17"/>
      <c r="EC232" s="17"/>
      <c r="ED232" s="17"/>
      <c r="EE232" s="17"/>
      <c r="EF232" s="17"/>
      <c r="EG232" s="17"/>
      <c r="EH232" s="17"/>
      <c r="EI232" s="17"/>
      <c r="EJ232" s="17"/>
      <c r="EK232" s="17"/>
      <c r="EL232" s="17"/>
      <c r="EM232" s="17"/>
      <c r="EN232" s="17"/>
      <c r="EO232" s="17"/>
      <c r="EP232" s="17"/>
      <c r="EQ232" s="17"/>
      <c r="ER232" s="17"/>
      <c r="ES232" s="17"/>
      <c r="ET232" s="17"/>
      <c r="EU232" s="17"/>
      <c r="EV232" s="17"/>
      <c r="EW232" s="17"/>
      <c r="EX232" s="17"/>
      <c r="EY232" s="17"/>
      <c r="EZ232" s="17"/>
      <c r="FA232" s="17"/>
      <c r="FB232" s="17"/>
      <c r="FC232" s="17"/>
      <c r="FD232" s="17"/>
      <c r="FE232" s="17"/>
      <c r="FF232" s="17"/>
      <c r="FG232" s="17"/>
      <c r="FH232" s="17"/>
      <c r="FI232" s="17"/>
      <c r="FJ232" s="17"/>
      <c r="FK232" s="17"/>
      <c r="FL232" s="17"/>
      <c r="FM232" s="17"/>
      <c r="FN232" s="17"/>
      <c r="FO232" s="17"/>
      <c r="FP232" s="17"/>
      <c r="FQ232" s="17"/>
      <c r="FR232" s="17"/>
      <c r="FS232" s="17"/>
      <c r="FT232" s="17"/>
      <c r="FU232" s="17"/>
      <c r="FV232" s="17"/>
      <c r="FW232" s="17"/>
      <c r="FX232" s="17"/>
      <c r="FY232" s="17"/>
      <c r="FZ232" s="17"/>
      <c r="GA232" s="17"/>
      <c r="GB232" s="17"/>
      <c r="GC232" s="17"/>
      <c r="GD232" s="17"/>
      <c r="GE232" s="17"/>
      <c r="GF232" s="17"/>
      <c r="GG232" s="17"/>
      <c r="GH232" s="17"/>
      <c r="GI232" s="17"/>
      <c r="GJ232" s="17"/>
      <c r="GK232" s="17"/>
      <c r="GL232" s="17"/>
      <c r="GM232" s="17"/>
      <c r="GN232" s="17"/>
      <c r="GO232" s="17"/>
      <c r="GP232" s="17"/>
      <c r="GQ232" s="17"/>
      <c r="GR232" s="17"/>
      <c r="GS232" s="17"/>
      <c r="GT232" s="17"/>
      <c r="GU232" s="17"/>
      <c r="GV232" s="17"/>
      <c r="GW232" s="17"/>
      <c r="GX232" s="17"/>
      <c r="GY232" s="17"/>
      <c r="GZ232" s="17"/>
      <c r="HA232" s="17"/>
      <c r="HB232" s="17"/>
      <c r="HC232" s="17"/>
      <c r="HD232" s="17"/>
      <c r="HE232" s="17"/>
      <c r="HF232" s="17"/>
      <c r="HG232" s="17"/>
      <c r="HH232" s="17"/>
      <c r="HI232" s="17"/>
      <c r="HJ232" s="17"/>
      <c r="HK232" s="17"/>
      <c r="HL232" s="17"/>
      <c r="HM232" s="17"/>
      <c r="HN232" s="17"/>
      <c r="HO232" s="17"/>
      <c r="HP232" s="17"/>
      <c r="HQ232" s="17"/>
      <c r="HR232" s="17"/>
      <c r="HS232" s="17"/>
      <c r="HT232" s="17"/>
      <c r="HU232" s="17"/>
      <c r="HV232" s="17"/>
      <c r="HW232" s="17"/>
      <c r="HX232" s="17"/>
      <c r="HY232" s="17"/>
      <c r="HZ232" s="17"/>
      <c r="IA232" s="17"/>
      <c r="IB232" s="17"/>
      <c r="IC232" s="17"/>
      <c r="ID232" s="17"/>
      <c r="IE232" s="17"/>
      <c r="IF232" s="17"/>
      <c r="IG232" s="17"/>
      <c r="IH232" s="17"/>
      <c r="II232" s="17"/>
      <c r="IJ232" s="17"/>
      <c r="IK232" s="17"/>
      <c r="IL232" s="17"/>
      <c r="IM232" s="17"/>
      <c r="IN232" s="17"/>
      <c r="IO232" s="17"/>
      <c r="IP232" s="17"/>
      <c r="IQ232" s="17"/>
      <c r="IR232" s="17"/>
      <c r="IS232" s="17"/>
      <c r="IT232" s="17"/>
      <c r="IU232" s="17"/>
      <c r="IV232" s="17"/>
      <c r="IW232" s="17"/>
      <c r="IX232" s="17"/>
      <c r="IY232" s="17"/>
      <c r="IZ232" s="17"/>
      <c r="JA232" s="17"/>
      <c r="JB232" s="17"/>
      <c r="JC232" s="17"/>
      <c r="JD232" s="17"/>
      <c r="JE232" s="17"/>
      <c r="JF232" s="17"/>
      <c r="JG232" s="17"/>
      <c r="JH232" s="17"/>
      <c r="JI232" s="17"/>
      <c r="JJ232" s="17"/>
      <c r="JK232" s="17"/>
      <c r="JL232" s="17"/>
      <c r="JM232" s="17"/>
      <c r="JN232" s="17"/>
      <c r="JO232" s="17"/>
      <c r="JP232" s="17"/>
      <c r="JQ232" s="17"/>
      <c r="JR232" s="17"/>
      <c r="JS232" s="17"/>
      <c r="JT232" s="17"/>
      <c r="JU232" s="17"/>
      <c r="JV232" s="17"/>
      <c r="JW232" s="17"/>
      <c r="JX232" s="17"/>
      <c r="JY232" s="17"/>
      <c r="JZ232" s="17"/>
      <c r="KA232" s="17"/>
      <c r="KB232" s="17"/>
      <c r="KC232" s="17"/>
      <c r="KD232" s="17"/>
      <c r="KE232" s="17"/>
      <c r="KF232" s="17"/>
      <c r="KG232" s="17"/>
      <c r="KH232" s="17"/>
      <c r="KI232" s="17"/>
      <c r="KJ232" s="17"/>
      <c r="KK232" s="17"/>
      <c r="KL232" s="17"/>
      <c r="KM232" s="17"/>
      <c r="KN232" s="17"/>
      <c r="KO232" s="17"/>
      <c r="KP232" s="17"/>
      <c r="KQ232" s="17"/>
      <c r="KR232" s="17"/>
      <c r="KS232" s="17"/>
      <c r="KT232" s="17"/>
      <c r="KU232" s="17"/>
      <c r="KV232" s="17"/>
      <c r="KW232" s="17"/>
      <c r="KX232" s="17"/>
      <c r="KY232" s="17"/>
    </row>
    <row r="233" spans="1:311" x14ac:dyDescent="0.25">
      <c r="A233" s="17"/>
      <c r="B233" s="17"/>
      <c r="C233" s="17"/>
      <c r="D233" s="17"/>
      <c r="E233" s="17"/>
      <c r="F233" s="17"/>
      <c r="G233" s="17"/>
      <c r="H233" s="17"/>
      <c r="I233" s="17"/>
      <c r="J233" s="17"/>
      <c r="K233" s="17"/>
      <c r="L233" s="17"/>
      <c r="M233" s="17"/>
      <c r="N233" s="17"/>
      <c r="O233" s="17"/>
      <c r="P233" s="17"/>
      <c r="Q233" s="17"/>
      <c r="R233" s="17"/>
      <c r="S233" s="17"/>
      <c r="T233" s="17"/>
      <c r="U233" s="17"/>
      <c r="V233" s="17"/>
      <c r="W233" s="17"/>
      <c r="X233" s="17"/>
      <c r="Y233" s="17"/>
      <c r="Z233" s="17"/>
      <c r="AA233" s="17"/>
      <c r="AB233" s="17"/>
      <c r="AC233" s="17"/>
      <c r="AD233" s="17"/>
      <c r="AE233" s="17"/>
      <c r="AF233" s="17"/>
      <c r="AG233" s="17"/>
      <c r="AH233" s="17"/>
      <c r="AI233" s="17"/>
      <c r="AJ233" s="17"/>
      <c r="AK233" s="17"/>
      <c r="AL233" s="17"/>
      <c r="AM233" s="17"/>
      <c r="AN233" s="17"/>
      <c r="AO233" s="17"/>
      <c r="AP233" s="17"/>
      <c r="AQ233" s="17"/>
      <c r="AR233" s="17"/>
      <c r="AS233" s="17"/>
      <c r="AT233" s="17"/>
      <c r="AU233" s="17"/>
      <c r="AV233" s="17"/>
      <c r="AW233" s="17"/>
      <c r="AX233" s="17"/>
      <c r="AY233" s="17"/>
      <c r="AZ233" s="17"/>
      <c r="BA233" s="17"/>
      <c r="BB233" s="17"/>
      <c r="BC233" s="17"/>
      <c r="BD233" s="17"/>
      <c r="BE233" s="17"/>
      <c r="BF233" s="17"/>
      <c r="BG233" s="17"/>
      <c r="BH233" s="17"/>
      <c r="BI233" s="17"/>
      <c r="BJ233" s="17"/>
      <c r="BK233" s="17"/>
      <c r="BL233" s="17"/>
      <c r="BM233" s="17"/>
      <c r="BN233" s="17"/>
      <c r="BO233" s="17"/>
      <c r="BP233" s="17"/>
      <c r="BQ233" s="17"/>
      <c r="BR233" s="17"/>
      <c r="BS233" s="17"/>
      <c r="BT233" s="17"/>
      <c r="BU233" s="17"/>
      <c r="BV233" s="17"/>
      <c r="BW233" s="17"/>
      <c r="BX233" s="17"/>
      <c r="BY233" s="17"/>
      <c r="BZ233" s="17"/>
      <c r="CA233" s="17"/>
      <c r="CB233" s="17"/>
      <c r="CC233" s="17"/>
      <c r="CD233" s="17"/>
      <c r="CE233" s="17"/>
      <c r="CF233" s="17"/>
      <c r="CG233" s="17"/>
      <c r="CH233" s="17"/>
      <c r="CI233" s="17"/>
      <c r="CJ233" s="17"/>
      <c r="CK233" s="17"/>
      <c r="CL233" s="17"/>
      <c r="CM233" s="17"/>
      <c r="CN233" s="17"/>
      <c r="CO233" s="17"/>
      <c r="CP233" s="17"/>
      <c r="CQ233" s="17"/>
      <c r="CR233" s="17"/>
      <c r="CS233" s="17"/>
      <c r="CT233" s="17"/>
      <c r="CU233" s="17"/>
      <c r="CV233" s="17"/>
      <c r="CW233" s="17"/>
      <c r="CX233" s="17"/>
      <c r="CY233" s="17"/>
      <c r="CZ233" s="17"/>
      <c r="DA233" s="17"/>
      <c r="DB233" s="17"/>
      <c r="DC233" s="17"/>
      <c r="DD233" s="17"/>
      <c r="DE233" s="17"/>
      <c r="DF233" s="17"/>
      <c r="DG233" s="17"/>
      <c r="DH233" s="17"/>
      <c r="DI233" s="17"/>
      <c r="DJ233" s="17"/>
      <c r="DK233" s="17"/>
      <c r="DL233" s="17"/>
      <c r="DM233" s="17"/>
      <c r="DN233" s="17"/>
      <c r="DO233" s="17"/>
      <c r="DP233" s="17"/>
      <c r="DQ233" s="17"/>
      <c r="DR233" s="17"/>
      <c r="DS233" s="17"/>
      <c r="DT233" s="17"/>
      <c r="DU233" s="17"/>
      <c r="DV233" s="17"/>
      <c r="DW233" s="17"/>
      <c r="DX233" s="17"/>
      <c r="DY233" s="17"/>
      <c r="DZ233" s="17"/>
      <c r="EA233" s="17"/>
      <c r="EB233" s="17"/>
      <c r="EC233" s="17"/>
      <c r="ED233" s="17"/>
      <c r="EE233" s="17"/>
      <c r="EF233" s="17"/>
      <c r="EG233" s="17"/>
      <c r="EH233" s="17"/>
      <c r="EI233" s="17"/>
      <c r="EJ233" s="17"/>
      <c r="EK233" s="17"/>
      <c r="EL233" s="17"/>
      <c r="EM233" s="17"/>
      <c r="EN233" s="17"/>
      <c r="EO233" s="17"/>
      <c r="EP233" s="17"/>
      <c r="EQ233" s="17"/>
      <c r="ER233" s="17"/>
      <c r="ES233" s="17"/>
      <c r="ET233" s="17"/>
      <c r="EU233" s="17"/>
      <c r="EV233" s="17"/>
      <c r="EW233" s="17"/>
      <c r="EX233" s="17"/>
      <c r="EY233" s="17"/>
      <c r="EZ233" s="17"/>
      <c r="FA233" s="17"/>
      <c r="FB233" s="17"/>
      <c r="FC233" s="17"/>
      <c r="FD233" s="17"/>
      <c r="FE233" s="17"/>
      <c r="FF233" s="17"/>
      <c r="FG233" s="17"/>
      <c r="FH233" s="17"/>
      <c r="FI233" s="17"/>
      <c r="FJ233" s="17"/>
      <c r="FK233" s="17"/>
      <c r="FL233" s="17"/>
      <c r="FM233" s="17"/>
      <c r="FN233" s="17"/>
      <c r="FO233" s="17"/>
      <c r="FP233" s="17"/>
      <c r="FQ233" s="17"/>
      <c r="FR233" s="17"/>
      <c r="FS233" s="17"/>
      <c r="FT233" s="17"/>
      <c r="FU233" s="17"/>
      <c r="FV233" s="17"/>
      <c r="FW233" s="17"/>
      <c r="FX233" s="17"/>
      <c r="FY233" s="17"/>
      <c r="FZ233" s="17"/>
      <c r="GA233" s="17"/>
      <c r="GB233" s="17"/>
      <c r="GC233" s="17"/>
      <c r="GD233" s="17"/>
      <c r="GE233" s="17"/>
      <c r="GF233" s="17"/>
      <c r="GG233" s="17"/>
      <c r="GH233" s="17"/>
      <c r="GI233" s="17"/>
      <c r="GJ233" s="17"/>
      <c r="GK233" s="17"/>
      <c r="GL233" s="17"/>
      <c r="GM233" s="17"/>
      <c r="GN233" s="17"/>
      <c r="GO233" s="17"/>
      <c r="GP233" s="17"/>
      <c r="GQ233" s="17"/>
      <c r="GR233" s="17"/>
      <c r="GS233" s="17"/>
      <c r="GT233" s="17"/>
      <c r="GU233" s="17"/>
      <c r="GV233" s="17"/>
      <c r="GW233" s="17"/>
      <c r="GX233" s="17"/>
      <c r="GY233" s="17"/>
      <c r="GZ233" s="17"/>
      <c r="HA233" s="17"/>
      <c r="HB233" s="17"/>
      <c r="HC233" s="17"/>
      <c r="HD233" s="17"/>
      <c r="HE233" s="17"/>
      <c r="HF233" s="17"/>
      <c r="HG233" s="17"/>
      <c r="HH233" s="17"/>
      <c r="HI233" s="17"/>
      <c r="HJ233" s="17"/>
      <c r="HK233" s="17"/>
      <c r="HL233" s="17"/>
      <c r="HM233" s="17"/>
      <c r="HN233" s="17"/>
      <c r="HO233" s="17"/>
      <c r="HP233" s="17"/>
      <c r="HQ233" s="17"/>
      <c r="HR233" s="17"/>
      <c r="HS233" s="17"/>
      <c r="HT233" s="17"/>
      <c r="HU233" s="17"/>
      <c r="HV233" s="17"/>
      <c r="HW233" s="17"/>
      <c r="HX233" s="17"/>
      <c r="HY233" s="17"/>
      <c r="HZ233" s="17"/>
      <c r="IA233" s="17"/>
      <c r="IB233" s="17"/>
      <c r="IC233" s="17"/>
      <c r="ID233" s="17"/>
      <c r="IE233" s="17"/>
      <c r="IF233" s="17"/>
      <c r="IG233" s="17"/>
      <c r="IH233" s="17"/>
      <c r="II233" s="17"/>
      <c r="IJ233" s="17"/>
      <c r="IK233" s="17"/>
      <c r="IL233" s="17"/>
      <c r="IM233" s="17"/>
      <c r="IN233" s="17"/>
      <c r="IO233" s="17"/>
      <c r="IP233" s="17"/>
      <c r="IQ233" s="17"/>
      <c r="IR233" s="17"/>
      <c r="IS233" s="17"/>
      <c r="IT233" s="17"/>
      <c r="IU233" s="17"/>
      <c r="IV233" s="17"/>
      <c r="IW233" s="17"/>
      <c r="IX233" s="17"/>
      <c r="IY233" s="17"/>
      <c r="IZ233" s="17"/>
      <c r="JA233" s="17"/>
      <c r="JB233" s="17"/>
      <c r="JC233" s="17"/>
      <c r="JD233" s="17"/>
      <c r="JE233" s="17"/>
      <c r="JF233" s="17"/>
      <c r="JG233" s="17"/>
      <c r="JH233" s="17"/>
      <c r="JI233" s="17"/>
      <c r="JJ233" s="17"/>
      <c r="JK233" s="17"/>
      <c r="JL233" s="17"/>
      <c r="JM233" s="17"/>
      <c r="JN233" s="17"/>
      <c r="JO233" s="17"/>
      <c r="JP233" s="17"/>
      <c r="JQ233" s="17"/>
      <c r="JR233" s="17"/>
      <c r="JS233" s="17"/>
      <c r="JT233" s="17"/>
      <c r="JU233" s="17"/>
      <c r="JV233" s="17"/>
      <c r="JW233" s="17"/>
      <c r="JX233" s="17"/>
      <c r="JY233" s="17"/>
      <c r="JZ233" s="17"/>
      <c r="KA233" s="17"/>
      <c r="KB233" s="17"/>
      <c r="KC233" s="17"/>
      <c r="KD233" s="17"/>
      <c r="KE233" s="17"/>
      <c r="KF233" s="17"/>
      <c r="KG233" s="17"/>
      <c r="KH233" s="17"/>
      <c r="KI233" s="17"/>
      <c r="KJ233" s="17"/>
      <c r="KK233" s="17"/>
      <c r="KL233" s="17"/>
      <c r="KM233" s="17"/>
      <c r="KN233" s="17"/>
      <c r="KO233" s="17"/>
      <c r="KP233" s="17"/>
      <c r="KQ233" s="17"/>
      <c r="KR233" s="17"/>
      <c r="KS233" s="17"/>
      <c r="KT233" s="17"/>
      <c r="KU233" s="17"/>
      <c r="KV233" s="17"/>
      <c r="KW233" s="17"/>
      <c r="KX233" s="17"/>
      <c r="KY233" s="17"/>
    </row>
    <row r="234" spans="1:311" x14ac:dyDescent="0.25">
      <c r="A234" s="17"/>
      <c r="B234" s="17"/>
      <c r="C234" s="17"/>
      <c r="D234" s="17"/>
      <c r="E234" s="17"/>
      <c r="F234" s="17"/>
      <c r="G234" s="17"/>
      <c r="H234" s="17"/>
      <c r="I234" s="17"/>
      <c r="J234" s="17"/>
      <c r="K234" s="17"/>
      <c r="L234" s="17"/>
      <c r="M234" s="17"/>
      <c r="N234" s="17"/>
      <c r="O234" s="17"/>
      <c r="P234" s="17"/>
      <c r="Q234" s="17"/>
      <c r="R234" s="17"/>
      <c r="S234" s="17"/>
      <c r="T234" s="17"/>
      <c r="U234" s="17"/>
      <c r="V234" s="17"/>
      <c r="W234" s="17"/>
      <c r="X234" s="17"/>
      <c r="Y234" s="17"/>
      <c r="Z234" s="17"/>
      <c r="AA234" s="17"/>
      <c r="AB234" s="17"/>
      <c r="AC234" s="17"/>
      <c r="AD234" s="17"/>
      <c r="AE234" s="17"/>
      <c r="AF234" s="17"/>
      <c r="AG234" s="17"/>
      <c r="AH234" s="17"/>
      <c r="AI234" s="17"/>
      <c r="AJ234" s="17"/>
      <c r="AK234" s="17"/>
      <c r="AL234" s="17"/>
      <c r="AM234" s="17"/>
      <c r="AN234" s="17"/>
      <c r="AO234" s="17"/>
      <c r="AP234" s="17"/>
      <c r="AQ234" s="17"/>
      <c r="AR234" s="17"/>
      <c r="AS234" s="17"/>
      <c r="AT234" s="17"/>
      <c r="AU234" s="17"/>
      <c r="AV234" s="17"/>
      <c r="AW234" s="17"/>
      <c r="AX234" s="17"/>
      <c r="AY234" s="17"/>
      <c r="AZ234" s="17"/>
      <c r="BA234" s="17"/>
      <c r="BB234" s="17"/>
      <c r="BC234" s="17"/>
      <c r="BD234" s="17"/>
      <c r="BE234" s="17"/>
      <c r="BF234" s="17"/>
      <c r="BG234" s="17"/>
      <c r="BH234" s="17"/>
      <c r="BI234" s="17"/>
      <c r="BJ234" s="17"/>
      <c r="BK234" s="17"/>
      <c r="BL234" s="17"/>
      <c r="BM234" s="17"/>
      <c r="BN234" s="17"/>
      <c r="BO234" s="17"/>
      <c r="BP234" s="17"/>
      <c r="BQ234" s="17"/>
      <c r="BR234" s="17"/>
      <c r="BS234" s="17"/>
      <c r="BT234" s="17"/>
      <c r="BU234" s="17"/>
      <c r="BV234" s="17"/>
      <c r="BW234" s="17"/>
      <c r="BX234" s="17"/>
      <c r="BY234" s="17"/>
      <c r="BZ234" s="17"/>
      <c r="CA234" s="17"/>
      <c r="CB234" s="17"/>
      <c r="CC234" s="17"/>
      <c r="CD234" s="17"/>
      <c r="CE234" s="17"/>
      <c r="CF234" s="17"/>
      <c r="CG234" s="17"/>
      <c r="CH234" s="17"/>
      <c r="CI234" s="17"/>
      <c r="CJ234" s="17"/>
      <c r="CK234" s="17"/>
      <c r="CL234" s="17"/>
      <c r="CM234" s="17"/>
      <c r="CN234" s="17"/>
      <c r="CO234" s="17"/>
      <c r="CP234" s="17"/>
      <c r="CQ234" s="17"/>
      <c r="CR234" s="17"/>
      <c r="CS234" s="17"/>
      <c r="CT234" s="17"/>
      <c r="CU234" s="17"/>
      <c r="CV234" s="17"/>
      <c r="CW234" s="17"/>
      <c r="CX234" s="17"/>
      <c r="CY234" s="17"/>
      <c r="CZ234" s="17"/>
      <c r="DA234" s="17"/>
      <c r="DB234" s="17"/>
      <c r="DC234" s="17"/>
      <c r="DD234" s="17"/>
      <c r="DE234" s="17"/>
      <c r="DF234" s="17"/>
      <c r="DG234" s="17"/>
      <c r="DH234" s="17"/>
      <c r="DI234" s="17"/>
      <c r="DJ234" s="17"/>
      <c r="DK234" s="17"/>
      <c r="DL234" s="17"/>
      <c r="DM234" s="17"/>
      <c r="DN234" s="17"/>
      <c r="DO234" s="17"/>
      <c r="DP234" s="17"/>
      <c r="DQ234" s="17"/>
      <c r="DR234" s="17"/>
      <c r="DS234" s="17"/>
      <c r="DT234" s="17"/>
      <c r="DU234" s="17"/>
      <c r="DV234" s="17"/>
      <c r="DW234" s="17"/>
      <c r="DX234" s="17"/>
      <c r="DY234" s="17"/>
      <c r="DZ234" s="17"/>
      <c r="EA234" s="17"/>
      <c r="EB234" s="17"/>
      <c r="EC234" s="17"/>
      <c r="ED234" s="17"/>
      <c r="EE234" s="17"/>
      <c r="EF234" s="17"/>
      <c r="EG234" s="17"/>
      <c r="EH234" s="17"/>
      <c r="EI234" s="17"/>
      <c r="EJ234" s="17"/>
      <c r="EK234" s="17"/>
      <c r="EL234" s="17"/>
      <c r="EM234" s="17"/>
      <c r="EN234" s="17"/>
      <c r="EO234" s="17"/>
      <c r="EP234" s="17"/>
      <c r="EQ234" s="17"/>
      <c r="ER234" s="17"/>
      <c r="ES234" s="17"/>
      <c r="ET234" s="17"/>
      <c r="EU234" s="17"/>
      <c r="EV234" s="17"/>
      <c r="EW234" s="17"/>
      <c r="EX234" s="17"/>
      <c r="EY234" s="17"/>
      <c r="EZ234" s="17"/>
      <c r="FA234" s="17"/>
      <c r="FB234" s="17"/>
      <c r="FC234" s="17"/>
      <c r="FD234" s="17"/>
      <c r="FE234" s="17"/>
      <c r="FF234" s="17"/>
      <c r="FG234" s="17"/>
      <c r="FH234" s="17"/>
      <c r="FI234" s="17"/>
      <c r="FJ234" s="17"/>
      <c r="FK234" s="17"/>
      <c r="FL234" s="17"/>
      <c r="FM234" s="17"/>
      <c r="FN234" s="17"/>
      <c r="FO234" s="17"/>
      <c r="FP234" s="17"/>
      <c r="FQ234" s="17"/>
      <c r="FR234" s="17"/>
      <c r="FS234" s="17"/>
      <c r="FT234" s="17"/>
      <c r="FU234" s="17"/>
      <c r="FV234" s="17"/>
      <c r="FW234" s="17"/>
      <c r="FX234" s="17"/>
      <c r="FY234" s="17"/>
      <c r="FZ234" s="17"/>
      <c r="GA234" s="17"/>
      <c r="GB234" s="17"/>
      <c r="GC234" s="17"/>
      <c r="GD234" s="17"/>
      <c r="GE234" s="17"/>
      <c r="GF234" s="17"/>
      <c r="GG234" s="17"/>
      <c r="GH234" s="17"/>
      <c r="GI234" s="17"/>
      <c r="GJ234" s="17"/>
      <c r="GK234" s="17"/>
      <c r="GL234" s="17"/>
      <c r="GM234" s="17"/>
      <c r="GN234" s="17"/>
      <c r="GO234" s="17"/>
      <c r="GP234" s="17"/>
      <c r="GQ234" s="17"/>
      <c r="GR234" s="17"/>
      <c r="GS234" s="17"/>
      <c r="GT234" s="17"/>
      <c r="GU234" s="17"/>
      <c r="GV234" s="17"/>
      <c r="GW234" s="17"/>
      <c r="GX234" s="17"/>
      <c r="GY234" s="17"/>
      <c r="GZ234" s="17"/>
      <c r="HA234" s="17"/>
      <c r="HB234" s="17"/>
      <c r="HC234" s="17"/>
      <c r="HD234" s="17"/>
      <c r="HE234" s="17"/>
      <c r="HF234" s="17"/>
      <c r="HG234" s="17"/>
      <c r="HH234" s="17"/>
      <c r="HI234" s="17"/>
      <c r="HJ234" s="17"/>
      <c r="HK234" s="17"/>
      <c r="HL234" s="17"/>
      <c r="HM234" s="17"/>
      <c r="HN234" s="17"/>
      <c r="HO234" s="17"/>
      <c r="HP234" s="17"/>
      <c r="HQ234" s="17"/>
      <c r="HR234" s="17"/>
      <c r="HS234" s="17"/>
      <c r="HT234" s="17"/>
      <c r="HU234" s="17"/>
      <c r="HV234" s="17"/>
      <c r="HW234" s="17"/>
      <c r="HX234" s="17"/>
      <c r="HY234" s="17"/>
      <c r="HZ234" s="17"/>
      <c r="IA234" s="17"/>
      <c r="IB234" s="17"/>
      <c r="IC234" s="17"/>
      <c r="ID234" s="17"/>
      <c r="IE234" s="17"/>
      <c r="IF234" s="17"/>
      <c r="IG234" s="17"/>
      <c r="IH234" s="17"/>
      <c r="II234" s="17"/>
      <c r="IJ234" s="17"/>
      <c r="IK234" s="17"/>
      <c r="IL234" s="17"/>
      <c r="IM234" s="17"/>
      <c r="IN234" s="17"/>
      <c r="IO234" s="17"/>
      <c r="IP234" s="17"/>
      <c r="IQ234" s="17"/>
      <c r="IR234" s="17"/>
      <c r="IS234" s="17"/>
      <c r="IT234" s="17"/>
      <c r="IU234" s="17"/>
      <c r="IV234" s="17"/>
      <c r="IW234" s="17"/>
      <c r="IX234" s="17"/>
      <c r="IY234" s="17"/>
      <c r="IZ234" s="17"/>
      <c r="JA234" s="17"/>
      <c r="JB234" s="17"/>
      <c r="JC234" s="17"/>
      <c r="JD234" s="17"/>
      <c r="JE234" s="17"/>
      <c r="JF234" s="17"/>
      <c r="JG234" s="17"/>
      <c r="JH234" s="17"/>
      <c r="JI234" s="17"/>
      <c r="JJ234" s="17"/>
      <c r="JK234" s="17"/>
      <c r="JL234" s="17"/>
      <c r="JM234" s="17"/>
      <c r="JN234" s="17"/>
      <c r="JO234" s="17"/>
      <c r="JP234" s="17"/>
      <c r="JQ234" s="17"/>
      <c r="JR234" s="17"/>
      <c r="JS234" s="17"/>
      <c r="JT234" s="17"/>
      <c r="JU234" s="17"/>
      <c r="JV234" s="17"/>
      <c r="JW234" s="17"/>
      <c r="JX234" s="17"/>
      <c r="JY234" s="17"/>
      <c r="JZ234" s="17"/>
      <c r="KA234" s="17"/>
      <c r="KB234" s="17"/>
      <c r="KC234" s="17"/>
      <c r="KD234" s="17"/>
      <c r="KE234" s="17"/>
      <c r="KF234" s="17"/>
      <c r="KG234" s="17"/>
      <c r="KH234" s="17"/>
      <c r="KI234" s="17"/>
      <c r="KJ234" s="17"/>
      <c r="KK234" s="17"/>
      <c r="KL234" s="17"/>
      <c r="KM234" s="17"/>
      <c r="KN234" s="17"/>
      <c r="KO234" s="17"/>
      <c r="KP234" s="17"/>
      <c r="KQ234" s="17"/>
      <c r="KR234" s="17"/>
      <c r="KS234" s="17"/>
      <c r="KT234" s="17"/>
      <c r="KU234" s="17"/>
      <c r="KV234" s="17"/>
      <c r="KW234" s="17"/>
      <c r="KX234" s="17"/>
      <c r="KY234" s="17"/>
    </row>
    <row r="235" spans="1:311" x14ac:dyDescent="0.25">
      <c r="A235" s="17"/>
      <c r="B235" s="17"/>
      <c r="C235" s="17"/>
      <c r="D235" s="17"/>
      <c r="E235" s="17"/>
      <c r="F235" s="17"/>
      <c r="G235" s="17"/>
      <c r="H235" s="17"/>
      <c r="I235" s="17"/>
      <c r="J235" s="17"/>
      <c r="K235" s="17"/>
      <c r="L235" s="17"/>
      <c r="M235" s="17"/>
      <c r="N235" s="17"/>
      <c r="O235" s="17"/>
      <c r="P235" s="17"/>
      <c r="Q235" s="17"/>
      <c r="R235" s="17"/>
      <c r="S235" s="17"/>
      <c r="T235" s="17"/>
      <c r="U235" s="17"/>
      <c r="V235" s="17"/>
      <c r="W235" s="17"/>
      <c r="X235" s="17"/>
      <c r="Y235" s="17"/>
      <c r="Z235" s="17"/>
      <c r="AA235" s="17"/>
      <c r="AB235" s="17"/>
      <c r="AC235" s="17"/>
      <c r="AD235" s="17"/>
      <c r="AE235" s="17"/>
      <c r="AF235" s="17"/>
      <c r="AG235" s="17"/>
      <c r="AH235" s="17"/>
      <c r="AI235" s="17"/>
      <c r="AJ235" s="17"/>
      <c r="AK235" s="17"/>
      <c r="AL235" s="17"/>
      <c r="AM235" s="17"/>
      <c r="AN235" s="17"/>
      <c r="AO235" s="17"/>
      <c r="AP235" s="17"/>
      <c r="AQ235" s="17"/>
      <c r="AR235" s="17"/>
      <c r="AS235" s="17"/>
      <c r="AT235" s="17"/>
      <c r="AU235" s="17"/>
      <c r="AV235" s="17"/>
      <c r="AW235" s="17"/>
      <c r="AX235" s="17"/>
      <c r="AY235" s="17"/>
      <c r="AZ235" s="17"/>
      <c r="BA235" s="17"/>
      <c r="BB235" s="17"/>
      <c r="BC235" s="17"/>
      <c r="BD235" s="17"/>
      <c r="BE235" s="17"/>
      <c r="BF235" s="17"/>
      <c r="BG235" s="17"/>
      <c r="BH235" s="17"/>
      <c r="BI235" s="17"/>
      <c r="BJ235" s="17"/>
      <c r="BK235" s="17"/>
      <c r="BL235" s="17"/>
      <c r="BM235" s="17"/>
      <c r="BN235" s="17"/>
      <c r="BO235" s="17"/>
      <c r="BP235" s="17"/>
      <c r="BQ235" s="17"/>
      <c r="BR235" s="17"/>
      <c r="BS235" s="17"/>
      <c r="BT235" s="17"/>
      <c r="BU235" s="17"/>
      <c r="BV235" s="17"/>
      <c r="BW235" s="17"/>
      <c r="BX235" s="17"/>
      <c r="BY235" s="17"/>
      <c r="BZ235" s="17"/>
      <c r="CA235" s="17"/>
      <c r="CB235" s="17"/>
      <c r="CC235" s="17"/>
      <c r="CD235" s="17"/>
      <c r="CE235" s="17"/>
      <c r="CF235" s="17"/>
      <c r="CG235" s="17"/>
      <c r="CH235" s="17"/>
      <c r="CI235" s="17"/>
      <c r="CJ235" s="17"/>
      <c r="CK235" s="17"/>
      <c r="CL235" s="17"/>
      <c r="CM235" s="17"/>
      <c r="CN235" s="17"/>
      <c r="CO235" s="17"/>
      <c r="CP235" s="17"/>
      <c r="CQ235" s="17"/>
      <c r="CR235" s="17"/>
      <c r="CS235" s="17"/>
      <c r="CT235" s="17"/>
      <c r="CU235" s="17"/>
      <c r="CV235" s="17"/>
      <c r="CW235" s="17"/>
      <c r="CX235" s="17"/>
      <c r="CY235" s="17"/>
      <c r="CZ235" s="17"/>
      <c r="DA235" s="17"/>
      <c r="DB235" s="17"/>
      <c r="DC235" s="17"/>
      <c r="DD235" s="17"/>
      <c r="DE235" s="17"/>
      <c r="DF235" s="17"/>
      <c r="DG235" s="17"/>
      <c r="DH235" s="17"/>
      <c r="DI235" s="17"/>
      <c r="DJ235" s="17"/>
      <c r="DK235" s="17"/>
      <c r="DL235" s="17"/>
      <c r="DM235" s="17"/>
      <c r="DN235" s="17"/>
      <c r="DO235" s="17"/>
      <c r="DP235" s="17"/>
      <c r="DQ235" s="17"/>
      <c r="DR235" s="17"/>
      <c r="DS235" s="17"/>
      <c r="DT235" s="17"/>
      <c r="DU235" s="17"/>
      <c r="DV235" s="17"/>
      <c r="DW235" s="17"/>
      <c r="DX235" s="17"/>
      <c r="DY235" s="17"/>
      <c r="DZ235" s="17"/>
      <c r="EA235" s="17"/>
      <c r="EB235" s="17"/>
      <c r="EC235" s="17"/>
      <c r="ED235" s="17"/>
      <c r="EE235" s="17"/>
      <c r="EF235" s="17"/>
      <c r="EG235" s="17"/>
      <c r="EH235" s="17"/>
      <c r="EI235" s="17"/>
      <c r="EJ235" s="17"/>
      <c r="EK235" s="17"/>
      <c r="EL235" s="17"/>
      <c r="EM235" s="17"/>
      <c r="EN235" s="17"/>
      <c r="EO235" s="17"/>
      <c r="EP235" s="17"/>
      <c r="EQ235" s="17"/>
      <c r="ER235" s="17"/>
      <c r="ES235" s="17"/>
      <c r="ET235" s="17"/>
      <c r="EU235" s="17"/>
      <c r="EV235" s="17"/>
      <c r="EW235" s="17"/>
      <c r="EX235" s="17"/>
      <c r="EY235" s="17"/>
      <c r="EZ235" s="17"/>
      <c r="FA235" s="17"/>
      <c r="FB235" s="17"/>
      <c r="FC235" s="17"/>
      <c r="FD235" s="17"/>
      <c r="FE235" s="17"/>
      <c r="FF235" s="17"/>
      <c r="FG235" s="17"/>
      <c r="FH235" s="17"/>
      <c r="FI235" s="17"/>
      <c r="FJ235" s="17"/>
      <c r="FK235" s="17"/>
      <c r="FL235" s="17"/>
      <c r="FM235" s="17"/>
      <c r="FN235" s="17"/>
      <c r="FO235" s="17"/>
      <c r="FP235" s="17"/>
      <c r="FQ235" s="17"/>
      <c r="FR235" s="17"/>
      <c r="FS235" s="17"/>
      <c r="FT235" s="17"/>
      <c r="FU235" s="17"/>
      <c r="FV235" s="17"/>
      <c r="FW235" s="17"/>
      <c r="FX235" s="17"/>
      <c r="FY235" s="17"/>
      <c r="FZ235" s="17"/>
      <c r="GA235" s="17"/>
      <c r="GB235" s="17"/>
      <c r="GC235" s="17"/>
      <c r="GD235" s="17"/>
      <c r="GE235" s="17"/>
      <c r="GF235" s="17"/>
      <c r="GG235" s="17"/>
      <c r="GH235" s="17"/>
      <c r="GI235" s="17"/>
      <c r="GJ235" s="17"/>
      <c r="GK235" s="17"/>
      <c r="GL235" s="17"/>
      <c r="GM235" s="17"/>
      <c r="GN235" s="17"/>
      <c r="GO235" s="17"/>
      <c r="GP235" s="17"/>
      <c r="GQ235" s="17"/>
      <c r="GR235" s="17"/>
      <c r="GS235" s="17"/>
      <c r="GT235" s="17"/>
      <c r="GU235" s="17"/>
      <c r="GV235" s="17"/>
      <c r="GW235" s="17"/>
      <c r="GX235" s="17"/>
      <c r="GY235" s="17"/>
      <c r="GZ235" s="17"/>
      <c r="HA235" s="17"/>
      <c r="HB235" s="17"/>
      <c r="HC235" s="17"/>
      <c r="HD235" s="17"/>
      <c r="HE235" s="17"/>
      <c r="HF235" s="17"/>
      <c r="HG235" s="17"/>
      <c r="HH235" s="17"/>
      <c r="HI235" s="17"/>
      <c r="HJ235" s="17"/>
      <c r="HK235" s="17"/>
      <c r="HL235" s="17"/>
      <c r="HM235" s="17"/>
      <c r="HN235" s="17"/>
      <c r="HO235" s="17"/>
      <c r="HP235" s="17"/>
      <c r="HQ235" s="17"/>
      <c r="HR235" s="17"/>
      <c r="HS235" s="17"/>
      <c r="HT235" s="17"/>
      <c r="HU235" s="17"/>
      <c r="HV235" s="17"/>
      <c r="HW235" s="17"/>
      <c r="HX235" s="17"/>
      <c r="HY235" s="17"/>
      <c r="HZ235" s="17"/>
      <c r="IA235" s="17"/>
      <c r="IB235" s="17"/>
      <c r="IC235" s="17"/>
      <c r="ID235" s="17"/>
      <c r="IE235" s="17"/>
      <c r="IF235" s="17"/>
      <c r="IG235" s="17"/>
      <c r="IH235" s="17"/>
      <c r="II235" s="17"/>
      <c r="IJ235" s="17"/>
      <c r="IK235" s="17"/>
      <c r="IL235" s="17"/>
      <c r="IM235" s="17"/>
      <c r="IN235" s="17"/>
      <c r="IO235" s="17"/>
      <c r="IP235" s="17"/>
      <c r="IQ235" s="17"/>
      <c r="IR235" s="17"/>
      <c r="IS235" s="17"/>
      <c r="IT235" s="17"/>
      <c r="IU235" s="17"/>
      <c r="IV235" s="17"/>
      <c r="IW235" s="17"/>
      <c r="IX235" s="17"/>
      <c r="IY235" s="17"/>
      <c r="IZ235" s="17"/>
      <c r="JA235" s="17"/>
      <c r="JB235" s="17"/>
      <c r="JC235" s="17"/>
      <c r="JD235" s="17"/>
      <c r="JE235" s="17"/>
      <c r="JF235" s="17"/>
      <c r="JG235" s="17"/>
      <c r="JH235" s="17"/>
      <c r="JI235" s="17"/>
      <c r="JJ235" s="17"/>
      <c r="JK235" s="17"/>
      <c r="JL235" s="17"/>
      <c r="JM235" s="17"/>
      <c r="JN235" s="17"/>
      <c r="JO235" s="17"/>
      <c r="JP235" s="17"/>
      <c r="JQ235" s="17"/>
      <c r="JR235" s="17"/>
      <c r="JS235" s="17"/>
      <c r="JT235" s="17"/>
      <c r="JU235" s="17"/>
      <c r="JV235" s="17"/>
      <c r="JW235" s="17"/>
      <c r="JX235" s="17"/>
      <c r="JY235" s="17"/>
      <c r="JZ235" s="17"/>
      <c r="KA235" s="17"/>
      <c r="KB235" s="17"/>
      <c r="KC235" s="17"/>
      <c r="KD235" s="17"/>
      <c r="KE235" s="17"/>
      <c r="KF235" s="17"/>
      <c r="KG235" s="17"/>
      <c r="KH235" s="17"/>
      <c r="KI235" s="17"/>
      <c r="KJ235" s="17"/>
      <c r="KK235" s="17"/>
      <c r="KL235" s="17"/>
      <c r="KM235" s="17"/>
      <c r="KN235" s="17"/>
      <c r="KO235" s="17"/>
      <c r="KP235" s="17"/>
      <c r="KQ235" s="17"/>
      <c r="KR235" s="17"/>
      <c r="KS235" s="17"/>
      <c r="KT235" s="17"/>
      <c r="KU235" s="17"/>
      <c r="KV235" s="17"/>
      <c r="KW235" s="17"/>
      <c r="KX235" s="17"/>
      <c r="KY235" s="17"/>
    </row>
    <row r="236" spans="1:311" x14ac:dyDescent="0.25">
      <c r="A236" s="17"/>
      <c r="B236" s="17"/>
      <c r="C236" s="17"/>
      <c r="D236" s="17"/>
      <c r="E236" s="17"/>
      <c r="F236" s="17"/>
      <c r="G236" s="17"/>
      <c r="H236" s="17"/>
      <c r="I236" s="17"/>
      <c r="J236" s="17"/>
      <c r="K236" s="17"/>
      <c r="L236" s="17"/>
      <c r="M236" s="17"/>
      <c r="N236" s="17"/>
      <c r="O236" s="17"/>
      <c r="P236" s="17"/>
      <c r="Q236" s="17"/>
      <c r="R236" s="17"/>
      <c r="S236" s="17"/>
      <c r="T236" s="17"/>
      <c r="U236" s="17"/>
      <c r="V236" s="17"/>
      <c r="W236" s="17"/>
      <c r="X236" s="17"/>
      <c r="Y236" s="17"/>
      <c r="Z236" s="17"/>
      <c r="AA236" s="17"/>
      <c r="AB236" s="17"/>
      <c r="AC236" s="17"/>
      <c r="AD236" s="17"/>
      <c r="AE236" s="17"/>
      <c r="AF236" s="17"/>
      <c r="AG236" s="17"/>
      <c r="AH236" s="17"/>
      <c r="AI236" s="17"/>
      <c r="AJ236" s="17"/>
      <c r="AK236" s="17"/>
      <c r="AL236" s="17"/>
      <c r="AM236" s="17"/>
      <c r="AN236" s="17"/>
      <c r="AO236" s="17"/>
      <c r="AP236" s="17"/>
      <c r="AQ236" s="17"/>
      <c r="AR236" s="17"/>
      <c r="AS236" s="17"/>
      <c r="AT236" s="17"/>
      <c r="AU236" s="17"/>
      <c r="AV236" s="17"/>
      <c r="AW236" s="17"/>
      <c r="AX236" s="17"/>
      <c r="AY236" s="17"/>
      <c r="AZ236" s="17"/>
      <c r="BA236" s="17"/>
      <c r="BB236" s="17"/>
      <c r="BC236" s="17"/>
      <c r="BD236" s="17"/>
      <c r="BE236" s="17"/>
      <c r="BF236" s="17"/>
      <c r="BG236" s="17"/>
      <c r="BH236" s="17"/>
      <c r="BI236" s="17"/>
      <c r="BJ236" s="17"/>
      <c r="BK236" s="17"/>
      <c r="BL236" s="17"/>
      <c r="BM236" s="17"/>
      <c r="BN236" s="17"/>
      <c r="BO236" s="17"/>
      <c r="BP236" s="17"/>
      <c r="BQ236" s="17"/>
      <c r="BR236" s="17"/>
      <c r="BS236" s="17"/>
      <c r="BT236" s="17"/>
      <c r="BU236" s="17"/>
      <c r="BV236" s="17"/>
      <c r="BW236" s="17"/>
      <c r="BX236" s="17"/>
      <c r="BY236" s="17"/>
      <c r="BZ236" s="17"/>
      <c r="CA236" s="17"/>
      <c r="CB236" s="17"/>
      <c r="CC236" s="17"/>
      <c r="CD236" s="17"/>
      <c r="CE236" s="17"/>
      <c r="CF236" s="17"/>
      <c r="CG236" s="17"/>
      <c r="CH236" s="17"/>
      <c r="CI236" s="17"/>
      <c r="CJ236" s="17"/>
      <c r="CK236" s="17"/>
      <c r="CL236" s="17"/>
      <c r="CM236" s="17"/>
      <c r="CN236" s="17"/>
      <c r="CO236" s="17"/>
      <c r="CP236" s="17"/>
      <c r="CQ236" s="17"/>
      <c r="CR236" s="17"/>
      <c r="CS236" s="17"/>
      <c r="CT236" s="17"/>
      <c r="CU236" s="17"/>
      <c r="CV236" s="17"/>
      <c r="CW236" s="17"/>
      <c r="CX236" s="17"/>
      <c r="CY236" s="17"/>
      <c r="CZ236" s="17"/>
      <c r="DA236" s="17"/>
      <c r="DB236" s="17"/>
      <c r="DC236" s="17"/>
      <c r="DD236" s="17"/>
      <c r="DE236" s="17"/>
      <c r="DF236" s="17"/>
      <c r="DG236" s="17"/>
      <c r="DH236" s="17"/>
      <c r="DI236" s="17"/>
      <c r="DJ236" s="17"/>
      <c r="DK236" s="17"/>
      <c r="DL236" s="17"/>
      <c r="DM236" s="17"/>
      <c r="DN236" s="17"/>
      <c r="DO236" s="17"/>
      <c r="DP236" s="17"/>
      <c r="DQ236" s="17"/>
      <c r="DR236" s="17"/>
      <c r="DS236" s="17"/>
      <c r="DT236" s="17"/>
      <c r="DU236" s="17"/>
      <c r="DV236" s="17"/>
      <c r="DW236" s="17"/>
      <c r="DX236" s="17"/>
      <c r="DY236" s="17"/>
      <c r="DZ236" s="17"/>
      <c r="EA236" s="17"/>
      <c r="EB236" s="17"/>
      <c r="EC236" s="17"/>
      <c r="ED236" s="17"/>
      <c r="EE236" s="17"/>
      <c r="EF236" s="17"/>
      <c r="EG236" s="17"/>
      <c r="EH236" s="17"/>
      <c r="EI236" s="17"/>
      <c r="EJ236" s="17"/>
      <c r="EK236" s="17"/>
      <c r="EL236" s="17"/>
      <c r="EM236" s="17"/>
      <c r="EN236" s="17"/>
      <c r="EO236" s="17"/>
      <c r="EP236" s="17"/>
      <c r="EQ236" s="17"/>
      <c r="ER236" s="17"/>
      <c r="ES236" s="17"/>
      <c r="ET236" s="17"/>
      <c r="EU236" s="17"/>
      <c r="EV236" s="17"/>
      <c r="EW236" s="17"/>
      <c r="EX236" s="17"/>
      <c r="EY236" s="17"/>
      <c r="EZ236" s="17"/>
      <c r="FA236" s="17"/>
      <c r="FB236" s="17"/>
      <c r="FC236" s="17"/>
      <c r="FD236" s="17"/>
      <c r="FE236" s="17"/>
      <c r="FF236" s="17"/>
      <c r="FG236" s="17"/>
      <c r="FH236" s="17"/>
      <c r="FI236" s="17"/>
      <c r="FJ236" s="17"/>
      <c r="FK236" s="17"/>
      <c r="FL236" s="17"/>
      <c r="FM236" s="17"/>
      <c r="FN236" s="17"/>
      <c r="FO236" s="17"/>
      <c r="FP236" s="17"/>
      <c r="FQ236" s="17"/>
      <c r="FR236" s="17"/>
      <c r="FS236" s="17"/>
      <c r="FT236" s="17"/>
      <c r="FU236" s="17"/>
      <c r="FV236" s="17"/>
      <c r="FW236" s="17"/>
      <c r="FX236" s="17"/>
      <c r="FY236" s="17"/>
      <c r="FZ236" s="17"/>
      <c r="GA236" s="17"/>
      <c r="GB236" s="17"/>
      <c r="GC236" s="17"/>
      <c r="GD236" s="17"/>
      <c r="GE236" s="17"/>
      <c r="GF236" s="17"/>
      <c r="GG236" s="17"/>
      <c r="GH236" s="17"/>
      <c r="GI236" s="17"/>
      <c r="GJ236" s="17"/>
      <c r="GK236" s="17"/>
      <c r="GL236" s="17"/>
      <c r="GM236" s="17"/>
      <c r="GN236" s="17"/>
      <c r="GO236" s="17"/>
      <c r="GP236" s="17"/>
      <c r="GQ236" s="17"/>
      <c r="GR236" s="17"/>
      <c r="GS236" s="17"/>
      <c r="GT236" s="17"/>
      <c r="GU236" s="17"/>
      <c r="GV236" s="17"/>
      <c r="GW236" s="17"/>
      <c r="GX236" s="17"/>
      <c r="GY236" s="17"/>
      <c r="GZ236" s="17"/>
      <c r="HA236" s="17"/>
      <c r="HB236" s="17"/>
      <c r="HC236" s="17"/>
      <c r="HD236" s="17"/>
      <c r="HE236" s="17"/>
      <c r="HF236" s="17"/>
      <c r="HG236" s="17"/>
      <c r="HH236" s="17"/>
      <c r="HI236" s="17"/>
      <c r="HJ236" s="17"/>
      <c r="HK236" s="17"/>
      <c r="HL236" s="17"/>
      <c r="HM236" s="17"/>
      <c r="HN236" s="17"/>
      <c r="HO236" s="17"/>
      <c r="HP236" s="17"/>
      <c r="HQ236" s="17"/>
      <c r="HR236" s="17"/>
      <c r="HS236" s="17"/>
      <c r="HT236" s="17"/>
      <c r="HU236" s="17"/>
      <c r="HV236" s="17"/>
      <c r="HW236" s="17"/>
      <c r="HX236" s="17"/>
      <c r="HY236" s="17"/>
      <c r="HZ236" s="17"/>
      <c r="IA236" s="17"/>
      <c r="IB236" s="17"/>
      <c r="IC236" s="17"/>
      <c r="ID236" s="17"/>
      <c r="IE236" s="17"/>
      <c r="IF236" s="17"/>
      <c r="IG236" s="17"/>
      <c r="IH236" s="17"/>
      <c r="II236" s="17"/>
      <c r="IJ236" s="17"/>
      <c r="IK236" s="17"/>
      <c r="IL236" s="17"/>
      <c r="IM236" s="17"/>
      <c r="IN236" s="17"/>
      <c r="IO236" s="17"/>
      <c r="IP236" s="17"/>
      <c r="IQ236" s="17"/>
      <c r="IR236" s="17"/>
      <c r="IS236" s="17"/>
      <c r="IT236" s="17"/>
      <c r="IU236" s="17"/>
      <c r="IV236" s="17"/>
      <c r="IW236" s="17"/>
      <c r="IX236" s="17"/>
      <c r="IY236" s="17"/>
      <c r="IZ236" s="17"/>
      <c r="JA236" s="17"/>
      <c r="JB236" s="17"/>
      <c r="JC236" s="17"/>
      <c r="JD236" s="17"/>
      <c r="JE236" s="17"/>
      <c r="JF236" s="17"/>
      <c r="JG236" s="17"/>
      <c r="JH236" s="17"/>
      <c r="JI236" s="17"/>
      <c r="JJ236" s="17"/>
      <c r="JK236" s="17"/>
      <c r="JL236" s="17"/>
      <c r="JM236" s="17"/>
      <c r="JN236" s="17"/>
      <c r="JO236" s="17"/>
      <c r="JP236" s="17"/>
      <c r="JQ236" s="17"/>
      <c r="JR236" s="17"/>
      <c r="JS236" s="17"/>
      <c r="JT236" s="17"/>
      <c r="JU236" s="17"/>
      <c r="JV236" s="17"/>
      <c r="JW236" s="17"/>
      <c r="JX236" s="17"/>
      <c r="JY236" s="17"/>
      <c r="JZ236" s="17"/>
      <c r="KA236" s="17"/>
      <c r="KB236" s="17"/>
      <c r="KC236" s="17"/>
      <c r="KD236" s="17"/>
      <c r="KE236" s="17"/>
      <c r="KF236" s="17"/>
      <c r="KG236" s="17"/>
      <c r="KH236" s="17"/>
      <c r="KI236" s="17"/>
      <c r="KJ236" s="17"/>
      <c r="KK236" s="17"/>
      <c r="KL236" s="17"/>
      <c r="KM236" s="17"/>
      <c r="KN236" s="17"/>
      <c r="KO236" s="17"/>
      <c r="KP236" s="17"/>
      <c r="KQ236" s="17"/>
      <c r="KR236" s="17"/>
      <c r="KS236" s="17"/>
      <c r="KT236" s="17"/>
      <c r="KU236" s="17"/>
      <c r="KV236" s="17"/>
      <c r="KW236" s="17"/>
      <c r="KX236" s="17"/>
      <c r="KY236" s="17"/>
    </row>
    <row r="237" spans="1:311" x14ac:dyDescent="0.25">
      <c r="A237" s="17"/>
      <c r="B237" s="17"/>
      <c r="C237" s="17"/>
      <c r="D237" s="17"/>
      <c r="E237" s="17"/>
      <c r="F237" s="17"/>
      <c r="G237" s="17"/>
      <c r="H237" s="17"/>
      <c r="I237" s="17"/>
      <c r="J237" s="17"/>
      <c r="K237" s="17"/>
      <c r="L237" s="17"/>
      <c r="M237" s="17"/>
      <c r="N237" s="17"/>
      <c r="O237" s="17"/>
      <c r="P237" s="17"/>
      <c r="Q237" s="17"/>
      <c r="R237" s="17"/>
      <c r="S237" s="17"/>
      <c r="T237" s="17"/>
      <c r="U237" s="17"/>
      <c r="V237" s="17"/>
      <c r="W237" s="17"/>
      <c r="X237" s="17"/>
      <c r="Y237" s="17"/>
      <c r="Z237" s="17"/>
      <c r="AA237" s="17"/>
      <c r="AB237" s="17"/>
      <c r="AC237" s="17"/>
      <c r="AD237" s="17"/>
      <c r="AE237" s="17"/>
      <c r="AF237" s="17"/>
      <c r="AG237" s="17"/>
      <c r="AH237" s="17"/>
      <c r="AI237" s="17"/>
      <c r="AJ237" s="17"/>
      <c r="AK237" s="17"/>
      <c r="AL237" s="17"/>
      <c r="AM237" s="17"/>
      <c r="AN237" s="17"/>
      <c r="AO237" s="17"/>
      <c r="AP237" s="17"/>
      <c r="AQ237" s="17"/>
      <c r="AR237" s="17"/>
      <c r="AS237" s="17"/>
      <c r="AT237" s="17"/>
      <c r="AU237" s="17"/>
      <c r="AV237" s="17"/>
      <c r="AW237" s="17"/>
      <c r="AX237" s="17"/>
      <c r="AY237" s="17"/>
      <c r="AZ237" s="17"/>
      <c r="BA237" s="17"/>
      <c r="BB237" s="17"/>
      <c r="BC237" s="17"/>
      <c r="BD237" s="17"/>
      <c r="BE237" s="17"/>
      <c r="BF237" s="17"/>
      <c r="BG237" s="17"/>
      <c r="BH237" s="17"/>
      <c r="BI237" s="17"/>
      <c r="BJ237" s="17"/>
      <c r="BK237" s="17"/>
      <c r="BL237" s="17"/>
      <c r="BM237" s="17"/>
      <c r="BN237" s="17"/>
      <c r="BO237" s="17"/>
      <c r="BP237" s="17"/>
      <c r="BQ237" s="17"/>
      <c r="BR237" s="17"/>
      <c r="BS237" s="17"/>
      <c r="BT237" s="17"/>
      <c r="BU237" s="17"/>
      <c r="BV237" s="17"/>
      <c r="BW237" s="17"/>
      <c r="BX237" s="17"/>
      <c r="BY237" s="17"/>
      <c r="BZ237" s="17"/>
      <c r="CA237" s="17"/>
      <c r="CB237" s="17"/>
      <c r="CC237" s="17"/>
      <c r="CD237" s="17"/>
      <c r="CE237" s="17"/>
      <c r="CF237" s="17"/>
      <c r="CG237" s="17"/>
      <c r="CH237" s="17"/>
      <c r="CI237" s="17"/>
      <c r="CJ237" s="17"/>
      <c r="CK237" s="17"/>
      <c r="CL237" s="17"/>
      <c r="CM237" s="17"/>
      <c r="CN237" s="17"/>
      <c r="CO237" s="17"/>
      <c r="CP237" s="17"/>
      <c r="CQ237" s="17"/>
      <c r="CR237" s="17"/>
      <c r="CS237" s="17"/>
      <c r="CT237" s="17"/>
      <c r="CU237" s="17"/>
      <c r="CV237" s="17"/>
      <c r="CW237" s="17"/>
      <c r="CX237" s="17"/>
      <c r="CY237" s="17"/>
      <c r="CZ237" s="17"/>
      <c r="DA237" s="17"/>
      <c r="DB237" s="17"/>
      <c r="DC237" s="17"/>
      <c r="DD237" s="17"/>
      <c r="DE237" s="17"/>
      <c r="DF237" s="17"/>
      <c r="DG237" s="17"/>
      <c r="DH237" s="17"/>
      <c r="DI237" s="17"/>
      <c r="DJ237" s="17"/>
      <c r="DK237" s="17"/>
      <c r="DL237" s="17"/>
      <c r="DM237" s="17"/>
      <c r="DN237" s="17"/>
      <c r="DO237" s="17"/>
      <c r="DP237" s="17"/>
      <c r="DQ237" s="17"/>
      <c r="DR237" s="17"/>
      <c r="DS237" s="17"/>
      <c r="DT237" s="17"/>
      <c r="DU237" s="17"/>
      <c r="DV237" s="17"/>
      <c r="DW237" s="17"/>
      <c r="DX237" s="17"/>
      <c r="DY237" s="17"/>
      <c r="DZ237" s="17"/>
      <c r="EA237" s="17"/>
      <c r="EB237" s="17"/>
      <c r="EC237" s="17"/>
      <c r="ED237" s="17"/>
      <c r="EE237" s="17"/>
      <c r="EF237" s="17"/>
      <c r="EG237" s="17"/>
      <c r="EH237" s="17"/>
      <c r="EI237" s="17"/>
      <c r="EJ237" s="17"/>
      <c r="EK237" s="17"/>
      <c r="EL237" s="17"/>
      <c r="EM237" s="17"/>
      <c r="EN237" s="17"/>
      <c r="EO237" s="17"/>
      <c r="EP237" s="17"/>
      <c r="EQ237" s="17"/>
      <c r="ER237" s="17"/>
      <c r="ES237" s="17"/>
      <c r="ET237" s="17"/>
      <c r="EU237" s="17"/>
      <c r="EV237" s="17"/>
      <c r="EW237" s="17"/>
      <c r="EX237" s="17"/>
      <c r="EY237" s="17"/>
      <c r="EZ237" s="17"/>
      <c r="FA237" s="17"/>
      <c r="FB237" s="17"/>
      <c r="FC237" s="17"/>
      <c r="FD237" s="17"/>
      <c r="FE237" s="17"/>
      <c r="FF237" s="17"/>
      <c r="FG237" s="17"/>
      <c r="FH237" s="17"/>
      <c r="FI237" s="17"/>
      <c r="FJ237" s="17"/>
      <c r="FK237" s="17"/>
      <c r="FL237" s="17"/>
      <c r="FM237" s="17"/>
      <c r="FN237" s="17"/>
      <c r="FO237" s="17"/>
      <c r="FP237" s="17"/>
      <c r="FQ237" s="17"/>
      <c r="FR237" s="17"/>
      <c r="FS237" s="17"/>
      <c r="FT237" s="17"/>
      <c r="FU237" s="17"/>
      <c r="FV237" s="17"/>
      <c r="FW237" s="17"/>
      <c r="FX237" s="17"/>
      <c r="FY237" s="17"/>
      <c r="FZ237" s="17"/>
      <c r="GA237" s="17"/>
      <c r="GB237" s="17"/>
      <c r="GC237" s="17"/>
      <c r="GD237" s="17"/>
      <c r="GE237" s="17"/>
      <c r="GF237" s="17"/>
      <c r="GG237" s="17"/>
      <c r="GH237" s="17"/>
      <c r="GI237" s="17"/>
      <c r="GJ237" s="17"/>
      <c r="GK237" s="17"/>
      <c r="GL237" s="17"/>
      <c r="GM237" s="17"/>
      <c r="GN237" s="17"/>
      <c r="GO237" s="17"/>
      <c r="GP237" s="17"/>
      <c r="GQ237" s="17"/>
      <c r="GR237" s="17"/>
      <c r="GS237" s="17"/>
      <c r="GT237" s="17"/>
      <c r="GU237" s="17"/>
      <c r="GV237" s="17"/>
      <c r="GW237" s="17"/>
      <c r="GX237" s="17"/>
      <c r="GY237" s="17"/>
      <c r="GZ237" s="17"/>
      <c r="HA237" s="17"/>
      <c r="HB237" s="17"/>
      <c r="HC237" s="17"/>
      <c r="HD237" s="17"/>
      <c r="HE237" s="17"/>
      <c r="HF237" s="17"/>
      <c r="HG237" s="17"/>
      <c r="HH237" s="17"/>
      <c r="HI237" s="17"/>
      <c r="HJ237" s="17"/>
      <c r="HK237" s="17"/>
      <c r="HL237" s="17"/>
      <c r="HM237" s="17"/>
      <c r="HN237" s="17"/>
      <c r="HO237" s="17"/>
      <c r="HP237" s="17"/>
      <c r="HQ237" s="17"/>
      <c r="HR237" s="17"/>
      <c r="HS237" s="17"/>
      <c r="HT237" s="17"/>
      <c r="HU237" s="17"/>
      <c r="HV237" s="17"/>
      <c r="HW237" s="17"/>
      <c r="HX237" s="17"/>
      <c r="HY237" s="17"/>
      <c r="HZ237" s="17"/>
      <c r="IA237" s="17"/>
      <c r="IB237" s="17"/>
      <c r="IC237" s="17"/>
      <c r="ID237" s="17"/>
      <c r="IE237" s="17"/>
      <c r="IF237" s="17"/>
      <c r="IG237" s="17"/>
      <c r="IH237" s="17"/>
      <c r="II237" s="17"/>
      <c r="IJ237" s="17"/>
      <c r="IK237" s="17"/>
      <c r="IL237" s="17"/>
      <c r="IM237" s="17"/>
      <c r="IN237" s="17"/>
      <c r="IO237" s="17"/>
      <c r="IP237" s="17"/>
      <c r="IQ237" s="17"/>
      <c r="IR237" s="17"/>
      <c r="IS237" s="17"/>
      <c r="IT237" s="17"/>
      <c r="IU237" s="17"/>
      <c r="IV237" s="17"/>
      <c r="IW237" s="17"/>
      <c r="IX237" s="17"/>
      <c r="IY237" s="17"/>
      <c r="IZ237" s="17"/>
      <c r="JA237" s="17"/>
      <c r="JB237" s="17"/>
      <c r="JC237" s="17"/>
      <c r="JD237" s="17"/>
      <c r="JE237" s="17"/>
      <c r="JF237" s="17"/>
      <c r="JG237" s="17"/>
      <c r="JH237" s="17"/>
      <c r="JI237" s="17"/>
      <c r="JJ237" s="17"/>
      <c r="JK237" s="17"/>
      <c r="JL237" s="17"/>
      <c r="JM237" s="17"/>
      <c r="JN237" s="17"/>
      <c r="JO237" s="17"/>
      <c r="JP237" s="17"/>
      <c r="JQ237" s="17"/>
      <c r="JR237" s="17"/>
      <c r="JS237" s="17"/>
      <c r="JT237" s="17"/>
      <c r="JU237" s="17"/>
      <c r="JV237" s="17"/>
      <c r="JW237" s="17"/>
      <c r="JX237" s="17"/>
      <c r="JY237" s="17"/>
      <c r="JZ237" s="17"/>
      <c r="KA237" s="17"/>
      <c r="KB237" s="17"/>
      <c r="KC237" s="17"/>
      <c r="KD237" s="17"/>
      <c r="KE237" s="17"/>
      <c r="KF237" s="17"/>
      <c r="KG237" s="17"/>
      <c r="KH237" s="17"/>
      <c r="KI237" s="17"/>
      <c r="KJ237" s="17"/>
      <c r="KK237" s="17"/>
      <c r="KL237" s="17"/>
      <c r="KM237" s="17"/>
      <c r="KN237" s="17"/>
      <c r="KO237" s="17"/>
      <c r="KP237" s="17"/>
      <c r="KQ237" s="17"/>
      <c r="KR237" s="17"/>
      <c r="KS237" s="17"/>
      <c r="KT237" s="17"/>
      <c r="KU237" s="17"/>
      <c r="KV237" s="17"/>
      <c r="KW237" s="17"/>
      <c r="KX237" s="17"/>
      <c r="KY237" s="17"/>
    </row>
    <row r="238" spans="1:311" x14ac:dyDescent="0.25">
      <c r="A238" s="17"/>
      <c r="B238" s="17"/>
      <c r="C238" s="17"/>
      <c r="D238" s="17"/>
      <c r="E238" s="17"/>
      <c r="F238" s="17"/>
      <c r="G238" s="17"/>
      <c r="H238" s="17"/>
      <c r="I238" s="17"/>
      <c r="J238" s="17"/>
      <c r="K238" s="17"/>
      <c r="L238" s="17"/>
      <c r="M238" s="17"/>
      <c r="N238" s="17"/>
      <c r="O238" s="17"/>
      <c r="P238" s="17"/>
      <c r="Q238" s="17"/>
      <c r="R238" s="17"/>
      <c r="S238" s="17"/>
      <c r="T238" s="17"/>
      <c r="U238" s="17"/>
      <c r="V238" s="17"/>
      <c r="W238" s="17"/>
      <c r="X238" s="17"/>
      <c r="Y238" s="17"/>
      <c r="Z238" s="17"/>
      <c r="AA238" s="17"/>
      <c r="AB238" s="17"/>
      <c r="AC238" s="17"/>
      <c r="AD238" s="17"/>
      <c r="AE238" s="17"/>
      <c r="AF238" s="17"/>
      <c r="AG238" s="17"/>
      <c r="AH238" s="17"/>
      <c r="AI238" s="17"/>
      <c r="AJ238" s="17"/>
      <c r="AK238" s="17"/>
      <c r="AL238" s="17"/>
      <c r="AM238" s="17"/>
      <c r="AN238" s="17"/>
      <c r="AO238" s="17"/>
      <c r="AP238" s="17"/>
      <c r="AQ238" s="17"/>
      <c r="AR238" s="17"/>
      <c r="AS238" s="17"/>
      <c r="AT238" s="17"/>
      <c r="AU238" s="17"/>
      <c r="AV238" s="17"/>
      <c r="AW238" s="17"/>
      <c r="AX238" s="17"/>
      <c r="AY238" s="17"/>
      <c r="AZ238" s="17"/>
      <c r="BA238" s="17"/>
      <c r="BB238" s="17"/>
      <c r="BC238" s="17"/>
      <c r="BD238" s="17"/>
      <c r="BE238" s="17"/>
      <c r="BF238" s="17"/>
      <c r="BG238" s="17"/>
      <c r="BH238" s="17"/>
      <c r="BI238" s="17"/>
      <c r="BJ238" s="17"/>
      <c r="BK238" s="17"/>
      <c r="BL238" s="17"/>
      <c r="BM238" s="17"/>
      <c r="BN238" s="17"/>
      <c r="BO238" s="17"/>
      <c r="BP238" s="17"/>
      <c r="BQ238" s="17"/>
      <c r="BR238" s="17"/>
      <c r="BS238" s="17"/>
      <c r="BT238" s="17"/>
      <c r="BU238" s="17"/>
      <c r="BV238" s="17"/>
      <c r="BW238" s="17"/>
      <c r="BX238" s="17"/>
      <c r="BY238" s="17"/>
      <c r="BZ238" s="17"/>
      <c r="CA238" s="17"/>
      <c r="CB238" s="17"/>
      <c r="CC238" s="17"/>
      <c r="CD238" s="17"/>
      <c r="CE238" s="17"/>
      <c r="CF238" s="17"/>
      <c r="CG238" s="17"/>
      <c r="CH238" s="17"/>
      <c r="CI238" s="17"/>
      <c r="CJ238" s="17"/>
      <c r="CK238" s="17"/>
      <c r="CL238" s="17"/>
      <c r="CM238" s="17"/>
      <c r="CN238" s="17"/>
      <c r="CO238" s="17"/>
      <c r="CP238" s="17"/>
      <c r="CQ238" s="17"/>
      <c r="CR238" s="17"/>
      <c r="CS238" s="17"/>
      <c r="CT238" s="17"/>
      <c r="CU238" s="17"/>
      <c r="CV238" s="17"/>
      <c r="CW238" s="17"/>
      <c r="CX238" s="17"/>
      <c r="CY238" s="17"/>
      <c r="CZ238" s="17"/>
      <c r="DA238" s="17"/>
      <c r="DB238" s="17"/>
      <c r="DC238" s="17"/>
      <c r="DD238" s="17"/>
      <c r="DE238" s="17"/>
      <c r="DF238" s="17"/>
      <c r="DG238" s="17"/>
      <c r="DH238" s="17"/>
      <c r="DI238" s="17"/>
      <c r="DJ238" s="17"/>
      <c r="DK238" s="17"/>
      <c r="DL238" s="17"/>
      <c r="DM238" s="17"/>
      <c r="DN238" s="17"/>
      <c r="DO238" s="17"/>
      <c r="DP238" s="17"/>
      <c r="DQ238" s="17"/>
      <c r="DR238" s="17"/>
      <c r="DS238" s="17"/>
      <c r="DT238" s="17"/>
      <c r="DU238" s="17"/>
      <c r="DV238" s="17"/>
      <c r="DW238" s="17"/>
      <c r="DX238" s="17"/>
      <c r="DY238" s="17"/>
      <c r="DZ238" s="17"/>
      <c r="EA238" s="17"/>
      <c r="EB238" s="17"/>
      <c r="EC238" s="17"/>
      <c r="ED238" s="17"/>
      <c r="EE238" s="17"/>
      <c r="EF238" s="17"/>
      <c r="EG238" s="17"/>
      <c r="EH238" s="17"/>
      <c r="EI238" s="17"/>
      <c r="EJ238" s="17"/>
      <c r="EK238" s="17"/>
      <c r="EL238" s="17"/>
      <c r="EM238" s="17"/>
      <c r="EN238" s="17"/>
      <c r="EO238" s="17"/>
      <c r="EP238" s="17"/>
      <c r="EQ238" s="17"/>
      <c r="ER238" s="17"/>
      <c r="ES238" s="17"/>
      <c r="ET238" s="17"/>
      <c r="EU238" s="17"/>
      <c r="EV238" s="17"/>
      <c r="EW238" s="17"/>
      <c r="EX238" s="17"/>
      <c r="EY238" s="17"/>
      <c r="EZ238" s="17"/>
      <c r="FA238" s="17"/>
      <c r="FB238" s="17"/>
      <c r="FC238" s="17"/>
      <c r="FD238" s="17"/>
      <c r="FE238" s="17"/>
      <c r="FF238" s="17"/>
      <c r="FG238" s="17"/>
      <c r="FH238" s="17"/>
      <c r="FI238" s="17"/>
      <c r="FJ238" s="17"/>
      <c r="FK238" s="17"/>
      <c r="FL238" s="17"/>
      <c r="FM238" s="17"/>
      <c r="FN238" s="17"/>
      <c r="FO238" s="17"/>
      <c r="FP238" s="17"/>
      <c r="FQ238" s="17"/>
      <c r="FR238" s="17"/>
      <c r="FS238" s="17"/>
      <c r="FT238" s="17"/>
      <c r="FU238" s="17"/>
      <c r="FV238" s="17"/>
      <c r="FW238" s="17"/>
      <c r="FX238" s="17"/>
      <c r="FY238" s="17"/>
      <c r="FZ238" s="17"/>
      <c r="GA238" s="17"/>
      <c r="GB238" s="17"/>
      <c r="GC238" s="17"/>
      <c r="GD238" s="17"/>
      <c r="GE238" s="17"/>
      <c r="GF238" s="17"/>
      <c r="GG238" s="17"/>
      <c r="GH238" s="17"/>
      <c r="GI238" s="17"/>
      <c r="GJ238" s="17"/>
      <c r="GK238" s="17"/>
      <c r="GL238" s="17"/>
      <c r="GM238" s="17"/>
      <c r="GN238" s="17"/>
      <c r="GO238" s="17"/>
      <c r="GP238" s="17"/>
      <c r="GQ238" s="17"/>
      <c r="GR238" s="17"/>
      <c r="GS238" s="17"/>
      <c r="GT238" s="17"/>
      <c r="GU238" s="17"/>
      <c r="GV238" s="17"/>
      <c r="GW238" s="17"/>
      <c r="GX238" s="17"/>
      <c r="GY238" s="17"/>
      <c r="GZ238" s="17"/>
      <c r="HA238" s="17"/>
      <c r="HB238" s="17"/>
      <c r="HC238" s="17"/>
      <c r="HD238" s="17"/>
      <c r="HE238" s="17"/>
      <c r="HF238" s="17"/>
      <c r="HG238" s="17"/>
      <c r="HH238" s="17"/>
      <c r="HI238" s="17"/>
      <c r="HJ238" s="17"/>
      <c r="HK238" s="17"/>
      <c r="HL238" s="17"/>
      <c r="HM238" s="17"/>
      <c r="HN238" s="17"/>
      <c r="HO238" s="17"/>
      <c r="HP238" s="17"/>
      <c r="HQ238" s="17"/>
      <c r="HR238" s="17"/>
      <c r="HS238" s="17"/>
      <c r="HT238" s="17"/>
      <c r="HU238" s="17"/>
      <c r="HV238" s="17"/>
      <c r="HW238" s="17"/>
      <c r="HX238" s="17"/>
      <c r="HY238" s="17"/>
      <c r="HZ238" s="17"/>
      <c r="IA238" s="17"/>
      <c r="IB238" s="17"/>
      <c r="IC238" s="17"/>
      <c r="ID238" s="17"/>
      <c r="IE238" s="17"/>
      <c r="IF238" s="17"/>
      <c r="IG238" s="17"/>
      <c r="IH238" s="17"/>
      <c r="II238" s="17"/>
      <c r="IJ238" s="17"/>
      <c r="IK238" s="17"/>
      <c r="IL238" s="17"/>
      <c r="IM238" s="17"/>
      <c r="IN238" s="17"/>
      <c r="IO238" s="17"/>
      <c r="IP238" s="17"/>
      <c r="IQ238" s="17"/>
      <c r="IR238" s="17"/>
      <c r="IS238" s="17"/>
      <c r="IT238" s="17"/>
      <c r="IU238" s="17"/>
      <c r="IV238" s="17"/>
      <c r="IW238" s="17"/>
      <c r="IX238" s="17"/>
      <c r="IY238" s="17"/>
      <c r="IZ238" s="17"/>
      <c r="JA238" s="17"/>
      <c r="JB238" s="17"/>
      <c r="JC238" s="17"/>
      <c r="JD238" s="17"/>
      <c r="JE238" s="17"/>
      <c r="JF238" s="17"/>
      <c r="JG238" s="17"/>
      <c r="JH238" s="17"/>
      <c r="JI238" s="17"/>
      <c r="JJ238" s="17"/>
      <c r="JK238" s="17"/>
      <c r="JL238" s="17"/>
      <c r="JM238" s="17"/>
      <c r="JN238" s="17"/>
      <c r="JO238" s="17"/>
      <c r="JP238" s="17"/>
      <c r="JQ238" s="17"/>
      <c r="JR238" s="17"/>
      <c r="JS238" s="17"/>
      <c r="JT238" s="17"/>
      <c r="JU238" s="17"/>
      <c r="JV238" s="17"/>
      <c r="JW238" s="17"/>
      <c r="JX238" s="17"/>
      <c r="JY238" s="17"/>
      <c r="JZ238" s="17"/>
      <c r="KA238" s="17"/>
      <c r="KB238" s="17"/>
      <c r="KC238" s="17"/>
      <c r="KD238" s="17"/>
      <c r="KE238" s="17"/>
      <c r="KF238" s="17"/>
      <c r="KG238" s="17"/>
      <c r="KH238" s="17"/>
      <c r="KI238" s="17"/>
      <c r="KJ238" s="17"/>
      <c r="KK238" s="17"/>
      <c r="KL238" s="17"/>
      <c r="KM238" s="17"/>
      <c r="KN238" s="17"/>
      <c r="KO238" s="17"/>
      <c r="KP238" s="17"/>
      <c r="KQ238" s="17"/>
      <c r="KR238" s="17"/>
      <c r="KS238" s="17"/>
      <c r="KT238" s="17"/>
      <c r="KU238" s="17"/>
      <c r="KV238" s="17"/>
      <c r="KW238" s="17"/>
      <c r="KX238" s="17"/>
      <c r="KY238" s="17"/>
    </row>
    <row r="239" spans="1:311" x14ac:dyDescent="0.25">
      <c r="A239" s="17"/>
      <c r="B239" s="17"/>
      <c r="C239" s="17"/>
      <c r="D239" s="17"/>
      <c r="E239" s="17"/>
      <c r="F239" s="17"/>
      <c r="G239" s="17"/>
      <c r="H239" s="17"/>
      <c r="I239" s="17"/>
      <c r="J239" s="17"/>
      <c r="K239" s="17"/>
      <c r="L239" s="17"/>
      <c r="M239" s="17"/>
      <c r="N239" s="17"/>
      <c r="O239" s="17"/>
      <c r="P239" s="17"/>
      <c r="Q239" s="17"/>
      <c r="R239" s="17"/>
      <c r="S239" s="17"/>
      <c r="T239" s="17"/>
      <c r="U239" s="17"/>
      <c r="V239" s="17"/>
      <c r="W239" s="17"/>
      <c r="X239" s="17"/>
      <c r="Y239" s="17"/>
      <c r="Z239" s="17"/>
      <c r="AA239" s="17"/>
      <c r="AB239" s="17"/>
      <c r="AC239" s="17"/>
      <c r="AD239" s="17"/>
      <c r="AE239" s="17"/>
      <c r="AF239" s="17"/>
      <c r="AG239" s="17"/>
      <c r="AH239" s="17"/>
      <c r="AI239" s="17"/>
      <c r="AJ239" s="17"/>
      <c r="AK239" s="17"/>
      <c r="AL239" s="17"/>
      <c r="AM239" s="17"/>
      <c r="AN239" s="17"/>
      <c r="AO239" s="17"/>
      <c r="AP239" s="17"/>
      <c r="AQ239" s="17"/>
      <c r="AR239" s="17"/>
      <c r="AS239" s="17"/>
      <c r="AT239" s="17"/>
      <c r="AU239" s="17"/>
      <c r="AV239" s="17"/>
      <c r="AW239" s="17"/>
      <c r="AX239" s="17"/>
      <c r="AY239" s="17"/>
      <c r="AZ239" s="17"/>
      <c r="BA239" s="17"/>
      <c r="BB239" s="17"/>
      <c r="BC239" s="17"/>
      <c r="BD239" s="17"/>
      <c r="BE239" s="17"/>
      <c r="BF239" s="17"/>
      <c r="BG239" s="17"/>
      <c r="BH239" s="17"/>
      <c r="BI239" s="17"/>
      <c r="BJ239" s="17"/>
      <c r="BK239" s="17"/>
      <c r="BL239" s="17"/>
      <c r="BM239" s="17"/>
      <c r="BN239" s="17"/>
      <c r="BO239" s="17"/>
      <c r="BP239" s="17"/>
      <c r="BQ239" s="17"/>
      <c r="BR239" s="17"/>
      <c r="BS239" s="17"/>
      <c r="BT239" s="17"/>
      <c r="BU239" s="17"/>
      <c r="BV239" s="17"/>
      <c r="BW239" s="17"/>
      <c r="BX239" s="17"/>
      <c r="BY239" s="17"/>
      <c r="BZ239" s="17"/>
      <c r="CA239" s="17"/>
      <c r="CB239" s="17"/>
      <c r="CC239" s="17"/>
      <c r="CD239" s="17"/>
      <c r="CE239" s="17"/>
      <c r="CF239" s="17"/>
      <c r="CG239" s="17"/>
      <c r="CH239" s="17"/>
      <c r="CI239" s="17"/>
      <c r="CJ239" s="17"/>
      <c r="CK239" s="17"/>
      <c r="CL239" s="17"/>
      <c r="CM239" s="17"/>
      <c r="CN239" s="17"/>
      <c r="CO239" s="17"/>
      <c r="CP239" s="17"/>
      <c r="CQ239" s="17"/>
      <c r="CR239" s="17"/>
      <c r="CS239" s="17"/>
      <c r="CT239" s="17"/>
      <c r="CU239" s="17"/>
      <c r="CV239" s="17"/>
      <c r="CW239" s="17"/>
      <c r="CX239" s="17"/>
      <c r="CY239" s="17"/>
      <c r="CZ239" s="17"/>
      <c r="DA239" s="17"/>
      <c r="DB239" s="17"/>
      <c r="DC239" s="17"/>
      <c r="DD239" s="17"/>
      <c r="DE239" s="17"/>
      <c r="DF239" s="17"/>
      <c r="DG239" s="17"/>
      <c r="DH239" s="17"/>
      <c r="DI239" s="17"/>
      <c r="DJ239" s="17"/>
      <c r="DK239" s="17"/>
      <c r="DL239" s="17"/>
      <c r="DM239" s="17"/>
      <c r="DN239" s="17"/>
      <c r="DO239" s="17"/>
      <c r="DP239" s="17"/>
      <c r="DQ239" s="17"/>
      <c r="DR239" s="17"/>
      <c r="DS239" s="17"/>
      <c r="DT239" s="17"/>
      <c r="DU239" s="17"/>
      <c r="DV239" s="17"/>
      <c r="DW239" s="17"/>
      <c r="DX239" s="17"/>
      <c r="DY239" s="17"/>
      <c r="DZ239" s="17"/>
      <c r="EA239" s="17"/>
      <c r="EB239" s="17"/>
      <c r="EC239" s="17"/>
      <c r="ED239" s="17"/>
      <c r="EE239" s="17"/>
      <c r="EF239" s="17"/>
      <c r="EG239" s="17"/>
      <c r="EH239" s="17"/>
      <c r="EI239" s="17"/>
      <c r="EJ239" s="17"/>
      <c r="EK239" s="17"/>
      <c r="EL239" s="17"/>
      <c r="EM239" s="17"/>
      <c r="EN239" s="17"/>
      <c r="EO239" s="17"/>
      <c r="EP239" s="17"/>
      <c r="EQ239" s="17"/>
      <c r="ER239" s="17"/>
      <c r="ES239" s="17"/>
      <c r="ET239" s="17"/>
      <c r="EU239" s="17"/>
      <c r="EV239" s="17"/>
      <c r="EW239" s="17"/>
      <c r="EX239" s="17"/>
      <c r="EY239" s="17"/>
      <c r="EZ239" s="17"/>
      <c r="FA239" s="17"/>
      <c r="FB239" s="17"/>
      <c r="FC239" s="17"/>
      <c r="FD239" s="17"/>
      <c r="FE239" s="17"/>
      <c r="FF239" s="17"/>
      <c r="FG239" s="17"/>
      <c r="FH239" s="17"/>
      <c r="FI239" s="17"/>
      <c r="FJ239" s="17"/>
      <c r="FK239" s="17"/>
      <c r="FL239" s="17"/>
      <c r="FM239" s="17"/>
      <c r="FN239" s="17"/>
      <c r="FO239" s="17"/>
      <c r="FP239" s="17"/>
      <c r="FQ239" s="17"/>
      <c r="FR239" s="17"/>
      <c r="FS239" s="17"/>
      <c r="FT239" s="17"/>
      <c r="FU239" s="17"/>
      <c r="FV239" s="17"/>
      <c r="FW239" s="17"/>
      <c r="FX239" s="17"/>
      <c r="FY239" s="17"/>
      <c r="FZ239" s="17"/>
      <c r="GA239" s="17"/>
      <c r="GB239" s="17"/>
      <c r="GC239" s="17"/>
      <c r="GD239" s="17"/>
      <c r="GE239" s="17"/>
      <c r="GF239" s="17"/>
      <c r="GG239" s="17"/>
      <c r="GH239" s="17"/>
      <c r="GI239" s="17"/>
      <c r="GJ239" s="17"/>
      <c r="GK239" s="17"/>
      <c r="GL239" s="17"/>
      <c r="GM239" s="17"/>
      <c r="GN239" s="17"/>
      <c r="GO239" s="17"/>
      <c r="GP239" s="17"/>
      <c r="GQ239" s="17"/>
      <c r="GR239" s="17"/>
      <c r="GS239" s="17"/>
      <c r="GT239" s="17"/>
      <c r="GU239" s="17"/>
      <c r="GV239" s="17"/>
      <c r="GW239" s="17"/>
      <c r="GX239" s="17"/>
      <c r="GY239" s="17"/>
      <c r="GZ239" s="17"/>
      <c r="HA239" s="17"/>
      <c r="HB239" s="17"/>
      <c r="HC239" s="17"/>
      <c r="HD239" s="17"/>
      <c r="HE239" s="17"/>
      <c r="HF239" s="17"/>
      <c r="HG239" s="17"/>
      <c r="HH239" s="17"/>
      <c r="HI239" s="17"/>
      <c r="HJ239" s="17"/>
      <c r="HK239" s="17"/>
      <c r="HL239" s="17"/>
      <c r="HM239" s="17"/>
      <c r="HN239" s="17"/>
      <c r="HO239" s="17"/>
      <c r="HP239" s="17"/>
      <c r="HQ239" s="17"/>
      <c r="HR239" s="17"/>
      <c r="HS239" s="17"/>
      <c r="HT239" s="17"/>
      <c r="HU239" s="17"/>
      <c r="HV239" s="17"/>
      <c r="HW239" s="17"/>
      <c r="HX239" s="17"/>
      <c r="HY239" s="17"/>
      <c r="HZ239" s="17"/>
      <c r="IA239" s="17"/>
      <c r="IB239" s="17"/>
      <c r="IC239" s="17"/>
      <c r="ID239" s="17"/>
      <c r="IE239" s="17"/>
      <c r="IF239" s="17"/>
      <c r="IG239" s="17"/>
      <c r="IH239" s="17"/>
      <c r="II239" s="17"/>
      <c r="IJ239" s="17"/>
      <c r="IK239" s="17"/>
      <c r="IL239" s="17"/>
      <c r="IM239" s="17"/>
      <c r="IN239" s="17"/>
      <c r="IO239" s="17"/>
      <c r="IP239" s="17"/>
      <c r="IQ239" s="17"/>
      <c r="IR239" s="17"/>
      <c r="IS239" s="17"/>
      <c r="IT239" s="17"/>
      <c r="IU239" s="17"/>
      <c r="IV239" s="17"/>
      <c r="IW239" s="17"/>
      <c r="IX239" s="17"/>
      <c r="IY239" s="17"/>
      <c r="IZ239" s="17"/>
      <c r="JA239" s="17"/>
      <c r="JB239" s="17"/>
      <c r="JC239" s="17"/>
      <c r="JD239" s="17"/>
      <c r="JE239" s="17"/>
      <c r="JF239" s="17"/>
      <c r="JG239" s="17"/>
      <c r="JH239" s="17"/>
      <c r="JI239" s="17"/>
      <c r="JJ239" s="17"/>
      <c r="JK239" s="17"/>
      <c r="JL239" s="17"/>
      <c r="JM239" s="17"/>
      <c r="JN239" s="17"/>
      <c r="JO239" s="17"/>
      <c r="JP239" s="17"/>
      <c r="JQ239" s="17"/>
      <c r="JR239" s="17"/>
      <c r="JS239" s="17"/>
      <c r="JT239" s="17"/>
      <c r="JU239" s="17"/>
      <c r="JV239" s="17"/>
      <c r="JW239" s="17"/>
      <c r="JX239" s="17"/>
      <c r="JY239" s="17"/>
      <c r="JZ239" s="17"/>
      <c r="KA239" s="17"/>
      <c r="KB239" s="17"/>
      <c r="KC239" s="17"/>
      <c r="KD239" s="17"/>
      <c r="KE239" s="17"/>
      <c r="KF239" s="17"/>
      <c r="KG239" s="17"/>
      <c r="KH239" s="17"/>
      <c r="KI239" s="17"/>
      <c r="KJ239" s="17"/>
      <c r="KK239" s="17"/>
      <c r="KL239" s="17"/>
      <c r="KM239" s="17"/>
      <c r="KN239" s="17"/>
      <c r="KO239" s="17"/>
      <c r="KP239" s="17"/>
      <c r="KQ239" s="17"/>
      <c r="KR239" s="17"/>
      <c r="KS239" s="17"/>
      <c r="KT239" s="17"/>
      <c r="KU239" s="17"/>
      <c r="KV239" s="17"/>
      <c r="KW239" s="17"/>
      <c r="KX239" s="17"/>
      <c r="KY239" s="17"/>
    </row>
    <row r="240" spans="1:311" x14ac:dyDescent="0.25">
      <c r="A240" s="17"/>
      <c r="B240" s="17"/>
      <c r="C240" s="17"/>
      <c r="D240" s="17"/>
      <c r="E240" s="17"/>
      <c r="F240" s="17"/>
      <c r="G240" s="17"/>
      <c r="H240" s="17"/>
      <c r="I240" s="17"/>
      <c r="J240" s="17"/>
      <c r="K240" s="17"/>
      <c r="L240" s="17"/>
      <c r="M240" s="17"/>
      <c r="N240" s="17"/>
      <c r="O240" s="17"/>
      <c r="P240" s="17"/>
      <c r="Q240" s="17"/>
      <c r="R240" s="17"/>
      <c r="S240" s="17"/>
      <c r="T240" s="17"/>
      <c r="U240" s="17"/>
      <c r="V240" s="17"/>
      <c r="W240" s="17"/>
      <c r="X240" s="17"/>
      <c r="Y240" s="17"/>
      <c r="Z240" s="17"/>
      <c r="AA240" s="17"/>
      <c r="AB240" s="17"/>
      <c r="AC240" s="17"/>
      <c r="AD240" s="17"/>
      <c r="AE240" s="17"/>
      <c r="AF240" s="17"/>
      <c r="AG240" s="17"/>
      <c r="AH240" s="17"/>
      <c r="AI240" s="17"/>
      <c r="AJ240" s="17"/>
      <c r="AK240" s="17"/>
      <c r="AL240" s="17"/>
      <c r="AM240" s="17"/>
      <c r="AN240" s="17"/>
      <c r="AO240" s="17"/>
      <c r="AP240" s="17"/>
      <c r="AQ240" s="17"/>
      <c r="AR240" s="17"/>
      <c r="AS240" s="17"/>
      <c r="AT240" s="17"/>
      <c r="AU240" s="17"/>
      <c r="AV240" s="17"/>
      <c r="AW240" s="17"/>
      <c r="AX240" s="17"/>
      <c r="AY240" s="17"/>
      <c r="AZ240" s="17"/>
      <c r="BA240" s="17"/>
      <c r="BB240" s="17"/>
      <c r="BC240" s="17"/>
      <c r="BD240" s="17"/>
      <c r="BE240" s="17"/>
      <c r="BF240" s="17"/>
      <c r="BG240" s="17"/>
      <c r="BH240" s="17"/>
      <c r="BI240" s="17"/>
      <c r="BJ240" s="17"/>
      <c r="BK240" s="17"/>
      <c r="BL240" s="17"/>
      <c r="BM240" s="17"/>
      <c r="BN240" s="17"/>
      <c r="BO240" s="17"/>
      <c r="BP240" s="17"/>
      <c r="BQ240" s="17"/>
      <c r="BR240" s="17"/>
      <c r="BS240" s="17"/>
      <c r="BT240" s="17"/>
      <c r="BU240" s="17"/>
      <c r="BV240" s="17"/>
      <c r="BW240" s="17"/>
      <c r="BX240" s="17"/>
      <c r="BY240" s="17"/>
      <c r="BZ240" s="17"/>
      <c r="CA240" s="17"/>
      <c r="CB240" s="17"/>
      <c r="CC240" s="17"/>
      <c r="CD240" s="17"/>
      <c r="CE240" s="17"/>
      <c r="CF240" s="17"/>
      <c r="CG240" s="17"/>
      <c r="CH240" s="17"/>
      <c r="CI240" s="17"/>
      <c r="CJ240" s="17"/>
      <c r="CK240" s="17"/>
      <c r="CL240" s="17"/>
      <c r="CM240" s="17"/>
      <c r="CN240" s="17"/>
      <c r="CO240" s="17"/>
      <c r="CP240" s="17"/>
      <c r="CQ240" s="17"/>
      <c r="CR240" s="17"/>
      <c r="CS240" s="17"/>
      <c r="CT240" s="17"/>
      <c r="CU240" s="17"/>
      <c r="CV240" s="17"/>
      <c r="CW240" s="17"/>
      <c r="CX240" s="17"/>
      <c r="CY240" s="17"/>
      <c r="CZ240" s="17"/>
      <c r="DA240" s="17"/>
      <c r="DB240" s="17"/>
      <c r="DC240" s="17"/>
      <c r="DD240" s="17"/>
      <c r="DE240" s="17"/>
      <c r="DF240" s="17"/>
      <c r="DG240" s="17"/>
      <c r="DH240" s="17"/>
      <c r="DI240" s="17"/>
      <c r="DJ240" s="17"/>
      <c r="DK240" s="17"/>
      <c r="DL240" s="17"/>
      <c r="DM240" s="17"/>
      <c r="DN240" s="17"/>
      <c r="DO240" s="17"/>
      <c r="DP240" s="17"/>
      <c r="DQ240" s="17"/>
      <c r="DR240" s="17"/>
      <c r="DS240" s="17"/>
      <c r="DT240" s="17"/>
      <c r="DU240" s="17"/>
      <c r="DV240" s="17"/>
      <c r="DW240" s="17"/>
      <c r="DX240" s="17"/>
      <c r="DY240" s="17"/>
      <c r="DZ240" s="17"/>
      <c r="EA240" s="17"/>
      <c r="EB240" s="17"/>
      <c r="EC240" s="17"/>
      <c r="ED240" s="17"/>
      <c r="EE240" s="17"/>
      <c r="EF240" s="17"/>
      <c r="EG240" s="17"/>
      <c r="EH240" s="17"/>
      <c r="EI240" s="17"/>
      <c r="EJ240" s="17"/>
      <c r="EK240" s="17"/>
      <c r="EL240" s="17"/>
      <c r="EM240" s="17"/>
      <c r="EN240" s="17"/>
      <c r="EO240" s="17"/>
      <c r="EP240" s="17"/>
      <c r="EQ240" s="17"/>
      <c r="ER240" s="17"/>
      <c r="ES240" s="17"/>
      <c r="ET240" s="17"/>
      <c r="EU240" s="17"/>
      <c r="EV240" s="17"/>
      <c r="EW240" s="17"/>
      <c r="EX240" s="17"/>
      <c r="EY240" s="17"/>
      <c r="EZ240" s="17"/>
      <c r="FA240" s="17"/>
      <c r="FB240" s="17"/>
      <c r="FC240" s="17"/>
      <c r="FD240" s="17"/>
      <c r="FE240" s="17"/>
      <c r="FF240" s="17"/>
      <c r="FG240" s="17"/>
      <c r="FH240" s="17"/>
      <c r="FI240" s="17"/>
      <c r="FJ240" s="17"/>
      <c r="FK240" s="17"/>
      <c r="FL240" s="17"/>
      <c r="FM240" s="17"/>
      <c r="FN240" s="17"/>
      <c r="FO240" s="17"/>
      <c r="FP240" s="17"/>
      <c r="FQ240" s="17"/>
      <c r="FR240" s="17"/>
      <c r="FS240" s="17"/>
      <c r="FT240" s="17"/>
      <c r="FU240" s="17"/>
      <c r="FV240" s="17"/>
      <c r="FW240" s="17"/>
      <c r="FX240" s="17"/>
      <c r="FY240" s="17"/>
      <c r="FZ240" s="17"/>
      <c r="GA240" s="17"/>
      <c r="GB240" s="17"/>
      <c r="GC240" s="17"/>
      <c r="GD240" s="17"/>
      <c r="GE240" s="17"/>
      <c r="GF240" s="17"/>
      <c r="GG240" s="17"/>
      <c r="GH240" s="17"/>
      <c r="GI240" s="17"/>
      <c r="GJ240" s="17"/>
      <c r="GK240" s="17"/>
      <c r="GL240" s="17"/>
      <c r="GM240" s="17"/>
      <c r="GN240" s="17"/>
      <c r="GO240" s="17"/>
      <c r="GP240" s="17"/>
      <c r="GQ240" s="17"/>
      <c r="GR240" s="17"/>
      <c r="GS240" s="17"/>
      <c r="GT240" s="17"/>
      <c r="GU240" s="17"/>
      <c r="GV240" s="17"/>
      <c r="GW240" s="17"/>
      <c r="GX240" s="17"/>
      <c r="GY240" s="17"/>
      <c r="GZ240" s="17"/>
      <c r="HA240" s="17"/>
      <c r="HB240" s="17"/>
      <c r="HC240" s="17"/>
      <c r="HD240" s="17"/>
      <c r="HE240" s="17"/>
      <c r="HF240" s="17"/>
      <c r="HG240" s="17"/>
      <c r="HH240" s="17"/>
      <c r="HI240" s="17"/>
      <c r="HJ240" s="17"/>
      <c r="HK240" s="17"/>
      <c r="HL240" s="17"/>
      <c r="HM240" s="17"/>
      <c r="HN240" s="17"/>
      <c r="HO240" s="17"/>
      <c r="HP240" s="17"/>
      <c r="HQ240" s="17"/>
      <c r="HR240" s="17"/>
      <c r="HS240" s="17"/>
      <c r="HT240" s="17"/>
      <c r="HU240" s="17"/>
      <c r="HV240" s="17"/>
      <c r="HW240" s="17"/>
      <c r="HX240" s="17"/>
      <c r="HY240" s="17"/>
      <c r="HZ240" s="17"/>
      <c r="IA240" s="17"/>
      <c r="IB240" s="17"/>
      <c r="IC240" s="17"/>
      <c r="ID240" s="17"/>
      <c r="IE240" s="17"/>
      <c r="IF240" s="17"/>
      <c r="IG240" s="17"/>
      <c r="IH240" s="17"/>
      <c r="II240" s="17"/>
      <c r="IJ240" s="17"/>
      <c r="IK240" s="17"/>
      <c r="IL240" s="17"/>
      <c r="IM240" s="17"/>
      <c r="IN240" s="17"/>
      <c r="IO240" s="17"/>
      <c r="IP240" s="17"/>
      <c r="IQ240" s="17"/>
      <c r="IR240" s="17"/>
      <c r="IS240" s="17"/>
      <c r="IT240" s="17"/>
      <c r="IU240" s="17"/>
      <c r="IV240" s="17"/>
      <c r="IW240" s="17"/>
      <c r="IX240" s="17"/>
      <c r="IY240" s="17"/>
      <c r="IZ240" s="17"/>
      <c r="JA240" s="17"/>
      <c r="JB240" s="17"/>
      <c r="JC240" s="17"/>
      <c r="JD240" s="17"/>
      <c r="JE240" s="17"/>
      <c r="JF240" s="17"/>
      <c r="JG240" s="17"/>
      <c r="JH240" s="17"/>
      <c r="JI240" s="17"/>
      <c r="JJ240" s="17"/>
      <c r="JK240" s="17"/>
      <c r="JL240" s="17"/>
      <c r="JM240" s="17"/>
      <c r="JN240" s="17"/>
      <c r="JO240" s="17"/>
      <c r="JP240" s="17"/>
      <c r="JQ240" s="17"/>
      <c r="JR240" s="17"/>
      <c r="JS240" s="17"/>
      <c r="JT240" s="17"/>
      <c r="JU240" s="17"/>
      <c r="JV240" s="17"/>
      <c r="JW240" s="17"/>
      <c r="JX240" s="17"/>
      <c r="JY240" s="17"/>
      <c r="JZ240" s="17"/>
      <c r="KA240" s="17"/>
      <c r="KB240" s="17"/>
      <c r="KC240" s="17"/>
      <c r="KD240" s="17"/>
      <c r="KE240" s="17"/>
      <c r="KF240" s="17"/>
      <c r="KG240" s="17"/>
      <c r="KH240" s="17"/>
      <c r="KI240" s="17"/>
      <c r="KJ240" s="17"/>
      <c r="KK240" s="17"/>
      <c r="KL240" s="17"/>
      <c r="KM240" s="17"/>
      <c r="KN240" s="17"/>
      <c r="KO240" s="17"/>
      <c r="KP240" s="17"/>
      <c r="KQ240" s="17"/>
      <c r="KR240" s="17"/>
      <c r="KS240" s="17"/>
      <c r="KT240" s="17"/>
      <c r="KU240" s="17"/>
      <c r="KV240" s="17"/>
      <c r="KW240" s="17"/>
      <c r="KX240" s="17"/>
      <c r="KY240" s="17"/>
    </row>
    <row r="241" spans="1:311" x14ac:dyDescent="0.25">
      <c r="A241" s="17"/>
      <c r="B241" s="17"/>
      <c r="C241" s="17"/>
      <c r="D241" s="17"/>
      <c r="E241" s="17"/>
      <c r="F241" s="17"/>
      <c r="G241" s="17"/>
      <c r="H241" s="17"/>
      <c r="I241" s="17"/>
      <c r="J241" s="17"/>
      <c r="K241" s="17"/>
      <c r="L241" s="17"/>
      <c r="M241" s="17"/>
      <c r="N241" s="17"/>
      <c r="O241" s="17"/>
      <c r="P241" s="17"/>
      <c r="Q241" s="17"/>
      <c r="R241" s="17"/>
      <c r="S241" s="17"/>
      <c r="T241" s="17"/>
      <c r="U241" s="17"/>
      <c r="V241" s="17"/>
      <c r="W241" s="17"/>
      <c r="X241" s="17"/>
      <c r="Y241" s="17"/>
      <c r="Z241" s="17"/>
      <c r="AA241" s="17"/>
      <c r="AB241" s="17"/>
      <c r="AC241" s="17"/>
      <c r="AD241" s="17"/>
      <c r="AE241" s="17"/>
      <c r="AF241" s="17"/>
      <c r="AG241" s="17"/>
      <c r="AH241" s="17"/>
      <c r="AI241" s="17"/>
      <c r="AJ241" s="17"/>
      <c r="AK241" s="17"/>
      <c r="AL241" s="17"/>
      <c r="AM241" s="17"/>
      <c r="AN241" s="17"/>
      <c r="AO241" s="17"/>
      <c r="AP241" s="17"/>
      <c r="AQ241" s="17"/>
      <c r="AR241" s="17"/>
      <c r="AS241" s="17"/>
      <c r="AT241" s="17"/>
      <c r="AU241" s="17"/>
      <c r="AV241" s="17"/>
      <c r="AW241" s="17"/>
      <c r="AX241" s="17"/>
      <c r="AY241" s="17"/>
      <c r="AZ241" s="17"/>
      <c r="BA241" s="17"/>
      <c r="BB241" s="17"/>
      <c r="BC241" s="17"/>
      <c r="BD241" s="17"/>
      <c r="BE241" s="17"/>
      <c r="BF241" s="17"/>
      <c r="BG241" s="17"/>
      <c r="BH241" s="17"/>
      <c r="BI241" s="17"/>
      <c r="BJ241" s="17"/>
      <c r="BK241" s="17"/>
      <c r="BL241" s="17"/>
      <c r="BM241" s="17"/>
      <c r="BN241" s="17"/>
      <c r="BO241" s="17"/>
      <c r="BP241" s="17"/>
      <c r="BQ241" s="17"/>
      <c r="BR241" s="17"/>
      <c r="BS241" s="17"/>
      <c r="BT241" s="17"/>
      <c r="BU241" s="17"/>
      <c r="BV241" s="17"/>
      <c r="BW241" s="17"/>
      <c r="BX241" s="17"/>
      <c r="BY241" s="17"/>
      <c r="BZ241" s="17"/>
      <c r="CA241" s="17"/>
      <c r="CB241" s="17"/>
      <c r="CC241" s="17"/>
      <c r="CD241" s="17"/>
      <c r="CE241" s="17"/>
      <c r="CF241" s="17"/>
      <c r="CG241" s="17"/>
      <c r="CH241" s="17"/>
      <c r="CI241" s="17"/>
      <c r="CJ241" s="17"/>
      <c r="CK241" s="17"/>
      <c r="CL241" s="17"/>
      <c r="CM241" s="17"/>
      <c r="CN241" s="17"/>
      <c r="CO241" s="17"/>
      <c r="CP241" s="17"/>
      <c r="CQ241" s="17"/>
      <c r="CR241" s="17"/>
      <c r="CS241" s="17"/>
      <c r="CT241" s="17"/>
      <c r="CU241" s="17"/>
      <c r="CV241" s="17"/>
      <c r="CW241" s="17"/>
      <c r="CX241" s="17"/>
      <c r="CY241" s="17"/>
      <c r="CZ241" s="17"/>
      <c r="DA241" s="17"/>
      <c r="DB241" s="17"/>
      <c r="DC241" s="17"/>
      <c r="DD241" s="17"/>
      <c r="DE241" s="17"/>
      <c r="DF241" s="17"/>
      <c r="DG241" s="17"/>
      <c r="DH241" s="17"/>
      <c r="DI241" s="17"/>
      <c r="DJ241" s="17"/>
      <c r="DK241" s="17"/>
      <c r="DL241" s="17"/>
      <c r="DM241" s="17"/>
      <c r="DN241" s="17"/>
      <c r="DO241" s="17"/>
      <c r="DP241" s="17"/>
      <c r="DQ241" s="17"/>
      <c r="DR241" s="17"/>
      <c r="DS241" s="17"/>
      <c r="DT241" s="17"/>
      <c r="DU241" s="17"/>
      <c r="DV241" s="17"/>
      <c r="DW241" s="17"/>
      <c r="DX241" s="17"/>
      <c r="DY241" s="17"/>
      <c r="DZ241" s="17"/>
      <c r="EA241" s="17"/>
      <c r="EB241" s="17"/>
      <c r="EC241" s="17"/>
      <c r="ED241" s="17"/>
      <c r="EE241" s="17"/>
      <c r="EF241" s="17"/>
      <c r="EG241" s="17"/>
      <c r="EH241" s="17"/>
      <c r="EI241" s="17"/>
      <c r="EJ241" s="17"/>
      <c r="EK241" s="17"/>
      <c r="EL241" s="17"/>
      <c r="EM241" s="17"/>
      <c r="EN241" s="17"/>
      <c r="EO241" s="17"/>
      <c r="EP241" s="17"/>
      <c r="EQ241" s="17"/>
      <c r="ER241" s="17"/>
      <c r="ES241" s="17"/>
      <c r="ET241" s="17"/>
      <c r="EU241" s="17"/>
      <c r="EV241" s="17"/>
      <c r="EW241" s="17"/>
      <c r="EX241" s="17"/>
      <c r="EY241" s="17"/>
      <c r="EZ241" s="17"/>
      <c r="FA241" s="17"/>
      <c r="FB241" s="17"/>
      <c r="FC241" s="17"/>
      <c r="FD241" s="17"/>
      <c r="FE241" s="17"/>
      <c r="FF241" s="17"/>
      <c r="FG241" s="17"/>
      <c r="FH241" s="17"/>
      <c r="FI241" s="17"/>
      <c r="FJ241" s="17"/>
      <c r="FK241" s="17"/>
      <c r="FL241" s="17"/>
      <c r="FM241" s="17"/>
      <c r="FN241" s="17"/>
      <c r="FO241" s="17"/>
      <c r="FP241" s="17"/>
      <c r="FQ241" s="17"/>
      <c r="FR241" s="17"/>
      <c r="FS241" s="17"/>
      <c r="FT241" s="17"/>
      <c r="FU241" s="17"/>
      <c r="FV241" s="17"/>
      <c r="FW241" s="17"/>
      <c r="FX241" s="17"/>
      <c r="FY241" s="17"/>
      <c r="FZ241" s="17"/>
      <c r="GA241" s="17"/>
      <c r="GB241" s="17"/>
      <c r="GC241" s="17"/>
      <c r="GD241" s="17"/>
      <c r="GE241" s="17"/>
      <c r="GF241" s="17"/>
      <c r="GG241" s="17"/>
      <c r="GH241" s="17"/>
      <c r="GI241" s="17"/>
      <c r="GJ241" s="17"/>
      <c r="GK241" s="17"/>
      <c r="GL241" s="17"/>
      <c r="GM241" s="17"/>
      <c r="GN241" s="17"/>
      <c r="GO241" s="17"/>
      <c r="GP241" s="17"/>
      <c r="GQ241" s="17"/>
      <c r="GR241" s="17"/>
      <c r="GS241" s="17"/>
      <c r="GT241" s="17"/>
      <c r="GU241" s="17"/>
      <c r="GV241" s="17"/>
      <c r="GW241" s="17"/>
      <c r="GX241" s="17"/>
      <c r="GY241" s="17"/>
      <c r="GZ241" s="17"/>
      <c r="HA241" s="17"/>
      <c r="HB241" s="17"/>
      <c r="HC241" s="17"/>
      <c r="HD241" s="17"/>
      <c r="HE241" s="17"/>
      <c r="HF241" s="17"/>
      <c r="HG241" s="17"/>
      <c r="HH241" s="17"/>
      <c r="HI241" s="17"/>
      <c r="HJ241" s="17"/>
      <c r="HK241" s="17"/>
      <c r="HL241" s="17"/>
      <c r="HM241" s="17"/>
      <c r="HN241" s="17"/>
      <c r="HO241" s="17"/>
      <c r="HP241" s="17"/>
      <c r="HQ241" s="17"/>
      <c r="HR241" s="17"/>
      <c r="HS241" s="17"/>
      <c r="HT241" s="17"/>
      <c r="HU241" s="17"/>
      <c r="HV241" s="17"/>
      <c r="HW241" s="17"/>
      <c r="HX241" s="17"/>
      <c r="HY241" s="17"/>
      <c r="HZ241" s="17"/>
      <c r="IA241" s="17"/>
      <c r="IB241" s="17"/>
      <c r="IC241" s="17"/>
      <c r="ID241" s="17"/>
      <c r="IE241" s="17"/>
      <c r="IF241" s="17"/>
      <c r="IG241" s="17"/>
      <c r="IH241" s="17"/>
      <c r="II241" s="17"/>
      <c r="IJ241" s="17"/>
      <c r="IK241" s="17"/>
      <c r="IL241" s="17"/>
      <c r="IM241" s="17"/>
      <c r="IN241" s="17"/>
      <c r="IO241" s="17"/>
      <c r="IP241" s="17"/>
      <c r="IQ241" s="17"/>
      <c r="IR241" s="17"/>
      <c r="IS241" s="17"/>
      <c r="IT241" s="17"/>
      <c r="IU241" s="17"/>
      <c r="IV241" s="17"/>
      <c r="IW241" s="17"/>
      <c r="IX241" s="17"/>
      <c r="IY241" s="17"/>
      <c r="IZ241" s="17"/>
      <c r="JA241" s="17"/>
      <c r="JB241" s="17"/>
      <c r="JC241" s="17"/>
      <c r="JD241" s="17"/>
      <c r="JE241" s="17"/>
      <c r="JF241" s="17"/>
      <c r="JG241" s="17"/>
      <c r="JH241" s="17"/>
      <c r="JI241" s="17"/>
      <c r="JJ241" s="17"/>
      <c r="JK241" s="17"/>
      <c r="JL241" s="17"/>
      <c r="JM241" s="17"/>
      <c r="JN241" s="17"/>
      <c r="JO241" s="17"/>
      <c r="JP241" s="17"/>
      <c r="JQ241" s="17"/>
      <c r="JR241" s="17"/>
      <c r="JS241" s="17"/>
      <c r="JT241" s="17"/>
      <c r="JU241" s="17"/>
      <c r="JV241" s="17"/>
      <c r="JW241" s="17"/>
      <c r="JX241" s="17"/>
      <c r="JY241" s="17"/>
      <c r="JZ241" s="17"/>
      <c r="KA241" s="17"/>
      <c r="KB241" s="17"/>
      <c r="KC241" s="17"/>
      <c r="KD241" s="17"/>
      <c r="KE241" s="17"/>
      <c r="KF241" s="17"/>
      <c r="KG241" s="17"/>
      <c r="KH241" s="17"/>
      <c r="KI241" s="17"/>
      <c r="KJ241" s="17"/>
      <c r="KK241" s="17"/>
      <c r="KL241" s="17"/>
      <c r="KM241" s="17"/>
      <c r="KN241" s="17"/>
      <c r="KO241" s="17"/>
      <c r="KP241" s="17"/>
      <c r="KQ241" s="17"/>
      <c r="KR241" s="17"/>
      <c r="KS241" s="17"/>
      <c r="KT241" s="17"/>
      <c r="KU241" s="17"/>
      <c r="KV241" s="17"/>
      <c r="KW241" s="17"/>
      <c r="KX241" s="17"/>
      <c r="KY241" s="17"/>
    </row>
    <row r="242" spans="1:311" x14ac:dyDescent="0.25">
      <c r="A242" s="17"/>
      <c r="B242" s="17"/>
      <c r="C242" s="17"/>
      <c r="D242" s="17"/>
      <c r="E242" s="17"/>
      <c r="F242" s="17"/>
      <c r="G242" s="17"/>
      <c r="H242" s="17"/>
      <c r="I242" s="17"/>
      <c r="J242" s="17"/>
      <c r="K242" s="17"/>
      <c r="L242" s="17"/>
      <c r="M242" s="17"/>
      <c r="N242" s="17"/>
      <c r="O242" s="17"/>
      <c r="P242" s="17"/>
      <c r="Q242" s="17"/>
      <c r="R242" s="17"/>
      <c r="S242" s="17"/>
      <c r="T242" s="17"/>
      <c r="U242" s="17"/>
      <c r="V242" s="17"/>
      <c r="W242" s="17"/>
      <c r="X242" s="17"/>
      <c r="Y242" s="17"/>
      <c r="Z242" s="17"/>
      <c r="AA242" s="17"/>
      <c r="AB242" s="17"/>
      <c r="AC242" s="17"/>
      <c r="AD242" s="17"/>
      <c r="AE242" s="17"/>
      <c r="AF242" s="17"/>
      <c r="AG242" s="17"/>
      <c r="AH242" s="17"/>
      <c r="AI242" s="17"/>
      <c r="AJ242" s="17"/>
      <c r="AK242" s="17"/>
      <c r="AL242" s="17"/>
      <c r="AM242" s="17"/>
      <c r="AN242" s="17"/>
      <c r="AO242" s="17"/>
      <c r="AP242" s="17"/>
      <c r="AQ242" s="17"/>
      <c r="AR242" s="17"/>
      <c r="AS242" s="17"/>
      <c r="AT242" s="17"/>
      <c r="AU242" s="17"/>
      <c r="AV242" s="17"/>
      <c r="AW242" s="17"/>
      <c r="AX242" s="17"/>
      <c r="AY242" s="17"/>
      <c r="AZ242" s="17"/>
      <c r="BA242" s="17"/>
      <c r="BB242" s="17"/>
      <c r="BC242" s="17"/>
      <c r="BD242" s="17"/>
      <c r="BE242" s="17"/>
      <c r="BF242" s="17"/>
      <c r="BG242" s="17"/>
      <c r="BH242" s="17"/>
      <c r="BI242" s="17"/>
      <c r="BJ242" s="17"/>
      <c r="BK242" s="17"/>
      <c r="BL242" s="17"/>
      <c r="BM242" s="17"/>
      <c r="BN242" s="17"/>
      <c r="BO242" s="17"/>
      <c r="BP242" s="17"/>
      <c r="BQ242" s="17"/>
      <c r="BR242" s="17"/>
      <c r="BS242" s="17"/>
      <c r="BT242" s="17"/>
      <c r="BU242" s="17"/>
      <c r="BV242" s="17"/>
      <c r="BW242" s="17"/>
      <c r="BX242" s="17"/>
      <c r="BY242" s="17"/>
      <c r="BZ242" s="17"/>
      <c r="CA242" s="17"/>
      <c r="CB242" s="17"/>
      <c r="CC242" s="17"/>
      <c r="CD242" s="17"/>
      <c r="CE242" s="17"/>
      <c r="CF242" s="17"/>
      <c r="CG242" s="17"/>
      <c r="CH242" s="17"/>
      <c r="CI242" s="17"/>
      <c r="CJ242" s="17"/>
      <c r="CK242" s="17"/>
      <c r="CL242" s="17"/>
      <c r="CM242" s="17"/>
      <c r="CN242" s="17"/>
      <c r="CO242" s="17"/>
      <c r="CP242" s="17"/>
      <c r="CQ242" s="17"/>
      <c r="CR242" s="17"/>
      <c r="CS242" s="17"/>
      <c r="CT242" s="17"/>
      <c r="CU242" s="17"/>
      <c r="CV242" s="17"/>
      <c r="CW242" s="17"/>
      <c r="CX242" s="17"/>
      <c r="CY242" s="17"/>
      <c r="CZ242" s="17"/>
      <c r="DA242" s="17"/>
      <c r="DB242" s="17"/>
      <c r="DC242" s="17"/>
      <c r="DD242" s="17"/>
      <c r="DE242" s="17"/>
      <c r="DF242" s="17"/>
      <c r="DG242" s="17"/>
      <c r="DH242" s="17"/>
      <c r="DI242" s="17"/>
      <c r="DJ242" s="17"/>
      <c r="DK242" s="17"/>
      <c r="DL242" s="17"/>
      <c r="DM242" s="17"/>
      <c r="DN242" s="17"/>
      <c r="DO242" s="17"/>
      <c r="DP242" s="17"/>
      <c r="DQ242" s="17"/>
      <c r="DR242" s="17"/>
      <c r="DS242" s="17"/>
      <c r="DT242" s="17"/>
      <c r="DU242" s="17"/>
      <c r="DV242" s="17"/>
      <c r="DW242" s="17"/>
      <c r="DX242" s="17"/>
      <c r="DY242" s="17"/>
      <c r="DZ242" s="17"/>
      <c r="EA242" s="17"/>
      <c r="EB242" s="17"/>
      <c r="EC242" s="17"/>
      <c r="ED242" s="17"/>
      <c r="EE242" s="17"/>
      <c r="EF242" s="17"/>
      <c r="EG242" s="17"/>
      <c r="EH242" s="17"/>
      <c r="EI242" s="17"/>
      <c r="EJ242" s="17"/>
      <c r="EK242" s="17"/>
      <c r="EL242" s="17"/>
      <c r="EM242" s="17"/>
      <c r="EN242" s="17"/>
      <c r="EO242" s="17"/>
      <c r="EP242" s="17"/>
      <c r="EQ242" s="17"/>
      <c r="ER242" s="17"/>
      <c r="ES242" s="17"/>
      <c r="ET242" s="17"/>
      <c r="EU242" s="17"/>
      <c r="EV242" s="17"/>
      <c r="EW242" s="17"/>
      <c r="EX242" s="17"/>
      <c r="EY242" s="17"/>
      <c r="EZ242" s="17"/>
      <c r="FA242" s="17"/>
      <c r="FB242" s="17"/>
      <c r="FC242" s="17"/>
      <c r="FD242" s="17"/>
      <c r="FE242" s="17"/>
      <c r="FF242" s="17"/>
      <c r="FG242" s="17"/>
      <c r="FH242" s="17"/>
      <c r="FI242" s="17"/>
      <c r="FJ242" s="17"/>
      <c r="FK242" s="17"/>
      <c r="FL242" s="17"/>
      <c r="FM242" s="17"/>
      <c r="FN242" s="17"/>
      <c r="FO242" s="17"/>
      <c r="FP242" s="17"/>
      <c r="FQ242" s="17"/>
      <c r="FR242" s="17"/>
      <c r="FS242" s="17"/>
      <c r="FT242" s="17"/>
      <c r="FU242" s="17"/>
      <c r="FV242" s="17"/>
      <c r="FW242" s="17"/>
      <c r="FX242" s="17"/>
      <c r="FY242" s="17"/>
      <c r="FZ242" s="17"/>
      <c r="GA242" s="17"/>
      <c r="GB242" s="17"/>
      <c r="GC242" s="17"/>
      <c r="GD242" s="17"/>
      <c r="GE242" s="17"/>
      <c r="GF242" s="17"/>
      <c r="GG242" s="17"/>
      <c r="GH242" s="17"/>
      <c r="GI242" s="17"/>
      <c r="GJ242" s="17"/>
      <c r="GK242" s="17"/>
      <c r="GL242" s="17"/>
      <c r="GM242" s="17"/>
      <c r="GN242" s="17"/>
      <c r="GO242" s="17"/>
      <c r="GP242" s="17"/>
      <c r="GQ242" s="17"/>
      <c r="GR242" s="17"/>
      <c r="GS242" s="17"/>
      <c r="GT242" s="17"/>
      <c r="GU242" s="17"/>
      <c r="GV242" s="17"/>
      <c r="GW242" s="17"/>
      <c r="GX242" s="17"/>
      <c r="GY242" s="17"/>
      <c r="GZ242" s="17"/>
      <c r="HA242" s="17"/>
      <c r="HB242" s="17"/>
      <c r="HC242" s="17"/>
      <c r="HD242" s="17"/>
      <c r="HE242" s="17"/>
      <c r="HF242" s="17"/>
      <c r="HG242" s="17"/>
      <c r="HH242" s="17"/>
      <c r="HI242" s="17"/>
      <c r="HJ242" s="17"/>
      <c r="HK242" s="17"/>
      <c r="HL242" s="17"/>
      <c r="HM242" s="17"/>
      <c r="HN242" s="17"/>
      <c r="HO242" s="17"/>
      <c r="HP242" s="17"/>
      <c r="HQ242" s="17"/>
      <c r="HR242" s="17"/>
      <c r="HS242" s="17"/>
      <c r="HT242" s="17"/>
      <c r="HU242" s="17"/>
      <c r="HV242" s="17"/>
      <c r="HW242" s="17"/>
      <c r="HX242" s="17"/>
      <c r="HY242" s="17"/>
      <c r="HZ242" s="17"/>
      <c r="IA242" s="17"/>
      <c r="IB242" s="17"/>
      <c r="IC242" s="17"/>
      <c r="ID242" s="17"/>
      <c r="IE242" s="17"/>
      <c r="IF242" s="17"/>
      <c r="IG242" s="17"/>
      <c r="IH242" s="17"/>
      <c r="II242" s="17"/>
      <c r="IJ242" s="17"/>
      <c r="IK242" s="17"/>
      <c r="IL242" s="17"/>
      <c r="IM242" s="17"/>
      <c r="IN242" s="17"/>
      <c r="IO242" s="17"/>
      <c r="IP242" s="17"/>
      <c r="IQ242" s="17"/>
      <c r="IR242" s="17"/>
      <c r="IS242" s="17"/>
      <c r="IT242" s="17"/>
      <c r="IU242" s="17"/>
      <c r="IV242" s="17"/>
      <c r="IW242" s="17"/>
      <c r="IX242" s="17"/>
      <c r="IY242" s="17"/>
      <c r="IZ242" s="17"/>
      <c r="JA242" s="17"/>
      <c r="JB242" s="17"/>
      <c r="JC242" s="17"/>
      <c r="JD242" s="17"/>
      <c r="JE242" s="17"/>
      <c r="JF242" s="17"/>
      <c r="JG242" s="17"/>
      <c r="JH242" s="17"/>
      <c r="JI242" s="17"/>
      <c r="JJ242" s="17"/>
      <c r="JK242" s="17"/>
      <c r="JL242" s="17"/>
      <c r="JM242" s="17"/>
      <c r="JN242" s="17"/>
      <c r="JO242" s="17"/>
      <c r="JP242" s="17"/>
      <c r="JQ242" s="17"/>
      <c r="JR242" s="17"/>
      <c r="JS242" s="17"/>
      <c r="JT242" s="17"/>
      <c r="JU242" s="17"/>
      <c r="JV242" s="17"/>
      <c r="JW242" s="17"/>
      <c r="JX242" s="17"/>
      <c r="JY242" s="17"/>
      <c r="JZ242" s="17"/>
      <c r="KA242" s="17"/>
      <c r="KB242" s="17"/>
      <c r="KC242" s="17"/>
      <c r="KD242" s="17"/>
      <c r="KE242" s="17"/>
      <c r="KF242" s="17"/>
      <c r="KG242" s="17"/>
      <c r="KH242" s="17"/>
      <c r="KI242" s="17"/>
      <c r="KJ242" s="17"/>
      <c r="KK242" s="17"/>
      <c r="KL242" s="17"/>
      <c r="KM242" s="17"/>
      <c r="KN242" s="17"/>
      <c r="KO242" s="17"/>
      <c r="KP242" s="17"/>
      <c r="KQ242" s="17"/>
      <c r="KR242" s="17"/>
      <c r="KS242" s="17"/>
      <c r="KT242" s="17"/>
      <c r="KU242" s="17"/>
      <c r="KV242" s="17"/>
      <c r="KW242" s="17"/>
      <c r="KX242" s="17"/>
      <c r="KY242" s="17"/>
    </row>
    <row r="243" spans="1:311" x14ac:dyDescent="0.25">
      <c r="A243" s="17"/>
      <c r="B243" s="17"/>
      <c r="C243" s="17"/>
      <c r="D243" s="17"/>
      <c r="E243" s="17"/>
      <c r="F243" s="17"/>
      <c r="G243" s="17"/>
      <c r="H243" s="17"/>
      <c r="I243" s="17"/>
      <c r="J243" s="17"/>
      <c r="K243" s="17"/>
      <c r="L243" s="17"/>
      <c r="M243" s="17"/>
      <c r="N243" s="17"/>
      <c r="O243" s="17"/>
      <c r="P243" s="17"/>
      <c r="Q243" s="17"/>
      <c r="R243" s="17"/>
      <c r="S243" s="17"/>
      <c r="T243" s="17"/>
      <c r="U243" s="17"/>
      <c r="V243" s="17"/>
      <c r="W243" s="17"/>
      <c r="X243" s="17"/>
      <c r="Y243" s="17"/>
      <c r="Z243" s="17"/>
      <c r="AA243" s="17"/>
      <c r="AB243" s="17"/>
      <c r="AC243" s="17"/>
      <c r="AD243" s="17"/>
      <c r="AE243" s="17"/>
      <c r="AF243" s="17"/>
      <c r="AG243" s="17"/>
      <c r="AH243" s="17"/>
      <c r="AI243" s="17"/>
      <c r="AJ243" s="17"/>
      <c r="AK243" s="17"/>
      <c r="AL243" s="17"/>
      <c r="AM243" s="17"/>
      <c r="AN243" s="17"/>
      <c r="AO243" s="17"/>
      <c r="AP243" s="17"/>
      <c r="AQ243" s="17"/>
      <c r="AR243" s="17"/>
      <c r="AS243" s="17"/>
      <c r="AT243" s="17"/>
      <c r="AU243" s="17"/>
      <c r="AV243" s="17"/>
      <c r="AW243" s="17"/>
      <c r="AX243" s="17"/>
      <c r="AY243" s="17"/>
      <c r="AZ243" s="17"/>
      <c r="BA243" s="17"/>
      <c r="BB243" s="17"/>
      <c r="BC243" s="17"/>
      <c r="BD243" s="17"/>
      <c r="BE243" s="17"/>
      <c r="BF243" s="17"/>
      <c r="BG243" s="17"/>
      <c r="BH243" s="17"/>
      <c r="BI243" s="17"/>
      <c r="BJ243" s="17"/>
      <c r="BK243" s="17"/>
      <c r="BL243" s="17"/>
      <c r="BM243" s="17"/>
      <c r="BN243" s="17"/>
      <c r="BO243" s="17"/>
      <c r="BP243" s="17"/>
      <c r="BQ243" s="17"/>
      <c r="BR243" s="17"/>
      <c r="BS243" s="17"/>
      <c r="BT243" s="17"/>
      <c r="BU243" s="17"/>
      <c r="BV243" s="17"/>
      <c r="BW243" s="17"/>
      <c r="BX243" s="17"/>
      <c r="BY243" s="17"/>
      <c r="BZ243" s="17"/>
      <c r="CA243" s="17"/>
      <c r="CB243" s="17"/>
      <c r="CC243" s="17"/>
      <c r="CD243" s="17"/>
      <c r="CE243" s="17"/>
      <c r="CF243" s="17"/>
      <c r="CG243" s="17"/>
      <c r="CH243" s="17"/>
      <c r="CI243" s="17"/>
      <c r="CJ243" s="17"/>
      <c r="CK243" s="17"/>
      <c r="CL243" s="17"/>
      <c r="CM243" s="17"/>
      <c r="CN243" s="17"/>
      <c r="CO243" s="17"/>
      <c r="CP243" s="17"/>
      <c r="CQ243" s="17"/>
      <c r="CR243" s="17"/>
      <c r="CS243" s="17"/>
      <c r="CT243" s="17"/>
      <c r="CU243" s="17"/>
      <c r="CV243" s="17"/>
      <c r="CW243" s="17"/>
      <c r="CX243" s="17"/>
      <c r="CY243" s="17"/>
      <c r="CZ243" s="17"/>
      <c r="DA243" s="17"/>
      <c r="DB243" s="17"/>
      <c r="DC243" s="17"/>
      <c r="DD243" s="17"/>
      <c r="DE243" s="17"/>
      <c r="DF243" s="17"/>
      <c r="DG243" s="17"/>
      <c r="DH243" s="17"/>
      <c r="DI243" s="17"/>
      <c r="DJ243" s="17"/>
      <c r="DK243" s="17"/>
      <c r="DL243" s="17"/>
      <c r="DM243" s="17"/>
      <c r="DN243" s="17"/>
      <c r="DO243" s="17"/>
      <c r="DP243" s="17"/>
      <c r="DQ243" s="17"/>
      <c r="DR243" s="17"/>
      <c r="DS243" s="17"/>
      <c r="DT243" s="17"/>
      <c r="DU243" s="17"/>
      <c r="DV243" s="17"/>
      <c r="DW243" s="17"/>
      <c r="DX243" s="17"/>
      <c r="DY243" s="17"/>
      <c r="DZ243" s="17"/>
      <c r="EA243" s="17"/>
      <c r="EB243" s="17"/>
      <c r="EC243" s="17"/>
      <c r="ED243" s="17"/>
      <c r="EE243" s="17"/>
      <c r="EF243" s="17"/>
      <c r="EG243" s="17"/>
      <c r="EH243" s="17"/>
      <c r="EI243" s="17"/>
      <c r="EJ243" s="17"/>
      <c r="EK243" s="17"/>
      <c r="EL243" s="17"/>
      <c r="EM243" s="17"/>
      <c r="EN243" s="17"/>
      <c r="EO243" s="17"/>
      <c r="EP243" s="17"/>
      <c r="EQ243" s="17"/>
      <c r="ER243" s="17"/>
      <c r="ES243" s="17"/>
      <c r="ET243" s="17"/>
      <c r="EU243" s="17"/>
      <c r="EV243" s="17"/>
      <c r="EW243" s="17"/>
      <c r="EX243" s="17"/>
      <c r="EY243" s="17"/>
      <c r="EZ243" s="17"/>
      <c r="FA243" s="17"/>
      <c r="FB243" s="17"/>
      <c r="FC243" s="17"/>
      <c r="FD243" s="17"/>
      <c r="FE243" s="17"/>
      <c r="FF243" s="17"/>
      <c r="FG243" s="17"/>
      <c r="FH243" s="17"/>
      <c r="FI243" s="17"/>
      <c r="FJ243" s="17"/>
      <c r="FK243" s="17"/>
      <c r="FL243" s="17"/>
      <c r="FM243" s="17"/>
      <c r="FN243" s="17"/>
      <c r="FO243" s="17"/>
      <c r="FP243" s="17"/>
      <c r="FQ243" s="17"/>
      <c r="FR243" s="17"/>
      <c r="FS243" s="17"/>
      <c r="FT243" s="17"/>
      <c r="FU243" s="17"/>
      <c r="FV243" s="17"/>
      <c r="FW243" s="17"/>
      <c r="FX243" s="17"/>
      <c r="FY243" s="17"/>
      <c r="FZ243" s="17"/>
      <c r="GA243" s="17"/>
      <c r="GB243" s="17"/>
      <c r="GC243" s="17"/>
      <c r="GD243" s="17"/>
      <c r="GE243" s="17"/>
      <c r="GF243" s="17"/>
      <c r="GG243" s="17"/>
      <c r="GH243" s="17"/>
      <c r="GI243" s="17"/>
      <c r="GJ243" s="17"/>
      <c r="GK243" s="17"/>
      <c r="GL243" s="17"/>
      <c r="GM243" s="17"/>
      <c r="GN243" s="17"/>
      <c r="GO243" s="17"/>
      <c r="GP243" s="17"/>
      <c r="GQ243" s="17"/>
      <c r="GR243" s="17"/>
      <c r="GS243" s="17"/>
      <c r="GT243" s="17"/>
      <c r="GU243" s="17"/>
      <c r="GV243" s="17"/>
      <c r="GW243" s="17"/>
      <c r="GX243" s="17"/>
      <c r="GY243" s="17"/>
      <c r="GZ243" s="17"/>
      <c r="HA243" s="17"/>
      <c r="HB243" s="17"/>
      <c r="HC243" s="17"/>
      <c r="HD243" s="17"/>
      <c r="HE243" s="17"/>
      <c r="HF243" s="17"/>
      <c r="HG243" s="17"/>
      <c r="HH243" s="17"/>
      <c r="HI243" s="17"/>
      <c r="HJ243" s="17"/>
      <c r="HK243" s="17"/>
      <c r="HL243" s="17"/>
      <c r="HM243" s="17"/>
      <c r="HN243" s="17"/>
      <c r="HO243" s="17"/>
      <c r="HP243" s="17"/>
      <c r="HQ243" s="17"/>
      <c r="HR243" s="17"/>
      <c r="HS243" s="17"/>
      <c r="HT243" s="17"/>
      <c r="HU243" s="17"/>
      <c r="HV243" s="17"/>
      <c r="HW243" s="17"/>
      <c r="HX243" s="17"/>
      <c r="HY243" s="17"/>
      <c r="HZ243" s="17"/>
      <c r="IA243" s="17"/>
      <c r="IB243" s="17"/>
      <c r="IC243" s="17"/>
      <c r="ID243" s="17"/>
      <c r="IE243" s="17"/>
      <c r="IF243" s="17"/>
      <c r="IG243" s="17"/>
      <c r="IH243" s="17"/>
      <c r="II243" s="17"/>
      <c r="IJ243" s="17"/>
      <c r="IK243" s="17"/>
      <c r="IL243" s="17"/>
      <c r="IM243" s="17"/>
      <c r="IN243" s="17"/>
      <c r="IO243" s="17"/>
      <c r="IP243" s="17"/>
      <c r="IQ243" s="17"/>
      <c r="IR243" s="17"/>
      <c r="IS243" s="17"/>
      <c r="IT243" s="17"/>
      <c r="IU243" s="17"/>
      <c r="IV243" s="17"/>
      <c r="IW243" s="17"/>
      <c r="IX243" s="17"/>
      <c r="IY243" s="17"/>
      <c r="IZ243" s="17"/>
      <c r="JA243" s="17"/>
      <c r="JB243" s="17"/>
      <c r="JC243" s="17"/>
      <c r="JD243" s="17"/>
      <c r="JE243" s="17"/>
      <c r="JF243" s="17"/>
      <c r="JG243" s="17"/>
      <c r="JH243" s="17"/>
      <c r="JI243" s="17"/>
      <c r="JJ243" s="17"/>
      <c r="JK243" s="17"/>
      <c r="JL243" s="17"/>
      <c r="JM243" s="17"/>
      <c r="JN243" s="17"/>
      <c r="JO243" s="17"/>
      <c r="JP243" s="17"/>
      <c r="JQ243" s="17"/>
      <c r="JR243" s="17"/>
      <c r="JS243" s="17"/>
      <c r="JT243" s="17"/>
      <c r="JU243" s="17"/>
      <c r="JV243" s="17"/>
      <c r="JW243" s="17"/>
      <c r="JX243" s="17"/>
      <c r="JY243" s="17"/>
      <c r="JZ243" s="17"/>
      <c r="KA243" s="17"/>
      <c r="KB243" s="17"/>
      <c r="KC243" s="17"/>
      <c r="KD243" s="17"/>
      <c r="KE243" s="17"/>
      <c r="KF243" s="17"/>
      <c r="KG243" s="17"/>
      <c r="KH243" s="17"/>
      <c r="KI243" s="17"/>
      <c r="KJ243" s="17"/>
      <c r="KK243" s="17"/>
      <c r="KL243" s="17"/>
      <c r="KM243" s="17"/>
      <c r="KN243" s="17"/>
      <c r="KO243" s="17"/>
      <c r="KP243" s="17"/>
      <c r="KQ243" s="17"/>
      <c r="KR243" s="17"/>
      <c r="KS243" s="17"/>
      <c r="KT243" s="17"/>
      <c r="KU243" s="17"/>
      <c r="KV243" s="17"/>
      <c r="KW243" s="17"/>
      <c r="KX243" s="17"/>
      <c r="KY243" s="17"/>
    </row>
    <row r="244" spans="1:311" x14ac:dyDescent="0.25">
      <c r="A244" s="17"/>
      <c r="B244" s="17"/>
      <c r="C244" s="17"/>
      <c r="D244" s="17"/>
      <c r="E244" s="17"/>
      <c r="F244" s="17"/>
      <c r="G244" s="17"/>
      <c r="H244" s="17"/>
      <c r="I244" s="17"/>
      <c r="J244" s="17"/>
      <c r="K244" s="17"/>
      <c r="L244" s="17"/>
      <c r="M244" s="17"/>
      <c r="N244" s="17"/>
      <c r="O244" s="17"/>
      <c r="P244" s="17"/>
      <c r="Q244" s="17"/>
      <c r="R244" s="17"/>
      <c r="S244" s="17"/>
      <c r="T244" s="17"/>
      <c r="U244" s="17"/>
      <c r="V244" s="17"/>
      <c r="W244" s="17"/>
      <c r="X244" s="17"/>
      <c r="Y244" s="17"/>
      <c r="Z244" s="17"/>
      <c r="AA244" s="17"/>
      <c r="AB244" s="17"/>
      <c r="AC244" s="17"/>
      <c r="AD244" s="17"/>
      <c r="AE244" s="17"/>
      <c r="AF244" s="17"/>
      <c r="AG244" s="17"/>
      <c r="AH244" s="17"/>
      <c r="AI244" s="17"/>
      <c r="AJ244" s="17"/>
      <c r="AK244" s="17"/>
      <c r="AL244" s="17"/>
      <c r="AM244" s="17"/>
      <c r="AN244" s="17"/>
      <c r="AO244" s="17"/>
      <c r="AP244" s="17"/>
      <c r="AQ244" s="17"/>
      <c r="AR244" s="17"/>
      <c r="AS244" s="17"/>
      <c r="AT244" s="17"/>
      <c r="AU244" s="17"/>
      <c r="AV244" s="17"/>
      <c r="AW244" s="17"/>
      <c r="AX244" s="17"/>
      <c r="AY244" s="17"/>
      <c r="AZ244" s="17"/>
      <c r="BA244" s="17"/>
      <c r="BB244" s="17"/>
      <c r="BC244" s="17"/>
      <c r="BD244" s="17"/>
      <c r="BE244" s="17"/>
      <c r="BF244" s="17"/>
      <c r="BG244" s="17"/>
      <c r="BH244" s="17"/>
      <c r="BI244" s="17"/>
      <c r="BJ244" s="17"/>
      <c r="BK244" s="17"/>
      <c r="BL244" s="17"/>
      <c r="BM244" s="17"/>
      <c r="BN244" s="17"/>
      <c r="BO244" s="17"/>
      <c r="BP244" s="17"/>
      <c r="BQ244" s="17"/>
      <c r="BR244" s="17"/>
      <c r="BS244" s="17"/>
      <c r="BT244" s="17"/>
      <c r="BU244" s="17"/>
      <c r="BV244" s="17"/>
      <c r="BW244" s="17"/>
      <c r="BX244" s="17"/>
      <c r="BY244" s="17"/>
      <c r="BZ244" s="17"/>
      <c r="CA244" s="17"/>
      <c r="CB244" s="17"/>
      <c r="CC244" s="17"/>
      <c r="CD244" s="17"/>
      <c r="CE244" s="17"/>
      <c r="CF244" s="17"/>
      <c r="CG244" s="17"/>
      <c r="CH244" s="17"/>
      <c r="CI244" s="17"/>
      <c r="CJ244" s="17"/>
      <c r="CK244" s="17"/>
      <c r="CL244" s="17"/>
      <c r="CM244" s="17"/>
      <c r="CN244" s="17"/>
      <c r="CO244" s="17"/>
      <c r="CP244" s="17"/>
      <c r="CQ244" s="17"/>
      <c r="CR244" s="17"/>
      <c r="CS244" s="17"/>
      <c r="CT244" s="17"/>
      <c r="CU244" s="17"/>
      <c r="CV244" s="17"/>
      <c r="CW244" s="17"/>
      <c r="CX244" s="17"/>
      <c r="CY244" s="17"/>
      <c r="CZ244" s="17"/>
      <c r="DA244" s="17"/>
      <c r="DB244" s="17"/>
      <c r="DC244" s="17"/>
      <c r="DD244" s="17"/>
      <c r="DE244" s="17"/>
      <c r="DF244" s="17"/>
      <c r="DG244" s="17"/>
      <c r="DH244" s="17"/>
      <c r="DI244" s="17"/>
      <c r="DJ244" s="17"/>
      <c r="DK244" s="17"/>
      <c r="DL244" s="17"/>
      <c r="DM244" s="17"/>
      <c r="DN244" s="17"/>
      <c r="DO244" s="17"/>
      <c r="DP244" s="17"/>
      <c r="DQ244" s="17"/>
      <c r="DR244" s="17"/>
      <c r="DS244" s="17"/>
      <c r="DT244" s="17"/>
      <c r="DU244" s="17"/>
      <c r="DV244" s="17"/>
      <c r="DW244" s="17"/>
      <c r="DX244" s="17"/>
      <c r="DY244" s="17"/>
      <c r="DZ244" s="17"/>
      <c r="EA244" s="17"/>
      <c r="EB244" s="17"/>
      <c r="EC244" s="17"/>
      <c r="ED244" s="17"/>
      <c r="EE244" s="17"/>
      <c r="EF244" s="17"/>
      <c r="EG244" s="17"/>
      <c r="EH244" s="17"/>
      <c r="EI244" s="17"/>
      <c r="EJ244" s="17"/>
      <c r="EK244" s="17"/>
      <c r="EL244" s="17"/>
      <c r="EM244" s="17"/>
      <c r="EN244" s="17"/>
      <c r="EO244" s="17"/>
      <c r="EP244" s="17"/>
      <c r="EQ244" s="17"/>
      <c r="ER244" s="17"/>
      <c r="ES244" s="17"/>
      <c r="ET244" s="17"/>
      <c r="EU244" s="17"/>
      <c r="EV244" s="17"/>
      <c r="EW244" s="17"/>
      <c r="EX244" s="17"/>
      <c r="EY244" s="17"/>
      <c r="EZ244" s="17"/>
      <c r="FA244" s="17"/>
      <c r="FB244" s="17"/>
      <c r="FC244" s="17"/>
      <c r="FD244" s="17"/>
      <c r="FE244" s="17"/>
      <c r="FF244" s="17"/>
      <c r="FG244" s="17"/>
      <c r="FH244" s="17"/>
      <c r="FI244" s="17"/>
      <c r="FJ244" s="17"/>
      <c r="FK244" s="17"/>
      <c r="FL244" s="17"/>
      <c r="FM244" s="17"/>
      <c r="FN244" s="17"/>
      <c r="FO244" s="17"/>
      <c r="FP244" s="17"/>
      <c r="FQ244" s="17"/>
      <c r="FR244" s="17"/>
      <c r="FS244" s="17"/>
      <c r="FT244" s="17"/>
      <c r="FU244" s="17"/>
      <c r="FV244" s="17"/>
      <c r="FW244" s="17"/>
      <c r="FX244" s="17"/>
      <c r="FY244" s="17"/>
      <c r="FZ244" s="17"/>
      <c r="GA244" s="17"/>
      <c r="GB244" s="17"/>
      <c r="GC244" s="17"/>
      <c r="GD244" s="17"/>
      <c r="GE244" s="17"/>
      <c r="GF244" s="17"/>
      <c r="GG244" s="17"/>
      <c r="GH244" s="17"/>
      <c r="GI244" s="17"/>
      <c r="GJ244" s="17"/>
      <c r="GK244" s="17"/>
      <c r="GL244" s="17"/>
      <c r="GM244" s="17"/>
      <c r="GN244" s="17"/>
      <c r="GO244" s="17"/>
      <c r="GP244" s="17"/>
      <c r="GQ244" s="17"/>
      <c r="GR244" s="17"/>
      <c r="GS244" s="17"/>
      <c r="GT244" s="17"/>
      <c r="GU244" s="17"/>
      <c r="GV244" s="17"/>
      <c r="GW244" s="17"/>
      <c r="GX244" s="17"/>
      <c r="GY244" s="17"/>
      <c r="GZ244" s="17"/>
      <c r="HA244" s="17"/>
      <c r="HB244" s="17"/>
      <c r="HC244" s="17"/>
      <c r="HD244" s="17"/>
      <c r="HE244" s="17"/>
      <c r="HF244" s="17"/>
      <c r="HG244" s="17"/>
      <c r="HH244" s="17"/>
      <c r="HI244" s="17"/>
      <c r="HJ244" s="17"/>
      <c r="HK244" s="17"/>
      <c r="HL244" s="17"/>
      <c r="HM244" s="17"/>
      <c r="HN244" s="17"/>
      <c r="HO244" s="17"/>
      <c r="HP244" s="17"/>
      <c r="HQ244" s="17"/>
      <c r="HR244" s="17"/>
      <c r="HS244" s="17"/>
      <c r="HT244" s="17"/>
      <c r="HU244" s="17"/>
      <c r="HV244" s="17"/>
      <c r="HW244" s="17"/>
      <c r="HX244" s="17"/>
      <c r="HY244" s="17"/>
      <c r="HZ244" s="17"/>
      <c r="IA244" s="17"/>
      <c r="IB244" s="17"/>
      <c r="IC244" s="17"/>
      <c r="ID244" s="17"/>
      <c r="IE244" s="17"/>
      <c r="IF244" s="17"/>
      <c r="IG244" s="17"/>
      <c r="IH244" s="17"/>
      <c r="II244" s="17"/>
      <c r="IJ244" s="17"/>
      <c r="IK244" s="17"/>
      <c r="IL244" s="17"/>
      <c r="IM244" s="17"/>
      <c r="IN244" s="17"/>
      <c r="IO244" s="17"/>
      <c r="IP244" s="17"/>
      <c r="IQ244" s="17"/>
      <c r="IR244" s="17"/>
      <c r="IS244" s="17"/>
      <c r="IT244" s="17"/>
      <c r="IU244" s="17"/>
      <c r="IV244" s="17"/>
      <c r="IW244" s="17"/>
      <c r="IX244" s="17"/>
      <c r="IY244" s="17"/>
      <c r="IZ244" s="17"/>
      <c r="JA244" s="17"/>
      <c r="JB244" s="17"/>
      <c r="JC244" s="17"/>
      <c r="JD244" s="17"/>
      <c r="JE244" s="17"/>
      <c r="JF244" s="17"/>
      <c r="JG244" s="17"/>
      <c r="JH244" s="17"/>
      <c r="JI244" s="17"/>
      <c r="JJ244" s="17"/>
      <c r="JK244" s="17"/>
      <c r="JL244" s="17"/>
      <c r="JM244" s="17"/>
      <c r="JN244" s="17"/>
      <c r="JO244" s="17"/>
      <c r="JP244" s="17"/>
      <c r="JQ244" s="17"/>
      <c r="JR244" s="17"/>
      <c r="JS244" s="17"/>
      <c r="JT244" s="17"/>
      <c r="JU244" s="17"/>
      <c r="JV244" s="17"/>
      <c r="JW244" s="17"/>
      <c r="JX244" s="17"/>
      <c r="JY244" s="17"/>
      <c r="JZ244" s="17"/>
      <c r="KA244" s="17"/>
      <c r="KB244" s="17"/>
      <c r="KC244" s="17"/>
      <c r="KD244" s="17"/>
      <c r="KE244" s="17"/>
      <c r="KF244" s="17"/>
      <c r="KG244" s="17"/>
      <c r="KH244" s="17"/>
      <c r="KI244" s="17"/>
      <c r="KJ244" s="17"/>
      <c r="KK244" s="17"/>
      <c r="KL244" s="17"/>
      <c r="KM244" s="17"/>
      <c r="KN244" s="17"/>
      <c r="KO244" s="17"/>
      <c r="KP244" s="17"/>
      <c r="KQ244" s="17"/>
      <c r="KR244" s="17"/>
      <c r="KS244" s="17"/>
      <c r="KT244" s="17"/>
      <c r="KU244" s="17"/>
      <c r="KV244" s="17"/>
      <c r="KW244" s="17"/>
      <c r="KX244" s="17"/>
      <c r="KY244" s="17"/>
    </row>
    <row r="245" spans="1:311" x14ac:dyDescent="0.25">
      <c r="A245" s="17"/>
      <c r="B245" s="17"/>
      <c r="C245" s="17"/>
      <c r="D245" s="17"/>
      <c r="E245" s="17"/>
      <c r="F245" s="17"/>
      <c r="G245" s="17"/>
      <c r="H245" s="17"/>
      <c r="I245" s="17"/>
      <c r="J245" s="17"/>
      <c r="K245" s="17"/>
      <c r="L245" s="17"/>
      <c r="M245" s="17"/>
      <c r="N245" s="17"/>
      <c r="O245" s="17"/>
      <c r="P245" s="17"/>
      <c r="Q245" s="17"/>
      <c r="R245" s="17"/>
      <c r="S245" s="17"/>
      <c r="T245" s="17"/>
      <c r="U245" s="17"/>
      <c r="V245" s="17"/>
      <c r="W245" s="17"/>
      <c r="X245" s="17"/>
      <c r="Y245" s="17"/>
      <c r="Z245" s="17"/>
      <c r="AA245" s="17"/>
      <c r="AB245" s="17"/>
      <c r="AC245" s="17"/>
      <c r="AD245" s="17"/>
      <c r="AE245" s="17"/>
      <c r="AF245" s="17"/>
      <c r="AG245" s="17"/>
      <c r="AH245" s="17"/>
      <c r="AI245" s="17"/>
      <c r="AJ245" s="17"/>
      <c r="AK245" s="17"/>
      <c r="AL245" s="17"/>
      <c r="AM245" s="17"/>
      <c r="AN245" s="17"/>
      <c r="AO245" s="17"/>
      <c r="AP245" s="17"/>
      <c r="AQ245" s="17"/>
      <c r="AR245" s="17"/>
      <c r="AS245" s="17"/>
      <c r="AT245" s="17"/>
      <c r="AU245" s="17"/>
      <c r="AV245" s="17"/>
      <c r="AW245" s="17"/>
      <c r="AX245" s="17"/>
      <c r="AY245" s="17"/>
      <c r="AZ245" s="17"/>
      <c r="BA245" s="17"/>
      <c r="BB245" s="17"/>
      <c r="BC245" s="17"/>
      <c r="BD245" s="17"/>
      <c r="BE245" s="17"/>
      <c r="BF245" s="17"/>
      <c r="BG245" s="17"/>
      <c r="BH245" s="17"/>
      <c r="BI245" s="17"/>
      <c r="BJ245" s="17"/>
      <c r="BK245" s="17"/>
      <c r="BL245" s="17"/>
      <c r="BM245" s="17"/>
      <c r="BN245" s="17"/>
      <c r="BO245" s="17"/>
      <c r="BP245" s="17"/>
      <c r="BQ245" s="17"/>
      <c r="BR245" s="17"/>
      <c r="BS245" s="17"/>
      <c r="BT245" s="17"/>
      <c r="BU245" s="17"/>
      <c r="BV245" s="17"/>
      <c r="BW245" s="17"/>
      <c r="BX245" s="17"/>
      <c r="BY245" s="17"/>
      <c r="BZ245" s="17"/>
      <c r="CA245" s="17"/>
      <c r="CB245" s="17"/>
      <c r="CC245" s="17"/>
      <c r="CD245" s="17"/>
      <c r="CE245" s="17"/>
      <c r="CF245" s="17"/>
      <c r="CG245" s="17"/>
      <c r="CH245" s="17"/>
      <c r="CI245" s="17"/>
      <c r="CJ245" s="17"/>
      <c r="CK245" s="17"/>
      <c r="CL245" s="17"/>
      <c r="CM245" s="17"/>
      <c r="CN245" s="17"/>
      <c r="CO245" s="17"/>
      <c r="CP245" s="17"/>
      <c r="CQ245" s="17"/>
      <c r="CR245" s="17"/>
      <c r="CS245" s="17"/>
      <c r="CT245" s="17"/>
      <c r="CU245" s="17"/>
      <c r="CV245" s="17"/>
      <c r="CW245" s="17"/>
      <c r="CX245" s="17"/>
      <c r="CY245" s="17"/>
      <c r="CZ245" s="17"/>
      <c r="DA245" s="17"/>
      <c r="DB245" s="17"/>
      <c r="DC245" s="17"/>
      <c r="DD245" s="17"/>
      <c r="DE245" s="17"/>
      <c r="DF245" s="17"/>
      <c r="DG245" s="17"/>
      <c r="DH245" s="17"/>
      <c r="DI245" s="17"/>
      <c r="DJ245" s="17"/>
      <c r="DK245" s="17"/>
      <c r="DL245" s="17"/>
      <c r="DM245" s="17"/>
      <c r="DN245" s="17"/>
      <c r="DO245" s="17"/>
      <c r="DP245" s="17"/>
      <c r="DQ245" s="17"/>
      <c r="DR245" s="17"/>
      <c r="DS245" s="17"/>
      <c r="DT245" s="17"/>
      <c r="DU245" s="17"/>
      <c r="DV245" s="17"/>
      <c r="DW245" s="17"/>
      <c r="DX245" s="17"/>
      <c r="DY245" s="17"/>
      <c r="DZ245" s="17"/>
      <c r="EA245" s="17"/>
      <c r="EB245" s="17"/>
      <c r="EC245" s="17"/>
      <c r="ED245" s="17"/>
      <c r="EE245" s="17"/>
      <c r="EF245" s="17"/>
      <c r="EG245" s="17"/>
      <c r="EH245" s="17"/>
      <c r="EI245" s="17"/>
      <c r="EJ245" s="17"/>
      <c r="EK245" s="17"/>
      <c r="EL245" s="17"/>
      <c r="EM245" s="17"/>
      <c r="EN245" s="17"/>
      <c r="EO245" s="17"/>
      <c r="EP245" s="17"/>
      <c r="EQ245" s="17"/>
      <c r="ER245" s="17"/>
      <c r="ES245" s="17"/>
      <c r="ET245" s="17"/>
      <c r="EU245" s="17"/>
      <c r="EV245" s="17"/>
      <c r="EW245" s="17"/>
      <c r="EX245" s="17"/>
      <c r="EY245" s="17"/>
      <c r="EZ245" s="17"/>
      <c r="FA245" s="17"/>
      <c r="FB245" s="17"/>
      <c r="FC245" s="17"/>
      <c r="FD245" s="17"/>
      <c r="FE245" s="17"/>
      <c r="FF245" s="17"/>
      <c r="FG245" s="17"/>
      <c r="FH245" s="17"/>
      <c r="FI245" s="17"/>
      <c r="FJ245" s="17"/>
      <c r="FK245" s="17"/>
      <c r="FL245" s="17"/>
      <c r="FM245" s="17"/>
      <c r="FN245" s="17"/>
      <c r="FO245" s="17"/>
      <c r="FP245" s="17"/>
      <c r="FQ245" s="17"/>
      <c r="FR245" s="17"/>
      <c r="FS245" s="17"/>
      <c r="FT245" s="17"/>
      <c r="FU245" s="17"/>
      <c r="FV245" s="17"/>
      <c r="FW245" s="17"/>
      <c r="FX245" s="17"/>
      <c r="FY245" s="17"/>
      <c r="FZ245" s="17"/>
      <c r="GA245" s="17"/>
      <c r="GB245" s="17"/>
      <c r="GC245" s="17"/>
      <c r="GD245" s="17"/>
      <c r="GE245" s="17"/>
      <c r="GF245" s="17"/>
      <c r="GG245" s="17"/>
      <c r="GH245" s="17"/>
      <c r="GI245" s="17"/>
      <c r="GJ245" s="17"/>
      <c r="GK245" s="17"/>
      <c r="GL245" s="17"/>
      <c r="GM245" s="17"/>
      <c r="GN245" s="17"/>
      <c r="GO245" s="17"/>
      <c r="GP245" s="17"/>
      <c r="GQ245" s="17"/>
      <c r="GR245" s="17"/>
      <c r="GS245" s="17"/>
      <c r="GT245" s="17"/>
      <c r="GU245" s="17"/>
      <c r="GV245" s="17"/>
      <c r="GW245" s="17"/>
      <c r="GX245" s="17"/>
      <c r="GY245" s="17"/>
      <c r="GZ245" s="17"/>
      <c r="HA245" s="17"/>
      <c r="HB245" s="17"/>
      <c r="HC245" s="17"/>
      <c r="HD245" s="17"/>
      <c r="HE245" s="17"/>
      <c r="HF245" s="17"/>
      <c r="HG245" s="17"/>
      <c r="HH245" s="17"/>
      <c r="HI245" s="17"/>
      <c r="HJ245" s="17"/>
      <c r="HK245" s="17"/>
      <c r="HL245" s="17"/>
      <c r="HM245" s="17"/>
      <c r="HN245" s="17"/>
      <c r="HO245" s="17"/>
      <c r="HP245" s="17"/>
      <c r="HQ245" s="17"/>
      <c r="HR245" s="17"/>
      <c r="HS245" s="17"/>
      <c r="HT245" s="17"/>
      <c r="HU245" s="17"/>
      <c r="HV245" s="17"/>
      <c r="HW245" s="17"/>
      <c r="HX245" s="17"/>
      <c r="HY245" s="17"/>
      <c r="HZ245" s="17"/>
      <c r="IA245" s="17"/>
      <c r="IB245" s="17"/>
      <c r="IC245" s="17"/>
      <c r="ID245" s="17"/>
      <c r="IE245" s="17"/>
      <c r="IF245" s="17"/>
      <c r="IG245" s="17"/>
      <c r="IH245" s="17"/>
      <c r="II245" s="17"/>
      <c r="IJ245" s="17"/>
      <c r="IK245" s="17"/>
      <c r="IL245" s="17"/>
      <c r="IM245" s="17"/>
      <c r="IN245" s="17"/>
      <c r="IO245" s="17"/>
      <c r="IP245" s="17"/>
      <c r="IQ245" s="17"/>
      <c r="IR245" s="17"/>
      <c r="IS245" s="17"/>
      <c r="IT245" s="17"/>
      <c r="IU245" s="17"/>
      <c r="IV245" s="17"/>
      <c r="IW245" s="17"/>
      <c r="IX245" s="17"/>
      <c r="IY245" s="17"/>
      <c r="IZ245" s="17"/>
      <c r="JA245" s="17"/>
      <c r="JB245" s="17"/>
      <c r="JC245" s="17"/>
      <c r="JD245" s="17"/>
      <c r="JE245" s="17"/>
      <c r="JF245" s="17"/>
      <c r="JG245" s="17"/>
      <c r="JH245" s="17"/>
      <c r="JI245" s="17"/>
      <c r="JJ245" s="17"/>
      <c r="JK245" s="17"/>
      <c r="JL245" s="17"/>
      <c r="JM245" s="17"/>
      <c r="JN245" s="17"/>
      <c r="JO245" s="17"/>
      <c r="JP245" s="17"/>
      <c r="JQ245" s="17"/>
      <c r="JR245" s="17"/>
      <c r="JS245" s="17"/>
      <c r="JT245" s="17"/>
      <c r="JU245" s="17"/>
      <c r="JV245" s="17"/>
      <c r="JW245" s="17"/>
      <c r="JX245" s="17"/>
      <c r="JY245" s="17"/>
      <c r="JZ245" s="17"/>
      <c r="KA245" s="17"/>
      <c r="KB245" s="17"/>
      <c r="KC245" s="17"/>
      <c r="KD245" s="17"/>
      <c r="KE245" s="17"/>
      <c r="KF245" s="17"/>
      <c r="KG245" s="17"/>
      <c r="KH245" s="17"/>
      <c r="KI245" s="17"/>
      <c r="KJ245" s="17"/>
      <c r="KK245" s="17"/>
      <c r="KL245" s="17"/>
      <c r="KM245" s="17"/>
      <c r="KN245" s="17"/>
      <c r="KO245" s="17"/>
      <c r="KP245" s="17"/>
      <c r="KQ245" s="17"/>
      <c r="KR245" s="17"/>
      <c r="KS245" s="17"/>
      <c r="KT245" s="17"/>
      <c r="KU245" s="17"/>
      <c r="KV245" s="17"/>
      <c r="KW245" s="17"/>
      <c r="KX245" s="17"/>
      <c r="KY245" s="17"/>
    </row>
    <row r="246" spans="1:311" x14ac:dyDescent="0.25">
      <c r="A246" s="17"/>
      <c r="B246" s="17"/>
      <c r="C246" s="17"/>
      <c r="D246" s="17"/>
      <c r="E246" s="17"/>
      <c r="F246" s="17"/>
      <c r="G246" s="17"/>
      <c r="H246" s="17"/>
      <c r="I246" s="17"/>
      <c r="J246" s="17"/>
      <c r="K246" s="17"/>
      <c r="L246" s="17"/>
      <c r="M246" s="17"/>
      <c r="N246" s="17"/>
      <c r="O246" s="17"/>
      <c r="P246" s="17"/>
      <c r="Q246" s="17"/>
      <c r="R246" s="17"/>
      <c r="S246" s="17"/>
      <c r="T246" s="17"/>
      <c r="U246" s="17"/>
      <c r="V246" s="17"/>
      <c r="W246" s="17"/>
      <c r="X246" s="17"/>
      <c r="Y246" s="17"/>
      <c r="Z246" s="17"/>
      <c r="AA246" s="17"/>
      <c r="AB246" s="17"/>
      <c r="AC246" s="17"/>
      <c r="AD246" s="17"/>
      <c r="AE246" s="17"/>
      <c r="AF246" s="17"/>
      <c r="AG246" s="17"/>
      <c r="AH246" s="17"/>
      <c r="AI246" s="17"/>
      <c r="AJ246" s="17"/>
      <c r="AK246" s="17"/>
      <c r="AL246" s="17"/>
      <c r="AM246" s="17"/>
      <c r="AN246" s="17"/>
      <c r="AO246" s="17"/>
      <c r="AP246" s="17"/>
      <c r="AQ246" s="17"/>
      <c r="AR246" s="17"/>
      <c r="AS246" s="17"/>
      <c r="AT246" s="17"/>
      <c r="AU246" s="17"/>
      <c r="AV246" s="17"/>
      <c r="AW246" s="17"/>
      <c r="AX246" s="17"/>
      <c r="AY246" s="17"/>
      <c r="AZ246" s="17"/>
      <c r="BA246" s="17"/>
      <c r="BB246" s="17"/>
      <c r="BC246" s="17"/>
      <c r="BD246" s="17"/>
      <c r="BE246" s="17"/>
      <c r="BF246" s="17"/>
      <c r="BG246" s="17"/>
      <c r="BH246" s="17"/>
      <c r="BI246" s="17"/>
      <c r="BJ246" s="17"/>
      <c r="BK246" s="17"/>
      <c r="BL246" s="17"/>
      <c r="BM246" s="17"/>
      <c r="BN246" s="17"/>
      <c r="BO246" s="17"/>
      <c r="BP246" s="17"/>
      <c r="BQ246" s="17"/>
      <c r="BR246" s="17"/>
      <c r="BS246" s="17"/>
      <c r="BT246" s="17"/>
      <c r="BU246" s="17"/>
      <c r="BV246" s="17"/>
      <c r="BW246" s="17"/>
      <c r="BX246" s="17"/>
      <c r="BY246" s="17"/>
      <c r="BZ246" s="17"/>
      <c r="CA246" s="17"/>
      <c r="CB246" s="17"/>
      <c r="CC246" s="17"/>
      <c r="CD246" s="17"/>
      <c r="CE246" s="17"/>
      <c r="CF246" s="17"/>
      <c r="CG246" s="17"/>
      <c r="CH246" s="17"/>
      <c r="CI246" s="17"/>
      <c r="CJ246" s="17"/>
      <c r="CK246" s="17"/>
      <c r="CL246" s="17"/>
      <c r="CM246" s="17"/>
      <c r="CN246" s="17"/>
      <c r="CO246" s="17"/>
      <c r="CP246" s="17"/>
      <c r="CQ246" s="17"/>
      <c r="CR246" s="17"/>
      <c r="CS246" s="17"/>
      <c r="CT246" s="17"/>
      <c r="CU246" s="17"/>
      <c r="CV246" s="17"/>
      <c r="CW246" s="17"/>
      <c r="CX246" s="17"/>
      <c r="CY246" s="17"/>
      <c r="CZ246" s="17"/>
      <c r="DA246" s="17"/>
      <c r="DB246" s="17"/>
      <c r="DC246" s="17"/>
      <c r="DD246" s="17"/>
      <c r="DE246" s="17"/>
      <c r="DF246" s="17"/>
      <c r="DG246" s="17"/>
      <c r="DH246" s="17"/>
      <c r="DI246" s="17"/>
      <c r="DJ246" s="17"/>
      <c r="DK246" s="17"/>
      <c r="DL246" s="17"/>
      <c r="DM246" s="17"/>
      <c r="DN246" s="17"/>
      <c r="DO246" s="17"/>
      <c r="DP246" s="17"/>
      <c r="DQ246" s="17"/>
      <c r="DR246" s="17"/>
      <c r="DS246" s="17"/>
      <c r="DT246" s="17"/>
      <c r="DU246" s="17"/>
      <c r="DV246" s="17"/>
      <c r="DW246" s="17"/>
      <c r="DX246" s="17"/>
      <c r="DY246" s="17"/>
      <c r="DZ246" s="17"/>
      <c r="EA246" s="17"/>
      <c r="EB246" s="17"/>
      <c r="EC246" s="17"/>
      <c r="ED246" s="17"/>
      <c r="EE246" s="17"/>
      <c r="EF246" s="17"/>
      <c r="EG246" s="17"/>
      <c r="EH246" s="17"/>
      <c r="EI246" s="17"/>
      <c r="EJ246" s="17"/>
      <c r="EK246" s="17"/>
      <c r="EL246" s="17"/>
      <c r="EM246" s="17"/>
      <c r="EN246" s="17"/>
      <c r="EO246" s="17"/>
      <c r="EP246" s="17"/>
      <c r="EQ246" s="17"/>
      <c r="ER246" s="17"/>
      <c r="ES246" s="17"/>
      <c r="ET246" s="17"/>
      <c r="EU246" s="17"/>
      <c r="EV246" s="17"/>
      <c r="EW246" s="17"/>
      <c r="EX246" s="17"/>
      <c r="EY246" s="17"/>
      <c r="EZ246" s="17"/>
      <c r="FA246" s="17"/>
      <c r="FB246" s="17"/>
      <c r="FC246" s="17"/>
      <c r="FD246" s="17"/>
      <c r="FE246" s="17"/>
      <c r="FF246" s="17"/>
      <c r="FG246" s="17"/>
      <c r="FH246" s="17"/>
      <c r="FI246" s="17"/>
      <c r="FJ246" s="17"/>
      <c r="FK246" s="17"/>
      <c r="FL246" s="17"/>
      <c r="FM246" s="17"/>
      <c r="FN246" s="17"/>
      <c r="FO246" s="17"/>
      <c r="FP246" s="17"/>
      <c r="FQ246" s="17"/>
      <c r="FR246" s="17"/>
      <c r="FS246" s="17"/>
      <c r="FT246" s="17"/>
      <c r="FU246" s="17"/>
      <c r="FV246" s="17"/>
      <c r="FW246" s="17"/>
      <c r="FX246" s="17"/>
      <c r="FY246" s="17"/>
      <c r="FZ246" s="17"/>
      <c r="GA246" s="17"/>
      <c r="GB246" s="17"/>
      <c r="GC246" s="17"/>
      <c r="GD246" s="17"/>
      <c r="GE246" s="17"/>
      <c r="GF246" s="17"/>
      <c r="GG246" s="17"/>
      <c r="GH246" s="17"/>
      <c r="GI246" s="17"/>
      <c r="GJ246" s="17"/>
      <c r="GK246" s="17"/>
      <c r="GL246" s="17"/>
      <c r="GM246" s="17"/>
      <c r="GN246" s="17"/>
      <c r="GO246" s="17"/>
      <c r="GP246" s="17"/>
      <c r="GQ246" s="17"/>
      <c r="GR246" s="17"/>
      <c r="GS246" s="17"/>
      <c r="GT246" s="17"/>
      <c r="GU246" s="17"/>
      <c r="GV246" s="17"/>
      <c r="GW246" s="17"/>
      <c r="GX246" s="17"/>
      <c r="GY246" s="17"/>
      <c r="GZ246" s="17"/>
      <c r="HA246" s="17"/>
      <c r="HB246" s="17"/>
      <c r="HC246" s="17"/>
      <c r="HD246" s="17"/>
      <c r="HE246" s="17"/>
      <c r="HF246" s="17"/>
      <c r="HG246" s="17"/>
      <c r="HH246" s="17"/>
      <c r="HI246" s="17"/>
      <c r="HJ246" s="17"/>
      <c r="HK246" s="17"/>
      <c r="HL246" s="17"/>
      <c r="HM246" s="17"/>
      <c r="HN246" s="17"/>
      <c r="HO246" s="17"/>
      <c r="HP246" s="17"/>
      <c r="HQ246" s="17"/>
      <c r="HR246" s="17"/>
      <c r="HS246" s="17"/>
      <c r="HT246" s="17"/>
      <c r="HU246" s="17"/>
      <c r="HV246" s="17"/>
      <c r="HW246" s="17"/>
      <c r="HX246" s="17"/>
      <c r="HY246" s="17"/>
      <c r="HZ246" s="17"/>
      <c r="IA246" s="17"/>
      <c r="IB246" s="17"/>
      <c r="IC246" s="17"/>
      <c r="ID246" s="17"/>
      <c r="IE246" s="17"/>
      <c r="IF246" s="17"/>
      <c r="IG246" s="17"/>
      <c r="IH246" s="17"/>
      <c r="II246" s="17"/>
      <c r="IJ246" s="17"/>
      <c r="IK246" s="17"/>
      <c r="IL246" s="17"/>
      <c r="IM246" s="17"/>
      <c r="IN246" s="17"/>
      <c r="IO246" s="17"/>
      <c r="IP246" s="17"/>
      <c r="IQ246" s="17"/>
      <c r="IR246" s="17"/>
      <c r="IS246" s="17"/>
      <c r="IT246" s="17"/>
      <c r="IU246" s="17"/>
      <c r="IV246" s="17"/>
      <c r="IW246" s="17"/>
      <c r="IX246" s="17"/>
      <c r="IY246" s="17"/>
      <c r="IZ246" s="17"/>
      <c r="JA246" s="17"/>
      <c r="JB246" s="17"/>
      <c r="JC246" s="17"/>
      <c r="JD246" s="17"/>
      <c r="JE246" s="17"/>
      <c r="JF246" s="17"/>
      <c r="JG246" s="17"/>
      <c r="JH246" s="17"/>
      <c r="JI246" s="17"/>
      <c r="JJ246" s="17"/>
      <c r="JK246" s="17"/>
      <c r="JL246" s="17"/>
      <c r="JM246" s="17"/>
      <c r="JN246" s="17"/>
      <c r="JO246" s="17"/>
      <c r="JP246" s="17"/>
      <c r="JQ246" s="17"/>
      <c r="JR246" s="17"/>
      <c r="JS246" s="17"/>
      <c r="JT246" s="17"/>
      <c r="JU246" s="17"/>
      <c r="JV246" s="17"/>
      <c r="JW246" s="17"/>
      <c r="JX246" s="17"/>
      <c r="JY246" s="17"/>
      <c r="JZ246" s="17"/>
      <c r="KA246" s="17"/>
      <c r="KB246" s="17"/>
      <c r="KC246" s="17"/>
      <c r="KD246" s="17"/>
      <c r="KE246" s="17"/>
      <c r="KF246" s="17"/>
      <c r="KG246" s="17"/>
      <c r="KH246" s="17"/>
      <c r="KI246" s="17"/>
      <c r="KJ246" s="17"/>
      <c r="KK246" s="17"/>
      <c r="KL246" s="17"/>
      <c r="KM246" s="17"/>
      <c r="KN246" s="17"/>
      <c r="KO246" s="17"/>
      <c r="KP246" s="17"/>
      <c r="KQ246" s="17"/>
      <c r="KR246" s="17"/>
      <c r="KS246" s="17"/>
      <c r="KT246" s="17"/>
      <c r="KU246" s="17"/>
      <c r="KV246" s="17"/>
      <c r="KW246" s="17"/>
      <c r="KX246" s="17"/>
      <c r="KY246" s="17"/>
    </row>
    <row r="247" spans="1:311" x14ac:dyDescent="0.25">
      <c r="A247" s="17"/>
      <c r="B247" s="17"/>
      <c r="C247" s="17"/>
      <c r="D247" s="17"/>
      <c r="E247" s="17"/>
      <c r="F247" s="17"/>
      <c r="G247" s="17"/>
      <c r="H247" s="17"/>
      <c r="I247" s="17"/>
      <c r="J247" s="17"/>
      <c r="K247" s="17"/>
      <c r="L247" s="17"/>
      <c r="M247" s="17"/>
      <c r="N247" s="17"/>
      <c r="O247" s="17"/>
      <c r="P247" s="17"/>
      <c r="Q247" s="17"/>
      <c r="R247" s="17"/>
      <c r="S247" s="17"/>
      <c r="T247" s="17"/>
      <c r="U247" s="17"/>
      <c r="V247" s="17"/>
      <c r="W247" s="17"/>
      <c r="X247" s="17"/>
      <c r="Y247" s="17"/>
      <c r="Z247" s="17"/>
      <c r="AA247" s="17"/>
      <c r="AB247" s="17"/>
      <c r="AC247" s="17"/>
      <c r="AD247" s="17"/>
      <c r="AE247" s="17"/>
      <c r="AF247" s="17"/>
      <c r="AG247" s="17"/>
      <c r="AH247" s="17"/>
      <c r="AI247" s="17"/>
      <c r="AJ247" s="17"/>
      <c r="AK247" s="17"/>
      <c r="AL247" s="17"/>
      <c r="AM247" s="17"/>
      <c r="AN247" s="17"/>
      <c r="AO247" s="17"/>
      <c r="AP247" s="17"/>
      <c r="AQ247" s="17"/>
      <c r="AR247" s="17"/>
      <c r="AS247" s="17"/>
      <c r="AT247" s="17"/>
      <c r="AU247" s="17"/>
      <c r="AV247" s="17"/>
      <c r="AW247" s="17"/>
      <c r="AX247" s="17"/>
      <c r="AY247" s="17"/>
      <c r="AZ247" s="17"/>
      <c r="BA247" s="17"/>
      <c r="BB247" s="17"/>
      <c r="BC247" s="17"/>
      <c r="BD247" s="17"/>
      <c r="BE247" s="17"/>
      <c r="BF247" s="17"/>
      <c r="BG247" s="17"/>
      <c r="BH247" s="17"/>
      <c r="BI247" s="17"/>
      <c r="BJ247" s="17"/>
      <c r="BK247" s="17"/>
      <c r="BL247" s="17"/>
      <c r="BM247" s="17"/>
      <c r="BN247" s="17"/>
      <c r="BO247" s="17"/>
      <c r="BP247" s="17"/>
      <c r="BQ247" s="17"/>
      <c r="BR247" s="17"/>
      <c r="BS247" s="17"/>
      <c r="BT247" s="17"/>
      <c r="BU247" s="17"/>
      <c r="BV247" s="17"/>
      <c r="BW247" s="17"/>
      <c r="BX247" s="17"/>
      <c r="BY247" s="17"/>
      <c r="BZ247" s="17"/>
      <c r="CA247" s="17"/>
      <c r="CB247" s="17"/>
      <c r="CC247" s="17"/>
      <c r="CD247" s="17"/>
      <c r="CE247" s="17"/>
      <c r="CF247" s="17"/>
      <c r="CG247" s="17"/>
      <c r="CH247" s="17"/>
      <c r="CI247" s="17"/>
      <c r="CJ247" s="17"/>
      <c r="CK247" s="17"/>
      <c r="CL247" s="17"/>
      <c r="CM247" s="17"/>
      <c r="CN247" s="17"/>
      <c r="CO247" s="17"/>
      <c r="CP247" s="17"/>
      <c r="CQ247" s="17"/>
      <c r="CR247" s="17"/>
      <c r="CS247" s="17"/>
      <c r="CT247" s="17"/>
      <c r="CU247" s="17"/>
      <c r="CV247" s="17"/>
      <c r="CW247" s="17"/>
      <c r="CX247" s="17"/>
      <c r="CY247" s="17"/>
      <c r="CZ247" s="17"/>
      <c r="DA247" s="17"/>
      <c r="DB247" s="17"/>
      <c r="DC247" s="17"/>
      <c r="DD247" s="17"/>
      <c r="DE247" s="17"/>
      <c r="DF247" s="17"/>
      <c r="DG247" s="17"/>
      <c r="DH247" s="17"/>
      <c r="DI247" s="17"/>
      <c r="DJ247" s="17"/>
      <c r="DK247" s="17"/>
      <c r="DL247" s="17"/>
      <c r="DM247" s="17"/>
      <c r="DN247" s="17"/>
      <c r="DO247" s="17"/>
      <c r="DP247" s="17"/>
      <c r="DQ247" s="17"/>
      <c r="DR247" s="17"/>
      <c r="DS247" s="17"/>
      <c r="DT247" s="17"/>
      <c r="DU247" s="17"/>
      <c r="DV247" s="17"/>
      <c r="DW247" s="17"/>
      <c r="DX247" s="17"/>
      <c r="DY247" s="17"/>
      <c r="DZ247" s="17"/>
      <c r="EA247" s="17"/>
      <c r="EB247" s="17"/>
      <c r="EC247" s="17"/>
      <c r="ED247" s="17"/>
      <c r="EE247" s="17"/>
      <c r="EF247" s="17"/>
      <c r="EG247" s="17"/>
      <c r="EH247" s="17"/>
      <c r="EI247" s="17"/>
      <c r="EJ247" s="17"/>
      <c r="EK247" s="17"/>
      <c r="EL247" s="17"/>
      <c r="EM247" s="17"/>
      <c r="EN247" s="17"/>
      <c r="EO247" s="17"/>
      <c r="EP247" s="17"/>
      <c r="EQ247" s="17"/>
      <c r="ER247" s="17"/>
      <c r="ES247" s="17"/>
      <c r="ET247" s="17"/>
      <c r="EU247" s="17"/>
      <c r="EV247" s="17"/>
      <c r="EW247" s="17"/>
      <c r="EX247" s="17"/>
      <c r="EY247" s="17"/>
      <c r="EZ247" s="17"/>
      <c r="FA247" s="17"/>
      <c r="FB247" s="17"/>
      <c r="FC247" s="17"/>
      <c r="FD247" s="17"/>
      <c r="FE247" s="17"/>
      <c r="FF247" s="17"/>
      <c r="FG247" s="17"/>
      <c r="FH247" s="17"/>
      <c r="FI247" s="17"/>
      <c r="FJ247" s="17"/>
      <c r="FK247" s="17"/>
      <c r="FL247" s="17"/>
      <c r="FM247" s="17"/>
      <c r="FN247" s="17"/>
      <c r="FO247" s="17"/>
      <c r="FP247" s="17"/>
      <c r="FQ247" s="17"/>
      <c r="FR247" s="17"/>
      <c r="FS247" s="17"/>
      <c r="FT247" s="17"/>
      <c r="FU247" s="17"/>
      <c r="FV247" s="17"/>
      <c r="FW247" s="17"/>
      <c r="FX247" s="17"/>
      <c r="FY247" s="17"/>
      <c r="FZ247" s="17"/>
      <c r="GA247" s="17"/>
      <c r="GB247" s="17"/>
      <c r="GC247" s="17"/>
      <c r="GD247" s="17"/>
      <c r="GE247" s="17"/>
      <c r="GF247" s="17"/>
      <c r="GG247" s="17"/>
      <c r="GH247" s="17"/>
      <c r="GI247" s="17"/>
      <c r="GJ247" s="17"/>
      <c r="GK247" s="17"/>
      <c r="GL247" s="17"/>
      <c r="GM247" s="17"/>
      <c r="GN247" s="17"/>
      <c r="GO247" s="17"/>
      <c r="GP247" s="17"/>
      <c r="GQ247" s="17"/>
      <c r="GR247" s="17"/>
      <c r="GS247" s="17"/>
      <c r="GT247" s="17"/>
      <c r="GU247" s="17"/>
      <c r="GV247" s="17"/>
      <c r="GW247" s="17"/>
      <c r="GX247" s="17"/>
      <c r="GY247" s="17"/>
      <c r="GZ247" s="17"/>
      <c r="HA247" s="17"/>
      <c r="HB247" s="17"/>
      <c r="HC247" s="17"/>
      <c r="HD247" s="17"/>
      <c r="HE247" s="17"/>
      <c r="HF247" s="17"/>
      <c r="HG247" s="17"/>
      <c r="HH247" s="17"/>
      <c r="HI247" s="17"/>
      <c r="HJ247" s="17"/>
      <c r="HK247" s="17"/>
      <c r="HL247" s="17"/>
      <c r="HM247" s="17"/>
      <c r="HN247" s="17"/>
      <c r="HO247" s="17"/>
      <c r="HP247" s="17"/>
      <c r="HQ247" s="17"/>
      <c r="HR247" s="17"/>
      <c r="HS247" s="17"/>
      <c r="HT247" s="17"/>
      <c r="HU247" s="17"/>
      <c r="HV247" s="17"/>
      <c r="HW247" s="17"/>
      <c r="HX247" s="17"/>
      <c r="HY247" s="17"/>
      <c r="HZ247" s="17"/>
      <c r="IA247" s="17"/>
      <c r="IB247" s="17"/>
      <c r="IC247" s="17"/>
      <c r="ID247" s="17"/>
      <c r="IE247" s="17"/>
      <c r="IF247" s="17"/>
      <c r="IG247" s="17"/>
      <c r="IH247" s="17"/>
      <c r="II247" s="17"/>
      <c r="IJ247" s="17"/>
      <c r="IK247" s="17"/>
      <c r="IL247" s="17"/>
      <c r="IM247" s="17"/>
      <c r="IN247" s="17"/>
      <c r="IO247" s="17"/>
      <c r="IP247" s="17"/>
      <c r="IQ247" s="17"/>
      <c r="IR247" s="17"/>
      <c r="IS247" s="17"/>
      <c r="IT247" s="17"/>
      <c r="IU247" s="17"/>
      <c r="IV247" s="17"/>
      <c r="IW247" s="17"/>
      <c r="IX247" s="17"/>
      <c r="IY247" s="17"/>
      <c r="IZ247" s="17"/>
      <c r="JA247" s="17"/>
      <c r="JB247" s="17"/>
      <c r="JC247" s="17"/>
      <c r="JD247" s="17"/>
      <c r="JE247" s="17"/>
      <c r="JF247" s="17"/>
      <c r="JG247" s="17"/>
      <c r="JH247" s="17"/>
      <c r="JI247" s="17"/>
      <c r="JJ247" s="17"/>
      <c r="JK247" s="17"/>
      <c r="JL247" s="17"/>
      <c r="JM247" s="17"/>
      <c r="JN247" s="17"/>
      <c r="JO247" s="17"/>
      <c r="JP247" s="17"/>
      <c r="JQ247" s="17"/>
      <c r="JR247" s="17"/>
      <c r="JS247" s="17"/>
      <c r="JT247" s="17"/>
      <c r="JU247" s="17"/>
      <c r="JV247" s="17"/>
      <c r="JW247" s="17"/>
      <c r="JX247" s="17"/>
      <c r="JY247" s="17"/>
      <c r="JZ247" s="17"/>
      <c r="KA247" s="17"/>
      <c r="KB247" s="17"/>
      <c r="KC247" s="17"/>
      <c r="KD247" s="17"/>
      <c r="KE247" s="17"/>
      <c r="KF247" s="17"/>
      <c r="KG247" s="17"/>
      <c r="KH247" s="17"/>
      <c r="KI247" s="17"/>
      <c r="KJ247" s="17"/>
      <c r="KK247" s="17"/>
      <c r="KL247" s="17"/>
      <c r="KM247" s="17"/>
      <c r="KN247" s="17"/>
      <c r="KO247" s="17"/>
      <c r="KP247" s="17"/>
      <c r="KQ247" s="17"/>
      <c r="KR247" s="17"/>
      <c r="KS247" s="17"/>
      <c r="KT247" s="17"/>
      <c r="KU247" s="17"/>
      <c r="KV247" s="17"/>
      <c r="KW247" s="17"/>
      <c r="KX247" s="17"/>
      <c r="KY247" s="17"/>
    </row>
    <row r="248" spans="1:311" x14ac:dyDescent="0.25">
      <c r="A248" s="17"/>
      <c r="B248" s="17"/>
      <c r="C248" s="17"/>
      <c r="D248" s="17"/>
      <c r="E248" s="17"/>
      <c r="F248" s="17"/>
      <c r="G248" s="17"/>
      <c r="H248" s="17"/>
      <c r="I248" s="17"/>
      <c r="J248" s="17"/>
      <c r="K248" s="17"/>
      <c r="L248" s="17"/>
      <c r="M248" s="17"/>
      <c r="N248" s="17"/>
      <c r="O248" s="17"/>
      <c r="P248" s="17"/>
      <c r="Q248" s="17"/>
      <c r="R248" s="17"/>
      <c r="S248" s="17"/>
      <c r="T248" s="17"/>
      <c r="U248" s="17"/>
      <c r="V248" s="17"/>
      <c r="W248" s="17"/>
      <c r="X248" s="17"/>
      <c r="Y248" s="17"/>
      <c r="Z248" s="17"/>
      <c r="AA248" s="17"/>
      <c r="AB248" s="17"/>
      <c r="AC248" s="17"/>
      <c r="AD248" s="17"/>
      <c r="AE248" s="17"/>
      <c r="AF248" s="17"/>
      <c r="AG248" s="17"/>
      <c r="AH248" s="17"/>
      <c r="AI248" s="17"/>
      <c r="AJ248" s="17"/>
      <c r="AK248" s="17"/>
      <c r="AL248" s="17"/>
      <c r="AM248" s="17"/>
      <c r="AN248" s="17"/>
      <c r="AO248" s="17"/>
      <c r="AP248" s="17"/>
      <c r="AQ248" s="17"/>
      <c r="AR248" s="17"/>
      <c r="AS248" s="17"/>
      <c r="AT248" s="17"/>
      <c r="AU248" s="17"/>
      <c r="AV248" s="17"/>
      <c r="AW248" s="17"/>
      <c r="AX248" s="17"/>
      <c r="AY248" s="17"/>
      <c r="AZ248" s="17"/>
      <c r="BA248" s="17"/>
      <c r="BB248" s="17"/>
      <c r="BC248" s="17"/>
      <c r="BD248" s="17"/>
      <c r="BE248" s="17"/>
      <c r="BF248" s="17"/>
      <c r="BG248" s="17"/>
      <c r="BH248" s="17"/>
      <c r="BI248" s="17"/>
      <c r="BJ248" s="17"/>
      <c r="BK248" s="17"/>
      <c r="BL248" s="17"/>
      <c r="BM248" s="17"/>
      <c r="BN248" s="17"/>
      <c r="BO248" s="17"/>
      <c r="BP248" s="17"/>
      <c r="BQ248" s="17"/>
      <c r="BR248" s="17"/>
      <c r="BS248" s="17"/>
      <c r="BT248" s="17"/>
      <c r="BU248" s="17"/>
      <c r="BV248" s="17"/>
      <c r="BW248" s="17"/>
      <c r="BX248" s="17"/>
      <c r="BY248" s="17"/>
      <c r="BZ248" s="17"/>
      <c r="CA248" s="17"/>
      <c r="CB248" s="17"/>
      <c r="CC248" s="17"/>
      <c r="CD248" s="17"/>
      <c r="CE248" s="17"/>
      <c r="CF248" s="17"/>
      <c r="CG248" s="17"/>
      <c r="CH248" s="17"/>
      <c r="CI248" s="17"/>
      <c r="CJ248" s="17"/>
      <c r="CK248" s="17"/>
      <c r="CL248" s="17"/>
      <c r="CM248" s="17"/>
      <c r="CN248" s="17"/>
      <c r="CO248" s="17"/>
      <c r="CP248" s="17"/>
      <c r="CQ248" s="17"/>
      <c r="CR248" s="17"/>
      <c r="CS248" s="17"/>
      <c r="CT248" s="17"/>
      <c r="CU248" s="17"/>
      <c r="CV248" s="17"/>
      <c r="CW248" s="17"/>
      <c r="CX248" s="17"/>
      <c r="CY248" s="17"/>
      <c r="CZ248" s="17"/>
      <c r="DA248" s="17"/>
      <c r="DB248" s="17"/>
      <c r="DC248" s="17"/>
      <c r="DD248" s="17"/>
      <c r="DE248" s="17"/>
      <c r="DF248" s="17"/>
      <c r="DG248" s="17"/>
      <c r="DH248" s="17"/>
      <c r="DI248" s="17"/>
      <c r="DJ248" s="17"/>
      <c r="DK248" s="17"/>
      <c r="DL248" s="17"/>
      <c r="DM248" s="17"/>
      <c r="DN248" s="17"/>
      <c r="DO248" s="17"/>
      <c r="DP248" s="17"/>
      <c r="DQ248" s="17"/>
      <c r="DR248" s="17"/>
      <c r="DS248" s="17"/>
      <c r="DT248" s="17"/>
      <c r="DU248" s="17"/>
      <c r="DV248" s="17"/>
      <c r="DW248" s="17"/>
      <c r="DX248" s="17"/>
      <c r="DY248" s="17"/>
      <c r="DZ248" s="17"/>
      <c r="EA248" s="17"/>
      <c r="EB248" s="17"/>
      <c r="EC248" s="17"/>
      <c r="ED248" s="17"/>
      <c r="EE248" s="17"/>
      <c r="EF248" s="17"/>
      <c r="EG248" s="17"/>
      <c r="EH248" s="17"/>
      <c r="EI248" s="17"/>
      <c r="EJ248" s="17"/>
      <c r="EK248" s="17"/>
      <c r="EL248" s="17"/>
      <c r="EM248" s="17"/>
      <c r="EN248" s="17"/>
      <c r="EO248" s="17"/>
      <c r="EP248" s="17"/>
      <c r="EQ248" s="17"/>
      <c r="ER248" s="17"/>
      <c r="ES248" s="17"/>
      <c r="ET248" s="17"/>
      <c r="EU248" s="17"/>
      <c r="EV248" s="17"/>
      <c r="EW248" s="17"/>
      <c r="EX248" s="17"/>
      <c r="EY248" s="17"/>
      <c r="EZ248" s="17"/>
      <c r="FA248" s="17"/>
      <c r="FB248" s="17"/>
      <c r="FC248" s="17"/>
      <c r="FD248" s="17"/>
      <c r="FE248" s="17"/>
      <c r="FF248" s="17"/>
      <c r="FG248" s="17"/>
      <c r="FH248" s="17"/>
      <c r="FI248" s="17"/>
      <c r="FJ248" s="17"/>
      <c r="FK248" s="17"/>
      <c r="FL248" s="17"/>
      <c r="FM248" s="17"/>
      <c r="FN248" s="17"/>
      <c r="FO248" s="17"/>
      <c r="FP248" s="17"/>
      <c r="FQ248" s="17"/>
      <c r="FR248" s="17"/>
      <c r="FS248" s="17"/>
      <c r="FT248" s="17"/>
      <c r="FU248" s="17"/>
      <c r="FV248" s="17"/>
      <c r="FW248" s="17"/>
      <c r="FX248" s="17"/>
      <c r="FY248" s="17"/>
      <c r="FZ248" s="17"/>
      <c r="GA248" s="17"/>
      <c r="GB248" s="17"/>
      <c r="GC248" s="17"/>
      <c r="GD248" s="17"/>
      <c r="GE248" s="17"/>
      <c r="GF248" s="17"/>
      <c r="GG248" s="17"/>
      <c r="GH248" s="17"/>
      <c r="GI248" s="17"/>
      <c r="GJ248" s="17"/>
      <c r="GK248" s="17"/>
      <c r="GL248" s="17"/>
      <c r="GM248" s="17"/>
      <c r="GN248" s="17"/>
      <c r="GO248" s="17"/>
      <c r="GP248" s="17"/>
      <c r="GQ248" s="17"/>
      <c r="GR248" s="17"/>
      <c r="GS248" s="17"/>
      <c r="GT248" s="17"/>
      <c r="GU248" s="17"/>
      <c r="GV248" s="17"/>
      <c r="GW248" s="17"/>
      <c r="GX248" s="17"/>
      <c r="GY248" s="17"/>
      <c r="GZ248" s="17"/>
      <c r="HA248" s="17"/>
      <c r="HB248" s="17"/>
      <c r="HC248" s="17"/>
      <c r="HD248" s="17"/>
      <c r="HE248" s="17"/>
      <c r="HF248" s="17"/>
      <c r="HG248" s="17"/>
      <c r="HH248" s="17"/>
      <c r="HI248" s="17"/>
      <c r="HJ248" s="17"/>
      <c r="HK248" s="17"/>
      <c r="HL248" s="17"/>
      <c r="HM248" s="17"/>
      <c r="HN248" s="17"/>
      <c r="HO248" s="17"/>
      <c r="HP248" s="17"/>
      <c r="HQ248" s="17"/>
      <c r="HR248" s="17"/>
      <c r="HS248" s="17"/>
      <c r="HT248" s="17"/>
      <c r="HU248" s="17"/>
      <c r="HV248" s="17"/>
      <c r="HW248" s="17"/>
      <c r="HX248" s="17"/>
      <c r="HY248" s="17"/>
      <c r="HZ248" s="17"/>
      <c r="IA248" s="17"/>
      <c r="IB248" s="17"/>
      <c r="IC248" s="17"/>
      <c r="ID248" s="17"/>
      <c r="IE248" s="17"/>
      <c r="IF248" s="17"/>
      <c r="IG248" s="17"/>
      <c r="IH248" s="17"/>
      <c r="II248" s="17"/>
      <c r="IJ248" s="17"/>
      <c r="IK248" s="17"/>
      <c r="IL248" s="17"/>
      <c r="IM248" s="17"/>
      <c r="IN248" s="17"/>
      <c r="IO248" s="17"/>
      <c r="IP248" s="17"/>
      <c r="IQ248" s="17"/>
      <c r="IR248" s="17"/>
      <c r="IS248" s="17"/>
      <c r="IT248" s="17"/>
      <c r="IU248" s="17"/>
      <c r="IV248" s="17"/>
      <c r="IW248" s="17"/>
      <c r="IX248" s="17"/>
      <c r="IY248" s="17"/>
      <c r="IZ248" s="17"/>
      <c r="JA248" s="17"/>
      <c r="JB248" s="17"/>
      <c r="JC248" s="17"/>
      <c r="JD248" s="17"/>
      <c r="JE248" s="17"/>
      <c r="JF248" s="17"/>
      <c r="JG248" s="17"/>
      <c r="JH248" s="17"/>
      <c r="JI248" s="17"/>
      <c r="JJ248" s="17"/>
      <c r="JK248" s="17"/>
      <c r="JL248" s="17"/>
      <c r="JM248" s="17"/>
      <c r="JN248" s="17"/>
      <c r="JO248" s="17"/>
      <c r="JP248" s="17"/>
      <c r="JQ248" s="17"/>
      <c r="JR248" s="17"/>
      <c r="JS248" s="17"/>
      <c r="JT248" s="17"/>
      <c r="JU248" s="17"/>
      <c r="JV248" s="17"/>
      <c r="JW248" s="17"/>
      <c r="JX248" s="17"/>
      <c r="JY248" s="17"/>
      <c r="JZ248" s="17"/>
      <c r="KA248" s="17"/>
      <c r="KB248" s="17"/>
      <c r="KC248" s="17"/>
      <c r="KD248" s="17"/>
      <c r="KE248" s="17"/>
      <c r="KF248" s="17"/>
      <c r="KG248" s="17"/>
      <c r="KH248" s="17"/>
      <c r="KI248" s="17"/>
      <c r="KJ248" s="17"/>
      <c r="KK248" s="17"/>
      <c r="KL248" s="17"/>
      <c r="KM248" s="17"/>
      <c r="KN248" s="17"/>
      <c r="KO248" s="17"/>
      <c r="KP248" s="17"/>
      <c r="KQ248" s="17"/>
      <c r="KR248" s="17"/>
      <c r="KS248" s="17"/>
      <c r="KT248" s="17"/>
      <c r="KU248" s="17"/>
      <c r="KV248" s="17"/>
      <c r="KW248" s="17"/>
      <c r="KX248" s="17"/>
      <c r="KY248" s="17"/>
    </row>
    <row r="249" spans="1:311" x14ac:dyDescent="0.25">
      <c r="A249" s="17"/>
      <c r="B249" s="17"/>
      <c r="C249" s="17"/>
      <c r="D249" s="17"/>
      <c r="E249" s="17"/>
      <c r="F249" s="17"/>
      <c r="G249" s="17"/>
      <c r="H249" s="17"/>
      <c r="I249" s="17"/>
      <c r="J249" s="17"/>
      <c r="K249" s="17"/>
      <c r="L249" s="17"/>
      <c r="M249" s="17"/>
      <c r="N249" s="17"/>
      <c r="O249" s="17"/>
      <c r="P249" s="17"/>
      <c r="Q249" s="17"/>
      <c r="R249" s="17"/>
      <c r="S249" s="17"/>
      <c r="T249" s="17"/>
      <c r="U249" s="17"/>
      <c r="V249" s="17"/>
      <c r="W249" s="17"/>
      <c r="X249" s="17"/>
      <c r="Y249" s="17"/>
      <c r="Z249" s="17"/>
      <c r="AA249" s="17"/>
      <c r="AB249" s="17"/>
      <c r="AC249" s="17"/>
      <c r="AD249" s="17"/>
      <c r="AE249" s="17"/>
      <c r="AF249" s="17"/>
      <c r="AG249" s="17"/>
      <c r="AH249" s="17"/>
      <c r="AI249" s="17"/>
      <c r="AJ249" s="17"/>
      <c r="AK249" s="17"/>
      <c r="AL249" s="17"/>
      <c r="AM249" s="17"/>
      <c r="AN249" s="17"/>
      <c r="AO249" s="17"/>
      <c r="AP249" s="17"/>
      <c r="AQ249" s="17"/>
      <c r="AR249" s="17"/>
      <c r="AS249" s="17"/>
      <c r="AT249" s="17"/>
      <c r="AU249" s="17"/>
      <c r="AV249" s="17"/>
      <c r="AW249" s="17"/>
      <c r="AX249" s="17"/>
      <c r="AY249" s="17"/>
      <c r="AZ249" s="17"/>
      <c r="BA249" s="17"/>
      <c r="BB249" s="17"/>
      <c r="BC249" s="17"/>
      <c r="BD249" s="17"/>
      <c r="BE249" s="17"/>
      <c r="BF249" s="17"/>
      <c r="BG249" s="17"/>
      <c r="BH249" s="17"/>
      <c r="BI249" s="17"/>
      <c r="BJ249" s="17"/>
      <c r="BK249" s="17"/>
      <c r="BL249" s="17"/>
      <c r="BM249" s="17"/>
      <c r="BN249" s="17"/>
      <c r="BO249" s="17"/>
      <c r="BP249" s="17"/>
      <c r="BQ249" s="17"/>
      <c r="BR249" s="17"/>
      <c r="BS249" s="17"/>
      <c r="BT249" s="17"/>
      <c r="BU249" s="17"/>
      <c r="BV249" s="17"/>
      <c r="BW249" s="17"/>
      <c r="BX249" s="17"/>
      <c r="BY249" s="17"/>
      <c r="BZ249" s="17"/>
      <c r="CA249" s="17"/>
      <c r="CB249" s="17"/>
      <c r="CC249" s="17"/>
      <c r="CD249" s="17"/>
      <c r="CE249" s="17"/>
      <c r="CF249" s="17"/>
      <c r="CG249" s="17"/>
      <c r="CH249" s="17"/>
      <c r="CI249" s="17"/>
      <c r="CJ249" s="17"/>
      <c r="CK249" s="17"/>
      <c r="CL249" s="17"/>
      <c r="CM249" s="17"/>
      <c r="CN249" s="17"/>
      <c r="CO249" s="17"/>
      <c r="CP249" s="17"/>
      <c r="CQ249" s="17"/>
      <c r="CR249" s="17"/>
      <c r="CS249" s="17"/>
      <c r="CT249" s="17"/>
      <c r="CU249" s="17"/>
      <c r="CV249" s="17"/>
      <c r="CW249" s="17"/>
      <c r="CX249" s="17"/>
      <c r="CY249" s="17"/>
      <c r="CZ249" s="17"/>
      <c r="DA249" s="17"/>
      <c r="DB249" s="17"/>
      <c r="DC249" s="17"/>
      <c r="DD249" s="17"/>
      <c r="DE249" s="17"/>
      <c r="DF249" s="17"/>
      <c r="DG249" s="17"/>
      <c r="DH249" s="17"/>
      <c r="DI249" s="17"/>
      <c r="DJ249" s="17"/>
      <c r="DK249" s="17"/>
      <c r="DL249" s="17"/>
      <c r="DM249" s="17"/>
      <c r="DN249" s="17"/>
      <c r="DO249" s="17"/>
      <c r="DP249" s="17"/>
      <c r="DQ249" s="17"/>
      <c r="DR249" s="17"/>
      <c r="DS249" s="17"/>
      <c r="DT249" s="17"/>
      <c r="DU249" s="17"/>
      <c r="DV249" s="17"/>
      <c r="DW249" s="17"/>
      <c r="DX249" s="17"/>
      <c r="DY249" s="17"/>
      <c r="DZ249" s="17"/>
      <c r="EA249" s="17"/>
      <c r="EB249" s="17"/>
      <c r="EC249" s="17"/>
      <c r="ED249" s="17"/>
      <c r="EE249" s="17"/>
      <c r="EF249" s="17"/>
      <c r="EG249" s="17"/>
      <c r="EH249" s="17"/>
      <c r="EI249" s="17"/>
      <c r="EJ249" s="17"/>
      <c r="EK249" s="17"/>
      <c r="EL249" s="17"/>
      <c r="EM249" s="17"/>
      <c r="EN249" s="17"/>
      <c r="EO249" s="17"/>
      <c r="EP249" s="17"/>
      <c r="EQ249" s="17"/>
      <c r="ER249" s="17"/>
      <c r="ES249" s="17"/>
      <c r="ET249" s="17"/>
      <c r="EU249" s="17"/>
      <c r="EV249" s="17"/>
      <c r="EW249" s="17"/>
      <c r="EX249" s="17"/>
      <c r="EY249" s="17"/>
      <c r="EZ249" s="17"/>
      <c r="FA249" s="17"/>
      <c r="FB249" s="17"/>
      <c r="FC249" s="17"/>
      <c r="FD249" s="17"/>
      <c r="FE249" s="17"/>
      <c r="FF249" s="17"/>
      <c r="FG249" s="17"/>
      <c r="FH249" s="17"/>
      <c r="FI249" s="17"/>
      <c r="FJ249" s="17"/>
      <c r="FK249" s="17"/>
      <c r="FL249" s="17"/>
      <c r="FM249" s="17"/>
      <c r="FN249" s="17"/>
      <c r="FO249" s="17"/>
      <c r="FP249" s="17"/>
      <c r="FQ249" s="17"/>
      <c r="FR249" s="17"/>
      <c r="FS249" s="17"/>
      <c r="FT249" s="17"/>
      <c r="FU249" s="17"/>
      <c r="FV249" s="17"/>
      <c r="FW249" s="17"/>
      <c r="FX249" s="17"/>
      <c r="FY249" s="17"/>
      <c r="FZ249" s="17"/>
      <c r="GA249" s="17"/>
      <c r="GB249" s="17"/>
      <c r="GC249" s="17"/>
      <c r="GD249" s="17"/>
      <c r="GE249" s="17"/>
      <c r="GF249" s="17"/>
      <c r="GG249" s="17"/>
      <c r="GH249" s="17"/>
      <c r="GI249" s="17"/>
      <c r="GJ249" s="17"/>
      <c r="GK249" s="17"/>
      <c r="GL249" s="17"/>
      <c r="GM249" s="17"/>
      <c r="GN249" s="17"/>
      <c r="GO249" s="17"/>
      <c r="GP249" s="17"/>
      <c r="GQ249" s="17"/>
      <c r="GR249" s="17"/>
      <c r="GS249" s="17"/>
      <c r="GT249" s="17"/>
      <c r="GU249" s="17"/>
      <c r="GV249" s="17"/>
      <c r="GW249" s="17"/>
      <c r="GX249" s="17"/>
      <c r="GY249" s="17"/>
      <c r="GZ249" s="17"/>
      <c r="HA249" s="17"/>
      <c r="HB249" s="17"/>
      <c r="HC249" s="17"/>
      <c r="HD249" s="17"/>
      <c r="HE249" s="17"/>
      <c r="HF249" s="17"/>
      <c r="HG249" s="17"/>
      <c r="HH249" s="17"/>
      <c r="HI249" s="17"/>
      <c r="HJ249" s="17"/>
      <c r="HK249" s="17"/>
      <c r="HL249" s="17"/>
      <c r="HM249" s="17"/>
      <c r="HN249" s="17"/>
      <c r="HO249" s="17"/>
      <c r="HP249" s="17"/>
      <c r="HQ249" s="17"/>
      <c r="HR249" s="17"/>
      <c r="HS249" s="17"/>
      <c r="HT249" s="17"/>
      <c r="HU249" s="17"/>
      <c r="HV249" s="17"/>
      <c r="HW249" s="17"/>
      <c r="HX249" s="17"/>
      <c r="HY249" s="17"/>
      <c r="HZ249" s="17"/>
      <c r="IA249" s="17"/>
      <c r="IB249" s="17"/>
      <c r="IC249" s="17"/>
      <c r="ID249" s="17"/>
      <c r="IE249" s="17"/>
      <c r="IF249" s="17"/>
      <c r="IG249" s="17"/>
      <c r="IH249" s="17"/>
      <c r="II249" s="17"/>
      <c r="IJ249" s="17"/>
      <c r="IK249" s="17"/>
      <c r="IL249" s="17"/>
      <c r="IM249" s="17"/>
      <c r="IN249" s="17"/>
      <c r="IO249" s="17"/>
      <c r="IP249" s="17"/>
      <c r="IQ249" s="17"/>
      <c r="IR249" s="17"/>
      <c r="IS249" s="17"/>
      <c r="IT249" s="17"/>
      <c r="IU249" s="17"/>
      <c r="IV249" s="17"/>
      <c r="IW249" s="17"/>
      <c r="IX249" s="17"/>
      <c r="IY249" s="17"/>
      <c r="IZ249" s="17"/>
      <c r="JA249" s="17"/>
      <c r="JB249" s="17"/>
      <c r="JC249" s="17"/>
      <c r="JD249" s="17"/>
      <c r="JE249" s="17"/>
      <c r="JF249" s="17"/>
      <c r="JG249" s="17"/>
      <c r="JH249" s="17"/>
      <c r="JI249" s="17"/>
      <c r="JJ249" s="17"/>
      <c r="JK249" s="17"/>
      <c r="JL249" s="17"/>
      <c r="JM249" s="17"/>
      <c r="JN249" s="17"/>
      <c r="JO249" s="17"/>
      <c r="JP249" s="17"/>
      <c r="JQ249" s="17"/>
      <c r="JR249" s="17"/>
      <c r="JS249" s="17"/>
      <c r="JT249" s="17"/>
      <c r="JU249" s="17"/>
      <c r="JV249" s="17"/>
      <c r="JW249" s="17"/>
      <c r="JX249" s="17"/>
      <c r="JY249" s="17"/>
      <c r="JZ249" s="17"/>
      <c r="KA249" s="17"/>
      <c r="KB249" s="17"/>
      <c r="KC249" s="17"/>
      <c r="KD249" s="17"/>
      <c r="KE249" s="17"/>
      <c r="KF249" s="17"/>
      <c r="KG249" s="17"/>
      <c r="KH249" s="17"/>
      <c r="KI249" s="17"/>
      <c r="KJ249" s="17"/>
      <c r="KK249" s="17"/>
      <c r="KL249" s="17"/>
      <c r="KM249" s="17"/>
      <c r="KN249" s="17"/>
      <c r="KO249" s="17"/>
      <c r="KP249" s="17"/>
      <c r="KQ249" s="17"/>
      <c r="KR249" s="17"/>
      <c r="KS249" s="17"/>
      <c r="KT249" s="17"/>
      <c r="KU249" s="17"/>
      <c r="KV249" s="17"/>
      <c r="KW249" s="17"/>
      <c r="KX249" s="17"/>
      <c r="KY249" s="17"/>
    </row>
    <row r="250" spans="1:311" x14ac:dyDescent="0.25">
      <c r="A250" s="17"/>
      <c r="B250" s="17"/>
      <c r="C250" s="17"/>
      <c r="D250" s="17"/>
      <c r="E250" s="17"/>
      <c r="F250" s="17"/>
      <c r="G250" s="17"/>
      <c r="H250" s="17"/>
      <c r="I250" s="17"/>
      <c r="J250" s="17"/>
      <c r="K250" s="17"/>
      <c r="L250" s="17"/>
      <c r="M250" s="17"/>
      <c r="N250" s="17"/>
      <c r="O250" s="17"/>
      <c r="P250" s="17"/>
      <c r="Q250" s="17"/>
      <c r="R250" s="17"/>
      <c r="S250" s="17"/>
      <c r="T250" s="17"/>
      <c r="U250" s="17"/>
      <c r="V250" s="17"/>
      <c r="W250" s="17"/>
      <c r="X250" s="17"/>
      <c r="Y250" s="17"/>
      <c r="Z250" s="17"/>
      <c r="AA250" s="17"/>
      <c r="AB250" s="17"/>
      <c r="AC250" s="17"/>
      <c r="AD250" s="17"/>
      <c r="AE250" s="17"/>
      <c r="AF250" s="17"/>
      <c r="AG250" s="17"/>
      <c r="AH250" s="17"/>
      <c r="AI250" s="17"/>
      <c r="AJ250" s="17"/>
      <c r="AK250" s="17"/>
      <c r="AL250" s="17"/>
      <c r="AM250" s="17"/>
      <c r="AN250" s="17"/>
      <c r="AO250" s="17"/>
      <c r="AP250" s="17"/>
      <c r="AQ250" s="17"/>
      <c r="AR250" s="17"/>
      <c r="AS250" s="17"/>
      <c r="AT250" s="17"/>
      <c r="AU250" s="17"/>
      <c r="AV250" s="17"/>
      <c r="AW250" s="17"/>
      <c r="AX250" s="17"/>
      <c r="AY250" s="17"/>
      <c r="AZ250" s="17"/>
      <c r="BA250" s="17"/>
      <c r="BB250" s="17"/>
      <c r="BC250" s="17"/>
      <c r="BD250" s="17"/>
      <c r="BE250" s="17"/>
      <c r="BF250" s="17"/>
      <c r="BG250" s="17"/>
      <c r="BH250" s="17"/>
      <c r="BI250" s="17"/>
      <c r="BJ250" s="17"/>
      <c r="BK250" s="17"/>
      <c r="BL250" s="17"/>
      <c r="BM250" s="17"/>
      <c r="BN250" s="17"/>
      <c r="BO250" s="17"/>
      <c r="BP250" s="17"/>
      <c r="BQ250" s="17"/>
      <c r="BR250" s="17"/>
      <c r="BS250" s="17"/>
      <c r="BT250" s="17"/>
      <c r="BU250" s="17"/>
      <c r="BV250" s="17"/>
      <c r="BW250" s="17"/>
      <c r="BX250" s="17"/>
      <c r="BY250" s="17"/>
      <c r="BZ250" s="17"/>
      <c r="CA250" s="17"/>
      <c r="CB250" s="17"/>
      <c r="CC250" s="17"/>
      <c r="CD250" s="17"/>
      <c r="CE250" s="17"/>
      <c r="CF250" s="17"/>
      <c r="CG250" s="17"/>
      <c r="CH250" s="17"/>
      <c r="CI250" s="17"/>
      <c r="CJ250" s="17"/>
      <c r="CK250" s="17"/>
      <c r="CL250" s="17"/>
      <c r="CM250" s="17"/>
      <c r="CN250" s="17"/>
      <c r="CO250" s="17"/>
      <c r="CP250" s="17"/>
      <c r="CQ250" s="17"/>
      <c r="CR250" s="17"/>
      <c r="CS250" s="17"/>
      <c r="CT250" s="17"/>
      <c r="CU250" s="17"/>
      <c r="CV250" s="17"/>
      <c r="CW250" s="17"/>
      <c r="CX250" s="17"/>
      <c r="CY250" s="17"/>
      <c r="CZ250" s="17"/>
      <c r="DA250" s="17"/>
      <c r="DB250" s="17"/>
      <c r="DC250" s="17"/>
      <c r="DD250" s="17"/>
      <c r="DE250" s="17"/>
      <c r="DF250" s="17"/>
      <c r="DG250" s="17"/>
      <c r="DH250" s="17"/>
      <c r="DI250" s="17"/>
      <c r="DJ250" s="17"/>
      <c r="DK250" s="17"/>
      <c r="DL250" s="17"/>
      <c r="DM250" s="17"/>
      <c r="DN250" s="17"/>
      <c r="DO250" s="17"/>
      <c r="DP250" s="17"/>
      <c r="DQ250" s="17"/>
      <c r="DR250" s="17"/>
      <c r="DS250" s="17"/>
      <c r="DT250" s="17"/>
      <c r="DU250" s="17"/>
      <c r="DV250" s="17"/>
      <c r="DW250" s="17"/>
      <c r="DX250" s="17"/>
      <c r="DY250" s="17"/>
      <c r="DZ250" s="17"/>
      <c r="EA250" s="17"/>
      <c r="EB250" s="17"/>
      <c r="EC250" s="17"/>
      <c r="ED250" s="17"/>
      <c r="EE250" s="17"/>
      <c r="EF250" s="17"/>
      <c r="EG250" s="17"/>
      <c r="EH250" s="17"/>
      <c r="EI250" s="17"/>
      <c r="EJ250" s="17"/>
      <c r="EK250" s="17"/>
      <c r="EL250" s="17"/>
      <c r="EM250" s="17"/>
      <c r="EN250" s="17"/>
      <c r="EO250" s="17"/>
      <c r="EP250" s="17"/>
      <c r="EQ250" s="17"/>
      <c r="ER250" s="17"/>
      <c r="ES250" s="17"/>
      <c r="ET250" s="17"/>
      <c r="EU250" s="17"/>
      <c r="EV250" s="17"/>
      <c r="EW250" s="17"/>
      <c r="EX250" s="17"/>
      <c r="EY250" s="17"/>
      <c r="EZ250" s="17"/>
      <c r="FA250" s="17"/>
      <c r="FB250" s="17"/>
      <c r="FC250" s="17"/>
      <c r="FD250" s="17"/>
      <c r="FE250" s="17"/>
      <c r="FF250" s="17"/>
      <c r="FG250" s="17"/>
      <c r="FH250" s="17"/>
      <c r="FI250" s="17"/>
      <c r="FJ250" s="17"/>
      <c r="FK250" s="17"/>
      <c r="FL250" s="17"/>
      <c r="FM250" s="17"/>
      <c r="FN250" s="17"/>
      <c r="FO250" s="17"/>
      <c r="FP250" s="17"/>
      <c r="FQ250" s="17"/>
      <c r="FR250" s="17"/>
      <c r="FS250" s="17"/>
      <c r="FT250" s="17"/>
      <c r="FU250" s="17"/>
      <c r="FV250" s="17"/>
      <c r="FW250" s="17"/>
      <c r="FX250" s="17"/>
      <c r="FY250" s="17"/>
      <c r="FZ250" s="17"/>
      <c r="GA250" s="17"/>
      <c r="GB250" s="17"/>
      <c r="GC250" s="17"/>
      <c r="GD250" s="17"/>
      <c r="GE250" s="17"/>
      <c r="GF250" s="17"/>
      <c r="GG250" s="17"/>
      <c r="GH250" s="17"/>
      <c r="GI250" s="17"/>
      <c r="GJ250" s="17"/>
      <c r="GK250" s="17"/>
      <c r="GL250" s="17"/>
      <c r="GM250" s="17"/>
      <c r="GN250" s="17"/>
      <c r="GO250" s="17"/>
      <c r="GP250" s="17"/>
      <c r="GQ250" s="17"/>
      <c r="GR250" s="17"/>
      <c r="GS250" s="17"/>
      <c r="GT250" s="17"/>
      <c r="GU250" s="17"/>
      <c r="GV250" s="17"/>
      <c r="GW250" s="17"/>
      <c r="GX250" s="17"/>
      <c r="GY250" s="17"/>
      <c r="GZ250" s="17"/>
      <c r="HA250" s="17"/>
      <c r="HB250" s="17"/>
      <c r="HC250" s="17"/>
      <c r="HD250" s="17"/>
      <c r="HE250" s="17"/>
      <c r="HF250" s="17"/>
      <c r="HG250" s="17"/>
      <c r="HH250" s="17"/>
      <c r="HI250" s="17"/>
      <c r="HJ250" s="17"/>
      <c r="HK250" s="17"/>
      <c r="HL250" s="17"/>
      <c r="HM250" s="17"/>
      <c r="HN250" s="17"/>
      <c r="HO250" s="17"/>
      <c r="HP250" s="17"/>
      <c r="HQ250" s="17"/>
      <c r="HR250" s="17"/>
      <c r="HS250" s="17"/>
      <c r="HT250" s="17"/>
      <c r="HU250" s="17"/>
      <c r="HV250" s="17"/>
      <c r="HW250" s="17"/>
      <c r="HX250" s="17"/>
      <c r="HY250" s="17"/>
      <c r="HZ250" s="17"/>
      <c r="IA250" s="17"/>
      <c r="IB250" s="17"/>
      <c r="IC250" s="17"/>
      <c r="ID250" s="17"/>
      <c r="IE250" s="17"/>
      <c r="IF250" s="17"/>
      <c r="IG250" s="17"/>
      <c r="IH250" s="17"/>
      <c r="II250" s="17"/>
      <c r="IJ250" s="17"/>
      <c r="IK250" s="17"/>
      <c r="IL250" s="17"/>
      <c r="IM250" s="17"/>
      <c r="IN250" s="17"/>
      <c r="IO250" s="17"/>
      <c r="IP250" s="17"/>
      <c r="IQ250" s="17"/>
      <c r="IR250" s="17"/>
      <c r="IS250" s="17"/>
      <c r="IT250" s="17"/>
      <c r="IU250" s="17"/>
      <c r="IV250" s="17"/>
      <c r="IW250" s="17"/>
      <c r="IX250" s="17"/>
      <c r="IY250" s="17"/>
      <c r="IZ250" s="17"/>
      <c r="JA250" s="17"/>
      <c r="JB250" s="17"/>
      <c r="JC250" s="17"/>
      <c r="JD250" s="17"/>
      <c r="JE250" s="17"/>
      <c r="JF250" s="17"/>
      <c r="JG250" s="17"/>
      <c r="JH250" s="17"/>
      <c r="JI250" s="17"/>
      <c r="JJ250" s="17"/>
      <c r="JK250" s="17"/>
      <c r="JL250" s="17"/>
      <c r="JM250" s="17"/>
      <c r="JN250" s="17"/>
      <c r="JO250" s="17"/>
      <c r="JP250" s="17"/>
      <c r="JQ250" s="17"/>
      <c r="JR250" s="17"/>
      <c r="JS250" s="17"/>
      <c r="JT250" s="17"/>
      <c r="JU250" s="17"/>
      <c r="JV250" s="17"/>
      <c r="JW250" s="17"/>
      <c r="JX250" s="17"/>
      <c r="JY250" s="17"/>
      <c r="JZ250" s="17"/>
      <c r="KA250" s="17"/>
      <c r="KB250" s="17"/>
      <c r="KC250" s="17"/>
      <c r="KD250" s="17"/>
      <c r="KE250" s="17"/>
      <c r="KF250" s="17"/>
      <c r="KG250" s="17"/>
      <c r="KH250" s="17"/>
      <c r="KI250" s="17"/>
      <c r="KJ250" s="17"/>
      <c r="KK250" s="17"/>
      <c r="KL250" s="17"/>
      <c r="KM250" s="17"/>
      <c r="KN250" s="17"/>
      <c r="KO250" s="17"/>
      <c r="KP250" s="17"/>
      <c r="KQ250" s="17"/>
      <c r="KR250" s="17"/>
      <c r="KS250" s="17"/>
      <c r="KT250" s="17"/>
      <c r="KU250" s="17"/>
      <c r="KV250" s="17"/>
      <c r="KW250" s="17"/>
      <c r="KX250" s="17"/>
      <c r="KY250" s="17"/>
    </row>
    <row r="251" spans="1:311" x14ac:dyDescent="0.25">
      <c r="A251" s="17"/>
      <c r="B251" s="17"/>
      <c r="C251" s="17"/>
      <c r="D251" s="17"/>
      <c r="E251" s="17"/>
      <c r="F251" s="17"/>
      <c r="G251" s="17"/>
      <c r="H251" s="17"/>
      <c r="I251" s="17"/>
      <c r="J251" s="17"/>
      <c r="K251" s="17"/>
      <c r="L251" s="17"/>
      <c r="M251" s="17"/>
      <c r="N251" s="17"/>
      <c r="O251" s="17"/>
      <c r="P251" s="17"/>
      <c r="Q251" s="17"/>
      <c r="R251" s="17"/>
      <c r="S251" s="17"/>
      <c r="T251" s="17"/>
      <c r="U251" s="17"/>
      <c r="V251" s="17"/>
      <c r="W251" s="17"/>
      <c r="X251" s="17"/>
      <c r="Y251" s="17"/>
      <c r="Z251" s="17"/>
      <c r="AA251" s="17"/>
      <c r="AB251" s="17"/>
      <c r="AC251" s="17"/>
      <c r="AD251" s="17"/>
      <c r="AE251" s="17"/>
      <c r="AF251" s="17"/>
      <c r="AG251" s="17"/>
      <c r="AH251" s="17"/>
      <c r="AI251" s="17"/>
      <c r="AJ251" s="17"/>
      <c r="AK251" s="17"/>
      <c r="AL251" s="17"/>
      <c r="AM251" s="17"/>
      <c r="AN251" s="17"/>
      <c r="AO251" s="17"/>
      <c r="AP251" s="17"/>
      <c r="AQ251" s="17"/>
      <c r="AR251" s="17"/>
      <c r="AS251" s="17"/>
      <c r="AT251" s="17"/>
      <c r="AU251" s="17"/>
      <c r="AV251" s="17"/>
      <c r="AW251" s="17"/>
      <c r="AX251" s="17"/>
      <c r="AY251" s="17"/>
      <c r="AZ251" s="17"/>
      <c r="BA251" s="17"/>
      <c r="BB251" s="17"/>
      <c r="BC251" s="17"/>
      <c r="BD251" s="17"/>
      <c r="BE251" s="17"/>
      <c r="BF251" s="17"/>
      <c r="BG251" s="17"/>
      <c r="BH251" s="17"/>
      <c r="BI251" s="17"/>
      <c r="BJ251" s="17"/>
      <c r="BK251" s="17"/>
      <c r="BL251" s="17"/>
      <c r="BM251" s="17"/>
      <c r="BN251" s="17"/>
      <c r="BO251" s="17"/>
      <c r="BP251" s="17"/>
      <c r="BQ251" s="17"/>
      <c r="BR251" s="17"/>
      <c r="BS251" s="17"/>
      <c r="BT251" s="17"/>
      <c r="BU251" s="17"/>
      <c r="BV251" s="17"/>
      <c r="BW251" s="17"/>
      <c r="BX251" s="17"/>
      <c r="BY251" s="17"/>
      <c r="BZ251" s="17"/>
      <c r="CA251" s="17"/>
      <c r="CB251" s="17"/>
      <c r="CC251" s="17"/>
      <c r="CD251" s="17"/>
      <c r="CE251" s="17"/>
      <c r="CF251" s="17"/>
      <c r="CG251" s="17"/>
      <c r="CH251" s="17"/>
      <c r="CI251" s="17"/>
      <c r="CJ251" s="17"/>
      <c r="CK251" s="17"/>
      <c r="CL251" s="17"/>
      <c r="CM251" s="17"/>
      <c r="CN251" s="17"/>
      <c r="CO251" s="17"/>
      <c r="CP251" s="17"/>
      <c r="CQ251" s="17"/>
      <c r="CR251" s="17"/>
      <c r="CS251" s="17"/>
      <c r="CT251" s="17"/>
      <c r="CU251" s="17"/>
      <c r="CV251" s="17"/>
      <c r="CW251" s="17"/>
      <c r="CX251" s="17"/>
      <c r="CY251" s="17"/>
      <c r="CZ251" s="17"/>
      <c r="DA251" s="17"/>
      <c r="DB251" s="17"/>
      <c r="DC251" s="17"/>
      <c r="DD251" s="17"/>
      <c r="DE251" s="17"/>
      <c r="DF251" s="17"/>
      <c r="DG251" s="17"/>
      <c r="DH251" s="17"/>
      <c r="DI251" s="17"/>
      <c r="DJ251" s="17"/>
      <c r="DK251" s="17"/>
      <c r="DL251" s="17"/>
      <c r="DM251" s="17"/>
      <c r="DN251" s="17"/>
      <c r="DO251" s="17"/>
      <c r="DP251" s="17"/>
      <c r="DQ251" s="17"/>
      <c r="DR251" s="17"/>
      <c r="DS251" s="17"/>
      <c r="DT251" s="17"/>
      <c r="DU251" s="17"/>
      <c r="DV251" s="17"/>
      <c r="DW251" s="17"/>
      <c r="DX251" s="17"/>
      <c r="DY251" s="17"/>
      <c r="DZ251" s="17"/>
      <c r="EA251" s="17"/>
      <c r="EB251" s="17"/>
      <c r="EC251" s="17"/>
      <c r="ED251" s="17"/>
      <c r="EE251" s="17"/>
      <c r="EF251" s="17"/>
      <c r="EG251" s="17"/>
      <c r="EH251" s="17"/>
      <c r="EI251" s="17"/>
      <c r="EJ251" s="17"/>
      <c r="EK251" s="17"/>
      <c r="EL251" s="17"/>
      <c r="EM251" s="17"/>
      <c r="EN251" s="17"/>
      <c r="EO251" s="17"/>
      <c r="EP251" s="17"/>
      <c r="EQ251" s="17"/>
      <c r="ER251" s="17"/>
      <c r="ES251" s="17"/>
      <c r="ET251" s="17"/>
      <c r="EU251" s="17"/>
      <c r="EV251" s="17"/>
      <c r="EW251" s="17"/>
      <c r="EX251" s="17"/>
      <c r="EY251" s="17"/>
      <c r="EZ251" s="17"/>
      <c r="FA251" s="17"/>
      <c r="FB251" s="17"/>
      <c r="FC251" s="17"/>
      <c r="FD251" s="17"/>
      <c r="FE251" s="17"/>
      <c r="FF251" s="17"/>
      <c r="FG251" s="17"/>
      <c r="FH251" s="17"/>
      <c r="FI251" s="17"/>
      <c r="FJ251" s="17"/>
      <c r="FK251" s="17"/>
      <c r="FL251" s="17"/>
      <c r="FM251" s="17"/>
      <c r="FN251" s="17"/>
      <c r="FO251" s="17"/>
      <c r="FP251" s="17"/>
      <c r="FQ251" s="17"/>
      <c r="FR251" s="17"/>
      <c r="FS251" s="17"/>
      <c r="FT251" s="17"/>
      <c r="FU251" s="17"/>
      <c r="FV251" s="17"/>
      <c r="FW251" s="17"/>
      <c r="FX251" s="17"/>
      <c r="FY251" s="17"/>
      <c r="FZ251" s="17"/>
      <c r="GA251" s="17"/>
      <c r="GB251" s="17"/>
      <c r="GC251" s="17"/>
      <c r="GD251" s="17"/>
      <c r="GE251" s="17"/>
      <c r="GF251" s="17"/>
      <c r="GG251" s="17"/>
      <c r="GH251" s="17"/>
      <c r="GI251" s="17"/>
      <c r="GJ251" s="17"/>
      <c r="GK251" s="17"/>
      <c r="GL251" s="17"/>
      <c r="GM251" s="17"/>
      <c r="GN251" s="17"/>
      <c r="GO251" s="17"/>
      <c r="GP251" s="17"/>
      <c r="GQ251" s="17"/>
      <c r="GR251" s="17"/>
      <c r="GS251" s="17"/>
      <c r="GT251" s="17"/>
      <c r="GU251" s="17"/>
      <c r="GV251" s="17"/>
      <c r="GW251" s="17"/>
      <c r="GX251" s="17"/>
      <c r="GY251" s="17"/>
      <c r="GZ251" s="17"/>
      <c r="HA251" s="17"/>
      <c r="HB251" s="17"/>
      <c r="HC251" s="17"/>
      <c r="HD251" s="17"/>
      <c r="HE251" s="17"/>
      <c r="HF251" s="17"/>
      <c r="HG251" s="17"/>
      <c r="HH251" s="17"/>
      <c r="HI251" s="17"/>
      <c r="HJ251" s="17"/>
      <c r="HK251" s="17"/>
      <c r="HL251" s="17"/>
      <c r="HM251" s="17"/>
      <c r="HN251" s="17"/>
      <c r="HO251" s="17"/>
      <c r="HP251" s="17"/>
      <c r="HQ251" s="17"/>
      <c r="HR251" s="17"/>
      <c r="HS251" s="17"/>
      <c r="HT251" s="17"/>
      <c r="HU251" s="17"/>
      <c r="HV251" s="17"/>
      <c r="HW251" s="17"/>
      <c r="HX251" s="17"/>
      <c r="HY251" s="17"/>
      <c r="HZ251" s="17"/>
      <c r="IA251" s="17"/>
      <c r="IB251" s="17"/>
      <c r="IC251" s="17"/>
      <c r="ID251" s="17"/>
      <c r="IE251" s="17"/>
      <c r="IF251" s="17"/>
      <c r="IG251" s="17"/>
      <c r="IH251" s="17"/>
      <c r="II251" s="17"/>
      <c r="IJ251" s="17"/>
      <c r="IK251" s="17"/>
      <c r="IL251" s="17"/>
      <c r="IM251" s="17"/>
      <c r="IN251" s="17"/>
      <c r="IO251" s="17"/>
      <c r="IP251" s="17"/>
      <c r="IQ251" s="17"/>
      <c r="IR251" s="17"/>
      <c r="IS251" s="17"/>
      <c r="IT251" s="17"/>
      <c r="IU251" s="17"/>
      <c r="IV251" s="17"/>
      <c r="IW251" s="17"/>
      <c r="IX251" s="17"/>
      <c r="IY251" s="17"/>
      <c r="IZ251" s="17"/>
      <c r="JA251" s="17"/>
      <c r="JB251" s="17"/>
      <c r="JC251" s="17"/>
      <c r="JD251" s="17"/>
      <c r="JE251" s="17"/>
      <c r="JF251" s="17"/>
      <c r="JG251" s="17"/>
      <c r="JH251" s="17"/>
      <c r="JI251" s="17"/>
      <c r="JJ251" s="17"/>
      <c r="JK251" s="17"/>
      <c r="JL251" s="17"/>
      <c r="JM251" s="17"/>
      <c r="JN251" s="17"/>
      <c r="JO251" s="17"/>
      <c r="JP251" s="17"/>
      <c r="JQ251" s="17"/>
      <c r="JR251" s="17"/>
      <c r="JS251" s="17"/>
      <c r="JT251" s="17"/>
      <c r="JU251" s="17"/>
      <c r="JV251" s="17"/>
      <c r="JW251" s="17"/>
      <c r="JX251" s="17"/>
      <c r="JY251" s="17"/>
      <c r="JZ251" s="17"/>
      <c r="KA251" s="17"/>
      <c r="KB251" s="17"/>
      <c r="KC251" s="17"/>
      <c r="KD251" s="17"/>
      <c r="KE251" s="17"/>
      <c r="KF251" s="17"/>
      <c r="KG251" s="17"/>
      <c r="KH251" s="17"/>
      <c r="KI251" s="17"/>
      <c r="KJ251" s="17"/>
      <c r="KK251" s="17"/>
      <c r="KL251" s="17"/>
      <c r="KM251" s="17"/>
      <c r="KN251" s="17"/>
      <c r="KO251" s="17"/>
      <c r="KP251" s="17"/>
      <c r="KQ251" s="17"/>
      <c r="KR251" s="17"/>
      <c r="KS251" s="17"/>
      <c r="KT251" s="17"/>
      <c r="KU251" s="17"/>
      <c r="KV251" s="17"/>
      <c r="KW251" s="17"/>
      <c r="KX251" s="17"/>
      <c r="KY251" s="17"/>
    </row>
    <row r="252" spans="1:311" x14ac:dyDescent="0.25">
      <c r="A252" s="17"/>
      <c r="B252" s="17"/>
      <c r="C252" s="17"/>
      <c r="D252" s="17"/>
      <c r="E252" s="17"/>
      <c r="F252" s="17"/>
      <c r="G252" s="17"/>
      <c r="H252" s="17"/>
      <c r="I252" s="17"/>
      <c r="J252" s="17"/>
      <c r="K252" s="17"/>
      <c r="L252" s="17"/>
      <c r="M252" s="17"/>
      <c r="N252" s="17"/>
      <c r="O252" s="17"/>
      <c r="P252" s="17"/>
      <c r="Q252" s="17"/>
      <c r="R252" s="17"/>
      <c r="S252" s="17"/>
      <c r="T252" s="17"/>
      <c r="U252" s="17"/>
      <c r="V252" s="17"/>
      <c r="W252" s="17"/>
      <c r="X252" s="17"/>
      <c r="Y252" s="17"/>
      <c r="Z252" s="17"/>
      <c r="AA252" s="17"/>
      <c r="AB252" s="17"/>
      <c r="AC252" s="17"/>
      <c r="AD252" s="17"/>
      <c r="AE252" s="17"/>
      <c r="AF252" s="17"/>
      <c r="AG252" s="17"/>
      <c r="AH252" s="17"/>
      <c r="AI252" s="17"/>
      <c r="AJ252" s="17"/>
      <c r="AK252" s="17"/>
      <c r="AL252" s="17"/>
      <c r="AM252" s="17"/>
      <c r="AN252" s="17"/>
      <c r="AO252" s="17"/>
      <c r="AP252" s="17"/>
      <c r="AQ252" s="17"/>
      <c r="AR252" s="17"/>
      <c r="AS252" s="17"/>
      <c r="AT252" s="17"/>
      <c r="AU252" s="17"/>
      <c r="AV252" s="17"/>
      <c r="AW252" s="17"/>
      <c r="AX252" s="17"/>
      <c r="AY252" s="17"/>
      <c r="AZ252" s="17"/>
      <c r="BA252" s="17"/>
      <c r="BB252" s="17"/>
      <c r="BC252" s="17"/>
      <c r="BD252" s="17"/>
      <c r="BE252" s="17"/>
      <c r="BF252" s="17"/>
      <c r="BG252" s="17"/>
      <c r="BH252" s="17"/>
      <c r="BI252" s="17"/>
      <c r="BJ252" s="17"/>
      <c r="BK252" s="17"/>
      <c r="BL252" s="17"/>
      <c r="BM252" s="17"/>
      <c r="BN252" s="17"/>
      <c r="BO252" s="17"/>
      <c r="BP252" s="17"/>
      <c r="BQ252" s="17"/>
      <c r="BR252" s="17"/>
      <c r="BS252" s="17"/>
      <c r="BT252" s="17"/>
      <c r="BU252" s="17"/>
      <c r="BV252" s="17"/>
      <c r="BW252" s="17"/>
      <c r="BX252" s="17"/>
      <c r="BY252" s="17"/>
      <c r="BZ252" s="17"/>
      <c r="CA252" s="17"/>
      <c r="CB252" s="17"/>
      <c r="CC252" s="17"/>
      <c r="CD252" s="17"/>
      <c r="CE252" s="17"/>
      <c r="CF252" s="17"/>
      <c r="CG252" s="17"/>
      <c r="CH252" s="17"/>
      <c r="CI252" s="17"/>
      <c r="CJ252" s="17"/>
      <c r="CK252" s="17"/>
      <c r="CL252" s="17"/>
      <c r="CM252" s="17"/>
      <c r="CN252" s="17"/>
      <c r="CO252" s="17"/>
      <c r="CP252" s="17"/>
      <c r="CQ252" s="17"/>
      <c r="CR252" s="17"/>
      <c r="CS252" s="17"/>
      <c r="CT252" s="17"/>
      <c r="CU252" s="17"/>
      <c r="CV252" s="17"/>
      <c r="CW252" s="17"/>
      <c r="CX252" s="17"/>
      <c r="CY252" s="17"/>
      <c r="CZ252" s="17"/>
      <c r="DA252" s="17"/>
      <c r="DB252" s="17"/>
      <c r="DC252" s="17"/>
      <c r="DD252" s="17"/>
      <c r="DE252" s="17"/>
      <c r="DF252" s="17"/>
      <c r="DG252" s="17"/>
      <c r="DH252" s="17"/>
      <c r="DI252" s="17"/>
      <c r="DJ252" s="17"/>
      <c r="DK252" s="17"/>
      <c r="DL252" s="17"/>
      <c r="DM252" s="17"/>
      <c r="DN252" s="17"/>
      <c r="DO252" s="17"/>
      <c r="DP252" s="17"/>
      <c r="DQ252" s="17"/>
      <c r="DR252" s="17"/>
      <c r="DS252" s="17"/>
      <c r="DT252" s="17"/>
      <c r="DU252" s="17"/>
      <c r="DV252" s="17"/>
      <c r="DW252" s="17"/>
      <c r="DX252" s="17"/>
      <c r="DY252" s="17"/>
      <c r="DZ252" s="17"/>
      <c r="EA252" s="17"/>
      <c r="EB252" s="17"/>
      <c r="EC252" s="17"/>
      <c r="ED252" s="17"/>
      <c r="EE252" s="17"/>
      <c r="EF252" s="17"/>
      <c r="EG252" s="17"/>
      <c r="EH252" s="17"/>
      <c r="EI252" s="17"/>
      <c r="EJ252" s="17"/>
      <c r="EK252" s="17"/>
      <c r="EL252" s="17"/>
      <c r="EM252" s="17"/>
      <c r="EN252" s="17"/>
      <c r="EO252" s="17"/>
      <c r="EP252" s="17"/>
      <c r="EQ252" s="17"/>
      <c r="ER252" s="17"/>
      <c r="ES252" s="17"/>
      <c r="ET252" s="17"/>
      <c r="EU252" s="17"/>
      <c r="EV252" s="17"/>
      <c r="EW252" s="17"/>
      <c r="EX252" s="17"/>
      <c r="EY252" s="17"/>
      <c r="EZ252" s="17"/>
      <c r="FA252" s="17"/>
      <c r="FB252" s="17"/>
      <c r="FC252" s="17"/>
      <c r="FD252" s="17"/>
      <c r="FE252" s="17"/>
      <c r="FF252" s="17"/>
      <c r="FG252" s="17"/>
      <c r="FH252" s="17"/>
      <c r="FI252" s="17"/>
      <c r="FJ252" s="17"/>
      <c r="FK252" s="17"/>
      <c r="FL252" s="17"/>
      <c r="FM252" s="17"/>
      <c r="FN252" s="17"/>
      <c r="FO252" s="17"/>
      <c r="FP252" s="17"/>
      <c r="FQ252" s="17"/>
      <c r="FR252" s="17"/>
      <c r="FS252" s="17"/>
      <c r="FT252" s="17"/>
      <c r="FU252" s="17"/>
      <c r="FV252" s="17"/>
      <c r="FW252" s="17"/>
      <c r="FX252" s="17"/>
      <c r="FY252" s="17"/>
      <c r="FZ252" s="17"/>
      <c r="GA252" s="17"/>
      <c r="GB252" s="17"/>
      <c r="GC252" s="17"/>
      <c r="GD252" s="17"/>
      <c r="GE252" s="17"/>
      <c r="GF252" s="17"/>
      <c r="GG252" s="17"/>
      <c r="GH252" s="17"/>
      <c r="GI252" s="17"/>
      <c r="GJ252" s="17"/>
      <c r="GK252" s="17"/>
      <c r="GL252" s="17"/>
      <c r="GM252" s="17"/>
      <c r="GN252" s="17"/>
      <c r="GO252" s="17"/>
      <c r="GP252" s="17"/>
      <c r="GQ252" s="17"/>
      <c r="GR252" s="17"/>
      <c r="GS252" s="17"/>
      <c r="GT252" s="17"/>
      <c r="GU252" s="17"/>
      <c r="GV252" s="17"/>
      <c r="GW252" s="17"/>
      <c r="GX252" s="17"/>
      <c r="GY252" s="17"/>
      <c r="GZ252" s="17"/>
      <c r="HA252" s="17"/>
      <c r="HB252" s="17"/>
      <c r="HC252" s="17"/>
      <c r="HD252" s="17"/>
      <c r="HE252" s="17"/>
      <c r="HF252" s="17"/>
      <c r="HG252" s="17"/>
      <c r="HH252" s="17"/>
      <c r="HI252" s="17"/>
      <c r="HJ252" s="17"/>
      <c r="HK252" s="17"/>
      <c r="HL252" s="17"/>
      <c r="HM252" s="17"/>
      <c r="HN252" s="17"/>
      <c r="HO252" s="17"/>
      <c r="HP252" s="17"/>
      <c r="HQ252" s="17"/>
      <c r="HR252" s="17"/>
      <c r="HS252" s="17"/>
      <c r="HT252" s="17"/>
      <c r="HU252" s="17"/>
      <c r="HV252" s="17"/>
      <c r="HW252" s="17"/>
      <c r="HX252" s="17"/>
      <c r="HY252" s="17"/>
      <c r="HZ252" s="17"/>
      <c r="IA252" s="17"/>
      <c r="IB252" s="17"/>
      <c r="IC252" s="17"/>
      <c r="ID252" s="17"/>
      <c r="IE252" s="17"/>
      <c r="IF252" s="17"/>
      <c r="IG252" s="17"/>
      <c r="IH252" s="17"/>
      <c r="II252" s="17"/>
      <c r="IJ252" s="17"/>
      <c r="IK252" s="17"/>
      <c r="IL252" s="17"/>
      <c r="IM252" s="17"/>
      <c r="IN252" s="17"/>
      <c r="IO252" s="17"/>
      <c r="IP252" s="17"/>
      <c r="IQ252" s="17"/>
      <c r="IR252" s="17"/>
      <c r="IS252" s="17"/>
      <c r="IT252" s="17"/>
      <c r="IU252" s="17"/>
      <c r="IV252" s="17"/>
      <c r="IW252" s="17"/>
      <c r="IX252" s="17"/>
      <c r="IY252" s="17"/>
      <c r="IZ252" s="17"/>
      <c r="JA252" s="17"/>
      <c r="JB252" s="17"/>
      <c r="JC252" s="17"/>
      <c r="JD252" s="17"/>
      <c r="JE252" s="17"/>
      <c r="JF252" s="17"/>
      <c r="JG252" s="17"/>
      <c r="JH252" s="17"/>
      <c r="JI252" s="17"/>
      <c r="JJ252" s="17"/>
      <c r="JK252" s="17"/>
      <c r="JL252" s="17"/>
      <c r="JM252" s="17"/>
      <c r="JN252" s="17"/>
      <c r="JO252" s="17"/>
      <c r="JP252" s="17"/>
      <c r="JQ252" s="17"/>
      <c r="JR252" s="17"/>
      <c r="JS252" s="17"/>
      <c r="JT252" s="17"/>
      <c r="JU252" s="17"/>
      <c r="JV252" s="17"/>
      <c r="JW252" s="17"/>
      <c r="JX252" s="17"/>
      <c r="JY252" s="17"/>
      <c r="JZ252" s="17"/>
      <c r="KA252" s="17"/>
      <c r="KB252" s="17"/>
      <c r="KC252" s="17"/>
      <c r="KD252" s="17"/>
      <c r="KE252" s="17"/>
      <c r="KF252" s="17"/>
      <c r="KG252" s="17"/>
      <c r="KH252" s="17"/>
      <c r="KI252" s="17"/>
      <c r="KJ252" s="17"/>
      <c r="KK252" s="17"/>
      <c r="KL252" s="17"/>
      <c r="KM252" s="17"/>
      <c r="KN252" s="17"/>
      <c r="KO252" s="17"/>
      <c r="KP252" s="17"/>
      <c r="KQ252" s="17"/>
      <c r="KR252" s="17"/>
      <c r="KS252" s="17"/>
      <c r="KT252" s="17"/>
      <c r="KU252" s="17"/>
      <c r="KV252" s="17"/>
      <c r="KW252" s="17"/>
      <c r="KX252" s="17"/>
      <c r="KY252" s="17"/>
    </row>
    <row r="253" spans="1:311" x14ac:dyDescent="0.25">
      <c r="A253" s="17"/>
      <c r="B253" s="17"/>
      <c r="C253" s="17"/>
      <c r="D253" s="17"/>
      <c r="E253" s="17"/>
      <c r="F253" s="17"/>
      <c r="G253" s="17"/>
      <c r="H253" s="17"/>
      <c r="I253" s="17"/>
      <c r="J253" s="17"/>
      <c r="K253" s="17"/>
      <c r="L253" s="17"/>
      <c r="M253" s="17"/>
      <c r="N253" s="17"/>
      <c r="O253" s="17"/>
      <c r="P253" s="17"/>
      <c r="Q253" s="17"/>
      <c r="R253" s="17"/>
      <c r="S253" s="17"/>
      <c r="T253" s="17"/>
      <c r="U253" s="17"/>
      <c r="V253" s="17"/>
      <c r="W253" s="17"/>
      <c r="X253" s="17"/>
      <c r="Y253" s="17"/>
      <c r="Z253" s="17"/>
      <c r="AA253" s="17"/>
      <c r="AB253" s="17"/>
      <c r="AC253" s="17"/>
      <c r="AD253" s="17"/>
      <c r="AE253" s="17"/>
      <c r="AF253" s="17"/>
      <c r="AG253" s="17"/>
      <c r="AH253" s="17"/>
      <c r="AI253" s="17"/>
      <c r="AJ253" s="17"/>
      <c r="AK253" s="17"/>
      <c r="AL253" s="17"/>
      <c r="AM253" s="17"/>
      <c r="AN253" s="17"/>
      <c r="AO253" s="17"/>
      <c r="AP253" s="17"/>
      <c r="AQ253" s="17"/>
      <c r="AR253" s="17"/>
      <c r="AS253" s="17"/>
      <c r="AT253" s="17"/>
      <c r="AU253" s="17"/>
      <c r="AV253" s="17"/>
      <c r="AW253" s="17"/>
      <c r="AX253" s="17"/>
      <c r="AY253" s="17"/>
      <c r="AZ253" s="17"/>
      <c r="BA253" s="17"/>
      <c r="BB253" s="17"/>
      <c r="BC253" s="17"/>
      <c r="BD253" s="17"/>
      <c r="BE253" s="17"/>
      <c r="BF253" s="17"/>
      <c r="BG253" s="17"/>
      <c r="BH253" s="17"/>
      <c r="BI253" s="17"/>
      <c r="BJ253" s="17"/>
      <c r="BK253" s="17"/>
      <c r="BL253" s="17"/>
      <c r="BM253" s="17"/>
      <c r="BN253" s="17"/>
      <c r="BO253" s="17"/>
      <c r="BP253" s="17"/>
      <c r="BQ253" s="17"/>
      <c r="BR253" s="17"/>
      <c r="BS253" s="17"/>
      <c r="BT253" s="17"/>
      <c r="BU253" s="17"/>
      <c r="BV253" s="17"/>
      <c r="BW253" s="17"/>
      <c r="BX253" s="17"/>
      <c r="BY253" s="17"/>
      <c r="BZ253" s="17"/>
      <c r="CA253" s="17"/>
      <c r="CB253" s="17"/>
      <c r="CC253" s="17"/>
      <c r="CD253" s="17"/>
      <c r="CE253" s="17"/>
      <c r="CF253" s="17"/>
      <c r="CG253" s="17"/>
      <c r="CH253" s="17"/>
      <c r="CI253" s="17"/>
      <c r="CJ253" s="17"/>
      <c r="CK253" s="17"/>
      <c r="CL253" s="17"/>
      <c r="CM253" s="17"/>
      <c r="CN253" s="17"/>
      <c r="CO253" s="17"/>
      <c r="CP253" s="17"/>
      <c r="CQ253" s="17"/>
      <c r="CR253" s="17"/>
      <c r="CS253" s="17"/>
      <c r="CT253" s="17"/>
      <c r="CU253" s="17"/>
      <c r="CV253" s="17"/>
      <c r="CW253" s="17"/>
      <c r="CX253" s="17"/>
      <c r="CY253" s="17"/>
      <c r="CZ253" s="17"/>
      <c r="DA253" s="17"/>
      <c r="DB253" s="17"/>
      <c r="DC253" s="17"/>
      <c r="DD253" s="17"/>
      <c r="DE253" s="17"/>
      <c r="DF253" s="17"/>
      <c r="DG253" s="17"/>
      <c r="DH253" s="17"/>
      <c r="DI253" s="17"/>
      <c r="DJ253" s="17"/>
      <c r="DK253" s="17"/>
      <c r="DL253" s="17"/>
      <c r="DM253" s="17"/>
      <c r="DN253" s="17"/>
      <c r="DO253" s="17"/>
      <c r="DP253" s="17"/>
      <c r="DQ253" s="17"/>
      <c r="DR253" s="17"/>
      <c r="DS253" s="17"/>
      <c r="DT253" s="17"/>
      <c r="DU253" s="17"/>
      <c r="DV253" s="17"/>
      <c r="DW253" s="17"/>
      <c r="DX253" s="17"/>
      <c r="DY253" s="17"/>
      <c r="DZ253" s="17"/>
      <c r="EA253" s="17"/>
      <c r="EB253" s="17"/>
      <c r="EC253" s="17"/>
      <c r="ED253" s="17"/>
      <c r="EE253" s="17"/>
      <c r="EF253" s="17"/>
      <c r="EG253" s="17"/>
      <c r="EH253" s="17"/>
      <c r="EI253" s="17"/>
      <c r="EJ253" s="17"/>
      <c r="EK253" s="17"/>
      <c r="EL253" s="17"/>
      <c r="EM253" s="17"/>
      <c r="EN253" s="17"/>
      <c r="EO253" s="17"/>
      <c r="EP253" s="17"/>
      <c r="EQ253" s="17"/>
      <c r="ER253" s="17"/>
      <c r="ES253" s="17"/>
      <c r="ET253" s="17"/>
      <c r="EU253" s="17"/>
      <c r="EV253" s="17"/>
      <c r="EW253" s="17"/>
      <c r="EX253" s="17"/>
      <c r="EY253" s="17"/>
      <c r="EZ253" s="17"/>
      <c r="FA253" s="17"/>
      <c r="FB253" s="17"/>
      <c r="FC253" s="17"/>
      <c r="FD253" s="17"/>
      <c r="FE253" s="17"/>
      <c r="FF253" s="17"/>
      <c r="FG253" s="17"/>
      <c r="FH253" s="17"/>
      <c r="FI253" s="17"/>
      <c r="FJ253" s="17"/>
      <c r="FK253" s="17"/>
      <c r="FL253" s="17"/>
      <c r="FM253" s="17"/>
      <c r="FN253" s="17"/>
      <c r="FO253" s="17"/>
      <c r="FP253" s="17"/>
      <c r="FQ253" s="17"/>
      <c r="FR253" s="17"/>
      <c r="FS253" s="17"/>
      <c r="FT253" s="17"/>
      <c r="FU253" s="17"/>
      <c r="FV253" s="17"/>
      <c r="FW253" s="17"/>
      <c r="FX253" s="17"/>
      <c r="FY253" s="17"/>
      <c r="FZ253" s="17"/>
      <c r="GA253" s="17"/>
      <c r="GB253" s="17"/>
      <c r="GC253" s="17"/>
      <c r="GD253" s="17"/>
      <c r="GE253" s="17"/>
      <c r="GF253" s="17"/>
      <c r="GG253" s="17"/>
      <c r="GH253" s="17"/>
      <c r="GI253" s="17"/>
      <c r="GJ253" s="17"/>
      <c r="GK253" s="17"/>
      <c r="GL253" s="17"/>
      <c r="GM253" s="17"/>
      <c r="GN253" s="17"/>
      <c r="GO253" s="17"/>
      <c r="GP253" s="17"/>
      <c r="GQ253" s="17"/>
      <c r="GR253" s="17"/>
      <c r="GS253" s="17"/>
      <c r="GT253" s="17"/>
      <c r="GU253" s="17"/>
      <c r="GV253" s="17"/>
      <c r="GW253" s="17"/>
      <c r="GX253" s="17"/>
      <c r="GY253" s="17"/>
      <c r="GZ253" s="17"/>
      <c r="HA253" s="17"/>
      <c r="HB253" s="17"/>
      <c r="HC253" s="17"/>
      <c r="HD253" s="17"/>
      <c r="HE253" s="17"/>
      <c r="HF253" s="17"/>
      <c r="HG253" s="17"/>
      <c r="HH253" s="17"/>
      <c r="HI253" s="17"/>
      <c r="HJ253" s="17"/>
      <c r="HK253" s="17"/>
      <c r="HL253" s="17"/>
      <c r="HM253" s="17"/>
      <c r="HN253" s="17"/>
      <c r="HO253" s="17"/>
      <c r="HP253" s="17"/>
      <c r="HQ253" s="17"/>
      <c r="HR253" s="17"/>
      <c r="HS253" s="17"/>
      <c r="HT253" s="17"/>
      <c r="HU253" s="17"/>
      <c r="HV253" s="17"/>
      <c r="HW253" s="17"/>
      <c r="HX253" s="17"/>
      <c r="HY253" s="17"/>
      <c r="HZ253" s="17"/>
      <c r="IA253" s="17"/>
      <c r="IB253" s="17"/>
      <c r="IC253" s="17"/>
      <c r="ID253" s="17"/>
      <c r="IE253" s="17"/>
      <c r="IF253" s="17"/>
      <c r="IG253" s="17"/>
      <c r="IH253" s="17"/>
      <c r="II253" s="17"/>
      <c r="IJ253" s="17"/>
      <c r="IK253" s="17"/>
      <c r="IL253" s="17"/>
      <c r="IM253" s="17"/>
      <c r="IN253" s="17"/>
      <c r="IO253" s="17"/>
      <c r="IP253" s="17"/>
      <c r="IQ253" s="17"/>
      <c r="IR253" s="17"/>
      <c r="IS253" s="17"/>
      <c r="IT253" s="17"/>
      <c r="IU253" s="17"/>
      <c r="IV253" s="17"/>
      <c r="IW253" s="17"/>
      <c r="IX253" s="17"/>
      <c r="IY253" s="17"/>
      <c r="IZ253" s="17"/>
      <c r="JA253" s="17"/>
      <c r="JB253" s="17"/>
      <c r="JC253" s="17"/>
      <c r="JD253" s="17"/>
      <c r="JE253" s="17"/>
      <c r="JF253" s="17"/>
      <c r="JG253" s="17"/>
      <c r="JH253" s="17"/>
      <c r="JI253" s="17"/>
      <c r="JJ253" s="17"/>
      <c r="JK253" s="17"/>
      <c r="JL253" s="17"/>
      <c r="JM253" s="17"/>
      <c r="JN253" s="17"/>
      <c r="JO253" s="17"/>
      <c r="JP253" s="17"/>
      <c r="JQ253" s="17"/>
      <c r="JR253" s="17"/>
      <c r="JS253" s="17"/>
      <c r="JT253" s="17"/>
      <c r="JU253" s="17"/>
      <c r="JV253" s="17"/>
      <c r="JW253" s="17"/>
      <c r="JX253" s="17"/>
      <c r="JY253" s="17"/>
      <c r="JZ253" s="17"/>
      <c r="KA253" s="17"/>
      <c r="KB253" s="17"/>
      <c r="KC253" s="17"/>
      <c r="KD253" s="17"/>
      <c r="KE253" s="17"/>
      <c r="KF253" s="17"/>
      <c r="KG253" s="17"/>
      <c r="KH253" s="17"/>
      <c r="KI253" s="17"/>
      <c r="KJ253" s="17"/>
      <c r="KK253" s="17"/>
      <c r="KL253" s="17"/>
      <c r="KM253" s="17"/>
      <c r="KN253" s="17"/>
      <c r="KO253" s="17"/>
      <c r="KP253" s="17"/>
      <c r="KQ253" s="17"/>
      <c r="KR253" s="17"/>
      <c r="KS253" s="17"/>
      <c r="KT253" s="17"/>
      <c r="KU253" s="17"/>
      <c r="KV253" s="17"/>
      <c r="KW253" s="17"/>
      <c r="KX253" s="17"/>
      <c r="KY253" s="17"/>
    </row>
    <row r="254" spans="1:311" x14ac:dyDescent="0.25">
      <c r="A254" s="17"/>
      <c r="B254" s="17"/>
      <c r="C254" s="17"/>
      <c r="D254" s="17"/>
      <c r="E254" s="17"/>
      <c r="F254" s="17"/>
      <c r="G254" s="17"/>
      <c r="H254" s="17"/>
      <c r="I254" s="17"/>
      <c r="J254" s="17"/>
      <c r="K254" s="17"/>
      <c r="L254" s="17"/>
      <c r="M254" s="17"/>
      <c r="N254" s="17"/>
      <c r="O254" s="17"/>
      <c r="P254" s="17"/>
      <c r="Q254" s="17"/>
      <c r="R254" s="17"/>
      <c r="S254" s="17"/>
      <c r="T254" s="17"/>
      <c r="U254" s="17"/>
      <c r="V254" s="17"/>
      <c r="W254" s="17"/>
      <c r="X254" s="17"/>
      <c r="Y254" s="17"/>
      <c r="Z254" s="17"/>
      <c r="AA254" s="17"/>
      <c r="AB254" s="17"/>
      <c r="AC254" s="17"/>
      <c r="AD254" s="17"/>
      <c r="AE254" s="17"/>
      <c r="AF254" s="17"/>
      <c r="AG254" s="17"/>
      <c r="AH254" s="17"/>
      <c r="AI254" s="17"/>
      <c r="AJ254" s="17"/>
      <c r="AK254" s="17"/>
      <c r="AL254" s="17"/>
      <c r="AM254" s="17"/>
      <c r="AN254" s="17"/>
      <c r="AO254" s="17"/>
      <c r="AP254" s="17"/>
      <c r="AQ254" s="17"/>
      <c r="AR254" s="17"/>
      <c r="AS254" s="17"/>
      <c r="AT254" s="17"/>
      <c r="AU254" s="17"/>
      <c r="AV254" s="17"/>
      <c r="AW254" s="17"/>
      <c r="AX254" s="17"/>
      <c r="AY254" s="17"/>
      <c r="AZ254" s="17"/>
      <c r="BA254" s="17"/>
      <c r="BB254" s="17"/>
      <c r="BC254" s="17"/>
      <c r="BD254" s="17"/>
      <c r="BE254" s="17"/>
      <c r="BF254" s="17"/>
      <c r="BG254" s="17"/>
      <c r="BH254" s="17"/>
      <c r="BI254" s="17"/>
      <c r="BJ254" s="17"/>
      <c r="BK254" s="17"/>
      <c r="BL254" s="17"/>
      <c r="BM254" s="17"/>
      <c r="BN254" s="17"/>
      <c r="BO254" s="17"/>
      <c r="BP254" s="17"/>
      <c r="BQ254" s="17"/>
      <c r="BR254" s="17"/>
      <c r="BS254" s="17"/>
      <c r="BT254" s="17"/>
      <c r="BU254" s="17"/>
      <c r="BV254" s="17"/>
      <c r="BW254" s="17"/>
      <c r="BX254" s="17"/>
      <c r="BY254" s="17"/>
      <c r="BZ254" s="17"/>
      <c r="CA254" s="17"/>
      <c r="CB254" s="17"/>
      <c r="CC254" s="17"/>
      <c r="CD254" s="17"/>
      <c r="CE254" s="17"/>
      <c r="CF254" s="17"/>
      <c r="CG254" s="17"/>
      <c r="CH254" s="17"/>
      <c r="CI254" s="17"/>
      <c r="CJ254" s="17"/>
      <c r="CK254" s="17"/>
      <c r="CL254" s="17"/>
      <c r="CM254" s="17"/>
      <c r="CN254" s="17"/>
      <c r="CO254" s="17"/>
      <c r="CP254" s="17"/>
      <c r="CQ254" s="17"/>
      <c r="CR254" s="17"/>
      <c r="CS254" s="17"/>
      <c r="CT254" s="17"/>
      <c r="CU254" s="17"/>
      <c r="CV254" s="17"/>
      <c r="CW254" s="17"/>
      <c r="CX254" s="17"/>
      <c r="CY254" s="17"/>
      <c r="CZ254" s="17"/>
      <c r="DA254" s="17"/>
      <c r="DB254" s="17"/>
      <c r="DC254" s="17"/>
      <c r="DD254" s="17"/>
      <c r="DE254" s="17"/>
      <c r="DF254" s="17"/>
      <c r="DG254" s="17"/>
      <c r="DH254" s="17"/>
      <c r="DI254" s="17"/>
      <c r="DJ254" s="17"/>
      <c r="DK254" s="17"/>
      <c r="DL254" s="17"/>
      <c r="DM254" s="17"/>
      <c r="DN254" s="17"/>
      <c r="DO254" s="17"/>
      <c r="DP254" s="17"/>
      <c r="DQ254" s="17"/>
      <c r="DR254" s="17"/>
      <c r="DS254" s="17"/>
      <c r="DT254" s="17"/>
      <c r="DU254" s="17"/>
      <c r="DV254" s="17"/>
      <c r="DW254" s="17"/>
      <c r="DX254" s="17"/>
      <c r="DY254" s="17"/>
      <c r="DZ254" s="17"/>
      <c r="EA254" s="17"/>
      <c r="EB254" s="17"/>
      <c r="EC254" s="17"/>
      <c r="ED254" s="17"/>
      <c r="EE254" s="17"/>
      <c r="EF254" s="17"/>
      <c r="EG254" s="17"/>
      <c r="EH254" s="17"/>
      <c r="EI254" s="17"/>
      <c r="EJ254" s="17"/>
      <c r="EK254" s="17"/>
      <c r="EL254" s="17"/>
      <c r="EM254" s="17"/>
      <c r="EN254" s="17"/>
      <c r="EO254" s="17"/>
      <c r="EP254" s="17"/>
      <c r="EQ254" s="17"/>
      <c r="ER254" s="17"/>
      <c r="ES254" s="17"/>
      <c r="ET254" s="17"/>
      <c r="EU254" s="17"/>
      <c r="EV254" s="17"/>
      <c r="EW254" s="17"/>
      <c r="EX254" s="17"/>
      <c r="EY254" s="17"/>
      <c r="EZ254" s="17"/>
      <c r="FA254" s="17"/>
      <c r="FB254" s="17"/>
      <c r="FC254" s="17"/>
      <c r="FD254" s="17"/>
      <c r="FE254" s="17"/>
      <c r="FF254" s="17"/>
      <c r="FG254" s="17"/>
      <c r="FH254" s="17"/>
      <c r="FI254" s="17"/>
      <c r="FJ254" s="17"/>
      <c r="FK254" s="17"/>
      <c r="FL254" s="17"/>
      <c r="FM254" s="17"/>
      <c r="FN254" s="17"/>
      <c r="FO254" s="17"/>
      <c r="FP254" s="17"/>
      <c r="FQ254" s="17"/>
      <c r="FR254" s="17"/>
      <c r="FS254" s="17"/>
      <c r="FT254" s="17"/>
      <c r="FU254" s="17"/>
      <c r="FV254" s="17"/>
      <c r="FW254" s="17"/>
      <c r="FX254" s="17"/>
      <c r="FY254" s="17"/>
      <c r="FZ254" s="17"/>
      <c r="GA254" s="17"/>
      <c r="GB254" s="17"/>
      <c r="GC254" s="17"/>
      <c r="GD254" s="17"/>
      <c r="GE254" s="17"/>
      <c r="GF254" s="17"/>
      <c r="GG254" s="17"/>
      <c r="GH254" s="17"/>
      <c r="GI254" s="17"/>
      <c r="GJ254" s="17"/>
      <c r="GK254" s="17"/>
      <c r="GL254" s="17"/>
      <c r="GM254" s="17"/>
      <c r="GN254" s="17"/>
      <c r="GO254" s="17"/>
      <c r="GP254" s="17"/>
      <c r="GQ254" s="17"/>
      <c r="GR254" s="17"/>
      <c r="GS254" s="17"/>
      <c r="GT254" s="17"/>
      <c r="GU254" s="17"/>
      <c r="GV254" s="17"/>
      <c r="GW254" s="17"/>
      <c r="GX254" s="17"/>
      <c r="GY254" s="17"/>
      <c r="GZ254" s="17"/>
      <c r="HA254" s="17"/>
      <c r="HB254" s="17"/>
      <c r="HC254" s="17"/>
      <c r="HD254" s="17"/>
      <c r="HE254" s="17"/>
      <c r="HF254" s="17"/>
      <c r="HG254" s="17"/>
      <c r="HH254" s="17"/>
      <c r="HI254" s="17"/>
      <c r="HJ254" s="17"/>
      <c r="HK254" s="17"/>
      <c r="HL254" s="17"/>
      <c r="HM254" s="17"/>
      <c r="HN254" s="17"/>
      <c r="HO254" s="17"/>
      <c r="HP254" s="17"/>
      <c r="HQ254" s="17"/>
      <c r="HR254" s="17"/>
      <c r="HS254" s="17"/>
      <c r="HT254" s="17"/>
      <c r="HU254" s="17"/>
      <c r="HV254" s="17"/>
      <c r="HW254" s="17"/>
      <c r="HX254" s="17"/>
      <c r="HY254" s="17"/>
      <c r="HZ254" s="17"/>
      <c r="IA254" s="17"/>
      <c r="IB254" s="17"/>
      <c r="IC254" s="17"/>
      <c r="ID254" s="17"/>
      <c r="IE254" s="17"/>
      <c r="IF254" s="17"/>
      <c r="IG254" s="17"/>
      <c r="IH254" s="17"/>
      <c r="II254" s="17"/>
      <c r="IJ254" s="17"/>
      <c r="IK254" s="17"/>
      <c r="IL254" s="17"/>
      <c r="IM254" s="17"/>
      <c r="IN254" s="17"/>
      <c r="IO254" s="17"/>
      <c r="IP254" s="17"/>
      <c r="IQ254" s="17"/>
      <c r="IR254" s="17"/>
      <c r="IS254" s="17"/>
      <c r="IT254" s="17"/>
      <c r="IU254" s="17"/>
      <c r="IV254" s="17"/>
      <c r="IW254" s="17"/>
      <c r="IX254" s="17"/>
      <c r="IY254" s="17"/>
      <c r="IZ254" s="17"/>
      <c r="JA254" s="17"/>
      <c r="JB254" s="17"/>
      <c r="JC254" s="17"/>
      <c r="JD254" s="17"/>
      <c r="JE254" s="17"/>
      <c r="JF254" s="17"/>
      <c r="JG254" s="17"/>
      <c r="JH254" s="17"/>
      <c r="JI254" s="17"/>
      <c r="JJ254" s="17"/>
      <c r="JK254" s="17"/>
      <c r="JL254" s="17"/>
      <c r="JM254" s="17"/>
      <c r="JN254" s="17"/>
      <c r="JO254" s="17"/>
      <c r="JP254" s="17"/>
      <c r="JQ254" s="17"/>
      <c r="JR254" s="17"/>
      <c r="JS254" s="17"/>
      <c r="JT254" s="17"/>
      <c r="JU254" s="17"/>
      <c r="JV254" s="17"/>
      <c r="JW254" s="17"/>
      <c r="JX254" s="17"/>
      <c r="JY254" s="17"/>
      <c r="JZ254" s="17"/>
      <c r="KA254" s="17"/>
      <c r="KB254" s="17"/>
      <c r="KC254" s="17"/>
      <c r="KD254" s="17"/>
      <c r="KE254" s="17"/>
      <c r="KF254" s="17"/>
      <c r="KG254" s="17"/>
      <c r="KH254" s="17"/>
      <c r="KI254" s="17"/>
      <c r="KJ254" s="17"/>
      <c r="KK254" s="17"/>
      <c r="KL254" s="17"/>
      <c r="KM254" s="17"/>
      <c r="KN254" s="17"/>
      <c r="KO254" s="17"/>
      <c r="KP254" s="17"/>
      <c r="KQ254" s="17"/>
      <c r="KR254" s="17"/>
      <c r="KS254" s="17"/>
      <c r="KT254" s="17"/>
      <c r="KU254" s="17"/>
      <c r="KV254" s="17"/>
      <c r="KW254" s="17"/>
      <c r="KX254" s="17"/>
      <c r="KY254" s="17"/>
    </row>
    <row r="255" spans="1:311" x14ac:dyDescent="0.25">
      <c r="A255" s="17"/>
      <c r="B255" s="17"/>
      <c r="C255" s="17"/>
      <c r="D255" s="17"/>
      <c r="E255" s="17"/>
      <c r="F255" s="17"/>
      <c r="G255" s="17"/>
      <c r="H255" s="17"/>
      <c r="I255" s="17"/>
      <c r="J255" s="17"/>
      <c r="K255" s="17"/>
      <c r="L255" s="17"/>
      <c r="M255" s="17"/>
      <c r="N255" s="17"/>
      <c r="O255" s="17"/>
      <c r="P255" s="17"/>
      <c r="Q255" s="17"/>
      <c r="R255" s="17"/>
      <c r="S255" s="17"/>
      <c r="T255" s="17"/>
      <c r="U255" s="17"/>
      <c r="V255" s="17"/>
      <c r="W255" s="17"/>
      <c r="X255" s="17"/>
      <c r="Y255" s="17"/>
      <c r="Z255" s="17"/>
      <c r="AA255" s="17"/>
      <c r="AB255" s="17"/>
      <c r="AC255" s="17"/>
      <c r="AD255" s="17"/>
      <c r="AE255" s="17"/>
      <c r="AF255" s="17"/>
      <c r="AG255" s="17"/>
      <c r="AH255" s="17"/>
      <c r="AI255" s="17"/>
      <c r="AJ255" s="17"/>
      <c r="AK255" s="17"/>
      <c r="AL255" s="17"/>
      <c r="AM255" s="17"/>
      <c r="AN255" s="17"/>
      <c r="AO255" s="17"/>
      <c r="AP255" s="17"/>
      <c r="AQ255" s="17"/>
      <c r="AR255" s="17"/>
      <c r="AS255" s="17"/>
      <c r="AT255" s="17"/>
      <c r="AU255" s="17"/>
      <c r="AV255" s="17"/>
      <c r="AW255" s="17"/>
      <c r="AX255" s="17"/>
      <c r="AY255" s="17"/>
      <c r="AZ255" s="17"/>
      <c r="BA255" s="17"/>
      <c r="BB255" s="17"/>
      <c r="BC255" s="17"/>
      <c r="BD255" s="17"/>
      <c r="BE255" s="17"/>
      <c r="BF255" s="17"/>
      <c r="BG255" s="17"/>
      <c r="BH255" s="17"/>
      <c r="BI255" s="17"/>
      <c r="BJ255" s="17"/>
      <c r="BK255" s="17"/>
      <c r="BL255" s="17"/>
      <c r="BM255" s="17"/>
      <c r="BN255" s="17"/>
      <c r="BO255" s="17"/>
      <c r="BP255" s="17"/>
      <c r="BQ255" s="17"/>
      <c r="BR255" s="17"/>
      <c r="BS255" s="17"/>
      <c r="BT255" s="17"/>
      <c r="BU255" s="17"/>
      <c r="BV255" s="17"/>
      <c r="BW255" s="17"/>
      <c r="BX255" s="17"/>
      <c r="BY255" s="17"/>
      <c r="BZ255" s="17"/>
      <c r="CA255" s="17"/>
      <c r="CB255" s="17"/>
      <c r="CC255" s="17"/>
      <c r="CD255" s="17"/>
      <c r="CE255" s="17"/>
      <c r="CF255" s="17"/>
      <c r="CG255" s="17"/>
      <c r="CH255" s="17"/>
      <c r="CI255" s="17"/>
      <c r="CJ255" s="17"/>
      <c r="CK255" s="17"/>
      <c r="CL255" s="17"/>
      <c r="CM255" s="17"/>
      <c r="CN255" s="17"/>
      <c r="CO255" s="17"/>
      <c r="CP255" s="17"/>
      <c r="CQ255" s="17"/>
      <c r="CR255" s="17"/>
      <c r="CS255" s="17"/>
      <c r="CT255" s="17"/>
      <c r="CU255" s="17"/>
      <c r="CV255" s="17"/>
      <c r="CW255" s="17"/>
      <c r="CX255" s="17"/>
      <c r="CY255" s="17"/>
      <c r="CZ255" s="17"/>
      <c r="DA255" s="17"/>
      <c r="DB255" s="17"/>
      <c r="DC255" s="17"/>
      <c r="DD255" s="17"/>
      <c r="DE255" s="17"/>
      <c r="DF255" s="17"/>
      <c r="DG255" s="17"/>
      <c r="DH255" s="17"/>
      <c r="DI255" s="17"/>
      <c r="DJ255" s="17"/>
      <c r="DK255" s="17"/>
      <c r="DL255" s="17"/>
      <c r="DM255" s="17"/>
      <c r="DN255" s="17"/>
      <c r="DO255" s="17"/>
      <c r="DP255" s="17"/>
      <c r="DQ255" s="17"/>
      <c r="DR255" s="17"/>
      <c r="DS255" s="17"/>
      <c r="DT255" s="17"/>
      <c r="DU255" s="17"/>
      <c r="DV255" s="17"/>
      <c r="DW255" s="17"/>
      <c r="DX255" s="17"/>
      <c r="DY255" s="17"/>
      <c r="DZ255" s="17"/>
      <c r="EA255" s="17"/>
      <c r="EB255" s="17"/>
      <c r="EC255" s="17"/>
      <c r="ED255" s="17"/>
      <c r="EE255" s="17"/>
      <c r="EF255" s="17"/>
      <c r="EG255" s="17"/>
      <c r="EH255" s="17"/>
      <c r="EI255" s="17"/>
      <c r="EJ255" s="17"/>
      <c r="EK255" s="17"/>
      <c r="EL255" s="17"/>
      <c r="EM255" s="17"/>
      <c r="EN255" s="17"/>
      <c r="EO255" s="17"/>
      <c r="EP255" s="17"/>
      <c r="EQ255" s="17"/>
      <c r="ER255" s="17"/>
      <c r="ES255" s="17"/>
      <c r="ET255" s="17"/>
      <c r="EU255" s="17"/>
      <c r="EV255" s="17"/>
      <c r="EW255" s="17"/>
      <c r="EX255" s="17"/>
      <c r="EY255" s="17"/>
      <c r="EZ255" s="17"/>
      <c r="FA255" s="17"/>
      <c r="FB255" s="17"/>
      <c r="FC255" s="17"/>
      <c r="FD255" s="17"/>
      <c r="FE255" s="17"/>
      <c r="FF255" s="17"/>
      <c r="FG255" s="17"/>
      <c r="FH255" s="17"/>
      <c r="FI255" s="17"/>
      <c r="FJ255" s="17"/>
      <c r="FK255" s="17"/>
      <c r="FL255" s="17"/>
      <c r="FM255" s="17"/>
      <c r="FN255" s="17"/>
      <c r="FO255" s="17"/>
      <c r="FP255" s="17"/>
      <c r="FQ255" s="17"/>
      <c r="FR255" s="17"/>
      <c r="FS255" s="17"/>
      <c r="FT255" s="17"/>
      <c r="FU255" s="17"/>
      <c r="FV255" s="17"/>
      <c r="FW255" s="17"/>
      <c r="FX255" s="17"/>
      <c r="FY255" s="17"/>
      <c r="FZ255" s="17"/>
      <c r="GA255" s="17"/>
      <c r="GB255" s="17"/>
      <c r="GC255" s="17"/>
      <c r="GD255" s="17"/>
      <c r="GE255" s="17"/>
      <c r="GF255" s="17"/>
      <c r="GG255" s="17"/>
      <c r="GH255" s="17"/>
      <c r="GI255" s="17"/>
      <c r="GJ255" s="17"/>
      <c r="GK255" s="17"/>
      <c r="GL255" s="17"/>
      <c r="GM255" s="17"/>
      <c r="GN255" s="17"/>
      <c r="GO255" s="17"/>
      <c r="GP255" s="17"/>
      <c r="GQ255" s="17"/>
      <c r="GR255" s="17"/>
      <c r="GS255" s="17"/>
      <c r="GT255" s="17"/>
      <c r="GU255" s="17"/>
      <c r="GV255" s="17"/>
      <c r="GW255" s="17"/>
      <c r="GX255" s="17"/>
      <c r="GY255" s="17"/>
      <c r="GZ255" s="17"/>
      <c r="HA255" s="17"/>
      <c r="HB255" s="17"/>
      <c r="HC255" s="17"/>
      <c r="HD255" s="17"/>
      <c r="HE255" s="17"/>
      <c r="HF255" s="17"/>
      <c r="HG255" s="17"/>
      <c r="HH255" s="17"/>
      <c r="HI255" s="17"/>
      <c r="HJ255" s="17"/>
      <c r="HK255" s="17"/>
      <c r="HL255" s="17"/>
      <c r="HM255" s="17"/>
      <c r="HN255" s="17"/>
      <c r="HO255" s="17"/>
      <c r="HP255" s="17"/>
      <c r="HQ255" s="17"/>
      <c r="HR255" s="17"/>
      <c r="HS255" s="17"/>
      <c r="HT255" s="17"/>
      <c r="HU255" s="17"/>
      <c r="HV255" s="17"/>
      <c r="HW255" s="17"/>
      <c r="HX255" s="17"/>
      <c r="HY255" s="17"/>
      <c r="HZ255" s="17"/>
      <c r="IA255" s="17"/>
      <c r="IB255" s="17"/>
      <c r="IC255" s="17"/>
      <c r="ID255" s="17"/>
      <c r="IE255" s="17"/>
      <c r="IF255" s="17"/>
      <c r="IG255" s="17"/>
      <c r="IH255" s="17"/>
      <c r="II255" s="17"/>
      <c r="IJ255" s="17"/>
      <c r="IK255" s="17"/>
      <c r="IL255" s="17"/>
      <c r="IM255" s="17"/>
      <c r="IN255" s="17"/>
      <c r="IO255" s="17"/>
      <c r="IP255" s="17"/>
      <c r="IQ255" s="17"/>
      <c r="IR255" s="17"/>
      <c r="IS255" s="17"/>
      <c r="IT255" s="17"/>
      <c r="IU255" s="17"/>
      <c r="IV255" s="17"/>
      <c r="IW255" s="17"/>
      <c r="IX255" s="17"/>
      <c r="IY255" s="17"/>
      <c r="IZ255" s="17"/>
      <c r="JA255" s="17"/>
      <c r="JB255" s="17"/>
      <c r="JC255" s="17"/>
      <c r="JD255" s="17"/>
      <c r="JE255" s="17"/>
      <c r="JF255" s="17"/>
      <c r="JG255" s="17"/>
      <c r="JH255" s="17"/>
      <c r="JI255" s="17"/>
      <c r="JJ255" s="17"/>
      <c r="JK255" s="17"/>
      <c r="JL255" s="17"/>
      <c r="JM255" s="17"/>
      <c r="JN255" s="17"/>
      <c r="JO255" s="17"/>
      <c r="JP255" s="17"/>
      <c r="JQ255" s="17"/>
      <c r="JR255" s="17"/>
      <c r="JS255" s="17"/>
      <c r="JT255" s="17"/>
      <c r="JU255" s="17"/>
      <c r="JV255" s="17"/>
      <c r="JW255" s="17"/>
      <c r="JX255" s="17"/>
      <c r="JY255" s="17"/>
      <c r="JZ255" s="17"/>
      <c r="KA255" s="17"/>
      <c r="KB255" s="17"/>
      <c r="KC255" s="17"/>
      <c r="KD255" s="17"/>
      <c r="KE255" s="17"/>
      <c r="KF255" s="17"/>
      <c r="KG255" s="17"/>
      <c r="KH255" s="17"/>
      <c r="KI255" s="17"/>
      <c r="KJ255" s="17"/>
      <c r="KK255" s="17"/>
      <c r="KL255" s="17"/>
      <c r="KM255" s="17"/>
      <c r="KN255" s="17"/>
      <c r="KO255" s="17"/>
      <c r="KP255" s="17"/>
      <c r="KQ255" s="17"/>
      <c r="KR255" s="17"/>
      <c r="KS255" s="17"/>
      <c r="KT255" s="17"/>
      <c r="KU255" s="17"/>
      <c r="KV255" s="17"/>
      <c r="KW255" s="17"/>
      <c r="KX255" s="17"/>
      <c r="KY255" s="17"/>
    </row>
    <row r="256" spans="1:311" x14ac:dyDescent="0.25">
      <c r="A256" s="17"/>
      <c r="B256" s="17"/>
      <c r="C256" s="17"/>
      <c r="D256" s="17"/>
      <c r="E256" s="17"/>
      <c r="F256" s="17"/>
      <c r="G256" s="17"/>
      <c r="H256" s="17"/>
      <c r="I256" s="17"/>
      <c r="J256" s="17"/>
      <c r="K256" s="17"/>
      <c r="L256" s="17"/>
      <c r="M256" s="17"/>
      <c r="N256" s="17"/>
      <c r="O256" s="17"/>
      <c r="P256" s="17"/>
      <c r="Q256" s="17"/>
      <c r="R256" s="17"/>
      <c r="S256" s="17"/>
      <c r="T256" s="17"/>
      <c r="U256" s="17"/>
      <c r="V256" s="17"/>
      <c r="W256" s="17"/>
      <c r="X256" s="17"/>
      <c r="Y256" s="17"/>
      <c r="Z256" s="17"/>
      <c r="AA256" s="17"/>
      <c r="AB256" s="17"/>
      <c r="AC256" s="17"/>
      <c r="AD256" s="17"/>
      <c r="AE256" s="17"/>
      <c r="AF256" s="17"/>
      <c r="AG256" s="17"/>
      <c r="AH256" s="17"/>
      <c r="AI256" s="17"/>
      <c r="AJ256" s="17"/>
      <c r="AK256" s="17"/>
      <c r="AL256" s="17"/>
      <c r="AM256" s="17"/>
      <c r="AN256" s="17"/>
      <c r="AO256" s="17"/>
      <c r="AP256" s="17"/>
      <c r="AQ256" s="17"/>
      <c r="AR256" s="17"/>
      <c r="AS256" s="17"/>
      <c r="AT256" s="17"/>
      <c r="AU256" s="17"/>
      <c r="AV256" s="17"/>
      <c r="AW256" s="17"/>
      <c r="AX256" s="17"/>
      <c r="AY256" s="17"/>
      <c r="AZ256" s="17"/>
      <c r="BA256" s="17"/>
      <c r="BB256" s="17"/>
      <c r="BC256" s="17"/>
      <c r="BD256" s="17"/>
      <c r="BE256" s="17"/>
      <c r="BF256" s="17"/>
      <c r="BG256" s="17"/>
      <c r="BH256" s="17"/>
      <c r="BI256" s="17"/>
      <c r="BJ256" s="17"/>
      <c r="BK256" s="17"/>
      <c r="BL256" s="17"/>
      <c r="BM256" s="17"/>
      <c r="BN256" s="17"/>
      <c r="BO256" s="17"/>
      <c r="BP256" s="17"/>
      <c r="BQ256" s="17"/>
      <c r="BR256" s="17"/>
      <c r="BS256" s="17"/>
      <c r="BT256" s="17"/>
      <c r="BU256" s="17"/>
      <c r="BV256" s="17"/>
      <c r="BW256" s="17"/>
      <c r="BX256" s="17"/>
      <c r="BY256" s="17"/>
      <c r="BZ256" s="17"/>
      <c r="CA256" s="17"/>
      <c r="CB256" s="17"/>
      <c r="CC256" s="17"/>
      <c r="CD256" s="17"/>
      <c r="CE256" s="17"/>
      <c r="CF256" s="17"/>
      <c r="CG256" s="17"/>
      <c r="CH256" s="17"/>
      <c r="CI256" s="17"/>
      <c r="CJ256" s="17"/>
      <c r="CK256" s="17"/>
      <c r="CL256" s="17"/>
      <c r="CM256" s="17"/>
      <c r="CN256" s="17"/>
      <c r="CO256" s="17"/>
      <c r="CP256" s="17"/>
      <c r="CQ256" s="17"/>
      <c r="CR256" s="17"/>
      <c r="CS256" s="17"/>
      <c r="CT256" s="17"/>
      <c r="CU256" s="17"/>
      <c r="CV256" s="17"/>
      <c r="CW256" s="17"/>
      <c r="CX256" s="17"/>
      <c r="CY256" s="17"/>
      <c r="CZ256" s="17"/>
      <c r="DA256" s="17"/>
      <c r="DB256" s="17"/>
      <c r="DC256" s="17"/>
      <c r="DD256" s="17"/>
      <c r="DE256" s="17"/>
      <c r="DF256" s="17"/>
      <c r="DG256" s="17"/>
      <c r="DH256" s="17"/>
      <c r="DI256" s="17"/>
      <c r="DJ256" s="17"/>
      <c r="DK256" s="17"/>
      <c r="DL256" s="17"/>
      <c r="DM256" s="17"/>
      <c r="DN256" s="17"/>
      <c r="DO256" s="17"/>
      <c r="DP256" s="17"/>
      <c r="DQ256" s="17"/>
      <c r="DR256" s="17"/>
      <c r="DS256" s="17"/>
      <c r="DT256" s="17"/>
      <c r="DU256" s="17"/>
      <c r="DV256" s="17"/>
      <c r="DW256" s="17"/>
      <c r="DX256" s="17"/>
      <c r="DY256" s="17"/>
      <c r="DZ256" s="17"/>
      <c r="EA256" s="17"/>
      <c r="EB256" s="17"/>
      <c r="EC256" s="17"/>
      <c r="ED256" s="17"/>
      <c r="EE256" s="17"/>
      <c r="EF256" s="17"/>
      <c r="EG256" s="17"/>
      <c r="EH256" s="17"/>
      <c r="EI256" s="17"/>
      <c r="EJ256" s="17"/>
      <c r="EK256" s="17"/>
      <c r="EL256" s="17"/>
      <c r="EM256" s="17"/>
      <c r="EN256" s="17"/>
      <c r="EO256" s="17"/>
      <c r="EP256" s="17"/>
      <c r="EQ256" s="17"/>
      <c r="ER256" s="17"/>
      <c r="ES256" s="17"/>
      <c r="ET256" s="17"/>
      <c r="EU256" s="17"/>
      <c r="EV256" s="17"/>
      <c r="EW256" s="17"/>
      <c r="EX256" s="17"/>
      <c r="EY256" s="17"/>
      <c r="EZ256" s="17"/>
      <c r="FA256" s="17"/>
      <c r="FB256" s="17"/>
      <c r="FC256" s="17"/>
      <c r="FD256" s="17"/>
      <c r="FE256" s="17"/>
      <c r="FF256" s="17"/>
      <c r="FG256" s="17"/>
      <c r="FH256" s="17"/>
      <c r="FI256" s="17"/>
      <c r="FJ256" s="17"/>
      <c r="FK256" s="17"/>
      <c r="FL256" s="17"/>
      <c r="FM256" s="17"/>
      <c r="FN256" s="17"/>
      <c r="FO256" s="17"/>
      <c r="FP256" s="17"/>
      <c r="FQ256" s="17"/>
      <c r="FR256" s="17"/>
      <c r="FS256" s="17"/>
      <c r="FT256" s="17"/>
      <c r="FU256" s="17"/>
      <c r="FV256" s="17"/>
      <c r="FW256" s="17"/>
      <c r="FX256" s="17"/>
      <c r="FY256" s="17"/>
      <c r="FZ256" s="17"/>
      <c r="GA256" s="17"/>
      <c r="GB256" s="17"/>
      <c r="GC256" s="17"/>
      <c r="GD256" s="17"/>
      <c r="GE256" s="17"/>
      <c r="GF256" s="17"/>
      <c r="GG256" s="17"/>
      <c r="GH256" s="17"/>
      <c r="GI256" s="17"/>
      <c r="GJ256" s="17"/>
      <c r="GK256" s="17"/>
      <c r="GL256" s="17"/>
      <c r="GM256" s="17"/>
      <c r="GN256" s="17"/>
      <c r="GO256" s="17"/>
      <c r="GP256" s="17"/>
      <c r="GQ256" s="17"/>
      <c r="GR256" s="17"/>
      <c r="GS256" s="17"/>
      <c r="GT256" s="17"/>
      <c r="GU256" s="17"/>
      <c r="GV256" s="17"/>
      <c r="GW256" s="17"/>
      <c r="GX256" s="17"/>
      <c r="GY256" s="17"/>
      <c r="GZ256" s="17"/>
      <c r="HA256" s="17"/>
      <c r="HB256" s="17"/>
      <c r="HC256" s="17"/>
      <c r="HD256" s="17"/>
      <c r="HE256" s="17"/>
      <c r="HF256" s="17"/>
      <c r="HG256" s="17"/>
      <c r="HH256" s="17"/>
      <c r="HI256" s="17"/>
      <c r="HJ256" s="17"/>
      <c r="HK256" s="17"/>
      <c r="HL256" s="17"/>
      <c r="HM256" s="17"/>
      <c r="HN256" s="17"/>
      <c r="HO256" s="17"/>
      <c r="HP256" s="17"/>
      <c r="HQ256" s="17"/>
      <c r="HR256" s="17"/>
      <c r="HS256" s="17"/>
      <c r="HT256" s="17"/>
      <c r="HU256" s="17"/>
      <c r="HV256" s="17"/>
      <c r="HW256" s="17"/>
      <c r="HX256" s="17"/>
      <c r="HY256" s="17"/>
      <c r="HZ256" s="17"/>
      <c r="IA256" s="17"/>
      <c r="IB256" s="17"/>
      <c r="IC256" s="17"/>
      <c r="ID256" s="17"/>
      <c r="IE256" s="17"/>
      <c r="IF256" s="17"/>
      <c r="IG256" s="17"/>
      <c r="IH256" s="17"/>
      <c r="II256" s="17"/>
      <c r="IJ256" s="17"/>
      <c r="IK256" s="17"/>
      <c r="IL256" s="17"/>
      <c r="IM256" s="17"/>
      <c r="IN256" s="17"/>
      <c r="IO256" s="17"/>
      <c r="IP256" s="17"/>
      <c r="IQ256" s="17"/>
      <c r="IR256" s="17"/>
      <c r="IS256" s="17"/>
      <c r="IT256" s="17"/>
      <c r="IU256" s="17"/>
      <c r="IV256" s="17"/>
      <c r="IW256" s="17"/>
      <c r="IX256" s="17"/>
      <c r="IY256" s="17"/>
      <c r="IZ256" s="17"/>
      <c r="JA256" s="17"/>
      <c r="JB256" s="17"/>
      <c r="JC256" s="17"/>
      <c r="JD256" s="17"/>
      <c r="JE256" s="17"/>
      <c r="JF256" s="17"/>
      <c r="JG256" s="17"/>
      <c r="JH256" s="17"/>
      <c r="JI256" s="17"/>
      <c r="JJ256" s="17"/>
      <c r="JK256" s="17"/>
      <c r="JL256" s="17"/>
      <c r="JM256" s="17"/>
      <c r="JN256" s="17"/>
      <c r="JO256" s="17"/>
      <c r="JP256" s="17"/>
      <c r="JQ256" s="17"/>
      <c r="JR256" s="17"/>
      <c r="JS256" s="17"/>
      <c r="JT256" s="17"/>
      <c r="JU256" s="17"/>
      <c r="JV256" s="17"/>
      <c r="JW256" s="17"/>
      <c r="JX256" s="17"/>
      <c r="JY256" s="17"/>
      <c r="JZ256" s="17"/>
      <c r="KA256" s="17"/>
      <c r="KB256" s="17"/>
      <c r="KC256" s="17"/>
      <c r="KD256" s="17"/>
      <c r="KE256" s="17"/>
      <c r="KF256" s="17"/>
      <c r="KG256" s="17"/>
      <c r="KH256" s="17"/>
      <c r="KI256" s="17"/>
      <c r="KJ256" s="17"/>
      <c r="KK256" s="17"/>
      <c r="KL256" s="17"/>
      <c r="KM256" s="17"/>
      <c r="KN256" s="17"/>
      <c r="KO256" s="17"/>
      <c r="KP256" s="17"/>
      <c r="KQ256" s="17"/>
      <c r="KR256" s="17"/>
      <c r="KS256" s="17"/>
      <c r="KT256" s="17"/>
      <c r="KU256" s="17"/>
      <c r="KV256" s="17"/>
      <c r="KW256" s="17"/>
      <c r="KX256" s="17"/>
      <c r="KY256" s="17"/>
    </row>
    <row r="257" spans="1:311" x14ac:dyDescent="0.25">
      <c r="A257" s="17"/>
      <c r="B257" s="17"/>
      <c r="C257" s="17"/>
      <c r="D257" s="17"/>
      <c r="E257" s="17"/>
      <c r="F257" s="17"/>
      <c r="G257" s="17"/>
      <c r="H257" s="17"/>
      <c r="I257" s="17"/>
      <c r="J257" s="17"/>
      <c r="K257" s="17"/>
      <c r="L257" s="17"/>
      <c r="M257" s="17"/>
      <c r="N257" s="17"/>
      <c r="O257" s="17"/>
      <c r="P257" s="17"/>
      <c r="Q257" s="17"/>
      <c r="R257" s="17"/>
      <c r="S257" s="17"/>
      <c r="T257" s="17"/>
      <c r="U257" s="17"/>
      <c r="V257" s="17"/>
      <c r="W257" s="17"/>
      <c r="X257" s="17"/>
      <c r="Y257" s="17"/>
      <c r="Z257" s="17"/>
      <c r="AA257" s="17"/>
      <c r="AB257" s="17"/>
      <c r="AC257" s="17"/>
      <c r="AD257" s="17"/>
      <c r="AE257" s="17"/>
      <c r="AF257" s="17"/>
      <c r="AG257" s="17"/>
      <c r="AH257" s="17"/>
      <c r="AI257" s="17"/>
      <c r="AJ257" s="17"/>
      <c r="AK257" s="17"/>
      <c r="AL257" s="17"/>
      <c r="AM257" s="17"/>
      <c r="AN257" s="17"/>
      <c r="AO257" s="17"/>
      <c r="AP257" s="17"/>
      <c r="AQ257" s="17"/>
      <c r="AR257" s="17"/>
      <c r="AS257" s="17"/>
      <c r="AT257" s="17"/>
      <c r="AU257" s="17"/>
      <c r="AV257" s="17"/>
      <c r="AW257" s="17"/>
      <c r="AX257" s="17"/>
      <c r="AY257" s="17"/>
      <c r="AZ257" s="17"/>
      <c r="BA257" s="17"/>
      <c r="BB257" s="17"/>
      <c r="BC257" s="17"/>
      <c r="BD257" s="17"/>
      <c r="BE257" s="17"/>
      <c r="BF257" s="17"/>
      <c r="BG257" s="17"/>
      <c r="BH257" s="17"/>
      <c r="BI257" s="17"/>
      <c r="BJ257" s="17"/>
      <c r="BK257" s="17"/>
      <c r="BL257" s="17"/>
      <c r="BM257" s="17"/>
      <c r="BN257" s="17"/>
      <c r="BO257" s="17"/>
      <c r="BP257" s="17"/>
      <c r="BQ257" s="17"/>
      <c r="BR257" s="17"/>
      <c r="BS257" s="17"/>
      <c r="BT257" s="17"/>
      <c r="BU257" s="17"/>
      <c r="BV257" s="17"/>
      <c r="BW257" s="17"/>
      <c r="BX257" s="17"/>
      <c r="BY257" s="17"/>
      <c r="BZ257" s="17"/>
      <c r="CA257" s="17"/>
      <c r="CB257" s="17"/>
      <c r="CC257" s="17"/>
      <c r="CD257" s="17"/>
      <c r="CE257" s="17"/>
      <c r="CF257" s="17"/>
      <c r="CG257" s="17"/>
      <c r="CH257" s="17"/>
      <c r="CI257" s="17"/>
      <c r="CJ257" s="17"/>
      <c r="CK257" s="17"/>
      <c r="CL257" s="17"/>
      <c r="CM257" s="17"/>
      <c r="CN257" s="17"/>
      <c r="CO257" s="17"/>
      <c r="CP257" s="17"/>
      <c r="CQ257" s="17"/>
      <c r="CR257" s="17"/>
      <c r="CS257" s="17"/>
      <c r="CT257" s="17"/>
      <c r="CU257" s="17"/>
      <c r="CV257" s="17"/>
      <c r="CW257" s="17"/>
      <c r="CX257" s="17"/>
      <c r="CY257" s="17"/>
      <c r="CZ257" s="17"/>
      <c r="DA257" s="17"/>
      <c r="DB257" s="17"/>
      <c r="DC257" s="17"/>
      <c r="DD257" s="17"/>
      <c r="DE257" s="17"/>
      <c r="DF257" s="17"/>
      <c r="DG257" s="17"/>
      <c r="DH257" s="17"/>
      <c r="DI257" s="17"/>
      <c r="DJ257" s="17"/>
      <c r="DK257" s="17"/>
      <c r="DL257" s="17"/>
      <c r="DM257" s="17"/>
      <c r="DN257" s="17"/>
      <c r="DO257" s="17"/>
      <c r="DP257" s="17"/>
      <c r="DQ257" s="17"/>
      <c r="DR257" s="17"/>
      <c r="DS257" s="17"/>
      <c r="DT257" s="17"/>
      <c r="DU257" s="17"/>
      <c r="DV257" s="17"/>
      <c r="DW257" s="17"/>
      <c r="DX257" s="17"/>
      <c r="DY257" s="17"/>
      <c r="DZ257" s="17"/>
      <c r="EA257" s="17"/>
      <c r="EB257" s="17"/>
      <c r="EC257" s="17"/>
      <c r="ED257" s="17"/>
      <c r="EE257" s="17"/>
      <c r="EF257" s="17"/>
      <c r="EG257" s="17"/>
      <c r="EH257" s="17"/>
      <c r="EI257" s="17"/>
      <c r="EJ257" s="17"/>
      <c r="EK257" s="17"/>
      <c r="EL257" s="17"/>
      <c r="EM257" s="17"/>
      <c r="EN257" s="17"/>
      <c r="EO257" s="17"/>
      <c r="EP257" s="17"/>
      <c r="EQ257" s="17"/>
      <c r="ER257" s="17"/>
      <c r="ES257" s="17"/>
      <c r="ET257" s="17"/>
      <c r="EU257" s="17"/>
      <c r="EV257" s="17"/>
      <c r="EW257" s="17"/>
      <c r="EX257" s="17"/>
      <c r="EY257" s="17"/>
      <c r="EZ257" s="17"/>
      <c r="FA257" s="17"/>
      <c r="FB257" s="17"/>
      <c r="FC257" s="17"/>
      <c r="FD257" s="17"/>
      <c r="FE257" s="17"/>
      <c r="FF257" s="17"/>
      <c r="FG257" s="17"/>
      <c r="FH257" s="17"/>
      <c r="FI257" s="17"/>
      <c r="FJ257" s="17"/>
      <c r="FK257" s="17"/>
      <c r="FL257" s="17"/>
      <c r="FM257" s="17"/>
      <c r="FN257" s="17"/>
      <c r="FO257" s="17"/>
      <c r="FP257" s="17"/>
      <c r="FQ257" s="17"/>
      <c r="FR257" s="17"/>
      <c r="FS257" s="17"/>
      <c r="FT257" s="17"/>
      <c r="FU257" s="17"/>
      <c r="FV257" s="17"/>
      <c r="FW257" s="17"/>
      <c r="FX257" s="17"/>
      <c r="FY257" s="17"/>
      <c r="FZ257" s="17"/>
      <c r="GA257" s="17"/>
      <c r="GB257" s="17"/>
      <c r="GC257" s="17"/>
      <c r="GD257" s="17"/>
      <c r="GE257" s="17"/>
      <c r="GF257" s="17"/>
      <c r="GG257" s="17"/>
      <c r="GH257" s="17"/>
      <c r="GI257" s="17"/>
      <c r="GJ257" s="17"/>
      <c r="GK257" s="17"/>
      <c r="GL257" s="17"/>
      <c r="GM257" s="17"/>
      <c r="GN257" s="17"/>
      <c r="GO257" s="17"/>
      <c r="GP257" s="17"/>
      <c r="GQ257" s="17"/>
      <c r="GR257" s="17"/>
      <c r="GS257" s="17"/>
      <c r="GT257" s="17"/>
      <c r="GU257" s="17"/>
      <c r="GV257" s="17"/>
      <c r="GW257" s="17"/>
      <c r="GX257" s="17"/>
      <c r="GY257" s="17"/>
      <c r="GZ257" s="17"/>
      <c r="HA257" s="17"/>
      <c r="HB257" s="17"/>
      <c r="HC257" s="17"/>
      <c r="HD257" s="17"/>
      <c r="HE257" s="17"/>
      <c r="HF257" s="17"/>
      <c r="HG257" s="17"/>
      <c r="HH257" s="17"/>
      <c r="HI257" s="17"/>
      <c r="HJ257" s="17"/>
      <c r="HK257" s="17"/>
      <c r="HL257" s="17"/>
      <c r="HM257" s="17"/>
      <c r="HN257" s="17"/>
      <c r="HO257" s="17"/>
      <c r="HP257" s="17"/>
      <c r="HQ257" s="17"/>
      <c r="HR257" s="17"/>
      <c r="HS257" s="17"/>
      <c r="HT257" s="17"/>
      <c r="HU257" s="17"/>
      <c r="HV257" s="17"/>
      <c r="HW257" s="17"/>
      <c r="HX257" s="17"/>
      <c r="HY257" s="17"/>
      <c r="HZ257" s="17"/>
      <c r="IA257" s="17"/>
      <c r="IB257" s="17"/>
      <c r="IC257" s="17"/>
      <c r="ID257" s="17"/>
      <c r="IE257" s="17"/>
      <c r="IF257" s="17"/>
      <c r="IG257" s="17"/>
      <c r="IH257" s="17"/>
      <c r="II257" s="17"/>
      <c r="IJ257" s="17"/>
      <c r="IK257" s="17"/>
      <c r="IL257" s="17"/>
      <c r="IM257" s="17"/>
      <c r="IN257" s="17"/>
      <c r="IO257" s="17"/>
      <c r="IP257" s="17"/>
      <c r="IQ257" s="17"/>
      <c r="IR257" s="17"/>
      <c r="IS257" s="17"/>
      <c r="IT257" s="17"/>
      <c r="IU257" s="17"/>
      <c r="IV257" s="17"/>
      <c r="IW257" s="17"/>
      <c r="IX257" s="17"/>
      <c r="IY257" s="17"/>
      <c r="IZ257" s="17"/>
      <c r="JA257" s="17"/>
      <c r="JB257" s="17"/>
      <c r="JC257" s="17"/>
      <c r="JD257" s="17"/>
      <c r="JE257" s="17"/>
      <c r="JF257" s="17"/>
      <c r="JG257" s="17"/>
      <c r="JH257" s="17"/>
      <c r="JI257" s="17"/>
      <c r="JJ257" s="17"/>
      <c r="JK257" s="17"/>
      <c r="JL257" s="17"/>
      <c r="JM257" s="17"/>
      <c r="JN257" s="17"/>
      <c r="JO257" s="17"/>
      <c r="JP257" s="17"/>
      <c r="JQ257" s="17"/>
      <c r="JR257" s="17"/>
      <c r="JS257" s="17"/>
      <c r="JT257" s="17"/>
      <c r="JU257" s="17"/>
      <c r="JV257" s="17"/>
      <c r="JW257" s="17"/>
      <c r="JX257" s="17"/>
      <c r="JY257" s="17"/>
      <c r="JZ257" s="17"/>
      <c r="KA257" s="17"/>
      <c r="KB257" s="17"/>
      <c r="KC257" s="17"/>
      <c r="KD257" s="17"/>
      <c r="KE257" s="17"/>
      <c r="KF257" s="17"/>
      <c r="KG257" s="17"/>
      <c r="KH257" s="17"/>
      <c r="KI257" s="17"/>
      <c r="KJ257" s="17"/>
      <c r="KK257" s="17"/>
      <c r="KL257" s="17"/>
      <c r="KM257" s="17"/>
      <c r="KN257" s="17"/>
      <c r="KO257" s="17"/>
      <c r="KP257" s="17"/>
      <c r="KQ257" s="17"/>
      <c r="KR257" s="17"/>
      <c r="KS257" s="17"/>
      <c r="KT257" s="17"/>
      <c r="KU257" s="17"/>
      <c r="KV257" s="17"/>
      <c r="KW257" s="17"/>
      <c r="KX257" s="17"/>
      <c r="KY257" s="17"/>
    </row>
    <row r="258" spans="1:311" x14ac:dyDescent="0.25">
      <c r="A258" s="17"/>
      <c r="B258" s="17"/>
      <c r="C258" s="17"/>
      <c r="D258" s="17"/>
      <c r="E258" s="17"/>
      <c r="F258" s="17"/>
      <c r="G258" s="17"/>
      <c r="H258" s="17"/>
      <c r="I258" s="17"/>
      <c r="J258" s="17"/>
      <c r="K258" s="17"/>
      <c r="L258" s="17"/>
      <c r="M258" s="17"/>
      <c r="N258" s="17"/>
      <c r="O258" s="17"/>
      <c r="P258" s="17"/>
      <c r="Q258" s="17"/>
      <c r="R258" s="17"/>
      <c r="S258" s="17"/>
      <c r="T258" s="17"/>
      <c r="U258" s="17"/>
      <c r="V258" s="17"/>
      <c r="W258" s="17"/>
      <c r="X258" s="17"/>
      <c r="Y258" s="17"/>
      <c r="Z258" s="17"/>
      <c r="AA258" s="17"/>
      <c r="AB258" s="17"/>
      <c r="AC258" s="17"/>
      <c r="AD258" s="17"/>
      <c r="AE258" s="17"/>
      <c r="AF258" s="17"/>
      <c r="AG258" s="17"/>
      <c r="AH258" s="17"/>
      <c r="AI258" s="17"/>
      <c r="AJ258" s="17"/>
      <c r="AK258" s="17"/>
      <c r="AL258" s="17"/>
      <c r="AM258" s="17"/>
      <c r="AN258" s="17"/>
      <c r="AO258" s="17"/>
      <c r="AP258" s="17"/>
      <c r="AQ258" s="17"/>
      <c r="AR258" s="17"/>
      <c r="AS258" s="17"/>
      <c r="AT258" s="17"/>
      <c r="AU258" s="17"/>
      <c r="AV258" s="17"/>
      <c r="AW258" s="17"/>
      <c r="AX258" s="17"/>
      <c r="AY258" s="17"/>
      <c r="AZ258" s="17"/>
      <c r="BA258" s="17"/>
      <c r="BB258" s="17"/>
      <c r="BC258" s="17"/>
      <c r="BD258" s="17"/>
      <c r="BE258" s="17"/>
      <c r="BF258" s="17"/>
      <c r="BG258" s="17"/>
      <c r="BH258" s="17"/>
      <c r="BI258" s="17"/>
      <c r="BJ258" s="17"/>
      <c r="BK258" s="17"/>
      <c r="BL258" s="17"/>
      <c r="BM258" s="17"/>
      <c r="BN258" s="17"/>
      <c r="BO258" s="17"/>
      <c r="BP258" s="17"/>
      <c r="BQ258" s="17"/>
      <c r="BR258" s="17"/>
      <c r="BS258" s="17"/>
      <c r="BT258" s="17"/>
      <c r="BU258" s="17"/>
      <c r="BV258" s="17"/>
      <c r="BW258" s="17"/>
      <c r="BX258" s="17"/>
      <c r="BY258" s="17"/>
      <c r="BZ258" s="17"/>
      <c r="CA258" s="17"/>
      <c r="CB258" s="17"/>
      <c r="CC258" s="17"/>
      <c r="CD258" s="17"/>
      <c r="CE258" s="17"/>
      <c r="CF258" s="17"/>
      <c r="CG258" s="17"/>
      <c r="CH258" s="17"/>
      <c r="CI258" s="17"/>
      <c r="CJ258" s="17"/>
      <c r="CK258" s="17"/>
      <c r="CL258" s="17"/>
      <c r="CM258" s="17"/>
      <c r="CN258" s="17"/>
      <c r="CO258" s="17"/>
      <c r="CP258" s="17"/>
      <c r="CQ258" s="17"/>
      <c r="CR258" s="17"/>
      <c r="CS258" s="17"/>
      <c r="CT258" s="17"/>
      <c r="CU258" s="17"/>
      <c r="CV258" s="17"/>
      <c r="CW258" s="17"/>
      <c r="CX258" s="17"/>
      <c r="CY258" s="17"/>
      <c r="CZ258" s="17"/>
      <c r="DA258" s="17"/>
      <c r="DB258" s="17"/>
      <c r="DC258" s="17"/>
      <c r="DD258" s="17"/>
      <c r="DE258" s="17"/>
      <c r="DF258" s="17"/>
      <c r="DG258" s="17"/>
      <c r="DH258" s="17"/>
      <c r="DI258" s="17"/>
      <c r="DJ258" s="17"/>
      <c r="DK258" s="17"/>
      <c r="DL258" s="17"/>
      <c r="DM258" s="17"/>
      <c r="DN258" s="17"/>
      <c r="DO258" s="17"/>
      <c r="DP258" s="17"/>
      <c r="DQ258" s="17"/>
      <c r="DR258" s="17"/>
      <c r="DS258" s="17"/>
      <c r="DT258" s="17"/>
      <c r="DU258" s="17"/>
      <c r="DV258" s="17"/>
      <c r="DW258" s="17"/>
      <c r="DX258" s="17"/>
      <c r="DY258" s="17"/>
      <c r="DZ258" s="17"/>
      <c r="EA258" s="17"/>
      <c r="EB258" s="17"/>
      <c r="EC258" s="17"/>
      <c r="ED258" s="17"/>
      <c r="EE258" s="17"/>
      <c r="EF258" s="17"/>
      <c r="EG258" s="17"/>
      <c r="EH258" s="17"/>
      <c r="EI258" s="17"/>
      <c r="EJ258" s="17"/>
      <c r="EK258" s="17"/>
      <c r="EL258" s="17"/>
      <c r="EM258" s="17"/>
      <c r="EN258" s="17"/>
      <c r="EO258" s="17"/>
      <c r="EP258" s="17"/>
      <c r="EQ258" s="17"/>
      <c r="ER258" s="17"/>
      <c r="ES258" s="17"/>
      <c r="ET258" s="17"/>
      <c r="EU258" s="17"/>
      <c r="EV258" s="17"/>
      <c r="EW258" s="17"/>
      <c r="EX258" s="17"/>
      <c r="EY258" s="17"/>
      <c r="EZ258" s="17"/>
      <c r="FA258" s="17"/>
      <c r="FB258" s="17"/>
      <c r="FC258" s="17"/>
      <c r="FD258" s="17"/>
      <c r="FE258" s="17"/>
      <c r="FF258" s="17"/>
      <c r="FG258" s="17"/>
      <c r="FH258" s="17"/>
      <c r="FI258" s="17"/>
      <c r="FJ258" s="17"/>
      <c r="FK258" s="17"/>
      <c r="FL258" s="17"/>
      <c r="FM258" s="17"/>
      <c r="FN258" s="17"/>
      <c r="FO258" s="17"/>
      <c r="FP258" s="17"/>
      <c r="FQ258" s="17"/>
      <c r="FR258" s="17"/>
      <c r="FS258" s="17"/>
      <c r="FT258" s="17"/>
      <c r="FU258" s="17"/>
      <c r="FV258" s="17"/>
      <c r="FW258" s="17"/>
      <c r="FX258" s="17"/>
      <c r="FY258" s="17"/>
      <c r="FZ258" s="17"/>
      <c r="GA258" s="17"/>
      <c r="GB258" s="17"/>
      <c r="GC258" s="17"/>
      <c r="GD258" s="17"/>
      <c r="GE258" s="17"/>
      <c r="GF258" s="17"/>
      <c r="GG258" s="17"/>
      <c r="GH258" s="17"/>
      <c r="GI258" s="17"/>
      <c r="GJ258" s="17"/>
      <c r="GK258" s="17"/>
      <c r="GL258" s="17"/>
      <c r="GM258" s="17"/>
      <c r="GN258" s="17"/>
      <c r="GO258" s="17"/>
      <c r="GP258" s="17"/>
      <c r="GQ258" s="17"/>
      <c r="GR258" s="17"/>
      <c r="GS258" s="17"/>
      <c r="GT258" s="17"/>
      <c r="GU258" s="17"/>
      <c r="GV258" s="17"/>
      <c r="GW258" s="17"/>
      <c r="GX258" s="17"/>
      <c r="GY258" s="17"/>
      <c r="GZ258" s="17"/>
      <c r="HA258" s="17"/>
      <c r="HB258" s="17"/>
      <c r="HC258" s="17"/>
      <c r="HD258" s="17"/>
      <c r="HE258" s="17"/>
      <c r="HF258" s="17"/>
      <c r="HG258" s="17"/>
      <c r="HH258" s="17"/>
      <c r="HI258" s="17"/>
      <c r="HJ258" s="17"/>
      <c r="HK258" s="17"/>
      <c r="HL258" s="17"/>
      <c r="HM258" s="17"/>
      <c r="HN258" s="17"/>
      <c r="HO258" s="17"/>
      <c r="HP258" s="17"/>
      <c r="HQ258" s="17"/>
      <c r="HR258" s="17"/>
      <c r="HS258" s="17"/>
      <c r="HT258" s="17"/>
      <c r="HU258" s="17"/>
      <c r="HV258" s="17"/>
      <c r="HW258" s="17"/>
      <c r="HX258" s="17"/>
      <c r="HY258" s="17"/>
      <c r="HZ258" s="17"/>
      <c r="IA258" s="17"/>
      <c r="IB258" s="17"/>
      <c r="IC258" s="17"/>
      <c r="ID258" s="17"/>
      <c r="IE258" s="17"/>
      <c r="IF258" s="17"/>
      <c r="IG258" s="17"/>
      <c r="IH258" s="17"/>
      <c r="II258" s="17"/>
      <c r="IJ258" s="17"/>
      <c r="IK258" s="17"/>
      <c r="IL258" s="17"/>
      <c r="IM258" s="17"/>
      <c r="IN258" s="17"/>
      <c r="IO258" s="17"/>
      <c r="IP258" s="17"/>
      <c r="IQ258" s="17"/>
      <c r="IR258" s="17"/>
      <c r="IS258" s="17"/>
      <c r="IT258" s="17"/>
      <c r="IU258" s="17"/>
      <c r="IV258" s="17"/>
      <c r="IW258" s="17"/>
      <c r="IX258" s="17"/>
      <c r="IY258" s="17"/>
      <c r="IZ258" s="17"/>
      <c r="JA258" s="17"/>
      <c r="JB258" s="17"/>
      <c r="JC258" s="17"/>
      <c r="JD258" s="17"/>
      <c r="JE258" s="17"/>
      <c r="JF258" s="17"/>
      <c r="JG258" s="17"/>
      <c r="JH258" s="17"/>
      <c r="JI258" s="17"/>
      <c r="JJ258" s="17"/>
      <c r="JK258" s="17"/>
      <c r="JL258" s="17"/>
      <c r="JM258" s="17"/>
      <c r="JN258" s="17"/>
      <c r="JO258" s="17"/>
      <c r="JP258" s="17"/>
      <c r="JQ258" s="17"/>
      <c r="JR258" s="17"/>
      <c r="JS258" s="17"/>
      <c r="JT258" s="17"/>
      <c r="JU258" s="17"/>
      <c r="JV258" s="17"/>
      <c r="JW258" s="17"/>
      <c r="JX258" s="17"/>
      <c r="JY258" s="17"/>
      <c r="JZ258" s="17"/>
      <c r="KA258" s="17"/>
      <c r="KB258" s="17"/>
      <c r="KC258" s="17"/>
      <c r="KD258" s="17"/>
      <c r="KE258" s="17"/>
      <c r="KF258" s="17"/>
      <c r="KG258" s="17"/>
      <c r="KH258" s="17"/>
      <c r="KI258" s="17"/>
      <c r="KJ258" s="17"/>
      <c r="KK258" s="17"/>
      <c r="KL258" s="17"/>
      <c r="KM258" s="17"/>
      <c r="KN258" s="17"/>
      <c r="KO258" s="17"/>
      <c r="KP258" s="17"/>
      <c r="KQ258" s="17"/>
      <c r="KR258" s="17"/>
      <c r="KS258" s="17"/>
      <c r="KT258" s="17"/>
      <c r="KU258" s="17"/>
      <c r="KV258" s="17"/>
      <c r="KW258" s="17"/>
      <c r="KX258" s="17"/>
      <c r="KY258" s="17"/>
    </row>
    <row r="259" spans="1:311" x14ac:dyDescent="0.25">
      <c r="A259" s="17"/>
      <c r="B259" s="17"/>
      <c r="C259" s="17"/>
      <c r="D259" s="17"/>
      <c r="E259" s="17"/>
      <c r="F259" s="17"/>
      <c r="G259" s="17"/>
      <c r="H259" s="17"/>
      <c r="I259" s="17"/>
      <c r="J259" s="17"/>
      <c r="K259" s="17"/>
      <c r="L259" s="17"/>
      <c r="M259" s="17"/>
      <c r="N259" s="17"/>
      <c r="O259" s="17"/>
      <c r="P259" s="17"/>
      <c r="Q259" s="17"/>
      <c r="R259" s="17"/>
      <c r="S259" s="17"/>
      <c r="T259" s="17"/>
      <c r="U259" s="17"/>
      <c r="V259" s="17"/>
      <c r="W259" s="17"/>
      <c r="X259" s="17"/>
      <c r="Y259" s="17"/>
      <c r="Z259" s="17"/>
      <c r="AA259" s="17"/>
      <c r="AB259" s="17"/>
      <c r="AC259" s="17"/>
      <c r="AD259" s="17"/>
      <c r="AE259" s="17"/>
      <c r="AF259" s="17"/>
      <c r="AG259" s="17"/>
      <c r="AH259" s="17"/>
      <c r="AI259" s="17"/>
      <c r="AJ259" s="17"/>
      <c r="AK259" s="17"/>
      <c r="AL259" s="17"/>
      <c r="AM259" s="17"/>
      <c r="AN259" s="17"/>
      <c r="AO259" s="17"/>
      <c r="AP259" s="17"/>
      <c r="AQ259" s="17"/>
      <c r="AR259" s="17"/>
      <c r="AS259" s="17"/>
      <c r="AT259" s="17"/>
      <c r="AU259" s="17"/>
      <c r="AV259" s="17"/>
      <c r="AW259" s="17"/>
      <c r="AX259" s="17"/>
      <c r="AY259" s="17"/>
      <c r="AZ259" s="17"/>
      <c r="BA259" s="17"/>
      <c r="BB259" s="17"/>
      <c r="BC259" s="17"/>
      <c r="BD259" s="17"/>
      <c r="BE259" s="17"/>
      <c r="BF259" s="17"/>
      <c r="BG259" s="17"/>
      <c r="BH259" s="17"/>
      <c r="BI259" s="17"/>
      <c r="BJ259" s="17"/>
      <c r="BK259" s="17"/>
      <c r="BL259" s="17"/>
      <c r="BM259" s="17"/>
      <c r="BN259" s="17"/>
      <c r="BO259" s="17"/>
      <c r="BP259" s="17"/>
      <c r="BQ259" s="17"/>
      <c r="BR259" s="17"/>
      <c r="BS259" s="17"/>
      <c r="BT259" s="17"/>
      <c r="BU259" s="17"/>
      <c r="BV259" s="17"/>
      <c r="BW259" s="17"/>
      <c r="BX259" s="17"/>
      <c r="BY259" s="17"/>
      <c r="BZ259" s="17"/>
      <c r="CA259" s="17"/>
      <c r="CB259" s="17"/>
      <c r="CC259" s="17"/>
      <c r="CD259" s="17"/>
      <c r="CE259" s="17"/>
      <c r="CF259" s="17"/>
      <c r="CG259" s="17"/>
      <c r="CH259" s="17"/>
      <c r="CI259" s="17"/>
      <c r="CJ259" s="17"/>
      <c r="CK259" s="17"/>
      <c r="CL259" s="17"/>
      <c r="CM259" s="17"/>
      <c r="CN259" s="17"/>
      <c r="CO259" s="17"/>
      <c r="CP259" s="17"/>
      <c r="CQ259" s="17"/>
      <c r="CR259" s="17"/>
      <c r="CS259" s="17"/>
      <c r="CT259" s="17"/>
      <c r="CU259" s="17"/>
      <c r="CV259" s="17"/>
      <c r="CW259" s="17"/>
      <c r="CX259" s="17"/>
      <c r="CY259" s="17"/>
      <c r="CZ259" s="17"/>
      <c r="DA259" s="17"/>
      <c r="DB259" s="17"/>
      <c r="DC259" s="17"/>
      <c r="DD259" s="17"/>
      <c r="DE259" s="17"/>
      <c r="DF259" s="17"/>
      <c r="DG259" s="17"/>
      <c r="DH259" s="17"/>
      <c r="DI259" s="17"/>
      <c r="DJ259" s="17"/>
      <c r="DK259" s="17"/>
      <c r="DL259" s="17"/>
      <c r="DM259" s="17"/>
      <c r="DN259" s="17"/>
      <c r="DO259" s="17"/>
      <c r="DP259" s="17"/>
      <c r="DQ259" s="17"/>
      <c r="DR259" s="17"/>
      <c r="DS259" s="17"/>
      <c r="DT259" s="17"/>
      <c r="DU259" s="17"/>
      <c r="DV259" s="17"/>
      <c r="DW259" s="17"/>
      <c r="DX259" s="17"/>
      <c r="DY259" s="17"/>
      <c r="DZ259" s="17"/>
      <c r="EA259" s="17"/>
      <c r="EB259" s="17"/>
      <c r="EC259" s="17"/>
      <c r="ED259" s="17"/>
      <c r="EE259" s="17"/>
      <c r="EF259" s="17"/>
      <c r="EG259" s="17"/>
      <c r="EH259" s="17"/>
      <c r="EI259" s="17"/>
      <c r="EJ259" s="17"/>
      <c r="EK259" s="17"/>
      <c r="EL259" s="17"/>
      <c r="EM259" s="17"/>
      <c r="EN259" s="17"/>
      <c r="EO259" s="17"/>
      <c r="EP259" s="17"/>
      <c r="EQ259" s="17"/>
      <c r="ER259" s="17"/>
      <c r="ES259" s="17"/>
      <c r="ET259" s="17"/>
      <c r="EU259" s="17"/>
      <c r="EV259" s="17"/>
      <c r="EW259" s="17"/>
      <c r="EX259" s="17"/>
      <c r="EY259" s="17"/>
      <c r="EZ259" s="17"/>
      <c r="FA259" s="17"/>
      <c r="FB259" s="17"/>
      <c r="FC259" s="17"/>
      <c r="FD259" s="17"/>
      <c r="FE259" s="17"/>
      <c r="FF259" s="17"/>
      <c r="FG259" s="17"/>
      <c r="FH259" s="17"/>
      <c r="FI259" s="17"/>
      <c r="FJ259" s="17"/>
      <c r="FK259" s="17"/>
      <c r="FL259" s="17"/>
      <c r="FM259" s="17"/>
      <c r="FN259" s="17"/>
      <c r="FO259" s="17"/>
      <c r="FP259" s="17"/>
      <c r="FQ259" s="17"/>
      <c r="FR259" s="17"/>
      <c r="FS259" s="17"/>
      <c r="FT259" s="17"/>
      <c r="FU259" s="17"/>
      <c r="FV259" s="17"/>
      <c r="FW259" s="17"/>
      <c r="FX259" s="17"/>
      <c r="FY259" s="17"/>
      <c r="FZ259" s="17"/>
      <c r="GA259" s="17"/>
      <c r="GB259" s="17"/>
      <c r="GC259" s="17"/>
      <c r="GD259" s="17"/>
      <c r="GE259" s="17"/>
      <c r="GF259" s="17"/>
      <c r="GG259" s="17"/>
      <c r="GH259" s="17"/>
      <c r="GI259" s="17"/>
      <c r="GJ259" s="17"/>
      <c r="GK259" s="17"/>
      <c r="GL259" s="17"/>
      <c r="GM259" s="17"/>
      <c r="GN259" s="17"/>
      <c r="GO259" s="17"/>
      <c r="GP259" s="17"/>
      <c r="GQ259" s="17"/>
      <c r="GR259" s="17"/>
      <c r="GS259" s="17"/>
      <c r="GT259" s="17"/>
      <c r="GU259" s="17"/>
      <c r="GV259" s="17"/>
      <c r="GW259" s="17"/>
      <c r="GX259" s="17"/>
      <c r="GY259" s="17"/>
      <c r="GZ259" s="17"/>
      <c r="HA259" s="17"/>
      <c r="HB259" s="17"/>
      <c r="HC259" s="17"/>
      <c r="HD259" s="17"/>
      <c r="HE259" s="17"/>
      <c r="HF259" s="17"/>
      <c r="HG259" s="17"/>
      <c r="HH259" s="17"/>
      <c r="HI259" s="17"/>
      <c r="HJ259" s="17"/>
      <c r="HK259" s="17"/>
      <c r="HL259" s="17"/>
      <c r="HM259" s="17"/>
      <c r="HN259" s="17"/>
      <c r="HO259" s="17"/>
      <c r="HP259" s="17"/>
      <c r="HQ259" s="17"/>
      <c r="HR259" s="17"/>
      <c r="HS259" s="17"/>
      <c r="HT259" s="17"/>
      <c r="HU259" s="17"/>
      <c r="HV259" s="17"/>
      <c r="HW259" s="17"/>
      <c r="HX259" s="17"/>
      <c r="HY259" s="17"/>
      <c r="HZ259" s="17"/>
      <c r="IA259" s="17"/>
      <c r="IB259" s="17"/>
      <c r="IC259" s="17"/>
      <c r="ID259" s="17"/>
      <c r="IE259" s="17"/>
      <c r="IF259" s="17"/>
      <c r="IG259" s="17"/>
      <c r="IH259" s="17"/>
      <c r="II259" s="17"/>
      <c r="IJ259" s="17"/>
      <c r="IK259" s="17"/>
      <c r="IL259" s="17"/>
      <c r="IM259" s="17"/>
      <c r="IN259" s="17"/>
      <c r="IO259" s="17"/>
      <c r="IP259" s="17"/>
      <c r="IQ259" s="17"/>
      <c r="IR259" s="17"/>
      <c r="IS259" s="17"/>
      <c r="IT259" s="17"/>
      <c r="IU259" s="17"/>
      <c r="IV259" s="17"/>
      <c r="IW259" s="17"/>
      <c r="IX259" s="17"/>
      <c r="IY259" s="17"/>
      <c r="IZ259" s="17"/>
      <c r="JA259" s="17"/>
      <c r="JB259" s="17"/>
      <c r="JC259" s="17"/>
      <c r="JD259" s="17"/>
      <c r="JE259" s="17"/>
      <c r="JF259" s="17"/>
      <c r="JG259" s="17"/>
      <c r="JH259" s="17"/>
      <c r="JI259" s="17"/>
      <c r="JJ259" s="17"/>
      <c r="JK259" s="17"/>
      <c r="JL259" s="17"/>
      <c r="JM259" s="17"/>
      <c r="JN259" s="17"/>
      <c r="JO259" s="17"/>
      <c r="JP259" s="17"/>
      <c r="JQ259" s="17"/>
      <c r="JR259" s="17"/>
      <c r="JS259" s="17"/>
      <c r="JT259" s="17"/>
      <c r="JU259" s="17"/>
      <c r="JV259" s="17"/>
      <c r="JW259" s="17"/>
      <c r="JX259" s="17"/>
      <c r="JY259" s="17"/>
      <c r="JZ259" s="17"/>
      <c r="KA259" s="17"/>
      <c r="KB259" s="17"/>
      <c r="KC259" s="17"/>
      <c r="KD259" s="17"/>
      <c r="KE259" s="17"/>
      <c r="KF259" s="17"/>
      <c r="KG259" s="17"/>
      <c r="KH259" s="17"/>
      <c r="KI259" s="17"/>
      <c r="KJ259" s="17"/>
      <c r="KK259" s="17"/>
      <c r="KL259" s="17"/>
      <c r="KM259" s="17"/>
      <c r="KN259" s="17"/>
      <c r="KO259" s="17"/>
      <c r="KP259" s="17"/>
      <c r="KQ259" s="17"/>
      <c r="KR259" s="17"/>
      <c r="KS259" s="17"/>
      <c r="KT259" s="17"/>
      <c r="KU259" s="17"/>
      <c r="KV259" s="17"/>
      <c r="KW259" s="17"/>
      <c r="KX259" s="17"/>
      <c r="KY259" s="17"/>
    </row>
    <row r="260" spans="1:311" x14ac:dyDescent="0.25">
      <c r="A260" s="17"/>
      <c r="B260" s="17"/>
      <c r="C260" s="17"/>
      <c r="D260" s="17"/>
      <c r="E260" s="17"/>
      <c r="F260" s="17"/>
      <c r="G260" s="17"/>
      <c r="H260" s="17"/>
      <c r="I260" s="17"/>
      <c r="J260" s="17"/>
      <c r="K260" s="17"/>
      <c r="L260" s="17"/>
      <c r="M260" s="17"/>
      <c r="N260" s="17"/>
      <c r="O260" s="17"/>
      <c r="P260" s="17"/>
      <c r="Q260" s="17"/>
      <c r="R260" s="17"/>
      <c r="S260" s="17"/>
      <c r="T260" s="17"/>
      <c r="U260" s="17"/>
      <c r="V260" s="17"/>
      <c r="W260" s="17"/>
      <c r="X260" s="17"/>
      <c r="Y260" s="17"/>
      <c r="Z260" s="17"/>
      <c r="AA260" s="17"/>
      <c r="AB260" s="17"/>
      <c r="AC260" s="17"/>
      <c r="AD260" s="17"/>
      <c r="AE260" s="17"/>
      <c r="AF260" s="17"/>
      <c r="AG260" s="17"/>
      <c r="AH260" s="17"/>
      <c r="AI260" s="17"/>
      <c r="AJ260" s="17"/>
      <c r="AK260" s="17"/>
      <c r="AL260" s="17"/>
      <c r="AM260" s="17"/>
      <c r="AN260" s="17"/>
      <c r="AO260" s="17"/>
      <c r="AP260" s="17"/>
      <c r="AQ260" s="17"/>
      <c r="AR260" s="17"/>
      <c r="AS260" s="17"/>
      <c r="AT260" s="17"/>
      <c r="AU260" s="17"/>
      <c r="AV260" s="17"/>
      <c r="AW260" s="17"/>
      <c r="AX260" s="17"/>
      <c r="AY260" s="17"/>
      <c r="AZ260" s="17"/>
      <c r="BA260" s="17"/>
      <c r="BB260" s="17"/>
      <c r="BC260" s="17"/>
      <c r="BD260" s="17"/>
      <c r="BE260" s="17"/>
      <c r="BF260" s="17"/>
      <c r="BG260" s="17"/>
      <c r="BH260" s="17"/>
      <c r="BI260" s="17"/>
      <c r="BJ260" s="17"/>
      <c r="BK260" s="17"/>
      <c r="BL260" s="17"/>
      <c r="BM260" s="17"/>
      <c r="BN260" s="17"/>
      <c r="BO260" s="17"/>
      <c r="BP260" s="17"/>
      <c r="BQ260" s="17"/>
      <c r="BR260" s="17"/>
      <c r="BS260" s="17"/>
      <c r="BT260" s="17"/>
      <c r="BU260" s="17"/>
      <c r="BV260" s="17"/>
      <c r="BW260" s="17"/>
      <c r="BX260" s="17"/>
      <c r="BY260" s="17"/>
      <c r="BZ260" s="17"/>
      <c r="CA260" s="17"/>
      <c r="CB260" s="17"/>
      <c r="CC260" s="17"/>
      <c r="CD260" s="17"/>
      <c r="CE260" s="17"/>
      <c r="CF260" s="17"/>
      <c r="CG260" s="17"/>
      <c r="CH260" s="17"/>
      <c r="CI260" s="17"/>
      <c r="CJ260" s="17"/>
      <c r="CK260" s="17"/>
      <c r="CL260" s="17"/>
      <c r="CM260" s="17"/>
      <c r="CN260" s="17"/>
      <c r="CO260" s="17"/>
      <c r="CP260" s="17"/>
      <c r="CQ260" s="17"/>
      <c r="CR260" s="17"/>
      <c r="CS260" s="17"/>
      <c r="CT260" s="17"/>
      <c r="CU260" s="17"/>
      <c r="CV260" s="17"/>
      <c r="CW260" s="17"/>
      <c r="CX260" s="17"/>
      <c r="CY260" s="17"/>
      <c r="CZ260" s="17"/>
      <c r="DA260" s="17"/>
      <c r="DB260" s="17"/>
      <c r="DC260" s="17"/>
      <c r="DD260" s="17"/>
      <c r="DE260" s="17"/>
      <c r="DF260" s="17"/>
      <c r="DG260" s="17"/>
      <c r="DH260" s="17"/>
      <c r="DI260" s="17"/>
      <c r="DJ260" s="17"/>
      <c r="DK260" s="17"/>
      <c r="DL260" s="17"/>
      <c r="DM260" s="17"/>
      <c r="DN260" s="17"/>
      <c r="DO260" s="17"/>
      <c r="DP260" s="17"/>
      <c r="DQ260" s="17"/>
      <c r="DR260" s="17"/>
      <c r="DS260" s="17"/>
      <c r="DT260" s="17"/>
      <c r="DU260" s="17"/>
      <c r="DV260" s="17"/>
      <c r="DW260" s="17"/>
      <c r="DX260" s="17"/>
      <c r="DY260" s="17"/>
      <c r="DZ260" s="17"/>
      <c r="EA260" s="17"/>
      <c r="EB260" s="17"/>
      <c r="EC260" s="17"/>
      <c r="ED260" s="17"/>
      <c r="EE260" s="17"/>
      <c r="EF260" s="17"/>
      <c r="EG260" s="17"/>
      <c r="EH260" s="17"/>
      <c r="EI260" s="17"/>
      <c r="EJ260" s="17"/>
      <c r="EK260" s="17"/>
      <c r="EL260" s="17"/>
      <c r="EM260" s="17"/>
      <c r="EN260" s="17"/>
      <c r="EO260" s="17"/>
      <c r="EP260" s="17"/>
      <c r="EQ260" s="17"/>
      <c r="ER260" s="17"/>
      <c r="ES260" s="17"/>
      <c r="ET260" s="17"/>
      <c r="EU260" s="17"/>
      <c r="EV260" s="17"/>
      <c r="EW260" s="17"/>
      <c r="EX260" s="17"/>
      <c r="EY260" s="17"/>
      <c r="EZ260" s="17"/>
      <c r="FA260" s="17"/>
      <c r="FB260" s="17"/>
      <c r="FC260" s="17"/>
      <c r="FD260" s="17"/>
      <c r="FE260" s="17"/>
      <c r="FF260" s="17"/>
      <c r="FG260" s="17"/>
      <c r="FH260" s="17"/>
      <c r="FI260" s="17"/>
      <c r="FJ260" s="17"/>
      <c r="FK260" s="17"/>
      <c r="FL260" s="17"/>
      <c r="FM260" s="17"/>
      <c r="FN260" s="17"/>
      <c r="FO260" s="17"/>
      <c r="FP260" s="17"/>
      <c r="FQ260" s="17"/>
      <c r="FR260" s="17"/>
      <c r="FS260" s="17"/>
      <c r="FT260" s="17"/>
      <c r="FU260" s="17"/>
      <c r="FV260" s="17"/>
      <c r="FW260" s="17"/>
      <c r="FX260" s="17"/>
      <c r="FY260" s="17"/>
      <c r="FZ260" s="17"/>
      <c r="GA260" s="17"/>
      <c r="GB260" s="17"/>
      <c r="GC260" s="17"/>
      <c r="GD260" s="17"/>
      <c r="GE260" s="17"/>
      <c r="GF260" s="17"/>
      <c r="GG260" s="17"/>
      <c r="GH260" s="17"/>
      <c r="GI260" s="17"/>
      <c r="GJ260" s="17"/>
      <c r="GK260" s="17"/>
      <c r="GL260" s="17"/>
      <c r="GM260" s="17"/>
      <c r="GN260" s="17"/>
      <c r="GO260" s="17"/>
      <c r="GP260" s="17"/>
      <c r="GQ260" s="17"/>
      <c r="GR260" s="17"/>
      <c r="GS260" s="17"/>
      <c r="GT260" s="17"/>
      <c r="GU260" s="17"/>
      <c r="GV260" s="17"/>
      <c r="GW260" s="17"/>
      <c r="GX260" s="17"/>
      <c r="GY260" s="17"/>
      <c r="GZ260" s="17"/>
      <c r="HA260" s="17"/>
      <c r="HB260" s="17"/>
      <c r="HC260" s="17"/>
      <c r="HD260" s="17"/>
      <c r="HE260" s="17"/>
      <c r="HF260" s="17"/>
      <c r="HG260" s="17"/>
      <c r="HH260" s="17"/>
      <c r="HI260" s="17"/>
      <c r="HJ260" s="17"/>
      <c r="HK260" s="17"/>
      <c r="HL260" s="17"/>
      <c r="HM260" s="17"/>
      <c r="HN260" s="17"/>
      <c r="HO260" s="17"/>
      <c r="HP260" s="17"/>
      <c r="HQ260" s="17"/>
      <c r="HR260" s="17"/>
      <c r="HS260" s="17"/>
      <c r="HT260" s="17"/>
      <c r="HU260" s="17"/>
      <c r="HV260" s="17"/>
      <c r="HW260" s="17"/>
      <c r="HX260" s="17"/>
      <c r="HY260" s="17"/>
      <c r="HZ260" s="17"/>
      <c r="IA260" s="17"/>
      <c r="IB260" s="17"/>
      <c r="IC260" s="17"/>
      <c r="ID260" s="17"/>
      <c r="IE260" s="17"/>
      <c r="IF260" s="17"/>
      <c r="IG260" s="17"/>
      <c r="IH260" s="17"/>
      <c r="II260" s="17"/>
      <c r="IJ260" s="17"/>
      <c r="IK260" s="17"/>
      <c r="IL260" s="17"/>
      <c r="IM260" s="17"/>
      <c r="IN260" s="17"/>
      <c r="IO260" s="17"/>
      <c r="IP260" s="17"/>
      <c r="IQ260" s="17"/>
      <c r="IR260" s="17"/>
      <c r="IS260" s="17"/>
      <c r="IT260" s="17"/>
      <c r="IU260" s="17"/>
      <c r="IV260" s="17"/>
      <c r="IW260" s="17"/>
      <c r="IX260" s="17"/>
      <c r="IY260" s="17"/>
      <c r="IZ260" s="17"/>
      <c r="JA260" s="17"/>
      <c r="JB260" s="17"/>
      <c r="JC260" s="17"/>
      <c r="JD260" s="17"/>
      <c r="JE260" s="17"/>
      <c r="JF260" s="17"/>
      <c r="JG260" s="17"/>
      <c r="JH260" s="17"/>
      <c r="JI260" s="17"/>
      <c r="JJ260" s="17"/>
      <c r="JK260" s="17"/>
      <c r="JL260" s="17"/>
      <c r="JM260" s="17"/>
      <c r="JN260" s="17"/>
      <c r="JO260" s="17"/>
      <c r="JP260" s="17"/>
      <c r="JQ260" s="17"/>
      <c r="JR260" s="17"/>
      <c r="JS260" s="17"/>
      <c r="JT260" s="17"/>
      <c r="JU260" s="17"/>
      <c r="JV260" s="17"/>
      <c r="JW260" s="17"/>
      <c r="JX260" s="17"/>
      <c r="JY260" s="17"/>
      <c r="JZ260" s="17"/>
      <c r="KA260" s="17"/>
      <c r="KB260" s="17"/>
      <c r="KC260" s="17"/>
      <c r="KD260" s="17"/>
      <c r="KE260" s="17"/>
      <c r="KF260" s="17"/>
      <c r="KG260" s="17"/>
      <c r="KH260" s="17"/>
      <c r="KI260" s="17"/>
      <c r="KJ260" s="17"/>
      <c r="KK260" s="17"/>
      <c r="KL260" s="17"/>
      <c r="KM260" s="17"/>
      <c r="KN260" s="17"/>
      <c r="KO260" s="17"/>
      <c r="KP260" s="17"/>
      <c r="KQ260" s="17"/>
      <c r="KR260" s="17"/>
      <c r="KS260" s="17"/>
      <c r="KT260" s="17"/>
      <c r="KU260" s="17"/>
      <c r="KV260" s="17"/>
      <c r="KW260" s="17"/>
      <c r="KX260" s="17"/>
      <c r="KY260" s="17"/>
    </row>
    <row r="261" spans="1:311" x14ac:dyDescent="0.25">
      <c r="A261" s="17"/>
      <c r="B261" s="17"/>
      <c r="C261" s="17"/>
      <c r="D261" s="17"/>
      <c r="E261" s="17"/>
      <c r="F261" s="17"/>
      <c r="G261" s="17"/>
      <c r="H261" s="17"/>
      <c r="I261" s="17"/>
      <c r="J261" s="17"/>
      <c r="K261" s="17"/>
      <c r="L261" s="17"/>
      <c r="M261" s="17"/>
      <c r="N261" s="17"/>
      <c r="O261" s="17"/>
      <c r="P261" s="17"/>
      <c r="Q261" s="17"/>
      <c r="R261" s="17"/>
      <c r="S261" s="17"/>
      <c r="T261" s="17"/>
      <c r="U261" s="17"/>
      <c r="V261" s="17"/>
      <c r="W261" s="17"/>
      <c r="X261" s="17"/>
      <c r="Y261" s="17"/>
      <c r="Z261" s="17"/>
      <c r="AA261" s="17"/>
      <c r="AB261" s="17"/>
      <c r="AC261" s="17"/>
      <c r="AD261" s="17"/>
      <c r="AE261" s="17"/>
      <c r="AF261" s="17"/>
      <c r="AG261" s="17"/>
      <c r="AH261" s="17"/>
      <c r="AI261" s="17"/>
      <c r="AJ261" s="17"/>
      <c r="AK261" s="17"/>
      <c r="AL261" s="17"/>
      <c r="AM261" s="17"/>
      <c r="AN261" s="17"/>
      <c r="AO261" s="17"/>
      <c r="AP261" s="17"/>
      <c r="AQ261" s="17"/>
      <c r="AR261" s="17"/>
      <c r="AS261" s="17"/>
      <c r="AT261" s="17"/>
      <c r="AU261" s="17"/>
      <c r="AV261" s="17"/>
      <c r="AW261" s="17"/>
      <c r="AX261" s="17"/>
      <c r="AY261" s="17"/>
      <c r="AZ261" s="17"/>
      <c r="BA261" s="17"/>
      <c r="BB261" s="17"/>
      <c r="BC261" s="17"/>
      <c r="BD261" s="17"/>
      <c r="BE261" s="17"/>
      <c r="BF261" s="17"/>
      <c r="BG261" s="17"/>
      <c r="BH261" s="17"/>
      <c r="BI261" s="17"/>
      <c r="BJ261" s="17"/>
      <c r="BK261" s="17"/>
      <c r="BL261" s="17"/>
      <c r="BM261" s="17"/>
      <c r="BN261" s="17"/>
      <c r="BO261" s="17"/>
      <c r="BP261" s="17"/>
      <c r="BQ261" s="17"/>
      <c r="BR261" s="17"/>
      <c r="BS261" s="17"/>
      <c r="BT261" s="17"/>
      <c r="BU261" s="17"/>
      <c r="BV261" s="17"/>
      <c r="BW261" s="17"/>
      <c r="BX261" s="17"/>
      <c r="BY261" s="17"/>
      <c r="BZ261" s="17"/>
      <c r="CA261" s="17"/>
      <c r="CB261" s="17"/>
      <c r="CC261" s="17"/>
      <c r="CD261" s="17"/>
      <c r="CE261" s="17"/>
      <c r="CF261" s="17"/>
      <c r="CG261" s="17"/>
      <c r="CH261" s="17"/>
      <c r="CI261" s="17"/>
      <c r="CJ261" s="17"/>
      <c r="CK261" s="17"/>
      <c r="CL261" s="17"/>
      <c r="CM261" s="17"/>
      <c r="CN261" s="17"/>
      <c r="CO261" s="17"/>
      <c r="CP261" s="17"/>
      <c r="CQ261" s="17"/>
      <c r="CR261" s="17"/>
      <c r="CS261" s="17"/>
      <c r="CT261" s="17"/>
      <c r="CU261" s="17"/>
      <c r="CV261" s="17"/>
      <c r="CW261" s="17"/>
      <c r="CX261" s="17"/>
      <c r="CY261" s="17"/>
      <c r="CZ261" s="17"/>
      <c r="DA261" s="17"/>
      <c r="DB261" s="17"/>
      <c r="DC261" s="17"/>
      <c r="DD261" s="17"/>
      <c r="DE261" s="17"/>
      <c r="DF261" s="17"/>
      <c r="DG261" s="17"/>
      <c r="DH261" s="17"/>
      <c r="DI261" s="17"/>
      <c r="DJ261" s="17"/>
      <c r="DK261" s="17"/>
      <c r="DL261" s="17"/>
      <c r="DM261" s="17"/>
      <c r="DN261" s="17"/>
      <c r="DO261" s="17"/>
      <c r="DP261" s="17"/>
      <c r="DQ261" s="17"/>
      <c r="DR261" s="17"/>
      <c r="DS261" s="17"/>
      <c r="DT261" s="17"/>
      <c r="DU261" s="17"/>
      <c r="DV261" s="17"/>
      <c r="DW261" s="17"/>
      <c r="DX261" s="17"/>
      <c r="DY261" s="17"/>
      <c r="DZ261" s="17"/>
      <c r="EA261" s="17"/>
      <c r="EB261" s="17"/>
      <c r="EC261" s="17"/>
      <c r="ED261" s="17"/>
      <c r="EE261" s="17"/>
      <c r="EF261" s="17"/>
      <c r="EG261" s="17"/>
      <c r="EH261" s="17"/>
      <c r="EI261" s="17"/>
      <c r="EJ261" s="17"/>
      <c r="EK261" s="17"/>
      <c r="EL261" s="17"/>
      <c r="EM261" s="17"/>
      <c r="EN261" s="17"/>
      <c r="EO261" s="17"/>
      <c r="EP261" s="17"/>
      <c r="EQ261" s="17"/>
      <c r="ER261" s="17"/>
      <c r="ES261" s="17"/>
      <c r="ET261" s="17"/>
      <c r="EU261" s="17"/>
      <c r="EV261" s="17"/>
      <c r="EW261" s="17"/>
      <c r="EX261" s="17"/>
      <c r="EY261" s="17"/>
      <c r="EZ261" s="17"/>
      <c r="FA261" s="17"/>
      <c r="FB261" s="17"/>
      <c r="FC261" s="17"/>
      <c r="FD261" s="17"/>
      <c r="FE261" s="17"/>
      <c r="FF261" s="17"/>
      <c r="FG261" s="17"/>
      <c r="FH261" s="17"/>
      <c r="FI261" s="17"/>
      <c r="FJ261" s="17"/>
      <c r="FK261" s="17"/>
      <c r="FL261" s="17"/>
      <c r="FM261" s="17"/>
      <c r="FN261" s="17"/>
      <c r="FO261" s="17"/>
      <c r="FP261" s="17"/>
      <c r="FQ261" s="17"/>
      <c r="FR261" s="17"/>
      <c r="FS261" s="17"/>
      <c r="FT261" s="17"/>
      <c r="FU261" s="17"/>
      <c r="FV261" s="17"/>
      <c r="FW261" s="17"/>
      <c r="FX261" s="17"/>
      <c r="FY261" s="17"/>
      <c r="FZ261" s="17"/>
      <c r="GA261" s="17"/>
      <c r="GB261" s="17"/>
      <c r="GC261" s="17"/>
      <c r="GD261" s="17"/>
      <c r="GE261" s="17"/>
      <c r="GF261" s="17"/>
      <c r="GG261" s="17"/>
      <c r="GH261" s="17"/>
      <c r="GI261" s="17"/>
      <c r="GJ261" s="17"/>
      <c r="GK261" s="17"/>
      <c r="GL261" s="17"/>
      <c r="GM261" s="17"/>
      <c r="GN261" s="17"/>
      <c r="GO261" s="17"/>
      <c r="GP261" s="17"/>
      <c r="GQ261" s="17"/>
      <c r="GR261" s="17"/>
      <c r="GS261" s="17"/>
      <c r="GT261" s="17"/>
      <c r="GU261" s="17"/>
      <c r="GV261" s="17"/>
      <c r="GW261" s="17"/>
      <c r="GX261" s="17"/>
      <c r="GY261" s="17"/>
      <c r="GZ261" s="17"/>
      <c r="HA261" s="17"/>
      <c r="HB261" s="17"/>
      <c r="HC261" s="17"/>
      <c r="HD261" s="17"/>
      <c r="HE261" s="17"/>
      <c r="HF261" s="17"/>
      <c r="HG261" s="17"/>
      <c r="HH261" s="17"/>
      <c r="HI261" s="17"/>
      <c r="HJ261" s="17"/>
      <c r="HK261" s="17"/>
      <c r="HL261" s="17"/>
      <c r="HM261" s="17"/>
      <c r="HN261" s="17"/>
      <c r="HO261" s="17"/>
      <c r="HP261" s="17"/>
      <c r="HQ261" s="17"/>
      <c r="HR261" s="17"/>
      <c r="HS261" s="17"/>
      <c r="HT261" s="17"/>
      <c r="HU261" s="17"/>
      <c r="HV261" s="17"/>
      <c r="HW261" s="17"/>
      <c r="HX261" s="17"/>
      <c r="HY261" s="17"/>
      <c r="HZ261" s="17"/>
      <c r="IA261" s="17"/>
      <c r="IB261" s="17"/>
      <c r="IC261" s="17"/>
      <c r="ID261" s="17"/>
      <c r="IE261" s="17"/>
      <c r="IF261" s="17"/>
      <c r="IG261" s="17"/>
      <c r="IH261" s="17"/>
      <c r="II261" s="17"/>
      <c r="IJ261" s="17"/>
      <c r="IK261" s="17"/>
      <c r="IL261" s="17"/>
      <c r="IM261" s="17"/>
      <c r="IN261" s="17"/>
      <c r="IO261" s="17"/>
      <c r="IP261" s="17"/>
      <c r="IQ261" s="17"/>
      <c r="IR261" s="17"/>
      <c r="IS261" s="17"/>
      <c r="IT261" s="17"/>
      <c r="IU261" s="17"/>
      <c r="IV261" s="17"/>
      <c r="IW261" s="17"/>
      <c r="IX261" s="17"/>
      <c r="IY261" s="17"/>
      <c r="IZ261" s="17"/>
      <c r="JA261" s="17"/>
      <c r="JB261" s="17"/>
      <c r="JC261" s="17"/>
      <c r="JD261" s="17"/>
      <c r="JE261" s="17"/>
      <c r="JF261" s="17"/>
      <c r="JG261" s="17"/>
      <c r="JH261" s="17"/>
      <c r="JI261" s="17"/>
      <c r="JJ261" s="17"/>
      <c r="JK261" s="17"/>
      <c r="JL261" s="17"/>
      <c r="JM261" s="17"/>
      <c r="JN261" s="17"/>
      <c r="JO261" s="17"/>
      <c r="JP261" s="17"/>
      <c r="JQ261" s="17"/>
      <c r="JR261" s="17"/>
      <c r="JS261" s="17"/>
      <c r="JT261" s="17"/>
      <c r="JU261" s="17"/>
      <c r="JV261" s="17"/>
      <c r="JW261" s="17"/>
      <c r="JX261" s="17"/>
      <c r="JY261" s="17"/>
      <c r="JZ261" s="17"/>
      <c r="KA261" s="17"/>
      <c r="KB261" s="17"/>
      <c r="KC261" s="17"/>
      <c r="KD261" s="17"/>
      <c r="KE261" s="17"/>
      <c r="KF261" s="17"/>
      <c r="KG261" s="17"/>
      <c r="KH261" s="17"/>
      <c r="KI261" s="17"/>
      <c r="KJ261" s="17"/>
      <c r="KK261" s="17"/>
      <c r="KL261" s="17"/>
      <c r="KM261" s="17"/>
      <c r="KN261" s="17"/>
      <c r="KO261" s="17"/>
      <c r="KP261" s="17"/>
      <c r="KQ261" s="17"/>
      <c r="KR261" s="17"/>
      <c r="KS261" s="17"/>
      <c r="KT261" s="17"/>
      <c r="KU261" s="17"/>
      <c r="KV261" s="17"/>
      <c r="KW261" s="17"/>
      <c r="KX261" s="17"/>
      <c r="KY261" s="17"/>
    </row>
    <row r="262" spans="1:311" x14ac:dyDescent="0.25">
      <c r="A262" s="17"/>
      <c r="B262" s="17"/>
      <c r="C262" s="17"/>
      <c r="D262" s="17"/>
      <c r="E262" s="17"/>
      <c r="F262" s="17"/>
      <c r="G262" s="17"/>
      <c r="H262" s="17"/>
      <c r="I262" s="17"/>
      <c r="J262" s="17"/>
      <c r="K262" s="17"/>
      <c r="L262" s="17"/>
      <c r="M262" s="17"/>
      <c r="N262" s="17"/>
      <c r="O262" s="17"/>
      <c r="P262" s="17"/>
      <c r="Q262" s="17"/>
      <c r="R262" s="17"/>
      <c r="S262" s="17"/>
      <c r="T262" s="17"/>
      <c r="U262" s="17"/>
      <c r="V262" s="17"/>
      <c r="W262" s="17"/>
      <c r="X262" s="17"/>
      <c r="Y262" s="17"/>
      <c r="Z262" s="17"/>
      <c r="AA262" s="17"/>
      <c r="AB262" s="17"/>
      <c r="AC262" s="17"/>
      <c r="AD262" s="17"/>
      <c r="AE262" s="17"/>
      <c r="AF262" s="17"/>
      <c r="AG262" s="17"/>
      <c r="AH262" s="17"/>
      <c r="AI262" s="17"/>
      <c r="AJ262" s="17"/>
      <c r="AK262" s="17"/>
      <c r="AL262" s="17"/>
      <c r="AM262" s="17"/>
      <c r="AN262" s="17"/>
      <c r="AO262" s="17"/>
      <c r="AP262" s="17"/>
      <c r="AQ262" s="17"/>
      <c r="AR262" s="17"/>
      <c r="AS262" s="17"/>
      <c r="AT262" s="17"/>
      <c r="AU262" s="17"/>
      <c r="AV262" s="17"/>
      <c r="AW262" s="17"/>
      <c r="AX262" s="17"/>
      <c r="AY262" s="17"/>
      <c r="AZ262" s="17"/>
      <c r="BA262" s="17"/>
      <c r="BB262" s="17"/>
      <c r="BC262" s="17"/>
      <c r="BD262" s="17"/>
      <c r="BE262" s="17"/>
      <c r="BF262" s="17"/>
      <c r="BG262" s="17"/>
      <c r="BH262" s="17"/>
      <c r="BI262" s="17"/>
      <c r="BJ262" s="17"/>
      <c r="BK262" s="17"/>
      <c r="BL262" s="17"/>
      <c r="BM262" s="17"/>
      <c r="BN262" s="17"/>
      <c r="BO262" s="17"/>
      <c r="BP262" s="17"/>
      <c r="BQ262" s="17"/>
      <c r="BR262" s="17"/>
      <c r="BS262" s="17"/>
      <c r="BT262" s="17"/>
      <c r="BU262" s="17"/>
      <c r="BV262" s="17"/>
      <c r="BW262" s="17"/>
      <c r="BX262" s="17"/>
      <c r="BY262" s="17"/>
      <c r="BZ262" s="17"/>
      <c r="CA262" s="17"/>
      <c r="CB262" s="17"/>
      <c r="CC262" s="17"/>
      <c r="CD262" s="17"/>
      <c r="CE262" s="17"/>
      <c r="CF262" s="17"/>
      <c r="CG262" s="17"/>
      <c r="CH262" s="17"/>
      <c r="CI262" s="17"/>
      <c r="CJ262" s="17"/>
      <c r="CK262" s="17"/>
      <c r="CL262" s="17"/>
      <c r="CM262" s="17"/>
      <c r="CN262" s="17"/>
      <c r="CO262" s="17"/>
      <c r="CP262" s="17"/>
      <c r="CQ262" s="17"/>
      <c r="CR262" s="17"/>
      <c r="CS262" s="17"/>
      <c r="CT262" s="17"/>
      <c r="CU262" s="17"/>
      <c r="CV262" s="17"/>
      <c r="CW262" s="17"/>
      <c r="CX262" s="17"/>
      <c r="CY262" s="17"/>
      <c r="CZ262" s="17"/>
      <c r="DA262" s="17"/>
      <c r="DB262" s="17"/>
      <c r="DC262" s="17"/>
      <c r="DD262" s="17"/>
      <c r="DE262" s="17"/>
      <c r="DF262" s="17"/>
      <c r="DG262" s="17"/>
      <c r="DH262" s="17"/>
      <c r="DI262" s="17"/>
      <c r="DJ262" s="17"/>
      <c r="DK262" s="17"/>
      <c r="DL262" s="17"/>
      <c r="DM262" s="17"/>
      <c r="DN262" s="17"/>
      <c r="DO262" s="17"/>
      <c r="DP262" s="17"/>
      <c r="DQ262" s="17"/>
      <c r="DR262" s="17"/>
      <c r="DS262" s="17"/>
      <c r="DT262" s="17"/>
      <c r="DU262" s="17"/>
      <c r="DV262" s="17"/>
      <c r="DW262" s="17"/>
      <c r="DX262" s="17"/>
      <c r="DY262" s="17"/>
      <c r="DZ262" s="17"/>
      <c r="EA262" s="17"/>
      <c r="EB262" s="17"/>
      <c r="EC262" s="17"/>
      <c r="ED262" s="17"/>
      <c r="EE262" s="17"/>
      <c r="EF262" s="17"/>
      <c r="EG262" s="17"/>
      <c r="EH262" s="17"/>
      <c r="EI262" s="17"/>
      <c r="EJ262" s="17"/>
      <c r="EK262" s="17"/>
      <c r="EL262" s="17"/>
      <c r="EM262" s="17"/>
      <c r="EN262" s="17"/>
      <c r="EO262" s="17"/>
      <c r="EP262" s="17"/>
      <c r="EQ262" s="17"/>
      <c r="ER262" s="17"/>
      <c r="ES262" s="17"/>
      <c r="ET262" s="17"/>
      <c r="EU262" s="17"/>
      <c r="EV262" s="17"/>
      <c r="EW262" s="17"/>
      <c r="EX262" s="17"/>
      <c r="EY262" s="17"/>
      <c r="EZ262" s="17"/>
      <c r="FA262" s="17"/>
      <c r="FB262" s="17"/>
      <c r="FC262" s="17"/>
      <c r="FD262" s="17"/>
      <c r="FE262" s="17"/>
      <c r="FF262" s="17"/>
      <c r="FG262" s="17"/>
      <c r="FH262" s="17"/>
      <c r="FI262" s="17"/>
      <c r="FJ262" s="17"/>
      <c r="FK262" s="17"/>
      <c r="FL262" s="17"/>
      <c r="FM262" s="17"/>
      <c r="FN262" s="17"/>
      <c r="FO262" s="17"/>
      <c r="FP262" s="17"/>
      <c r="FQ262" s="17"/>
      <c r="FR262" s="17"/>
      <c r="FS262" s="17"/>
      <c r="FT262" s="17"/>
      <c r="FU262" s="17"/>
      <c r="FV262" s="17"/>
      <c r="FW262" s="17"/>
      <c r="FX262" s="17"/>
      <c r="FY262" s="17"/>
      <c r="FZ262" s="17"/>
      <c r="GA262" s="17"/>
      <c r="GB262" s="17"/>
      <c r="GC262" s="17"/>
      <c r="GD262" s="17"/>
      <c r="GE262" s="17"/>
      <c r="GF262" s="17"/>
      <c r="GG262" s="17"/>
      <c r="GH262" s="17"/>
      <c r="GI262" s="17"/>
      <c r="GJ262" s="17"/>
      <c r="GK262" s="17"/>
      <c r="GL262" s="17"/>
      <c r="GM262" s="17"/>
      <c r="GN262" s="17"/>
      <c r="GO262" s="17"/>
      <c r="GP262" s="17"/>
      <c r="GQ262" s="17"/>
      <c r="GR262" s="17"/>
      <c r="GS262" s="17"/>
      <c r="GT262" s="17"/>
      <c r="GU262" s="17"/>
      <c r="GV262" s="17"/>
      <c r="GW262" s="17"/>
      <c r="GX262" s="17"/>
      <c r="GY262" s="17"/>
      <c r="GZ262" s="17"/>
      <c r="HA262" s="17"/>
      <c r="HB262" s="17"/>
      <c r="HC262" s="17"/>
      <c r="HD262" s="17"/>
      <c r="HE262" s="17"/>
      <c r="HF262" s="17"/>
      <c r="HG262" s="17"/>
      <c r="HH262" s="17"/>
      <c r="HI262" s="17"/>
      <c r="HJ262" s="17"/>
      <c r="HK262" s="17"/>
      <c r="HL262" s="17"/>
      <c r="HM262" s="17"/>
      <c r="HN262" s="17"/>
      <c r="HO262" s="17"/>
      <c r="HP262" s="17"/>
      <c r="HQ262" s="17"/>
      <c r="HR262" s="17"/>
      <c r="HS262" s="17"/>
      <c r="HT262" s="17"/>
      <c r="HU262" s="17"/>
      <c r="HV262" s="17"/>
      <c r="HW262" s="17"/>
      <c r="HX262" s="17"/>
      <c r="HY262" s="17"/>
      <c r="HZ262" s="17"/>
      <c r="IA262" s="17"/>
      <c r="IB262" s="17"/>
      <c r="IC262" s="17"/>
      <c r="ID262" s="17"/>
      <c r="IE262" s="17"/>
      <c r="IF262" s="17"/>
      <c r="IG262" s="17"/>
      <c r="IH262" s="17"/>
      <c r="II262" s="17"/>
      <c r="IJ262" s="17"/>
      <c r="IK262" s="17"/>
      <c r="IL262" s="17"/>
      <c r="IM262" s="17"/>
      <c r="IN262" s="17"/>
      <c r="IO262" s="17"/>
      <c r="IP262" s="17"/>
      <c r="IQ262" s="17"/>
      <c r="IR262" s="17"/>
      <c r="IS262" s="17"/>
      <c r="IT262" s="17"/>
      <c r="IU262" s="17"/>
      <c r="IV262" s="17"/>
      <c r="IW262" s="17"/>
      <c r="IX262" s="17"/>
      <c r="IY262" s="17"/>
      <c r="IZ262" s="17"/>
      <c r="JA262" s="17"/>
      <c r="JB262" s="17"/>
      <c r="JC262" s="17"/>
      <c r="JD262" s="17"/>
      <c r="JE262" s="17"/>
      <c r="JF262" s="17"/>
      <c r="JG262" s="17"/>
      <c r="JH262" s="17"/>
      <c r="JI262" s="17"/>
      <c r="JJ262" s="17"/>
      <c r="JK262" s="17"/>
      <c r="JL262" s="17"/>
      <c r="JM262" s="17"/>
      <c r="JN262" s="17"/>
      <c r="JO262" s="17"/>
      <c r="JP262" s="17"/>
      <c r="JQ262" s="17"/>
      <c r="JR262" s="17"/>
      <c r="JS262" s="17"/>
      <c r="JT262" s="17"/>
      <c r="JU262" s="17"/>
      <c r="JV262" s="17"/>
      <c r="JW262" s="17"/>
      <c r="JX262" s="17"/>
      <c r="JY262" s="17"/>
      <c r="JZ262" s="17"/>
      <c r="KA262" s="17"/>
      <c r="KB262" s="17"/>
      <c r="KC262" s="17"/>
      <c r="KD262" s="17"/>
      <c r="KE262" s="17"/>
      <c r="KF262" s="17"/>
      <c r="KG262" s="17"/>
      <c r="KH262" s="17"/>
      <c r="KI262" s="17"/>
      <c r="KJ262" s="17"/>
      <c r="KK262" s="17"/>
      <c r="KL262" s="17"/>
      <c r="KM262" s="17"/>
      <c r="KN262" s="17"/>
      <c r="KO262" s="17"/>
      <c r="KP262" s="17"/>
      <c r="KQ262" s="17"/>
      <c r="KR262" s="17"/>
      <c r="KS262" s="17"/>
      <c r="KT262" s="17"/>
      <c r="KU262" s="17"/>
      <c r="KV262" s="17"/>
      <c r="KW262" s="17"/>
      <c r="KX262" s="17"/>
      <c r="KY262" s="17"/>
    </row>
    <row r="263" spans="1:311" x14ac:dyDescent="0.25">
      <c r="A263" s="17"/>
      <c r="B263" s="17"/>
      <c r="C263" s="17"/>
      <c r="D263" s="17"/>
      <c r="E263" s="17"/>
      <c r="F263" s="17"/>
      <c r="G263" s="17"/>
      <c r="H263" s="17"/>
      <c r="I263" s="17"/>
      <c r="J263" s="17"/>
      <c r="K263" s="17"/>
      <c r="L263" s="17"/>
      <c r="M263" s="17"/>
      <c r="N263" s="17"/>
      <c r="O263" s="17"/>
      <c r="P263" s="17"/>
      <c r="Q263" s="17"/>
      <c r="R263" s="17"/>
      <c r="S263" s="17"/>
      <c r="T263" s="17"/>
      <c r="U263" s="17"/>
      <c r="V263" s="17"/>
      <c r="W263" s="17"/>
      <c r="X263" s="17"/>
      <c r="Y263" s="17"/>
      <c r="Z263" s="17"/>
      <c r="AA263" s="17"/>
      <c r="AB263" s="17"/>
      <c r="AC263" s="17"/>
      <c r="AD263" s="17"/>
      <c r="AE263" s="17"/>
      <c r="AF263" s="17"/>
      <c r="AG263" s="17"/>
      <c r="AH263" s="17"/>
      <c r="AI263" s="17"/>
      <c r="AJ263" s="17"/>
      <c r="AK263" s="17"/>
      <c r="AL263" s="17"/>
      <c r="AM263" s="17"/>
      <c r="AN263" s="17"/>
      <c r="AO263" s="17"/>
      <c r="AP263" s="17"/>
      <c r="AQ263" s="17"/>
      <c r="AR263" s="17"/>
      <c r="AS263" s="17"/>
      <c r="AT263" s="17"/>
      <c r="AU263" s="17"/>
      <c r="AV263" s="17"/>
      <c r="AW263" s="17"/>
      <c r="AX263" s="17"/>
      <c r="AY263" s="17"/>
      <c r="AZ263" s="17"/>
      <c r="BA263" s="17"/>
      <c r="BB263" s="17"/>
      <c r="BC263" s="17"/>
      <c r="BD263" s="17"/>
      <c r="BE263" s="17"/>
      <c r="BF263" s="17"/>
      <c r="BG263" s="17"/>
      <c r="BH263" s="17"/>
      <c r="BI263" s="17"/>
      <c r="BJ263" s="17"/>
      <c r="BK263" s="17"/>
      <c r="BL263" s="17"/>
      <c r="BM263" s="17"/>
      <c r="BN263" s="17"/>
      <c r="BO263" s="17"/>
      <c r="BP263" s="17"/>
      <c r="BQ263" s="17"/>
      <c r="BR263" s="17"/>
      <c r="BS263" s="17"/>
      <c r="BT263" s="17"/>
      <c r="BU263" s="17"/>
      <c r="BV263" s="17"/>
      <c r="BW263" s="17"/>
      <c r="BX263" s="17"/>
      <c r="BY263" s="17"/>
      <c r="BZ263" s="17"/>
      <c r="CA263" s="17"/>
      <c r="CB263" s="17"/>
      <c r="CC263" s="17"/>
      <c r="CD263" s="17"/>
      <c r="CE263" s="17"/>
      <c r="CF263" s="17"/>
      <c r="CG263" s="17"/>
      <c r="CH263" s="17"/>
      <c r="CI263" s="17"/>
      <c r="CJ263" s="17"/>
      <c r="CK263" s="17"/>
      <c r="CL263" s="17"/>
      <c r="CM263" s="17"/>
      <c r="CN263" s="17"/>
      <c r="CO263" s="17"/>
      <c r="CP263" s="17"/>
      <c r="CQ263" s="17"/>
      <c r="CR263" s="17"/>
      <c r="CS263" s="17"/>
      <c r="CT263" s="17"/>
      <c r="CU263" s="17"/>
      <c r="CV263" s="17"/>
      <c r="CW263" s="17"/>
      <c r="CX263" s="17"/>
      <c r="CY263" s="17"/>
      <c r="CZ263" s="17"/>
      <c r="DA263" s="17"/>
      <c r="DB263" s="17"/>
      <c r="DC263" s="17"/>
      <c r="DD263" s="17"/>
      <c r="DE263" s="17"/>
      <c r="DF263" s="17"/>
      <c r="DG263" s="17"/>
      <c r="DH263" s="17"/>
      <c r="DI263" s="17"/>
      <c r="DJ263" s="17"/>
      <c r="DK263" s="17"/>
      <c r="DL263" s="17"/>
      <c r="DM263" s="17"/>
      <c r="DN263" s="17"/>
      <c r="DO263" s="17"/>
      <c r="DP263" s="17"/>
      <c r="DQ263" s="17"/>
      <c r="DR263" s="17"/>
      <c r="DS263" s="17"/>
      <c r="DT263" s="17"/>
      <c r="DU263" s="17"/>
      <c r="DV263" s="17"/>
      <c r="DW263" s="17"/>
      <c r="DX263" s="17"/>
      <c r="DY263" s="17"/>
      <c r="DZ263" s="17"/>
      <c r="EA263" s="17"/>
      <c r="EB263" s="17"/>
      <c r="EC263" s="17"/>
      <c r="ED263" s="17"/>
      <c r="EE263" s="17"/>
      <c r="EF263" s="17"/>
      <c r="EG263" s="17"/>
      <c r="EH263" s="17"/>
      <c r="EI263" s="17"/>
      <c r="EJ263" s="17"/>
      <c r="EK263" s="17"/>
      <c r="EL263" s="17"/>
      <c r="EM263" s="17"/>
      <c r="EN263" s="17"/>
      <c r="EO263" s="17"/>
      <c r="EP263" s="17"/>
      <c r="EQ263" s="17"/>
      <c r="ER263" s="17"/>
      <c r="ES263" s="17"/>
      <c r="ET263" s="17"/>
      <c r="EU263" s="17"/>
      <c r="EV263" s="17"/>
      <c r="EW263" s="17"/>
      <c r="EX263" s="17"/>
      <c r="EY263" s="17"/>
      <c r="EZ263" s="17"/>
      <c r="FA263" s="17"/>
      <c r="FB263" s="17"/>
      <c r="FC263" s="17"/>
      <c r="FD263" s="17"/>
      <c r="FE263" s="17"/>
      <c r="FF263" s="17"/>
      <c r="FG263" s="17"/>
      <c r="FH263" s="17"/>
      <c r="FI263" s="17"/>
      <c r="FJ263" s="17"/>
      <c r="FK263" s="17"/>
      <c r="FL263" s="17"/>
      <c r="FM263" s="17"/>
      <c r="FN263" s="17"/>
      <c r="FO263" s="17"/>
      <c r="FP263" s="17"/>
      <c r="FQ263" s="17"/>
      <c r="FR263" s="17"/>
      <c r="FS263" s="17"/>
      <c r="FT263" s="17"/>
      <c r="FU263" s="17"/>
      <c r="FV263" s="17"/>
      <c r="FW263" s="17"/>
      <c r="FX263" s="17"/>
      <c r="FY263" s="17"/>
      <c r="FZ263" s="17"/>
      <c r="GA263" s="17"/>
      <c r="GB263" s="17"/>
      <c r="GC263" s="17"/>
      <c r="GD263" s="17"/>
      <c r="GE263" s="17"/>
      <c r="GF263" s="17"/>
      <c r="GG263" s="17"/>
      <c r="GH263" s="17"/>
      <c r="GI263" s="17"/>
      <c r="GJ263" s="17"/>
      <c r="GK263" s="17"/>
      <c r="GL263" s="17"/>
      <c r="GM263" s="17"/>
      <c r="GN263" s="17"/>
      <c r="GO263" s="17"/>
      <c r="GP263" s="17"/>
      <c r="GQ263" s="17"/>
      <c r="GR263" s="17"/>
      <c r="GS263" s="17"/>
      <c r="GT263" s="17"/>
      <c r="GU263" s="17"/>
      <c r="GV263" s="17"/>
      <c r="GW263" s="17"/>
      <c r="GX263" s="17"/>
      <c r="GY263" s="17"/>
      <c r="GZ263" s="17"/>
      <c r="HA263" s="17"/>
      <c r="HB263" s="17"/>
      <c r="HC263" s="17"/>
      <c r="HD263" s="17"/>
      <c r="HE263" s="17"/>
      <c r="HF263" s="17"/>
      <c r="HG263" s="17"/>
      <c r="HH263" s="17"/>
      <c r="HI263" s="17"/>
      <c r="HJ263" s="17"/>
      <c r="HK263" s="17"/>
      <c r="HL263" s="17"/>
      <c r="HM263" s="17"/>
      <c r="HN263" s="17"/>
      <c r="HO263" s="17"/>
      <c r="HP263" s="17"/>
      <c r="HQ263" s="17"/>
      <c r="HR263" s="17"/>
      <c r="HS263" s="17"/>
      <c r="HT263" s="17"/>
      <c r="HU263" s="17"/>
      <c r="HV263" s="17"/>
      <c r="HW263" s="17"/>
      <c r="HX263" s="17"/>
      <c r="HY263" s="17"/>
      <c r="HZ263" s="17"/>
      <c r="IA263" s="17"/>
      <c r="IB263" s="17"/>
      <c r="IC263" s="17"/>
      <c r="ID263" s="17"/>
      <c r="IE263" s="17"/>
      <c r="IF263" s="17"/>
      <c r="IG263" s="17"/>
      <c r="IH263" s="17"/>
      <c r="II263" s="17"/>
      <c r="IJ263" s="17"/>
      <c r="IK263" s="17"/>
      <c r="IL263" s="17"/>
      <c r="IM263" s="17"/>
      <c r="IN263" s="17"/>
      <c r="IO263" s="17"/>
      <c r="IP263" s="17"/>
      <c r="IQ263" s="17"/>
      <c r="IR263" s="17"/>
      <c r="IS263" s="17"/>
      <c r="IT263" s="17"/>
      <c r="IU263" s="17"/>
      <c r="IV263" s="17"/>
      <c r="IW263" s="17"/>
      <c r="IX263" s="17"/>
      <c r="IY263" s="17"/>
      <c r="IZ263" s="17"/>
      <c r="JA263" s="17"/>
      <c r="JB263" s="17"/>
      <c r="JC263" s="17"/>
      <c r="JD263" s="17"/>
      <c r="JE263" s="17"/>
      <c r="JF263" s="17"/>
      <c r="JG263" s="17"/>
      <c r="JH263" s="17"/>
      <c r="JI263" s="17"/>
      <c r="JJ263" s="17"/>
      <c r="JK263" s="17"/>
      <c r="JL263" s="17"/>
      <c r="JM263" s="17"/>
      <c r="JN263" s="17"/>
      <c r="JO263" s="17"/>
      <c r="JP263" s="17"/>
      <c r="JQ263" s="17"/>
      <c r="JR263" s="17"/>
      <c r="JS263" s="17"/>
      <c r="JT263" s="17"/>
      <c r="JU263" s="17"/>
      <c r="JV263" s="17"/>
      <c r="JW263" s="17"/>
      <c r="JX263" s="17"/>
      <c r="JY263" s="17"/>
      <c r="JZ263" s="17"/>
      <c r="KA263" s="17"/>
      <c r="KB263" s="17"/>
      <c r="KC263" s="17"/>
      <c r="KD263" s="17"/>
      <c r="KE263" s="17"/>
      <c r="KF263" s="17"/>
      <c r="KG263" s="17"/>
      <c r="KH263" s="17"/>
      <c r="KI263" s="17"/>
      <c r="KJ263" s="17"/>
      <c r="KK263" s="17"/>
      <c r="KL263" s="17"/>
      <c r="KM263" s="17"/>
      <c r="KN263" s="17"/>
      <c r="KO263" s="17"/>
      <c r="KP263" s="17"/>
      <c r="KQ263" s="17"/>
      <c r="KR263" s="17"/>
      <c r="KS263" s="17"/>
      <c r="KT263" s="17"/>
      <c r="KU263" s="17"/>
      <c r="KV263" s="17"/>
      <c r="KW263" s="17"/>
      <c r="KX263" s="17"/>
      <c r="KY263" s="17"/>
    </row>
    <row r="264" spans="1:311" x14ac:dyDescent="0.25">
      <c r="A264" s="17"/>
      <c r="B264" s="17"/>
      <c r="C264" s="17"/>
      <c r="D264" s="17"/>
      <c r="E264" s="17"/>
      <c r="F264" s="17"/>
      <c r="G264" s="17"/>
      <c r="H264" s="17"/>
      <c r="I264" s="17"/>
      <c r="J264" s="17"/>
      <c r="K264" s="17"/>
      <c r="L264" s="17"/>
      <c r="M264" s="17"/>
      <c r="N264" s="17"/>
      <c r="O264" s="17"/>
      <c r="P264" s="17"/>
      <c r="Q264" s="17"/>
      <c r="R264" s="17"/>
      <c r="S264" s="17"/>
      <c r="T264" s="17"/>
      <c r="U264" s="17"/>
      <c r="V264" s="17"/>
      <c r="W264" s="17"/>
      <c r="X264" s="17"/>
      <c r="Y264" s="17"/>
      <c r="Z264" s="17"/>
      <c r="AA264" s="17"/>
      <c r="AB264" s="17"/>
      <c r="AC264" s="17"/>
      <c r="AD264" s="17"/>
      <c r="AE264" s="17"/>
      <c r="AF264" s="17"/>
      <c r="AG264" s="17"/>
      <c r="AH264" s="17"/>
      <c r="AI264" s="17"/>
      <c r="AJ264" s="17"/>
      <c r="AK264" s="17"/>
      <c r="AL264" s="17"/>
      <c r="AM264" s="17"/>
      <c r="AN264" s="17"/>
      <c r="AO264" s="17"/>
      <c r="AP264" s="17"/>
      <c r="AQ264" s="17"/>
      <c r="AR264" s="17"/>
      <c r="AS264" s="17"/>
      <c r="AT264" s="17"/>
      <c r="AU264" s="17"/>
      <c r="AV264" s="17"/>
      <c r="AW264" s="17"/>
      <c r="AX264" s="17"/>
      <c r="AY264" s="17"/>
      <c r="AZ264" s="17"/>
      <c r="BA264" s="17"/>
      <c r="BB264" s="17"/>
      <c r="BC264" s="17"/>
      <c r="BD264" s="17"/>
      <c r="BE264" s="17"/>
      <c r="BF264" s="17"/>
      <c r="BG264" s="17"/>
      <c r="BH264" s="17"/>
      <c r="BI264" s="17"/>
      <c r="BJ264" s="17"/>
      <c r="BK264" s="17"/>
      <c r="BL264" s="17"/>
      <c r="BM264" s="17"/>
      <c r="BN264" s="17"/>
      <c r="BO264" s="17"/>
      <c r="BP264" s="17"/>
      <c r="BQ264" s="17"/>
      <c r="BR264" s="17"/>
      <c r="BS264" s="17"/>
      <c r="BT264" s="17"/>
      <c r="BU264" s="17"/>
      <c r="BV264" s="17"/>
      <c r="BW264" s="17"/>
      <c r="BX264" s="17"/>
      <c r="BY264" s="17"/>
      <c r="BZ264" s="17"/>
      <c r="CA264" s="17"/>
      <c r="CB264" s="17"/>
      <c r="CC264" s="17"/>
      <c r="CD264" s="17"/>
      <c r="CE264" s="17"/>
      <c r="CF264" s="17"/>
      <c r="CG264" s="17"/>
      <c r="CH264" s="17"/>
      <c r="CI264" s="17"/>
      <c r="CJ264" s="17"/>
      <c r="CK264" s="17"/>
      <c r="CL264" s="17"/>
      <c r="CM264" s="17"/>
      <c r="CN264" s="17"/>
      <c r="CO264" s="17"/>
      <c r="CP264" s="17"/>
      <c r="CQ264" s="17"/>
      <c r="CR264" s="17"/>
      <c r="CS264" s="17"/>
      <c r="CT264" s="17"/>
      <c r="CU264" s="17"/>
      <c r="CV264" s="17"/>
      <c r="CW264" s="17"/>
      <c r="CX264" s="17"/>
      <c r="CY264" s="17"/>
      <c r="CZ264" s="17"/>
      <c r="DA264" s="17"/>
      <c r="DB264" s="17"/>
      <c r="DC264" s="17"/>
      <c r="DD264" s="17"/>
      <c r="DE264" s="17"/>
      <c r="DF264" s="17"/>
      <c r="DG264" s="17"/>
      <c r="DH264" s="17"/>
      <c r="DI264" s="17"/>
      <c r="DJ264" s="17"/>
      <c r="DK264" s="17"/>
      <c r="DL264" s="17"/>
      <c r="DM264" s="17"/>
      <c r="DN264" s="17"/>
      <c r="DO264" s="17"/>
      <c r="DP264" s="17"/>
      <c r="DQ264" s="17"/>
      <c r="DR264" s="17"/>
      <c r="DS264" s="17"/>
      <c r="DT264" s="17"/>
      <c r="DU264" s="17"/>
      <c r="DV264" s="17"/>
      <c r="DW264" s="17"/>
      <c r="DX264" s="17"/>
      <c r="DY264" s="17"/>
      <c r="DZ264" s="17"/>
      <c r="EA264" s="17"/>
      <c r="EB264" s="17"/>
      <c r="EC264" s="17"/>
      <c r="ED264" s="17"/>
      <c r="EE264" s="17"/>
      <c r="EF264" s="17"/>
      <c r="EG264" s="17"/>
      <c r="EH264" s="17"/>
      <c r="EI264" s="17"/>
      <c r="EJ264" s="17"/>
      <c r="EK264" s="17"/>
      <c r="EL264" s="17"/>
      <c r="EM264" s="17"/>
      <c r="EN264" s="17"/>
      <c r="EO264" s="17"/>
      <c r="EP264" s="17"/>
      <c r="EQ264" s="17"/>
      <c r="ER264" s="17"/>
      <c r="ES264" s="17"/>
      <c r="ET264" s="17"/>
      <c r="EU264" s="17"/>
      <c r="EV264" s="17"/>
      <c r="EW264" s="17"/>
      <c r="EX264" s="17"/>
      <c r="EY264" s="17"/>
      <c r="EZ264" s="17"/>
      <c r="FA264" s="17"/>
      <c r="FB264" s="17"/>
      <c r="FC264" s="17"/>
      <c r="FD264" s="17"/>
      <c r="FE264" s="17"/>
      <c r="FF264" s="17"/>
      <c r="FG264" s="17"/>
      <c r="FH264" s="17"/>
      <c r="FI264" s="17"/>
      <c r="FJ264" s="17"/>
      <c r="FK264" s="17"/>
      <c r="FL264" s="17"/>
      <c r="FM264" s="17"/>
      <c r="FN264" s="17"/>
      <c r="FO264" s="17"/>
      <c r="FP264" s="17"/>
      <c r="FQ264" s="17"/>
      <c r="FR264" s="17"/>
      <c r="FS264" s="17"/>
      <c r="FT264" s="17"/>
      <c r="FU264" s="17"/>
      <c r="FV264" s="17"/>
      <c r="FW264" s="17"/>
      <c r="FX264" s="17"/>
      <c r="FY264" s="17"/>
      <c r="FZ264" s="17"/>
      <c r="GA264" s="17"/>
      <c r="GB264" s="17"/>
      <c r="GC264" s="17"/>
      <c r="GD264" s="17"/>
      <c r="GE264" s="17"/>
      <c r="GF264" s="17"/>
      <c r="GG264" s="17"/>
      <c r="GH264" s="17"/>
      <c r="GI264" s="17"/>
      <c r="GJ264" s="17"/>
      <c r="GK264" s="17"/>
      <c r="GL264" s="17"/>
      <c r="GM264" s="17"/>
      <c r="GN264" s="17"/>
      <c r="GO264" s="17"/>
      <c r="GP264" s="17"/>
      <c r="GQ264" s="17"/>
      <c r="GR264" s="17"/>
      <c r="GS264" s="17"/>
      <c r="GT264" s="17"/>
      <c r="GU264" s="17"/>
      <c r="GV264" s="17"/>
      <c r="GW264" s="17"/>
      <c r="GX264" s="17"/>
      <c r="GY264" s="17"/>
      <c r="GZ264" s="17"/>
      <c r="HA264" s="17"/>
      <c r="HB264" s="17"/>
      <c r="HC264" s="17"/>
      <c r="HD264" s="17"/>
      <c r="HE264" s="17"/>
      <c r="HF264" s="17"/>
      <c r="HG264" s="17"/>
      <c r="HH264" s="17"/>
      <c r="HI264" s="17"/>
      <c r="HJ264" s="17"/>
      <c r="HK264" s="17"/>
      <c r="HL264" s="17"/>
      <c r="HM264" s="17"/>
      <c r="HN264" s="17"/>
      <c r="HO264" s="17"/>
      <c r="HP264" s="17"/>
      <c r="HQ264" s="17"/>
      <c r="HR264" s="17"/>
      <c r="HS264" s="17"/>
      <c r="HT264" s="17"/>
      <c r="HU264" s="17"/>
      <c r="HV264" s="17"/>
      <c r="HW264" s="17"/>
      <c r="HX264" s="17"/>
      <c r="HY264" s="17"/>
      <c r="HZ264" s="17"/>
      <c r="IA264" s="17"/>
      <c r="IB264" s="17"/>
      <c r="IC264" s="17"/>
      <c r="ID264" s="17"/>
      <c r="IE264" s="17"/>
      <c r="IF264" s="17"/>
      <c r="IG264" s="17"/>
      <c r="IH264" s="17"/>
      <c r="II264" s="17"/>
      <c r="IJ264" s="17"/>
      <c r="IK264" s="17"/>
      <c r="IL264" s="17"/>
      <c r="IM264" s="17"/>
      <c r="IN264" s="17"/>
      <c r="IO264" s="17"/>
      <c r="IP264" s="17"/>
      <c r="IQ264" s="17"/>
      <c r="IR264" s="17"/>
      <c r="IS264" s="17"/>
      <c r="IT264" s="17"/>
      <c r="IU264" s="17"/>
      <c r="IV264" s="17"/>
      <c r="IW264" s="17"/>
      <c r="IX264" s="17"/>
      <c r="IY264" s="17"/>
      <c r="IZ264" s="17"/>
      <c r="JA264" s="17"/>
      <c r="JB264" s="17"/>
      <c r="JC264" s="17"/>
      <c r="JD264" s="17"/>
      <c r="JE264" s="17"/>
      <c r="JF264" s="17"/>
      <c r="JG264" s="17"/>
      <c r="JH264" s="17"/>
      <c r="JI264" s="17"/>
      <c r="JJ264" s="17"/>
      <c r="JK264" s="17"/>
      <c r="JL264" s="17"/>
      <c r="JM264" s="17"/>
      <c r="JN264" s="17"/>
      <c r="JO264" s="17"/>
      <c r="JP264" s="17"/>
      <c r="JQ264" s="17"/>
      <c r="JR264" s="17"/>
      <c r="JS264" s="17"/>
      <c r="JT264" s="17"/>
      <c r="JU264" s="17"/>
      <c r="JV264" s="17"/>
      <c r="JW264" s="17"/>
      <c r="JX264" s="17"/>
      <c r="JY264" s="17"/>
      <c r="JZ264" s="17"/>
      <c r="KA264" s="17"/>
      <c r="KB264" s="17"/>
      <c r="KC264" s="17"/>
      <c r="KD264" s="17"/>
      <c r="KE264" s="17"/>
      <c r="KF264" s="17"/>
      <c r="KG264" s="17"/>
      <c r="KH264" s="17"/>
      <c r="KI264" s="17"/>
      <c r="KJ264" s="17"/>
      <c r="KK264" s="17"/>
      <c r="KL264" s="17"/>
      <c r="KM264" s="17"/>
      <c r="KN264" s="17"/>
      <c r="KO264" s="17"/>
      <c r="KP264" s="17"/>
      <c r="KQ264" s="17"/>
      <c r="KR264" s="17"/>
      <c r="KS264" s="17"/>
      <c r="KT264" s="17"/>
      <c r="KU264" s="17"/>
      <c r="KV264" s="17"/>
      <c r="KW264" s="17"/>
      <c r="KX264" s="17"/>
      <c r="KY264" s="17"/>
    </row>
    <row r="265" spans="1:311" x14ac:dyDescent="0.25">
      <c r="A265" s="17"/>
      <c r="B265" s="17"/>
      <c r="C265" s="17"/>
      <c r="D265" s="17"/>
      <c r="E265" s="17"/>
      <c r="F265" s="17"/>
      <c r="G265" s="17"/>
      <c r="H265" s="17"/>
      <c r="I265" s="17"/>
      <c r="J265" s="17"/>
      <c r="K265" s="17"/>
      <c r="L265" s="17"/>
      <c r="M265" s="17"/>
      <c r="N265" s="17"/>
      <c r="O265" s="17"/>
      <c r="P265" s="17"/>
      <c r="Q265" s="17"/>
      <c r="R265" s="17"/>
      <c r="S265" s="17"/>
      <c r="T265" s="17"/>
      <c r="U265" s="17"/>
      <c r="V265" s="17"/>
      <c r="W265" s="17"/>
      <c r="X265" s="17"/>
      <c r="Y265" s="17"/>
      <c r="Z265" s="17"/>
      <c r="AA265" s="17"/>
      <c r="AB265" s="17"/>
      <c r="AC265" s="17"/>
      <c r="AD265" s="17"/>
      <c r="AE265" s="17"/>
      <c r="AF265" s="17"/>
      <c r="AG265" s="17"/>
      <c r="AH265" s="17"/>
      <c r="AI265" s="17"/>
      <c r="AJ265" s="17"/>
      <c r="AK265" s="17"/>
      <c r="AL265" s="17"/>
      <c r="AM265" s="17"/>
      <c r="AN265" s="17"/>
      <c r="AO265" s="17"/>
      <c r="AP265" s="17"/>
      <c r="AQ265" s="17"/>
      <c r="AR265" s="17"/>
      <c r="AS265" s="17"/>
      <c r="AT265" s="17"/>
      <c r="AU265" s="17"/>
      <c r="AV265" s="17"/>
      <c r="AW265" s="17"/>
      <c r="AX265" s="17"/>
      <c r="AY265" s="17"/>
      <c r="AZ265" s="17"/>
      <c r="BA265" s="17"/>
      <c r="BB265" s="17"/>
      <c r="BC265" s="17"/>
      <c r="BD265" s="17"/>
      <c r="BE265" s="17"/>
      <c r="BF265" s="17"/>
      <c r="BG265" s="17"/>
      <c r="BH265" s="17"/>
      <c r="BI265" s="17"/>
      <c r="BJ265" s="17"/>
      <c r="BK265" s="17"/>
      <c r="BL265" s="17"/>
      <c r="BM265" s="17"/>
      <c r="BN265" s="17"/>
      <c r="BO265" s="17"/>
      <c r="BP265" s="17"/>
      <c r="BQ265" s="17"/>
      <c r="BR265" s="17"/>
      <c r="BS265" s="17"/>
      <c r="BT265" s="17"/>
      <c r="BU265" s="17"/>
      <c r="BV265" s="17"/>
      <c r="BW265" s="17"/>
      <c r="BX265" s="17"/>
      <c r="BY265" s="17"/>
      <c r="BZ265" s="17"/>
      <c r="CA265" s="17"/>
      <c r="CB265" s="17"/>
      <c r="CC265" s="17"/>
      <c r="CD265" s="17"/>
      <c r="CE265" s="17"/>
      <c r="CF265" s="17"/>
      <c r="CG265" s="17"/>
      <c r="CH265" s="17"/>
      <c r="CI265" s="17"/>
      <c r="CJ265" s="17"/>
      <c r="CK265" s="17"/>
      <c r="CL265" s="17"/>
      <c r="CM265" s="17"/>
      <c r="CN265" s="17"/>
      <c r="CO265" s="17"/>
      <c r="CP265" s="17"/>
      <c r="CQ265" s="17"/>
      <c r="CR265" s="17"/>
      <c r="CS265" s="17"/>
      <c r="CT265" s="17"/>
      <c r="CU265" s="17"/>
      <c r="CV265" s="17"/>
      <c r="CW265" s="17"/>
      <c r="CX265" s="17"/>
      <c r="CY265" s="17"/>
      <c r="CZ265" s="17"/>
      <c r="DA265" s="17"/>
      <c r="DB265" s="17"/>
      <c r="DC265" s="17"/>
      <c r="DD265" s="17"/>
      <c r="DE265" s="17"/>
      <c r="DF265" s="17"/>
      <c r="DG265" s="17"/>
      <c r="DH265" s="17"/>
      <c r="DI265" s="17"/>
      <c r="DJ265" s="17"/>
      <c r="DK265" s="17"/>
      <c r="DL265" s="17"/>
      <c r="DM265" s="17"/>
      <c r="DN265" s="17"/>
      <c r="DO265" s="17"/>
      <c r="DP265" s="17"/>
      <c r="DQ265" s="17"/>
      <c r="DR265" s="17"/>
      <c r="DS265" s="17"/>
      <c r="DT265" s="17"/>
      <c r="DU265" s="17"/>
      <c r="DV265" s="17"/>
      <c r="DW265" s="17"/>
      <c r="DX265" s="17"/>
      <c r="DY265" s="17"/>
      <c r="DZ265" s="17"/>
      <c r="EA265" s="17"/>
      <c r="EB265" s="17"/>
      <c r="EC265" s="17"/>
      <c r="ED265" s="17"/>
      <c r="EE265" s="17"/>
      <c r="EF265" s="17"/>
      <c r="EG265" s="17"/>
      <c r="EH265" s="17"/>
      <c r="EI265" s="17"/>
      <c r="EJ265" s="17"/>
      <c r="EK265" s="17"/>
      <c r="EL265" s="17"/>
      <c r="EM265" s="17"/>
      <c r="EN265" s="17"/>
      <c r="EO265" s="17"/>
      <c r="EP265" s="17"/>
      <c r="EQ265" s="17"/>
      <c r="ER265" s="17"/>
      <c r="ES265" s="17"/>
      <c r="ET265" s="17"/>
      <c r="EU265" s="17"/>
      <c r="EV265" s="17"/>
      <c r="EW265" s="17"/>
      <c r="EX265" s="17"/>
      <c r="EY265" s="17"/>
      <c r="EZ265" s="17"/>
      <c r="FA265" s="17"/>
      <c r="FB265" s="17"/>
      <c r="FC265" s="17"/>
      <c r="FD265" s="17"/>
      <c r="FE265" s="17"/>
      <c r="FF265" s="17"/>
      <c r="FG265" s="17"/>
      <c r="FH265" s="17"/>
      <c r="FI265" s="17"/>
      <c r="FJ265" s="17"/>
      <c r="FK265" s="17"/>
      <c r="FL265" s="17"/>
      <c r="FM265" s="17"/>
      <c r="FN265" s="17"/>
      <c r="FO265" s="17"/>
      <c r="FP265" s="17"/>
      <c r="FQ265" s="17"/>
      <c r="FR265" s="17"/>
      <c r="FS265" s="17"/>
      <c r="FT265" s="17"/>
      <c r="FU265" s="17"/>
      <c r="FV265" s="17"/>
      <c r="FW265" s="17"/>
      <c r="FX265" s="17"/>
      <c r="FY265" s="17"/>
      <c r="FZ265" s="17"/>
      <c r="GA265" s="17"/>
      <c r="GB265" s="17"/>
      <c r="GC265" s="17"/>
      <c r="GD265" s="17"/>
      <c r="GE265" s="17"/>
      <c r="GF265" s="17"/>
      <c r="GG265" s="17"/>
      <c r="GH265" s="17"/>
      <c r="GI265" s="17"/>
      <c r="GJ265" s="17"/>
      <c r="GK265" s="17"/>
      <c r="GL265" s="17"/>
      <c r="GM265" s="17"/>
      <c r="GN265" s="17"/>
      <c r="GO265" s="17"/>
      <c r="GP265" s="17"/>
      <c r="GQ265" s="17"/>
      <c r="GR265" s="17"/>
      <c r="GS265" s="17"/>
      <c r="GT265" s="17"/>
      <c r="GU265" s="17"/>
      <c r="GV265" s="17"/>
      <c r="GW265" s="17"/>
      <c r="GX265" s="17"/>
      <c r="GY265" s="17"/>
      <c r="GZ265" s="17"/>
      <c r="HA265" s="17"/>
      <c r="HB265" s="17"/>
      <c r="HC265" s="17"/>
      <c r="HD265" s="17"/>
      <c r="HE265" s="17"/>
      <c r="HF265" s="17"/>
      <c r="HG265" s="17"/>
      <c r="HH265" s="17"/>
      <c r="HI265" s="17"/>
      <c r="HJ265" s="17"/>
      <c r="HK265" s="17"/>
      <c r="HL265" s="17"/>
      <c r="HM265" s="17"/>
      <c r="HN265" s="17"/>
      <c r="HO265" s="17"/>
      <c r="HP265" s="17"/>
      <c r="HQ265" s="17"/>
      <c r="HR265" s="17"/>
      <c r="HS265" s="17"/>
      <c r="HT265" s="17"/>
      <c r="HU265" s="17"/>
      <c r="HV265" s="17"/>
      <c r="HW265" s="17"/>
      <c r="HX265" s="17"/>
      <c r="HY265" s="17"/>
      <c r="HZ265" s="17"/>
      <c r="IA265" s="17"/>
      <c r="IB265" s="17"/>
      <c r="IC265" s="17"/>
      <c r="ID265" s="17"/>
      <c r="IE265" s="17"/>
      <c r="IF265" s="17"/>
      <c r="IG265" s="17"/>
      <c r="IH265" s="17"/>
      <c r="II265" s="17"/>
      <c r="IJ265" s="17"/>
      <c r="IK265" s="17"/>
      <c r="IL265" s="17"/>
      <c r="IM265" s="17"/>
      <c r="IN265" s="17"/>
      <c r="IO265" s="17"/>
      <c r="IP265" s="17"/>
      <c r="IQ265" s="17"/>
      <c r="IR265" s="17"/>
      <c r="IS265" s="17"/>
      <c r="IT265" s="17"/>
      <c r="IU265" s="17"/>
      <c r="IV265" s="17"/>
      <c r="IW265" s="17"/>
      <c r="IX265" s="17"/>
      <c r="IY265" s="17"/>
      <c r="IZ265" s="17"/>
      <c r="JA265" s="17"/>
      <c r="JB265" s="17"/>
      <c r="JC265" s="17"/>
      <c r="JD265" s="17"/>
      <c r="JE265" s="17"/>
      <c r="JF265" s="17"/>
      <c r="JG265" s="17"/>
      <c r="JH265" s="17"/>
      <c r="JI265" s="17"/>
      <c r="JJ265" s="17"/>
      <c r="JK265" s="17"/>
      <c r="JL265" s="17"/>
      <c r="JM265" s="17"/>
      <c r="JN265" s="17"/>
      <c r="JO265" s="17"/>
      <c r="JP265" s="17"/>
      <c r="JQ265" s="17"/>
      <c r="JR265" s="17"/>
      <c r="JS265" s="17"/>
      <c r="JT265" s="17"/>
      <c r="JU265" s="17"/>
      <c r="JV265" s="17"/>
      <c r="JW265" s="17"/>
      <c r="JX265" s="17"/>
      <c r="JY265" s="17"/>
      <c r="JZ265" s="17"/>
      <c r="KA265" s="17"/>
      <c r="KB265" s="17"/>
      <c r="KC265" s="17"/>
      <c r="KD265" s="17"/>
      <c r="KE265" s="17"/>
      <c r="KF265" s="17"/>
      <c r="KG265" s="17"/>
      <c r="KH265" s="17"/>
      <c r="KI265" s="17"/>
      <c r="KJ265" s="17"/>
      <c r="KK265" s="17"/>
      <c r="KL265" s="17"/>
      <c r="KM265" s="17"/>
      <c r="KN265" s="17"/>
      <c r="KO265" s="17"/>
      <c r="KP265" s="17"/>
      <c r="KQ265" s="17"/>
      <c r="KR265" s="17"/>
      <c r="KS265" s="17"/>
      <c r="KT265" s="17"/>
      <c r="KU265" s="17"/>
      <c r="KV265" s="17"/>
      <c r="KW265" s="17"/>
      <c r="KX265" s="17"/>
      <c r="KY265" s="17"/>
    </row>
    <row r="266" spans="1:311" x14ac:dyDescent="0.25">
      <c r="A266" s="17"/>
      <c r="B266" s="17"/>
      <c r="C266" s="17"/>
      <c r="D266" s="17"/>
      <c r="E266" s="17"/>
      <c r="F266" s="17"/>
      <c r="G266" s="17"/>
      <c r="H266" s="17"/>
      <c r="I266" s="17"/>
      <c r="J266" s="17"/>
      <c r="K266" s="17"/>
      <c r="L266" s="17"/>
      <c r="M266" s="17"/>
      <c r="N266" s="17"/>
      <c r="O266" s="17"/>
      <c r="P266" s="17"/>
      <c r="Q266" s="17"/>
      <c r="R266" s="17"/>
      <c r="S266" s="17"/>
      <c r="T266" s="17"/>
      <c r="U266" s="17"/>
      <c r="V266" s="17"/>
      <c r="W266" s="17"/>
      <c r="X266" s="17"/>
      <c r="Y266" s="17"/>
      <c r="Z266" s="17"/>
      <c r="AA266" s="17"/>
      <c r="AB266" s="17"/>
      <c r="AC266" s="17"/>
      <c r="AD266" s="17"/>
      <c r="AE266" s="17"/>
      <c r="AF266" s="17"/>
      <c r="AG266" s="17"/>
      <c r="AH266" s="17"/>
      <c r="AI266" s="17"/>
      <c r="AJ266" s="17"/>
      <c r="AK266" s="17"/>
      <c r="AL266" s="17"/>
      <c r="AM266" s="17"/>
      <c r="AN266" s="17"/>
      <c r="AO266" s="17"/>
      <c r="AP266" s="17"/>
      <c r="AQ266" s="17"/>
      <c r="AR266" s="17"/>
      <c r="AS266" s="17"/>
      <c r="AT266" s="17"/>
      <c r="AU266" s="17"/>
      <c r="AV266" s="17"/>
      <c r="AW266" s="17"/>
      <c r="AX266" s="17"/>
      <c r="AY266" s="17"/>
      <c r="AZ266" s="17"/>
      <c r="BA266" s="17"/>
      <c r="BB266" s="17"/>
      <c r="BC266" s="17"/>
      <c r="BD266" s="17"/>
      <c r="BE266" s="17"/>
      <c r="BF266" s="17"/>
      <c r="BG266" s="17"/>
      <c r="BH266" s="17"/>
      <c r="BI266" s="17"/>
      <c r="BJ266" s="17"/>
      <c r="BK266" s="17"/>
      <c r="BL266" s="17"/>
      <c r="BM266" s="17"/>
      <c r="BN266" s="17"/>
      <c r="BO266" s="17"/>
      <c r="BP266" s="17"/>
      <c r="BQ266" s="17"/>
      <c r="BR266" s="17"/>
      <c r="BS266" s="17"/>
      <c r="BT266" s="17"/>
      <c r="BU266" s="17"/>
      <c r="BV266" s="17"/>
      <c r="BW266" s="17"/>
      <c r="BX266" s="17"/>
      <c r="BY266" s="17"/>
      <c r="BZ266" s="17"/>
      <c r="CA266" s="17"/>
      <c r="CB266" s="17"/>
      <c r="CC266" s="17"/>
      <c r="CD266" s="17"/>
      <c r="CE266" s="17"/>
      <c r="CF266" s="17"/>
      <c r="CG266" s="17"/>
      <c r="CH266" s="17"/>
      <c r="CI266" s="17"/>
      <c r="CJ266" s="17"/>
      <c r="CK266" s="17"/>
      <c r="CL266" s="17"/>
      <c r="CM266" s="17"/>
      <c r="CN266" s="17"/>
      <c r="CO266" s="17"/>
      <c r="CP266" s="17"/>
      <c r="CQ266" s="17"/>
      <c r="CR266" s="17"/>
      <c r="CS266" s="17"/>
      <c r="CT266" s="17"/>
      <c r="CU266" s="17"/>
      <c r="CV266" s="17"/>
      <c r="CW266" s="17"/>
      <c r="CX266" s="17"/>
      <c r="CY266" s="17"/>
      <c r="CZ266" s="17"/>
      <c r="DA266" s="17"/>
      <c r="DB266" s="17"/>
      <c r="DC266" s="17"/>
      <c r="DD266" s="17"/>
      <c r="DE266" s="17"/>
      <c r="DF266" s="17"/>
      <c r="DG266" s="17"/>
      <c r="DH266" s="17"/>
      <c r="DI266" s="17"/>
      <c r="DJ266" s="17"/>
      <c r="DK266" s="17"/>
      <c r="DL266" s="17"/>
      <c r="DM266" s="17"/>
      <c r="DN266" s="17"/>
      <c r="DO266" s="17"/>
      <c r="DP266" s="17"/>
      <c r="DQ266" s="17"/>
      <c r="DR266" s="17"/>
      <c r="DS266" s="17"/>
      <c r="DT266" s="17"/>
      <c r="DU266" s="17"/>
      <c r="DV266" s="1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FH266" s="17"/>
      <c r="FI266" s="17"/>
      <c r="FJ266" s="17"/>
      <c r="FK266" s="17"/>
      <c r="FL266" s="17"/>
      <c r="FM266" s="17"/>
      <c r="FN266" s="17"/>
      <c r="FO266" s="17"/>
      <c r="FP266" s="17"/>
      <c r="FQ266" s="17"/>
      <c r="FR266" s="17"/>
      <c r="FS266" s="17"/>
      <c r="FT266" s="17"/>
      <c r="FU266" s="17"/>
      <c r="FV266" s="17"/>
      <c r="FW266" s="17"/>
      <c r="FX266" s="17"/>
      <c r="FY266" s="17"/>
      <c r="FZ266" s="17"/>
      <c r="GA266" s="17"/>
      <c r="GB266" s="17"/>
      <c r="GC266" s="17"/>
      <c r="GD266" s="17"/>
      <c r="GE266" s="17"/>
      <c r="GF266" s="17"/>
      <c r="GG266" s="17"/>
      <c r="GH266" s="17"/>
      <c r="GI266" s="17"/>
      <c r="GJ266" s="17"/>
      <c r="GK266" s="17"/>
      <c r="GL266" s="17"/>
      <c r="GM266" s="17"/>
      <c r="GN266" s="17"/>
      <c r="GO266" s="17"/>
      <c r="GP266" s="17"/>
      <c r="GQ266" s="17"/>
      <c r="GR266" s="17"/>
      <c r="GS266" s="17"/>
      <c r="GT266" s="17"/>
      <c r="GU266" s="17"/>
      <c r="GV266" s="17"/>
      <c r="GW266" s="17"/>
      <c r="GX266" s="17"/>
      <c r="GY266" s="17"/>
      <c r="GZ266" s="17"/>
      <c r="HA266" s="17"/>
      <c r="HB266" s="17"/>
      <c r="HC266" s="17"/>
      <c r="HD266" s="17"/>
      <c r="HE266" s="17"/>
      <c r="HF266" s="17"/>
      <c r="HG266" s="17"/>
      <c r="HH266" s="17"/>
      <c r="HI266" s="17"/>
      <c r="HJ266" s="17"/>
      <c r="HK266" s="17"/>
      <c r="HL266" s="17"/>
      <c r="HM266" s="17"/>
      <c r="HN266" s="17"/>
      <c r="HO266" s="17"/>
      <c r="HP266" s="17"/>
      <c r="HQ266" s="17"/>
      <c r="HR266" s="17"/>
      <c r="HS266" s="17"/>
      <c r="HT266" s="17"/>
      <c r="HU266" s="17"/>
      <c r="HV266" s="17"/>
      <c r="HW266" s="17"/>
      <c r="HX266" s="17"/>
      <c r="HY266" s="17"/>
      <c r="HZ266" s="17"/>
      <c r="IA266" s="17"/>
      <c r="IB266" s="17"/>
      <c r="IC266" s="17"/>
      <c r="ID266" s="17"/>
      <c r="IE266" s="17"/>
      <c r="IF266" s="17"/>
      <c r="IG266" s="17"/>
      <c r="IH266" s="17"/>
      <c r="II266" s="17"/>
      <c r="IJ266" s="17"/>
      <c r="IK266" s="17"/>
      <c r="IL266" s="17"/>
      <c r="IM266" s="17"/>
      <c r="IN266" s="17"/>
      <c r="IO266" s="17"/>
      <c r="IP266" s="17"/>
      <c r="IQ266" s="17"/>
      <c r="IR266" s="17"/>
      <c r="IS266" s="17"/>
      <c r="IT266" s="17"/>
      <c r="IU266" s="17"/>
      <c r="IV266" s="17"/>
      <c r="IW266" s="17"/>
      <c r="IX266" s="17"/>
      <c r="IY266" s="17"/>
      <c r="IZ266" s="17"/>
      <c r="JA266" s="17"/>
      <c r="JB266" s="17"/>
      <c r="JC266" s="17"/>
      <c r="JD266" s="17"/>
      <c r="JE266" s="17"/>
      <c r="JF266" s="17"/>
      <c r="JG266" s="17"/>
      <c r="JH266" s="17"/>
      <c r="JI266" s="17"/>
      <c r="JJ266" s="17"/>
      <c r="JK266" s="17"/>
      <c r="JL266" s="17"/>
      <c r="JM266" s="17"/>
      <c r="JN266" s="17"/>
      <c r="JO266" s="17"/>
      <c r="JP266" s="17"/>
      <c r="JQ266" s="17"/>
      <c r="JR266" s="17"/>
      <c r="JS266" s="17"/>
      <c r="JT266" s="17"/>
      <c r="JU266" s="17"/>
      <c r="JV266" s="17"/>
      <c r="JW266" s="17"/>
      <c r="JX266" s="17"/>
      <c r="JY266" s="17"/>
      <c r="JZ266" s="17"/>
      <c r="KA266" s="17"/>
      <c r="KB266" s="17"/>
      <c r="KC266" s="17"/>
      <c r="KD266" s="17"/>
      <c r="KE266" s="17"/>
      <c r="KF266" s="17"/>
      <c r="KG266" s="17"/>
      <c r="KH266" s="17"/>
      <c r="KI266" s="17"/>
      <c r="KJ266" s="17"/>
      <c r="KK266" s="17"/>
      <c r="KL266" s="17"/>
      <c r="KM266" s="17"/>
      <c r="KN266" s="17"/>
      <c r="KO266" s="17"/>
      <c r="KP266" s="17"/>
      <c r="KQ266" s="17"/>
      <c r="KR266" s="17"/>
      <c r="KS266" s="17"/>
      <c r="KT266" s="17"/>
      <c r="KU266" s="17"/>
      <c r="KV266" s="17"/>
      <c r="KW266" s="17"/>
      <c r="KX266" s="17"/>
      <c r="KY266" s="17"/>
    </row>
    <row r="267" spans="1:311" x14ac:dyDescent="0.25">
      <c r="A267" s="17"/>
      <c r="B267" s="17"/>
      <c r="C267" s="17"/>
      <c r="D267" s="17"/>
      <c r="E267" s="17"/>
      <c r="F267" s="17"/>
      <c r="G267" s="17"/>
      <c r="H267" s="17"/>
      <c r="I267" s="17"/>
      <c r="J267" s="17"/>
      <c r="K267" s="17"/>
      <c r="L267" s="17"/>
      <c r="M267" s="17"/>
      <c r="N267" s="17"/>
      <c r="O267" s="17"/>
      <c r="P267" s="17"/>
      <c r="Q267" s="17"/>
      <c r="R267" s="17"/>
      <c r="S267" s="17"/>
      <c r="T267" s="17"/>
      <c r="U267" s="17"/>
      <c r="V267" s="17"/>
      <c r="W267" s="17"/>
      <c r="X267" s="17"/>
      <c r="Y267" s="17"/>
      <c r="Z267" s="17"/>
      <c r="AA267" s="17"/>
      <c r="AB267" s="17"/>
      <c r="AC267" s="17"/>
      <c r="AD267" s="17"/>
      <c r="AE267" s="17"/>
      <c r="AF267" s="17"/>
      <c r="AG267" s="17"/>
      <c r="AH267" s="17"/>
      <c r="AI267" s="17"/>
      <c r="AJ267" s="17"/>
      <c r="AK267" s="17"/>
      <c r="AL267" s="17"/>
      <c r="AM267" s="17"/>
      <c r="AN267" s="17"/>
      <c r="AO267" s="17"/>
      <c r="AP267" s="17"/>
      <c r="AQ267" s="17"/>
      <c r="AR267" s="17"/>
      <c r="AS267" s="17"/>
      <c r="AT267" s="17"/>
      <c r="AU267" s="17"/>
      <c r="AV267" s="17"/>
      <c r="AW267" s="17"/>
      <c r="AX267" s="17"/>
      <c r="AY267" s="17"/>
      <c r="AZ267" s="17"/>
      <c r="BA267" s="17"/>
      <c r="BB267" s="17"/>
      <c r="BC267" s="17"/>
      <c r="BD267" s="17"/>
      <c r="BE267" s="17"/>
      <c r="BF267" s="17"/>
      <c r="BG267" s="17"/>
      <c r="BH267" s="17"/>
      <c r="BI267" s="17"/>
      <c r="BJ267" s="17"/>
      <c r="BK267" s="17"/>
      <c r="BL267" s="17"/>
      <c r="BM267" s="17"/>
      <c r="BN267" s="17"/>
      <c r="BO267" s="17"/>
      <c r="BP267" s="17"/>
      <c r="BQ267" s="17"/>
      <c r="BR267" s="17"/>
      <c r="BS267" s="17"/>
      <c r="BT267" s="17"/>
      <c r="BU267" s="17"/>
      <c r="BV267" s="17"/>
      <c r="BW267" s="17"/>
      <c r="BX267" s="17"/>
      <c r="BY267" s="17"/>
      <c r="BZ267" s="17"/>
      <c r="CA267" s="17"/>
      <c r="CB267" s="17"/>
      <c r="CC267" s="17"/>
      <c r="CD267" s="17"/>
      <c r="CE267" s="17"/>
      <c r="CF267" s="17"/>
      <c r="CG267" s="17"/>
      <c r="CH267" s="17"/>
      <c r="CI267" s="17"/>
      <c r="CJ267" s="17"/>
      <c r="CK267" s="17"/>
      <c r="CL267" s="17"/>
      <c r="CM267" s="17"/>
      <c r="CN267" s="17"/>
      <c r="CO267" s="17"/>
      <c r="CP267" s="17"/>
      <c r="CQ267" s="17"/>
      <c r="CR267" s="17"/>
      <c r="CS267" s="17"/>
      <c r="CT267" s="17"/>
      <c r="CU267" s="17"/>
      <c r="CV267" s="17"/>
      <c r="CW267" s="17"/>
      <c r="CX267" s="17"/>
      <c r="CY267" s="17"/>
      <c r="CZ267" s="17"/>
      <c r="DA267" s="17"/>
      <c r="DB267" s="17"/>
      <c r="DC267" s="17"/>
      <c r="DD267" s="17"/>
      <c r="DE267" s="17"/>
      <c r="DF267" s="17"/>
      <c r="DG267" s="17"/>
      <c r="DH267" s="17"/>
      <c r="DI267" s="17"/>
      <c r="DJ267" s="17"/>
      <c r="DK267" s="17"/>
      <c r="DL267" s="17"/>
      <c r="DM267" s="17"/>
      <c r="DN267" s="17"/>
      <c r="DO267" s="17"/>
      <c r="DP267" s="17"/>
      <c r="DQ267" s="17"/>
      <c r="DR267" s="17"/>
      <c r="DS267" s="17"/>
      <c r="DT267" s="17"/>
      <c r="DU267" s="17"/>
      <c r="DV267" s="1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FH267" s="17"/>
      <c r="FI267" s="17"/>
      <c r="FJ267" s="17"/>
      <c r="FK267" s="17"/>
      <c r="FL267" s="17"/>
      <c r="FM267" s="17"/>
      <c r="FN267" s="17"/>
      <c r="FO267" s="17"/>
      <c r="FP267" s="17"/>
      <c r="FQ267" s="17"/>
      <c r="FR267" s="17"/>
      <c r="FS267" s="17"/>
      <c r="FT267" s="17"/>
      <c r="FU267" s="17"/>
      <c r="FV267" s="17"/>
      <c r="FW267" s="17"/>
      <c r="FX267" s="17"/>
      <c r="FY267" s="17"/>
      <c r="FZ267" s="17"/>
      <c r="GA267" s="17"/>
      <c r="GB267" s="17"/>
      <c r="GC267" s="17"/>
      <c r="GD267" s="17"/>
      <c r="GE267" s="17"/>
      <c r="GF267" s="17"/>
      <c r="GG267" s="17"/>
      <c r="GH267" s="17"/>
      <c r="GI267" s="17"/>
      <c r="GJ267" s="17"/>
      <c r="GK267" s="17"/>
      <c r="GL267" s="17"/>
      <c r="GM267" s="17"/>
      <c r="GN267" s="17"/>
      <c r="GO267" s="17"/>
      <c r="GP267" s="17"/>
      <c r="GQ267" s="17"/>
      <c r="GR267" s="17"/>
      <c r="GS267" s="17"/>
      <c r="GT267" s="17"/>
      <c r="GU267" s="17"/>
      <c r="GV267" s="17"/>
      <c r="GW267" s="17"/>
      <c r="GX267" s="17"/>
      <c r="GY267" s="17"/>
      <c r="GZ267" s="17"/>
      <c r="HA267" s="17"/>
      <c r="HB267" s="17"/>
      <c r="HC267" s="17"/>
      <c r="HD267" s="17"/>
      <c r="HE267" s="17"/>
      <c r="HF267" s="17"/>
      <c r="HG267" s="17"/>
      <c r="HH267" s="17"/>
      <c r="HI267" s="17"/>
      <c r="HJ267" s="17"/>
      <c r="HK267" s="17"/>
      <c r="HL267" s="17"/>
      <c r="HM267" s="17"/>
      <c r="HN267" s="17"/>
      <c r="HO267" s="17"/>
      <c r="HP267" s="17"/>
      <c r="HQ267" s="17"/>
      <c r="HR267" s="17"/>
      <c r="HS267" s="17"/>
      <c r="HT267" s="17"/>
      <c r="HU267" s="17"/>
      <c r="HV267" s="17"/>
      <c r="HW267" s="17"/>
      <c r="HX267" s="17"/>
      <c r="HY267" s="17"/>
      <c r="HZ267" s="17"/>
      <c r="IA267" s="17"/>
      <c r="IB267" s="17"/>
      <c r="IC267" s="17"/>
      <c r="ID267" s="17"/>
      <c r="IE267" s="17"/>
      <c r="IF267" s="17"/>
      <c r="IG267" s="17"/>
      <c r="IH267" s="17"/>
      <c r="II267" s="17"/>
      <c r="IJ267" s="17"/>
      <c r="IK267" s="17"/>
      <c r="IL267" s="17"/>
      <c r="IM267" s="17"/>
      <c r="IN267" s="17"/>
      <c r="IO267" s="17"/>
      <c r="IP267" s="17"/>
      <c r="IQ267" s="17"/>
      <c r="IR267" s="17"/>
      <c r="IS267" s="17"/>
      <c r="IT267" s="17"/>
      <c r="IU267" s="17"/>
      <c r="IV267" s="17"/>
      <c r="IW267" s="17"/>
      <c r="IX267" s="17"/>
      <c r="IY267" s="17"/>
      <c r="IZ267" s="17"/>
      <c r="JA267" s="17"/>
      <c r="JB267" s="17"/>
      <c r="JC267" s="17"/>
      <c r="JD267" s="17"/>
      <c r="JE267" s="17"/>
      <c r="JF267" s="17"/>
      <c r="JG267" s="17"/>
      <c r="JH267" s="17"/>
      <c r="JI267" s="17"/>
      <c r="JJ267" s="17"/>
      <c r="JK267" s="17"/>
      <c r="JL267" s="17"/>
      <c r="JM267" s="17"/>
      <c r="JN267" s="17"/>
      <c r="JO267" s="17"/>
      <c r="JP267" s="17"/>
      <c r="JQ267" s="17"/>
      <c r="JR267" s="17"/>
      <c r="JS267" s="17"/>
      <c r="JT267" s="17"/>
      <c r="JU267" s="17"/>
      <c r="JV267" s="17"/>
      <c r="JW267" s="17"/>
      <c r="JX267" s="17"/>
      <c r="JY267" s="17"/>
      <c r="JZ267" s="17"/>
      <c r="KA267" s="17"/>
      <c r="KB267" s="17"/>
      <c r="KC267" s="17"/>
      <c r="KD267" s="17"/>
      <c r="KE267" s="17"/>
      <c r="KF267" s="17"/>
      <c r="KG267" s="17"/>
      <c r="KH267" s="17"/>
      <c r="KI267" s="17"/>
      <c r="KJ267" s="17"/>
      <c r="KK267" s="17"/>
      <c r="KL267" s="17"/>
      <c r="KM267" s="17"/>
      <c r="KN267" s="17"/>
      <c r="KO267" s="17"/>
      <c r="KP267" s="17"/>
      <c r="KQ267" s="17"/>
      <c r="KR267" s="17"/>
      <c r="KS267" s="17"/>
      <c r="KT267" s="17"/>
      <c r="KU267" s="17"/>
      <c r="KV267" s="17"/>
      <c r="KW267" s="17"/>
      <c r="KX267" s="17"/>
      <c r="KY267" s="17"/>
    </row>
    <row r="268" spans="1:311" x14ac:dyDescent="0.25">
      <c r="A268" s="17"/>
      <c r="B268" s="17"/>
      <c r="C268" s="17"/>
      <c r="D268" s="17"/>
      <c r="E268" s="17"/>
      <c r="F268" s="17"/>
      <c r="G268" s="17"/>
      <c r="H268" s="17"/>
      <c r="I268" s="17"/>
      <c r="J268" s="17"/>
      <c r="K268" s="17"/>
      <c r="L268" s="17"/>
      <c r="M268" s="17"/>
      <c r="N268" s="17"/>
      <c r="O268" s="17"/>
      <c r="P268" s="17"/>
      <c r="Q268" s="17"/>
      <c r="R268" s="17"/>
      <c r="S268" s="17"/>
      <c r="T268" s="17"/>
      <c r="U268" s="17"/>
      <c r="V268" s="17"/>
      <c r="W268" s="17"/>
      <c r="X268" s="17"/>
      <c r="Y268" s="17"/>
      <c r="Z268" s="17"/>
      <c r="AA268" s="17"/>
      <c r="AB268" s="17"/>
      <c r="AC268" s="17"/>
      <c r="AD268" s="17"/>
      <c r="AE268" s="17"/>
      <c r="AF268" s="17"/>
      <c r="AG268" s="17"/>
      <c r="AH268" s="17"/>
      <c r="AI268" s="17"/>
      <c r="AJ268" s="17"/>
      <c r="AK268" s="17"/>
      <c r="AL268" s="17"/>
      <c r="AM268" s="17"/>
      <c r="AN268" s="17"/>
      <c r="AO268" s="17"/>
      <c r="AP268" s="17"/>
      <c r="AQ268" s="17"/>
      <c r="AR268" s="17"/>
      <c r="AS268" s="17"/>
      <c r="AT268" s="17"/>
      <c r="AU268" s="17"/>
      <c r="AV268" s="17"/>
      <c r="AW268" s="17"/>
      <c r="AX268" s="17"/>
      <c r="AY268" s="17"/>
      <c r="AZ268" s="17"/>
      <c r="BA268" s="17"/>
      <c r="BB268" s="17"/>
      <c r="BC268" s="17"/>
      <c r="BD268" s="17"/>
      <c r="BE268" s="17"/>
      <c r="BF268" s="17"/>
      <c r="BG268" s="17"/>
      <c r="BH268" s="17"/>
      <c r="BI268" s="17"/>
      <c r="BJ268" s="17"/>
      <c r="BK268" s="17"/>
      <c r="BL268" s="17"/>
      <c r="BM268" s="17"/>
      <c r="BN268" s="17"/>
      <c r="BO268" s="17"/>
      <c r="BP268" s="17"/>
      <c r="BQ268" s="17"/>
      <c r="BR268" s="17"/>
      <c r="BS268" s="17"/>
      <c r="BT268" s="17"/>
      <c r="BU268" s="17"/>
      <c r="BV268" s="17"/>
      <c r="BW268" s="17"/>
      <c r="BX268" s="17"/>
      <c r="BY268" s="17"/>
      <c r="BZ268" s="17"/>
      <c r="CA268" s="17"/>
      <c r="CB268" s="17"/>
      <c r="CC268" s="17"/>
      <c r="CD268" s="17"/>
      <c r="CE268" s="17"/>
      <c r="CF268" s="17"/>
      <c r="CG268" s="17"/>
      <c r="CH268" s="17"/>
      <c r="CI268" s="17"/>
      <c r="CJ268" s="17"/>
      <c r="CK268" s="17"/>
      <c r="CL268" s="17"/>
      <c r="CM268" s="17"/>
      <c r="CN268" s="17"/>
      <c r="CO268" s="17"/>
      <c r="CP268" s="17"/>
      <c r="CQ268" s="17"/>
      <c r="CR268" s="17"/>
      <c r="CS268" s="17"/>
      <c r="CT268" s="17"/>
      <c r="CU268" s="17"/>
      <c r="CV268" s="17"/>
      <c r="CW268" s="17"/>
      <c r="CX268" s="17"/>
      <c r="CY268" s="17"/>
      <c r="CZ268" s="17"/>
      <c r="DA268" s="17"/>
      <c r="DB268" s="17"/>
      <c r="DC268" s="17"/>
      <c r="DD268" s="17"/>
      <c r="DE268" s="17"/>
      <c r="DF268" s="17"/>
      <c r="DG268" s="17"/>
      <c r="DH268" s="17"/>
      <c r="DI268" s="17"/>
      <c r="DJ268" s="17"/>
      <c r="DK268" s="17"/>
      <c r="DL268" s="17"/>
      <c r="DM268" s="17"/>
      <c r="DN268" s="17"/>
      <c r="DO268" s="17"/>
      <c r="DP268" s="17"/>
      <c r="DQ268" s="17"/>
      <c r="DR268" s="17"/>
      <c r="DS268" s="17"/>
      <c r="DT268" s="17"/>
      <c r="DU268" s="17"/>
      <c r="DV268" s="17"/>
      <c r="DW268" s="17"/>
      <c r="DX268" s="17"/>
      <c r="DY268" s="17"/>
      <c r="DZ268" s="17"/>
      <c r="EA268" s="17"/>
      <c r="EB268" s="17"/>
      <c r="EC268" s="17"/>
      <c r="ED268" s="17"/>
      <c r="EE268" s="17"/>
      <c r="EF268" s="17"/>
      <c r="EG268" s="17"/>
      <c r="EH268" s="17"/>
      <c r="EI268" s="17"/>
      <c r="EJ268" s="17"/>
      <c r="EK268" s="17"/>
      <c r="EL268" s="17"/>
      <c r="EM268" s="17"/>
      <c r="EN268" s="17"/>
      <c r="EO268" s="17"/>
      <c r="EP268" s="17"/>
      <c r="EQ268" s="17"/>
      <c r="ER268" s="17"/>
      <c r="ES268" s="17"/>
      <c r="ET268" s="17"/>
      <c r="EU268" s="17"/>
      <c r="EV268" s="17"/>
      <c r="EW268" s="17"/>
      <c r="EX268" s="17"/>
      <c r="EY268" s="17"/>
      <c r="EZ268" s="17"/>
      <c r="FA268" s="17"/>
      <c r="FB268" s="17"/>
      <c r="FC268" s="17"/>
      <c r="FD268" s="17"/>
      <c r="FE268" s="17"/>
      <c r="FF268" s="17"/>
      <c r="FG268" s="17"/>
      <c r="FH268" s="17"/>
      <c r="FI268" s="17"/>
      <c r="FJ268" s="17"/>
      <c r="FK268" s="17"/>
      <c r="FL268" s="17"/>
      <c r="FM268" s="17"/>
      <c r="FN268" s="17"/>
      <c r="FO268" s="17"/>
      <c r="FP268" s="17"/>
      <c r="FQ268" s="17"/>
      <c r="FR268" s="17"/>
      <c r="FS268" s="17"/>
      <c r="FT268" s="17"/>
      <c r="FU268" s="17"/>
      <c r="FV268" s="17"/>
      <c r="FW268" s="17"/>
      <c r="FX268" s="17"/>
      <c r="FY268" s="17"/>
      <c r="FZ268" s="17"/>
      <c r="GA268" s="17"/>
      <c r="GB268" s="17"/>
      <c r="GC268" s="17"/>
      <c r="GD268" s="17"/>
      <c r="GE268" s="17"/>
      <c r="GF268" s="17"/>
      <c r="GG268" s="17"/>
      <c r="GH268" s="17"/>
      <c r="GI268" s="17"/>
      <c r="GJ268" s="17"/>
      <c r="GK268" s="17"/>
      <c r="GL268" s="17"/>
      <c r="GM268" s="17"/>
      <c r="GN268" s="17"/>
      <c r="GO268" s="17"/>
      <c r="GP268" s="17"/>
      <c r="GQ268" s="17"/>
      <c r="GR268" s="17"/>
      <c r="GS268" s="17"/>
      <c r="GT268" s="17"/>
      <c r="GU268" s="17"/>
      <c r="GV268" s="17"/>
      <c r="GW268" s="17"/>
      <c r="GX268" s="17"/>
      <c r="GY268" s="17"/>
      <c r="GZ268" s="17"/>
      <c r="HA268" s="17"/>
      <c r="HB268" s="17"/>
      <c r="HC268" s="17"/>
      <c r="HD268" s="17"/>
      <c r="HE268" s="17"/>
      <c r="HF268" s="17"/>
      <c r="HG268" s="17"/>
      <c r="HH268" s="17"/>
      <c r="HI268" s="17"/>
      <c r="HJ268" s="17"/>
      <c r="HK268" s="17"/>
      <c r="HL268" s="17"/>
      <c r="HM268" s="17"/>
      <c r="HN268" s="17"/>
      <c r="HO268" s="17"/>
      <c r="HP268" s="17"/>
      <c r="HQ268" s="17"/>
      <c r="HR268" s="17"/>
      <c r="HS268" s="17"/>
      <c r="HT268" s="17"/>
      <c r="HU268" s="17"/>
      <c r="HV268" s="17"/>
      <c r="HW268" s="17"/>
      <c r="HX268" s="17"/>
      <c r="HY268" s="17"/>
      <c r="HZ268" s="17"/>
      <c r="IA268" s="17"/>
      <c r="IB268" s="17"/>
      <c r="IC268" s="17"/>
      <c r="ID268" s="17"/>
      <c r="IE268" s="17"/>
      <c r="IF268" s="17"/>
      <c r="IG268" s="17"/>
      <c r="IH268" s="17"/>
      <c r="II268" s="17"/>
      <c r="IJ268" s="17"/>
      <c r="IK268" s="17"/>
      <c r="IL268" s="17"/>
      <c r="IM268" s="17"/>
      <c r="IN268" s="17"/>
      <c r="IO268" s="17"/>
      <c r="IP268" s="17"/>
      <c r="IQ268" s="17"/>
      <c r="IR268" s="17"/>
      <c r="IS268" s="17"/>
      <c r="IT268" s="17"/>
      <c r="IU268" s="17"/>
      <c r="IV268" s="17"/>
      <c r="IW268" s="17"/>
      <c r="IX268" s="17"/>
      <c r="IY268" s="17"/>
      <c r="IZ268" s="17"/>
      <c r="JA268" s="17"/>
      <c r="JB268" s="17"/>
      <c r="JC268" s="17"/>
      <c r="JD268" s="17"/>
      <c r="JE268" s="17"/>
      <c r="JF268" s="17"/>
      <c r="JG268" s="17"/>
      <c r="JH268" s="17"/>
      <c r="JI268" s="17"/>
      <c r="JJ268" s="17"/>
      <c r="JK268" s="17"/>
      <c r="JL268" s="17"/>
      <c r="JM268" s="17"/>
      <c r="JN268" s="17"/>
      <c r="JO268" s="17"/>
      <c r="JP268" s="17"/>
      <c r="JQ268" s="17"/>
      <c r="JR268" s="17"/>
      <c r="JS268" s="17"/>
      <c r="JT268" s="17"/>
      <c r="JU268" s="17"/>
      <c r="JV268" s="17"/>
      <c r="JW268" s="17"/>
      <c r="JX268" s="17"/>
      <c r="JY268" s="17"/>
      <c r="JZ268" s="17"/>
      <c r="KA268" s="17"/>
      <c r="KB268" s="17"/>
      <c r="KC268" s="17"/>
      <c r="KD268" s="17"/>
      <c r="KE268" s="17"/>
      <c r="KF268" s="17"/>
      <c r="KG268" s="17"/>
      <c r="KH268" s="17"/>
      <c r="KI268" s="17"/>
      <c r="KJ268" s="17"/>
      <c r="KK268" s="17"/>
      <c r="KL268" s="17"/>
      <c r="KM268" s="17"/>
      <c r="KN268" s="17"/>
      <c r="KO268" s="17"/>
      <c r="KP268" s="17"/>
      <c r="KQ268" s="17"/>
      <c r="KR268" s="17"/>
      <c r="KS268" s="17"/>
      <c r="KT268" s="17"/>
      <c r="KU268" s="17"/>
      <c r="KV268" s="17"/>
      <c r="KW268" s="17"/>
      <c r="KX268" s="17"/>
      <c r="KY268" s="17"/>
    </row>
    <row r="269" spans="1:311" x14ac:dyDescent="0.25">
      <c r="A269" s="17"/>
      <c r="B269" s="17"/>
      <c r="C269" s="17"/>
      <c r="D269" s="17"/>
      <c r="E269" s="17"/>
      <c r="F269" s="17"/>
      <c r="G269" s="17"/>
      <c r="H269" s="17"/>
      <c r="I269" s="17"/>
      <c r="J269" s="17"/>
      <c r="K269" s="17"/>
      <c r="L269" s="17"/>
      <c r="M269" s="17"/>
      <c r="N269" s="17"/>
      <c r="O269" s="17"/>
      <c r="P269" s="17"/>
      <c r="Q269" s="17"/>
      <c r="R269" s="17"/>
      <c r="S269" s="17"/>
      <c r="T269" s="17"/>
      <c r="U269" s="17"/>
      <c r="V269" s="17"/>
      <c r="W269" s="17"/>
      <c r="X269" s="17"/>
      <c r="Y269" s="17"/>
      <c r="Z269" s="17"/>
      <c r="AA269" s="17"/>
      <c r="AB269" s="17"/>
      <c r="AC269" s="17"/>
      <c r="AD269" s="17"/>
      <c r="AE269" s="17"/>
      <c r="AF269" s="17"/>
      <c r="AG269" s="17"/>
      <c r="AH269" s="17"/>
      <c r="AI269" s="17"/>
      <c r="AJ269" s="17"/>
      <c r="AK269" s="17"/>
      <c r="AL269" s="17"/>
      <c r="AM269" s="17"/>
      <c r="AN269" s="17"/>
      <c r="AO269" s="17"/>
      <c r="AP269" s="17"/>
      <c r="AQ269" s="17"/>
      <c r="AR269" s="17"/>
      <c r="AS269" s="17"/>
      <c r="AT269" s="17"/>
      <c r="AU269" s="17"/>
      <c r="AV269" s="17"/>
      <c r="AW269" s="17"/>
      <c r="AX269" s="17"/>
      <c r="AY269" s="17"/>
      <c r="AZ269" s="17"/>
      <c r="BA269" s="17"/>
      <c r="BB269" s="17"/>
      <c r="BC269" s="17"/>
      <c r="BD269" s="17"/>
      <c r="BE269" s="17"/>
      <c r="BF269" s="17"/>
      <c r="BG269" s="17"/>
      <c r="BH269" s="17"/>
      <c r="BI269" s="17"/>
      <c r="BJ269" s="17"/>
      <c r="BK269" s="17"/>
      <c r="BL269" s="17"/>
      <c r="BM269" s="17"/>
      <c r="BN269" s="17"/>
      <c r="BO269" s="17"/>
      <c r="BP269" s="17"/>
      <c r="BQ269" s="17"/>
      <c r="BR269" s="17"/>
      <c r="BS269" s="17"/>
      <c r="BT269" s="17"/>
      <c r="BU269" s="17"/>
      <c r="BV269" s="17"/>
      <c r="BW269" s="17"/>
      <c r="BX269" s="17"/>
      <c r="BY269" s="17"/>
      <c r="BZ269" s="17"/>
      <c r="CA269" s="17"/>
      <c r="CB269" s="17"/>
      <c r="CC269" s="17"/>
      <c r="CD269" s="17"/>
      <c r="CE269" s="17"/>
      <c r="CF269" s="17"/>
      <c r="CG269" s="17"/>
      <c r="CH269" s="17"/>
      <c r="CI269" s="17"/>
      <c r="CJ269" s="17"/>
      <c r="CK269" s="17"/>
      <c r="CL269" s="17"/>
      <c r="CM269" s="17"/>
      <c r="CN269" s="17"/>
      <c r="CO269" s="17"/>
      <c r="CP269" s="17"/>
      <c r="CQ269" s="17"/>
      <c r="CR269" s="17"/>
      <c r="CS269" s="17"/>
      <c r="CT269" s="17"/>
      <c r="CU269" s="17"/>
      <c r="CV269" s="17"/>
      <c r="CW269" s="17"/>
      <c r="CX269" s="17"/>
      <c r="CY269" s="17"/>
      <c r="CZ269" s="17"/>
      <c r="DA269" s="17"/>
      <c r="DB269" s="17"/>
      <c r="DC269" s="17"/>
      <c r="DD269" s="17"/>
      <c r="DE269" s="17"/>
      <c r="DF269" s="17"/>
      <c r="DG269" s="17"/>
      <c r="DH269" s="17"/>
      <c r="DI269" s="17"/>
      <c r="DJ269" s="17"/>
      <c r="DK269" s="17"/>
      <c r="DL269" s="17"/>
      <c r="DM269" s="17"/>
      <c r="DN269" s="17"/>
      <c r="DO269" s="17"/>
      <c r="DP269" s="17"/>
      <c r="DQ269" s="17"/>
      <c r="DR269" s="17"/>
      <c r="DS269" s="17"/>
      <c r="DT269" s="17"/>
      <c r="DU269" s="17"/>
      <c r="DV269" s="17"/>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FH269" s="17"/>
      <c r="FI269" s="17"/>
      <c r="FJ269" s="17"/>
      <c r="FK269" s="17"/>
      <c r="FL269" s="17"/>
      <c r="FM269" s="17"/>
      <c r="FN269" s="17"/>
      <c r="FO269" s="17"/>
      <c r="FP269" s="17"/>
      <c r="FQ269" s="17"/>
      <c r="FR269" s="17"/>
      <c r="FS269" s="17"/>
      <c r="FT269" s="17"/>
      <c r="FU269" s="17"/>
      <c r="FV269" s="17"/>
      <c r="FW269" s="17"/>
      <c r="FX269" s="17"/>
      <c r="FY269" s="17"/>
      <c r="FZ269" s="17"/>
      <c r="GA269" s="17"/>
      <c r="GB269" s="17"/>
      <c r="GC269" s="17"/>
      <c r="GD269" s="17"/>
      <c r="GE269" s="17"/>
      <c r="GF269" s="17"/>
      <c r="GG269" s="17"/>
      <c r="GH269" s="17"/>
      <c r="GI269" s="17"/>
      <c r="GJ269" s="17"/>
      <c r="GK269" s="17"/>
      <c r="GL269" s="17"/>
      <c r="GM269" s="17"/>
      <c r="GN269" s="17"/>
      <c r="GO269" s="17"/>
      <c r="GP269" s="17"/>
      <c r="GQ269" s="17"/>
      <c r="GR269" s="17"/>
      <c r="GS269" s="17"/>
      <c r="GT269" s="17"/>
      <c r="GU269" s="17"/>
      <c r="GV269" s="17"/>
      <c r="GW269" s="17"/>
      <c r="GX269" s="17"/>
      <c r="GY269" s="17"/>
      <c r="GZ269" s="17"/>
      <c r="HA269" s="17"/>
      <c r="HB269" s="17"/>
      <c r="HC269" s="17"/>
      <c r="HD269" s="17"/>
      <c r="HE269" s="17"/>
      <c r="HF269" s="17"/>
      <c r="HG269" s="17"/>
      <c r="HH269" s="17"/>
      <c r="HI269" s="17"/>
      <c r="HJ269" s="17"/>
      <c r="HK269" s="17"/>
      <c r="HL269" s="17"/>
      <c r="HM269" s="17"/>
      <c r="HN269" s="17"/>
      <c r="HO269" s="17"/>
      <c r="HP269" s="17"/>
      <c r="HQ269" s="17"/>
      <c r="HR269" s="17"/>
      <c r="HS269" s="17"/>
      <c r="HT269" s="17"/>
      <c r="HU269" s="17"/>
      <c r="HV269" s="17"/>
      <c r="HW269" s="17"/>
      <c r="HX269" s="17"/>
      <c r="HY269" s="17"/>
      <c r="HZ269" s="17"/>
      <c r="IA269" s="17"/>
      <c r="IB269" s="17"/>
      <c r="IC269" s="17"/>
      <c r="ID269" s="17"/>
      <c r="IE269" s="17"/>
      <c r="IF269" s="17"/>
      <c r="IG269" s="17"/>
      <c r="IH269" s="17"/>
      <c r="II269" s="17"/>
      <c r="IJ269" s="17"/>
      <c r="IK269" s="17"/>
      <c r="IL269" s="17"/>
      <c r="IM269" s="17"/>
      <c r="IN269" s="17"/>
      <c r="IO269" s="17"/>
      <c r="IP269" s="17"/>
      <c r="IQ269" s="17"/>
      <c r="IR269" s="17"/>
      <c r="IS269" s="17"/>
      <c r="IT269" s="17"/>
      <c r="IU269" s="17"/>
      <c r="IV269" s="17"/>
      <c r="IW269" s="17"/>
      <c r="IX269" s="17"/>
      <c r="IY269" s="17"/>
      <c r="IZ269" s="17"/>
      <c r="JA269" s="17"/>
      <c r="JB269" s="17"/>
      <c r="JC269" s="17"/>
      <c r="JD269" s="17"/>
      <c r="JE269" s="17"/>
      <c r="JF269" s="17"/>
      <c r="JG269" s="17"/>
      <c r="JH269" s="17"/>
      <c r="JI269" s="17"/>
      <c r="JJ269" s="17"/>
      <c r="JK269" s="17"/>
      <c r="JL269" s="17"/>
      <c r="JM269" s="17"/>
      <c r="JN269" s="17"/>
      <c r="JO269" s="17"/>
      <c r="JP269" s="17"/>
      <c r="JQ269" s="17"/>
      <c r="JR269" s="17"/>
      <c r="JS269" s="17"/>
      <c r="JT269" s="17"/>
      <c r="JU269" s="17"/>
      <c r="JV269" s="17"/>
      <c r="JW269" s="17"/>
      <c r="JX269" s="17"/>
      <c r="JY269" s="17"/>
      <c r="JZ269" s="17"/>
      <c r="KA269" s="17"/>
      <c r="KB269" s="17"/>
      <c r="KC269" s="17"/>
      <c r="KD269" s="17"/>
      <c r="KE269" s="17"/>
      <c r="KF269" s="17"/>
      <c r="KG269" s="17"/>
      <c r="KH269" s="17"/>
      <c r="KI269" s="17"/>
      <c r="KJ269" s="17"/>
      <c r="KK269" s="17"/>
      <c r="KL269" s="17"/>
      <c r="KM269" s="17"/>
      <c r="KN269" s="17"/>
      <c r="KO269" s="17"/>
      <c r="KP269" s="17"/>
      <c r="KQ269" s="17"/>
      <c r="KR269" s="17"/>
      <c r="KS269" s="17"/>
      <c r="KT269" s="17"/>
      <c r="KU269" s="17"/>
      <c r="KV269" s="17"/>
      <c r="KW269" s="17"/>
      <c r="KX269" s="17"/>
      <c r="KY269" s="17"/>
    </row>
    <row r="270" spans="1:311" x14ac:dyDescent="0.25">
      <c r="A270" s="17"/>
      <c r="B270" s="17"/>
      <c r="C270" s="17"/>
      <c r="D270" s="17"/>
      <c r="E270" s="17"/>
      <c r="F270" s="17"/>
      <c r="G270" s="17"/>
      <c r="H270" s="17"/>
      <c r="I270" s="17"/>
      <c r="J270" s="17"/>
      <c r="K270" s="17"/>
      <c r="L270" s="17"/>
      <c r="M270" s="17"/>
      <c r="N270" s="17"/>
      <c r="O270" s="17"/>
      <c r="P270" s="17"/>
      <c r="Q270" s="17"/>
      <c r="R270" s="17"/>
      <c r="S270" s="17"/>
      <c r="T270" s="17"/>
      <c r="U270" s="17"/>
      <c r="V270" s="17"/>
      <c r="W270" s="17"/>
      <c r="X270" s="17"/>
      <c r="Y270" s="17"/>
      <c r="Z270" s="17"/>
      <c r="AA270" s="17"/>
      <c r="AB270" s="17"/>
      <c r="AC270" s="17"/>
      <c r="AD270" s="17"/>
      <c r="AE270" s="17"/>
      <c r="AF270" s="17"/>
      <c r="AG270" s="17"/>
      <c r="AH270" s="17"/>
      <c r="AI270" s="17"/>
      <c r="AJ270" s="17"/>
      <c r="AK270" s="17"/>
      <c r="AL270" s="17"/>
      <c r="AM270" s="17"/>
      <c r="AN270" s="17"/>
      <c r="AO270" s="17"/>
      <c r="AP270" s="17"/>
      <c r="AQ270" s="17"/>
      <c r="AR270" s="17"/>
      <c r="AS270" s="17"/>
      <c r="AT270" s="17"/>
      <c r="AU270" s="17"/>
      <c r="AV270" s="17"/>
      <c r="AW270" s="17"/>
      <c r="AX270" s="17"/>
      <c r="AY270" s="17"/>
      <c r="AZ270" s="17"/>
      <c r="BA270" s="17"/>
      <c r="BB270" s="17"/>
      <c r="BC270" s="17"/>
      <c r="BD270" s="17"/>
      <c r="BE270" s="17"/>
      <c r="BF270" s="17"/>
      <c r="BG270" s="17"/>
      <c r="BH270" s="17"/>
      <c r="BI270" s="17"/>
      <c r="BJ270" s="17"/>
      <c r="BK270" s="17"/>
      <c r="BL270" s="17"/>
      <c r="BM270" s="17"/>
      <c r="BN270" s="17"/>
      <c r="BO270" s="17"/>
      <c r="BP270" s="17"/>
      <c r="BQ270" s="17"/>
      <c r="BR270" s="17"/>
      <c r="BS270" s="17"/>
      <c r="BT270" s="17"/>
      <c r="BU270" s="17"/>
      <c r="BV270" s="17"/>
      <c r="BW270" s="17"/>
      <c r="BX270" s="17"/>
      <c r="BY270" s="17"/>
      <c r="BZ270" s="17"/>
      <c r="CA270" s="17"/>
      <c r="CB270" s="17"/>
      <c r="CC270" s="17"/>
      <c r="CD270" s="17"/>
      <c r="CE270" s="17"/>
      <c r="CF270" s="17"/>
      <c r="CG270" s="17"/>
      <c r="CH270" s="17"/>
      <c r="CI270" s="17"/>
      <c r="CJ270" s="17"/>
      <c r="CK270" s="17"/>
      <c r="CL270" s="17"/>
      <c r="CM270" s="17"/>
      <c r="CN270" s="17"/>
      <c r="CO270" s="17"/>
      <c r="CP270" s="17"/>
      <c r="CQ270" s="17"/>
      <c r="CR270" s="17"/>
      <c r="CS270" s="17"/>
      <c r="CT270" s="17"/>
      <c r="CU270" s="17"/>
      <c r="CV270" s="17"/>
      <c r="CW270" s="17"/>
      <c r="CX270" s="17"/>
      <c r="CY270" s="17"/>
      <c r="CZ270" s="17"/>
      <c r="DA270" s="17"/>
      <c r="DB270" s="17"/>
      <c r="DC270" s="17"/>
      <c r="DD270" s="17"/>
      <c r="DE270" s="17"/>
      <c r="DF270" s="17"/>
      <c r="DG270" s="17"/>
      <c r="DH270" s="17"/>
      <c r="DI270" s="17"/>
      <c r="DJ270" s="17"/>
      <c r="DK270" s="17"/>
      <c r="DL270" s="17"/>
      <c r="DM270" s="17"/>
      <c r="DN270" s="17"/>
      <c r="DO270" s="17"/>
      <c r="DP270" s="17"/>
      <c r="DQ270" s="17"/>
      <c r="DR270" s="17"/>
      <c r="DS270" s="17"/>
      <c r="DT270" s="17"/>
      <c r="DU270" s="17"/>
      <c r="DV270" s="1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FH270" s="17"/>
      <c r="FI270" s="17"/>
      <c r="FJ270" s="17"/>
      <c r="FK270" s="17"/>
      <c r="FL270" s="17"/>
      <c r="FM270" s="17"/>
      <c r="FN270" s="17"/>
      <c r="FO270" s="17"/>
      <c r="FP270" s="17"/>
      <c r="FQ270" s="17"/>
      <c r="FR270" s="17"/>
      <c r="FS270" s="17"/>
      <c r="FT270" s="17"/>
      <c r="FU270" s="17"/>
      <c r="FV270" s="17"/>
      <c r="FW270" s="17"/>
      <c r="FX270" s="17"/>
      <c r="FY270" s="17"/>
      <c r="FZ270" s="17"/>
      <c r="GA270" s="17"/>
      <c r="GB270" s="17"/>
      <c r="GC270" s="17"/>
      <c r="GD270" s="17"/>
      <c r="GE270" s="17"/>
      <c r="GF270" s="17"/>
      <c r="GG270" s="17"/>
      <c r="GH270" s="17"/>
      <c r="GI270" s="17"/>
      <c r="GJ270" s="17"/>
      <c r="GK270" s="17"/>
      <c r="GL270" s="17"/>
      <c r="GM270" s="17"/>
      <c r="GN270" s="17"/>
      <c r="GO270" s="17"/>
      <c r="GP270" s="17"/>
      <c r="GQ270" s="17"/>
      <c r="GR270" s="17"/>
      <c r="GS270" s="17"/>
      <c r="GT270" s="17"/>
      <c r="GU270" s="17"/>
      <c r="GV270" s="17"/>
      <c r="GW270" s="17"/>
      <c r="GX270" s="17"/>
      <c r="GY270" s="17"/>
      <c r="GZ270" s="17"/>
      <c r="HA270" s="17"/>
      <c r="HB270" s="17"/>
      <c r="HC270" s="17"/>
      <c r="HD270" s="17"/>
      <c r="HE270" s="17"/>
      <c r="HF270" s="17"/>
      <c r="HG270" s="17"/>
      <c r="HH270" s="17"/>
      <c r="HI270" s="17"/>
      <c r="HJ270" s="17"/>
      <c r="HK270" s="17"/>
      <c r="HL270" s="17"/>
      <c r="HM270" s="17"/>
      <c r="HN270" s="17"/>
      <c r="HO270" s="17"/>
      <c r="HP270" s="17"/>
      <c r="HQ270" s="17"/>
      <c r="HR270" s="17"/>
      <c r="HS270" s="17"/>
      <c r="HT270" s="17"/>
      <c r="HU270" s="17"/>
      <c r="HV270" s="17"/>
      <c r="HW270" s="17"/>
      <c r="HX270" s="17"/>
      <c r="HY270" s="17"/>
      <c r="HZ270" s="17"/>
      <c r="IA270" s="17"/>
      <c r="IB270" s="17"/>
      <c r="IC270" s="17"/>
      <c r="ID270" s="17"/>
      <c r="IE270" s="17"/>
      <c r="IF270" s="17"/>
      <c r="IG270" s="17"/>
      <c r="IH270" s="17"/>
      <c r="II270" s="17"/>
      <c r="IJ270" s="17"/>
      <c r="IK270" s="17"/>
      <c r="IL270" s="17"/>
      <c r="IM270" s="17"/>
      <c r="IN270" s="17"/>
      <c r="IO270" s="17"/>
      <c r="IP270" s="17"/>
      <c r="IQ270" s="17"/>
      <c r="IR270" s="17"/>
      <c r="IS270" s="17"/>
      <c r="IT270" s="17"/>
      <c r="IU270" s="17"/>
      <c r="IV270" s="17"/>
      <c r="IW270" s="17"/>
      <c r="IX270" s="17"/>
      <c r="IY270" s="17"/>
      <c r="IZ270" s="17"/>
      <c r="JA270" s="17"/>
      <c r="JB270" s="17"/>
      <c r="JC270" s="17"/>
      <c r="JD270" s="17"/>
      <c r="JE270" s="17"/>
      <c r="JF270" s="17"/>
      <c r="JG270" s="17"/>
      <c r="JH270" s="17"/>
      <c r="JI270" s="17"/>
      <c r="JJ270" s="17"/>
      <c r="JK270" s="17"/>
      <c r="JL270" s="17"/>
      <c r="JM270" s="17"/>
      <c r="JN270" s="17"/>
      <c r="JO270" s="17"/>
      <c r="JP270" s="17"/>
      <c r="JQ270" s="17"/>
      <c r="JR270" s="17"/>
      <c r="JS270" s="17"/>
      <c r="JT270" s="17"/>
      <c r="JU270" s="17"/>
      <c r="JV270" s="17"/>
      <c r="JW270" s="17"/>
      <c r="JX270" s="17"/>
      <c r="JY270" s="17"/>
      <c r="JZ270" s="17"/>
      <c r="KA270" s="17"/>
      <c r="KB270" s="17"/>
      <c r="KC270" s="17"/>
      <c r="KD270" s="17"/>
      <c r="KE270" s="17"/>
      <c r="KF270" s="17"/>
      <c r="KG270" s="17"/>
      <c r="KH270" s="17"/>
      <c r="KI270" s="17"/>
      <c r="KJ270" s="17"/>
      <c r="KK270" s="17"/>
      <c r="KL270" s="17"/>
      <c r="KM270" s="17"/>
      <c r="KN270" s="17"/>
      <c r="KO270" s="17"/>
      <c r="KP270" s="17"/>
      <c r="KQ270" s="17"/>
      <c r="KR270" s="17"/>
      <c r="KS270" s="17"/>
      <c r="KT270" s="17"/>
      <c r="KU270" s="17"/>
      <c r="KV270" s="17"/>
      <c r="KW270" s="17"/>
      <c r="KX270" s="17"/>
      <c r="KY270" s="17"/>
    </row>
    <row r="271" spans="1:311" x14ac:dyDescent="0.25">
      <c r="A271" s="17"/>
      <c r="B271" s="17"/>
      <c r="C271" s="17"/>
      <c r="D271" s="17"/>
      <c r="E271" s="17"/>
      <c r="F271" s="17"/>
      <c r="G271" s="17"/>
      <c r="H271" s="17"/>
      <c r="I271" s="17"/>
      <c r="J271" s="17"/>
      <c r="K271" s="17"/>
      <c r="L271" s="17"/>
      <c r="M271" s="17"/>
      <c r="N271" s="17"/>
      <c r="O271" s="17"/>
      <c r="P271" s="17"/>
      <c r="Q271" s="17"/>
      <c r="R271" s="17"/>
      <c r="S271" s="17"/>
      <c r="T271" s="17"/>
      <c r="U271" s="17"/>
      <c r="V271" s="17"/>
      <c r="W271" s="17"/>
      <c r="X271" s="17"/>
      <c r="Y271" s="17"/>
      <c r="Z271" s="17"/>
      <c r="AA271" s="17"/>
      <c r="AB271" s="17"/>
      <c r="AC271" s="17"/>
      <c r="AD271" s="17"/>
      <c r="AE271" s="17"/>
      <c r="AF271" s="17"/>
      <c r="AG271" s="17"/>
      <c r="AH271" s="17"/>
      <c r="AI271" s="17"/>
      <c r="AJ271" s="17"/>
      <c r="AK271" s="17"/>
      <c r="AL271" s="17"/>
      <c r="AM271" s="17"/>
      <c r="AN271" s="17"/>
      <c r="AO271" s="17"/>
      <c r="AP271" s="17"/>
      <c r="AQ271" s="17"/>
      <c r="AR271" s="17"/>
      <c r="AS271" s="17"/>
      <c r="AT271" s="17"/>
      <c r="AU271" s="17"/>
      <c r="AV271" s="17"/>
      <c r="AW271" s="17"/>
      <c r="AX271" s="17"/>
      <c r="AY271" s="17"/>
      <c r="AZ271" s="17"/>
      <c r="BA271" s="17"/>
      <c r="BB271" s="17"/>
      <c r="BC271" s="17"/>
      <c r="BD271" s="17"/>
      <c r="BE271" s="17"/>
      <c r="BF271" s="17"/>
      <c r="BG271" s="17"/>
      <c r="BH271" s="17"/>
      <c r="BI271" s="17"/>
      <c r="BJ271" s="17"/>
      <c r="BK271" s="17"/>
      <c r="BL271" s="17"/>
      <c r="BM271" s="17"/>
      <c r="BN271" s="17"/>
      <c r="BO271" s="17"/>
      <c r="BP271" s="17"/>
      <c r="BQ271" s="17"/>
      <c r="BR271" s="17"/>
      <c r="BS271" s="17"/>
      <c r="BT271" s="17"/>
      <c r="BU271" s="17"/>
      <c r="BV271" s="17"/>
      <c r="BW271" s="17"/>
      <c r="BX271" s="17"/>
      <c r="BY271" s="17"/>
      <c r="BZ271" s="17"/>
      <c r="CA271" s="17"/>
      <c r="CB271" s="17"/>
      <c r="CC271" s="17"/>
      <c r="CD271" s="17"/>
      <c r="CE271" s="17"/>
      <c r="CF271" s="17"/>
      <c r="CG271" s="17"/>
      <c r="CH271" s="17"/>
      <c r="CI271" s="17"/>
      <c r="CJ271" s="17"/>
      <c r="CK271" s="17"/>
      <c r="CL271" s="17"/>
      <c r="CM271" s="17"/>
      <c r="CN271" s="17"/>
      <c r="CO271" s="17"/>
      <c r="CP271" s="17"/>
      <c r="CQ271" s="17"/>
      <c r="CR271" s="17"/>
      <c r="CS271" s="17"/>
      <c r="CT271" s="17"/>
      <c r="CU271" s="17"/>
      <c r="CV271" s="17"/>
      <c r="CW271" s="17"/>
      <c r="CX271" s="17"/>
      <c r="CY271" s="17"/>
      <c r="CZ271" s="17"/>
      <c r="DA271" s="17"/>
      <c r="DB271" s="17"/>
      <c r="DC271" s="17"/>
      <c r="DD271" s="17"/>
      <c r="DE271" s="17"/>
      <c r="DF271" s="17"/>
      <c r="DG271" s="17"/>
      <c r="DH271" s="17"/>
      <c r="DI271" s="17"/>
      <c r="DJ271" s="17"/>
      <c r="DK271" s="17"/>
      <c r="DL271" s="17"/>
      <c r="DM271" s="17"/>
      <c r="DN271" s="17"/>
      <c r="DO271" s="17"/>
      <c r="DP271" s="17"/>
      <c r="DQ271" s="17"/>
      <c r="DR271" s="17"/>
      <c r="DS271" s="17"/>
      <c r="DT271" s="17"/>
      <c r="DU271" s="17"/>
      <c r="DV271" s="17"/>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FH271" s="17"/>
      <c r="FI271" s="17"/>
      <c r="FJ271" s="17"/>
      <c r="FK271" s="17"/>
      <c r="FL271" s="17"/>
      <c r="FM271" s="17"/>
      <c r="FN271" s="17"/>
      <c r="FO271" s="17"/>
      <c r="FP271" s="17"/>
      <c r="FQ271" s="17"/>
      <c r="FR271" s="17"/>
      <c r="FS271" s="17"/>
      <c r="FT271" s="17"/>
      <c r="FU271" s="17"/>
      <c r="FV271" s="17"/>
      <c r="FW271" s="17"/>
      <c r="FX271" s="17"/>
      <c r="FY271" s="17"/>
      <c r="FZ271" s="17"/>
      <c r="GA271" s="17"/>
      <c r="GB271" s="17"/>
      <c r="GC271" s="17"/>
      <c r="GD271" s="17"/>
      <c r="GE271" s="17"/>
      <c r="GF271" s="17"/>
      <c r="GG271" s="17"/>
      <c r="GH271" s="17"/>
      <c r="GI271" s="17"/>
      <c r="GJ271" s="17"/>
      <c r="GK271" s="17"/>
      <c r="GL271" s="17"/>
      <c r="GM271" s="17"/>
      <c r="GN271" s="17"/>
      <c r="GO271" s="17"/>
      <c r="GP271" s="17"/>
      <c r="GQ271" s="17"/>
      <c r="GR271" s="17"/>
      <c r="GS271" s="17"/>
      <c r="GT271" s="17"/>
      <c r="GU271" s="17"/>
      <c r="GV271" s="17"/>
      <c r="GW271" s="17"/>
      <c r="GX271" s="17"/>
      <c r="GY271" s="17"/>
      <c r="GZ271" s="17"/>
      <c r="HA271" s="17"/>
      <c r="HB271" s="17"/>
      <c r="HC271" s="17"/>
      <c r="HD271" s="17"/>
      <c r="HE271" s="17"/>
      <c r="HF271" s="17"/>
      <c r="HG271" s="17"/>
      <c r="HH271" s="17"/>
      <c r="HI271" s="17"/>
      <c r="HJ271" s="17"/>
      <c r="HK271" s="17"/>
      <c r="HL271" s="17"/>
      <c r="HM271" s="17"/>
      <c r="HN271" s="17"/>
      <c r="HO271" s="17"/>
      <c r="HP271" s="17"/>
      <c r="HQ271" s="17"/>
      <c r="HR271" s="17"/>
      <c r="HS271" s="17"/>
      <c r="HT271" s="17"/>
      <c r="HU271" s="17"/>
      <c r="HV271" s="17"/>
      <c r="HW271" s="17"/>
      <c r="HX271" s="17"/>
      <c r="HY271" s="17"/>
      <c r="HZ271" s="17"/>
      <c r="IA271" s="17"/>
      <c r="IB271" s="17"/>
      <c r="IC271" s="17"/>
      <c r="ID271" s="17"/>
      <c r="IE271" s="17"/>
      <c r="IF271" s="17"/>
      <c r="IG271" s="17"/>
      <c r="IH271" s="17"/>
      <c r="II271" s="17"/>
      <c r="IJ271" s="17"/>
      <c r="IK271" s="17"/>
      <c r="IL271" s="17"/>
      <c r="IM271" s="17"/>
      <c r="IN271" s="17"/>
      <c r="IO271" s="17"/>
      <c r="IP271" s="17"/>
      <c r="IQ271" s="17"/>
      <c r="IR271" s="17"/>
      <c r="IS271" s="17"/>
      <c r="IT271" s="17"/>
      <c r="IU271" s="17"/>
      <c r="IV271" s="17"/>
      <c r="IW271" s="17"/>
      <c r="IX271" s="17"/>
      <c r="IY271" s="17"/>
      <c r="IZ271" s="17"/>
      <c r="JA271" s="17"/>
      <c r="JB271" s="17"/>
      <c r="JC271" s="17"/>
      <c r="JD271" s="17"/>
      <c r="JE271" s="17"/>
      <c r="JF271" s="17"/>
      <c r="JG271" s="17"/>
      <c r="JH271" s="17"/>
      <c r="JI271" s="17"/>
      <c r="JJ271" s="17"/>
      <c r="JK271" s="17"/>
      <c r="JL271" s="17"/>
      <c r="JM271" s="17"/>
      <c r="JN271" s="17"/>
      <c r="JO271" s="17"/>
      <c r="JP271" s="17"/>
      <c r="JQ271" s="17"/>
      <c r="JR271" s="17"/>
      <c r="JS271" s="17"/>
      <c r="JT271" s="17"/>
      <c r="JU271" s="17"/>
      <c r="JV271" s="17"/>
      <c r="JW271" s="17"/>
      <c r="JX271" s="17"/>
      <c r="JY271" s="17"/>
      <c r="JZ271" s="17"/>
      <c r="KA271" s="17"/>
      <c r="KB271" s="17"/>
      <c r="KC271" s="17"/>
      <c r="KD271" s="17"/>
      <c r="KE271" s="17"/>
      <c r="KF271" s="17"/>
      <c r="KG271" s="17"/>
      <c r="KH271" s="17"/>
      <c r="KI271" s="17"/>
      <c r="KJ271" s="17"/>
      <c r="KK271" s="17"/>
      <c r="KL271" s="17"/>
      <c r="KM271" s="17"/>
      <c r="KN271" s="17"/>
      <c r="KO271" s="17"/>
      <c r="KP271" s="17"/>
      <c r="KQ271" s="17"/>
      <c r="KR271" s="17"/>
      <c r="KS271" s="17"/>
      <c r="KT271" s="17"/>
      <c r="KU271" s="17"/>
      <c r="KV271" s="17"/>
      <c r="KW271" s="17"/>
      <c r="KX271" s="17"/>
      <c r="KY271" s="17"/>
    </row>
    <row r="272" spans="1:311" x14ac:dyDescent="0.25">
      <c r="A272" s="17"/>
      <c r="B272" s="17"/>
      <c r="C272" s="17"/>
      <c r="D272" s="17"/>
      <c r="E272" s="17"/>
      <c r="F272" s="17"/>
      <c r="G272" s="17"/>
      <c r="H272" s="17"/>
      <c r="I272" s="17"/>
      <c r="J272" s="17"/>
      <c r="K272" s="17"/>
      <c r="L272" s="17"/>
      <c r="M272" s="17"/>
      <c r="N272" s="17"/>
      <c r="O272" s="17"/>
      <c r="P272" s="17"/>
      <c r="Q272" s="17"/>
      <c r="R272" s="17"/>
      <c r="S272" s="17"/>
      <c r="T272" s="17"/>
      <c r="U272" s="17"/>
      <c r="V272" s="17"/>
      <c r="W272" s="17"/>
      <c r="X272" s="17"/>
      <c r="Y272" s="17"/>
      <c r="Z272" s="17"/>
      <c r="AA272" s="17"/>
      <c r="AB272" s="17"/>
      <c r="AC272" s="17"/>
      <c r="AD272" s="17"/>
      <c r="AE272" s="17"/>
      <c r="AF272" s="17"/>
      <c r="AG272" s="17"/>
      <c r="AH272" s="17"/>
      <c r="AI272" s="17"/>
      <c r="AJ272" s="17"/>
      <c r="AK272" s="17"/>
      <c r="AL272" s="17"/>
      <c r="AM272" s="17"/>
      <c r="AN272" s="17"/>
      <c r="AO272" s="17"/>
      <c r="AP272" s="17"/>
      <c r="AQ272" s="17"/>
      <c r="AR272" s="17"/>
      <c r="AS272" s="17"/>
      <c r="AT272" s="17"/>
      <c r="AU272" s="17"/>
      <c r="AV272" s="17"/>
      <c r="AW272" s="17"/>
      <c r="AX272" s="17"/>
      <c r="AY272" s="17"/>
      <c r="AZ272" s="17"/>
      <c r="BA272" s="17"/>
      <c r="BB272" s="17"/>
      <c r="BC272" s="17"/>
      <c r="BD272" s="17"/>
      <c r="BE272" s="17"/>
      <c r="BF272" s="17"/>
      <c r="BG272" s="17"/>
      <c r="BH272" s="17"/>
      <c r="BI272" s="17"/>
      <c r="BJ272" s="17"/>
      <c r="BK272" s="17"/>
      <c r="BL272" s="17"/>
      <c r="BM272" s="17"/>
      <c r="BN272" s="17"/>
      <c r="BO272" s="17"/>
      <c r="BP272" s="17"/>
      <c r="BQ272" s="17"/>
      <c r="BR272" s="17"/>
      <c r="BS272" s="17"/>
      <c r="BT272" s="17"/>
      <c r="BU272" s="17"/>
      <c r="BV272" s="17"/>
      <c r="BW272" s="17"/>
      <c r="BX272" s="17"/>
      <c r="BY272" s="17"/>
      <c r="BZ272" s="17"/>
      <c r="CA272" s="17"/>
      <c r="CB272" s="17"/>
      <c r="CC272" s="17"/>
      <c r="CD272" s="17"/>
      <c r="CE272" s="17"/>
      <c r="CF272" s="17"/>
      <c r="CG272" s="17"/>
      <c r="CH272" s="17"/>
      <c r="CI272" s="17"/>
      <c r="CJ272" s="17"/>
      <c r="CK272" s="17"/>
      <c r="CL272" s="17"/>
      <c r="CM272" s="17"/>
      <c r="CN272" s="17"/>
      <c r="CO272" s="17"/>
      <c r="CP272" s="17"/>
      <c r="CQ272" s="17"/>
      <c r="CR272" s="17"/>
      <c r="CS272" s="17"/>
      <c r="CT272" s="17"/>
      <c r="CU272" s="17"/>
      <c r="CV272" s="17"/>
      <c r="CW272" s="17"/>
      <c r="CX272" s="17"/>
      <c r="CY272" s="17"/>
      <c r="CZ272" s="17"/>
      <c r="DA272" s="17"/>
      <c r="DB272" s="17"/>
      <c r="DC272" s="17"/>
      <c r="DD272" s="17"/>
      <c r="DE272" s="17"/>
      <c r="DF272" s="17"/>
      <c r="DG272" s="17"/>
      <c r="DH272" s="17"/>
      <c r="DI272" s="17"/>
      <c r="DJ272" s="17"/>
      <c r="DK272" s="17"/>
      <c r="DL272" s="17"/>
      <c r="DM272" s="17"/>
      <c r="DN272" s="17"/>
      <c r="DO272" s="17"/>
      <c r="DP272" s="17"/>
      <c r="DQ272" s="17"/>
      <c r="DR272" s="17"/>
      <c r="DS272" s="17"/>
      <c r="DT272" s="17"/>
      <c r="DU272" s="17"/>
      <c r="DV272" s="17"/>
      <c r="DW272" s="17"/>
      <c r="DX272" s="17"/>
      <c r="DY272" s="17"/>
      <c r="DZ272" s="17"/>
      <c r="EA272" s="17"/>
      <c r="EB272" s="17"/>
      <c r="EC272" s="17"/>
      <c r="ED272" s="17"/>
      <c r="EE272" s="17"/>
      <c r="EF272" s="17"/>
      <c r="EG272" s="17"/>
      <c r="EH272" s="17"/>
      <c r="EI272" s="17"/>
      <c r="EJ272" s="17"/>
      <c r="EK272" s="17"/>
      <c r="EL272" s="17"/>
      <c r="EM272" s="17"/>
      <c r="EN272" s="17"/>
      <c r="EO272" s="17"/>
      <c r="EP272" s="17"/>
      <c r="EQ272" s="17"/>
      <c r="ER272" s="17"/>
      <c r="ES272" s="17"/>
      <c r="ET272" s="17"/>
      <c r="EU272" s="17"/>
      <c r="EV272" s="17"/>
      <c r="EW272" s="17"/>
      <c r="EX272" s="17"/>
      <c r="EY272" s="17"/>
      <c r="EZ272" s="17"/>
      <c r="FA272" s="17"/>
      <c r="FB272" s="17"/>
      <c r="FC272" s="17"/>
      <c r="FD272" s="17"/>
      <c r="FE272" s="17"/>
      <c r="FF272" s="17"/>
      <c r="FG272" s="17"/>
      <c r="FH272" s="17"/>
      <c r="FI272" s="17"/>
      <c r="FJ272" s="17"/>
      <c r="FK272" s="17"/>
      <c r="FL272" s="17"/>
      <c r="FM272" s="17"/>
      <c r="FN272" s="17"/>
      <c r="FO272" s="17"/>
      <c r="FP272" s="17"/>
      <c r="FQ272" s="17"/>
      <c r="FR272" s="17"/>
      <c r="FS272" s="17"/>
      <c r="FT272" s="17"/>
      <c r="FU272" s="17"/>
      <c r="FV272" s="17"/>
      <c r="FW272" s="17"/>
      <c r="FX272" s="17"/>
      <c r="FY272" s="17"/>
      <c r="FZ272" s="17"/>
      <c r="GA272" s="17"/>
      <c r="GB272" s="17"/>
      <c r="GC272" s="17"/>
      <c r="GD272" s="17"/>
      <c r="GE272" s="17"/>
      <c r="GF272" s="17"/>
      <c r="GG272" s="17"/>
      <c r="GH272" s="17"/>
      <c r="GI272" s="17"/>
      <c r="GJ272" s="17"/>
      <c r="GK272" s="17"/>
      <c r="GL272" s="17"/>
      <c r="GM272" s="17"/>
      <c r="GN272" s="17"/>
      <c r="GO272" s="17"/>
      <c r="GP272" s="17"/>
      <c r="GQ272" s="17"/>
      <c r="GR272" s="17"/>
      <c r="GS272" s="17"/>
      <c r="GT272" s="17"/>
      <c r="GU272" s="17"/>
      <c r="GV272" s="17"/>
      <c r="GW272" s="17"/>
      <c r="GX272" s="17"/>
      <c r="GY272" s="17"/>
      <c r="GZ272" s="17"/>
      <c r="HA272" s="17"/>
      <c r="HB272" s="17"/>
      <c r="HC272" s="17"/>
      <c r="HD272" s="17"/>
      <c r="HE272" s="17"/>
      <c r="HF272" s="17"/>
      <c r="HG272" s="17"/>
      <c r="HH272" s="17"/>
      <c r="HI272" s="17"/>
      <c r="HJ272" s="17"/>
      <c r="HK272" s="17"/>
      <c r="HL272" s="17"/>
      <c r="HM272" s="17"/>
      <c r="HN272" s="17"/>
      <c r="HO272" s="17"/>
      <c r="HP272" s="17"/>
      <c r="HQ272" s="17"/>
      <c r="HR272" s="17"/>
      <c r="HS272" s="17"/>
      <c r="HT272" s="17"/>
      <c r="HU272" s="17"/>
      <c r="HV272" s="17"/>
      <c r="HW272" s="17"/>
      <c r="HX272" s="17"/>
      <c r="HY272" s="17"/>
      <c r="HZ272" s="17"/>
      <c r="IA272" s="17"/>
      <c r="IB272" s="17"/>
      <c r="IC272" s="17"/>
      <c r="ID272" s="17"/>
      <c r="IE272" s="17"/>
      <c r="IF272" s="17"/>
      <c r="IG272" s="17"/>
      <c r="IH272" s="17"/>
      <c r="II272" s="17"/>
      <c r="IJ272" s="17"/>
      <c r="IK272" s="17"/>
      <c r="IL272" s="17"/>
      <c r="IM272" s="17"/>
      <c r="IN272" s="17"/>
      <c r="IO272" s="17"/>
      <c r="IP272" s="17"/>
      <c r="IQ272" s="17"/>
      <c r="IR272" s="17"/>
      <c r="IS272" s="17"/>
      <c r="IT272" s="17"/>
      <c r="IU272" s="17"/>
      <c r="IV272" s="17"/>
      <c r="IW272" s="17"/>
      <c r="IX272" s="17"/>
      <c r="IY272" s="17"/>
      <c r="IZ272" s="17"/>
      <c r="JA272" s="17"/>
      <c r="JB272" s="17"/>
      <c r="JC272" s="17"/>
      <c r="JD272" s="17"/>
      <c r="JE272" s="17"/>
      <c r="JF272" s="17"/>
      <c r="JG272" s="17"/>
      <c r="JH272" s="17"/>
      <c r="JI272" s="17"/>
      <c r="JJ272" s="17"/>
      <c r="JK272" s="17"/>
      <c r="JL272" s="17"/>
      <c r="JM272" s="17"/>
      <c r="JN272" s="17"/>
      <c r="JO272" s="17"/>
      <c r="JP272" s="17"/>
      <c r="JQ272" s="17"/>
      <c r="JR272" s="17"/>
      <c r="JS272" s="17"/>
      <c r="JT272" s="17"/>
      <c r="JU272" s="17"/>
      <c r="JV272" s="17"/>
      <c r="JW272" s="17"/>
      <c r="JX272" s="17"/>
      <c r="JY272" s="17"/>
      <c r="JZ272" s="17"/>
      <c r="KA272" s="17"/>
      <c r="KB272" s="17"/>
      <c r="KC272" s="17"/>
      <c r="KD272" s="17"/>
      <c r="KE272" s="17"/>
      <c r="KF272" s="17"/>
      <c r="KG272" s="17"/>
      <c r="KH272" s="17"/>
      <c r="KI272" s="17"/>
      <c r="KJ272" s="17"/>
      <c r="KK272" s="17"/>
      <c r="KL272" s="17"/>
      <c r="KM272" s="17"/>
      <c r="KN272" s="17"/>
      <c r="KO272" s="17"/>
      <c r="KP272" s="17"/>
      <c r="KQ272" s="17"/>
      <c r="KR272" s="17"/>
      <c r="KS272" s="17"/>
      <c r="KT272" s="17"/>
      <c r="KU272" s="17"/>
      <c r="KV272" s="17"/>
      <c r="KW272" s="17"/>
      <c r="KX272" s="17"/>
      <c r="KY272" s="17"/>
    </row>
    <row r="273" spans="1:311" x14ac:dyDescent="0.25">
      <c r="A273" s="17"/>
      <c r="B273" s="17"/>
      <c r="C273" s="17"/>
      <c r="D273" s="17"/>
      <c r="E273" s="17"/>
      <c r="F273" s="17"/>
      <c r="G273" s="17"/>
      <c r="H273" s="17"/>
      <c r="I273" s="17"/>
      <c r="J273" s="17"/>
      <c r="K273" s="17"/>
      <c r="L273" s="17"/>
      <c r="M273" s="17"/>
      <c r="N273" s="17"/>
      <c r="O273" s="17"/>
      <c r="P273" s="17"/>
      <c r="Q273" s="17"/>
      <c r="R273" s="17"/>
      <c r="S273" s="17"/>
      <c r="T273" s="17"/>
      <c r="U273" s="17"/>
      <c r="V273" s="17"/>
      <c r="W273" s="17"/>
      <c r="X273" s="17"/>
      <c r="Y273" s="17"/>
      <c r="Z273" s="17"/>
      <c r="AA273" s="17"/>
      <c r="AB273" s="17"/>
      <c r="AC273" s="17"/>
      <c r="AD273" s="17"/>
      <c r="AE273" s="17"/>
      <c r="AF273" s="17"/>
      <c r="AG273" s="17"/>
      <c r="AH273" s="17"/>
      <c r="AI273" s="17"/>
      <c r="AJ273" s="17"/>
      <c r="AK273" s="17"/>
      <c r="AL273" s="17"/>
      <c r="AM273" s="17"/>
      <c r="AN273" s="17"/>
      <c r="AO273" s="17"/>
      <c r="AP273" s="17"/>
      <c r="AQ273" s="17"/>
      <c r="AR273" s="17"/>
      <c r="AS273" s="17"/>
      <c r="AT273" s="17"/>
      <c r="AU273" s="17"/>
      <c r="AV273" s="17"/>
      <c r="AW273" s="17"/>
      <c r="AX273" s="17"/>
      <c r="AY273" s="17"/>
      <c r="AZ273" s="17"/>
      <c r="BA273" s="17"/>
      <c r="BB273" s="17"/>
      <c r="BC273" s="17"/>
      <c r="BD273" s="17"/>
      <c r="BE273" s="17"/>
      <c r="BF273" s="17"/>
      <c r="BG273" s="17"/>
      <c r="BH273" s="17"/>
      <c r="BI273" s="17"/>
      <c r="BJ273" s="17"/>
      <c r="BK273" s="17"/>
      <c r="BL273" s="17"/>
      <c r="BM273" s="17"/>
      <c r="BN273" s="17"/>
      <c r="BO273" s="17"/>
      <c r="BP273" s="17"/>
      <c r="BQ273" s="17"/>
      <c r="BR273" s="17"/>
      <c r="BS273" s="17"/>
      <c r="BT273" s="17"/>
      <c r="BU273" s="17"/>
      <c r="BV273" s="17"/>
      <c r="BW273" s="17"/>
      <c r="BX273" s="17"/>
      <c r="BY273" s="17"/>
      <c r="BZ273" s="17"/>
      <c r="CA273" s="17"/>
      <c r="CB273" s="17"/>
      <c r="CC273" s="17"/>
      <c r="CD273" s="17"/>
      <c r="CE273" s="17"/>
      <c r="CF273" s="17"/>
      <c r="CG273" s="17"/>
      <c r="CH273" s="17"/>
      <c r="CI273" s="17"/>
      <c r="CJ273" s="17"/>
      <c r="CK273" s="17"/>
      <c r="CL273" s="17"/>
      <c r="CM273" s="17"/>
      <c r="CN273" s="17"/>
      <c r="CO273" s="17"/>
      <c r="CP273" s="17"/>
      <c r="CQ273" s="17"/>
      <c r="CR273" s="17"/>
      <c r="CS273" s="17"/>
      <c r="CT273" s="17"/>
      <c r="CU273" s="17"/>
      <c r="CV273" s="17"/>
      <c r="CW273" s="17"/>
      <c r="CX273" s="17"/>
      <c r="CY273" s="17"/>
      <c r="CZ273" s="17"/>
      <c r="DA273" s="17"/>
      <c r="DB273" s="17"/>
      <c r="DC273" s="17"/>
      <c r="DD273" s="17"/>
      <c r="DE273" s="17"/>
      <c r="DF273" s="17"/>
      <c r="DG273" s="17"/>
      <c r="DH273" s="17"/>
      <c r="DI273" s="17"/>
      <c r="DJ273" s="17"/>
      <c r="DK273" s="17"/>
      <c r="DL273" s="17"/>
      <c r="DM273" s="17"/>
      <c r="DN273" s="17"/>
      <c r="DO273" s="17"/>
      <c r="DP273" s="17"/>
      <c r="DQ273" s="17"/>
      <c r="DR273" s="17"/>
      <c r="DS273" s="17"/>
      <c r="DT273" s="17"/>
      <c r="DU273" s="17"/>
      <c r="DV273" s="17"/>
      <c r="DW273" s="17"/>
      <c r="DX273" s="17"/>
      <c r="DY273" s="17"/>
      <c r="DZ273" s="17"/>
      <c r="EA273" s="17"/>
      <c r="EB273" s="17"/>
      <c r="EC273" s="17"/>
      <c r="ED273" s="17"/>
      <c r="EE273" s="17"/>
      <c r="EF273" s="17"/>
      <c r="EG273" s="17"/>
      <c r="EH273" s="17"/>
      <c r="EI273" s="17"/>
      <c r="EJ273" s="17"/>
      <c r="EK273" s="17"/>
      <c r="EL273" s="17"/>
      <c r="EM273" s="17"/>
      <c r="EN273" s="17"/>
      <c r="EO273" s="17"/>
      <c r="EP273" s="17"/>
      <c r="EQ273" s="17"/>
      <c r="ER273" s="17"/>
      <c r="ES273" s="17"/>
      <c r="ET273" s="17"/>
      <c r="EU273" s="17"/>
      <c r="EV273" s="17"/>
      <c r="EW273" s="17"/>
      <c r="EX273" s="17"/>
      <c r="EY273" s="17"/>
      <c r="EZ273" s="17"/>
      <c r="FA273" s="17"/>
      <c r="FB273" s="17"/>
      <c r="FC273" s="17"/>
      <c r="FD273" s="17"/>
      <c r="FE273" s="17"/>
      <c r="FF273" s="17"/>
      <c r="FG273" s="17"/>
      <c r="FH273" s="17"/>
      <c r="FI273" s="17"/>
      <c r="FJ273" s="17"/>
      <c r="FK273" s="17"/>
      <c r="FL273" s="17"/>
      <c r="FM273" s="17"/>
      <c r="FN273" s="17"/>
      <c r="FO273" s="17"/>
      <c r="FP273" s="17"/>
      <c r="FQ273" s="17"/>
      <c r="FR273" s="17"/>
      <c r="FS273" s="17"/>
      <c r="FT273" s="17"/>
      <c r="FU273" s="17"/>
      <c r="FV273" s="17"/>
      <c r="FW273" s="17"/>
      <c r="FX273" s="17"/>
      <c r="FY273" s="17"/>
      <c r="FZ273" s="17"/>
      <c r="GA273" s="17"/>
      <c r="GB273" s="17"/>
      <c r="GC273" s="17"/>
      <c r="GD273" s="17"/>
      <c r="GE273" s="17"/>
      <c r="GF273" s="17"/>
      <c r="GG273" s="17"/>
      <c r="GH273" s="17"/>
      <c r="GI273" s="17"/>
      <c r="GJ273" s="17"/>
      <c r="GK273" s="17"/>
      <c r="GL273" s="17"/>
      <c r="GM273" s="17"/>
      <c r="GN273" s="17"/>
      <c r="GO273" s="17"/>
      <c r="GP273" s="17"/>
      <c r="GQ273" s="17"/>
      <c r="GR273" s="17"/>
      <c r="GS273" s="17"/>
      <c r="GT273" s="17"/>
      <c r="GU273" s="17"/>
      <c r="GV273" s="17"/>
      <c r="GW273" s="17"/>
      <c r="GX273" s="17"/>
      <c r="GY273" s="17"/>
      <c r="GZ273" s="17"/>
      <c r="HA273" s="17"/>
      <c r="HB273" s="17"/>
      <c r="HC273" s="17"/>
      <c r="HD273" s="17"/>
      <c r="HE273" s="17"/>
      <c r="HF273" s="17"/>
      <c r="HG273" s="17"/>
      <c r="HH273" s="17"/>
      <c r="HI273" s="17"/>
      <c r="HJ273" s="17"/>
      <c r="HK273" s="17"/>
      <c r="HL273" s="17"/>
      <c r="HM273" s="17"/>
      <c r="HN273" s="17"/>
      <c r="HO273" s="17"/>
      <c r="HP273" s="17"/>
      <c r="HQ273" s="17"/>
      <c r="HR273" s="17"/>
      <c r="HS273" s="17"/>
      <c r="HT273" s="17"/>
      <c r="HU273" s="17"/>
      <c r="HV273" s="17"/>
      <c r="HW273" s="17"/>
      <c r="HX273" s="17"/>
      <c r="HY273" s="17"/>
      <c r="HZ273" s="17"/>
      <c r="IA273" s="17"/>
      <c r="IB273" s="17"/>
      <c r="IC273" s="17"/>
      <c r="ID273" s="17"/>
      <c r="IE273" s="17"/>
      <c r="IF273" s="17"/>
      <c r="IG273" s="17"/>
      <c r="IH273" s="17"/>
      <c r="II273" s="17"/>
      <c r="IJ273" s="17"/>
      <c r="IK273" s="17"/>
      <c r="IL273" s="17"/>
      <c r="IM273" s="17"/>
      <c r="IN273" s="17"/>
      <c r="IO273" s="17"/>
      <c r="IP273" s="17"/>
      <c r="IQ273" s="17"/>
      <c r="IR273" s="17"/>
      <c r="IS273" s="17"/>
      <c r="IT273" s="17"/>
      <c r="IU273" s="17"/>
      <c r="IV273" s="17"/>
      <c r="IW273" s="17"/>
      <c r="IX273" s="17"/>
      <c r="IY273" s="17"/>
      <c r="IZ273" s="17"/>
      <c r="JA273" s="17"/>
      <c r="JB273" s="17"/>
      <c r="JC273" s="17"/>
      <c r="JD273" s="17"/>
      <c r="JE273" s="17"/>
      <c r="JF273" s="17"/>
      <c r="JG273" s="17"/>
      <c r="JH273" s="17"/>
      <c r="JI273" s="17"/>
      <c r="JJ273" s="17"/>
      <c r="JK273" s="17"/>
      <c r="JL273" s="17"/>
      <c r="JM273" s="17"/>
      <c r="JN273" s="17"/>
      <c r="JO273" s="17"/>
      <c r="JP273" s="17"/>
      <c r="JQ273" s="17"/>
      <c r="JR273" s="17"/>
      <c r="JS273" s="17"/>
      <c r="JT273" s="17"/>
      <c r="JU273" s="17"/>
      <c r="JV273" s="17"/>
      <c r="JW273" s="17"/>
      <c r="JX273" s="17"/>
      <c r="JY273" s="17"/>
      <c r="JZ273" s="17"/>
      <c r="KA273" s="17"/>
      <c r="KB273" s="17"/>
      <c r="KC273" s="17"/>
      <c r="KD273" s="17"/>
      <c r="KE273" s="17"/>
      <c r="KF273" s="17"/>
      <c r="KG273" s="17"/>
      <c r="KH273" s="17"/>
      <c r="KI273" s="17"/>
      <c r="KJ273" s="17"/>
      <c r="KK273" s="17"/>
      <c r="KL273" s="17"/>
      <c r="KM273" s="17"/>
      <c r="KN273" s="17"/>
      <c r="KO273" s="17"/>
      <c r="KP273" s="17"/>
      <c r="KQ273" s="17"/>
      <c r="KR273" s="17"/>
      <c r="KS273" s="17"/>
      <c r="KT273" s="17"/>
      <c r="KU273" s="17"/>
      <c r="KV273" s="17"/>
      <c r="KW273" s="17"/>
      <c r="KX273" s="17"/>
      <c r="KY273" s="17"/>
    </row>
    <row r="274" spans="1:311" x14ac:dyDescent="0.25">
      <c r="A274" s="17"/>
      <c r="B274" s="17"/>
      <c r="C274" s="17"/>
      <c r="D274" s="17"/>
      <c r="E274" s="17"/>
      <c r="F274" s="17"/>
      <c r="G274" s="17"/>
      <c r="H274" s="17"/>
      <c r="I274" s="17"/>
      <c r="J274" s="17"/>
      <c r="K274" s="17"/>
      <c r="L274" s="17"/>
      <c r="M274" s="17"/>
      <c r="N274" s="17"/>
      <c r="O274" s="17"/>
      <c r="P274" s="17"/>
      <c r="Q274" s="17"/>
      <c r="R274" s="17"/>
      <c r="S274" s="17"/>
      <c r="T274" s="17"/>
      <c r="U274" s="17"/>
      <c r="V274" s="17"/>
      <c r="W274" s="17"/>
      <c r="X274" s="17"/>
      <c r="Y274" s="17"/>
      <c r="Z274" s="17"/>
      <c r="AA274" s="17"/>
      <c r="AB274" s="17"/>
      <c r="AC274" s="17"/>
      <c r="AD274" s="17"/>
      <c r="AE274" s="17"/>
      <c r="AF274" s="17"/>
      <c r="AG274" s="17"/>
      <c r="AH274" s="17"/>
      <c r="AI274" s="17"/>
      <c r="AJ274" s="17"/>
      <c r="AK274" s="17"/>
      <c r="AL274" s="17"/>
      <c r="AM274" s="17"/>
      <c r="AN274" s="17"/>
      <c r="AO274" s="17"/>
      <c r="AP274" s="17"/>
      <c r="AQ274" s="17"/>
      <c r="AR274" s="17"/>
      <c r="AS274" s="17"/>
      <c r="AT274" s="17"/>
      <c r="AU274" s="17"/>
      <c r="AV274" s="17"/>
      <c r="AW274" s="17"/>
      <c r="AX274" s="17"/>
      <c r="AY274" s="17"/>
      <c r="AZ274" s="17"/>
      <c r="BA274" s="17"/>
      <c r="BB274" s="17"/>
      <c r="BC274" s="17"/>
      <c r="BD274" s="17"/>
      <c r="BE274" s="17"/>
      <c r="BF274" s="17"/>
      <c r="BG274" s="17"/>
      <c r="BH274" s="17"/>
      <c r="BI274" s="17"/>
      <c r="BJ274" s="17"/>
      <c r="BK274" s="17"/>
      <c r="BL274" s="17"/>
      <c r="BM274" s="17"/>
      <c r="BN274" s="17"/>
      <c r="BO274" s="17"/>
      <c r="BP274" s="17"/>
      <c r="BQ274" s="17"/>
      <c r="BR274" s="17"/>
      <c r="BS274" s="17"/>
      <c r="BT274" s="17"/>
      <c r="BU274" s="17"/>
      <c r="BV274" s="17"/>
      <c r="BW274" s="17"/>
      <c r="BX274" s="17"/>
      <c r="BY274" s="17"/>
      <c r="BZ274" s="17"/>
      <c r="CA274" s="17"/>
      <c r="CB274" s="17"/>
      <c r="CC274" s="17"/>
      <c r="CD274" s="17"/>
      <c r="CE274" s="17"/>
      <c r="CF274" s="17"/>
      <c r="CG274" s="17"/>
      <c r="CH274" s="17"/>
      <c r="CI274" s="17"/>
      <c r="CJ274" s="17"/>
      <c r="CK274" s="17"/>
      <c r="CL274" s="17"/>
      <c r="CM274" s="17"/>
      <c r="CN274" s="17"/>
      <c r="CO274" s="17"/>
      <c r="CP274" s="17"/>
      <c r="CQ274" s="17"/>
      <c r="CR274" s="17"/>
      <c r="CS274" s="17"/>
      <c r="CT274" s="17"/>
      <c r="CU274" s="17"/>
      <c r="CV274" s="17"/>
      <c r="CW274" s="17"/>
      <c r="CX274" s="17"/>
      <c r="CY274" s="17"/>
      <c r="CZ274" s="17"/>
      <c r="DA274" s="17"/>
      <c r="DB274" s="17"/>
      <c r="DC274" s="17"/>
      <c r="DD274" s="17"/>
      <c r="DE274" s="17"/>
      <c r="DF274" s="17"/>
      <c r="DG274" s="17"/>
      <c r="DH274" s="17"/>
      <c r="DI274" s="17"/>
      <c r="DJ274" s="17"/>
      <c r="DK274" s="17"/>
      <c r="DL274" s="17"/>
      <c r="DM274" s="17"/>
      <c r="DN274" s="17"/>
      <c r="DO274" s="17"/>
      <c r="DP274" s="17"/>
      <c r="DQ274" s="17"/>
      <c r="DR274" s="17"/>
      <c r="DS274" s="17"/>
      <c r="DT274" s="17"/>
      <c r="DU274" s="17"/>
      <c r="DV274" s="17"/>
      <c r="DW274" s="17"/>
      <c r="DX274" s="17"/>
      <c r="DY274" s="17"/>
      <c r="DZ274" s="17"/>
      <c r="EA274" s="17"/>
      <c r="EB274" s="17"/>
      <c r="EC274" s="17"/>
      <c r="ED274" s="17"/>
      <c r="EE274" s="17"/>
      <c r="EF274" s="17"/>
      <c r="EG274" s="17"/>
      <c r="EH274" s="17"/>
      <c r="EI274" s="17"/>
      <c r="EJ274" s="17"/>
      <c r="EK274" s="17"/>
      <c r="EL274" s="17"/>
      <c r="EM274" s="17"/>
      <c r="EN274" s="17"/>
      <c r="EO274" s="17"/>
      <c r="EP274" s="17"/>
      <c r="EQ274" s="17"/>
      <c r="ER274" s="17"/>
      <c r="ES274" s="17"/>
      <c r="ET274" s="17"/>
      <c r="EU274" s="17"/>
      <c r="EV274" s="17"/>
      <c r="EW274" s="17"/>
      <c r="EX274" s="17"/>
      <c r="EY274" s="17"/>
      <c r="EZ274" s="17"/>
      <c r="FA274" s="17"/>
      <c r="FB274" s="17"/>
      <c r="FC274" s="17"/>
      <c r="FD274" s="17"/>
      <c r="FE274" s="17"/>
      <c r="FF274" s="17"/>
      <c r="FG274" s="17"/>
      <c r="FH274" s="17"/>
      <c r="FI274" s="17"/>
      <c r="FJ274" s="17"/>
      <c r="FK274" s="17"/>
      <c r="FL274" s="17"/>
      <c r="FM274" s="17"/>
      <c r="FN274" s="17"/>
      <c r="FO274" s="17"/>
      <c r="FP274" s="17"/>
      <c r="FQ274" s="17"/>
      <c r="FR274" s="17"/>
      <c r="FS274" s="17"/>
      <c r="FT274" s="17"/>
      <c r="FU274" s="17"/>
      <c r="FV274" s="17"/>
      <c r="FW274" s="17"/>
      <c r="FX274" s="17"/>
      <c r="FY274" s="17"/>
      <c r="FZ274" s="17"/>
      <c r="GA274" s="17"/>
      <c r="GB274" s="17"/>
      <c r="GC274" s="17"/>
      <c r="GD274" s="17"/>
      <c r="GE274" s="17"/>
      <c r="GF274" s="17"/>
      <c r="GG274" s="17"/>
      <c r="GH274" s="17"/>
      <c r="GI274" s="17"/>
      <c r="GJ274" s="17"/>
      <c r="GK274" s="17"/>
      <c r="GL274" s="17"/>
      <c r="GM274" s="17"/>
      <c r="GN274" s="17"/>
      <c r="GO274" s="17"/>
      <c r="GP274" s="17"/>
      <c r="GQ274" s="17"/>
      <c r="GR274" s="17"/>
      <c r="GS274" s="17"/>
      <c r="GT274" s="17"/>
      <c r="GU274" s="17"/>
      <c r="GV274" s="17"/>
      <c r="GW274" s="17"/>
      <c r="GX274" s="17"/>
      <c r="GY274" s="17"/>
      <c r="GZ274" s="17"/>
      <c r="HA274" s="17"/>
      <c r="HB274" s="17"/>
      <c r="HC274" s="17"/>
      <c r="HD274" s="17"/>
      <c r="HE274" s="17"/>
      <c r="HF274" s="17"/>
      <c r="HG274" s="17"/>
      <c r="HH274" s="17"/>
      <c r="HI274" s="17"/>
      <c r="HJ274" s="17"/>
      <c r="HK274" s="17"/>
      <c r="HL274" s="17"/>
      <c r="HM274" s="17"/>
      <c r="HN274" s="17"/>
      <c r="HO274" s="17"/>
      <c r="HP274" s="17"/>
      <c r="HQ274" s="17"/>
      <c r="HR274" s="17"/>
      <c r="HS274" s="17"/>
      <c r="HT274" s="17"/>
      <c r="HU274" s="17"/>
      <c r="HV274" s="17"/>
      <c r="HW274" s="17"/>
      <c r="HX274" s="17"/>
      <c r="HY274" s="17"/>
      <c r="HZ274" s="17"/>
      <c r="IA274" s="17"/>
      <c r="IB274" s="17"/>
      <c r="IC274" s="17"/>
      <c r="ID274" s="17"/>
      <c r="IE274" s="17"/>
      <c r="IF274" s="17"/>
      <c r="IG274" s="17"/>
      <c r="IH274" s="17"/>
      <c r="II274" s="17"/>
      <c r="IJ274" s="17"/>
      <c r="IK274" s="17"/>
      <c r="IL274" s="17"/>
      <c r="IM274" s="17"/>
      <c r="IN274" s="17"/>
      <c r="IO274" s="17"/>
      <c r="IP274" s="17"/>
      <c r="IQ274" s="17"/>
      <c r="IR274" s="17"/>
      <c r="IS274" s="17"/>
      <c r="IT274" s="17"/>
      <c r="IU274" s="17"/>
      <c r="IV274" s="17"/>
      <c r="IW274" s="17"/>
      <c r="IX274" s="17"/>
      <c r="IY274" s="17"/>
      <c r="IZ274" s="17"/>
      <c r="JA274" s="17"/>
      <c r="JB274" s="17"/>
      <c r="JC274" s="17"/>
      <c r="JD274" s="17"/>
      <c r="JE274" s="17"/>
      <c r="JF274" s="17"/>
      <c r="JG274" s="17"/>
      <c r="JH274" s="17"/>
      <c r="JI274" s="17"/>
      <c r="JJ274" s="17"/>
      <c r="JK274" s="17"/>
      <c r="JL274" s="17"/>
      <c r="JM274" s="17"/>
      <c r="JN274" s="17"/>
      <c r="JO274" s="17"/>
      <c r="JP274" s="17"/>
      <c r="JQ274" s="17"/>
      <c r="JR274" s="17"/>
      <c r="JS274" s="17"/>
      <c r="JT274" s="17"/>
      <c r="JU274" s="17"/>
      <c r="JV274" s="17"/>
      <c r="JW274" s="17"/>
      <c r="JX274" s="17"/>
      <c r="JY274" s="17"/>
      <c r="JZ274" s="17"/>
      <c r="KA274" s="17"/>
      <c r="KB274" s="17"/>
      <c r="KC274" s="17"/>
      <c r="KD274" s="17"/>
      <c r="KE274" s="17"/>
      <c r="KF274" s="17"/>
      <c r="KG274" s="17"/>
      <c r="KH274" s="17"/>
      <c r="KI274" s="17"/>
      <c r="KJ274" s="17"/>
      <c r="KK274" s="17"/>
      <c r="KL274" s="17"/>
      <c r="KM274" s="17"/>
      <c r="KN274" s="17"/>
      <c r="KO274" s="17"/>
      <c r="KP274" s="17"/>
      <c r="KQ274" s="17"/>
      <c r="KR274" s="17"/>
      <c r="KS274" s="17"/>
      <c r="KT274" s="17"/>
      <c r="KU274" s="17"/>
      <c r="KV274" s="17"/>
      <c r="KW274" s="17"/>
      <c r="KX274" s="17"/>
      <c r="KY274" s="17"/>
    </row>
    <row r="275" spans="1:311" x14ac:dyDescent="0.25">
      <c r="A275" s="17"/>
      <c r="B275" s="17"/>
      <c r="C275" s="17"/>
      <c r="D275" s="17"/>
      <c r="E275" s="17"/>
      <c r="F275" s="17"/>
      <c r="G275" s="17"/>
      <c r="H275" s="17"/>
      <c r="I275" s="17"/>
      <c r="J275" s="17"/>
      <c r="K275" s="17"/>
      <c r="L275" s="17"/>
      <c r="M275" s="17"/>
      <c r="N275" s="17"/>
      <c r="O275" s="17"/>
      <c r="P275" s="17"/>
      <c r="Q275" s="17"/>
      <c r="R275" s="17"/>
      <c r="S275" s="17"/>
      <c r="T275" s="17"/>
      <c r="U275" s="17"/>
      <c r="V275" s="17"/>
      <c r="W275" s="17"/>
      <c r="X275" s="17"/>
      <c r="Y275" s="17"/>
      <c r="Z275" s="17"/>
      <c r="AA275" s="17"/>
      <c r="AB275" s="17"/>
      <c r="AC275" s="17"/>
      <c r="AD275" s="17"/>
      <c r="AE275" s="17"/>
      <c r="AF275" s="17"/>
      <c r="AG275" s="17"/>
      <c r="AH275" s="17"/>
      <c r="AI275" s="17"/>
      <c r="AJ275" s="17"/>
      <c r="AK275" s="17"/>
      <c r="AL275" s="17"/>
      <c r="AM275" s="17"/>
      <c r="AN275" s="17"/>
      <c r="AO275" s="17"/>
      <c r="AP275" s="17"/>
      <c r="AQ275" s="17"/>
      <c r="AR275" s="17"/>
      <c r="AS275" s="17"/>
      <c r="AT275" s="17"/>
      <c r="AU275" s="17"/>
      <c r="AV275" s="17"/>
      <c r="AW275" s="17"/>
      <c r="AX275" s="17"/>
      <c r="AY275" s="17"/>
      <c r="AZ275" s="17"/>
      <c r="BA275" s="17"/>
      <c r="BB275" s="17"/>
      <c r="BC275" s="17"/>
      <c r="BD275" s="17"/>
      <c r="BE275" s="17"/>
      <c r="BF275" s="17"/>
      <c r="BG275" s="17"/>
      <c r="BH275" s="17"/>
      <c r="BI275" s="17"/>
      <c r="BJ275" s="17"/>
      <c r="BK275" s="17"/>
      <c r="BL275" s="17"/>
      <c r="BM275" s="17"/>
      <c r="BN275" s="17"/>
      <c r="BO275" s="17"/>
      <c r="BP275" s="17"/>
      <c r="BQ275" s="17"/>
      <c r="BR275" s="17"/>
      <c r="BS275" s="17"/>
      <c r="BT275" s="17"/>
      <c r="BU275" s="17"/>
      <c r="BV275" s="17"/>
      <c r="BW275" s="17"/>
      <c r="BX275" s="17"/>
      <c r="BY275" s="17"/>
      <c r="BZ275" s="17"/>
      <c r="CA275" s="17"/>
      <c r="CB275" s="17"/>
      <c r="CC275" s="17"/>
      <c r="CD275" s="17"/>
      <c r="CE275" s="17"/>
      <c r="CF275" s="17"/>
      <c r="CG275" s="17"/>
      <c r="CH275" s="17"/>
      <c r="CI275" s="17"/>
      <c r="CJ275" s="17"/>
      <c r="CK275" s="17"/>
      <c r="CL275" s="17"/>
      <c r="CM275" s="17"/>
      <c r="CN275" s="17"/>
      <c r="CO275" s="17"/>
      <c r="CP275" s="17"/>
      <c r="CQ275" s="17"/>
      <c r="CR275" s="17"/>
      <c r="CS275" s="17"/>
      <c r="CT275" s="17"/>
      <c r="CU275" s="17"/>
      <c r="CV275" s="17"/>
      <c r="CW275" s="17"/>
      <c r="CX275" s="17"/>
      <c r="CY275" s="17"/>
      <c r="CZ275" s="17"/>
      <c r="DA275" s="17"/>
      <c r="DB275" s="17"/>
      <c r="DC275" s="17"/>
      <c r="DD275" s="17"/>
      <c r="DE275" s="17"/>
      <c r="DF275" s="17"/>
      <c r="DG275" s="17"/>
      <c r="DH275" s="17"/>
      <c r="DI275" s="17"/>
      <c r="DJ275" s="17"/>
      <c r="DK275" s="17"/>
      <c r="DL275" s="17"/>
      <c r="DM275" s="17"/>
      <c r="DN275" s="17"/>
      <c r="DO275" s="17"/>
      <c r="DP275" s="17"/>
      <c r="DQ275" s="17"/>
      <c r="DR275" s="17"/>
      <c r="DS275" s="17"/>
      <c r="DT275" s="17"/>
      <c r="DU275" s="17"/>
      <c r="DV275" s="17"/>
      <c r="DW275" s="17"/>
      <c r="DX275" s="17"/>
      <c r="DY275" s="17"/>
      <c r="DZ275" s="17"/>
      <c r="EA275" s="17"/>
      <c r="EB275" s="17"/>
      <c r="EC275" s="17"/>
      <c r="ED275" s="17"/>
      <c r="EE275" s="17"/>
      <c r="EF275" s="17"/>
      <c r="EG275" s="17"/>
      <c r="EH275" s="17"/>
      <c r="EI275" s="17"/>
      <c r="EJ275" s="17"/>
      <c r="EK275" s="17"/>
      <c r="EL275" s="17"/>
      <c r="EM275" s="17"/>
      <c r="EN275" s="17"/>
      <c r="EO275" s="17"/>
      <c r="EP275" s="17"/>
      <c r="EQ275" s="17"/>
      <c r="ER275" s="17"/>
      <c r="ES275" s="17"/>
      <c r="ET275" s="17"/>
      <c r="EU275" s="17"/>
      <c r="EV275" s="17"/>
      <c r="EW275" s="17"/>
      <c r="EX275" s="17"/>
      <c r="EY275" s="17"/>
      <c r="EZ275" s="17"/>
      <c r="FA275" s="17"/>
      <c r="FB275" s="17"/>
      <c r="FC275" s="17"/>
      <c r="FD275" s="17"/>
      <c r="FE275" s="17"/>
      <c r="FF275" s="17"/>
      <c r="FG275" s="17"/>
      <c r="FH275" s="17"/>
      <c r="FI275" s="17"/>
      <c r="FJ275" s="17"/>
      <c r="FK275" s="17"/>
      <c r="FL275" s="17"/>
      <c r="FM275" s="17"/>
      <c r="FN275" s="17"/>
      <c r="FO275" s="17"/>
      <c r="FP275" s="17"/>
      <c r="FQ275" s="17"/>
      <c r="FR275" s="17"/>
      <c r="FS275" s="17"/>
      <c r="FT275" s="17"/>
      <c r="FU275" s="17"/>
      <c r="FV275" s="17"/>
      <c r="FW275" s="17"/>
      <c r="FX275" s="17"/>
      <c r="FY275" s="17"/>
      <c r="FZ275" s="17"/>
      <c r="GA275" s="17"/>
      <c r="GB275" s="17"/>
      <c r="GC275" s="17"/>
      <c r="GD275" s="17"/>
      <c r="GE275" s="17"/>
      <c r="GF275" s="17"/>
      <c r="GG275" s="17"/>
      <c r="GH275" s="17"/>
      <c r="GI275" s="17"/>
      <c r="GJ275" s="17"/>
      <c r="GK275" s="17"/>
      <c r="GL275" s="17"/>
      <c r="GM275" s="17"/>
      <c r="GN275" s="17"/>
      <c r="GO275" s="17"/>
      <c r="GP275" s="17"/>
      <c r="GQ275" s="17"/>
      <c r="GR275" s="17"/>
      <c r="GS275" s="17"/>
      <c r="GT275" s="17"/>
      <c r="GU275" s="17"/>
      <c r="GV275" s="17"/>
      <c r="GW275" s="17"/>
      <c r="GX275" s="17"/>
      <c r="GY275" s="17"/>
      <c r="GZ275" s="17"/>
      <c r="HA275" s="17"/>
      <c r="HB275" s="17"/>
      <c r="HC275" s="17"/>
      <c r="HD275" s="17"/>
      <c r="HE275" s="17"/>
      <c r="HF275" s="17"/>
      <c r="HG275" s="17"/>
      <c r="HH275" s="17"/>
      <c r="HI275" s="17"/>
      <c r="HJ275" s="17"/>
      <c r="HK275" s="17"/>
      <c r="HL275" s="17"/>
      <c r="HM275" s="17"/>
      <c r="HN275" s="17"/>
      <c r="HO275" s="17"/>
      <c r="HP275" s="17"/>
      <c r="HQ275" s="17"/>
      <c r="HR275" s="17"/>
      <c r="HS275" s="17"/>
      <c r="HT275" s="17"/>
      <c r="HU275" s="17"/>
      <c r="HV275" s="17"/>
      <c r="HW275" s="17"/>
      <c r="HX275" s="17"/>
      <c r="HY275" s="17"/>
      <c r="HZ275" s="17"/>
      <c r="IA275" s="17"/>
      <c r="IB275" s="17"/>
      <c r="IC275" s="17"/>
      <c r="ID275" s="17"/>
      <c r="IE275" s="17"/>
      <c r="IF275" s="17"/>
      <c r="IG275" s="17"/>
      <c r="IH275" s="17"/>
      <c r="II275" s="17"/>
      <c r="IJ275" s="17"/>
      <c r="IK275" s="17"/>
      <c r="IL275" s="17"/>
      <c r="IM275" s="17"/>
      <c r="IN275" s="17"/>
      <c r="IO275" s="17"/>
      <c r="IP275" s="17"/>
      <c r="IQ275" s="17"/>
      <c r="IR275" s="17"/>
      <c r="IS275" s="17"/>
      <c r="IT275" s="17"/>
      <c r="IU275" s="17"/>
      <c r="IV275" s="17"/>
      <c r="IW275" s="17"/>
      <c r="IX275" s="17"/>
      <c r="IY275" s="17"/>
      <c r="IZ275" s="17"/>
      <c r="JA275" s="17"/>
      <c r="JB275" s="17"/>
      <c r="JC275" s="17"/>
      <c r="JD275" s="17"/>
      <c r="JE275" s="17"/>
      <c r="JF275" s="17"/>
      <c r="JG275" s="17"/>
      <c r="JH275" s="17"/>
      <c r="JI275" s="17"/>
      <c r="JJ275" s="17"/>
      <c r="JK275" s="17"/>
      <c r="JL275" s="17"/>
      <c r="JM275" s="17"/>
      <c r="JN275" s="17"/>
      <c r="JO275" s="17"/>
      <c r="JP275" s="17"/>
      <c r="JQ275" s="17"/>
      <c r="JR275" s="17"/>
      <c r="JS275" s="17"/>
      <c r="JT275" s="17"/>
      <c r="JU275" s="17"/>
      <c r="JV275" s="17"/>
      <c r="JW275" s="17"/>
      <c r="JX275" s="17"/>
      <c r="JY275" s="17"/>
      <c r="JZ275" s="17"/>
      <c r="KA275" s="17"/>
      <c r="KB275" s="17"/>
      <c r="KC275" s="17"/>
      <c r="KD275" s="17"/>
      <c r="KE275" s="17"/>
      <c r="KF275" s="17"/>
      <c r="KG275" s="17"/>
      <c r="KH275" s="17"/>
      <c r="KI275" s="17"/>
      <c r="KJ275" s="17"/>
      <c r="KK275" s="17"/>
      <c r="KL275" s="17"/>
      <c r="KM275" s="17"/>
      <c r="KN275" s="17"/>
      <c r="KO275" s="17"/>
      <c r="KP275" s="17"/>
      <c r="KQ275" s="17"/>
      <c r="KR275" s="17"/>
      <c r="KS275" s="17"/>
      <c r="KT275" s="17"/>
      <c r="KU275" s="17"/>
      <c r="KV275" s="17"/>
      <c r="KW275" s="17"/>
      <c r="KX275" s="17"/>
      <c r="KY275" s="17"/>
    </row>
    <row r="276" spans="1:311" x14ac:dyDescent="0.25">
      <c r="A276" s="17"/>
      <c r="B276" s="17"/>
      <c r="C276" s="17"/>
      <c r="D276" s="17"/>
      <c r="E276" s="17"/>
      <c r="F276" s="17"/>
      <c r="G276" s="17"/>
      <c r="H276" s="17"/>
      <c r="I276" s="17"/>
      <c r="J276" s="17"/>
      <c r="K276" s="17"/>
      <c r="L276" s="17"/>
      <c r="M276" s="17"/>
      <c r="N276" s="17"/>
      <c r="O276" s="17"/>
      <c r="P276" s="17"/>
      <c r="Q276" s="17"/>
      <c r="R276" s="17"/>
      <c r="S276" s="17"/>
      <c r="T276" s="17"/>
      <c r="U276" s="17"/>
      <c r="V276" s="17"/>
      <c r="W276" s="17"/>
      <c r="X276" s="17"/>
      <c r="Y276" s="17"/>
      <c r="Z276" s="17"/>
      <c r="AA276" s="17"/>
      <c r="AB276" s="17"/>
      <c r="AC276" s="17"/>
      <c r="AD276" s="17"/>
      <c r="AE276" s="17"/>
      <c r="AF276" s="17"/>
      <c r="AG276" s="17"/>
      <c r="AH276" s="17"/>
      <c r="AI276" s="17"/>
      <c r="AJ276" s="17"/>
      <c r="AK276" s="17"/>
      <c r="AL276" s="17"/>
      <c r="AM276" s="17"/>
      <c r="AN276" s="17"/>
      <c r="AO276" s="17"/>
      <c r="AP276" s="17"/>
      <c r="AQ276" s="17"/>
      <c r="AR276" s="17"/>
      <c r="AS276" s="17"/>
      <c r="AT276" s="17"/>
      <c r="AU276" s="17"/>
      <c r="AV276" s="17"/>
      <c r="AW276" s="17"/>
      <c r="AX276" s="17"/>
      <c r="AY276" s="17"/>
      <c r="AZ276" s="17"/>
      <c r="BA276" s="17"/>
      <c r="BB276" s="17"/>
      <c r="BC276" s="17"/>
      <c r="BD276" s="17"/>
      <c r="BE276" s="17"/>
      <c r="BF276" s="17"/>
      <c r="BG276" s="17"/>
      <c r="BH276" s="17"/>
      <c r="BI276" s="17"/>
      <c r="BJ276" s="17"/>
      <c r="BK276" s="17"/>
      <c r="BL276" s="17"/>
      <c r="BM276" s="17"/>
      <c r="BN276" s="17"/>
      <c r="BO276" s="17"/>
      <c r="BP276" s="17"/>
      <c r="BQ276" s="17"/>
      <c r="BR276" s="17"/>
      <c r="BS276" s="17"/>
      <c r="BT276" s="17"/>
      <c r="BU276" s="17"/>
      <c r="BV276" s="17"/>
      <c r="BW276" s="17"/>
      <c r="BX276" s="17"/>
      <c r="BY276" s="17"/>
      <c r="BZ276" s="17"/>
      <c r="CA276" s="17"/>
      <c r="CB276" s="17"/>
      <c r="CC276" s="17"/>
      <c r="CD276" s="17"/>
      <c r="CE276" s="17"/>
      <c r="CF276" s="17"/>
      <c r="CG276" s="17"/>
      <c r="CH276" s="17"/>
      <c r="CI276" s="17"/>
      <c r="CJ276" s="17"/>
      <c r="CK276" s="17"/>
      <c r="CL276" s="17"/>
      <c r="CM276" s="17"/>
      <c r="CN276" s="17"/>
      <c r="CO276" s="17"/>
      <c r="CP276" s="17"/>
      <c r="CQ276" s="17"/>
      <c r="CR276" s="17"/>
      <c r="CS276" s="17"/>
      <c r="CT276" s="17"/>
      <c r="CU276" s="17"/>
      <c r="CV276" s="17"/>
      <c r="CW276" s="17"/>
      <c r="CX276" s="17"/>
      <c r="CY276" s="17"/>
      <c r="CZ276" s="17"/>
      <c r="DA276" s="17"/>
      <c r="DB276" s="17"/>
      <c r="DC276" s="17"/>
      <c r="DD276" s="17"/>
      <c r="DE276" s="17"/>
      <c r="DF276" s="17"/>
      <c r="DG276" s="17"/>
      <c r="DH276" s="17"/>
      <c r="DI276" s="17"/>
      <c r="DJ276" s="17"/>
      <c r="DK276" s="17"/>
      <c r="DL276" s="17"/>
      <c r="DM276" s="17"/>
      <c r="DN276" s="17"/>
      <c r="DO276" s="17"/>
      <c r="DP276" s="17"/>
      <c r="DQ276" s="17"/>
      <c r="DR276" s="17"/>
      <c r="DS276" s="17"/>
      <c r="DT276" s="17"/>
      <c r="DU276" s="17"/>
      <c r="DV276" s="17"/>
      <c r="DW276" s="17"/>
      <c r="DX276" s="17"/>
      <c r="DY276" s="17"/>
      <c r="DZ276" s="17"/>
      <c r="EA276" s="17"/>
      <c r="EB276" s="17"/>
      <c r="EC276" s="17"/>
      <c r="ED276" s="17"/>
      <c r="EE276" s="17"/>
      <c r="EF276" s="17"/>
      <c r="EG276" s="17"/>
      <c r="EH276" s="17"/>
      <c r="EI276" s="17"/>
      <c r="EJ276" s="17"/>
      <c r="EK276" s="17"/>
      <c r="EL276" s="17"/>
      <c r="EM276" s="17"/>
      <c r="EN276" s="17"/>
      <c r="EO276" s="17"/>
      <c r="EP276" s="17"/>
      <c r="EQ276" s="17"/>
      <c r="ER276" s="17"/>
      <c r="ES276" s="17"/>
      <c r="ET276" s="17"/>
      <c r="EU276" s="17"/>
      <c r="EV276" s="17"/>
      <c r="EW276" s="17"/>
      <c r="EX276" s="17"/>
      <c r="EY276" s="17"/>
      <c r="EZ276" s="17"/>
      <c r="FA276" s="17"/>
      <c r="FB276" s="17"/>
      <c r="FC276" s="17"/>
      <c r="FD276" s="17"/>
      <c r="FE276" s="17"/>
      <c r="FF276" s="17"/>
      <c r="FG276" s="17"/>
      <c r="FH276" s="17"/>
      <c r="FI276" s="17"/>
      <c r="FJ276" s="17"/>
      <c r="FK276" s="17"/>
      <c r="FL276" s="17"/>
      <c r="FM276" s="17"/>
      <c r="FN276" s="17"/>
      <c r="FO276" s="17"/>
      <c r="FP276" s="17"/>
      <c r="FQ276" s="17"/>
      <c r="FR276" s="17"/>
      <c r="FS276" s="17"/>
      <c r="FT276" s="17"/>
      <c r="FU276" s="17"/>
      <c r="FV276" s="17"/>
      <c r="FW276" s="17"/>
      <c r="FX276" s="17"/>
      <c r="FY276" s="17"/>
      <c r="FZ276" s="17"/>
      <c r="GA276" s="17"/>
      <c r="GB276" s="17"/>
      <c r="GC276" s="17"/>
      <c r="GD276" s="17"/>
      <c r="GE276" s="17"/>
      <c r="GF276" s="17"/>
      <c r="GG276" s="17"/>
      <c r="GH276" s="17"/>
      <c r="GI276" s="17"/>
      <c r="GJ276" s="17"/>
      <c r="GK276" s="17"/>
      <c r="GL276" s="17"/>
      <c r="GM276" s="17"/>
      <c r="GN276" s="17"/>
      <c r="GO276" s="17"/>
      <c r="GP276" s="17"/>
      <c r="GQ276" s="17"/>
      <c r="GR276" s="17"/>
      <c r="GS276" s="17"/>
      <c r="GT276" s="17"/>
      <c r="GU276" s="17"/>
      <c r="GV276" s="17"/>
      <c r="GW276" s="17"/>
      <c r="GX276" s="17"/>
      <c r="GY276" s="17"/>
      <c r="GZ276" s="17"/>
      <c r="HA276" s="17"/>
      <c r="HB276" s="17"/>
      <c r="HC276" s="17"/>
      <c r="HD276" s="17"/>
      <c r="HE276" s="17"/>
      <c r="HF276" s="17"/>
      <c r="HG276" s="17"/>
      <c r="HH276" s="17"/>
      <c r="HI276" s="17"/>
      <c r="HJ276" s="17"/>
      <c r="HK276" s="17"/>
      <c r="HL276" s="17"/>
      <c r="HM276" s="17"/>
      <c r="HN276" s="17"/>
      <c r="HO276" s="17"/>
      <c r="HP276" s="17"/>
      <c r="HQ276" s="17"/>
      <c r="HR276" s="17"/>
      <c r="HS276" s="17"/>
      <c r="HT276" s="17"/>
      <c r="HU276" s="17"/>
      <c r="HV276" s="17"/>
      <c r="HW276" s="17"/>
      <c r="HX276" s="17"/>
      <c r="HY276" s="17"/>
      <c r="HZ276" s="17"/>
      <c r="IA276" s="17"/>
      <c r="IB276" s="17"/>
      <c r="IC276" s="17"/>
      <c r="ID276" s="17"/>
      <c r="IE276" s="17"/>
      <c r="IF276" s="17"/>
      <c r="IG276" s="17"/>
      <c r="IH276" s="17"/>
      <c r="II276" s="17"/>
      <c r="IJ276" s="17"/>
      <c r="IK276" s="17"/>
      <c r="IL276" s="17"/>
      <c r="IM276" s="17"/>
      <c r="IN276" s="17"/>
      <c r="IO276" s="17"/>
      <c r="IP276" s="17"/>
      <c r="IQ276" s="17"/>
      <c r="IR276" s="17"/>
      <c r="IS276" s="17"/>
      <c r="IT276" s="17"/>
      <c r="IU276" s="17"/>
      <c r="IV276" s="17"/>
      <c r="IW276" s="17"/>
      <c r="IX276" s="17"/>
      <c r="IY276" s="17"/>
      <c r="IZ276" s="17"/>
      <c r="JA276" s="17"/>
      <c r="JB276" s="17"/>
      <c r="JC276" s="17"/>
      <c r="JD276" s="17"/>
      <c r="JE276" s="17"/>
      <c r="JF276" s="17"/>
      <c r="JG276" s="17"/>
      <c r="JH276" s="17"/>
      <c r="JI276" s="17"/>
      <c r="JJ276" s="17"/>
      <c r="JK276" s="17"/>
      <c r="JL276" s="17"/>
      <c r="JM276" s="17"/>
      <c r="JN276" s="17"/>
      <c r="JO276" s="17"/>
      <c r="JP276" s="17"/>
      <c r="JQ276" s="17"/>
      <c r="JR276" s="17"/>
      <c r="JS276" s="17"/>
      <c r="JT276" s="17"/>
      <c r="JU276" s="17"/>
      <c r="JV276" s="17"/>
      <c r="JW276" s="17"/>
      <c r="JX276" s="17"/>
      <c r="JY276" s="17"/>
      <c r="JZ276" s="17"/>
      <c r="KA276" s="17"/>
      <c r="KB276" s="17"/>
      <c r="KC276" s="17"/>
      <c r="KD276" s="17"/>
      <c r="KE276" s="17"/>
      <c r="KF276" s="17"/>
      <c r="KG276" s="17"/>
      <c r="KH276" s="17"/>
      <c r="KI276" s="17"/>
      <c r="KJ276" s="17"/>
      <c r="KK276" s="17"/>
      <c r="KL276" s="17"/>
      <c r="KM276" s="17"/>
      <c r="KN276" s="17"/>
      <c r="KO276" s="17"/>
      <c r="KP276" s="17"/>
      <c r="KQ276" s="17"/>
      <c r="KR276" s="17"/>
      <c r="KS276" s="17"/>
      <c r="KT276" s="17"/>
      <c r="KU276" s="17"/>
      <c r="KV276" s="17"/>
      <c r="KW276" s="17"/>
      <c r="KX276" s="17"/>
      <c r="KY276" s="17"/>
    </row>
    <row r="277" spans="1:311" x14ac:dyDescent="0.25">
      <c r="A277" s="17"/>
      <c r="B277" s="17"/>
      <c r="C277" s="17"/>
      <c r="D277" s="17"/>
      <c r="E277" s="17"/>
      <c r="F277" s="17"/>
      <c r="G277" s="17"/>
      <c r="H277" s="17"/>
      <c r="I277" s="17"/>
      <c r="J277" s="17"/>
      <c r="K277" s="17"/>
      <c r="L277" s="17"/>
      <c r="M277" s="17"/>
      <c r="N277" s="17"/>
      <c r="O277" s="17"/>
      <c r="P277" s="17"/>
      <c r="Q277" s="17"/>
      <c r="R277" s="17"/>
      <c r="S277" s="17"/>
      <c r="T277" s="17"/>
      <c r="U277" s="17"/>
      <c r="V277" s="17"/>
      <c r="W277" s="17"/>
      <c r="X277" s="17"/>
      <c r="Y277" s="17"/>
      <c r="Z277" s="17"/>
      <c r="AA277" s="17"/>
      <c r="AB277" s="17"/>
      <c r="AC277" s="17"/>
      <c r="AD277" s="17"/>
      <c r="AE277" s="17"/>
      <c r="AF277" s="17"/>
      <c r="AG277" s="17"/>
      <c r="AH277" s="17"/>
      <c r="AI277" s="17"/>
      <c r="AJ277" s="17"/>
      <c r="AK277" s="17"/>
      <c r="AL277" s="17"/>
      <c r="AM277" s="17"/>
      <c r="AN277" s="17"/>
      <c r="AO277" s="17"/>
      <c r="AP277" s="17"/>
      <c r="AQ277" s="17"/>
      <c r="AR277" s="17"/>
      <c r="AS277" s="17"/>
      <c r="AT277" s="17"/>
      <c r="AU277" s="17"/>
      <c r="AV277" s="17"/>
      <c r="AW277" s="17"/>
      <c r="AX277" s="17"/>
      <c r="AY277" s="17"/>
      <c r="AZ277" s="17"/>
      <c r="BA277" s="17"/>
      <c r="BB277" s="17"/>
      <c r="BC277" s="17"/>
      <c r="BD277" s="17"/>
      <c r="BE277" s="17"/>
      <c r="BF277" s="17"/>
      <c r="BG277" s="17"/>
      <c r="BH277" s="17"/>
      <c r="BI277" s="17"/>
      <c r="BJ277" s="17"/>
      <c r="BK277" s="17"/>
      <c r="BL277" s="17"/>
      <c r="BM277" s="17"/>
      <c r="BN277" s="17"/>
      <c r="BO277" s="17"/>
      <c r="BP277" s="17"/>
      <c r="BQ277" s="17"/>
      <c r="BR277" s="17"/>
      <c r="BS277" s="17"/>
      <c r="BT277" s="17"/>
      <c r="BU277" s="17"/>
      <c r="BV277" s="17"/>
      <c r="BW277" s="17"/>
      <c r="BX277" s="17"/>
      <c r="BY277" s="17"/>
      <c r="BZ277" s="17"/>
      <c r="CA277" s="17"/>
      <c r="CB277" s="17"/>
      <c r="CC277" s="17"/>
      <c r="CD277" s="17"/>
      <c r="CE277" s="17"/>
      <c r="CF277" s="17"/>
      <c r="CG277" s="17"/>
      <c r="CH277" s="17"/>
      <c r="CI277" s="17"/>
      <c r="CJ277" s="17"/>
      <c r="CK277" s="17"/>
      <c r="CL277" s="17"/>
      <c r="CM277" s="17"/>
      <c r="CN277" s="17"/>
      <c r="CO277" s="17"/>
      <c r="CP277" s="17"/>
      <c r="CQ277" s="17"/>
      <c r="CR277" s="17"/>
      <c r="CS277" s="17"/>
      <c r="CT277" s="17"/>
      <c r="CU277" s="17"/>
      <c r="CV277" s="17"/>
      <c r="CW277" s="17"/>
      <c r="CX277" s="17"/>
      <c r="CY277" s="17"/>
      <c r="CZ277" s="17"/>
      <c r="DA277" s="17"/>
      <c r="DB277" s="17"/>
      <c r="DC277" s="17"/>
      <c r="DD277" s="17"/>
      <c r="DE277" s="17"/>
      <c r="DF277" s="17"/>
      <c r="DG277" s="17"/>
      <c r="DH277" s="17"/>
      <c r="DI277" s="17"/>
      <c r="DJ277" s="17"/>
      <c r="DK277" s="17"/>
      <c r="DL277" s="17"/>
      <c r="DM277" s="17"/>
      <c r="DN277" s="17"/>
      <c r="DO277" s="17"/>
      <c r="DP277" s="17"/>
      <c r="DQ277" s="17"/>
      <c r="DR277" s="17"/>
      <c r="DS277" s="17"/>
      <c r="DT277" s="17"/>
      <c r="DU277" s="17"/>
      <c r="DV277" s="17"/>
      <c r="DW277" s="17"/>
      <c r="DX277" s="17"/>
      <c r="DY277" s="17"/>
      <c r="DZ277" s="17"/>
      <c r="EA277" s="17"/>
      <c r="EB277" s="17"/>
      <c r="EC277" s="17"/>
      <c r="ED277" s="17"/>
      <c r="EE277" s="17"/>
      <c r="EF277" s="17"/>
      <c r="EG277" s="17"/>
      <c r="EH277" s="17"/>
      <c r="EI277" s="17"/>
      <c r="EJ277" s="17"/>
      <c r="EK277" s="17"/>
      <c r="EL277" s="17"/>
      <c r="EM277" s="17"/>
      <c r="EN277" s="17"/>
      <c r="EO277" s="17"/>
      <c r="EP277" s="17"/>
      <c r="EQ277" s="17"/>
      <c r="ER277" s="17"/>
      <c r="ES277" s="17"/>
      <c r="ET277" s="17"/>
      <c r="EU277" s="17"/>
      <c r="EV277" s="17"/>
      <c r="EW277" s="17"/>
      <c r="EX277" s="17"/>
      <c r="EY277" s="17"/>
      <c r="EZ277" s="17"/>
      <c r="FA277" s="17"/>
      <c r="FB277" s="17"/>
      <c r="FC277" s="17"/>
      <c r="FD277" s="17"/>
      <c r="FE277" s="17"/>
      <c r="FF277" s="17"/>
      <c r="FG277" s="17"/>
      <c r="FH277" s="17"/>
      <c r="FI277" s="17"/>
      <c r="FJ277" s="17"/>
      <c r="FK277" s="17"/>
      <c r="FL277" s="17"/>
      <c r="FM277" s="17"/>
      <c r="FN277" s="17"/>
      <c r="FO277" s="17"/>
      <c r="FP277" s="17"/>
      <c r="FQ277" s="17"/>
      <c r="FR277" s="17"/>
      <c r="FS277" s="17"/>
      <c r="FT277" s="17"/>
      <c r="FU277" s="17"/>
      <c r="FV277" s="17"/>
      <c r="FW277" s="17"/>
      <c r="FX277" s="17"/>
      <c r="FY277" s="17"/>
      <c r="FZ277" s="17"/>
      <c r="GA277" s="17"/>
      <c r="GB277" s="17"/>
      <c r="GC277" s="17"/>
      <c r="GD277" s="17"/>
      <c r="GE277" s="17"/>
      <c r="GF277" s="17"/>
      <c r="GG277" s="17"/>
      <c r="GH277" s="17"/>
      <c r="GI277" s="17"/>
      <c r="GJ277" s="17"/>
      <c r="GK277" s="17"/>
      <c r="GL277" s="17"/>
      <c r="GM277" s="17"/>
      <c r="GN277" s="17"/>
      <c r="GO277" s="17"/>
      <c r="GP277" s="17"/>
      <c r="GQ277" s="17"/>
      <c r="GR277" s="17"/>
      <c r="GS277" s="17"/>
      <c r="GT277" s="17"/>
      <c r="GU277" s="17"/>
      <c r="GV277" s="17"/>
      <c r="GW277" s="17"/>
      <c r="GX277" s="17"/>
      <c r="GY277" s="17"/>
      <c r="GZ277" s="17"/>
      <c r="HA277" s="17"/>
      <c r="HB277" s="17"/>
      <c r="HC277" s="17"/>
      <c r="HD277" s="17"/>
      <c r="HE277" s="17"/>
      <c r="HF277" s="17"/>
      <c r="HG277" s="17"/>
      <c r="HH277" s="17"/>
      <c r="HI277" s="17"/>
      <c r="HJ277" s="17"/>
      <c r="HK277" s="17"/>
      <c r="HL277" s="17"/>
      <c r="HM277" s="17"/>
      <c r="HN277" s="17"/>
      <c r="HO277" s="17"/>
      <c r="HP277" s="17"/>
      <c r="HQ277" s="17"/>
      <c r="HR277" s="17"/>
      <c r="HS277" s="17"/>
      <c r="HT277" s="17"/>
      <c r="HU277" s="17"/>
      <c r="HV277" s="17"/>
      <c r="HW277" s="17"/>
      <c r="HX277" s="17"/>
      <c r="HY277" s="17"/>
      <c r="HZ277" s="17"/>
      <c r="IA277" s="17"/>
      <c r="IB277" s="17"/>
      <c r="IC277" s="17"/>
      <c r="ID277" s="17"/>
      <c r="IE277" s="17"/>
      <c r="IF277" s="17"/>
      <c r="IG277" s="17"/>
      <c r="IH277" s="17"/>
      <c r="II277" s="17"/>
      <c r="IJ277" s="17"/>
      <c r="IK277" s="17"/>
      <c r="IL277" s="17"/>
      <c r="IM277" s="17"/>
      <c r="IN277" s="17"/>
      <c r="IO277" s="17"/>
      <c r="IP277" s="17"/>
      <c r="IQ277" s="17"/>
      <c r="IR277" s="17"/>
      <c r="IS277" s="17"/>
      <c r="IT277" s="17"/>
      <c r="IU277" s="17"/>
      <c r="IV277" s="17"/>
      <c r="IW277" s="17"/>
      <c r="IX277" s="17"/>
      <c r="IY277" s="17"/>
      <c r="IZ277" s="17"/>
      <c r="JA277" s="17"/>
      <c r="JB277" s="17"/>
      <c r="JC277" s="17"/>
      <c r="JD277" s="17"/>
      <c r="JE277" s="17"/>
      <c r="JF277" s="17"/>
      <c r="JG277" s="17"/>
      <c r="JH277" s="17"/>
      <c r="JI277" s="17"/>
      <c r="JJ277" s="17"/>
      <c r="JK277" s="17"/>
      <c r="JL277" s="17"/>
      <c r="JM277" s="17"/>
      <c r="JN277" s="17"/>
      <c r="JO277" s="17"/>
      <c r="JP277" s="17"/>
      <c r="JQ277" s="17"/>
      <c r="JR277" s="17"/>
      <c r="JS277" s="17"/>
      <c r="JT277" s="17"/>
      <c r="JU277" s="17"/>
      <c r="JV277" s="17"/>
      <c r="JW277" s="17"/>
      <c r="JX277" s="17"/>
      <c r="JY277" s="17"/>
      <c r="JZ277" s="17"/>
      <c r="KA277" s="17"/>
      <c r="KB277" s="17"/>
      <c r="KC277" s="17"/>
      <c r="KD277" s="17"/>
      <c r="KE277" s="17"/>
      <c r="KF277" s="17"/>
      <c r="KG277" s="17"/>
      <c r="KH277" s="17"/>
      <c r="KI277" s="17"/>
      <c r="KJ277" s="17"/>
      <c r="KK277" s="17"/>
      <c r="KL277" s="17"/>
      <c r="KM277" s="17"/>
      <c r="KN277" s="17"/>
      <c r="KO277" s="17"/>
      <c r="KP277" s="17"/>
      <c r="KQ277" s="17"/>
      <c r="KR277" s="17"/>
      <c r="KS277" s="17"/>
      <c r="KT277" s="17"/>
      <c r="KU277" s="17"/>
      <c r="KV277" s="17"/>
      <c r="KW277" s="17"/>
      <c r="KX277" s="17"/>
      <c r="KY277" s="17"/>
    </row>
    <row r="278" spans="1:311" x14ac:dyDescent="0.25">
      <c r="A278" s="17"/>
      <c r="B278" s="17"/>
      <c r="C278" s="17"/>
      <c r="D278" s="17"/>
      <c r="E278" s="17"/>
      <c r="F278" s="17"/>
      <c r="G278" s="17"/>
      <c r="H278" s="17"/>
      <c r="I278" s="17"/>
      <c r="J278" s="17"/>
      <c r="K278" s="17"/>
      <c r="L278" s="17"/>
      <c r="M278" s="17"/>
      <c r="N278" s="17"/>
      <c r="O278" s="17"/>
      <c r="P278" s="17"/>
      <c r="Q278" s="17"/>
      <c r="R278" s="17"/>
      <c r="S278" s="17"/>
      <c r="T278" s="17"/>
      <c r="U278" s="17"/>
      <c r="V278" s="17"/>
      <c r="W278" s="17"/>
      <c r="X278" s="17"/>
      <c r="Y278" s="17"/>
      <c r="Z278" s="17"/>
      <c r="AA278" s="17"/>
      <c r="AB278" s="17"/>
      <c r="AC278" s="17"/>
      <c r="AD278" s="17"/>
      <c r="AE278" s="17"/>
      <c r="AF278" s="17"/>
      <c r="AG278" s="17"/>
      <c r="AH278" s="17"/>
      <c r="AI278" s="17"/>
      <c r="AJ278" s="17"/>
      <c r="AK278" s="17"/>
      <c r="AL278" s="17"/>
      <c r="AM278" s="17"/>
      <c r="AN278" s="17"/>
      <c r="AO278" s="17"/>
      <c r="AP278" s="17"/>
      <c r="AQ278" s="17"/>
      <c r="AR278" s="17"/>
      <c r="AS278" s="17"/>
      <c r="AT278" s="17"/>
      <c r="AU278" s="17"/>
      <c r="AV278" s="17"/>
      <c r="AW278" s="17"/>
      <c r="AX278" s="17"/>
      <c r="AY278" s="17"/>
      <c r="AZ278" s="17"/>
      <c r="BA278" s="17"/>
      <c r="BB278" s="17"/>
      <c r="BC278" s="17"/>
      <c r="BD278" s="17"/>
      <c r="BE278" s="17"/>
      <c r="BF278" s="17"/>
      <c r="BG278" s="17"/>
      <c r="BH278" s="17"/>
      <c r="BI278" s="17"/>
      <c r="BJ278" s="17"/>
      <c r="BK278" s="17"/>
      <c r="BL278" s="17"/>
      <c r="BM278" s="17"/>
      <c r="BN278" s="17"/>
      <c r="BO278" s="17"/>
      <c r="BP278" s="17"/>
      <c r="BQ278" s="17"/>
      <c r="BR278" s="17"/>
      <c r="BS278" s="17"/>
      <c r="BT278" s="17"/>
      <c r="BU278" s="17"/>
      <c r="BV278" s="17"/>
      <c r="BW278" s="17"/>
      <c r="BX278" s="17"/>
      <c r="BY278" s="17"/>
      <c r="BZ278" s="17"/>
      <c r="CA278" s="17"/>
      <c r="CB278" s="17"/>
      <c r="CC278" s="17"/>
      <c r="CD278" s="17"/>
      <c r="CE278" s="17"/>
      <c r="CF278" s="17"/>
      <c r="CG278" s="17"/>
      <c r="CH278" s="17"/>
      <c r="CI278" s="17"/>
      <c r="CJ278" s="17"/>
      <c r="CK278" s="17"/>
      <c r="CL278" s="17"/>
      <c r="CM278" s="17"/>
      <c r="CN278" s="17"/>
      <c r="CO278" s="17"/>
      <c r="CP278" s="17"/>
      <c r="CQ278" s="17"/>
      <c r="CR278" s="17"/>
      <c r="CS278" s="17"/>
      <c r="CT278" s="17"/>
      <c r="CU278" s="17"/>
      <c r="CV278" s="17"/>
      <c r="CW278" s="17"/>
      <c r="CX278" s="17"/>
      <c r="CY278" s="17"/>
      <c r="CZ278" s="17"/>
      <c r="DA278" s="17"/>
      <c r="DB278" s="17"/>
      <c r="DC278" s="17"/>
      <c r="DD278" s="17"/>
      <c r="DE278" s="17"/>
      <c r="DF278" s="17"/>
      <c r="DG278" s="17"/>
      <c r="DH278" s="17"/>
      <c r="DI278" s="17"/>
      <c r="DJ278" s="17"/>
      <c r="DK278" s="17"/>
      <c r="DL278" s="17"/>
      <c r="DM278" s="17"/>
      <c r="DN278" s="17"/>
      <c r="DO278" s="17"/>
      <c r="DP278" s="17"/>
      <c r="DQ278" s="17"/>
      <c r="DR278" s="17"/>
      <c r="DS278" s="17"/>
      <c r="DT278" s="17"/>
      <c r="DU278" s="17"/>
      <c r="DV278" s="17"/>
      <c r="DW278" s="17"/>
      <c r="DX278" s="17"/>
      <c r="DY278" s="17"/>
      <c r="DZ278" s="17"/>
      <c r="EA278" s="17"/>
      <c r="EB278" s="17"/>
      <c r="EC278" s="17"/>
      <c r="ED278" s="17"/>
      <c r="EE278" s="17"/>
      <c r="EF278" s="17"/>
      <c r="EG278" s="17"/>
      <c r="EH278" s="17"/>
      <c r="EI278" s="17"/>
      <c r="EJ278" s="17"/>
      <c r="EK278" s="17"/>
      <c r="EL278" s="17"/>
      <c r="EM278" s="17"/>
      <c r="EN278" s="17"/>
      <c r="EO278" s="17"/>
      <c r="EP278" s="17"/>
      <c r="EQ278" s="17"/>
      <c r="ER278" s="17"/>
      <c r="ES278" s="17"/>
      <c r="ET278" s="17"/>
      <c r="EU278" s="17"/>
      <c r="EV278" s="17"/>
      <c r="EW278" s="17"/>
      <c r="EX278" s="17"/>
      <c r="EY278" s="17"/>
      <c r="EZ278" s="17"/>
      <c r="FA278" s="17"/>
      <c r="FB278" s="17"/>
      <c r="FC278" s="17"/>
      <c r="FD278" s="17"/>
      <c r="FE278" s="17"/>
      <c r="FF278" s="17"/>
      <c r="FG278" s="17"/>
      <c r="FH278" s="17"/>
      <c r="FI278" s="17"/>
      <c r="FJ278" s="17"/>
      <c r="FK278" s="17"/>
      <c r="FL278" s="17"/>
      <c r="FM278" s="17"/>
      <c r="FN278" s="17"/>
      <c r="FO278" s="17"/>
      <c r="FP278" s="17"/>
      <c r="FQ278" s="17"/>
      <c r="FR278" s="17"/>
      <c r="FS278" s="17"/>
      <c r="FT278" s="17"/>
      <c r="FU278" s="17"/>
      <c r="FV278" s="17"/>
      <c r="FW278" s="17"/>
      <c r="FX278" s="17"/>
      <c r="FY278" s="17"/>
      <c r="FZ278" s="17"/>
      <c r="GA278" s="17"/>
      <c r="GB278" s="17"/>
      <c r="GC278" s="17"/>
      <c r="GD278" s="17"/>
      <c r="GE278" s="17"/>
      <c r="GF278" s="17"/>
      <c r="GG278" s="17"/>
      <c r="GH278" s="17"/>
      <c r="GI278" s="17"/>
      <c r="GJ278" s="17"/>
      <c r="GK278" s="17"/>
      <c r="GL278" s="17"/>
      <c r="GM278" s="17"/>
      <c r="GN278" s="17"/>
      <c r="GO278" s="17"/>
      <c r="GP278" s="17"/>
      <c r="GQ278" s="17"/>
      <c r="GR278" s="17"/>
      <c r="GS278" s="17"/>
      <c r="GT278" s="17"/>
      <c r="GU278" s="17"/>
      <c r="GV278" s="17"/>
      <c r="GW278" s="17"/>
      <c r="GX278" s="17"/>
      <c r="GY278" s="17"/>
      <c r="GZ278" s="17"/>
      <c r="HA278" s="17"/>
      <c r="HB278" s="17"/>
      <c r="HC278" s="17"/>
      <c r="HD278" s="17"/>
      <c r="HE278" s="17"/>
      <c r="HF278" s="17"/>
      <c r="HG278" s="17"/>
      <c r="HH278" s="17"/>
      <c r="HI278" s="17"/>
      <c r="HJ278" s="17"/>
      <c r="HK278" s="17"/>
      <c r="HL278" s="17"/>
      <c r="HM278" s="17"/>
      <c r="HN278" s="17"/>
      <c r="HO278" s="17"/>
      <c r="HP278" s="17"/>
      <c r="HQ278" s="17"/>
      <c r="HR278" s="17"/>
      <c r="HS278" s="17"/>
      <c r="HT278" s="17"/>
      <c r="HU278" s="17"/>
      <c r="HV278" s="17"/>
      <c r="HW278" s="17"/>
      <c r="HX278" s="17"/>
      <c r="HY278" s="17"/>
      <c r="HZ278" s="17"/>
      <c r="IA278" s="17"/>
      <c r="IB278" s="17"/>
      <c r="IC278" s="17"/>
      <c r="ID278" s="17"/>
      <c r="IE278" s="17"/>
      <c r="IF278" s="17"/>
      <c r="IG278" s="17"/>
      <c r="IH278" s="17"/>
      <c r="II278" s="17"/>
      <c r="IJ278" s="17"/>
      <c r="IK278" s="17"/>
      <c r="IL278" s="17"/>
      <c r="IM278" s="17"/>
      <c r="IN278" s="17"/>
      <c r="IO278" s="17"/>
      <c r="IP278" s="17"/>
      <c r="IQ278" s="17"/>
      <c r="IR278" s="17"/>
      <c r="IS278" s="17"/>
      <c r="IT278" s="17"/>
      <c r="IU278" s="17"/>
      <c r="IV278" s="17"/>
      <c r="IW278" s="17"/>
      <c r="IX278" s="17"/>
      <c r="IY278" s="17"/>
      <c r="IZ278" s="17"/>
      <c r="JA278" s="17"/>
      <c r="JB278" s="17"/>
      <c r="JC278" s="17"/>
      <c r="JD278" s="17"/>
      <c r="JE278" s="17"/>
      <c r="JF278" s="17"/>
      <c r="JG278" s="17"/>
      <c r="JH278" s="17"/>
      <c r="JI278" s="17"/>
      <c r="JJ278" s="17"/>
      <c r="JK278" s="17"/>
      <c r="JL278" s="17"/>
      <c r="JM278" s="17"/>
      <c r="JN278" s="17"/>
      <c r="JO278" s="17"/>
      <c r="JP278" s="17"/>
      <c r="JQ278" s="17"/>
      <c r="JR278" s="17"/>
      <c r="JS278" s="17"/>
      <c r="JT278" s="17"/>
      <c r="JU278" s="17"/>
      <c r="JV278" s="17"/>
      <c r="JW278" s="17"/>
      <c r="JX278" s="17"/>
      <c r="JY278" s="17"/>
      <c r="JZ278" s="17"/>
      <c r="KA278" s="17"/>
      <c r="KB278" s="17"/>
      <c r="KC278" s="17"/>
      <c r="KD278" s="17"/>
      <c r="KE278" s="17"/>
      <c r="KF278" s="17"/>
      <c r="KG278" s="17"/>
      <c r="KH278" s="17"/>
      <c r="KI278" s="17"/>
      <c r="KJ278" s="17"/>
      <c r="KK278" s="17"/>
      <c r="KL278" s="17"/>
      <c r="KM278" s="17"/>
      <c r="KN278" s="17"/>
      <c r="KO278" s="17"/>
      <c r="KP278" s="17"/>
      <c r="KQ278" s="17"/>
      <c r="KR278" s="17"/>
      <c r="KS278" s="17"/>
      <c r="KT278" s="17"/>
      <c r="KU278" s="17"/>
      <c r="KV278" s="17"/>
      <c r="KW278" s="17"/>
      <c r="KX278" s="17"/>
      <c r="KY278" s="17"/>
    </row>
    <row r="279" spans="1:311" x14ac:dyDescent="0.25">
      <c r="A279" s="17"/>
      <c r="B279" s="17"/>
      <c r="C279" s="17"/>
      <c r="D279" s="17"/>
      <c r="E279" s="17"/>
      <c r="F279" s="17"/>
      <c r="G279" s="17"/>
      <c r="H279" s="17"/>
      <c r="I279" s="17"/>
      <c r="J279" s="17"/>
      <c r="K279" s="17"/>
      <c r="L279" s="17"/>
      <c r="M279" s="17"/>
      <c r="N279" s="17"/>
      <c r="O279" s="17"/>
      <c r="P279" s="17"/>
      <c r="Q279" s="17"/>
      <c r="R279" s="17"/>
      <c r="S279" s="17"/>
      <c r="T279" s="17"/>
      <c r="U279" s="17"/>
      <c r="V279" s="17"/>
      <c r="W279" s="17"/>
      <c r="X279" s="17"/>
      <c r="Y279" s="17"/>
      <c r="Z279" s="17"/>
      <c r="AA279" s="17"/>
      <c r="AB279" s="17"/>
      <c r="AC279" s="17"/>
      <c r="AD279" s="17"/>
      <c r="AE279" s="17"/>
      <c r="AF279" s="17"/>
      <c r="AG279" s="17"/>
      <c r="AH279" s="17"/>
      <c r="AI279" s="17"/>
      <c r="AJ279" s="17"/>
      <c r="AK279" s="17"/>
      <c r="AL279" s="17"/>
      <c r="AM279" s="17"/>
      <c r="AN279" s="17"/>
      <c r="AO279" s="17"/>
      <c r="AP279" s="17"/>
      <c r="AQ279" s="17"/>
      <c r="AR279" s="17"/>
      <c r="AS279" s="17"/>
      <c r="AT279" s="17"/>
      <c r="AU279" s="17"/>
      <c r="AV279" s="17"/>
      <c r="AW279" s="17"/>
      <c r="AX279" s="17"/>
      <c r="AY279" s="17"/>
      <c r="AZ279" s="17"/>
      <c r="BA279" s="17"/>
      <c r="BB279" s="17"/>
      <c r="BC279" s="17"/>
      <c r="BD279" s="17"/>
      <c r="BE279" s="17"/>
      <c r="BF279" s="17"/>
      <c r="BG279" s="17"/>
      <c r="BH279" s="17"/>
      <c r="BI279" s="17"/>
      <c r="BJ279" s="17"/>
      <c r="BK279" s="17"/>
      <c r="BL279" s="17"/>
      <c r="BM279" s="17"/>
      <c r="BN279" s="17"/>
      <c r="BO279" s="17"/>
      <c r="BP279" s="17"/>
      <c r="BQ279" s="17"/>
      <c r="BR279" s="17"/>
      <c r="BS279" s="17"/>
      <c r="BT279" s="17"/>
      <c r="BU279" s="17"/>
      <c r="BV279" s="17"/>
      <c r="BW279" s="17"/>
      <c r="BX279" s="17"/>
      <c r="BY279" s="17"/>
      <c r="BZ279" s="17"/>
      <c r="CA279" s="17"/>
      <c r="CB279" s="17"/>
      <c r="CC279" s="17"/>
      <c r="CD279" s="17"/>
      <c r="CE279" s="17"/>
      <c r="CF279" s="17"/>
      <c r="CG279" s="17"/>
      <c r="CH279" s="17"/>
      <c r="CI279" s="17"/>
      <c r="CJ279" s="17"/>
      <c r="CK279" s="17"/>
      <c r="CL279" s="17"/>
      <c r="CM279" s="17"/>
      <c r="CN279" s="17"/>
      <c r="CO279" s="17"/>
      <c r="CP279" s="17"/>
      <c r="CQ279" s="17"/>
      <c r="CR279" s="17"/>
      <c r="CS279" s="17"/>
      <c r="CT279" s="17"/>
      <c r="CU279" s="17"/>
      <c r="CV279" s="17"/>
      <c r="CW279" s="17"/>
      <c r="CX279" s="17"/>
      <c r="CY279" s="17"/>
      <c r="CZ279" s="17"/>
      <c r="DA279" s="17"/>
      <c r="DB279" s="17"/>
      <c r="DC279" s="17"/>
      <c r="DD279" s="17"/>
      <c r="DE279" s="17"/>
      <c r="DF279" s="17"/>
      <c r="DG279" s="17"/>
      <c r="DH279" s="17"/>
      <c r="DI279" s="17"/>
      <c r="DJ279" s="17"/>
      <c r="DK279" s="17"/>
      <c r="DL279" s="17"/>
      <c r="DM279" s="17"/>
      <c r="DN279" s="17"/>
      <c r="DO279" s="17"/>
      <c r="DP279" s="17"/>
      <c r="DQ279" s="17"/>
      <c r="DR279" s="17"/>
      <c r="DS279" s="17"/>
      <c r="DT279" s="17"/>
      <c r="DU279" s="17"/>
      <c r="DV279" s="17"/>
      <c r="DW279" s="17"/>
      <c r="DX279" s="17"/>
      <c r="DY279" s="17"/>
      <c r="DZ279" s="17"/>
      <c r="EA279" s="17"/>
      <c r="EB279" s="17"/>
      <c r="EC279" s="17"/>
      <c r="ED279" s="17"/>
      <c r="EE279" s="17"/>
      <c r="EF279" s="17"/>
      <c r="EG279" s="17"/>
      <c r="EH279" s="17"/>
      <c r="EI279" s="17"/>
      <c r="EJ279" s="17"/>
      <c r="EK279" s="17"/>
      <c r="EL279" s="17"/>
      <c r="EM279" s="17"/>
      <c r="EN279" s="17"/>
      <c r="EO279" s="17"/>
      <c r="EP279" s="17"/>
      <c r="EQ279" s="17"/>
      <c r="ER279" s="17"/>
      <c r="ES279" s="17"/>
      <c r="ET279" s="17"/>
      <c r="EU279" s="17"/>
      <c r="EV279" s="17"/>
      <c r="EW279" s="17"/>
      <c r="EX279" s="17"/>
      <c r="EY279" s="17"/>
      <c r="EZ279" s="17"/>
      <c r="FA279" s="17"/>
      <c r="FB279" s="17"/>
      <c r="FC279" s="17"/>
      <c r="FD279" s="17"/>
      <c r="FE279" s="17"/>
      <c r="FF279" s="17"/>
      <c r="FG279" s="17"/>
      <c r="FH279" s="17"/>
      <c r="FI279" s="17"/>
      <c r="FJ279" s="17"/>
      <c r="FK279" s="17"/>
      <c r="FL279" s="17"/>
      <c r="FM279" s="17"/>
      <c r="FN279" s="17"/>
      <c r="FO279" s="17"/>
      <c r="FP279" s="17"/>
      <c r="FQ279" s="17"/>
      <c r="FR279" s="17"/>
      <c r="FS279" s="17"/>
      <c r="FT279" s="17"/>
      <c r="FU279" s="17"/>
      <c r="FV279" s="17"/>
      <c r="FW279" s="17"/>
      <c r="FX279" s="17"/>
      <c r="FY279" s="17"/>
      <c r="FZ279" s="17"/>
      <c r="GA279" s="17"/>
      <c r="GB279" s="17"/>
      <c r="GC279" s="17"/>
      <c r="GD279" s="17"/>
      <c r="GE279" s="17"/>
      <c r="GF279" s="17"/>
      <c r="GG279" s="17"/>
      <c r="GH279" s="17"/>
      <c r="GI279" s="17"/>
      <c r="GJ279" s="17"/>
      <c r="GK279" s="17"/>
      <c r="GL279" s="17"/>
      <c r="GM279" s="17"/>
      <c r="GN279" s="17"/>
      <c r="GO279" s="17"/>
      <c r="GP279" s="17"/>
      <c r="GQ279" s="17"/>
      <c r="GR279" s="17"/>
      <c r="GS279" s="17"/>
      <c r="GT279" s="17"/>
      <c r="GU279" s="17"/>
      <c r="GV279" s="17"/>
      <c r="GW279" s="17"/>
      <c r="GX279" s="17"/>
      <c r="GY279" s="17"/>
      <c r="GZ279" s="17"/>
      <c r="HA279" s="17"/>
      <c r="HB279" s="17"/>
      <c r="HC279" s="17"/>
      <c r="HD279" s="17"/>
      <c r="HE279" s="17"/>
      <c r="HF279" s="17"/>
      <c r="HG279" s="17"/>
      <c r="HH279" s="17"/>
      <c r="HI279" s="17"/>
      <c r="HJ279" s="17"/>
      <c r="HK279" s="17"/>
      <c r="HL279" s="17"/>
      <c r="HM279" s="17"/>
      <c r="HN279" s="17"/>
      <c r="HO279" s="17"/>
      <c r="HP279" s="17"/>
      <c r="HQ279" s="17"/>
      <c r="HR279" s="17"/>
      <c r="HS279" s="17"/>
      <c r="HT279" s="17"/>
      <c r="HU279" s="17"/>
      <c r="HV279" s="17"/>
      <c r="HW279" s="17"/>
      <c r="HX279" s="17"/>
      <c r="HY279" s="17"/>
      <c r="HZ279" s="17"/>
      <c r="IA279" s="17"/>
      <c r="IB279" s="17"/>
      <c r="IC279" s="17"/>
      <c r="ID279" s="17"/>
      <c r="IE279" s="17"/>
      <c r="IF279" s="17"/>
      <c r="IG279" s="17"/>
      <c r="IH279" s="17"/>
      <c r="II279" s="17"/>
      <c r="IJ279" s="17"/>
      <c r="IK279" s="17"/>
      <c r="IL279" s="17"/>
      <c r="IM279" s="17"/>
      <c r="IN279" s="17"/>
      <c r="IO279" s="17"/>
      <c r="IP279" s="17"/>
      <c r="IQ279" s="17"/>
      <c r="IR279" s="17"/>
      <c r="IS279" s="17"/>
      <c r="IT279" s="17"/>
      <c r="IU279" s="17"/>
      <c r="IV279" s="17"/>
      <c r="IW279" s="17"/>
      <c r="IX279" s="17"/>
      <c r="IY279" s="17"/>
      <c r="IZ279" s="17"/>
      <c r="JA279" s="17"/>
      <c r="JB279" s="17"/>
      <c r="JC279" s="17"/>
      <c r="JD279" s="17"/>
      <c r="JE279" s="17"/>
      <c r="JF279" s="17"/>
      <c r="JG279" s="17"/>
      <c r="JH279" s="17"/>
      <c r="JI279" s="17"/>
      <c r="JJ279" s="17"/>
      <c r="JK279" s="17"/>
      <c r="JL279" s="17"/>
      <c r="JM279" s="17"/>
      <c r="JN279" s="17"/>
      <c r="JO279" s="17"/>
      <c r="JP279" s="17"/>
      <c r="JQ279" s="17"/>
      <c r="JR279" s="17"/>
      <c r="JS279" s="17"/>
      <c r="JT279" s="17"/>
      <c r="JU279" s="17"/>
      <c r="JV279" s="17"/>
      <c r="JW279" s="17"/>
      <c r="JX279" s="17"/>
      <c r="JY279" s="17"/>
      <c r="JZ279" s="17"/>
      <c r="KA279" s="17"/>
      <c r="KB279" s="17"/>
      <c r="KC279" s="17"/>
      <c r="KD279" s="17"/>
      <c r="KE279" s="17"/>
      <c r="KF279" s="17"/>
      <c r="KG279" s="17"/>
      <c r="KH279" s="17"/>
      <c r="KI279" s="17"/>
      <c r="KJ279" s="17"/>
      <c r="KK279" s="17"/>
      <c r="KL279" s="17"/>
      <c r="KM279" s="17"/>
      <c r="KN279" s="17"/>
      <c r="KO279" s="17"/>
      <c r="KP279" s="17"/>
      <c r="KQ279" s="17"/>
      <c r="KR279" s="17"/>
      <c r="KS279" s="17"/>
      <c r="KT279" s="17"/>
      <c r="KU279" s="17"/>
      <c r="KV279" s="17"/>
      <c r="KW279" s="17"/>
      <c r="KX279" s="17"/>
      <c r="KY279" s="17"/>
    </row>
    <row r="280" spans="1:311" x14ac:dyDescent="0.25">
      <c r="A280" s="17"/>
      <c r="B280" s="17"/>
      <c r="C280" s="17"/>
      <c r="D280" s="17"/>
      <c r="E280" s="17"/>
      <c r="F280" s="17"/>
      <c r="G280" s="17"/>
      <c r="H280" s="17"/>
      <c r="I280" s="17"/>
      <c r="J280" s="17"/>
      <c r="K280" s="17"/>
      <c r="L280" s="17"/>
      <c r="M280" s="17"/>
      <c r="N280" s="17"/>
      <c r="O280" s="17"/>
      <c r="P280" s="17"/>
      <c r="Q280" s="17"/>
      <c r="R280" s="17"/>
      <c r="S280" s="17"/>
      <c r="T280" s="17"/>
      <c r="U280" s="17"/>
      <c r="V280" s="17"/>
      <c r="W280" s="17"/>
      <c r="X280" s="17"/>
      <c r="Y280" s="17"/>
      <c r="Z280" s="17"/>
      <c r="AA280" s="17"/>
      <c r="AB280" s="17"/>
      <c r="AC280" s="17"/>
      <c r="AD280" s="17"/>
      <c r="AE280" s="17"/>
      <c r="AF280" s="17"/>
      <c r="AG280" s="17"/>
      <c r="AH280" s="17"/>
      <c r="AI280" s="17"/>
      <c r="AJ280" s="17"/>
      <c r="AK280" s="17"/>
      <c r="AL280" s="17"/>
      <c r="AM280" s="17"/>
      <c r="AN280" s="17"/>
      <c r="AO280" s="17"/>
      <c r="AP280" s="17"/>
      <c r="AQ280" s="17"/>
      <c r="AR280" s="17"/>
      <c r="AS280" s="17"/>
      <c r="AT280" s="17"/>
      <c r="AU280" s="17"/>
      <c r="AV280" s="17"/>
      <c r="AW280" s="17"/>
      <c r="AX280" s="17"/>
      <c r="AY280" s="17"/>
      <c r="AZ280" s="17"/>
      <c r="BA280" s="17"/>
      <c r="BB280" s="17"/>
      <c r="BC280" s="17"/>
      <c r="BD280" s="17"/>
      <c r="BE280" s="17"/>
      <c r="BF280" s="17"/>
      <c r="BG280" s="17"/>
      <c r="BH280" s="17"/>
      <c r="BI280" s="17"/>
      <c r="BJ280" s="17"/>
      <c r="BK280" s="17"/>
      <c r="BL280" s="17"/>
      <c r="BM280" s="17"/>
      <c r="BN280" s="17"/>
      <c r="BO280" s="17"/>
      <c r="BP280" s="17"/>
      <c r="BQ280" s="17"/>
      <c r="BR280" s="17"/>
      <c r="BS280" s="17"/>
      <c r="BT280" s="17"/>
      <c r="BU280" s="17"/>
      <c r="BV280" s="17"/>
      <c r="BW280" s="17"/>
      <c r="BX280" s="17"/>
      <c r="BY280" s="17"/>
      <c r="BZ280" s="17"/>
      <c r="CA280" s="17"/>
      <c r="CB280" s="17"/>
      <c r="CC280" s="17"/>
      <c r="CD280" s="17"/>
      <c r="CE280" s="17"/>
      <c r="CF280" s="17"/>
      <c r="CG280" s="17"/>
      <c r="CH280" s="17"/>
      <c r="CI280" s="17"/>
      <c r="CJ280" s="17"/>
      <c r="CK280" s="17"/>
      <c r="CL280" s="17"/>
      <c r="CM280" s="17"/>
      <c r="CN280" s="17"/>
      <c r="CO280" s="17"/>
      <c r="CP280" s="17"/>
      <c r="CQ280" s="17"/>
      <c r="CR280" s="17"/>
      <c r="CS280" s="17"/>
      <c r="CT280" s="17"/>
      <c r="CU280" s="17"/>
      <c r="CV280" s="17"/>
      <c r="CW280" s="17"/>
      <c r="CX280" s="17"/>
      <c r="CY280" s="17"/>
      <c r="CZ280" s="17"/>
      <c r="DA280" s="17"/>
      <c r="DB280" s="17"/>
      <c r="DC280" s="17"/>
      <c r="DD280" s="17"/>
      <c r="DE280" s="17"/>
      <c r="DF280" s="17"/>
      <c r="DG280" s="17"/>
      <c r="DH280" s="17"/>
      <c r="DI280" s="17"/>
      <c r="DJ280" s="17"/>
      <c r="DK280" s="17"/>
      <c r="DL280" s="17"/>
      <c r="DM280" s="17"/>
      <c r="DN280" s="17"/>
      <c r="DO280" s="17"/>
      <c r="DP280" s="17"/>
      <c r="DQ280" s="17"/>
      <c r="DR280" s="17"/>
      <c r="DS280" s="17"/>
      <c r="DT280" s="17"/>
      <c r="DU280" s="17"/>
      <c r="DV280" s="17"/>
      <c r="DW280" s="17"/>
      <c r="DX280" s="17"/>
      <c r="DY280" s="17"/>
      <c r="DZ280" s="17"/>
      <c r="EA280" s="17"/>
      <c r="EB280" s="17"/>
      <c r="EC280" s="17"/>
      <c r="ED280" s="17"/>
      <c r="EE280" s="17"/>
      <c r="EF280" s="17"/>
      <c r="EG280" s="17"/>
      <c r="EH280" s="17"/>
      <c r="EI280" s="17"/>
      <c r="EJ280" s="17"/>
      <c r="EK280" s="17"/>
      <c r="EL280" s="17"/>
      <c r="EM280" s="17"/>
      <c r="EN280" s="17"/>
      <c r="EO280" s="17"/>
      <c r="EP280" s="17"/>
      <c r="EQ280" s="17"/>
      <c r="ER280" s="17"/>
      <c r="ES280" s="17"/>
      <c r="ET280" s="17"/>
      <c r="EU280" s="17"/>
      <c r="EV280" s="17"/>
      <c r="EW280" s="17"/>
      <c r="EX280" s="17"/>
      <c r="EY280" s="17"/>
      <c r="EZ280" s="17"/>
      <c r="FA280" s="17"/>
      <c r="FB280" s="17"/>
      <c r="FC280" s="17"/>
      <c r="FD280" s="17"/>
      <c r="FE280" s="17"/>
      <c r="FF280" s="17"/>
      <c r="FG280" s="17"/>
      <c r="FH280" s="17"/>
      <c r="FI280" s="17"/>
      <c r="FJ280" s="17"/>
      <c r="FK280" s="17"/>
      <c r="FL280" s="17"/>
      <c r="FM280" s="17"/>
      <c r="FN280" s="17"/>
      <c r="FO280" s="17"/>
      <c r="FP280" s="17"/>
      <c r="FQ280" s="17"/>
      <c r="FR280" s="17"/>
      <c r="FS280" s="17"/>
      <c r="FT280" s="17"/>
      <c r="FU280" s="17"/>
      <c r="FV280" s="17"/>
      <c r="FW280" s="17"/>
      <c r="FX280" s="17"/>
      <c r="FY280" s="17"/>
      <c r="FZ280" s="17"/>
      <c r="GA280" s="17"/>
      <c r="GB280" s="17"/>
      <c r="GC280" s="17"/>
      <c r="GD280" s="17"/>
      <c r="GE280" s="17"/>
      <c r="GF280" s="17"/>
      <c r="GG280" s="17"/>
      <c r="GH280" s="17"/>
      <c r="GI280" s="17"/>
      <c r="GJ280" s="17"/>
      <c r="GK280" s="17"/>
      <c r="GL280" s="17"/>
      <c r="GM280" s="17"/>
      <c r="GN280" s="17"/>
      <c r="GO280" s="17"/>
      <c r="GP280" s="17"/>
      <c r="GQ280" s="17"/>
      <c r="GR280" s="17"/>
      <c r="GS280" s="17"/>
      <c r="GT280" s="17"/>
      <c r="GU280" s="17"/>
      <c r="GV280" s="17"/>
      <c r="GW280" s="17"/>
      <c r="GX280" s="17"/>
      <c r="GY280" s="17"/>
      <c r="GZ280" s="17"/>
      <c r="HA280" s="17"/>
      <c r="HB280" s="17"/>
      <c r="HC280" s="17"/>
      <c r="HD280" s="17"/>
      <c r="HE280" s="17"/>
      <c r="HF280" s="17"/>
      <c r="HG280" s="17"/>
      <c r="HH280" s="17"/>
      <c r="HI280" s="17"/>
      <c r="HJ280" s="17"/>
      <c r="HK280" s="17"/>
      <c r="HL280" s="17"/>
      <c r="HM280" s="17"/>
      <c r="HN280" s="17"/>
      <c r="HO280" s="17"/>
      <c r="HP280" s="17"/>
      <c r="HQ280" s="17"/>
      <c r="HR280" s="17"/>
      <c r="HS280" s="17"/>
      <c r="HT280" s="17"/>
      <c r="HU280" s="17"/>
      <c r="HV280" s="17"/>
      <c r="HW280" s="17"/>
      <c r="HX280" s="17"/>
      <c r="HY280" s="17"/>
      <c r="HZ280" s="17"/>
      <c r="IA280" s="17"/>
      <c r="IB280" s="17"/>
      <c r="IC280" s="17"/>
      <c r="ID280" s="17"/>
      <c r="IE280" s="17"/>
      <c r="IF280" s="17"/>
      <c r="IG280" s="17"/>
      <c r="IH280" s="17"/>
      <c r="II280" s="17"/>
      <c r="IJ280" s="17"/>
      <c r="IK280" s="17"/>
      <c r="IL280" s="17"/>
      <c r="IM280" s="17"/>
      <c r="IN280" s="17"/>
      <c r="IO280" s="17"/>
      <c r="IP280" s="17"/>
      <c r="IQ280" s="17"/>
      <c r="IR280" s="17"/>
      <c r="IS280" s="17"/>
      <c r="IT280" s="17"/>
      <c r="IU280" s="17"/>
      <c r="IV280" s="17"/>
      <c r="IW280" s="17"/>
      <c r="IX280" s="17"/>
      <c r="IY280" s="17"/>
      <c r="IZ280" s="17"/>
      <c r="JA280" s="17"/>
      <c r="JB280" s="17"/>
      <c r="JC280" s="17"/>
      <c r="JD280" s="17"/>
      <c r="JE280" s="17"/>
      <c r="JF280" s="17"/>
      <c r="JG280" s="17"/>
      <c r="JH280" s="17"/>
      <c r="JI280" s="17"/>
      <c r="JJ280" s="17"/>
      <c r="JK280" s="17"/>
      <c r="JL280" s="17"/>
      <c r="JM280" s="17"/>
      <c r="JN280" s="17"/>
      <c r="JO280" s="17"/>
      <c r="JP280" s="17"/>
      <c r="JQ280" s="17"/>
      <c r="JR280" s="17"/>
      <c r="JS280" s="17"/>
      <c r="JT280" s="17"/>
      <c r="JU280" s="17"/>
      <c r="JV280" s="17"/>
      <c r="JW280" s="17"/>
      <c r="JX280" s="17"/>
      <c r="JY280" s="17"/>
      <c r="JZ280" s="17"/>
      <c r="KA280" s="17"/>
      <c r="KB280" s="17"/>
      <c r="KC280" s="17"/>
      <c r="KD280" s="17"/>
      <c r="KE280" s="17"/>
      <c r="KF280" s="17"/>
      <c r="KG280" s="17"/>
      <c r="KH280" s="17"/>
      <c r="KI280" s="17"/>
      <c r="KJ280" s="17"/>
      <c r="KK280" s="17"/>
      <c r="KL280" s="17"/>
      <c r="KM280" s="17"/>
      <c r="KN280" s="17"/>
      <c r="KO280" s="17"/>
      <c r="KP280" s="17"/>
      <c r="KQ280" s="17"/>
      <c r="KR280" s="17"/>
      <c r="KS280" s="17"/>
      <c r="KT280" s="17"/>
      <c r="KU280" s="17"/>
      <c r="KV280" s="17"/>
      <c r="KW280" s="17"/>
      <c r="KX280" s="17"/>
      <c r="KY280" s="17"/>
    </row>
    <row r="281" spans="1:311" x14ac:dyDescent="0.25">
      <c r="A281" s="17"/>
      <c r="B281" s="17"/>
      <c r="C281" s="17"/>
      <c r="D281" s="17"/>
      <c r="E281" s="17"/>
      <c r="F281" s="17"/>
      <c r="G281" s="17"/>
      <c r="H281" s="17"/>
      <c r="I281" s="17"/>
      <c r="J281" s="17"/>
      <c r="K281" s="17"/>
      <c r="L281" s="17"/>
      <c r="M281" s="17"/>
      <c r="N281" s="17"/>
      <c r="O281" s="17"/>
      <c r="P281" s="17"/>
      <c r="Q281" s="17"/>
      <c r="R281" s="17"/>
      <c r="S281" s="17"/>
      <c r="T281" s="17"/>
      <c r="U281" s="17"/>
      <c r="V281" s="17"/>
      <c r="W281" s="17"/>
      <c r="X281" s="17"/>
      <c r="Y281" s="17"/>
      <c r="Z281" s="17"/>
      <c r="AA281" s="17"/>
      <c r="AB281" s="17"/>
      <c r="AC281" s="17"/>
      <c r="AD281" s="17"/>
      <c r="AE281" s="17"/>
      <c r="AF281" s="17"/>
      <c r="AG281" s="17"/>
      <c r="AH281" s="17"/>
      <c r="AI281" s="17"/>
      <c r="AJ281" s="17"/>
      <c r="AK281" s="17"/>
      <c r="AL281" s="17"/>
      <c r="AM281" s="17"/>
      <c r="AN281" s="17"/>
      <c r="AO281" s="17"/>
      <c r="AP281" s="17"/>
      <c r="AQ281" s="17"/>
      <c r="AR281" s="17"/>
      <c r="AS281" s="17"/>
      <c r="AT281" s="17"/>
      <c r="AU281" s="17"/>
      <c r="AV281" s="17"/>
      <c r="AW281" s="17"/>
      <c r="AX281" s="17"/>
      <c r="AY281" s="17"/>
      <c r="AZ281" s="17"/>
      <c r="BA281" s="17"/>
      <c r="BB281" s="17"/>
      <c r="BC281" s="17"/>
      <c r="BD281" s="17"/>
      <c r="BE281" s="17"/>
      <c r="BF281" s="17"/>
      <c r="BG281" s="17"/>
      <c r="BH281" s="17"/>
      <c r="BI281" s="17"/>
      <c r="BJ281" s="17"/>
      <c r="BK281" s="17"/>
      <c r="BL281" s="17"/>
      <c r="BM281" s="17"/>
      <c r="BN281" s="17"/>
      <c r="BO281" s="17"/>
      <c r="BP281" s="17"/>
      <c r="BQ281" s="17"/>
      <c r="BR281" s="17"/>
      <c r="BS281" s="17"/>
      <c r="BT281" s="17"/>
      <c r="BU281" s="17"/>
      <c r="BV281" s="17"/>
      <c r="BW281" s="17"/>
      <c r="BX281" s="17"/>
      <c r="BY281" s="17"/>
      <c r="BZ281" s="17"/>
      <c r="CA281" s="17"/>
      <c r="CB281" s="17"/>
      <c r="CC281" s="17"/>
      <c r="CD281" s="17"/>
      <c r="CE281" s="17"/>
      <c r="CF281" s="17"/>
      <c r="CG281" s="17"/>
      <c r="CH281" s="17"/>
      <c r="CI281" s="17"/>
      <c r="CJ281" s="17"/>
      <c r="CK281" s="17"/>
      <c r="CL281" s="17"/>
      <c r="CM281" s="17"/>
      <c r="CN281" s="17"/>
      <c r="CO281" s="17"/>
      <c r="CP281" s="17"/>
      <c r="CQ281" s="17"/>
      <c r="CR281" s="17"/>
      <c r="CS281" s="17"/>
      <c r="CT281" s="17"/>
      <c r="CU281" s="17"/>
      <c r="CV281" s="17"/>
      <c r="CW281" s="17"/>
      <c r="CX281" s="17"/>
      <c r="CY281" s="17"/>
      <c r="CZ281" s="17"/>
      <c r="DA281" s="17"/>
      <c r="DB281" s="17"/>
      <c r="DC281" s="17"/>
      <c r="DD281" s="17"/>
      <c r="DE281" s="17"/>
      <c r="DF281" s="17"/>
      <c r="DG281" s="17"/>
      <c r="DH281" s="17"/>
      <c r="DI281" s="17"/>
      <c r="DJ281" s="17"/>
      <c r="DK281" s="17"/>
      <c r="DL281" s="17"/>
      <c r="DM281" s="17"/>
      <c r="DN281" s="17"/>
      <c r="DO281" s="17"/>
      <c r="DP281" s="17"/>
      <c r="DQ281" s="17"/>
      <c r="DR281" s="17"/>
      <c r="DS281" s="17"/>
      <c r="DT281" s="17"/>
      <c r="DU281" s="17"/>
      <c r="DV281" s="17"/>
      <c r="DW281" s="17"/>
      <c r="DX281" s="17"/>
      <c r="DY281" s="17"/>
      <c r="DZ281" s="17"/>
      <c r="EA281" s="17"/>
      <c r="EB281" s="17"/>
      <c r="EC281" s="17"/>
      <c r="ED281" s="17"/>
      <c r="EE281" s="17"/>
      <c r="EF281" s="17"/>
      <c r="EG281" s="17"/>
      <c r="EH281" s="17"/>
      <c r="EI281" s="17"/>
      <c r="EJ281" s="17"/>
      <c r="EK281" s="17"/>
      <c r="EL281" s="17"/>
      <c r="EM281" s="17"/>
      <c r="EN281" s="17"/>
      <c r="EO281" s="17"/>
      <c r="EP281" s="17"/>
      <c r="EQ281" s="17"/>
      <c r="ER281" s="17"/>
      <c r="ES281" s="17"/>
      <c r="ET281" s="17"/>
      <c r="EU281" s="17"/>
      <c r="EV281" s="17"/>
      <c r="EW281" s="17"/>
      <c r="EX281" s="17"/>
      <c r="EY281" s="17"/>
      <c r="EZ281" s="17"/>
      <c r="FA281" s="17"/>
      <c r="FB281" s="17"/>
      <c r="FC281" s="17"/>
      <c r="FD281" s="17"/>
      <c r="FE281" s="17"/>
      <c r="FF281" s="17"/>
      <c r="FG281" s="17"/>
      <c r="FH281" s="17"/>
      <c r="FI281" s="17"/>
      <c r="FJ281" s="17"/>
      <c r="FK281" s="17"/>
      <c r="FL281" s="17"/>
      <c r="FM281" s="17"/>
      <c r="FN281" s="17"/>
      <c r="FO281" s="17"/>
      <c r="FP281" s="17"/>
      <c r="FQ281" s="17"/>
      <c r="FR281" s="17"/>
      <c r="FS281" s="17"/>
      <c r="FT281" s="17"/>
      <c r="FU281" s="17"/>
      <c r="FV281" s="17"/>
      <c r="FW281" s="17"/>
      <c r="FX281" s="17"/>
      <c r="FY281" s="17"/>
      <c r="FZ281" s="17"/>
      <c r="GA281" s="17"/>
      <c r="GB281" s="17"/>
      <c r="GC281" s="17"/>
      <c r="GD281" s="17"/>
      <c r="GE281" s="17"/>
      <c r="GF281" s="17"/>
      <c r="GG281" s="17"/>
      <c r="GH281" s="17"/>
      <c r="GI281" s="17"/>
      <c r="GJ281" s="17"/>
      <c r="GK281" s="17"/>
      <c r="GL281" s="17"/>
      <c r="GM281" s="17"/>
      <c r="GN281" s="17"/>
      <c r="GO281" s="17"/>
      <c r="GP281" s="17"/>
      <c r="GQ281" s="17"/>
      <c r="GR281" s="17"/>
      <c r="GS281" s="17"/>
      <c r="GT281" s="17"/>
      <c r="GU281" s="17"/>
      <c r="GV281" s="17"/>
      <c r="GW281" s="17"/>
      <c r="GX281" s="17"/>
      <c r="GY281" s="17"/>
      <c r="GZ281" s="17"/>
      <c r="HA281" s="17"/>
      <c r="HB281" s="17"/>
      <c r="HC281" s="17"/>
      <c r="HD281" s="17"/>
      <c r="HE281" s="17"/>
      <c r="HF281" s="17"/>
      <c r="HG281" s="17"/>
      <c r="HH281" s="17"/>
      <c r="HI281" s="17"/>
      <c r="HJ281" s="17"/>
      <c r="HK281" s="17"/>
      <c r="HL281" s="17"/>
      <c r="HM281" s="17"/>
      <c r="HN281" s="17"/>
      <c r="HO281" s="17"/>
      <c r="HP281" s="17"/>
      <c r="HQ281" s="17"/>
      <c r="HR281" s="17"/>
      <c r="HS281" s="17"/>
      <c r="HT281" s="17"/>
      <c r="HU281" s="17"/>
      <c r="HV281" s="17"/>
      <c r="HW281" s="17"/>
      <c r="HX281" s="17"/>
      <c r="HY281" s="17"/>
      <c r="HZ281" s="17"/>
      <c r="IA281" s="17"/>
      <c r="IB281" s="17"/>
      <c r="IC281" s="17"/>
      <c r="ID281" s="17"/>
      <c r="IE281" s="17"/>
      <c r="IF281" s="17"/>
      <c r="IG281" s="17"/>
      <c r="IH281" s="17"/>
      <c r="II281" s="17"/>
      <c r="IJ281" s="17"/>
      <c r="IK281" s="17"/>
      <c r="IL281" s="17"/>
      <c r="IM281" s="17"/>
      <c r="IN281" s="17"/>
      <c r="IO281" s="17"/>
      <c r="IP281" s="17"/>
      <c r="IQ281" s="17"/>
      <c r="IR281" s="17"/>
      <c r="IS281" s="17"/>
      <c r="IT281" s="17"/>
      <c r="IU281" s="17"/>
      <c r="IV281" s="17"/>
      <c r="IW281" s="17"/>
      <c r="IX281" s="17"/>
      <c r="IY281" s="17"/>
      <c r="IZ281" s="17"/>
      <c r="JA281" s="17"/>
      <c r="JB281" s="17"/>
      <c r="JC281" s="17"/>
      <c r="JD281" s="17"/>
      <c r="JE281" s="17"/>
      <c r="JF281" s="17"/>
      <c r="JG281" s="17"/>
      <c r="JH281" s="17"/>
      <c r="JI281" s="17"/>
      <c r="JJ281" s="17"/>
      <c r="JK281" s="17"/>
      <c r="JL281" s="17"/>
      <c r="JM281" s="17"/>
      <c r="JN281" s="17"/>
      <c r="JO281" s="17"/>
      <c r="JP281" s="17"/>
      <c r="JQ281" s="17"/>
      <c r="JR281" s="17"/>
      <c r="JS281" s="17"/>
      <c r="JT281" s="17"/>
      <c r="JU281" s="17"/>
      <c r="JV281" s="17"/>
      <c r="JW281" s="17"/>
      <c r="JX281" s="17"/>
      <c r="JY281" s="17"/>
      <c r="JZ281" s="17"/>
      <c r="KA281" s="17"/>
      <c r="KB281" s="17"/>
      <c r="KC281" s="17"/>
      <c r="KD281" s="17"/>
      <c r="KE281" s="17"/>
      <c r="KF281" s="17"/>
      <c r="KG281" s="17"/>
      <c r="KH281" s="17"/>
      <c r="KI281" s="17"/>
      <c r="KJ281" s="17"/>
      <c r="KK281" s="17"/>
      <c r="KL281" s="17"/>
      <c r="KM281" s="17"/>
      <c r="KN281" s="17"/>
      <c r="KO281" s="17"/>
      <c r="KP281" s="17"/>
      <c r="KQ281" s="17"/>
      <c r="KR281" s="17"/>
      <c r="KS281" s="17"/>
      <c r="KT281" s="17"/>
      <c r="KU281" s="17"/>
      <c r="KV281" s="17"/>
      <c r="KW281" s="17"/>
      <c r="KX281" s="17"/>
      <c r="KY281" s="17"/>
    </row>
    <row r="282" spans="1:311" x14ac:dyDescent="0.25">
      <c r="A282" s="17"/>
      <c r="B282" s="17"/>
      <c r="C282" s="17"/>
      <c r="D282" s="17"/>
      <c r="E282" s="17"/>
      <c r="F282" s="17"/>
      <c r="G282" s="17"/>
      <c r="H282" s="17"/>
      <c r="I282" s="17"/>
      <c r="J282" s="17"/>
      <c r="K282" s="17"/>
      <c r="L282" s="17"/>
      <c r="M282" s="17"/>
      <c r="N282" s="17"/>
      <c r="O282" s="17"/>
      <c r="P282" s="17"/>
      <c r="Q282" s="17"/>
      <c r="R282" s="17"/>
      <c r="S282" s="17"/>
      <c r="T282" s="17"/>
      <c r="U282" s="17"/>
      <c r="V282" s="17"/>
      <c r="W282" s="17"/>
      <c r="X282" s="17"/>
      <c r="Y282" s="17"/>
      <c r="Z282" s="17"/>
      <c r="AA282" s="17"/>
      <c r="AB282" s="17"/>
      <c r="AC282" s="17"/>
      <c r="AD282" s="17"/>
      <c r="AE282" s="17"/>
      <c r="AF282" s="17"/>
      <c r="AG282" s="17"/>
      <c r="AH282" s="17"/>
      <c r="AI282" s="17"/>
      <c r="AJ282" s="17"/>
      <c r="AK282" s="17"/>
      <c r="AL282" s="17"/>
      <c r="AM282" s="17"/>
      <c r="AN282" s="17"/>
      <c r="AO282" s="17"/>
      <c r="AP282" s="17"/>
      <c r="AQ282" s="17"/>
      <c r="AR282" s="17"/>
      <c r="AS282" s="17"/>
      <c r="AT282" s="17"/>
      <c r="AU282" s="17"/>
      <c r="AV282" s="17"/>
      <c r="AW282" s="17"/>
      <c r="AX282" s="17"/>
      <c r="AY282" s="17"/>
      <c r="AZ282" s="17"/>
      <c r="BA282" s="17"/>
      <c r="BB282" s="17"/>
      <c r="BC282" s="17"/>
      <c r="BD282" s="17"/>
      <c r="BE282" s="17"/>
      <c r="BF282" s="17"/>
      <c r="BG282" s="17"/>
      <c r="BH282" s="17"/>
      <c r="BI282" s="17"/>
      <c r="BJ282" s="17"/>
      <c r="BK282" s="17"/>
      <c r="BL282" s="17"/>
      <c r="BM282" s="17"/>
      <c r="BN282" s="17"/>
      <c r="BO282" s="17"/>
      <c r="BP282" s="17"/>
      <c r="BQ282" s="17"/>
      <c r="BR282" s="17"/>
      <c r="BS282" s="17"/>
      <c r="BT282" s="17"/>
      <c r="BU282" s="17"/>
      <c r="BV282" s="17"/>
      <c r="BW282" s="17"/>
      <c r="BX282" s="17"/>
      <c r="BY282" s="17"/>
      <c r="BZ282" s="17"/>
      <c r="CA282" s="17"/>
      <c r="CB282" s="17"/>
      <c r="CC282" s="17"/>
      <c r="CD282" s="17"/>
      <c r="CE282" s="17"/>
      <c r="CF282" s="17"/>
      <c r="CG282" s="17"/>
      <c r="CH282" s="17"/>
      <c r="CI282" s="17"/>
      <c r="CJ282" s="17"/>
      <c r="CK282" s="17"/>
      <c r="CL282" s="17"/>
      <c r="CM282" s="17"/>
      <c r="CN282" s="17"/>
      <c r="CO282" s="17"/>
      <c r="CP282" s="17"/>
      <c r="CQ282" s="17"/>
      <c r="CR282" s="17"/>
      <c r="CS282" s="17"/>
      <c r="CT282" s="17"/>
      <c r="CU282" s="17"/>
      <c r="CV282" s="17"/>
      <c r="CW282" s="17"/>
      <c r="CX282" s="17"/>
      <c r="CY282" s="17"/>
      <c r="CZ282" s="17"/>
      <c r="DA282" s="17"/>
      <c r="DB282" s="17"/>
      <c r="DC282" s="17"/>
      <c r="DD282" s="17"/>
      <c r="DE282" s="17"/>
      <c r="DF282" s="17"/>
      <c r="DG282" s="17"/>
      <c r="DH282" s="17"/>
      <c r="DI282" s="17"/>
      <c r="DJ282" s="17"/>
      <c r="DK282" s="17"/>
      <c r="DL282" s="17"/>
      <c r="DM282" s="17"/>
      <c r="DN282" s="17"/>
      <c r="DO282" s="17"/>
      <c r="DP282" s="17"/>
      <c r="DQ282" s="17"/>
      <c r="DR282" s="17"/>
      <c r="DS282" s="17"/>
      <c r="DT282" s="17"/>
      <c r="DU282" s="17"/>
      <c r="DV282" s="17"/>
      <c r="DW282" s="17"/>
      <c r="DX282" s="17"/>
      <c r="DY282" s="17"/>
      <c r="DZ282" s="17"/>
      <c r="EA282" s="17"/>
      <c r="EB282" s="17"/>
      <c r="EC282" s="17"/>
      <c r="ED282" s="17"/>
      <c r="EE282" s="17"/>
      <c r="EF282" s="17"/>
      <c r="EG282" s="17"/>
      <c r="EH282" s="17"/>
      <c r="EI282" s="17"/>
      <c r="EJ282" s="17"/>
      <c r="EK282" s="17"/>
      <c r="EL282" s="17"/>
      <c r="EM282" s="17"/>
      <c r="EN282" s="17"/>
      <c r="EO282" s="17"/>
      <c r="EP282" s="17"/>
      <c r="EQ282" s="17"/>
      <c r="ER282" s="17"/>
      <c r="ES282" s="17"/>
      <c r="ET282" s="17"/>
      <c r="EU282" s="17"/>
      <c r="EV282" s="17"/>
      <c r="EW282" s="17"/>
      <c r="EX282" s="17"/>
      <c r="EY282" s="17"/>
      <c r="EZ282" s="17"/>
      <c r="FA282" s="17"/>
      <c r="FB282" s="17"/>
      <c r="FC282" s="17"/>
      <c r="FD282" s="17"/>
      <c r="FE282" s="17"/>
      <c r="FF282" s="17"/>
      <c r="FG282" s="17"/>
      <c r="FH282" s="17"/>
      <c r="FI282" s="17"/>
      <c r="FJ282" s="17"/>
      <c r="FK282" s="17"/>
      <c r="FL282" s="17"/>
      <c r="FM282" s="17"/>
      <c r="FN282" s="17"/>
      <c r="FO282" s="17"/>
      <c r="FP282" s="17"/>
      <c r="FQ282" s="17"/>
      <c r="FR282" s="17"/>
      <c r="FS282" s="17"/>
      <c r="FT282" s="17"/>
      <c r="FU282" s="17"/>
      <c r="FV282" s="17"/>
      <c r="FW282" s="17"/>
      <c r="FX282" s="17"/>
      <c r="FY282" s="17"/>
      <c r="FZ282" s="17"/>
      <c r="GA282" s="17"/>
      <c r="GB282" s="17"/>
      <c r="GC282" s="17"/>
      <c r="GD282" s="17"/>
      <c r="GE282" s="17"/>
      <c r="GF282" s="17"/>
      <c r="GG282" s="17"/>
      <c r="GH282" s="17"/>
      <c r="GI282" s="17"/>
      <c r="GJ282" s="17"/>
      <c r="GK282" s="17"/>
      <c r="GL282" s="17"/>
      <c r="GM282" s="17"/>
      <c r="GN282" s="17"/>
      <c r="GO282" s="17"/>
      <c r="GP282" s="17"/>
      <c r="GQ282" s="17"/>
      <c r="GR282" s="17"/>
      <c r="GS282" s="17"/>
      <c r="GT282" s="17"/>
      <c r="GU282" s="17"/>
      <c r="GV282" s="17"/>
      <c r="GW282" s="17"/>
      <c r="GX282" s="17"/>
      <c r="GY282" s="17"/>
      <c r="GZ282" s="17"/>
      <c r="HA282" s="17"/>
      <c r="HB282" s="17"/>
      <c r="HC282" s="17"/>
      <c r="HD282" s="17"/>
      <c r="HE282" s="17"/>
      <c r="HF282" s="17"/>
      <c r="HG282" s="17"/>
      <c r="HH282" s="17"/>
      <c r="HI282" s="17"/>
      <c r="HJ282" s="17"/>
      <c r="HK282" s="17"/>
      <c r="HL282" s="17"/>
      <c r="HM282" s="17"/>
      <c r="HN282" s="17"/>
      <c r="HO282" s="17"/>
      <c r="HP282" s="17"/>
      <c r="HQ282" s="17"/>
      <c r="HR282" s="17"/>
      <c r="HS282" s="17"/>
      <c r="HT282" s="17"/>
      <c r="HU282" s="17"/>
      <c r="HV282" s="17"/>
      <c r="HW282" s="17"/>
      <c r="HX282" s="17"/>
      <c r="HY282" s="17"/>
      <c r="HZ282" s="17"/>
      <c r="IA282" s="17"/>
      <c r="IB282" s="17"/>
      <c r="IC282" s="17"/>
      <c r="ID282" s="17"/>
      <c r="IE282" s="17"/>
      <c r="IF282" s="17"/>
      <c r="IG282" s="17"/>
      <c r="IH282" s="17"/>
      <c r="II282" s="17"/>
      <c r="IJ282" s="17"/>
      <c r="IK282" s="17"/>
      <c r="IL282" s="17"/>
      <c r="IM282" s="17"/>
      <c r="IN282" s="17"/>
      <c r="IO282" s="17"/>
      <c r="IP282" s="17"/>
      <c r="IQ282" s="17"/>
      <c r="IR282" s="17"/>
      <c r="IS282" s="17"/>
      <c r="IT282" s="17"/>
      <c r="IU282" s="17"/>
      <c r="IV282" s="17"/>
      <c r="IW282" s="17"/>
      <c r="IX282" s="17"/>
      <c r="IY282" s="17"/>
      <c r="IZ282" s="17"/>
      <c r="JA282" s="17"/>
      <c r="JB282" s="17"/>
      <c r="JC282" s="17"/>
      <c r="JD282" s="17"/>
      <c r="JE282" s="17"/>
      <c r="JF282" s="17"/>
      <c r="JG282" s="17"/>
      <c r="JH282" s="17"/>
      <c r="JI282" s="17"/>
      <c r="JJ282" s="17"/>
      <c r="JK282" s="17"/>
      <c r="JL282" s="17"/>
      <c r="JM282" s="17"/>
      <c r="JN282" s="17"/>
      <c r="JO282" s="17"/>
      <c r="JP282" s="17"/>
      <c r="JQ282" s="17"/>
      <c r="JR282" s="17"/>
      <c r="JS282" s="17"/>
      <c r="JT282" s="17"/>
      <c r="JU282" s="17"/>
      <c r="JV282" s="17"/>
      <c r="JW282" s="17"/>
      <c r="JX282" s="17"/>
      <c r="JY282" s="17"/>
      <c r="JZ282" s="17"/>
      <c r="KA282" s="17"/>
      <c r="KB282" s="17"/>
      <c r="KC282" s="17"/>
      <c r="KD282" s="17"/>
      <c r="KE282" s="17"/>
      <c r="KF282" s="17"/>
      <c r="KG282" s="17"/>
      <c r="KH282" s="17"/>
      <c r="KI282" s="17"/>
      <c r="KJ282" s="17"/>
      <c r="KK282" s="17"/>
      <c r="KL282" s="17"/>
      <c r="KM282" s="17"/>
      <c r="KN282" s="17"/>
      <c r="KO282" s="17"/>
      <c r="KP282" s="17"/>
      <c r="KQ282" s="17"/>
      <c r="KR282" s="17"/>
      <c r="KS282" s="17"/>
      <c r="KT282" s="17"/>
      <c r="KU282" s="17"/>
      <c r="KV282" s="17"/>
      <c r="KW282" s="17"/>
      <c r="KX282" s="17"/>
      <c r="KY282" s="17"/>
    </row>
    <row r="283" spans="1:311" x14ac:dyDescent="0.25">
      <c r="A283" s="17"/>
      <c r="B283" s="17"/>
      <c r="C283" s="17"/>
      <c r="D283" s="17"/>
      <c r="E283" s="17"/>
      <c r="F283" s="17"/>
      <c r="G283" s="17"/>
      <c r="H283" s="17"/>
      <c r="I283" s="17"/>
      <c r="J283" s="17"/>
      <c r="K283" s="17"/>
      <c r="L283" s="17"/>
      <c r="M283" s="17"/>
      <c r="N283" s="17"/>
      <c r="O283" s="17"/>
      <c r="P283" s="17"/>
      <c r="Q283" s="17"/>
      <c r="R283" s="17"/>
      <c r="S283" s="17"/>
      <c r="T283" s="17"/>
      <c r="U283" s="17"/>
      <c r="V283" s="17"/>
      <c r="W283" s="17"/>
      <c r="X283" s="17"/>
      <c r="Y283" s="17"/>
      <c r="Z283" s="17"/>
      <c r="AA283" s="17"/>
      <c r="AB283" s="17"/>
      <c r="AC283" s="17"/>
      <c r="AD283" s="17"/>
      <c r="AE283" s="17"/>
      <c r="AF283" s="17"/>
      <c r="AG283" s="17"/>
      <c r="AH283" s="17"/>
      <c r="AI283" s="17"/>
      <c r="AJ283" s="17"/>
      <c r="AK283" s="17"/>
      <c r="AL283" s="17"/>
      <c r="AM283" s="17"/>
      <c r="AN283" s="17"/>
      <c r="AO283" s="17"/>
      <c r="AP283" s="17"/>
      <c r="AQ283" s="17"/>
      <c r="AR283" s="17"/>
      <c r="AS283" s="17"/>
      <c r="AT283" s="17"/>
      <c r="AU283" s="17"/>
      <c r="AV283" s="17"/>
      <c r="AW283" s="17"/>
      <c r="AX283" s="17"/>
      <c r="AY283" s="17"/>
      <c r="AZ283" s="17"/>
      <c r="BA283" s="17"/>
      <c r="BB283" s="17"/>
      <c r="BC283" s="17"/>
      <c r="BD283" s="17"/>
      <c r="BE283" s="17"/>
      <c r="BF283" s="17"/>
      <c r="BG283" s="17"/>
      <c r="BH283" s="17"/>
      <c r="BI283" s="17"/>
      <c r="BJ283" s="17"/>
      <c r="BK283" s="17"/>
      <c r="BL283" s="17"/>
      <c r="BM283" s="17"/>
      <c r="BN283" s="17"/>
      <c r="BO283" s="17"/>
      <c r="BP283" s="17"/>
      <c r="BQ283" s="17"/>
      <c r="BR283" s="17"/>
      <c r="BS283" s="17"/>
      <c r="BT283" s="17"/>
      <c r="BU283" s="17"/>
      <c r="BV283" s="17"/>
      <c r="BW283" s="17"/>
      <c r="BX283" s="17"/>
      <c r="BY283" s="17"/>
      <c r="BZ283" s="17"/>
      <c r="CA283" s="17"/>
      <c r="CB283" s="17"/>
      <c r="CC283" s="17"/>
      <c r="CD283" s="17"/>
      <c r="CE283" s="17"/>
      <c r="CF283" s="17"/>
      <c r="CG283" s="17"/>
      <c r="CH283" s="17"/>
      <c r="CI283" s="17"/>
      <c r="CJ283" s="17"/>
      <c r="CK283" s="17"/>
      <c r="CL283" s="17"/>
      <c r="CM283" s="17"/>
      <c r="CN283" s="17"/>
      <c r="CO283" s="17"/>
      <c r="CP283" s="17"/>
      <c r="CQ283" s="17"/>
      <c r="CR283" s="17"/>
      <c r="CS283" s="17"/>
      <c r="CT283" s="17"/>
      <c r="CU283" s="17"/>
      <c r="CV283" s="17"/>
      <c r="CW283" s="17"/>
      <c r="CX283" s="17"/>
      <c r="CY283" s="17"/>
      <c r="CZ283" s="17"/>
      <c r="DA283" s="17"/>
      <c r="DB283" s="17"/>
      <c r="DC283" s="17"/>
      <c r="DD283" s="17"/>
      <c r="DE283" s="17"/>
      <c r="DF283" s="17"/>
      <c r="DG283" s="17"/>
      <c r="DH283" s="17"/>
      <c r="DI283" s="17"/>
      <c r="DJ283" s="17"/>
      <c r="DK283" s="17"/>
      <c r="DL283" s="17"/>
      <c r="DM283" s="17"/>
      <c r="DN283" s="17"/>
      <c r="DO283" s="17"/>
      <c r="DP283" s="17"/>
      <c r="DQ283" s="17"/>
      <c r="DR283" s="17"/>
      <c r="DS283" s="17"/>
      <c r="DT283" s="17"/>
      <c r="DU283" s="17"/>
      <c r="DV283" s="17"/>
      <c r="DW283" s="17"/>
      <c r="DX283" s="17"/>
      <c r="DY283" s="17"/>
      <c r="DZ283" s="17"/>
      <c r="EA283" s="17"/>
      <c r="EB283" s="17"/>
      <c r="EC283" s="17"/>
      <c r="ED283" s="17"/>
      <c r="EE283" s="17"/>
      <c r="EF283" s="17"/>
      <c r="EG283" s="17"/>
      <c r="EH283" s="17"/>
      <c r="EI283" s="17"/>
      <c r="EJ283" s="17"/>
      <c r="EK283" s="17"/>
      <c r="EL283" s="17"/>
      <c r="EM283" s="17"/>
      <c r="EN283" s="17"/>
      <c r="EO283" s="17"/>
      <c r="EP283" s="17"/>
      <c r="EQ283" s="17"/>
      <c r="ER283" s="17"/>
      <c r="ES283" s="17"/>
      <c r="ET283" s="17"/>
      <c r="EU283" s="17"/>
      <c r="EV283" s="17"/>
      <c r="EW283" s="17"/>
      <c r="EX283" s="17"/>
      <c r="EY283" s="17"/>
      <c r="EZ283" s="17"/>
      <c r="FA283" s="17"/>
      <c r="FB283" s="17"/>
      <c r="FC283" s="17"/>
      <c r="FD283" s="17"/>
      <c r="FE283" s="17"/>
      <c r="FF283" s="17"/>
      <c r="FG283" s="17"/>
      <c r="FH283" s="17"/>
      <c r="FI283" s="17"/>
      <c r="FJ283" s="17"/>
      <c r="FK283" s="17"/>
      <c r="FL283" s="17"/>
      <c r="FM283" s="17"/>
      <c r="FN283" s="17"/>
      <c r="FO283" s="17"/>
      <c r="FP283" s="17"/>
      <c r="FQ283" s="17"/>
      <c r="FR283" s="17"/>
      <c r="FS283" s="17"/>
      <c r="FT283" s="17"/>
      <c r="FU283" s="17"/>
      <c r="FV283" s="17"/>
      <c r="FW283" s="17"/>
      <c r="FX283" s="17"/>
      <c r="FY283" s="17"/>
      <c r="FZ283" s="17"/>
      <c r="GA283" s="17"/>
      <c r="GB283" s="17"/>
      <c r="GC283" s="17"/>
      <c r="GD283" s="17"/>
      <c r="GE283" s="17"/>
      <c r="GF283" s="17"/>
      <c r="GG283" s="17"/>
      <c r="GH283" s="17"/>
      <c r="GI283" s="17"/>
      <c r="GJ283" s="17"/>
      <c r="GK283" s="17"/>
      <c r="GL283" s="17"/>
      <c r="GM283" s="17"/>
      <c r="GN283" s="17"/>
      <c r="GO283" s="17"/>
      <c r="GP283" s="17"/>
      <c r="GQ283" s="17"/>
      <c r="GR283" s="17"/>
      <c r="GS283" s="17"/>
      <c r="GT283" s="17"/>
      <c r="GU283" s="17"/>
      <c r="GV283" s="17"/>
      <c r="GW283" s="17"/>
      <c r="GX283" s="17"/>
      <c r="GY283" s="17"/>
      <c r="GZ283" s="17"/>
      <c r="HA283" s="17"/>
      <c r="HB283" s="17"/>
      <c r="HC283" s="17"/>
      <c r="HD283" s="17"/>
      <c r="HE283" s="17"/>
      <c r="HF283" s="17"/>
      <c r="HG283" s="17"/>
      <c r="HH283" s="17"/>
      <c r="HI283" s="17"/>
      <c r="HJ283" s="17"/>
      <c r="HK283" s="17"/>
      <c r="HL283" s="17"/>
      <c r="HM283" s="17"/>
      <c r="HN283" s="17"/>
      <c r="HO283" s="17"/>
      <c r="HP283" s="17"/>
      <c r="HQ283" s="17"/>
      <c r="HR283" s="17"/>
      <c r="HS283" s="17"/>
      <c r="HT283" s="17"/>
      <c r="HU283" s="17"/>
      <c r="HV283" s="17"/>
      <c r="HW283" s="17"/>
      <c r="HX283" s="17"/>
      <c r="HY283" s="17"/>
      <c r="HZ283" s="17"/>
      <c r="IA283" s="17"/>
      <c r="IB283" s="17"/>
      <c r="IC283" s="17"/>
      <c r="ID283" s="17"/>
      <c r="IE283" s="17"/>
      <c r="IF283" s="17"/>
      <c r="IG283" s="17"/>
      <c r="IH283" s="17"/>
      <c r="II283" s="17"/>
      <c r="IJ283" s="17"/>
      <c r="IK283" s="17"/>
      <c r="IL283" s="17"/>
      <c r="IM283" s="17"/>
      <c r="IN283" s="17"/>
      <c r="IO283" s="17"/>
      <c r="IP283" s="17"/>
      <c r="IQ283" s="17"/>
      <c r="IR283" s="17"/>
      <c r="IS283" s="17"/>
      <c r="IT283" s="17"/>
      <c r="IU283" s="17"/>
      <c r="IV283" s="17"/>
      <c r="IW283" s="17"/>
      <c r="IX283" s="17"/>
      <c r="IY283" s="17"/>
      <c r="IZ283" s="17"/>
      <c r="JA283" s="17"/>
      <c r="JB283" s="17"/>
      <c r="JC283" s="17"/>
      <c r="JD283" s="17"/>
      <c r="JE283" s="17"/>
      <c r="JF283" s="17"/>
      <c r="JG283" s="17"/>
      <c r="JH283" s="17"/>
      <c r="JI283" s="17"/>
      <c r="JJ283" s="17"/>
      <c r="JK283" s="17"/>
      <c r="JL283" s="17"/>
      <c r="JM283" s="17"/>
      <c r="JN283" s="17"/>
      <c r="JO283" s="17"/>
      <c r="JP283" s="17"/>
      <c r="JQ283" s="17"/>
      <c r="JR283" s="17"/>
      <c r="JS283" s="17"/>
      <c r="JT283" s="17"/>
      <c r="JU283" s="17"/>
      <c r="JV283" s="17"/>
      <c r="JW283" s="17"/>
      <c r="JX283" s="17"/>
      <c r="JY283" s="17"/>
      <c r="JZ283" s="17"/>
      <c r="KA283" s="17"/>
      <c r="KB283" s="17"/>
      <c r="KC283" s="17"/>
      <c r="KD283" s="17"/>
      <c r="KE283" s="17"/>
      <c r="KF283" s="17"/>
      <c r="KG283" s="17"/>
      <c r="KH283" s="17"/>
      <c r="KI283" s="17"/>
      <c r="KJ283" s="17"/>
      <c r="KK283" s="17"/>
      <c r="KL283" s="17"/>
      <c r="KM283" s="17"/>
      <c r="KN283" s="17"/>
      <c r="KO283" s="17"/>
      <c r="KP283" s="17"/>
      <c r="KQ283" s="17"/>
      <c r="KR283" s="17"/>
      <c r="KS283" s="17"/>
      <c r="KT283" s="17"/>
      <c r="KU283" s="17"/>
      <c r="KV283" s="17"/>
      <c r="KW283" s="17"/>
      <c r="KX283" s="17"/>
      <c r="KY283" s="17"/>
    </row>
    <row r="284" spans="1:311" x14ac:dyDescent="0.25">
      <c r="A284" s="17"/>
      <c r="B284" s="17"/>
      <c r="C284" s="17"/>
      <c r="D284" s="17"/>
      <c r="E284" s="17"/>
      <c r="F284" s="17"/>
      <c r="G284" s="17"/>
      <c r="H284" s="17"/>
      <c r="I284" s="17"/>
      <c r="J284" s="17"/>
      <c r="K284" s="17"/>
      <c r="L284" s="17"/>
      <c r="M284" s="17"/>
      <c r="N284" s="17"/>
      <c r="O284" s="17"/>
      <c r="P284" s="17"/>
      <c r="Q284" s="17"/>
      <c r="R284" s="17"/>
      <c r="S284" s="17"/>
      <c r="T284" s="17"/>
      <c r="U284" s="17"/>
      <c r="V284" s="17"/>
      <c r="W284" s="17"/>
      <c r="X284" s="17"/>
      <c r="Y284" s="17"/>
      <c r="Z284" s="17"/>
      <c r="AA284" s="17"/>
      <c r="AB284" s="17"/>
      <c r="AC284" s="17"/>
      <c r="AD284" s="17"/>
      <c r="AE284" s="17"/>
      <c r="AF284" s="17"/>
      <c r="AG284" s="17"/>
      <c r="AH284" s="17"/>
      <c r="AI284" s="17"/>
      <c r="AJ284" s="17"/>
      <c r="AK284" s="17"/>
      <c r="AL284" s="17"/>
      <c r="AM284" s="17"/>
      <c r="AN284" s="17"/>
      <c r="AO284" s="17"/>
      <c r="AP284" s="17"/>
      <c r="AQ284" s="17"/>
      <c r="AR284" s="17"/>
      <c r="AS284" s="17"/>
      <c r="AT284" s="17"/>
      <c r="AU284" s="17"/>
      <c r="AV284" s="17"/>
      <c r="AW284" s="17"/>
      <c r="AX284" s="17"/>
      <c r="AY284" s="17"/>
      <c r="AZ284" s="17"/>
      <c r="BA284" s="17"/>
      <c r="BB284" s="17"/>
      <c r="BC284" s="17"/>
      <c r="BD284" s="17"/>
      <c r="BE284" s="17"/>
      <c r="BF284" s="17"/>
      <c r="BG284" s="17"/>
      <c r="BH284" s="17"/>
      <c r="BI284" s="17"/>
      <c r="BJ284" s="17"/>
      <c r="BK284" s="17"/>
      <c r="BL284" s="17"/>
      <c r="BM284" s="17"/>
      <c r="BN284" s="17"/>
      <c r="BO284" s="17"/>
      <c r="BP284" s="17"/>
      <c r="BQ284" s="17"/>
      <c r="BR284" s="17"/>
      <c r="BS284" s="17"/>
      <c r="BT284" s="17"/>
      <c r="BU284" s="17"/>
      <c r="BV284" s="17"/>
      <c r="BW284" s="17"/>
      <c r="BX284" s="17"/>
      <c r="BY284" s="17"/>
      <c r="BZ284" s="17"/>
      <c r="CA284" s="17"/>
      <c r="CB284" s="17"/>
      <c r="CC284" s="17"/>
      <c r="CD284" s="17"/>
      <c r="CE284" s="17"/>
      <c r="CF284" s="17"/>
      <c r="CG284" s="17"/>
      <c r="CH284" s="17"/>
      <c r="CI284" s="17"/>
      <c r="CJ284" s="17"/>
      <c r="CK284" s="17"/>
      <c r="CL284" s="17"/>
      <c r="CM284" s="17"/>
      <c r="CN284" s="17"/>
      <c r="CO284" s="17"/>
      <c r="CP284" s="17"/>
      <c r="CQ284" s="17"/>
      <c r="CR284" s="17"/>
      <c r="CS284" s="17"/>
      <c r="CT284" s="17"/>
      <c r="CU284" s="17"/>
      <c r="CV284" s="17"/>
      <c r="CW284" s="17"/>
      <c r="CX284" s="17"/>
      <c r="CY284" s="17"/>
      <c r="CZ284" s="17"/>
      <c r="DA284" s="17"/>
      <c r="DB284" s="17"/>
      <c r="DC284" s="17"/>
      <c r="DD284" s="17"/>
      <c r="DE284" s="17"/>
      <c r="DF284" s="17"/>
      <c r="DG284" s="17"/>
      <c r="DH284" s="17"/>
      <c r="DI284" s="17"/>
      <c r="DJ284" s="17"/>
      <c r="DK284" s="17"/>
      <c r="DL284" s="17"/>
      <c r="DM284" s="17"/>
      <c r="DN284" s="17"/>
      <c r="DO284" s="17"/>
      <c r="DP284" s="17"/>
      <c r="DQ284" s="17"/>
      <c r="DR284" s="17"/>
      <c r="DS284" s="17"/>
      <c r="DT284" s="17"/>
      <c r="DU284" s="17"/>
      <c r="DV284" s="17"/>
      <c r="DW284" s="17"/>
      <c r="DX284" s="17"/>
      <c r="DY284" s="17"/>
      <c r="DZ284" s="17"/>
      <c r="EA284" s="17"/>
      <c r="EB284" s="17"/>
      <c r="EC284" s="17"/>
      <c r="ED284" s="17"/>
      <c r="EE284" s="17"/>
      <c r="EF284" s="17"/>
      <c r="EG284" s="17"/>
      <c r="EH284" s="17"/>
      <c r="EI284" s="17"/>
      <c r="EJ284" s="17"/>
      <c r="EK284" s="17"/>
      <c r="EL284" s="17"/>
      <c r="EM284" s="17"/>
      <c r="EN284" s="17"/>
      <c r="EO284" s="17"/>
      <c r="EP284" s="17"/>
      <c r="EQ284" s="17"/>
      <c r="ER284" s="17"/>
      <c r="ES284" s="17"/>
      <c r="ET284" s="17"/>
      <c r="EU284" s="17"/>
      <c r="EV284" s="17"/>
      <c r="EW284" s="17"/>
      <c r="EX284" s="17"/>
      <c r="EY284" s="17"/>
      <c r="EZ284" s="17"/>
      <c r="FA284" s="17"/>
      <c r="FB284" s="17"/>
      <c r="FC284" s="17"/>
      <c r="FD284" s="17"/>
      <c r="FE284" s="17"/>
      <c r="FF284" s="17"/>
      <c r="FG284" s="17"/>
      <c r="FH284" s="17"/>
      <c r="FI284" s="17"/>
      <c r="FJ284" s="17"/>
      <c r="FK284" s="17"/>
      <c r="FL284" s="17"/>
      <c r="FM284" s="17"/>
      <c r="FN284" s="17"/>
      <c r="FO284" s="17"/>
      <c r="FP284" s="17"/>
      <c r="FQ284" s="17"/>
      <c r="FR284" s="17"/>
      <c r="FS284" s="17"/>
      <c r="FT284" s="17"/>
      <c r="FU284" s="17"/>
      <c r="FV284" s="17"/>
      <c r="FW284" s="17"/>
      <c r="FX284" s="17"/>
      <c r="FY284" s="17"/>
      <c r="FZ284" s="17"/>
      <c r="GA284" s="17"/>
      <c r="GB284" s="17"/>
      <c r="GC284" s="17"/>
      <c r="GD284" s="17"/>
      <c r="GE284" s="17"/>
      <c r="GF284" s="17"/>
      <c r="GG284" s="17"/>
      <c r="GH284" s="17"/>
      <c r="GI284" s="17"/>
      <c r="GJ284" s="17"/>
      <c r="GK284" s="17"/>
      <c r="GL284" s="17"/>
      <c r="GM284" s="17"/>
      <c r="GN284" s="17"/>
      <c r="GO284" s="17"/>
      <c r="GP284" s="17"/>
      <c r="GQ284" s="17"/>
      <c r="GR284" s="17"/>
      <c r="GS284" s="17"/>
      <c r="GT284" s="17"/>
      <c r="GU284" s="17"/>
      <c r="GV284" s="17"/>
      <c r="GW284" s="17"/>
      <c r="GX284" s="17"/>
      <c r="GY284" s="17"/>
      <c r="GZ284" s="17"/>
      <c r="HA284" s="17"/>
      <c r="HB284" s="17"/>
      <c r="HC284" s="17"/>
      <c r="HD284" s="17"/>
      <c r="HE284" s="17"/>
      <c r="HF284" s="17"/>
      <c r="HG284" s="17"/>
      <c r="HH284" s="17"/>
      <c r="HI284" s="17"/>
      <c r="HJ284" s="17"/>
      <c r="HK284" s="17"/>
      <c r="HL284" s="17"/>
      <c r="HM284" s="17"/>
      <c r="HN284" s="17"/>
      <c r="HO284" s="17"/>
      <c r="HP284" s="17"/>
      <c r="HQ284" s="17"/>
      <c r="HR284" s="17"/>
      <c r="HS284" s="17"/>
      <c r="HT284" s="17"/>
      <c r="HU284" s="17"/>
      <c r="HV284" s="17"/>
      <c r="HW284" s="17"/>
      <c r="HX284" s="17"/>
      <c r="HY284" s="17"/>
      <c r="HZ284" s="17"/>
      <c r="IA284" s="17"/>
      <c r="IB284" s="17"/>
      <c r="IC284" s="17"/>
      <c r="ID284" s="17"/>
      <c r="IE284" s="17"/>
      <c r="IF284" s="17"/>
      <c r="IG284" s="17"/>
      <c r="IH284" s="17"/>
      <c r="II284" s="17"/>
      <c r="IJ284" s="17"/>
      <c r="IK284" s="17"/>
      <c r="IL284" s="17"/>
      <c r="IM284" s="17"/>
      <c r="IN284" s="17"/>
      <c r="IO284" s="17"/>
      <c r="IP284" s="17"/>
      <c r="IQ284" s="17"/>
      <c r="IR284" s="17"/>
      <c r="IS284" s="17"/>
      <c r="IT284" s="17"/>
      <c r="IU284" s="17"/>
      <c r="IV284" s="17"/>
      <c r="IW284" s="17"/>
      <c r="IX284" s="17"/>
      <c r="IY284" s="17"/>
      <c r="IZ284" s="17"/>
      <c r="JA284" s="17"/>
      <c r="JB284" s="17"/>
      <c r="JC284" s="17"/>
      <c r="JD284" s="17"/>
      <c r="JE284" s="17"/>
      <c r="JF284" s="17"/>
      <c r="JG284" s="17"/>
      <c r="JH284" s="17"/>
      <c r="JI284" s="17"/>
      <c r="JJ284" s="17"/>
      <c r="JK284" s="17"/>
      <c r="JL284" s="17"/>
      <c r="JM284" s="17"/>
      <c r="JN284" s="17"/>
      <c r="JO284" s="17"/>
      <c r="JP284" s="17"/>
      <c r="JQ284" s="17"/>
      <c r="JR284" s="17"/>
      <c r="JS284" s="17"/>
      <c r="JT284" s="17"/>
      <c r="JU284" s="17"/>
      <c r="JV284" s="17"/>
      <c r="JW284" s="17"/>
      <c r="JX284" s="17"/>
      <c r="JY284" s="17"/>
      <c r="JZ284" s="17"/>
      <c r="KA284" s="17"/>
      <c r="KB284" s="17"/>
      <c r="KC284" s="17"/>
      <c r="KD284" s="17"/>
      <c r="KE284" s="17"/>
      <c r="KF284" s="17"/>
      <c r="KG284" s="17"/>
      <c r="KH284" s="17"/>
      <c r="KI284" s="17"/>
      <c r="KJ284" s="17"/>
      <c r="KK284" s="17"/>
      <c r="KL284" s="17"/>
      <c r="KM284" s="17"/>
      <c r="KN284" s="17"/>
      <c r="KO284" s="17"/>
      <c r="KP284" s="17"/>
      <c r="KQ284" s="17"/>
      <c r="KR284" s="17"/>
      <c r="KS284" s="17"/>
      <c r="KT284" s="17"/>
      <c r="KU284" s="17"/>
      <c r="KV284" s="17"/>
      <c r="KW284" s="17"/>
      <c r="KX284" s="17"/>
      <c r="KY284" s="17"/>
    </row>
    <row r="285" spans="1:311" x14ac:dyDescent="0.25">
      <c r="A285" s="17"/>
      <c r="B285" s="17"/>
      <c r="C285" s="17"/>
      <c r="D285" s="17"/>
      <c r="E285" s="17"/>
      <c r="F285" s="17"/>
      <c r="G285" s="17"/>
      <c r="H285" s="17"/>
      <c r="I285" s="17"/>
      <c r="J285" s="17"/>
      <c r="K285" s="17"/>
      <c r="L285" s="17"/>
      <c r="M285" s="17"/>
      <c r="N285" s="17"/>
      <c r="O285" s="17"/>
      <c r="P285" s="17"/>
      <c r="Q285" s="17"/>
      <c r="R285" s="17"/>
      <c r="S285" s="17"/>
      <c r="T285" s="17"/>
      <c r="U285" s="17"/>
      <c r="V285" s="17"/>
      <c r="W285" s="17"/>
      <c r="X285" s="17"/>
      <c r="Y285" s="17"/>
      <c r="Z285" s="17"/>
      <c r="AA285" s="17"/>
      <c r="AB285" s="17"/>
      <c r="AC285" s="17"/>
      <c r="AD285" s="17"/>
      <c r="AE285" s="17"/>
      <c r="AF285" s="17"/>
      <c r="AG285" s="17"/>
      <c r="AH285" s="17"/>
      <c r="AI285" s="17"/>
      <c r="AJ285" s="17"/>
      <c r="AK285" s="17"/>
      <c r="AL285" s="17"/>
      <c r="AM285" s="17"/>
      <c r="AN285" s="17"/>
      <c r="AO285" s="17"/>
      <c r="AP285" s="17"/>
      <c r="AQ285" s="17"/>
      <c r="AR285" s="17"/>
      <c r="AS285" s="17"/>
      <c r="AT285" s="17"/>
      <c r="AU285" s="17"/>
      <c r="AV285" s="17"/>
      <c r="AW285" s="17"/>
      <c r="AX285" s="17"/>
      <c r="AY285" s="17"/>
      <c r="AZ285" s="17"/>
      <c r="BA285" s="17"/>
      <c r="BB285" s="17"/>
      <c r="BC285" s="17"/>
      <c r="BD285" s="17"/>
      <c r="BE285" s="17"/>
      <c r="BF285" s="17"/>
      <c r="BG285" s="17"/>
      <c r="BH285" s="17"/>
      <c r="BI285" s="17"/>
      <c r="BJ285" s="17"/>
      <c r="BK285" s="17"/>
      <c r="BL285" s="17"/>
      <c r="BM285" s="17"/>
      <c r="BN285" s="17"/>
      <c r="BO285" s="17"/>
      <c r="BP285" s="17"/>
      <c r="BQ285" s="17"/>
      <c r="BR285" s="17"/>
      <c r="BS285" s="17"/>
      <c r="BT285" s="17"/>
      <c r="BU285" s="17"/>
      <c r="BV285" s="17"/>
      <c r="BW285" s="17"/>
      <c r="BX285" s="17"/>
      <c r="BY285" s="17"/>
      <c r="BZ285" s="17"/>
      <c r="CA285" s="17"/>
      <c r="CB285" s="17"/>
      <c r="CC285" s="17"/>
      <c r="CD285" s="17"/>
      <c r="CE285" s="17"/>
      <c r="CF285" s="17"/>
      <c r="CG285" s="17"/>
      <c r="CH285" s="17"/>
      <c r="CI285" s="17"/>
      <c r="CJ285" s="17"/>
      <c r="CK285" s="17"/>
      <c r="CL285" s="17"/>
      <c r="CM285" s="17"/>
      <c r="CN285" s="17"/>
      <c r="CO285" s="17"/>
      <c r="CP285" s="17"/>
      <c r="CQ285" s="17"/>
      <c r="CR285" s="17"/>
      <c r="CS285" s="17"/>
      <c r="CT285" s="17"/>
      <c r="CU285" s="17"/>
      <c r="CV285" s="17"/>
      <c r="CW285" s="17"/>
      <c r="CX285" s="17"/>
      <c r="CY285" s="17"/>
      <c r="CZ285" s="17"/>
      <c r="DA285" s="17"/>
      <c r="DB285" s="17"/>
      <c r="DC285" s="17"/>
      <c r="DD285" s="17"/>
      <c r="DE285" s="17"/>
      <c r="DF285" s="17"/>
      <c r="DG285" s="17"/>
      <c r="DH285" s="17"/>
      <c r="DI285" s="17"/>
      <c r="DJ285" s="17"/>
      <c r="DK285" s="17"/>
      <c r="DL285" s="17"/>
      <c r="DM285" s="17"/>
      <c r="DN285" s="17"/>
      <c r="DO285" s="17"/>
      <c r="DP285" s="17"/>
      <c r="DQ285" s="17"/>
      <c r="DR285" s="17"/>
      <c r="DS285" s="17"/>
      <c r="DT285" s="17"/>
      <c r="DU285" s="17"/>
      <c r="DV285" s="17"/>
      <c r="DW285" s="17"/>
      <c r="DX285" s="17"/>
      <c r="DY285" s="17"/>
      <c r="DZ285" s="17"/>
      <c r="EA285" s="17"/>
      <c r="EB285" s="17"/>
      <c r="EC285" s="17"/>
      <c r="ED285" s="17"/>
      <c r="EE285" s="17"/>
      <c r="EF285" s="17"/>
      <c r="EG285" s="17"/>
      <c r="EH285" s="17"/>
      <c r="EI285" s="17"/>
      <c r="EJ285" s="17"/>
      <c r="EK285" s="17"/>
      <c r="EL285" s="17"/>
      <c r="EM285" s="17"/>
      <c r="EN285" s="17"/>
      <c r="EO285" s="17"/>
      <c r="EP285" s="17"/>
      <c r="EQ285" s="17"/>
      <c r="ER285" s="17"/>
      <c r="ES285" s="17"/>
      <c r="ET285" s="17"/>
      <c r="EU285" s="17"/>
      <c r="EV285" s="17"/>
      <c r="EW285" s="17"/>
      <c r="EX285" s="17"/>
      <c r="EY285" s="17"/>
      <c r="EZ285" s="17"/>
      <c r="FA285" s="17"/>
      <c r="FB285" s="17"/>
      <c r="FC285" s="17"/>
      <c r="FD285" s="17"/>
      <c r="FE285" s="17"/>
      <c r="FF285" s="17"/>
      <c r="FG285" s="17"/>
      <c r="FH285" s="17"/>
      <c r="FI285" s="17"/>
      <c r="FJ285" s="17"/>
      <c r="FK285" s="17"/>
      <c r="FL285" s="17"/>
      <c r="FM285" s="17"/>
      <c r="FN285" s="17"/>
      <c r="FO285" s="17"/>
      <c r="FP285" s="17"/>
      <c r="FQ285" s="17"/>
      <c r="FR285" s="17"/>
      <c r="FS285" s="17"/>
      <c r="FT285" s="17"/>
      <c r="FU285" s="17"/>
      <c r="FV285" s="17"/>
      <c r="FW285" s="17"/>
      <c r="FX285" s="17"/>
      <c r="FY285" s="17"/>
      <c r="FZ285" s="17"/>
      <c r="GA285" s="17"/>
      <c r="GB285" s="17"/>
      <c r="GC285" s="17"/>
      <c r="GD285" s="17"/>
      <c r="GE285" s="17"/>
      <c r="GF285" s="17"/>
      <c r="GG285" s="17"/>
      <c r="GH285" s="17"/>
      <c r="GI285" s="17"/>
      <c r="GJ285" s="17"/>
      <c r="GK285" s="17"/>
      <c r="GL285" s="17"/>
      <c r="GM285" s="17"/>
      <c r="GN285" s="17"/>
      <c r="GO285" s="17"/>
      <c r="GP285" s="17"/>
      <c r="GQ285" s="17"/>
      <c r="GR285" s="17"/>
      <c r="GS285" s="17"/>
      <c r="GT285" s="17"/>
      <c r="GU285" s="17"/>
      <c r="GV285" s="17"/>
      <c r="GW285" s="17"/>
      <c r="GX285" s="17"/>
      <c r="GY285" s="17"/>
      <c r="GZ285" s="17"/>
      <c r="HA285" s="17"/>
      <c r="HB285" s="17"/>
      <c r="HC285" s="17"/>
      <c r="HD285" s="17"/>
      <c r="HE285" s="17"/>
      <c r="HF285" s="17"/>
      <c r="HG285" s="17"/>
      <c r="HH285" s="17"/>
      <c r="HI285" s="17"/>
      <c r="HJ285" s="17"/>
      <c r="HK285" s="17"/>
      <c r="HL285" s="17"/>
      <c r="HM285" s="17"/>
      <c r="HN285" s="17"/>
      <c r="HO285" s="17"/>
      <c r="HP285" s="17"/>
      <c r="HQ285" s="17"/>
      <c r="HR285" s="17"/>
      <c r="HS285" s="17"/>
      <c r="HT285" s="17"/>
      <c r="HU285" s="17"/>
      <c r="HV285" s="17"/>
      <c r="HW285" s="17"/>
      <c r="HX285" s="17"/>
      <c r="HY285" s="17"/>
      <c r="HZ285" s="17"/>
      <c r="IA285" s="17"/>
      <c r="IB285" s="17"/>
      <c r="IC285" s="17"/>
      <c r="ID285" s="17"/>
      <c r="IE285" s="17"/>
      <c r="IF285" s="17"/>
      <c r="IG285" s="17"/>
      <c r="IH285" s="17"/>
      <c r="II285" s="17"/>
      <c r="IJ285" s="17"/>
      <c r="IK285" s="17"/>
      <c r="IL285" s="17"/>
      <c r="IM285" s="17"/>
      <c r="IN285" s="17"/>
      <c r="IO285" s="17"/>
      <c r="IP285" s="17"/>
      <c r="IQ285" s="17"/>
      <c r="IR285" s="17"/>
      <c r="IS285" s="17"/>
      <c r="IT285" s="17"/>
      <c r="IU285" s="17"/>
      <c r="IV285" s="17"/>
      <c r="IW285" s="17"/>
      <c r="IX285" s="17"/>
      <c r="IY285" s="17"/>
      <c r="IZ285" s="17"/>
      <c r="JA285" s="17"/>
      <c r="JB285" s="17"/>
      <c r="JC285" s="17"/>
      <c r="JD285" s="17"/>
      <c r="JE285" s="17"/>
      <c r="JF285" s="17"/>
      <c r="JG285" s="17"/>
      <c r="JH285" s="17"/>
      <c r="JI285" s="17"/>
      <c r="JJ285" s="17"/>
      <c r="JK285" s="17"/>
      <c r="JL285" s="17"/>
      <c r="JM285" s="17"/>
      <c r="JN285" s="17"/>
      <c r="JO285" s="17"/>
      <c r="JP285" s="17"/>
      <c r="JQ285" s="17"/>
      <c r="JR285" s="17"/>
      <c r="JS285" s="17"/>
      <c r="JT285" s="17"/>
      <c r="JU285" s="17"/>
      <c r="JV285" s="17"/>
      <c r="JW285" s="17"/>
      <c r="JX285" s="17"/>
      <c r="JY285" s="17"/>
      <c r="JZ285" s="17"/>
      <c r="KA285" s="17"/>
      <c r="KB285" s="17"/>
      <c r="KC285" s="17"/>
      <c r="KD285" s="17"/>
      <c r="KE285" s="17"/>
      <c r="KF285" s="17"/>
      <c r="KG285" s="17"/>
      <c r="KH285" s="17"/>
      <c r="KI285" s="17"/>
      <c r="KJ285" s="17"/>
      <c r="KK285" s="17"/>
      <c r="KL285" s="17"/>
      <c r="KM285" s="17"/>
      <c r="KN285" s="17"/>
      <c r="KO285" s="17"/>
      <c r="KP285" s="17"/>
      <c r="KQ285" s="17"/>
      <c r="KR285" s="17"/>
      <c r="KS285" s="17"/>
      <c r="KT285" s="17"/>
      <c r="KU285" s="17"/>
      <c r="KV285" s="17"/>
      <c r="KW285" s="17"/>
      <c r="KX285" s="17"/>
      <c r="KY285" s="17"/>
    </row>
    <row r="286" spans="1:311" x14ac:dyDescent="0.25">
      <c r="A286" s="17"/>
      <c r="B286" s="17"/>
      <c r="C286" s="17"/>
      <c r="D286" s="17"/>
      <c r="E286" s="17"/>
      <c r="F286" s="17"/>
      <c r="G286" s="17"/>
      <c r="H286" s="17"/>
      <c r="I286" s="17"/>
      <c r="J286" s="17"/>
      <c r="K286" s="17"/>
      <c r="L286" s="17"/>
      <c r="M286" s="17"/>
      <c r="N286" s="17"/>
      <c r="O286" s="17"/>
      <c r="P286" s="17"/>
      <c r="Q286" s="17"/>
      <c r="R286" s="17"/>
      <c r="S286" s="17"/>
      <c r="T286" s="17"/>
      <c r="U286" s="17"/>
      <c r="V286" s="17"/>
      <c r="W286" s="17"/>
      <c r="X286" s="17"/>
      <c r="Y286" s="17"/>
      <c r="Z286" s="17"/>
      <c r="AA286" s="17"/>
      <c r="AB286" s="17"/>
      <c r="AC286" s="17"/>
      <c r="AD286" s="17"/>
      <c r="AE286" s="17"/>
      <c r="AF286" s="17"/>
      <c r="AG286" s="17"/>
      <c r="AH286" s="17"/>
      <c r="AI286" s="17"/>
      <c r="AJ286" s="17"/>
      <c r="AK286" s="17"/>
      <c r="AL286" s="17"/>
      <c r="AM286" s="17"/>
      <c r="AN286" s="17"/>
      <c r="AO286" s="17"/>
      <c r="AP286" s="17"/>
      <c r="AQ286" s="17"/>
      <c r="AR286" s="17"/>
      <c r="AS286" s="17"/>
      <c r="AT286" s="17"/>
      <c r="AU286" s="17"/>
      <c r="AV286" s="17"/>
      <c r="AW286" s="17"/>
      <c r="AX286" s="17"/>
      <c r="AY286" s="17"/>
      <c r="AZ286" s="17"/>
      <c r="BA286" s="17"/>
      <c r="BB286" s="17"/>
      <c r="BC286" s="17"/>
      <c r="BD286" s="17"/>
      <c r="BE286" s="17"/>
      <c r="BF286" s="17"/>
      <c r="BG286" s="17"/>
      <c r="BH286" s="17"/>
      <c r="BI286" s="17"/>
      <c r="BJ286" s="17"/>
      <c r="BK286" s="17"/>
      <c r="BL286" s="17"/>
      <c r="BM286" s="17"/>
      <c r="BN286" s="17"/>
      <c r="BO286" s="17"/>
      <c r="BP286" s="17"/>
      <c r="BQ286" s="17"/>
      <c r="BR286" s="17"/>
      <c r="BS286" s="17"/>
      <c r="BT286" s="17"/>
      <c r="BU286" s="17"/>
      <c r="BV286" s="17"/>
      <c r="BW286" s="17"/>
      <c r="BX286" s="17"/>
      <c r="BY286" s="17"/>
      <c r="BZ286" s="17"/>
      <c r="CA286" s="17"/>
      <c r="CB286" s="17"/>
      <c r="CC286" s="17"/>
      <c r="CD286" s="17"/>
      <c r="CE286" s="17"/>
      <c r="CF286" s="17"/>
      <c r="CG286" s="17"/>
      <c r="CH286" s="17"/>
      <c r="CI286" s="17"/>
      <c r="CJ286" s="17"/>
      <c r="CK286" s="17"/>
      <c r="CL286" s="17"/>
      <c r="CM286" s="17"/>
      <c r="CN286" s="17"/>
      <c r="CO286" s="17"/>
      <c r="CP286" s="17"/>
      <c r="CQ286" s="17"/>
      <c r="CR286" s="17"/>
      <c r="CS286" s="17"/>
      <c r="CT286" s="17"/>
      <c r="CU286" s="17"/>
      <c r="CV286" s="17"/>
      <c r="CW286" s="17"/>
      <c r="CX286" s="17"/>
      <c r="CY286" s="17"/>
      <c r="CZ286" s="17"/>
      <c r="DA286" s="17"/>
      <c r="DB286" s="17"/>
      <c r="DC286" s="17"/>
      <c r="DD286" s="17"/>
      <c r="DE286" s="17"/>
      <c r="DF286" s="17"/>
      <c r="DG286" s="17"/>
      <c r="DH286" s="17"/>
      <c r="DI286" s="17"/>
      <c r="DJ286" s="17"/>
      <c r="DK286" s="17"/>
      <c r="DL286" s="17"/>
      <c r="DM286" s="17"/>
      <c r="DN286" s="17"/>
      <c r="DO286" s="17"/>
      <c r="DP286" s="17"/>
      <c r="DQ286" s="17"/>
      <c r="DR286" s="17"/>
      <c r="DS286" s="17"/>
      <c r="DT286" s="17"/>
      <c r="DU286" s="17"/>
      <c r="DV286" s="17"/>
      <c r="DW286" s="17"/>
      <c r="DX286" s="17"/>
      <c r="DY286" s="17"/>
      <c r="DZ286" s="17"/>
      <c r="EA286" s="17"/>
      <c r="EB286" s="17"/>
      <c r="EC286" s="17"/>
      <c r="ED286" s="17"/>
      <c r="EE286" s="17"/>
      <c r="EF286" s="17"/>
      <c r="EG286" s="17"/>
      <c r="EH286" s="17"/>
      <c r="EI286" s="17"/>
      <c r="EJ286" s="17"/>
      <c r="EK286" s="17"/>
      <c r="EL286" s="17"/>
      <c r="EM286" s="17"/>
      <c r="EN286" s="17"/>
      <c r="EO286" s="17"/>
      <c r="EP286" s="17"/>
      <c r="EQ286" s="17"/>
      <c r="ER286" s="17"/>
      <c r="ES286" s="17"/>
      <c r="ET286" s="17"/>
      <c r="EU286" s="17"/>
      <c r="EV286" s="17"/>
      <c r="EW286" s="17"/>
      <c r="EX286" s="17"/>
      <c r="EY286" s="17"/>
      <c r="EZ286" s="17"/>
      <c r="FA286" s="17"/>
      <c r="FB286" s="17"/>
      <c r="FC286" s="17"/>
      <c r="FD286" s="17"/>
      <c r="FE286" s="17"/>
      <c r="FF286" s="17"/>
      <c r="FG286" s="17"/>
      <c r="FH286" s="17"/>
      <c r="FI286" s="17"/>
      <c r="FJ286" s="17"/>
      <c r="FK286" s="17"/>
      <c r="FL286" s="17"/>
      <c r="FM286" s="17"/>
      <c r="FN286" s="17"/>
      <c r="FO286" s="17"/>
      <c r="FP286" s="17"/>
      <c r="FQ286" s="17"/>
      <c r="FR286" s="17"/>
      <c r="FS286" s="17"/>
      <c r="FT286" s="17"/>
      <c r="FU286" s="17"/>
      <c r="FV286" s="17"/>
      <c r="FW286" s="17"/>
      <c r="FX286" s="17"/>
      <c r="FY286" s="17"/>
      <c r="FZ286" s="17"/>
      <c r="GA286" s="17"/>
      <c r="GB286" s="17"/>
      <c r="GC286" s="17"/>
      <c r="GD286" s="17"/>
      <c r="GE286" s="17"/>
      <c r="GF286" s="17"/>
      <c r="GG286" s="17"/>
      <c r="GH286" s="17"/>
      <c r="GI286" s="17"/>
      <c r="GJ286" s="17"/>
      <c r="GK286" s="17"/>
      <c r="GL286" s="17"/>
      <c r="GM286" s="17"/>
      <c r="GN286" s="17"/>
      <c r="GO286" s="17"/>
      <c r="GP286" s="17"/>
      <c r="GQ286" s="17"/>
      <c r="GR286" s="17"/>
      <c r="GS286" s="17"/>
      <c r="GT286" s="17"/>
      <c r="GU286" s="17"/>
      <c r="GV286" s="17"/>
      <c r="GW286" s="17"/>
      <c r="GX286" s="17"/>
      <c r="GY286" s="17"/>
      <c r="GZ286" s="17"/>
      <c r="HA286" s="17"/>
      <c r="HB286" s="17"/>
      <c r="HC286" s="17"/>
      <c r="HD286" s="17"/>
      <c r="HE286" s="17"/>
      <c r="HF286" s="17"/>
      <c r="HG286" s="17"/>
      <c r="HH286" s="17"/>
      <c r="HI286" s="17"/>
      <c r="HJ286" s="17"/>
      <c r="HK286" s="17"/>
      <c r="HL286" s="17"/>
      <c r="HM286" s="17"/>
      <c r="HN286" s="17"/>
      <c r="HO286" s="17"/>
      <c r="HP286" s="17"/>
      <c r="HQ286" s="17"/>
      <c r="HR286" s="17"/>
      <c r="HS286" s="17"/>
      <c r="HT286" s="17"/>
      <c r="HU286" s="17"/>
      <c r="HV286" s="17"/>
      <c r="HW286" s="17"/>
      <c r="HX286" s="17"/>
      <c r="HY286" s="17"/>
      <c r="HZ286" s="17"/>
      <c r="IA286" s="17"/>
      <c r="IB286" s="17"/>
      <c r="IC286" s="17"/>
      <c r="ID286" s="17"/>
      <c r="IE286" s="17"/>
      <c r="IF286" s="17"/>
      <c r="IG286" s="17"/>
      <c r="IH286" s="17"/>
      <c r="II286" s="17"/>
      <c r="IJ286" s="17"/>
      <c r="IK286" s="17"/>
      <c r="IL286" s="17"/>
      <c r="IM286" s="17"/>
      <c r="IN286" s="17"/>
      <c r="IO286" s="17"/>
      <c r="IP286" s="17"/>
      <c r="IQ286" s="17"/>
      <c r="IR286" s="17"/>
      <c r="IS286" s="17"/>
      <c r="IT286" s="17"/>
      <c r="IU286" s="17"/>
      <c r="IV286" s="17"/>
      <c r="IW286" s="17"/>
      <c r="IX286" s="17"/>
      <c r="IY286" s="17"/>
      <c r="IZ286" s="17"/>
      <c r="JA286" s="17"/>
      <c r="JB286" s="17"/>
      <c r="JC286" s="17"/>
      <c r="JD286" s="17"/>
      <c r="JE286" s="17"/>
      <c r="JF286" s="17"/>
      <c r="JG286" s="17"/>
      <c r="JH286" s="17"/>
      <c r="JI286" s="17"/>
      <c r="JJ286" s="17"/>
      <c r="JK286" s="17"/>
      <c r="JL286" s="17"/>
      <c r="JM286" s="17"/>
      <c r="JN286" s="17"/>
      <c r="JO286" s="17"/>
      <c r="JP286" s="17"/>
      <c r="JQ286" s="17"/>
      <c r="JR286" s="17"/>
      <c r="JS286" s="17"/>
      <c r="JT286" s="17"/>
      <c r="JU286" s="17"/>
      <c r="JV286" s="17"/>
      <c r="JW286" s="17"/>
      <c r="JX286" s="17"/>
      <c r="JY286" s="17"/>
      <c r="JZ286" s="17"/>
      <c r="KA286" s="17"/>
      <c r="KB286" s="17"/>
      <c r="KC286" s="17"/>
      <c r="KD286" s="17"/>
      <c r="KE286" s="17"/>
      <c r="KF286" s="17"/>
      <c r="KG286" s="17"/>
      <c r="KH286" s="17"/>
      <c r="KI286" s="17"/>
      <c r="KJ286" s="17"/>
      <c r="KK286" s="17"/>
      <c r="KL286" s="17"/>
      <c r="KM286" s="17"/>
      <c r="KN286" s="17"/>
      <c r="KO286" s="17"/>
      <c r="KP286" s="17"/>
      <c r="KQ286" s="17"/>
      <c r="KR286" s="17"/>
      <c r="KS286" s="17"/>
      <c r="KT286" s="17"/>
      <c r="KU286" s="17"/>
      <c r="KV286" s="17"/>
      <c r="KW286" s="17"/>
      <c r="KX286" s="17"/>
      <c r="KY286" s="17"/>
    </row>
    <row r="287" spans="1:311" x14ac:dyDescent="0.25">
      <c r="A287" s="17"/>
      <c r="B287" s="17"/>
      <c r="C287" s="17"/>
      <c r="D287" s="17"/>
      <c r="E287" s="17"/>
      <c r="F287" s="17"/>
      <c r="G287" s="17"/>
      <c r="H287" s="17"/>
      <c r="I287" s="17"/>
      <c r="J287" s="17"/>
      <c r="K287" s="17"/>
      <c r="L287" s="17"/>
      <c r="M287" s="17"/>
      <c r="N287" s="17"/>
      <c r="O287" s="17"/>
      <c r="P287" s="17"/>
      <c r="Q287" s="17"/>
      <c r="R287" s="17"/>
      <c r="S287" s="17"/>
      <c r="T287" s="17"/>
      <c r="U287" s="17"/>
      <c r="V287" s="17"/>
      <c r="W287" s="17"/>
      <c r="X287" s="17"/>
      <c r="Y287" s="17"/>
      <c r="Z287" s="17"/>
      <c r="AA287" s="17"/>
      <c r="AB287" s="17"/>
      <c r="AC287" s="17"/>
      <c r="AD287" s="17"/>
      <c r="AE287" s="17"/>
      <c r="AF287" s="17"/>
      <c r="AG287" s="17"/>
      <c r="AH287" s="17"/>
      <c r="AI287" s="17"/>
      <c r="AJ287" s="17"/>
      <c r="AK287" s="17"/>
      <c r="AL287" s="17"/>
      <c r="AM287" s="17"/>
      <c r="AN287" s="17"/>
      <c r="AO287" s="17"/>
      <c r="AP287" s="17"/>
      <c r="AQ287" s="17"/>
      <c r="AR287" s="17"/>
      <c r="AS287" s="17"/>
      <c r="AT287" s="17"/>
      <c r="AU287" s="17"/>
      <c r="AV287" s="17"/>
      <c r="AW287" s="17"/>
      <c r="AX287" s="17"/>
      <c r="AY287" s="17"/>
      <c r="AZ287" s="17"/>
      <c r="BA287" s="17"/>
      <c r="BB287" s="17"/>
      <c r="BC287" s="17"/>
      <c r="BD287" s="17"/>
      <c r="BE287" s="17"/>
      <c r="BF287" s="17"/>
      <c r="BG287" s="17"/>
      <c r="BH287" s="17"/>
      <c r="BI287" s="17"/>
      <c r="BJ287" s="17"/>
      <c r="BK287" s="17"/>
      <c r="BL287" s="17"/>
      <c r="BM287" s="17"/>
      <c r="BN287" s="17"/>
      <c r="BO287" s="17"/>
      <c r="BP287" s="17"/>
      <c r="BQ287" s="17"/>
      <c r="BR287" s="17"/>
      <c r="BS287" s="17"/>
      <c r="BT287" s="17"/>
      <c r="BU287" s="17"/>
      <c r="BV287" s="17"/>
      <c r="BW287" s="17"/>
      <c r="BX287" s="17"/>
      <c r="BY287" s="17"/>
      <c r="BZ287" s="17"/>
      <c r="CA287" s="17"/>
      <c r="CB287" s="17"/>
      <c r="CC287" s="17"/>
      <c r="CD287" s="17"/>
      <c r="CE287" s="17"/>
      <c r="CF287" s="17"/>
      <c r="CG287" s="17"/>
      <c r="CH287" s="17"/>
      <c r="CI287" s="17"/>
      <c r="CJ287" s="17"/>
      <c r="CK287" s="17"/>
      <c r="CL287" s="17"/>
      <c r="CM287" s="17"/>
      <c r="CN287" s="17"/>
      <c r="CO287" s="17"/>
      <c r="CP287" s="17"/>
      <c r="CQ287" s="17"/>
      <c r="CR287" s="17"/>
      <c r="CS287" s="17"/>
      <c r="CT287" s="17"/>
      <c r="CU287" s="17"/>
      <c r="CV287" s="17"/>
      <c r="CW287" s="17"/>
      <c r="CX287" s="17"/>
      <c r="CY287" s="17"/>
      <c r="CZ287" s="17"/>
      <c r="DA287" s="17"/>
      <c r="DB287" s="17"/>
      <c r="DC287" s="17"/>
      <c r="DD287" s="17"/>
      <c r="DE287" s="17"/>
      <c r="DF287" s="17"/>
      <c r="DG287" s="17"/>
      <c r="DH287" s="17"/>
      <c r="DI287" s="17"/>
      <c r="DJ287" s="17"/>
      <c r="DK287" s="17"/>
      <c r="DL287" s="17"/>
      <c r="DM287" s="17"/>
      <c r="DN287" s="17"/>
      <c r="DO287" s="17"/>
      <c r="DP287" s="17"/>
      <c r="DQ287" s="17"/>
      <c r="DR287" s="17"/>
      <c r="DS287" s="17"/>
      <c r="DT287" s="17"/>
      <c r="DU287" s="17"/>
      <c r="DV287" s="17"/>
      <c r="DW287" s="17"/>
      <c r="DX287" s="17"/>
      <c r="DY287" s="17"/>
      <c r="DZ287" s="17"/>
      <c r="EA287" s="17"/>
      <c r="EB287" s="17"/>
      <c r="EC287" s="17"/>
      <c r="ED287" s="17"/>
      <c r="EE287" s="17"/>
      <c r="EF287" s="17"/>
      <c r="EG287" s="17"/>
      <c r="EH287" s="17"/>
      <c r="EI287" s="17"/>
      <c r="EJ287" s="17"/>
      <c r="EK287" s="17"/>
      <c r="EL287" s="17"/>
      <c r="EM287" s="17"/>
      <c r="EN287" s="17"/>
      <c r="EO287" s="17"/>
      <c r="EP287" s="17"/>
      <c r="EQ287" s="17"/>
      <c r="ER287" s="17"/>
      <c r="ES287" s="17"/>
      <c r="ET287" s="17"/>
      <c r="EU287" s="17"/>
      <c r="EV287" s="17"/>
      <c r="EW287" s="17"/>
      <c r="EX287" s="17"/>
      <c r="EY287" s="17"/>
      <c r="EZ287" s="17"/>
      <c r="FA287" s="17"/>
      <c r="FB287" s="17"/>
      <c r="FC287" s="17"/>
      <c r="FD287" s="17"/>
      <c r="FE287" s="17"/>
      <c r="FF287" s="17"/>
      <c r="FG287" s="17"/>
      <c r="FH287" s="17"/>
      <c r="FI287" s="17"/>
      <c r="FJ287" s="17"/>
      <c r="FK287" s="17"/>
      <c r="FL287" s="17"/>
      <c r="FM287" s="17"/>
      <c r="FN287" s="17"/>
      <c r="FO287" s="17"/>
      <c r="FP287" s="17"/>
      <c r="FQ287" s="17"/>
      <c r="FR287" s="17"/>
      <c r="FS287" s="17"/>
      <c r="FT287" s="17"/>
      <c r="FU287" s="17"/>
      <c r="FV287" s="17"/>
      <c r="FW287" s="17"/>
      <c r="FX287" s="17"/>
      <c r="FY287" s="17"/>
      <c r="FZ287" s="17"/>
      <c r="GA287" s="17"/>
      <c r="GB287" s="17"/>
      <c r="GC287" s="17"/>
      <c r="GD287" s="17"/>
      <c r="GE287" s="17"/>
      <c r="GF287" s="17"/>
      <c r="GG287" s="17"/>
      <c r="GH287" s="17"/>
      <c r="GI287" s="17"/>
      <c r="GJ287" s="17"/>
      <c r="GK287" s="17"/>
      <c r="GL287" s="17"/>
      <c r="GM287" s="17"/>
      <c r="GN287" s="17"/>
      <c r="GO287" s="17"/>
      <c r="GP287" s="17"/>
      <c r="GQ287" s="17"/>
      <c r="GR287" s="17"/>
      <c r="GS287" s="17"/>
      <c r="GT287" s="17"/>
      <c r="GU287" s="17"/>
      <c r="GV287" s="17"/>
      <c r="GW287" s="17"/>
      <c r="GX287" s="17"/>
      <c r="GY287" s="17"/>
      <c r="GZ287" s="17"/>
      <c r="HA287" s="17"/>
      <c r="HB287" s="17"/>
      <c r="HC287" s="17"/>
      <c r="HD287" s="17"/>
      <c r="HE287" s="17"/>
      <c r="HF287" s="17"/>
      <c r="HG287" s="17"/>
      <c r="HH287" s="17"/>
      <c r="HI287" s="17"/>
      <c r="HJ287" s="17"/>
      <c r="HK287" s="17"/>
      <c r="HL287" s="17"/>
      <c r="HM287" s="17"/>
      <c r="HN287" s="17"/>
      <c r="HO287" s="17"/>
      <c r="HP287" s="17"/>
      <c r="HQ287" s="17"/>
      <c r="HR287" s="17"/>
      <c r="HS287" s="17"/>
      <c r="HT287" s="17"/>
      <c r="HU287" s="17"/>
      <c r="HV287" s="17"/>
      <c r="HW287" s="17"/>
      <c r="HX287" s="17"/>
      <c r="HY287" s="17"/>
      <c r="HZ287" s="17"/>
      <c r="IA287" s="17"/>
      <c r="IB287" s="17"/>
      <c r="IC287" s="17"/>
      <c r="ID287" s="17"/>
      <c r="IE287" s="17"/>
      <c r="IF287" s="17"/>
      <c r="IG287" s="17"/>
      <c r="IH287" s="17"/>
      <c r="II287" s="17"/>
      <c r="IJ287" s="17"/>
      <c r="IK287" s="17"/>
      <c r="IL287" s="17"/>
      <c r="IM287" s="17"/>
      <c r="IN287" s="17"/>
      <c r="IO287" s="17"/>
      <c r="IP287" s="17"/>
      <c r="IQ287" s="17"/>
      <c r="IR287" s="17"/>
      <c r="IS287" s="17"/>
      <c r="IT287" s="17"/>
      <c r="IU287" s="17"/>
      <c r="IV287" s="17"/>
      <c r="IW287" s="17"/>
      <c r="IX287" s="17"/>
      <c r="IY287" s="17"/>
      <c r="IZ287" s="17"/>
      <c r="JA287" s="17"/>
      <c r="JB287" s="17"/>
      <c r="JC287" s="17"/>
      <c r="JD287" s="17"/>
      <c r="JE287" s="17"/>
      <c r="JF287" s="17"/>
      <c r="JG287" s="17"/>
      <c r="JH287" s="17"/>
      <c r="JI287" s="17"/>
      <c r="JJ287" s="17"/>
      <c r="JK287" s="17"/>
      <c r="JL287" s="17"/>
      <c r="JM287" s="17"/>
      <c r="JN287" s="17"/>
      <c r="JO287" s="17"/>
      <c r="JP287" s="17"/>
      <c r="JQ287" s="17"/>
      <c r="JR287" s="17"/>
      <c r="JS287" s="17"/>
      <c r="JT287" s="17"/>
      <c r="JU287" s="17"/>
      <c r="JV287" s="17"/>
      <c r="JW287" s="17"/>
      <c r="JX287" s="17"/>
      <c r="JY287" s="17"/>
      <c r="JZ287" s="17"/>
      <c r="KA287" s="17"/>
      <c r="KB287" s="17"/>
      <c r="KC287" s="17"/>
      <c r="KD287" s="17"/>
      <c r="KE287" s="17"/>
      <c r="KF287" s="17"/>
      <c r="KG287" s="17"/>
      <c r="KH287" s="17"/>
      <c r="KI287" s="17"/>
      <c r="KJ287" s="17"/>
      <c r="KK287" s="17"/>
      <c r="KL287" s="17"/>
      <c r="KM287" s="17"/>
      <c r="KN287" s="17"/>
      <c r="KO287" s="17"/>
      <c r="KP287" s="17"/>
      <c r="KQ287" s="17"/>
      <c r="KR287" s="17"/>
      <c r="KS287" s="17"/>
      <c r="KT287" s="17"/>
      <c r="KU287" s="17"/>
      <c r="KV287" s="17"/>
      <c r="KW287" s="17"/>
      <c r="KX287" s="17"/>
      <c r="KY287" s="17"/>
    </row>
    <row r="288" spans="1:311" x14ac:dyDescent="0.25">
      <c r="A288" s="17"/>
      <c r="B288" s="17"/>
      <c r="C288" s="17"/>
      <c r="D288" s="17"/>
      <c r="E288" s="17"/>
      <c r="F288" s="17"/>
      <c r="G288" s="17"/>
      <c r="H288" s="17"/>
      <c r="I288" s="17"/>
      <c r="J288" s="17"/>
      <c r="K288" s="17"/>
      <c r="L288" s="17"/>
      <c r="M288" s="17"/>
      <c r="N288" s="17"/>
      <c r="O288" s="17"/>
      <c r="P288" s="17"/>
      <c r="Q288" s="17"/>
      <c r="R288" s="17"/>
      <c r="S288" s="17"/>
      <c r="T288" s="17"/>
      <c r="U288" s="17"/>
      <c r="V288" s="17"/>
      <c r="W288" s="17"/>
      <c r="X288" s="17"/>
      <c r="Y288" s="17"/>
      <c r="Z288" s="17"/>
      <c r="AA288" s="17"/>
      <c r="AB288" s="17"/>
      <c r="AC288" s="17"/>
      <c r="AD288" s="17"/>
      <c r="AE288" s="17"/>
      <c r="AF288" s="17"/>
      <c r="AG288" s="17"/>
      <c r="AH288" s="17"/>
      <c r="AI288" s="17"/>
      <c r="AJ288" s="17"/>
      <c r="AK288" s="17"/>
      <c r="AL288" s="17"/>
      <c r="AM288" s="17"/>
      <c r="AN288" s="17"/>
      <c r="AO288" s="17"/>
      <c r="AP288" s="17"/>
      <c r="AQ288" s="17"/>
      <c r="AR288" s="17"/>
      <c r="AS288" s="17"/>
      <c r="AT288" s="17"/>
      <c r="AU288" s="17"/>
      <c r="AV288" s="17"/>
      <c r="AW288" s="17"/>
      <c r="AX288" s="17"/>
      <c r="AY288" s="17"/>
      <c r="AZ288" s="17"/>
      <c r="BA288" s="17"/>
      <c r="BB288" s="17"/>
      <c r="BC288" s="17"/>
      <c r="BD288" s="17"/>
      <c r="BE288" s="17"/>
      <c r="BF288" s="17"/>
      <c r="BG288" s="17"/>
      <c r="BH288" s="17"/>
      <c r="BI288" s="17"/>
      <c r="BJ288" s="17"/>
      <c r="BK288" s="17"/>
      <c r="BL288" s="17"/>
      <c r="BM288" s="17"/>
      <c r="BN288" s="17"/>
      <c r="BO288" s="17"/>
      <c r="BP288" s="17"/>
      <c r="BQ288" s="17"/>
      <c r="BR288" s="17"/>
      <c r="BS288" s="17"/>
      <c r="BT288" s="17"/>
      <c r="BU288" s="17"/>
      <c r="BV288" s="17"/>
      <c r="BW288" s="17"/>
      <c r="BX288" s="17"/>
      <c r="BY288" s="17"/>
      <c r="BZ288" s="17"/>
      <c r="CA288" s="17"/>
      <c r="CB288" s="17"/>
      <c r="CC288" s="17"/>
      <c r="CD288" s="17"/>
      <c r="CE288" s="17"/>
      <c r="CF288" s="17"/>
      <c r="CG288" s="17"/>
      <c r="CH288" s="17"/>
      <c r="CI288" s="17"/>
      <c r="CJ288" s="17"/>
      <c r="CK288" s="17"/>
      <c r="CL288" s="17"/>
      <c r="CM288" s="17"/>
      <c r="CN288" s="17"/>
      <c r="CO288" s="17"/>
      <c r="CP288" s="17"/>
      <c r="CQ288" s="17"/>
      <c r="CR288" s="17"/>
      <c r="CS288" s="17"/>
      <c r="CT288" s="17"/>
      <c r="CU288" s="17"/>
      <c r="CV288" s="17"/>
      <c r="CW288" s="17"/>
      <c r="CX288" s="17"/>
      <c r="CY288" s="17"/>
      <c r="CZ288" s="17"/>
      <c r="DA288" s="17"/>
      <c r="DB288" s="17"/>
      <c r="DC288" s="17"/>
      <c r="DD288" s="17"/>
      <c r="DE288" s="17"/>
      <c r="DF288" s="17"/>
      <c r="DG288" s="17"/>
      <c r="DH288" s="17"/>
      <c r="DI288" s="17"/>
      <c r="DJ288" s="17"/>
      <c r="DK288" s="17"/>
      <c r="DL288" s="17"/>
      <c r="DM288" s="17"/>
      <c r="DN288" s="17"/>
      <c r="DO288" s="17"/>
      <c r="DP288" s="17"/>
      <c r="DQ288" s="17"/>
      <c r="DR288" s="17"/>
      <c r="DS288" s="17"/>
      <c r="DT288" s="17"/>
      <c r="DU288" s="17"/>
      <c r="DV288" s="17"/>
      <c r="DW288" s="17"/>
      <c r="DX288" s="17"/>
      <c r="DY288" s="17"/>
      <c r="DZ288" s="17"/>
      <c r="EA288" s="17"/>
      <c r="EB288" s="17"/>
      <c r="EC288" s="17"/>
      <c r="ED288" s="17"/>
      <c r="EE288" s="17"/>
      <c r="EF288" s="17"/>
      <c r="EG288" s="17"/>
      <c r="EH288" s="17"/>
      <c r="EI288" s="17"/>
      <c r="EJ288" s="17"/>
      <c r="EK288" s="17"/>
      <c r="EL288" s="17"/>
      <c r="EM288" s="17"/>
      <c r="EN288" s="17"/>
      <c r="EO288" s="17"/>
      <c r="EP288" s="17"/>
      <c r="EQ288" s="17"/>
      <c r="ER288" s="17"/>
      <c r="ES288" s="17"/>
      <c r="ET288" s="17"/>
      <c r="EU288" s="17"/>
      <c r="EV288" s="17"/>
      <c r="EW288" s="17"/>
      <c r="EX288" s="17"/>
      <c r="EY288" s="17"/>
      <c r="EZ288" s="17"/>
      <c r="FA288" s="17"/>
      <c r="FB288" s="17"/>
      <c r="FC288" s="17"/>
      <c r="FD288" s="17"/>
      <c r="FE288" s="17"/>
      <c r="FF288" s="17"/>
      <c r="FG288" s="17"/>
      <c r="FH288" s="17"/>
      <c r="FI288" s="17"/>
      <c r="FJ288" s="17"/>
      <c r="FK288" s="17"/>
      <c r="FL288" s="17"/>
      <c r="FM288" s="17"/>
      <c r="FN288" s="17"/>
      <c r="FO288" s="17"/>
      <c r="FP288" s="17"/>
      <c r="FQ288" s="17"/>
      <c r="FR288" s="17"/>
      <c r="FS288" s="17"/>
      <c r="FT288" s="17"/>
      <c r="FU288" s="17"/>
      <c r="FV288" s="17"/>
      <c r="FW288" s="17"/>
      <c r="FX288" s="17"/>
      <c r="FY288" s="17"/>
      <c r="FZ288" s="17"/>
      <c r="GA288" s="17"/>
      <c r="GB288" s="17"/>
      <c r="GC288" s="17"/>
      <c r="GD288" s="17"/>
      <c r="GE288" s="17"/>
      <c r="GF288" s="17"/>
      <c r="GG288" s="17"/>
      <c r="GH288" s="17"/>
      <c r="GI288" s="17"/>
      <c r="GJ288" s="17"/>
      <c r="GK288" s="17"/>
      <c r="GL288" s="17"/>
      <c r="GM288" s="17"/>
      <c r="GN288" s="17"/>
      <c r="GO288" s="17"/>
      <c r="GP288" s="17"/>
      <c r="GQ288" s="17"/>
      <c r="GR288" s="17"/>
      <c r="GS288" s="17"/>
      <c r="GT288" s="17"/>
      <c r="GU288" s="17"/>
      <c r="GV288" s="17"/>
      <c r="GW288" s="17"/>
      <c r="GX288" s="17"/>
      <c r="GY288" s="17"/>
      <c r="GZ288" s="17"/>
      <c r="HA288" s="17"/>
      <c r="HB288" s="17"/>
      <c r="HC288" s="17"/>
      <c r="HD288" s="17"/>
      <c r="HE288" s="17"/>
      <c r="HF288" s="17"/>
      <c r="HG288" s="17"/>
      <c r="HH288" s="17"/>
      <c r="HI288" s="17"/>
      <c r="HJ288" s="17"/>
      <c r="HK288" s="17"/>
      <c r="HL288" s="17"/>
      <c r="HM288" s="17"/>
      <c r="HN288" s="17"/>
      <c r="HO288" s="17"/>
      <c r="HP288" s="17"/>
      <c r="HQ288" s="17"/>
      <c r="HR288" s="17"/>
      <c r="HS288" s="17"/>
      <c r="HT288" s="17"/>
      <c r="HU288" s="17"/>
      <c r="HV288" s="17"/>
      <c r="HW288" s="17"/>
      <c r="HX288" s="17"/>
      <c r="HY288" s="17"/>
      <c r="HZ288" s="17"/>
      <c r="IA288" s="17"/>
      <c r="IB288" s="17"/>
      <c r="IC288" s="17"/>
      <c r="ID288" s="17"/>
      <c r="IE288" s="17"/>
      <c r="IF288" s="17"/>
      <c r="IG288" s="17"/>
      <c r="IH288" s="17"/>
      <c r="II288" s="17"/>
      <c r="IJ288" s="17"/>
      <c r="IK288" s="17"/>
      <c r="IL288" s="17"/>
      <c r="IM288" s="17"/>
      <c r="IN288" s="17"/>
      <c r="IO288" s="17"/>
      <c r="IP288" s="17"/>
      <c r="IQ288" s="17"/>
      <c r="IR288" s="17"/>
      <c r="IS288" s="17"/>
      <c r="IT288" s="17"/>
      <c r="IU288" s="17"/>
      <c r="IV288" s="17"/>
      <c r="IW288" s="17"/>
      <c r="IX288" s="17"/>
      <c r="IY288" s="17"/>
      <c r="IZ288" s="17"/>
      <c r="JA288" s="17"/>
      <c r="JB288" s="17"/>
      <c r="JC288" s="17"/>
      <c r="JD288" s="17"/>
      <c r="JE288" s="17"/>
      <c r="JF288" s="17"/>
      <c r="JG288" s="17"/>
      <c r="JH288" s="17"/>
      <c r="JI288" s="17"/>
      <c r="JJ288" s="17"/>
      <c r="JK288" s="17"/>
      <c r="JL288" s="17"/>
      <c r="JM288" s="17"/>
      <c r="JN288" s="17"/>
      <c r="JO288" s="17"/>
      <c r="JP288" s="17"/>
      <c r="JQ288" s="17"/>
      <c r="JR288" s="17"/>
      <c r="JS288" s="17"/>
      <c r="JT288" s="17"/>
      <c r="JU288" s="17"/>
      <c r="JV288" s="17"/>
      <c r="JW288" s="17"/>
      <c r="JX288" s="17"/>
      <c r="JY288" s="17"/>
      <c r="JZ288" s="17"/>
      <c r="KA288" s="17"/>
      <c r="KB288" s="17"/>
      <c r="KC288" s="17"/>
      <c r="KD288" s="17"/>
      <c r="KE288" s="17"/>
      <c r="KF288" s="17"/>
      <c r="KG288" s="17"/>
      <c r="KH288" s="17"/>
      <c r="KI288" s="17"/>
      <c r="KJ288" s="17"/>
      <c r="KK288" s="17"/>
      <c r="KL288" s="17"/>
      <c r="KM288" s="17"/>
      <c r="KN288" s="17"/>
      <c r="KO288" s="17"/>
      <c r="KP288" s="17"/>
      <c r="KQ288" s="17"/>
      <c r="KR288" s="17"/>
      <c r="KS288" s="17"/>
      <c r="KT288" s="17"/>
      <c r="KU288" s="17"/>
      <c r="KV288" s="17"/>
      <c r="KW288" s="17"/>
      <c r="KX288" s="17"/>
      <c r="KY288" s="17"/>
    </row>
    <row r="289" spans="1:311" x14ac:dyDescent="0.25">
      <c r="A289" s="17"/>
      <c r="B289" s="17"/>
      <c r="C289" s="17"/>
      <c r="D289" s="17"/>
      <c r="E289" s="17"/>
      <c r="F289" s="17"/>
      <c r="G289" s="17"/>
      <c r="H289" s="17"/>
      <c r="I289" s="17"/>
      <c r="J289" s="17"/>
      <c r="K289" s="17"/>
      <c r="L289" s="17"/>
      <c r="M289" s="17"/>
      <c r="N289" s="17"/>
      <c r="O289" s="17"/>
      <c r="P289" s="17"/>
      <c r="Q289" s="17"/>
      <c r="R289" s="17"/>
      <c r="S289" s="17"/>
      <c r="T289" s="17"/>
      <c r="U289" s="17"/>
      <c r="V289" s="17"/>
      <c r="W289" s="17"/>
      <c r="X289" s="17"/>
      <c r="Y289" s="17"/>
      <c r="Z289" s="17"/>
      <c r="AA289" s="17"/>
      <c r="AB289" s="17"/>
      <c r="AC289" s="17"/>
      <c r="AD289" s="17"/>
      <c r="AE289" s="17"/>
      <c r="AF289" s="17"/>
      <c r="AG289" s="17"/>
      <c r="AH289" s="17"/>
      <c r="AI289" s="17"/>
      <c r="AJ289" s="17"/>
      <c r="AK289" s="17"/>
      <c r="AL289" s="17"/>
      <c r="AM289" s="17"/>
      <c r="AN289" s="17"/>
      <c r="AO289" s="17"/>
      <c r="AP289" s="17"/>
      <c r="AQ289" s="17"/>
      <c r="AR289" s="17"/>
      <c r="AS289" s="17"/>
      <c r="AT289" s="17"/>
      <c r="AU289" s="17"/>
      <c r="AV289" s="17"/>
      <c r="AW289" s="17"/>
      <c r="AX289" s="17"/>
      <c r="AY289" s="17"/>
      <c r="AZ289" s="17"/>
      <c r="BA289" s="17"/>
      <c r="BB289" s="17"/>
      <c r="BC289" s="17"/>
      <c r="BD289" s="17"/>
      <c r="BE289" s="17"/>
      <c r="BF289" s="17"/>
      <c r="BG289" s="17"/>
      <c r="BH289" s="17"/>
      <c r="BI289" s="17"/>
      <c r="BJ289" s="17"/>
      <c r="BK289" s="17"/>
      <c r="BL289" s="17"/>
      <c r="BM289" s="17"/>
      <c r="BN289" s="17"/>
      <c r="BO289" s="17"/>
      <c r="BP289" s="17"/>
      <c r="BQ289" s="17"/>
      <c r="BR289" s="17"/>
      <c r="BS289" s="17"/>
      <c r="BT289" s="17"/>
      <c r="BU289" s="17"/>
      <c r="BV289" s="17"/>
      <c r="BW289" s="17"/>
      <c r="BX289" s="17"/>
      <c r="BY289" s="17"/>
      <c r="BZ289" s="17"/>
      <c r="CA289" s="17"/>
      <c r="CB289" s="17"/>
      <c r="CC289" s="17"/>
      <c r="CD289" s="17"/>
      <c r="CE289" s="17"/>
      <c r="CF289" s="17"/>
      <c r="CG289" s="17"/>
      <c r="CH289" s="17"/>
      <c r="CI289" s="17"/>
      <c r="CJ289" s="17"/>
      <c r="CK289" s="17"/>
      <c r="CL289" s="17"/>
      <c r="CM289" s="17"/>
      <c r="CN289" s="17"/>
      <c r="CO289" s="17"/>
      <c r="CP289" s="17"/>
      <c r="CQ289" s="17"/>
      <c r="CR289" s="17"/>
      <c r="CS289" s="17"/>
      <c r="CT289" s="17"/>
      <c r="CU289" s="17"/>
      <c r="CV289" s="17"/>
      <c r="CW289" s="17"/>
      <c r="CX289" s="17"/>
      <c r="CY289" s="17"/>
      <c r="CZ289" s="17"/>
      <c r="DA289" s="17"/>
      <c r="DB289" s="17"/>
      <c r="DC289" s="17"/>
      <c r="DD289" s="17"/>
      <c r="DE289" s="17"/>
      <c r="DF289" s="17"/>
      <c r="DG289" s="17"/>
      <c r="DH289" s="17"/>
      <c r="DI289" s="17"/>
      <c r="DJ289" s="17"/>
      <c r="DK289" s="17"/>
      <c r="DL289" s="17"/>
      <c r="DM289" s="17"/>
      <c r="DN289" s="17"/>
      <c r="DO289" s="17"/>
      <c r="DP289" s="17"/>
      <c r="DQ289" s="17"/>
      <c r="DR289" s="17"/>
      <c r="DS289" s="17"/>
      <c r="DT289" s="17"/>
      <c r="DU289" s="17"/>
      <c r="DV289" s="17"/>
      <c r="DW289" s="17"/>
      <c r="DX289" s="17"/>
      <c r="DY289" s="17"/>
      <c r="DZ289" s="17"/>
      <c r="EA289" s="17"/>
      <c r="EB289" s="17"/>
      <c r="EC289" s="17"/>
      <c r="ED289" s="17"/>
      <c r="EE289" s="17"/>
      <c r="EF289" s="17"/>
      <c r="EG289" s="17"/>
      <c r="EH289" s="17"/>
      <c r="EI289" s="17"/>
      <c r="EJ289" s="17"/>
      <c r="EK289" s="17"/>
      <c r="EL289" s="17"/>
      <c r="EM289" s="17"/>
      <c r="EN289" s="17"/>
      <c r="EO289" s="17"/>
      <c r="EP289" s="17"/>
      <c r="EQ289" s="17"/>
      <c r="ER289" s="17"/>
      <c r="ES289" s="17"/>
      <c r="ET289" s="17"/>
      <c r="EU289" s="17"/>
      <c r="EV289" s="17"/>
      <c r="EW289" s="17"/>
      <c r="EX289" s="17"/>
      <c r="EY289" s="17"/>
      <c r="EZ289" s="17"/>
      <c r="FA289" s="17"/>
      <c r="FB289" s="17"/>
      <c r="FC289" s="17"/>
      <c r="FD289" s="17"/>
      <c r="FE289" s="17"/>
      <c r="FF289" s="17"/>
      <c r="FG289" s="17"/>
      <c r="FH289" s="17"/>
      <c r="FI289" s="17"/>
      <c r="FJ289" s="17"/>
      <c r="FK289" s="17"/>
      <c r="FL289" s="17"/>
      <c r="FM289" s="17"/>
      <c r="FN289" s="17"/>
      <c r="FO289" s="17"/>
      <c r="FP289" s="17"/>
      <c r="FQ289" s="17"/>
      <c r="FR289" s="17"/>
      <c r="FS289" s="17"/>
      <c r="FT289" s="17"/>
      <c r="FU289" s="17"/>
      <c r="FV289" s="17"/>
      <c r="FW289" s="17"/>
      <c r="FX289" s="17"/>
      <c r="FY289" s="17"/>
      <c r="FZ289" s="17"/>
      <c r="GA289" s="17"/>
      <c r="GB289" s="17"/>
      <c r="GC289" s="17"/>
      <c r="GD289" s="17"/>
      <c r="GE289" s="17"/>
      <c r="GF289" s="17"/>
      <c r="GG289" s="17"/>
      <c r="GH289" s="17"/>
      <c r="GI289" s="17"/>
      <c r="GJ289" s="17"/>
      <c r="GK289" s="17"/>
      <c r="GL289" s="17"/>
      <c r="GM289" s="17"/>
      <c r="GN289" s="17"/>
      <c r="GO289" s="17"/>
      <c r="GP289" s="17"/>
      <c r="GQ289" s="17"/>
      <c r="GR289" s="17"/>
      <c r="GS289" s="17"/>
      <c r="GT289" s="17"/>
      <c r="GU289" s="17"/>
      <c r="GV289" s="17"/>
      <c r="GW289" s="17"/>
      <c r="GX289" s="17"/>
      <c r="GY289" s="17"/>
      <c r="GZ289" s="17"/>
      <c r="HA289" s="17"/>
      <c r="HB289" s="17"/>
      <c r="HC289" s="17"/>
      <c r="HD289" s="17"/>
      <c r="HE289" s="17"/>
      <c r="HF289" s="17"/>
      <c r="HG289" s="17"/>
      <c r="HH289" s="17"/>
      <c r="HI289" s="17"/>
      <c r="HJ289" s="17"/>
      <c r="HK289" s="17"/>
      <c r="HL289" s="17"/>
      <c r="HM289" s="17"/>
      <c r="HN289" s="17"/>
      <c r="HO289" s="17"/>
      <c r="HP289" s="17"/>
      <c r="HQ289" s="17"/>
      <c r="HR289" s="17"/>
      <c r="HS289" s="17"/>
      <c r="HT289" s="17"/>
      <c r="HU289" s="17"/>
      <c r="HV289" s="17"/>
      <c r="HW289" s="17"/>
      <c r="HX289" s="17"/>
      <c r="HY289" s="17"/>
      <c r="HZ289" s="17"/>
      <c r="IA289" s="17"/>
      <c r="IB289" s="17"/>
      <c r="IC289" s="17"/>
      <c r="ID289" s="17"/>
      <c r="IE289" s="17"/>
      <c r="IF289" s="17"/>
      <c r="IG289" s="17"/>
      <c r="IH289" s="17"/>
      <c r="II289" s="17"/>
      <c r="IJ289" s="17"/>
      <c r="IK289" s="17"/>
      <c r="IL289" s="17"/>
      <c r="IM289" s="17"/>
      <c r="IN289" s="17"/>
      <c r="IO289" s="17"/>
      <c r="IP289" s="17"/>
      <c r="IQ289" s="17"/>
      <c r="IR289" s="17"/>
      <c r="IS289" s="17"/>
      <c r="IT289" s="17"/>
      <c r="IU289" s="17"/>
      <c r="IV289" s="17"/>
      <c r="IW289" s="17"/>
      <c r="IX289" s="17"/>
      <c r="IY289" s="17"/>
      <c r="IZ289" s="17"/>
      <c r="JA289" s="17"/>
      <c r="JB289" s="17"/>
      <c r="JC289" s="17"/>
      <c r="JD289" s="17"/>
      <c r="JE289" s="17"/>
      <c r="JF289" s="17"/>
      <c r="JG289" s="17"/>
      <c r="JH289" s="17"/>
      <c r="JI289" s="17"/>
      <c r="JJ289" s="17"/>
      <c r="JK289" s="17"/>
      <c r="JL289" s="17"/>
      <c r="JM289" s="17"/>
      <c r="JN289" s="17"/>
      <c r="JO289" s="17"/>
      <c r="JP289" s="17"/>
      <c r="JQ289" s="17"/>
      <c r="JR289" s="17"/>
      <c r="JS289" s="17"/>
      <c r="JT289" s="17"/>
      <c r="JU289" s="17"/>
      <c r="JV289" s="17"/>
      <c r="JW289" s="17"/>
      <c r="JX289" s="17"/>
      <c r="JY289" s="17"/>
      <c r="JZ289" s="17"/>
      <c r="KA289" s="17"/>
      <c r="KB289" s="17"/>
      <c r="KC289" s="17"/>
      <c r="KD289" s="17"/>
      <c r="KE289" s="17"/>
      <c r="KF289" s="17"/>
      <c r="KG289" s="17"/>
      <c r="KH289" s="17"/>
      <c r="KI289" s="17"/>
      <c r="KJ289" s="17"/>
      <c r="KK289" s="17"/>
      <c r="KL289" s="17"/>
      <c r="KM289" s="17"/>
      <c r="KN289" s="17"/>
      <c r="KO289" s="17"/>
      <c r="KP289" s="17"/>
      <c r="KQ289" s="17"/>
      <c r="KR289" s="17"/>
      <c r="KS289" s="17"/>
      <c r="KT289" s="17"/>
      <c r="KU289" s="17"/>
      <c r="KV289" s="17"/>
      <c r="KW289" s="17"/>
      <c r="KX289" s="17"/>
      <c r="KY289" s="17"/>
    </row>
    <row r="290" spans="1:311" x14ac:dyDescent="0.25">
      <c r="A290" s="17"/>
      <c r="B290" s="17"/>
      <c r="C290" s="17"/>
      <c r="D290" s="17"/>
      <c r="E290" s="17"/>
      <c r="F290" s="17"/>
      <c r="G290" s="17"/>
      <c r="H290" s="17"/>
      <c r="I290" s="17"/>
      <c r="J290" s="17"/>
      <c r="K290" s="17"/>
      <c r="L290" s="17"/>
      <c r="M290" s="17"/>
      <c r="N290" s="17"/>
      <c r="O290" s="17"/>
      <c r="P290" s="17"/>
      <c r="Q290" s="17"/>
      <c r="R290" s="17"/>
      <c r="S290" s="17"/>
      <c r="T290" s="17"/>
      <c r="U290" s="17"/>
      <c r="V290" s="17"/>
      <c r="W290" s="17"/>
      <c r="X290" s="17"/>
      <c r="Y290" s="17"/>
      <c r="Z290" s="17"/>
      <c r="AA290" s="17"/>
      <c r="AB290" s="17"/>
      <c r="AC290" s="17"/>
      <c r="AD290" s="17"/>
      <c r="AE290" s="17"/>
      <c r="AF290" s="17"/>
      <c r="AG290" s="17"/>
      <c r="AH290" s="17"/>
      <c r="AI290" s="17"/>
      <c r="AJ290" s="17"/>
      <c r="AK290" s="17"/>
      <c r="AL290" s="17"/>
      <c r="AM290" s="17"/>
      <c r="AN290" s="17"/>
      <c r="AO290" s="17"/>
      <c r="AP290" s="17"/>
      <c r="AQ290" s="17"/>
      <c r="AR290" s="17"/>
      <c r="AS290" s="17"/>
      <c r="AT290" s="17"/>
      <c r="AU290" s="17"/>
      <c r="AV290" s="17"/>
      <c r="AW290" s="17"/>
      <c r="AX290" s="17"/>
      <c r="AY290" s="17"/>
      <c r="AZ290" s="17"/>
      <c r="BA290" s="17"/>
      <c r="BB290" s="17"/>
      <c r="BC290" s="17"/>
      <c r="BD290" s="17"/>
      <c r="BE290" s="17"/>
      <c r="BF290" s="17"/>
      <c r="BG290" s="17"/>
      <c r="BH290" s="17"/>
      <c r="BI290" s="17"/>
      <c r="BJ290" s="17"/>
      <c r="BK290" s="17"/>
      <c r="BL290" s="17"/>
      <c r="BM290" s="17"/>
      <c r="BN290" s="17"/>
      <c r="BO290" s="17"/>
      <c r="BP290" s="17"/>
      <c r="BQ290" s="17"/>
      <c r="BR290" s="17"/>
      <c r="BS290" s="17"/>
      <c r="BT290" s="17"/>
      <c r="BU290" s="17"/>
      <c r="BV290" s="17"/>
      <c r="BW290" s="17"/>
      <c r="BX290" s="17"/>
      <c r="BY290" s="17"/>
      <c r="BZ290" s="17"/>
      <c r="CA290" s="17"/>
      <c r="CB290" s="17"/>
      <c r="CC290" s="17"/>
      <c r="CD290" s="17"/>
      <c r="CE290" s="17"/>
      <c r="CF290" s="17"/>
      <c r="CG290" s="17"/>
      <c r="CH290" s="17"/>
      <c r="CI290" s="17"/>
      <c r="CJ290" s="17"/>
      <c r="CK290" s="17"/>
      <c r="CL290" s="17"/>
      <c r="CM290" s="17"/>
      <c r="CN290" s="17"/>
      <c r="CO290" s="17"/>
      <c r="CP290" s="17"/>
      <c r="CQ290" s="17"/>
      <c r="CR290" s="17"/>
      <c r="CS290" s="17"/>
      <c r="CT290" s="17"/>
      <c r="CU290" s="17"/>
      <c r="CV290" s="17"/>
      <c r="CW290" s="17"/>
      <c r="CX290" s="17"/>
      <c r="CY290" s="17"/>
      <c r="CZ290" s="17"/>
      <c r="DA290" s="17"/>
      <c r="DB290" s="17"/>
      <c r="DC290" s="17"/>
      <c r="DD290" s="17"/>
      <c r="DE290" s="17"/>
      <c r="DF290" s="17"/>
      <c r="DG290" s="17"/>
      <c r="DH290" s="17"/>
      <c r="DI290" s="17"/>
      <c r="DJ290" s="17"/>
      <c r="DK290" s="17"/>
      <c r="DL290" s="17"/>
      <c r="DM290" s="17"/>
      <c r="DN290" s="17"/>
      <c r="DO290" s="17"/>
      <c r="DP290" s="17"/>
      <c r="DQ290" s="17"/>
      <c r="DR290" s="17"/>
      <c r="DS290" s="17"/>
      <c r="DT290" s="17"/>
      <c r="DU290" s="17"/>
      <c r="DV290" s="17"/>
      <c r="DW290" s="17"/>
      <c r="DX290" s="17"/>
      <c r="DY290" s="17"/>
      <c r="DZ290" s="17"/>
      <c r="EA290" s="17"/>
      <c r="EB290" s="17"/>
      <c r="EC290" s="17"/>
      <c r="ED290" s="17"/>
      <c r="EE290" s="17"/>
      <c r="EF290" s="17"/>
      <c r="EG290" s="17"/>
      <c r="EH290" s="17"/>
      <c r="EI290" s="17"/>
      <c r="EJ290" s="17"/>
      <c r="EK290" s="17"/>
      <c r="EL290" s="17"/>
      <c r="EM290" s="17"/>
      <c r="EN290" s="17"/>
      <c r="EO290" s="17"/>
      <c r="EP290" s="17"/>
      <c r="EQ290" s="17"/>
      <c r="ER290" s="17"/>
      <c r="ES290" s="17"/>
      <c r="ET290" s="17"/>
      <c r="EU290" s="17"/>
      <c r="EV290" s="17"/>
      <c r="EW290" s="17"/>
      <c r="EX290" s="17"/>
      <c r="EY290" s="17"/>
      <c r="EZ290" s="17"/>
      <c r="FA290" s="17"/>
      <c r="FB290" s="17"/>
      <c r="FC290" s="17"/>
      <c r="FD290" s="17"/>
      <c r="FE290" s="17"/>
      <c r="FF290" s="17"/>
      <c r="FG290" s="17"/>
      <c r="FH290" s="17"/>
      <c r="FI290" s="17"/>
      <c r="FJ290" s="17"/>
      <c r="FK290" s="17"/>
      <c r="FL290" s="17"/>
      <c r="FM290" s="17"/>
      <c r="FN290" s="17"/>
      <c r="FO290" s="17"/>
      <c r="FP290" s="17"/>
      <c r="FQ290" s="17"/>
      <c r="FR290" s="17"/>
      <c r="FS290" s="17"/>
      <c r="FT290" s="17"/>
      <c r="FU290" s="17"/>
      <c r="FV290" s="17"/>
      <c r="FW290" s="17"/>
      <c r="FX290" s="17"/>
      <c r="FY290" s="17"/>
      <c r="FZ290" s="17"/>
      <c r="GA290" s="17"/>
      <c r="GB290" s="17"/>
      <c r="GC290" s="17"/>
      <c r="GD290" s="17"/>
      <c r="GE290" s="17"/>
      <c r="GF290" s="17"/>
      <c r="GG290" s="17"/>
      <c r="GH290" s="17"/>
      <c r="GI290" s="17"/>
      <c r="GJ290" s="17"/>
      <c r="GK290" s="17"/>
      <c r="GL290" s="17"/>
      <c r="GM290" s="17"/>
      <c r="GN290" s="17"/>
      <c r="GO290" s="17"/>
      <c r="GP290" s="17"/>
      <c r="GQ290" s="17"/>
      <c r="GR290" s="17"/>
      <c r="GS290" s="17"/>
      <c r="GT290" s="17"/>
      <c r="GU290" s="17"/>
      <c r="GV290" s="17"/>
      <c r="GW290" s="17"/>
      <c r="GX290" s="17"/>
      <c r="GY290" s="17"/>
      <c r="GZ290" s="17"/>
      <c r="HA290" s="17"/>
      <c r="HB290" s="17"/>
      <c r="HC290" s="17"/>
      <c r="HD290" s="17"/>
      <c r="HE290" s="17"/>
      <c r="HF290" s="17"/>
      <c r="HG290" s="17"/>
      <c r="HH290" s="17"/>
      <c r="HI290" s="17"/>
      <c r="HJ290" s="17"/>
      <c r="HK290" s="17"/>
      <c r="HL290" s="17"/>
      <c r="HM290" s="17"/>
      <c r="HN290" s="17"/>
      <c r="HO290" s="17"/>
      <c r="HP290" s="17"/>
      <c r="HQ290" s="17"/>
      <c r="HR290" s="17"/>
      <c r="HS290" s="17"/>
      <c r="HT290" s="17"/>
      <c r="HU290" s="17"/>
      <c r="HV290" s="17"/>
      <c r="HW290" s="17"/>
      <c r="HX290" s="17"/>
      <c r="HY290" s="17"/>
      <c r="HZ290" s="17"/>
      <c r="IA290" s="17"/>
      <c r="IB290" s="17"/>
      <c r="IC290" s="17"/>
      <c r="ID290" s="17"/>
      <c r="IE290" s="17"/>
      <c r="IF290" s="17"/>
      <c r="IG290" s="17"/>
      <c r="IH290" s="17"/>
      <c r="II290" s="17"/>
      <c r="IJ290" s="17"/>
      <c r="IK290" s="17"/>
      <c r="IL290" s="17"/>
      <c r="IM290" s="17"/>
      <c r="IN290" s="17"/>
      <c r="IO290" s="17"/>
      <c r="IP290" s="17"/>
      <c r="IQ290" s="17"/>
      <c r="IR290" s="17"/>
      <c r="IS290" s="17"/>
      <c r="IT290" s="17"/>
      <c r="IU290" s="17"/>
      <c r="IV290" s="17"/>
      <c r="IW290" s="17"/>
      <c r="IX290" s="17"/>
      <c r="IY290" s="17"/>
      <c r="IZ290" s="17"/>
      <c r="JA290" s="17"/>
      <c r="JB290" s="17"/>
      <c r="JC290" s="17"/>
      <c r="JD290" s="17"/>
      <c r="JE290" s="17"/>
      <c r="JF290" s="17"/>
      <c r="JG290" s="17"/>
      <c r="JH290" s="17"/>
      <c r="JI290" s="17"/>
      <c r="JJ290" s="17"/>
      <c r="JK290" s="17"/>
      <c r="JL290" s="17"/>
      <c r="JM290" s="17"/>
      <c r="JN290" s="17"/>
      <c r="JO290" s="17"/>
      <c r="JP290" s="17"/>
      <c r="JQ290" s="17"/>
      <c r="JR290" s="17"/>
      <c r="JS290" s="17"/>
      <c r="JT290" s="17"/>
      <c r="JU290" s="17"/>
      <c r="JV290" s="17"/>
      <c r="JW290" s="17"/>
      <c r="JX290" s="17"/>
      <c r="JY290" s="17"/>
      <c r="JZ290" s="17"/>
      <c r="KA290" s="17"/>
      <c r="KB290" s="17"/>
      <c r="KC290" s="17"/>
      <c r="KD290" s="17"/>
      <c r="KE290" s="17"/>
      <c r="KF290" s="17"/>
      <c r="KG290" s="17"/>
      <c r="KH290" s="17"/>
      <c r="KI290" s="17"/>
      <c r="KJ290" s="17"/>
      <c r="KK290" s="17"/>
      <c r="KL290" s="17"/>
      <c r="KM290" s="17"/>
      <c r="KN290" s="17"/>
      <c r="KO290" s="17"/>
      <c r="KP290" s="17"/>
      <c r="KQ290" s="17"/>
      <c r="KR290" s="17"/>
      <c r="KS290" s="17"/>
      <c r="KT290" s="17"/>
      <c r="KU290" s="17"/>
      <c r="KV290" s="17"/>
      <c r="KW290" s="17"/>
      <c r="KX290" s="17"/>
      <c r="KY290" s="17"/>
    </row>
    <row r="291" spans="1:311" x14ac:dyDescent="0.25">
      <c r="A291" s="17"/>
      <c r="B291" s="17"/>
      <c r="C291" s="17"/>
      <c r="D291" s="17"/>
      <c r="E291" s="17"/>
      <c r="F291" s="17"/>
      <c r="G291" s="17"/>
      <c r="H291" s="17"/>
      <c r="I291" s="17"/>
      <c r="J291" s="17"/>
      <c r="K291" s="17"/>
      <c r="L291" s="17"/>
      <c r="M291" s="17"/>
      <c r="N291" s="17"/>
      <c r="O291" s="17"/>
      <c r="P291" s="17"/>
      <c r="Q291" s="17"/>
      <c r="R291" s="17"/>
      <c r="S291" s="17"/>
      <c r="T291" s="17"/>
      <c r="U291" s="17"/>
      <c r="V291" s="17"/>
      <c r="W291" s="17"/>
      <c r="X291" s="17"/>
      <c r="Y291" s="17"/>
      <c r="Z291" s="17"/>
      <c r="AA291" s="17"/>
      <c r="AB291" s="17"/>
      <c r="AC291" s="17"/>
      <c r="AD291" s="17"/>
      <c r="AE291" s="17"/>
      <c r="AF291" s="17"/>
      <c r="AG291" s="17"/>
      <c r="AH291" s="17"/>
      <c r="AI291" s="17"/>
      <c r="AJ291" s="17"/>
      <c r="AK291" s="17"/>
      <c r="AL291" s="17"/>
      <c r="AM291" s="17"/>
      <c r="AN291" s="17"/>
      <c r="AO291" s="17"/>
      <c r="AP291" s="17"/>
      <c r="AQ291" s="17"/>
      <c r="AR291" s="17"/>
      <c r="AS291" s="17"/>
      <c r="AT291" s="17"/>
      <c r="AU291" s="17"/>
      <c r="AV291" s="17"/>
      <c r="AW291" s="17"/>
      <c r="AX291" s="17"/>
      <c r="AY291" s="17"/>
      <c r="AZ291" s="17"/>
      <c r="BA291" s="17"/>
      <c r="BB291" s="17"/>
      <c r="BC291" s="17"/>
      <c r="BD291" s="17"/>
      <c r="BE291" s="17"/>
      <c r="BF291" s="17"/>
      <c r="BG291" s="17"/>
      <c r="BH291" s="17"/>
      <c r="BI291" s="17"/>
      <c r="BJ291" s="17"/>
      <c r="BK291" s="17"/>
      <c r="BL291" s="17"/>
      <c r="BM291" s="17"/>
      <c r="BN291" s="17"/>
      <c r="BO291" s="17"/>
      <c r="BP291" s="17"/>
      <c r="BQ291" s="17"/>
      <c r="BR291" s="17"/>
      <c r="BS291" s="17"/>
      <c r="BT291" s="17"/>
      <c r="BU291" s="17"/>
      <c r="BV291" s="17"/>
      <c r="BW291" s="17"/>
      <c r="BX291" s="17"/>
      <c r="BY291" s="17"/>
      <c r="BZ291" s="17"/>
      <c r="CA291" s="17"/>
      <c r="CB291" s="17"/>
      <c r="CC291" s="17"/>
      <c r="CD291" s="17"/>
      <c r="CE291" s="17"/>
      <c r="CF291" s="17"/>
      <c r="CG291" s="17"/>
      <c r="CH291" s="17"/>
      <c r="CI291" s="17"/>
      <c r="CJ291" s="17"/>
      <c r="CK291" s="17"/>
      <c r="CL291" s="17"/>
      <c r="CM291" s="17"/>
      <c r="CN291" s="17"/>
      <c r="CO291" s="17"/>
      <c r="CP291" s="17"/>
      <c r="CQ291" s="17"/>
      <c r="CR291" s="17"/>
      <c r="CS291" s="17"/>
      <c r="CT291" s="17"/>
      <c r="CU291" s="17"/>
      <c r="CV291" s="17"/>
      <c r="CW291" s="17"/>
      <c r="CX291" s="17"/>
      <c r="CY291" s="17"/>
      <c r="CZ291" s="17"/>
      <c r="DA291" s="17"/>
      <c r="DB291" s="17"/>
      <c r="DC291" s="17"/>
      <c r="DD291" s="17"/>
      <c r="DE291" s="17"/>
      <c r="DF291" s="17"/>
      <c r="DG291" s="17"/>
      <c r="DH291" s="17"/>
      <c r="DI291" s="17"/>
      <c r="DJ291" s="17"/>
      <c r="DK291" s="17"/>
      <c r="DL291" s="17"/>
      <c r="DM291" s="17"/>
      <c r="DN291" s="17"/>
      <c r="DO291" s="17"/>
      <c r="DP291" s="17"/>
      <c r="DQ291" s="17"/>
      <c r="DR291" s="17"/>
      <c r="DS291" s="17"/>
      <c r="DT291" s="17"/>
      <c r="DU291" s="17"/>
      <c r="DV291" s="17"/>
      <c r="DW291" s="17"/>
      <c r="DX291" s="17"/>
      <c r="DY291" s="17"/>
      <c r="DZ291" s="17"/>
      <c r="EA291" s="17"/>
      <c r="EB291" s="17"/>
      <c r="EC291" s="17"/>
      <c r="ED291" s="17"/>
      <c r="EE291" s="17"/>
      <c r="EF291" s="17"/>
      <c r="EG291" s="17"/>
      <c r="EH291" s="17"/>
      <c r="EI291" s="17"/>
      <c r="EJ291" s="17"/>
      <c r="EK291" s="17"/>
      <c r="EL291" s="17"/>
      <c r="EM291" s="17"/>
      <c r="EN291" s="17"/>
      <c r="EO291" s="17"/>
      <c r="EP291" s="17"/>
      <c r="EQ291" s="17"/>
      <c r="ER291" s="17"/>
      <c r="ES291" s="17"/>
      <c r="ET291" s="17"/>
      <c r="EU291" s="17"/>
      <c r="EV291" s="17"/>
      <c r="EW291" s="17"/>
      <c r="EX291" s="17"/>
      <c r="EY291" s="17"/>
      <c r="EZ291" s="17"/>
      <c r="FA291" s="17"/>
      <c r="FB291" s="17"/>
      <c r="FC291" s="17"/>
      <c r="FD291" s="17"/>
      <c r="FE291" s="17"/>
      <c r="FF291" s="17"/>
      <c r="FG291" s="17"/>
      <c r="FH291" s="17"/>
      <c r="FI291" s="17"/>
      <c r="FJ291" s="17"/>
      <c r="FK291" s="17"/>
      <c r="FL291" s="17"/>
      <c r="FM291" s="17"/>
      <c r="FN291" s="17"/>
      <c r="FO291" s="17"/>
      <c r="FP291" s="17"/>
      <c r="FQ291" s="17"/>
      <c r="FR291" s="17"/>
      <c r="FS291" s="17"/>
      <c r="FT291" s="17"/>
      <c r="FU291" s="17"/>
      <c r="FV291" s="17"/>
      <c r="FW291" s="17"/>
      <c r="FX291" s="17"/>
      <c r="FY291" s="17"/>
      <c r="FZ291" s="17"/>
      <c r="GA291" s="17"/>
      <c r="GB291" s="17"/>
      <c r="GC291" s="17"/>
      <c r="GD291" s="17"/>
      <c r="GE291" s="17"/>
      <c r="GF291" s="17"/>
      <c r="GG291" s="17"/>
      <c r="GH291" s="17"/>
      <c r="GI291" s="17"/>
      <c r="GJ291" s="17"/>
      <c r="GK291" s="17"/>
      <c r="GL291" s="17"/>
      <c r="GM291" s="17"/>
      <c r="GN291" s="17"/>
      <c r="GO291" s="17"/>
      <c r="GP291" s="17"/>
      <c r="GQ291" s="17"/>
      <c r="GR291" s="17"/>
      <c r="GS291" s="17"/>
      <c r="GT291" s="17"/>
      <c r="GU291" s="17"/>
      <c r="GV291" s="17"/>
      <c r="GW291" s="17"/>
      <c r="GX291" s="17"/>
      <c r="GY291" s="17"/>
      <c r="GZ291" s="17"/>
      <c r="HA291" s="17"/>
      <c r="HB291" s="17"/>
      <c r="HC291" s="17"/>
      <c r="HD291" s="17"/>
      <c r="HE291" s="17"/>
      <c r="HF291" s="17"/>
      <c r="HG291" s="17"/>
      <c r="HH291" s="17"/>
      <c r="HI291" s="17"/>
      <c r="HJ291" s="17"/>
      <c r="HK291" s="17"/>
      <c r="HL291" s="17"/>
      <c r="HM291" s="17"/>
      <c r="HN291" s="17"/>
      <c r="HO291" s="17"/>
      <c r="HP291" s="17"/>
      <c r="HQ291" s="17"/>
      <c r="HR291" s="17"/>
      <c r="HS291" s="17"/>
      <c r="HT291" s="17"/>
      <c r="HU291" s="17"/>
      <c r="HV291" s="17"/>
      <c r="HW291" s="17"/>
      <c r="HX291" s="17"/>
      <c r="HY291" s="17"/>
      <c r="HZ291" s="17"/>
      <c r="IA291" s="17"/>
      <c r="IB291" s="17"/>
      <c r="IC291" s="17"/>
      <c r="ID291" s="17"/>
      <c r="IE291" s="17"/>
      <c r="IF291" s="17"/>
      <c r="IG291" s="17"/>
      <c r="IH291" s="17"/>
      <c r="II291" s="17"/>
      <c r="IJ291" s="17"/>
      <c r="IK291" s="17"/>
      <c r="IL291" s="17"/>
      <c r="IM291" s="17"/>
      <c r="IN291" s="17"/>
      <c r="IO291" s="17"/>
      <c r="IP291" s="17"/>
      <c r="IQ291" s="17"/>
      <c r="IR291" s="17"/>
      <c r="IS291" s="17"/>
      <c r="IT291" s="17"/>
      <c r="IU291" s="17"/>
      <c r="IV291" s="17"/>
      <c r="IW291" s="17"/>
      <c r="IX291" s="17"/>
      <c r="IY291" s="17"/>
      <c r="IZ291" s="17"/>
      <c r="JA291" s="17"/>
      <c r="JB291" s="17"/>
      <c r="JC291" s="17"/>
      <c r="JD291" s="17"/>
      <c r="JE291" s="17"/>
      <c r="JF291" s="17"/>
      <c r="JG291" s="17"/>
      <c r="JH291" s="17"/>
      <c r="JI291" s="17"/>
      <c r="JJ291" s="17"/>
      <c r="JK291" s="17"/>
      <c r="JL291" s="17"/>
      <c r="JM291" s="17"/>
      <c r="JN291" s="17"/>
      <c r="JO291" s="17"/>
      <c r="JP291" s="17"/>
      <c r="JQ291" s="17"/>
      <c r="JR291" s="17"/>
      <c r="JS291" s="17"/>
      <c r="JT291" s="17"/>
      <c r="JU291" s="17"/>
      <c r="JV291" s="17"/>
      <c r="JW291" s="17"/>
      <c r="JX291" s="17"/>
      <c r="JY291" s="17"/>
      <c r="JZ291" s="17"/>
      <c r="KA291" s="17"/>
      <c r="KB291" s="17"/>
      <c r="KC291" s="17"/>
      <c r="KD291" s="17"/>
      <c r="KE291" s="17"/>
      <c r="KF291" s="17"/>
      <c r="KG291" s="17"/>
      <c r="KH291" s="17"/>
      <c r="KI291" s="17"/>
      <c r="KJ291" s="17"/>
      <c r="KK291" s="17"/>
      <c r="KL291" s="17"/>
      <c r="KM291" s="17"/>
      <c r="KN291" s="17"/>
      <c r="KO291" s="17"/>
      <c r="KP291" s="17"/>
      <c r="KQ291" s="17"/>
      <c r="KR291" s="17"/>
      <c r="KS291" s="17"/>
      <c r="KT291" s="17"/>
      <c r="KU291" s="17"/>
      <c r="KV291" s="17"/>
      <c r="KW291" s="17"/>
      <c r="KX291" s="17"/>
      <c r="KY291" s="17"/>
    </row>
    <row r="292" spans="1:311" x14ac:dyDescent="0.25">
      <c r="A292" s="17"/>
      <c r="B292" s="17"/>
      <c r="C292" s="17"/>
      <c r="D292" s="17"/>
      <c r="E292" s="17"/>
      <c r="F292" s="17"/>
      <c r="G292" s="17"/>
      <c r="H292" s="17"/>
      <c r="I292" s="17"/>
      <c r="J292" s="17"/>
      <c r="K292" s="17"/>
      <c r="L292" s="17"/>
      <c r="M292" s="17"/>
      <c r="N292" s="17"/>
      <c r="O292" s="17"/>
      <c r="P292" s="17"/>
      <c r="Q292" s="17"/>
      <c r="R292" s="17"/>
      <c r="S292" s="17"/>
      <c r="T292" s="17"/>
      <c r="U292" s="17"/>
      <c r="V292" s="17"/>
      <c r="W292" s="17"/>
      <c r="X292" s="17"/>
      <c r="Y292" s="17"/>
      <c r="Z292" s="17"/>
      <c r="AA292" s="17"/>
      <c r="AB292" s="17"/>
      <c r="AC292" s="17"/>
      <c r="AD292" s="17"/>
      <c r="AE292" s="17"/>
      <c r="AF292" s="17"/>
      <c r="AG292" s="17"/>
      <c r="AH292" s="17"/>
      <c r="AI292" s="17"/>
      <c r="AJ292" s="17"/>
      <c r="AK292" s="17"/>
      <c r="AL292" s="17"/>
      <c r="AM292" s="17"/>
      <c r="AN292" s="17"/>
      <c r="AO292" s="17"/>
      <c r="AP292" s="17"/>
      <c r="AQ292" s="17"/>
      <c r="AR292" s="17"/>
      <c r="AS292" s="17"/>
      <c r="AT292" s="17"/>
      <c r="AU292" s="17"/>
      <c r="AV292" s="17"/>
      <c r="AW292" s="17"/>
      <c r="AX292" s="17"/>
      <c r="AY292" s="17"/>
      <c r="AZ292" s="17"/>
      <c r="BA292" s="17"/>
      <c r="BB292" s="17"/>
      <c r="BC292" s="17"/>
      <c r="BD292" s="17"/>
      <c r="BE292" s="17"/>
      <c r="BF292" s="17"/>
      <c r="BG292" s="17"/>
      <c r="BH292" s="17"/>
      <c r="BI292" s="17"/>
      <c r="BJ292" s="17"/>
      <c r="BK292" s="17"/>
      <c r="BL292" s="17"/>
      <c r="BM292" s="17"/>
      <c r="BN292" s="17"/>
      <c r="BO292" s="17"/>
      <c r="BP292" s="17"/>
      <c r="BQ292" s="17"/>
      <c r="BR292" s="17"/>
      <c r="BS292" s="17"/>
      <c r="BT292" s="17"/>
      <c r="BU292" s="17"/>
      <c r="BV292" s="17"/>
      <c r="BW292" s="17"/>
      <c r="BX292" s="17"/>
      <c r="BY292" s="17"/>
      <c r="BZ292" s="17"/>
      <c r="CA292" s="17"/>
      <c r="CB292" s="17"/>
      <c r="CC292" s="17"/>
      <c r="CD292" s="17"/>
      <c r="CE292" s="17"/>
      <c r="CF292" s="17"/>
      <c r="CG292" s="17"/>
      <c r="CH292" s="17"/>
      <c r="CI292" s="17"/>
      <c r="CJ292" s="17"/>
      <c r="CK292" s="17"/>
      <c r="CL292" s="17"/>
      <c r="CM292" s="17"/>
      <c r="CN292" s="17"/>
      <c r="CO292" s="17"/>
      <c r="CP292" s="17"/>
      <c r="CQ292" s="17"/>
      <c r="CR292" s="17"/>
      <c r="CS292" s="17"/>
      <c r="CT292" s="17"/>
      <c r="CU292" s="17"/>
      <c r="CV292" s="17"/>
      <c r="CW292" s="17"/>
      <c r="CX292" s="17"/>
      <c r="CY292" s="17"/>
      <c r="CZ292" s="17"/>
      <c r="DA292" s="17"/>
      <c r="DB292" s="17"/>
      <c r="DC292" s="17"/>
      <c r="DD292" s="17"/>
      <c r="DE292" s="17"/>
      <c r="DF292" s="17"/>
      <c r="DG292" s="17"/>
      <c r="DH292" s="17"/>
      <c r="DI292" s="17"/>
      <c r="DJ292" s="17"/>
      <c r="DK292" s="17"/>
      <c r="DL292" s="17"/>
      <c r="DM292" s="17"/>
      <c r="DN292" s="17"/>
      <c r="DO292" s="17"/>
      <c r="DP292" s="17"/>
      <c r="DQ292" s="17"/>
      <c r="DR292" s="17"/>
      <c r="DS292" s="17"/>
      <c r="DT292" s="17"/>
      <c r="DU292" s="17"/>
      <c r="DV292" s="17"/>
      <c r="DW292" s="17"/>
      <c r="DX292" s="17"/>
      <c r="DY292" s="17"/>
      <c r="DZ292" s="17"/>
      <c r="EA292" s="17"/>
      <c r="EB292" s="17"/>
      <c r="EC292" s="17"/>
      <c r="ED292" s="17"/>
      <c r="EE292" s="17"/>
      <c r="EF292" s="17"/>
      <c r="EG292" s="17"/>
      <c r="EH292" s="17"/>
      <c r="EI292" s="17"/>
      <c r="EJ292" s="17"/>
      <c r="EK292" s="17"/>
      <c r="EL292" s="17"/>
      <c r="EM292" s="17"/>
      <c r="EN292" s="17"/>
      <c r="EO292" s="17"/>
      <c r="EP292" s="17"/>
      <c r="EQ292" s="17"/>
      <c r="ER292" s="17"/>
      <c r="ES292" s="17"/>
      <c r="ET292" s="17"/>
      <c r="EU292" s="17"/>
      <c r="EV292" s="17"/>
      <c r="EW292" s="17"/>
      <c r="EX292" s="17"/>
      <c r="EY292" s="17"/>
      <c r="EZ292" s="17"/>
      <c r="FA292" s="17"/>
      <c r="FB292" s="17"/>
      <c r="FC292" s="17"/>
      <c r="FD292" s="17"/>
      <c r="FE292" s="17"/>
      <c r="FF292" s="17"/>
      <c r="FG292" s="17"/>
      <c r="FH292" s="17"/>
      <c r="FI292" s="17"/>
      <c r="FJ292" s="17"/>
      <c r="FK292" s="17"/>
      <c r="FL292" s="17"/>
      <c r="FM292" s="17"/>
      <c r="FN292" s="17"/>
      <c r="FO292" s="17"/>
      <c r="FP292" s="17"/>
      <c r="FQ292" s="17"/>
      <c r="FR292" s="17"/>
      <c r="FS292" s="17"/>
      <c r="FT292" s="17"/>
      <c r="FU292" s="17"/>
      <c r="FV292" s="17"/>
      <c r="FW292" s="17"/>
      <c r="FX292" s="17"/>
      <c r="FY292" s="17"/>
      <c r="FZ292" s="17"/>
      <c r="GA292" s="17"/>
      <c r="GB292" s="17"/>
      <c r="GC292" s="17"/>
      <c r="GD292" s="17"/>
      <c r="GE292" s="17"/>
      <c r="GF292" s="17"/>
      <c r="GG292" s="17"/>
      <c r="GH292" s="17"/>
      <c r="GI292" s="17"/>
      <c r="GJ292" s="17"/>
      <c r="GK292" s="17"/>
      <c r="GL292" s="17"/>
      <c r="GM292" s="17"/>
      <c r="GN292" s="17"/>
      <c r="GO292" s="17"/>
      <c r="GP292" s="17"/>
      <c r="GQ292" s="17"/>
      <c r="GR292" s="17"/>
      <c r="GS292" s="17"/>
      <c r="GT292" s="17"/>
      <c r="GU292" s="17"/>
      <c r="GV292" s="17"/>
      <c r="GW292" s="17"/>
      <c r="GX292" s="17"/>
      <c r="GY292" s="17"/>
      <c r="GZ292" s="17"/>
      <c r="HA292" s="17"/>
      <c r="HB292" s="17"/>
      <c r="HC292" s="17"/>
      <c r="HD292" s="17"/>
      <c r="HE292" s="17"/>
      <c r="HF292" s="17"/>
      <c r="HG292" s="17"/>
      <c r="HH292" s="17"/>
      <c r="HI292" s="17"/>
      <c r="HJ292" s="17"/>
      <c r="HK292" s="17"/>
      <c r="HL292" s="17"/>
      <c r="HM292" s="17"/>
      <c r="HN292" s="17"/>
      <c r="HO292" s="17"/>
      <c r="HP292" s="17"/>
      <c r="HQ292" s="17"/>
      <c r="HR292" s="17"/>
      <c r="HS292" s="17"/>
      <c r="HT292" s="17"/>
      <c r="HU292" s="17"/>
      <c r="HV292" s="17"/>
      <c r="HW292" s="17"/>
      <c r="HX292" s="17"/>
      <c r="HY292" s="17"/>
      <c r="HZ292" s="17"/>
      <c r="IA292" s="17"/>
      <c r="IB292" s="17"/>
      <c r="IC292" s="17"/>
      <c r="ID292" s="17"/>
      <c r="IE292" s="17"/>
      <c r="IF292" s="17"/>
      <c r="IG292" s="17"/>
      <c r="IH292" s="17"/>
      <c r="II292" s="17"/>
      <c r="IJ292" s="17"/>
      <c r="IK292" s="17"/>
      <c r="IL292" s="17"/>
      <c r="IM292" s="17"/>
      <c r="IN292" s="17"/>
      <c r="IO292" s="17"/>
      <c r="IP292" s="17"/>
      <c r="IQ292" s="17"/>
      <c r="IR292" s="17"/>
      <c r="IS292" s="17"/>
      <c r="IT292" s="17"/>
      <c r="IU292" s="17"/>
      <c r="IV292" s="17"/>
      <c r="IW292" s="17"/>
      <c r="IX292" s="17"/>
      <c r="IY292" s="17"/>
      <c r="IZ292" s="17"/>
      <c r="JA292" s="17"/>
      <c r="JB292" s="17"/>
      <c r="JC292" s="17"/>
      <c r="JD292" s="17"/>
      <c r="JE292" s="17"/>
      <c r="JF292" s="17"/>
      <c r="JG292" s="17"/>
      <c r="JH292" s="17"/>
      <c r="JI292" s="17"/>
      <c r="JJ292" s="17"/>
      <c r="JK292" s="17"/>
      <c r="JL292" s="17"/>
      <c r="JM292" s="17"/>
      <c r="JN292" s="17"/>
      <c r="JO292" s="17"/>
      <c r="JP292" s="17"/>
      <c r="JQ292" s="17"/>
      <c r="JR292" s="17"/>
      <c r="JS292" s="17"/>
      <c r="JT292" s="17"/>
      <c r="JU292" s="17"/>
      <c r="JV292" s="17"/>
      <c r="JW292" s="17"/>
      <c r="JX292" s="17"/>
      <c r="JY292" s="17"/>
      <c r="JZ292" s="17"/>
      <c r="KA292" s="17"/>
      <c r="KB292" s="17"/>
      <c r="KC292" s="17"/>
      <c r="KD292" s="17"/>
      <c r="KE292" s="17"/>
      <c r="KF292" s="17"/>
      <c r="KG292" s="17"/>
      <c r="KH292" s="17"/>
      <c r="KI292" s="17"/>
      <c r="KJ292" s="17"/>
      <c r="KK292" s="17"/>
      <c r="KL292" s="17"/>
      <c r="KM292" s="17"/>
      <c r="KN292" s="17"/>
      <c r="KO292" s="17"/>
      <c r="KP292" s="17"/>
      <c r="KQ292" s="17"/>
      <c r="KR292" s="17"/>
      <c r="KS292" s="17"/>
      <c r="KT292" s="17"/>
      <c r="KU292" s="17"/>
      <c r="KV292" s="17"/>
      <c r="KW292" s="17"/>
      <c r="KX292" s="17"/>
      <c r="KY292" s="17"/>
    </row>
    <row r="293" spans="1:311" x14ac:dyDescent="0.25">
      <c r="A293" s="17"/>
      <c r="B293" s="17"/>
      <c r="C293" s="17"/>
      <c r="D293" s="17"/>
      <c r="E293" s="17"/>
      <c r="F293" s="17"/>
      <c r="G293" s="17"/>
      <c r="H293" s="17"/>
      <c r="I293" s="17"/>
      <c r="J293" s="17"/>
      <c r="K293" s="17"/>
      <c r="L293" s="17"/>
      <c r="M293" s="17"/>
      <c r="N293" s="17"/>
      <c r="O293" s="17"/>
      <c r="P293" s="17"/>
      <c r="Q293" s="17"/>
      <c r="R293" s="17"/>
      <c r="S293" s="17"/>
      <c r="T293" s="17"/>
      <c r="U293" s="17"/>
      <c r="V293" s="17"/>
      <c r="W293" s="17"/>
      <c r="X293" s="17"/>
      <c r="Y293" s="17"/>
      <c r="Z293" s="17"/>
      <c r="AA293" s="17"/>
      <c r="AB293" s="17"/>
      <c r="AC293" s="17"/>
      <c r="AD293" s="17"/>
      <c r="AE293" s="17"/>
      <c r="AF293" s="17"/>
      <c r="AG293" s="17"/>
      <c r="AH293" s="17"/>
      <c r="AI293" s="17"/>
      <c r="AJ293" s="17"/>
      <c r="AK293" s="17"/>
      <c r="AL293" s="17"/>
      <c r="AM293" s="17"/>
      <c r="AN293" s="17"/>
      <c r="AO293" s="17"/>
      <c r="AP293" s="17"/>
      <c r="AQ293" s="17"/>
      <c r="AR293" s="17"/>
      <c r="AS293" s="17"/>
      <c r="AT293" s="17"/>
      <c r="AU293" s="17"/>
      <c r="AV293" s="17"/>
      <c r="AW293" s="17"/>
      <c r="AX293" s="17"/>
      <c r="AY293" s="17"/>
      <c r="AZ293" s="17"/>
      <c r="BA293" s="17"/>
      <c r="BB293" s="17"/>
      <c r="BC293" s="17"/>
      <c r="BD293" s="17"/>
      <c r="BE293" s="17"/>
      <c r="BF293" s="17"/>
      <c r="BG293" s="17"/>
      <c r="BH293" s="17"/>
      <c r="BI293" s="17"/>
      <c r="BJ293" s="17"/>
      <c r="BK293" s="17"/>
      <c r="BL293" s="17"/>
      <c r="BM293" s="17"/>
      <c r="BN293" s="17"/>
      <c r="BO293" s="17"/>
      <c r="BP293" s="17"/>
      <c r="BQ293" s="17"/>
      <c r="BR293" s="17"/>
      <c r="BS293" s="17"/>
      <c r="BT293" s="17"/>
      <c r="BU293" s="17"/>
      <c r="BV293" s="17"/>
      <c r="BW293" s="17"/>
      <c r="BX293" s="17"/>
      <c r="BY293" s="17"/>
      <c r="BZ293" s="17"/>
      <c r="CA293" s="17"/>
      <c r="CB293" s="17"/>
      <c r="CC293" s="17"/>
      <c r="CD293" s="17"/>
      <c r="CE293" s="17"/>
      <c r="CF293" s="17"/>
      <c r="CG293" s="17"/>
      <c r="CH293" s="17"/>
      <c r="CI293" s="17"/>
      <c r="CJ293" s="17"/>
      <c r="CK293" s="17"/>
      <c r="CL293" s="17"/>
      <c r="CM293" s="17"/>
      <c r="CN293" s="17"/>
      <c r="CO293" s="17"/>
      <c r="CP293" s="17"/>
      <c r="CQ293" s="17"/>
      <c r="CR293" s="17"/>
      <c r="CS293" s="17"/>
      <c r="CT293" s="17"/>
      <c r="CU293" s="17"/>
      <c r="CV293" s="17"/>
      <c r="CW293" s="17"/>
      <c r="CX293" s="17"/>
      <c r="CY293" s="17"/>
      <c r="CZ293" s="17"/>
      <c r="DA293" s="17"/>
      <c r="DB293" s="17"/>
      <c r="DC293" s="17"/>
      <c r="DD293" s="17"/>
      <c r="DE293" s="17"/>
      <c r="DF293" s="17"/>
      <c r="DG293" s="17"/>
      <c r="DH293" s="17"/>
      <c r="DI293" s="17"/>
      <c r="DJ293" s="17"/>
      <c r="DK293" s="17"/>
      <c r="DL293" s="17"/>
      <c r="DM293" s="17"/>
      <c r="DN293" s="17"/>
      <c r="DO293" s="17"/>
      <c r="DP293" s="17"/>
      <c r="DQ293" s="17"/>
      <c r="DR293" s="17"/>
      <c r="DS293" s="17"/>
      <c r="DT293" s="17"/>
      <c r="DU293" s="17"/>
      <c r="DV293" s="17"/>
      <c r="DW293" s="17"/>
      <c r="DX293" s="17"/>
      <c r="DY293" s="17"/>
      <c r="DZ293" s="17"/>
      <c r="EA293" s="17"/>
      <c r="EB293" s="17"/>
      <c r="EC293" s="17"/>
      <c r="ED293" s="17"/>
      <c r="EE293" s="17"/>
      <c r="EF293" s="17"/>
      <c r="EG293" s="17"/>
      <c r="EH293" s="17"/>
      <c r="EI293" s="17"/>
      <c r="EJ293" s="17"/>
      <c r="EK293" s="17"/>
      <c r="EL293" s="17"/>
      <c r="EM293" s="17"/>
      <c r="EN293" s="17"/>
      <c r="EO293" s="17"/>
      <c r="EP293" s="17"/>
      <c r="EQ293" s="17"/>
      <c r="ER293" s="17"/>
      <c r="ES293" s="17"/>
      <c r="ET293" s="17"/>
      <c r="EU293" s="17"/>
      <c r="EV293" s="17"/>
      <c r="EW293" s="17"/>
      <c r="EX293" s="17"/>
      <c r="EY293" s="17"/>
      <c r="EZ293" s="17"/>
      <c r="FA293" s="17"/>
      <c r="FB293" s="17"/>
      <c r="FC293" s="17"/>
      <c r="FD293" s="17"/>
      <c r="FE293" s="17"/>
      <c r="FF293" s="17"/>
      <c r="FG293" s="17"/>
      <c r="FH293" s="17"/>
      <c r="FI293" s="17"/>
      <c r="FJ293" s="17"/>
      <c r="FK293" s="17"/>
      <c r="FL293" s="17"/>
      <c r="FM293" s="17"/>
      <c r="FN293" s="17"/>
      <c r="FO293" s="17"/>
      <c r="FP293" s="17"/>
      <c r="FQ293" s="17"/>
      <c r="FR293" s="17"/>
      <c r="FS293" s="17"/>
      <c r="FT293" s="17"/>
      <c r="FU293" s="17"/>
      <c r="FV293" s="17"/>
      <c r="FW293" s="17"/>
      <c r="FX293" s="17"/>
      <c r="FY293" s="17"/>
      <c r="FZ293" s="17"/>
      <c r="GA293" s="17"/>
      <c r="GB293" s="17"/>
      <c r="GC293" s="17"/>
      <c r="GD293" s="17"/>
      <c r="GE293" s="17"/>
      <c r="GF293" s="17"/>
      <c r="GG293" s="17"/>
      <c r="GH293" s="17"/>
      <c r="GI293" s="17"/>
      <c r="GJ293" s="17"/>
      <c r="GK293" s="17"/>
      <c r="GL293" s="17"/>
      <c r="GM293" s="17"/>
      <c r="GN293" s="17"/>
      <c r="GO293" s="17"/>
      <c r="GP293" s="17"/>
      <c r="GQ293" s="17"/>
      <c r="GR293" s="17"/>
      <c r="GS293" s="17"/>
      <c r="GT293" s="17"/>
      <c r="GU293" s="17"/>
      <c r="GV293" s="17"/>
      <c r="GW293" s="17"/>
      <c r="GX293" s="17"/>
      <c r="GY293" s="17"/>
      <c r="GZ293" s="17"/>
      <c r="HA293" s="17"/>
      <c r="HB293" s="17"/>
      <c r="HC293" s="17"/>
      <c r="HD293" s="17"/>
      <c r="HE293" s="17"/>
      <c r="HF293" s="17"/>
      <c r="HG293" s="17"/>
      <c r="HH293" s="17"/>
      <c r="HI293" s="17"/>
      <c r="HJ293" s="17"/>
      <c r="HK293" s="17"/>
      <c r="HL293" s="17"/>
      <c r="HM293" s="17"/>
      <c r="HN293" s="17"/>
      <c r="HO293" s="17"/>
      <c r="HP293" s="17"/>
      <c r="HQ293" s="17"/>
      <c r="HR293" s="17"/>
      <c r="HS293" s="17"/>
      <c r="HT293" s="17"/>
      <c r="HU293" s="17"/>
      <c r="HV293" s="17"/>
      <c r="HW293" s="17"/>
      <c r="HX293" s="17"/>
      <c r="HY293" s="17"/>
      <c r="HZ293" s="17"/>
      <c r="IA293" s="17"/>
      <c r="IB293" s="17"/>
      <c r="IC293" s="17"/>
      <c r="ID293" s="17"/>
      <c r="IE293" s="17"/>
      <c r="IF293" s="17"/>
      <c r="IG293" s="17"/>
      <c r="IH293" s="17"/>
      <c r="II293" s="17"/>
      <c r="IJ293" s="17"/>
      <c r="IK293" s="17"/>
      <c r="IL293" s="17"/>
      <c r="IM293" s="17"/>
      <c r="IN293" s="17"/>
      <c r="IO293" s="17"/>
      <c r="IP293" s="17"/>
      <c r="IQ293" s="17"/>
      <c r="IR293" s="17"/>
      <c r="IS293" s="17"/>
      <c r="IT293" s="17"/>
      <c r="IU293" s="17"/>
      <c r="IV293" s="17"/>
      <c r="IW293" s="17"/>
      <c r="IX293" s="17"/>
      <c r="IY293" s="17"/>
      <c r="IZ293" s="17"/>
      <c r="JA293" s="17"/>
      <c r="JB293" s="17"/>
      <c r="JC293" s="17"/>
      <c r="JD293" s="17"/>
      <c r="JE293" s="17"/>
      <c r="JF293" s="17"/>
      <c r="JG293" s="17"/>
      <c r="JH293" s="17"/>
      <c r="JI293" s="17"/>
      <c r="JJ293" s="17"/>
      <c r="JK293" s="17"/>
      <c r="JL293" s="17"/>
      <c r="JM293" s="17"/>
      <c r="JN293" s="17"/>
      <c r="JO293" s="17"/>
      <c r="JP293" s="17"/>
      <c r="JQ293" s="17"/>
      <c r="JR293" s="17"/>
      <c r="JS293" s="17"/>
      <c r="JT293" s="17"/>
      <c r="JU293" s="17"/>
      <c r="JV293" s="17"/>
      <c r="JW293" s="17"/>
      <c r="JX293" s="17"/>
      <c r="JY293" s="17"/>
      <c r="JZ293" s="17"/>
      <c r="KA293" s="17"/>
      <c r="KB293" s="17"/>
      <c r="KC293" s="17"/>
      <c r="KD293" s="17"/>
      <c r="KE293" s="17"/>
      <c r="KF293" s="17"/>
      <c r="KG293" s="17"/>
      <c r="KH293" s="17"/>
      <c r="KI293" s="17"/>
      <c r="KJ293" s="17"/>
      <c r="KK293" s="17"/>
      <c r="KL293" s="17"/>
      <c r="KM293" s="17"/>
      <c r="KN293" s="17"/>
      <c r="KO293" s="17"/>
      <c r="KP293" s="17"/>
      <c r="KQ293" s="17"/>
      <c r="KR293" s="17"/>
      <c r="KS293" s="17"/>
      <c r="KT293" s="17"/>
      <c r="KU293" s="17"/>
      <c r="KV293" s="17"/>
      <c r="KW293" s="17"/>
      <c r="KX293" s="17"/>
      <c r="KY293" s="17"/>
    </row>
    <row r="294" spans="1:311" x14ac:dyDescent="0.25">
      <c r="A294" s="17"/>
      <c r="B294" s="17"/>
      <c r="C294" s="17"/>
      <c r="D294" s="17"/>
      <c r="E294" s="17"/>
      <c r="F294" s="17"/>
      <c r="G294" s="17"/>
      <c r="H294" s="17"/>
      <c r="I294" s="17"/>
      <c r="J294" s="17"/>
      <c r="K294" s="17"/>
      <c r="L294" s="17"/>
      <c r="M294" s="17"/>
      <c r="N294" s="17"/>
      <c r="O294" s="17"/>
      <c r="P294" s="17"/>
      <c r="Q294" s="17"/>
      <c r="R294" s="17"/>
      <c r="S294" s="17"/>
      <c r="T294" s="17"/>
      <c r="U294" s="17"/>
      <c r="V294" s="17"/>
      <c r="W294" s="17"/>
      <c r="X294" s="17"/>
      <c r="Y294" s="17"/>
      <c r="Z294" s="17"/>
      <c r="AA294" s="17"/>
      <c r="AB294" s="17"/>
      <c r="AC294" s="17"/>
      <c r="AD294" s="17"/>
      <c r="AE294" s="17"/>
      <c r="AF294" s="17"/>
      <c r="AG294" s="17"/>
      <c r="AH294" s="17"/>
      <c r="AI294" s="17"/>
      <c r="AJ294" s="17"/>
      <c r="AK294" s="17"/>
      <c r="AL294" s="17"/>
      <c r="AM294" s="17"/>
      <c r="AN294" s="17"/>
      <c r="AO294" s="17"/>
      <c r="AP294" s="17"/>
      <c r="AQ294" s="17"/>
      <c r="AR294" s="17"/>
      <c r="AS294" s="17"/>
      <c r="AT294" s="17"/>
      <c r="AU294" s="17"/>
      <c r="AV294" s="17"/>
      <c r="AW294" s="17"/>
      <c r="AX294" s="17"/>
      <c r="AY294" s="17"/>
      <c r="AZ294" s="17"/>
      <c r="BA294" s="17"/>
      <c r="BB294" s="17"/>
      <c r="BC294" s="17"/>
      <c r="BD294" s="17"/>
      <c r="BE294" s="17"/>
      <c r="BF294" s="17"/>
      <c r="BG294" s="17"/>
      <c r="BH294" s="17"/>
      <c r="BI294" s="17"/>
      <c r="BJ294" s="17"/>
      <c r="BK294" s="17"/>
      <c r="BL294" s="17"/>
      <c r="BM294" s="17"/>
      <c r="BN294" s="17"/>
      <c r="BO294" s="17"/>
      <c r="BP294" s="17"/>
      <c r="BQ294" s="17"/>
      <c r="BR294" s="17"/>
      <c r="BS294" s="17"/>
      <c r="BT294" s="17"/>
      <c r="BU294" s="17"/>
      <c r="BV294" s="17"/>
      <c r="BW294" s="17"/>
      <c r="BX294" s="17"/>
      <c r="BY294" s="17"/>
      <c r="BZ294" s="17"/>
      <c r="CA294" s="17"/>
      <c r="CB294" s="17"/>
      <c r="CC294" s="17"/>
      <c r="CD294" s="17"/>
      <c r="CE294" s="17"/>
      <c r="CF294" s="17"/>
      <c r="CG294" s="17"/>
      <c r="CH294" s="17"/>
      <c r="CI294" s="17"/>
      <c r="CJ294" s="17"/>
      <c r="CK294" s="17"/>
      <c r="CL294" s="17"/>
      <c r="CM294" s="17"/>
      <c r="CN294" s="17"/>
      <c r="CO294" s="17"/>
      <c r="CP294" s="17"/>
      <c r="CQ294" s="17"/>
      <c r="CR294" s="17"/>
      <c r="CS294" s="17"/>
      <c r="CT294" s="17"/>
      <c r="CU294" s="17"/>
      <c r="CV294" s="17"/>
      <c r="CW294" s="17"/>
      <c r="CX294" s="17"/>
      <c r="CY294" s="17"/>
      <c r="CZ294" s="17"/>
      <c r="DA294" s="17"/>
      <c r="DB294" s="17"/>
      <c r="DC294" s="17"/>
      <c r="DD294" s="17"/>
      <c r="DE294" s="17"/>
      <c r="DF294" s="17"/>
      <c r="DG294" s="17"/>
      <c r="DH294" s="17"/>
      <c r="DI294" s="17"/>
      <c r="DJ294" s="17"/>
      <c r="DK294" s="17"/>
      <c r="DL294" s="17"/>
      <c r="DM294" s="17"/>
      <c r="DN294" s="17"/>
      <c r="DO294" s="17"/>
      <c r="DP294" s="17"/>
      <c r="DQ294" s="17"/>
      <c r="DR294" s="17"/>
      <c r="DS294" s="17"/>
      <c r="DT294" s="17"/>
      <c r="DU294" s="17"/>
      <c r="DV294" s="17"/>
      <c r="DW294" s="17"/>
      <c r="DX294" s="17"/>
      <c r="DY294" s="17"/>
      <c r="DZ294" s="17"/>
      <c r="EA294" s="17"/>
      <c r="EB294" s="17"/>
      <c r="EC294" s="17"/>
      <c r="ED294" s="17"/>
      <c r="EE294" s="17"/>
      <c r="EF294" s="17"/>
      <c r="EG294" s="17"/>
      <c r="EH294" s="17"/>
      <c r="EI294" s="17"/>
      <c r="EJ294" s="17"/>
      <c r="EK294" s="17"/>
      <c r="EL294" s="17"/>
      <c r="EM294" s="17"/>
      <c r="EN294" s="17"/>
      <c r="EO294" s="17"/>
      <c r="EP294" s="17"/>
      <c r="EQ294" s="17"/>
      <c r="ER294" s="17"/>
      <c r="ES294" s="17"/>
      <c r="ET294" s="17"/>
      <c r="EU294" s="17"/>
      <c r="EV294" s="17"/>
      <c r="EW294" s="17"/>
      <c r="EX294" s="17"/>
      <c r="EY294" s="17"/>
      <c r="EZ294" s="17"/>
      <c r="FA294" s="17"/>
      <c r="FB294" s="17"/>
      <c r="FC294" s="17"/>
      <c r="FD294" s="17"/>
      <c r="FE294" s="17"/>
      <c r="FF294" s="17"/>
      <c r="FG294" s="17"/>
      <c r="FH294" s="17"/>
      <c r="FI294" s="17"/>
      <c r="FJ294" s="17"/>
      <c r="FK294" s="17"/>
      <c r="FL294" s="17"/>
      <c r="FM294" s="17"/>
      <c r="FN294" s="17"/>
      <c r="FO294" s="17"/>
      <c r="FP294" s="17"/>
      <c r="FQ294" s="17"/>
      <c r="FR294" s="17"/>
      <c r="FS294" s="17"/>
      <c r="FT294" s="17"/>
      <c r="FU294" s="17"/>
      <c r="FV294" s="17"/>
      <c r="FW294" s="17"/>
      <c r="FX294" s="17"/>
      <c r="FY294" s="17"/>
      <c r="FZ294" s="17"/>
      <c r="GA294" s="17"/>
      <c r="GB294" s="17"/>
      <c r="GC294" s="17"/>
      <c r="GD294" s="17"/>
      <c r="GE294" s="17"/>
      <c r="GF294" s="17"/>
      <c r="GG294" s="17"/>
      <c r="GH294" s="17"/>
      <c r="GI294" s="17"/>
      <c r="GJ294" s="17"/>
      <c r="GK294" s="17"/>
      <c r="GL294" s="17"/>
      <c r="GM294" s="17"/>
      <c r="GN294" s="17"/>
      <c r="GO294" s="17"/>
      <c r="GP294" s="17"/>
      <c r="GQ294" s="17"/>
      <c r="GR294" s="17"/>
      <c r="GS294" s="17"/>
      <c r="GT294" s="17"/>
      <c r="GU294" s="17"/>
      <c r="GV294" s="17"/>
      <c r="GW294" s="17"/>
      <c r="GX294" s="17"/>
      <c r="GY294" s="17"/>
      <c r="GZ294" s="17"/>
      <c r="HA294" s="17"/>
      <c r="HB294" s="17"/>
      <c r="HC294" s="17"/>
      <c r="HD294" s="17"/>
      <c r="HE294" s="17"/>
      <c r="HF294" s="17"/>
      <c r="HG294" s="17"/>
      <c r="HH294" s="17"/>
      <c r="HI294" s="17"/>
      <c r="HJ294" s="17"/>
      <c r="HK294" s="17"/>
      <c r="HL294" s="17"/>
      <c r="HM294" s="17"/>
      <c r="HN294" s="17"/>
      <c r="HO294" s="17"/>
      <c r="HP294" s="17"/>
      <c r="HQ294" s="17"/>
      <c r="HR294" s="17"/>
      <c r="HS294" s="17"/>
      <c r="HT294" s="17"/>
      <c r="HU294" s="17"/>
      <c r="HV294" s="17"/>
      <c r="HW294" s="17"/>
      <c r="HX294" s="17"/>
      <c r="HY294" s="17"/>
      <c r="HZ294" s="17"/>
      <c r="IA294" s="17"/>
      <c r="IB294" s="17"/>
      <c r="IC294" s="17"/>
      <c r="ID294" s="17"/>
      <c r="IE294" s="17"/>
      <c r="IF294" s="17"/>
      <c r="IG294" s="17"/>
      <c r="IH294" s="17"/>
      <c r="II294" s="17"/>
      <c r="IJ294" s="17"/>
      <c r="IK294" s="17"/>
      <c r="IL294" s="17"/>
      <c r="IM294" s="17"/>
      <c r="IN294" s="17"/>
      <c r="IO294" s="17"/>
      <c r="IP294" s="17"/>
      <c r="IQ294" s="17"/>
      <c r="IR294" s="17"/>
      <c r="IS294" s="17"/>
      <c r="IT294" s="17"/>
      <c r="IU294" s="17"/>
      <c r="IV294" s="17"/>
      <c r="IW294" s="17"/>
      <c r="IX294" s="17"/>
      <c r="IY294" s="17"/>
      <c r="IZ294" s="17"/>
      <c r="JA294" s="17"/>
      <c r="JB294" s="17"/>
      <c r="JC294" s="17"/>
      <c r="JD294" s="17"/>
      <c r="JE294" s="17"/>
      <c r="JF294" s="17"/>
      <c r="JG294" s="17"/>
      <c r="JH294" s="17"/>
      <c r="JI294" s="17"/>
      <c r="JJ294" s="17"/>
      <c r="JK294" s="17"/>
      <c r="JL294" s="17"/>
      <c r="JM294" s="17"/>
      <c r="JN294" s="17"/>
      <c r="JO294" s="17"/>
      <c r="JP294" s="17"/>
      <c r="JQ294" s="17"/>
      <c r="JR294" s="17"/>
      <c r="JS294" s="17"/>
      <c r="JT294" s="17"/>
      <c r="JU294" s="17"/>
      <c r="JV294" s="17"/>
      <c r="JW294" s="17"/>
      <c r="JX294" s="17"/>
      <c r="JY294" s="17"/>
      <c r="JZ294" s="17"/>
      <c r="KA294" s="17"/>
      <c r="KB294" s="17"/>
      <c r="KC294" s="17"/>
      <c r="KD294" s="17"/>
      <c r="KE294" s="17"/>
      <c r="KF294" s="17"/>
      <c r="KG294" s="17"/>
      <c r="KH294" s="17"/>
      <c r="KI294" s="17"/>
      <c r="KJ294" s="17"/>
      <c r="KK294" s="17"/>
      <c r="KL294" s="17"/>
      <c r="KM294" s="17"/>
      <c r="KN294" s="17"/>
      <c r="KO294" s="17"/>
      <c r="KP294" s="17"/>
      <c r="KQ294" s="17"/>
      <c r="KR294" s="17"/>
      <c r="KS294" s="17"/>
      <c r="KT294" s="17"/>
      <c r="KU294" s="17"/>
      <c r="KV294" s="17"/>
      <c r="KW294" s="17"/>
      <c r="KX294" s="17"/>
      <c r="KY294" s="17"/>
    </row>
    <row r="295" spans="1:311" x14ac:dyDescent="0.25">
      <c r="A295" s="17"/>
      <c r="B295" s="17"/>
      <c r="C295" s="17"/>
      <c r="D295" s="17"/>
      <c r="E295" s="17"/>
      <c r="F295" s="17"/>
      <c r="G295" s="17"/>
      <c r="H295" s="17"/>
      <c r="I295" s="17"/>
      <c r="J295" s="17"/>
      <c r="K295" s="17"/>
      <c r="L295" s="17"/>
      <c r="M295" s="17"/>
      <c r="N295" s="17"/>
      <c r="O295" s="17"/>
      <c r="P295" s="17"/>
      <c r="Q295" s="17"/>
      <c r="R295" s="17"/>
      <c r="S295" s="17"/>
      <c r="T295" s="17"/>
      <c r="U295" s="17"/>
      <c r="V295" s="17"/>
      <c r="W295" s="17"/>
      <c r="X295" s="17"/>
      <c r="Y295" s="17"/>
      <c r="Z295" s="17"/>
      <c r="AA295" s="17"/>
      <c r="AB295" s="17"/>
      <c r="AC295" s="17"/>
      <c r="AD295" s="17"/>
      <c r="AE295" s="17"/>
      <c r="AF295" s="17"/>
      <c r="AG295" s="17"/>
      <c r="AH295" s="17"/>
      <c r="AI295" s="17"/>
      <c r="AJ295" s="17"/>
      <c r="AK295" s="17"/>
      <c r="AL295" s="17"/>
      <c r="AM295" s="17"/>
      <c r="AN295" s="17"/>
      <c r="AO295" s="17"/>
      <c r="AP295" s="17"/>
      <c r="AQ295" s="17"/>
      <c r="AR295" s="17"/>
      <c r="AS295" s="17"/>
      <c r="AT295" s="17"/>
      <c r="AU295" s="17"/>
      <c r="AV295" s="17"/>
      <c r="AW295" s="17"/>
      <c r="AX295" s="17"/>
      <c r="AY295" s="17"/>
      <c r="AZ295" s="17"/>
      <c r="BA295" s="17"/>
      <c r="BB295" s="17"/>
      <c r="BC295" s="17"/>
      <c r="BD295" s="17"/>
      <c r="BE295" s="17"/>
      <c r="BF295" s="17"/>
      <c r="BG295" s="17"/>
      <c r="BH295" s="17"/>
      <c r="BI295" s="17"/>
      <c r="BJ295" s="17"/>
      <c r="BK295" s="17"/>
      <c r="BL295" s="17"/>
      <c r="BM295" s="17"/>
      <c r="BN295" s="17"/>
      <c r="BO295" s="17"/>
      <c r="BP295" s="17"/>
      <c r="BQ295" s="17"/>
      <c r="BR295" s="17"/>
      <c r="BS295" s="17"/>
      <c r="BT295" s="17"/>
      <c r="BU295" s="17"/>
      <c r="BV295" s="17"/>
      <c r="BW295" s="17"/>
      <c r="BX295" s="17"/>
      <c r="BY295" s="17"/>
      <c r="BZ295" s="17"/>
      <c r="CA295" s="17"/>
      <c r="CB295" s="17"/>
      <c r="CC295" s="17"/>
      <c r="CD295" s="17"/>
      <c r="CE295" s="17"/>
      <c r="CF295" s="17"/>
      <c r="CG295" s="17"/>
      <c r="CH295" s="17"/>
      <c r="CI295" s="17"/>
      <c r="CJ295" s="17"/>
      <c r="CK295" s="17"/>
      <c r="CL295" s="17"/>
      <c r="CM295" s="17"/>
      <c r="CN295" s="17"/>
      <c r="CO295" s="17"/>
      <c r="CP295" s="17"/>
      <c r="CQ295" s="17"/>
      <c r="CR295" s="17"/>
      <c r="CS295" s="17"/>
      <c r="CT295" s="17"/>
      <c r="CU295" s="17"/>
      <c r="CV295" s="17"/>
      <c r="CW295" s="17"/>
      <c r="CX295" s="17"/>
      <c r="CY295" s="17"/>
      <c r="CZ295" s="17"/>
      <c r="DA295" s="17"/>
      <c r="DB295" s="17"/>
      <c r="DC295" s="17"/>
      <c r="DD295" s="17"/>
      <c r="DE295" s="17"/>
      <c r="DF295" s="17"/>
      <c r="DG295" s="17"/>
      <c r="DH295" s="17"/>
      <c r="DI295" s="17"/>
      <c r="DJ295" s="17"/>
      <c r="DK295" s="17"/>
      <c r="DL295" s="17"/>
      <c r="DM295" s="17"/>
      <c r="DN295" s="17"/>
      <c r="DO295" s="17"/>
      <c r="DP295" s="17"/>
      <c r="DQ295" s="17"/>
      <c r="DR295" s="17"/>
      <c r="DS295" s="17"/>
      <c r="DT295" s="17"/>
      <c r="DU295" s="17"/>
      <c r="DV295" s="17"/>
      <c r="DW295" s="17"/>
      <c r="DX295" s="17"/>
      <c r="DY295" s="17"/>
      <c r="DZ295" s="17"/>
      <c r="EA295" s="17"/>
      <c r="EB295" s="17"/>
      <c r="EC295" s="17"/>
      <c r="ED295" s="17"/>
      <c r="EE295" s="17"/>
      <c r="EF295" s="17"/>
      <c r="EG295" s="17"/>
      <c r="EH295" s="17"/>
      <c r="EI295" s="17"/>
      <c r="EJ295" s="17"/>
      <c r="EK295" s="17"/>
      <c r="EL295" s="17"/>
      <c r="EM295" s="17"/>
      <c r="EN295" s="17"/>
      <c r="EO295" s="17"/>
      <c r="EP295" s="17"/>
      <c r="EQ295" s="17"/>
      <c r="ER295" s="17"/>
      <c r="ES295" s="17"/>
      <c r="ET295" s="17"/>
      <c r="EU295" s="17"/>
      <c r="EV295" s="17"/>
      <c r="EW295" s="17"/>
      <c r="EX295" s="17"/>
      <c r="EY295" s="17"/>
      <c r="EZ295" s="17"/>
      <c r="FA295" s="17"/>
      <c r="FB295" s="17"/>
      <c r="FC295" s="17"/>
      <c r="FD295" s="17"/>
      <c r="FE295" s="17"/>
      <c r="FF295" s="17"/>
      <c r="FG295" s="17"/>
      <c r="FH295" s="17"/>
      <c r="FI295" s="17"/>
      <c r="FJ295" s="17"/>
      <c r="FK295" s="17"/>
      <c r="FL295" s="17"/>
      <c r="FM295" s="17"/>
      <c r="FN295" s="17"/>
      <c r="FO295" s="17"/>
      <c r="FP295" s="17"/>
      <c r="FQ295" s="17"/>
      <c r="FR295" s="17"/>
      <c r="FS295" s="17"/>
      <c r="FT295" s="17"/>
      <c r="FU295" s="17"/>
      <c r="FV295" s="17"/>
      <c r="FW295" s="17"/>
      <c r="FX295" s="17"/>
      <c r="FY295" s="17"/>
      <c r="FZ295" s="17"/>
      <c r="GA295" s="17"/>
      <c r="GB295" s="17"/>
      <c r="GC295" s="17"/>
      <c r="GD295" s="17"/>
      <c r="GE295" s="17"/>
      <c r="GF295" s="17"/>
      <c r="GG295" s="17"/>
      <c r="GH295" s="17"/>
      <c r="GI295" s="17"/>
      <c r="GJ295" s="17"/>
      <c r="GK295" s="17"/>
      <c r="GL295" s="17"/>
      <c r="GM295" s="17"/>
      <c r="GN295" s="17"/>
      <c r="GO295" s="17"/>
      <c r="GP295" s="17"/>
      <c r="GQ295" s="17"/>
      <c r="GR295" s="17"/>
      <c r="GS295" s="17"/>
      <c r="GT295" s="17"/>
      <c r="GU295" s="17"/>
      <c r="GV295" s="17"/>
      <c r="GW295" s="17"/>
      <c r="GX295" s="17"/>
      <c r="GY295" s="17"/>
      <c r="GZ295" s="17"/>
      <c r="HA295" s="17"/>
      <c r="HB295" s="17"/>
      <c r="HC295" s="17"/>
      <c r="HD295" s="17"/>
      <c r="HE295" s="17"/>
      <c r="HF295" s="17"/>
      <c r="HG295" s="17"/>
      <c r="HH295" s="17"/>
      <c r="HI295" s="17"/>
      <c r="HJ295" s="17"/>
      <c r="HK295" s="17"/>
      <c r="HL295" s="17"/>
      <c r="HM295" s="17"/>
      <c r="HN295" s="17"/>
      <c r="HO295" s="17"/>
      <c r="HP295" s="17"/>
      <c r="HQ295" s="17"/>
      <c r="HR295" s="17"/>
      <c r="HS295" s="17"/>
      <c r="HT295" s="17"/>
      <c r="HU295" s="17"/>
      <c r="HV295" s="17"/>
      <c r="HW295" s="17"/>
      <c r="HX295" s="17"/>
      <c r="HY295" s="17"/>
      <c r="HZ295" s="17"/>
      <c r="IA295" s="17"/>
      <c r="IB295" s="17"/>
      <c r="IC295" s="17"/>
      <c r="ID295" s="17"/>
      <c r="IE295" s="17"/>
      <c r="IF295" s="17"/>
      <c r="IG295" s="17"/>
      <c r="IH295" s="17"/>
      <c r="II295" s="17"/>
      <c r="IJ295" s="17"/>
      <c r="IK295" s="17"/>
      <c r="IL295" s="17"/>
      <c r="IM295" s="17"/>
      <c r="IN295" s="17"/>
      <c r="IO295" s="17"/>
      <c r="IP295" s="17"/>
      <c r="IQ295" s="17"/>
      <c r="IR295" s="17"/>
      <c r="IS295" s="17"/>
      <c r="IT295" s="17"/>
      <c r="IU295" s="17"/>
      <c r="IV295" s="17"/>
      <c r="IW295" s="17"/>
      <c r="IX295" s="17"/>
      <c r="IY295" s="17"/>
      <c r="IZ295" s="17"/>
      <c r="JA295" s="17"/>
      <c r="JB295" s="17"/>
      <c r="JC295" s="17"/>
      <c r="JD295" s="17"/>
      <c r="JE295" s="17"/>
      <c r="JF295" s="17"/>
      <c r="JG295" s="17"/>
      <c r="JH295" s="17"/>
      <c r="JI295" s="17"/>
      <c r="JJ295" s="17"/>
      <c r="JK295" s="17"/>
      <c r="JL295" s="17"/>
      <c r="JM295" s="17"/>
      <c r="JN295" s="17"/>
      <c r="JO295" s="17"/>
      <c r="JP295" s="17"/>
      <c r="JQ295" s="17"/>
      <c r="JR295" s="17"/>
      <c r="JS295" s="17"/>
      <c r="JT295" s="17"/>
      <c r="JU295" s="17"/>
      <c r="JV295" s="17"/>
      <c r="JW295" s="17"/>
      <c r="JX295" s="17"/>
      <c r="JY295" s="17"/>
      <c r="JZ295" s="17"/>
      <c r="KA295" s="17"/>
      <c r="KB295" s="17"/>
      <c r="KC295" s="17"/>
      <c r="KD295" s="17"/>
      <c r="KE295" s="17"/>
      <c r="KF295" s="17"/>
      <c r="KG295" s="17"/>
      <c r="KH295" s="17"/>
      <c r="KI295" s="17"/>
      <c r="KJ295" s="17"/>
      <c r="KK295" s="17"/>
      <c r="KL295" s="17"/>
      <c r="KM295" s="17"/>
      <c r="KN295" s="17"/>
      <c r="KO295" s="17"/>
      <c r="KP295" s="17"/>
      <c r="KQ295" s="17"/>
      <c r="KR295" s="17"/>
      <c r="KS295" s="17"/>
      <c r="KT295" s="17"/>
      <c r="KU295" s="17"/>
      <c r="KV295" s="17"/>
      <c r="KW295" s="17"/>
      <c r="KX295" s="17"/>
      <c r="KY295" s="17"/>
    </row>
    <row r="296" spans="1:311" x14ac:dyDescent="0.25">
      <c r="A296" s="17"/>
      <c r="B296" s="17"/>
      <c r="C296" s="17"/>
      <c r="D296" s="17"/>
      <c r="E296" s="17"/>
      <c r="F296" s="17"/>
      <c r="G296" s="17"/>
      <c r="H296" s="17"/>
      <c r="I296" s="17"/>
      <c r="J296" s="17"/>
      <c r="K296" s="17"/>
      <c r="L296" s="17"/>
      <c r="M296" s="17"/>
      <c r="N296" s="17"/>
      <c r="O296" s="17"/>
      <c r="P296" s="17"/>
      <c r="Q296" s="17"/>
      <c r="R296" s="17"/>
      <c r="S296" s="17"/>
      <c r="T296" s="17"/>
      <c r="U296" s="17"/>
      <c r="V296" s="17"/>
      <c r="W296" s="17"/>
      <c r="X296" s="17"/>
      <c r="Y296" s="17"/>
      <c r="Z296" s="17"/>
      <c r="AA296" s="17"/>
      <c r="AB296" s="17"/>
      <c r="AC296" s="17"/>
      <c r="AD296" s="17"/>
      <c r="AE296" s="17"/>
      <c r="AF296" s="17"/>
      <c r="AG296" s="17"/>
      <c r="AH296" s="17"/>
      <c r="AI296" s="17"/>
      <c r="AJ296" s="17"/>
      <c r="AK296" s="17"/>
      <c r="AL296" s="17"/>
      <c r="AM296" s="17"/>
      <c r="AN296" s="17"/>
      <c r="AO296" s="17"/>
      <c r="AP296" s="17"/>
      <c r="AQ296" s="17"/>
      <c r="AR296" s="17"/>
      <c r="AS296" s="17"/>
      <c r="AT296" s="17"/>
      <c r="AU296" s="17"/>
      <c r="AV296" s="17"/>
      <c r="AW296" s="17"/>
      <c r="AX296" s="17"/>
      <c r="AY296" s="17"/>
      <c r="AZ296" s="17"/>
      <c r="BA296" s="17"/>
      <c r="BB296" s="17"/>
      <c r="BC296" s="17"/>
      <c r="BD296" s="17"/>
      <c r="BE296" s="17"/>
      <c r="BF296" s="17"/>
      <c r="BG296" s="17"/>
      <c r="BH296" s="17"/>
      <c r="BI296" s="17"/>
      <c r="BJ296" s="17"/>
      <c r="BK296" s="17"/>
      <c r="BL296" s="17"/>
      <c r="BM296" s="17"/>
      <c r="BN296" s="17"/>
      <c r="BO296" s="17"/>
      <c r="BP296" s="17"/>
      <c r="BQ296" s="17"/>
      <c r="BR296" s="17"/>
      <c r="BS296" s="17"/>
      <c r="BT296" s="17"/>
      <c r="BU296" s="17"/>
      <c r="BV296" s="17"/>
      <c r="BW296" s="17"/>
      <c r="BX296" s="17"/>
      <c r="BY296" s="17"/>
      <c r="BZ296" s="17"/>
      <c r="CA296" s="17"/>
      <c r="CB296" s="17"/>
      <c r="CC296" s="17"/>
      <c r="CD296" s="17"/>
      <c r="CE296" s="17"/>
      <c r="CF296" s="17"/>
      <c r="CG296" s="17"/>
      <c r="CH296" s="17"/>
      <c r="CI296" s="17"/>
      <c r="CJ296" s="17"/>
      <c r="CK296" s="17"/>
      <c r="CL296" s="17"/>
      <c r="CM296" s="17"/>
      <c r="CN296" s="17"/>
      <c r="CO296" s="17"/>
      <c r="CP296" s="17"/>
      <c r="CQ296" s="17"/>
      <c r="CR296" s="17"/>
      <c r="CS296" s="17"/>
      <c r="CT296" s="17"/>
      <c r="CU296" s="17"/>
      <c r="CV296" s="17"/>
      <c r="CW296" s="17"/>
      <c r="CX296" s="17"/>
      <c r="CY296" s="17"/>
      <c r="CZ296" s="17"/>
      <c r="DA296" s="17"/>
      <c r="DB296" s="17"/>
      <c r="DC296" s="17"/>
      <c r="DD296" s="17"/>
      <c r="DE296" s="17"/>
      <c r="DF296" s="17"/>
      <c r="DG296" s="17"/>
      <c r="DH296" s="17"/>
      <c r="DI296" s="17"/>
      <c r="DJ296" s="17"/>
      <c r="DK296" s="17"/>
      <c r="DL296" s="17"/>
      <c r="DM296" s="17"/>
      <c r="DN296" s="17"/>
      <c r="DO296" s="17"/>
      <c r="DP296" s="17"/>
      <c r="DQ296" s="17"/>
      <c r="DR296" s="17"/>
      <c r="DS296" s="17"/>
      <c r="DT296" s="17"/>
      <c r="DU296" s="17"/>
      <c r="DV296" s="17"/>
      <c r="DW296" s="17"/>
      <c r="DX296" s="17"/>
      <c r="DY296" s="17"/>
      <c r="DZ296" s="17"/>
      <c r="EA296" s="17"/>
      <c r="EB296" s="17"/>
      <c r="EC296" s="17"/>
      <c r="ED296" s="17"/>
      <c r="EE296" s="17"/>
      <c r="EF296" s="17"/>
      <c r="EG296" s="17"/>
      <c r="EH296" s="17"/>
      <c r="EI296" s="17"/>
      <c r="EJ296" s="17"/>
      <c r="EK296" s="17"/>
      <c r="EL296" s="17"/>
      <c r="EM296" s="17"/>
      <c r="EN296" s="17"/>
      <c r="EO296" s="17"/>
      <c r="EP296" s="17"/>
      <c r="EQ296" s="17"/>
      <c r="ER296" s="17"/>
      <c r="ES296" s="17"/>
      <c r="ET296" s="17"/>
      <c r="EU296" s="17"/>
      <c r="EV296" s="17"/>
      <c r="EW296" s="17"/>
      <c r="EX296" s="17"/>
      <c r="EY296" s="17"/>
      <c r="EZ296" s="17"/>
      <c r="FA296" s="17"/>
      <c r="FB296" s="17"/>
      <c r="FC296" s="17"/>
      <c r="FD296" s="17"/>
      <c r="FE296" s="17"/>
      <c r="FF296" s="17"/>
      <c r="FG296" s="17"/>
      <c r="FH296" s="17"/>
      <c r="FI296" s="17"/>
      <c r="FJ296" s="17"/>
      <c r="FK296" s="17"/>
      <c r="FL296" s="17"/>
      <c r="FM296" s="17"/>
      <c r="FN296" s="17"/>
      <c r="FO296" s="17"/>
      <c r="FP296" s="17"/>
      <c r="FQ296" s="17"/>
      <c r="FR296" s="17"/>
      <c r="FS296" s="17"/>
      <c r="FT296" s="17"/>
      <c r="FU296" s="17"/>
      <c r="FV296" s="17"/>
      <c r="FW296" s="17"/>
      <c r="FX296" s="17"/>
      <c r="FY296" s="17"/>
      <c r="FZ296" s="17"/>
      <c r="GA296" s="17"/>
      <c r="GB296" s="17"/>
      <c r="GC296" s="17"/>
      <c r="GD296" s="17"/>
      <c r="GE296" s="17"/>
      <c r="GF296" s="17"/>
      <c r="GG296" s="17"/>
      <c r="GH296" s="17"/>
      <c r="GI296" s="17"/>
      <c r="GJ296" s="17"/>
      <c r="GK296" s="17"/>
      <c r="GL296" s="17"/>
      <c r="GM296" s="17"/>
      <c r="GN296" s="17"/>
      <c r="GO296" s="17"/>
      <c r="GP296" s="17"/>
      <c r="GQ296" s="17"/>
      <c r="GR296" s="17"/>
      <c r="GS296" s="17"/>
      <c r="GT296" s="17"/>
      <c r="GU296" s="17"/>
      <c r="GV296" s="17"/>
      <c r="GW296" s="17"/>
      <c r="GX296" s="17"/>
      <c r="GY296" s="17"/>
      <c r="GZ296" s="17"/>
      <c r="HA296" s="17"/>
      <c r="HB296" s="17"/>
      <c r="HC296" s="17"/>
      <c r="HD296" s="17"/>
      <c r="HE296" s="17"/>
      <c r="HF296" s="17"/>
      <c r="HG296" s="17"/>
      <c r="HH296" s="17"/>
      <c r="HI296" s="17"/>
      <c r="HJ296" s="17"/>
      <c r="HK296" s="17"/>
      <c r="HL296" s="17"/>
      <c r="HM296" s="17"/>
      <c r="HN296" s="17"/>
      <c r="HO296" s="17"/>
      <c r="HP296" s="17"/>
      <c r="HQ296" s="17"/>
      <c r="HR296" s="17"/>
      <c r="HS296" s="17"/>
      <c r="HT296" s="17"/>
      <c r="HU296" s="17"/>
      <c r="HV296" s="17"/>
      <c r="HW296" s="17"/>
      <c r="HX296" s="17"/>
      <c r="HY296" s="17"/>
      <c r="HZ296" s="17"/>
      <c r="IA296" s="17"/>
      <c r="IB296" s="17"/>
      <c r="IC296" s="17"/>
      <c r="ID296" s="17"/>
      <c r="IE296" s="17"/>
      <c r="IF296" s="17"/>
      <c r="IG296" s="17"/>
      <c r="IH296" s="17"/>
      <c r="II296" s="17"/>
      <c r="IJ296" s="17"/>
      <c r="IK296" s="17"/>
      <c r="IL296" s="17"/>
      <c r="IM296" s="17"/>
      <c r="IN296" s="17"/>
      <c r="IO296" s="17"/>
      <c r="IP296" s="17"/>
      <c r="IQ296" s="17"/>
      <c r="IR296" s="17"/>
      <c r="IS296" s="17"/>
      <c r="IT296" s="17"/>
      <c r="IU296" s="17"/>
      <c r="IV296" s="17"/>
      <c r="IW296" s="17"/>
      <c r="IX296" s="17"/>
      <c r="IY296" s="17"/>
      <c r="IZ296" s="17"/>
      <c r="JA296" s="17"/>
      <c r="JB296" s="17"/>
      <c r="JC296" s="17"/>
      <c r="JD296" s="17"/>
      <c r="JE296" s="17"/>
      <c r="JF296" s="17"/>
      <c r="JG296" s="17"/>
      <c r="JH296" s="17"/>
      <c r="JI296" s="17"/>
      <c r="JJ296" s="17"/>
      <c r="JK296" s="17"/>
      <c r="JL296" s="17"/>
      <c r="JM296" s="17"/>
      <c r="JN296" s="17"/>
      <c r="JO296" s="17"/>
      <c r="JP296" s="17"/>
      <c r="JQ296" s="17"/>
      <c r="JR296" s="17"/>
      <c r="JS296" s="17"/>
      <c r="JT296" s="17"/>
      <c r="JU296" s="17"/>
      <c r="JV296" s="17"/>
      <c r="JW296" s="17"/>
      <c r="JX296" s="17"/>
      <c r="JY296" s="17"/>
      <c r="JZ296" s="17"/>
      <c r="KA296" s="17"/>
      <c r="KB296" s="17"/>
      <c r="KC296" s="17"/>
      <c r="KD296" s="17"/>
      <c r="KE296" s="17"/>
      <c r="KF296" s="17"/>
      <c r="KG296" s="17"/>
      <c r="KH296" s="17"/>
      <c r="KI296" s="17"/>
      <c r="KJ296" s="17"/>
      <c r="KK296" s="17"/>
      <c r="KL296" s="17"/>
      <c r="KM296" s="17"/>
      <c r="KN296" s="17"/>
      <c r="KO296" s="17"/>
      <c r="KP296" s="17"/>
      <c r="KQ296" s="17"/>
      <c r="KR296" s="17"/>
      <c r="KS296" s="17"/>
      <c r="KT296" s="17"/>
      <c r="KU296" s="17"/>
      <c r="KV296" s="17"/>
      <c r="KW296" s="17"/>
      <c r="KX296" s="17"/>
      <c r="KY296" s="17"/>
    </row>
    <row r="297" spans="1:311" x14ac:dyDescent="0.25">
      <c r="A297" s="17"/>
      <c r="B297" s="17"/>
      <c r="C297" s="17"/>
      <c r="D297" s="17"/>
      <c r="E297" s="17"/>
      <c r="F297" s="17"/>
      <c r="G297" s="17"/>
      <c r="H297" s="17"/>
      <c r="I297" s="17"/>
      <c r="J297" s="17"/>
      <c r="K297" s="17"/>
      <c r="L297" s="17"/>
      <c r="M297" s="17"/>
      <c r="N297" s="17"/>
      <c r="O297" s="17"/>
      <c r="P297" s="17"/>
      <c r="Q297" s="17"/>
      <c r="R297" s="17"/>
      <c r="S297" s="17"/>
      <c r="T297" s="17"/>
      <c r="U297" s="17"/>
      <c r="V297" s="17"/>
      <c r="W297" s="17"/>
      <c r="X297" s="17"/>
      <c r="Y297" s="17"/>
      <c r="Z297" s="17"/>
      <c r="AA297" s="17"/>
      <c r="AB297" s="17"/>
      <c r="AC297" s="17"/>
      <c r="AD297" s="17"/>
      <c r="AE297" s="17"/>
      <c r="AF297" s="17"/>
      <c r="AG297" s="17"/>
      <c r="AH297" s="17"/>
      <c r="AI297" s="17"/>
      <c r="AJ297" s="17"/>
      <c r="AK297" s="17"/>
      <c r="AL297" s="17"/>
      <c r="AM297" s="17"/>
      <c r="AN297" s="17"/>
      <c r="AO297" s="17"/>
      <c r="AP297" s="17"/>
      <c r="AQ297" s="17"/>
      <c r="AR297" s="17"/>
      <c r="AS297" s="17"/>
      <c r="AT297" s="17"/>
      <c r="AU297" s="17"/>
      <c r="AV297" s="17"/>
      <c r="AW297" s="17"/>
      <c r="AX297" s="17"/>
      <c r="AY297" s="17"/>
      <c r="AZ297" s="17"/>
      <c r="BA297" s="17"/>
      <c r="BB297" s="17"/>
      <c r="BC297" s="17"/>
      <c r="BD297" s="17"/>
      <c r="BE297" s="17"/>
      <c r="BF297" s="17"/>
      <c r="BG297" s="17"/>
      <c r="BH297" s="17"/>
      <c r="BI297" s="17"/>
      <c r="BJ297" s="17"/>
      <c r="BK297" s="17"/>
      <c r="BL297" s="17"/>
      <c r="BM297" s="17"/>
      <c r="BN297" s="17"/>
      <c r="BO297" s="17"/>
      <c r="BP297" s="17"/>
      <c r="BQ297" s="17"/>
      <c r="BR297" s="17"/>
      <c r="BS297" s="17"/>
      <c r="BT297" s="17"/>
      <c r="BU297" s="17"/>
      <c r="BV297" s="17"/>
      <c r="BW297" s="17"/>
      <c r="BX297" s="17"/>
      <c r="BY297" s="17"/>
      <c r="BZ297" s="17"/>
      <c r="CA297" s="17"/>
      <c r="CB297" s="17"/>
      <c r="CC297" s="17"/>
      <c r="CD297" s="17"/>
      <c r="CE297" s="17"/>
      <c r="CF297" s="17"/>
      <c r="CG297" s="17"/>
      <c r="CH297" s="17"/>
      <c r="CI297" s="17"/>
      <c r="CJ297" s="17"/>
      <c r="CK297" s="17"/>
      <c r="CL297" s="17"/>
      <c r="CM297" s="17"/>
      <c r="CN297" s="17"/>
      <c r="CO297" s="17"/>
      <c r="CP297" s="17"/>
      <c r="CQ297" s="17"/>
      <c r="CR297" s="17"/>
      <c r="CS297" s="17"/>
      <c r="CT297" s="17"/>
      <c r="CU297" s="17"/>
      <c r="CV297" s="17"/>
      <c r="CW297" s="17"/>
      <c r="CX297" s="17"/>
      <c r="CY297" s="17"/>
      <c r="CZ297" s="17"/>
      <c r="DA297" s="17"/>
      <c r="DB297" s="17"/>
      <c r="DC297" s="17"/>
      <c r="DD297" s="17"/>
      <c r="DE297" s="17"/>
      <c r="DF297" s="17"/>
      <c r="DG297" s="17"/>
      <c r="DH297" s="17"/>
      <c r="DI297" s="17"/>
      <c r="DJ297" s="17"/>
      <c r="DK297" s="17"/>
      <c r="DL297" s="17"/>
      <c r="DM297" s="17"/>
      <c r="DN297" s="17"/>
      <c r="DO297" s="17"/>
      <c r="DP297" s="17"/>
      <c r="DQ297" s="17"/>
      <c r="DR297" s="17"/>
      <c r="DS297" s="17"/>
      <c r="DT297" s="17"/>
      <c r="DU297" s="17"/>
      <c r="DV297" s="17"/>
      <c r="DW297" s="17"/>
      <c r="DX297" s="17"/>
      <c r="DY297" s="17"/>
      <c r="DZ297" s="17"/>
      <c r="EA297" s="17"/>
      <c r="EB297" s="17"/>
      <c r="EC297" s="17"/>
      <c r="ED297" s="17"/>
      <c r="EE297" s="17"/>
      <c r="EF297" s="17"/>
      <c r="EG297" s="17"/>
      <c r="EH297" s="17"/>
      <c r="EI297" s="17"/>
      <c r="EJ297" s="17"/>
      <c r="EK297" s="17"/>
      <c r="EL297" s="17"/>
      <c r="EM297" s="17"/>
      <c r="EN297" s="17"/>
      <c r="EO297" s="17"/>
      <c r="EP297" s="17"/>
      <c r="EQ297" s="17"/>
      <c r="ER297" s="17"/>
      <c r="ES297" s="17"/>
      <c r="ET297" s="17"/>
      <c r="EU297" s="17"/>
      <c r="EV297" s="17"/>
      <c r="EW297" s="17"/>
      <c r="EX297" s="17"/>
      <c r="EY297" s="17"/>
      <c r="EZ297" s="17"/>
      <c r="FA297" s="17"/>
      <c r="FB297" s="17"/>
      <c r="FC297" s="17"/>
      <c r="FD297" s="17"/>
      <c r="FE297" s="17"/>
      <c r="FF297" s="17"/>
      <c r="FG297" s="17"/>
      <c r="FH297" s="17"/>
      <c r="FI297" s="17"/>
      <c r="FJ297" s="17"/>
      <c r="FK297" s="17"/>
      <c r="FL297" s="17"/>
      <c r="FM297" s="17"/>
      <c r="FN297" s="17"/>
      <c r="FO297" s="17"/>
      <c r="FP297" s="17"/>
      <c r="FQ297" s="17"/>
      <c r="FR297" s="17"/>
      <c r="FS297" s="17"/>
      <c r="FT297" s="17"/>
      <c r="FU297" s="17"/>
      <c r="FV297" s="17"/>
      <c r="FW297" s="17"/>
      <c r="FX297" s="17"/>
      <c r="FY297" s="17"/>
      <c r="FZ297" s="17"/>
      <c r="GA297" s="17"/>
      <c r="GB297" s="17"/>
      <c r="GC297" s="17"/>
      <c r="GD297" s="17"/>
      <c r="GE297" s="17"/>
      <c r="GF297" s="17"/>
      <c r="GG297" s="17"/>
      <c r="GH297" s="17"/>
      <c r="GI297" s="17"/>
      <c r="GJ297" s="17"/>
      <c r="GK297" s="17"/>
      <c r="GL297" s="17"/>
      <c r="GM297" s="17"/>
      <c r="GN297" s="17"/>
      <c r="GO297" s="17"/>
      <c r="GP297" s="17"/>
      <c r="GQ297" s="17"/>
      <c r="GR297" s="17"/>
      <c r="GS297" s="17"/>
      <c r="GT297" s="17"/>
      <c r="GU297" s="17"/>
      <c r="GV297" s="17"/>
      <c r="GW297" s="17"/>
      <c r="GX297" s="17"/>
      <c r="GY297" s="17"/>
      <c r="GZ297" s="17"/>
      <c r="HA297" s="17"/>
      <c r="HB297" s="17"/>
      <c r="HC297" s="17"/>
      <c r="HD297" s="17"/>
      <c r="HE297" s="17"/>
      <c r="HF297" s="17"/>
      <c r="HG297" s="17"/>
      <c r="HH297" s="17"/>
      <c r="HI297" s="17"/>
      <c r="HJ297" s="17"/>
      <c r="HK297" s="17"/>
      <c r="HL297" s="17"/>
      <c r="HM297" s="17"/>
      <c r="HN297" s="17"/>
      <c r="HO297" s="17"/>
      <c r="HP297" s="17"/>
      <c r="HQ297" s="17"/>
      <c r="HR297" s="17"/>
      <c r="HS297" s="17"/>
      <c r="HT297" s="17"/>
      <c r="HU297" s="17"/>
      <c r="HV297" s="17"/>
      <c r="HW297" s="17"/>
      <c r="HX297" s="17"/>
      <c r="HY297" s="17"/>
      <c r="HZ297" s="17"/>
      <c r="IA297" s="17"/>
      <c r="IB297" s="17"/>
      <c r="IC297" s="17"/>
      <c r="ID297" s="17"/>
      <c r="IE297" s="17"/>
      <c r="IF297" s="17"/>
      <c r="IG297" s="17"/>
      <c r="IH297" s="17"/>
      <c r="II297" s="17"/>
      <c r="IJ297" s="17"/>
      <c r="IK297" s="17"/>
      <c r="IL297" s="17"/>
      <c r="IM297" s="17"/>
      <c r="IN297" s="17"/>
      <c r="IO297" s="17"/>
      <c r="IP297" s="17"/>
      <c r="IQ297" s="17"/>
      <c r="IR297" s="17"/>
      <c r="IS297" s="17"/>
      <c r="IT297" s="17"/>
      <c r="IU297" s="17"/>
      <c r="IV297" s="17"/>
      <c r="IW297" s="17"/>
      <c r="IX297" s="17"/>
      <c r="IY297" s="17"/>
      <c r="IZ297" s="17"/>
      <c r="JA297" s="17"/>
      <c r="JB297" s="17"/>
      <c r="JC297" s="17"/>
      <c r="JD297" s="17"/>
      <c r="JE297" s="17"/>
      <c r="JF297" s="17"/>
      <c r="JG297" s="17"/>
      <c r="JH297" s="17"/>
      <c r="JI297" s="17"/>
      <c r="JJ297" s="17"/>
      <c r="JK297" s="17"/>
      <c r="JL297" s="17"/>
      <c r="JM297" s="17"/>
      <c r="JN297" s="17"/>
      <c r="JO297" s="17"/>
      <c r="JP297" s="17"/>
      <c r="JQ297" s="17"/>
      <c r="JR297" s="17"/>
      <c r="JS297" s="17"/>
      <c r="JT297" s="17"/>
      <c r="JU297" s="17"/>
      <c r="JV297" s="17"/>
      <c r="JW297" s="17"/>
      <c r="JX297" s="17"/>
      <c r="JY297" s="17"/>
      <c r="JZ297" s="17"/>
      <c r="KA297" s="17"/>
      <c r="KB297" s="17"/>
      <c r="KC297" s="17"/>
      <c r="KD297" s="17"/>
      <c r="KE297" s="17"/>
      <c r="KF297" s="17"/>
      <c r="KG297" s="17"/>
      <c r="KH297" s="17"/>
      <c r="KI297" s="17"/>
      <c r="KJ297" s="17"/>
      <c r="KK297" s="17"/>
      <c r="KL297" s="17"/>
      <c r="KM297" s="17"/>
      <c r="KN297" s="17"/>
      <c r="KO297" s="17"/>
      <c r="KP297" s="17"/>
      <c r="KQ297" s="17"/>
      <c r="KR297" s="17"/>
      <c r="KS297" s="17"/>
      <c r="KT297" s="17"/>
      <c r="KU297" s="17"/>
      <c r="KV297" s="17"/>
      <c r="KW297" s="17"/>
      <c r="KX297" s="17"/>
      <c r="KY297" s="17"/>
    </row>
    <row r="298" spans="1:311" x14ac:dyDescent="0.25">
      <c r="A298" s="17"/>
      <c r="B298" s="17"/>
      <c r="C298" s="17"/>
      <c r="D298" s="17"/>
      <c r="E298" s="17"/>
      <c r="F298" s="17"/>
      <c r="G298" s="17"/>
      <c r="H298" s="17"/>
      <c r="I298" s="17"/>
      <c r="J298" s="17"/>
      <c r="K298" s="17"/>
      <c r="L298" s="17"/>
      <c r="M298" s="17"/>
      <c r="N298" s="17"/>
      <c r="O298" s="17"/>
      <c r="P298" s="17"/>
      <c r="Q298" s="17"/>
      <c r="R298" s="17"/>
      <c r="S298" s="17"/>
      <c r="T298" s="17"/>
      <c r="U298" s="17"/>
      <c r="V298" s="17"/>
      <c r="W298" s="17"/>
      <c r="X298" s="17"/>
      <c r="Y298" s="17"/>
      <c r="Z298" s="17"/>
      <c r="AA298" s="17"/>
      <c r="AB298" s="17"/>
      <c r="AC298" s="17"/>
      <c r="AD298" s="17"/>
      <c r="AE298" s="17"/>
      <c r="AF298" s="17"/>
      <c r="AG298" s="17"/>
      <c r="AH298" s="17"/>
      <c r="AI298" s="17"/>
      <c r="AJ298" s="17"/>
      <c r="AK298" s="17"/>
      <c r="AL298" s="17"/>
      <c r="AM298" s="17"/>
      <c r="AN298" s="17"/>
      <c r="AO298" s="17"/>
      <c r="AP298" s="17"/>
      <c r="AQ298" s="17"/>
      <c r="AR298" s="17"/>
      <c r="AS298" s="17"/>
      <c r="AT298" s="17"/>
      <c r="AU298" s="17"/>
      <c r="AV298" s="17"/>
      <c r="AW298" s="17"/>
      <c r="AX298" s="17"/>
      <c r="AY298" s="17"/>
      <c r="AZ298" s="17"/>
      <c r="BA298" s="17"/>
      <c r="BB298" s="17"/>
      <c r="BC298" s="17"/>
      <c r="BD298" s="17"/>
      <c r="BE298" s="17"/>
      <c r="BF298" s="17"/>
      <c r="BG298" s="17"/>
      <c r="BH298" s="17"/>
      <c r="BI298" s="17"/>
      <c r="BJ298" s="17"/>
      <c r="BK298" s="17"/>
      <c r="BL298" s="17"/>
      <c r="BM298" s="17"/>
      <c r="BN298" s="17"/>
      <c r="BO298" s="17"/>
      <c r="BP298" s="17"/>
      <c r="BQ298" s="17"/>
      <c r="BR298" s="17"/>
      <c r="BS298" s="17"/>
      <c r="BT298" s="17"/>
      <c r="BU298" s="17"/>
      <c r="BV298" s="17"/>
      <c r="BW298" s="17"/>
      <c r="BX298" s="17"/>
      <c r="BY298" s="17"/>
      <c r="BZ298" s="17"/>
      <c r="CA298" s="17"/>
      <c r="CB298" s="17"/>
      <c r="CC298" s="17"/>
      <c r="CD298" s="17"/>
      <c r="CE298" s="17"/>
      <c r="CF298" s="17"/>
      <c r="CG298" s="17"/>
      <c r="CH298" s="17"/>
      <c r="CI298" s="17"/>
      <c r="CJ298" s="17"/>
      <c r="CK298" s="17"/>
      <c r="CL298" s="17"/>
      <c r="CM298" s="17"/>
      <c r="CN298" s="17"/>
      <c r="CO298" s="17"/>
      <c r="CP298" s="17"/>
      <c r="CQ298" s="17"/>
      <c r="CR298" s="17"/>
      <c r="CS298" s="17"/>
      <c r="CT298" s="17"/>
      <c r="CU298" s="17"/>
      <c r="CV298" s="17"/>
      <c r="CW298" s="17"/>
      <c r="CX298" s="17"/>
      <c r="CY298" s="17"/>
      <c r="CZ298" s="17"/>
      <c r="DA298" s="17"/>
      <c r="DB298" s="17"/>
      <c r="DC298" s="17"/>
      <c r="DD298" s="17"/>
      <c r="DE298" s="17"/>
      <c r="DF298" s="17"/>
      <c r="DG298" s="17"/>
      <c r="DH298" s="17"/>
      <c r="DI298" s="17"/>
      <c r="DJ298" s="17"/>
      <c r="DK298" s="17"/>
      <c r="DL298" s="17"/>
      <c r="DM298" s="17"/>
      <c r="DN298" s="17"/>
      <c r="DO298" s="17"/>
      <c r="DP298" s="17"/>
      <c r="DQ298" s="17"/>
      <c r="DR298" s="17"/>
      <c r="DS298" s="17"/>
      <c r="DT298" s="17"/>
      <c r="DU298" s="17"/>
      <c r="DV298" s="17"/>
      <c r="DW298" s="17"/>
      <c r="DX298" s="17"/>
      <c r="DY298" s="17"/>
      <c r="DZ298" s="17"/>
      <c r="EA298" s="17"/>
      <c r="EB298" s="17"/>
      <c r="EC298" s="17"/>
      <c r="ED298" s="17"/>
      <c r="EE298" s="17"/>
      <c r="EF298" s="17"/>
      <c r="EG298" s="17"/>
      <c r="EH298" s="17"/>
      <c r="EI298" s="17"/>
      <c r="EJ298" s="17"/>
      <c r="EK298" s="17"/>
      <c r="EL298" s="17"/>
      <c r="EM298" s="17"/>
      <c r="EN298" s="17"/>
      <c r="EO298" s="17"/>
      <c r="EP298" s="17"/>
      <c r="EQ298" s="17"/>
      <c r="ER298" s="17"/>
      <c r="ES298" s="17"/>
      <c r="ET298" s="17"/>
      <c r="EU298" s="17"/>
      <c r="EV298" s="17"/>
      <c r="EW298" s="17"/>
      <c r="EX298" s="17"/>
      <c r="EY298" s="17"/>
      <c r="EZ298" s="17"/>
      <c r="FA298" s="17"/>
      <c r="FB298" s="17"/>
      <c r="FC298" s="17"/>
      <c r="FD298" s="17"/>
      <c r="FE298" s="17"/>
      <c r="FF298" s="17"/>
      <c r="FG298" s="17"/>
      <c r="FH298" s="17"/>
      <c r="FI298" s="17"/>
      <c r="FJ298" s="17"/>
      <c r="FK298" s="17"/>
      <c r="FL298" s="17"/>
      <c r="FM298" s="17"/>
      <c r="FN298" s="17"/>
      <c r="FO298" s="17"/>
      <c r="FP298" s="17"/>
      <c r="FQ298" s="17"/>
      <c r="FR298" s="17"/>
      <c r="FS298" s="17"/>
      <c r="FT298" s="17"/>
      <c r="FU298" s="17"/>
      <c r="FV298" s="17"/>
      <c r="FW298" s="17"/>
      <c r="FX298" s="17"/>
      <c r="FY298" s="17"/>
      <c r="FZ298" s="17"/>
      <c r="GA298" s="17"/>
      <c r="GB298" s="17"/>
      <c r="GC298" s="17"/>
      <c r="GD298" s="17"/>
      <c r="GE298" s="17"/>
      <c r="GF298" s="17"/>
      <c r="GG298" s="17"/>
      <c r="GH298" s="17"/>
      <c r="GI298" s="17"/>
      <c r="GJ298" s="17"/>
      <c r="GK298" s="17"/>
      <c r="GL298" s="17"/>
      <c r="GM298" s="17"/>
      <c r="GN298" s="17"/>
      <c r="GO298" s="17"/>
      <c r="GP298" s="17"/>
      <c r="GQ298" s="17"/>
      <c r="GR298" s="17"/>
      <c r="GS298" s="17"/>
      <c r="GT298" s="17"/>
      <c r="GU298" s="17"/>
      <c r="GV298" s="17"/>
      <c r="GW298" s="17"/>
      <c r="GX298" s="17"/>
      <c r="GY298" s="17"/>
      <c r="GZ298" s="17"/>
      <c r="HA298" s="17"/>
      <c r="HB298" s="17"/>
      <c r="HC298" s="17"/>
      <c r="HD298" s="17"/>
      <c r="HE298" s="17"/>
      <c r="HF298" s="17"/>
      <c r="HG298" s="17"/>
      <c r="HH298" s="17"/>
      <c r="HI298" s="17"/>
      <c r="HJ298" s="17"/>
      <c r="HK298" s="17"/>
      <c r="HL298" s="17"/>
      <c r="HM298" s="17"/>
      <c r="HN298" s="17"/>
      <c r="HO298" s="17"/>
      <c r="HP298" s="17"/>
      <c r="HQ298" s="17"/>
      <c r="HR298" s="17"/>
      <c r="HS298" s="17"/>
      <c r="HT298" s="17"/>
      <c r="HU298" s="17"/>
      <c r="HV298" s="17"/>
      <c r="HW298" s="17"/>
      <c r="HX298" s="17"/>
      <c r="HY298" s="17"/>
      <c r="HZ298" s="17"/>
      <c r="IA298" s="17"/>
      <c r="IB298" s="17"/>
      <c r="IC298" s="17"/>
      <c r="ID298" s="17"/>
      <c r="IE298" s="17"/>
      <c r="IF298" s="17"/>
      <c r="IG298" s="17"/>
      <c r="IH298" s="17"/>
      <c r="II298" s="17"/>
      <c r="IJ298" s="17"/>
      <c r="IK298" s="17"/>
      <c r="IL298" s="17"/>
      <c r="IM298" s="17"/>
      <c r="IN298" s="17"/>
      <c r="IO298" s="17"/>
      <c r="IP298" s="17"/>
      <c r="IQ298" s="17"/>
      <c r="IR298" s="17"/>
      <c r="IS298" s="17"/>
      <c r="IT298" s="17"/>
      <c r="IU298" s="17"/>
      <c r="IV298" s="17"/>
      <c r="IW298" s="17"/>
      <c r="IX298" s="17"/>
      <c r="IY298" s="17"/>
      <c r="IZ298" s="17"/>
      <c r="JA298" s="17"/>
      <c r="JB298" s="17"/>
      <c r="JC298" s="17"/>
      <c r="JD298" s="17"/>
      <c r="JE298" s="17"/>
      <c r="JF298" s="17"/>
      <c r="JG298" s="17"/>
      <c r="JH298" s="17"/>
      <c r="JI298" s="17"/>
      <c r="JJ298" s="17"/>
      <c r="JK298" s="17"/>
      <c r="JL298" s="17"/>
      <c r="JM298" s="17"/>
      <c r="JN298" s="17"/>
      <c r="JO298" s="17"/>
      <c r="JP298" s="17"/>
      <c r="JQ298" s="17"/>
      <c r="JR298" s="17"/>
      <c r="JS298" s="17"/>
      <c r="JT298" s="17"/>
      <c r="JU298" s="17"/>
      <c r="JV298" s="17"/>
      <c r="JW298" s="17"/>
      <c r="JX298" s="17"/>
      <c r="JY298" s="17"/>
      <c r="JZ298" s="17"/>
      <c r="KA298" s="17"/>
      <c r="KB298" s="17"/>
      <c r="KC298" s="17"/>
      <c r="KD298" s="17"/>
      <c r="KE298" s="17"/>
      <c r="KF298" s="17"/>
      <c r="KG298" s="17"/>
      <c r="KH298" s="17"/>
      <c r="KI298" s="17"/>
      <c r="KJ298" s="17"/>
      <c r="KK298" s="17"/>
      <c r="KL298" s="17"/>
      <c r="KM298" s="17"/>
      <c r="KN298" s="17"/>
      <c r="KO298" s="17"/>
      <c r="KP298" s="17"/>
      <c r="KQ298" s="17"/>
      <c r="KR298" s="17"/>
      <c r="KS298" s="17"/>
      <c r="KT298" s="17"/>
      <c r="KU298" s="17"/>
      <c r="KV298" s="17"/>
      <c r="KW298" s="17"/>
      <c r="KX298" s="17"/>
      <c r="KY298" s="17"/>
    </row>
    <row r="299" spans="1:311" x14ac:dyDescent="0.25">
      <c r="A299" s="17"/>
      <c r="B299" s="17"/>
      <c r="C299" s="17"/>
      <c r="D299" s="17"/>
      <c r="E299" s="17"/>
      <c r="F299" s="17"/>
      <c r="G299" s="17"/>
      <c r="H299" s="17"/>
      <c r="I299" s="17"/>
      <c r="J299" s="17"/>
      <c r="K299" s="17"/>
      <c r="L299" s="17"/>
      <c r="M299" s="17"/>
      <c r="N299" s="17"/>
      <c r="O299" s="17"/>
      <c r="P299" s="17"/>
      <c r="Q299" s="17"/>
      <c r="R299" s="17"/>
      <c r="S299" s="17"/>
      <c r="T299" s="17"/>
      <c r="U299" s="17"/>
      <c r="V299" s="17"/>
      <c r="W299" s="17"/>
      <c r="X299" s="17"/>
      <c r="Y299" s="17"/>
      <c r="Z299" s="17"/>
      <c r="AA299" s="17"/>
      <c r="AB299" s="17"/>
      <c r="AC299" s="17"/>
      <c r="AD299" s="17"/>
      <c r="AE299" s="17"/>
      <c r="AF299" s="17"/>
      <c r="AG299" s="17"/>
      <c r="AH299" s="17"/>
      <c r="AI299" s="17"/>
      <c r="AJ299" s="17"/>
      <c r="AK299" s="17"/>
      <c r="AL299" s="17"/>
      <c r="AM299" s="17"/>
      <c r="AN299" s="17"/>
      <c r="AO299" s="17"/>
      <c r="AP299" s="17"/>
      <c r="AQ299" s="17"/>
      <c r="AR299" s="17"/>
      <c r="AS299" s="17"/>
      <c r="AT299" s="17"/>
      <c r="AU299" s="17"/>
      <c r="AV299" s="17"/>
      <c r="AW299" s="17"/>
      <c r="AX299" s="17"/>
      <c r="AY299" s="17"/>
      <c r="AZ299" s="17"/>
      <c r="BA299" s="17"/>
      <c r="BB299" s="17"/>
      <c r="BC299" s="17"/>
      <c r="BD299" s="17"/>
      <c r="BE299" s="17"/>
      <c r="BF299" s="17"/>
      <c r="BG299" s="17"/>
      <c r="BH299" s="17"/>
      <c r="BI299" s="17"/>
      <c r="BJ299" s="17"/>
      <c r="BK299" s="17"/>
      <c r="BL299" s="17"/>
      <c r="BM299" s="17"/>
      <c r="BN299" s="17"/>
      <c r="BO299" s="17"/>
      <c r="BP299" s="17"/>
      <c r="BQ299" s="17"/>
      <c r="BR299" s="17"/>
      <c r="BS299" s="17"/>
      <c r="BT299" s="17"/>
      <c r="BU299" s="17"/>
      <c r="BV299" s="17"/>
      <c r="BW299" s="17"/>
      <c r="BX299" s="17"/>
      <c r="BY299" s="17"/>
      <c r="BZ299" s="17"/>
      <c r="CA299" s="17"/>
      <c r="CB299" s="17"/>
      <c r="CC299" s="17"/>
      <c r="CD299" s="17"/>
      <c r="CE299" s="17"/>
      <c r="CF299" s="17"/>
      <c r="CG299" s="17"/>
      <c r="CH299" s="17"/>
      <c r="CI299" s="17"/>
      <c r="CJ299" s="17"/>
      <c r="CK299" s="17"/>
      <c r="CL299" s="17"/>
      <c r="CM299" s="17"/>
      <c r="CN299" s="17"/>
      <c r="CO299" s="17"/>
      <c r="CP299" s="17"/>
      <c r="CQ299" s="17"/>
      <c r="CR299" s="17"/>
      <c r="CS299" s="17"/>
      <c r="CT299" s="17"/>
      <c r="CU299" s="17"/>
      <c r="CV299" s="17"/>
      <c r="CW299" s="17"/>
      <c r="CX299" s="17"/>
      <c r="CY299" s="17"/>
      <c r="CZ299" s="17"/>
      <c r="DA299" s="17"/>
      <c r="DB299" s="17"/>
      <c r="DC299" s="17"/>
      <c r="DD299" s="17"/>
      <c r="DE299" s="17"/>
      <c r="DF299" s="17"/>
      <c r="DG299" s="17"/>
      <c r="DH299" s="17"/>
      <c r="DI299" s="17"/>
      <c r="DJ299" s="17"/>
      <c r="DK299" s="17"/>
      <c r="DL299" s="17"/>
      <c r="DM299" s="17"/>
      <c r="DN299" s="17"/>
      <c r="DO299" s="17"/>
      <c r="DP299" s="17"/>
      <c r="DQ299" s="17"/>
      <c r="DR299" s="17"/>
      <c r="DS299" s="17"/>
      <c r="DT299" s="17"/>
      <c r="DU299" s="17"/>
      <c r="DV299" s="17"/>
      <c r="DW299" s="17"/>
      <c r="DX299" s="17"/>
      <c r="DY299" s="17"/>
      <c r="DZ299" s="17"/>
      <c r="EA299" s="17"/>
      <c r="EB299" s="17"/>
      <c r="EC299" s="17"/>
      <c r="ED299" s="17"/>
      <c r="EE299" s="17"/>
      <c r="EF299" s="17"/>
      <c r="EG299" s="17"/>
      <c r="EH299" s="17"/>
      <c r="EI299" s="17"/>
      <c r="EJ299" s="17"/>
      <c r="EK299" s="17"/>
      <c r="EL299" s="17"/>
      <c r="EM299" s="17"/>
      <c r="EN299" s="17"/>
      <c r="EO299" s="17"/>
      <c r="EP299" s="17"/>
      <c r="EQ299" s="17"/>
      <c r="ER299" s="17"/>
      <c r="ES299" s="17"/>
      <c r="ET299" s="17"/>
      <c r="EU299" s="17"/>
      <c r="EV299" s="17"/>
      <c r="EW299" s="17"/>
      <c r="EX299" s="17"/>
      <c r="EY299" s="17"/>
      <c r="EZ299" s="17"/>
      <c r="FA299" s="17"/>
      <c r="FB299" s="17"/>
      <c r="FC299" s="17"/>
      <c r="FD299" s="17"/>
      <c r="FE299" s="17"/>
      <c r="FF299" s="17"/>
      <c r="FG299" s="17"/>
      <c r="FH299" s="17"/>
      <c r="FI299" s="17"/>
      <c r="FJ299" s="17"/>
      <c r="FK299" s="17"/>
      <c r="FL299" s="17"/>
      <c r="FM299" s="17"/>
      <c r="FN299" s="17"/>
      <c r="FO299" s="17"/>
      <c r="FP299" s="17"/>
      <c r="FQ299" s="17"/>
      <c r="FR299" s="17"/>
      <c r="FS299" s="17"/>
      <c r="FT299" s="17"/>
      <c r="FU299" s="17"/>
      <c r="FV299" s="17"/>
      <c r="FW299" s="17"/>
      <c r="FX299" s="17"/>
      <c r="FY299" s="17"/>
      <c r="FZ299" s="17"/>
      <c r="GA299" s="17"/>
      <c r="GB299" s="17"/>
      <c r="GC299" s="17"/>
      <c r="GD299" s="17"/>
      <c r="GE299" s="17"/>
      <c r="GF299" s="17"/>
      <c r="GG299" s="17"/>
      <c r="GH299" s="17"/>
      <c r="GI299" s="17"/>
      <c r="GJ299" s="17"/>
      <c r="GK299" s="17"/>
      <c r="GL299" s="17"/>
      <c r="GM299" s="17"/>
      <c r="GN299" s="17"/>
      <c r="GO299" s="17"/>
      <c r="GP299" s="17"/>
      <c r="GQ299" s="17"/>
      <c r="GR299" s="17"/>
      <c r="GS299" s="17"/>
      <c r="GT299" s="17"/>
      <c r="GU299" s="17"/>
      <c r="GV299" s="17"/>
      <c r="GW299" s="17"/>
      <c r="GX299" s="17"/>
      <c r="GY299" s="17"/>
      <c r="GZ299" s="17"/>
      <c r="HA299" s="17"/>
      <c r="HB299" s="17"/>
      <c r="HC299" s="17"/>
      <c r="HD299" s="17"/>
      <c r="HE299" s="17"/>
      <c r="HF299" s="17"/>
      <c r="HG299" s="17"/>
      <c r="HH299" s="17"/>
      <c r="HI299" s="17"/>
      <c r="HJ299" s="17"/>
      <c r="HK299" s="17"/>
      <c r="HL299" s="17"/>
      <c r="HM299" s="17"/>
      <c r="HN299" s="17"/>
      <c r="HO299" s="17"/>
      <c r="HP299" s="17"/>
      <c r="HQ299" s="17"/>
      <c r="HR299" s="17"/>
      <c r="HS299" s="17"/>
      <c r="HT299" s="17"/>
      <c r="HU299" s="17"/>
      <c r="HV299" s="17"/>
      <c r="HW299" s="17"/>
      <c r="HX299" s="17"/>
      <c r="HY299" s="17"/>
      <c r="HZ299" s="17"/>
      <c r="IA299" s="17"/>
      <c r="IB299" s="17"/>
      <c r="IC299" s="17"/>
      <c r="ID299" s="17"/>
      <c r="IE299" s="17"/>
      <c r="IF299" s="17"/>
      <c r="IG299" s="17"/>
      <c r="IH299" s="17"/>
      <c r="II299" s="17"/>
      <c r="IJ299" s="17"/>
      <c r="IK299" s="17"/>
      <c r="IL299" s="17"/>
      <c r="IM299" s="17"/>
      <c r="IN299" s="17"/>
      <c r="IO299" s="17"/>
      <c r="IP299" s="17"/>
      <c r="IQ299" s="17"/>
      <c r="IR299" s="17"/>
      <c r="IS299" s="17"/>
      <c r="IT299" s="17"/>
      <c r="IU299" s="17"/>
      <c r="IV299" s="17"/>
      <c r="IW299" s="17"/>
      <c r="IX299" s="17"/>
      <c r="IY299" s="17"/>
      <c r="IZ299" s="17"/>
      <c r="JA299" s="17"/>
      <c r="JB299" s="17"/>
      <c r="JC299" s="17"/>
      <c r="JD299" s="17"/>
      <c r="JE299" s="17"/>
      <c r="JF299" s="17"/>
      <c r="JG299" s="17"/>
      <c r="JH299" s="17"/>
      <c r="JI299" s="17"/>
      <c r="JJ299" s="17"/>
      <c r="JK299" s="17"/>
      <c r="JL299" s="17"/>
      <c r="JM299" s="17"/>
      <c r="JN299" s="17"/>
      <c r="JO299" s="17"/>
      <c r="JP299" s="17"/>
      <c r="JQ299" s="17"/>
      <c r="JR299" s="17"/>
      <c r="JS299" s="17"/>
      <c r="JT299" s="17"/>
      <c r="JU299" s="17"/>
      <c r="JV299" s="17"/>
      <c r="JW299" s="17"/>
      <c r="JX299" s="17"/>
      <c r="JY299" s="17"/>
      <c r="JZ299" s="17"/>
      <c r="KA299" s="17"/>
      <c r="KB299" s="17"/>
      <c r="KC299" s="17"/>
      <c r="KD299" s="17"/>
      <c r="KE299" s="17"/>
      <c r="KF299" s="17"/>
      <c r="KG299" s="17"/>
      <c r="KH299" s="17"/>
      <c r="KI299" s="17"/>
      <c r="KJ299" s="17"/>
      <c r="KK299" s="17"/>
      <c r="KL299" s="17"/>
      <c r="KM299" s="17"/>
      <c r="KN299" s="17"/>
      <c r="KO299" s="17"/>
      <c r="KP299" s="17"/>
      <c r="KQ299" s="17"/>
      <c r="KR299" s="17"/>
      <c r="KS299" s="17"/>
      <c r="KT299" s="17"/>
      <c r="KU299" s="17"/>
      <c r="KV299" s="17"/>
      <c r="KW299" s="17"/>
      <c r="KX299" s="17"/>
      <c r="KY299" s="17"/>
    </row>
    <row r="300" spans="1:311" x14ac:dyDescent="0.25">
      <c r="A300" s="17"/>
      <c r="B300" s="17"/>
      <c r="C300" s="17"/>
      <c r="D300" s="17"/>
      <c r="E300" s="17"/>
      <c r="F300" s="17"/>
      <c r="G300" s="17"/>
      <c r="H300" s="17"/>
      <c r="I300" s="17"/>
      <c r="J300" s="17"/>
      <c r="K300" s="17"/>
      <c r="L300" s="17"/>
      <c r="M300" s="17"/>
      <c r="N300" s="17"/>
      <c r="O300" s="17"/>
      <c r="P300" s="17"/>
      <c r="Q300" s="17"/>
      <c r="R300" s="17"/>
      <c r="S300" s="17"/>
      <c r="T300" s="17"/>
      <c r="U300" s="17"/>
      <c r="V300" s="17"/>
      <c r="W300" s="17"/>
      <c r="X300" s="17"/>
      <c r="Y300" s="17"/>
      <c r="Z300" s="17"/>
      <c r="AA300" s="17"/>
      <c r="AB300" s="17"/>
      <c r="AC300" s="17"/>
      <c r="AD300" s="17"/>
      <c r="AE300" s="17"/>
      <c r="AF300" s="17"/>
      <c r="AG300" s="17"/>
      <c r="AH300" s="17"/>
      <c r="AI300" s="17"/>
      <c r="AJ300" s="17"/>
      <c r="AK300" s="17"/>
      <c r="AL300" s="17"/>
      <c r="AM300" s="17"/>
      <c r="AN300" s="17"/>
      <c r="AO300" s="17"/>
      <c r="AP300" s="17"/>
      <c r="AQ300" s="17"/>
      <c r="AR300" s="17"/>
      <c r="AS300" s="17"/>
      <c r="AT300" s="17"/>
      <c r="AU300" s="17"/>
      <c r="AV300" s="17"/>
      <c r="AW300" s="17"/>
      <c r="AX300" s="17"/>
      <c r="AY300" s="17"/>
      <c r="AZ300" s="17"/>
      <c r="BA300" s="17"/>
      <c r="BB300" s="17"/>
      <c r="BC300" s="17"/>
      <c r="BD300" s="17"/>
      <c r="BE300" s="17"/>
      <c r="BF300" s="17"/>
      <c r="BG300" s="17"/>
      <c r="BH300" s="17"/>
      <c r="BI300" s="17"/>
      <c r="BJ300" s="17"/>
      <c r="BK300" s="17"/>
      <c r="BL300" s="17"/>
      <c r="BM300" s="17"/>
      <c r="BN300" s="17"/>
      <c r="BO300" s="17"/>
      <c r="BP300" s="17"/>
      <c r="BQ300" s="17"/>
      <c r="BR300" s="17"/>
      <c r="BS300" s="17"/>
      <c r="BT300" s="17"/>
      <c r="BU300" s="17"/>
      <c r="BV300" s="17"/>
      <c r="BW300" s="17"/>
      <c r="BX300" s="17"/>
      <c r="BY300" s="17"/>
      <c r="BZ300" s="17"/>
      <c r="CA300" s="17"/>
      <c r="CB300" s="17"/>
      <c r="CC300" s="17"/>
      <c r="CD300" s="17"/>
      <c r="CE300" s="17"/>
      <c r="CF300" s="17"/>
      <c r="CG300" s="17"/>
      <c r="CH300" s="17"/>
      <c r="CI300" s="17"/>
      <c r="CJ300" s="17"/>
      <c r="CK300" s="17"/>
      <c r="CL300" s="17"/>
      <c r="CM300" s="17"/>
      <c r="CN300" s="17"/>
      <c r="CO300" s="17"/>
      <c r="CP300" s="17"/>
      <c r="CQ300" s="17"/>
      <c r="CR300" s="17"/>
      <c r="CS300" s="17"/>
      <c r="CT300" s="17"/>
      <c r="CU300" s="17"/>
      <c r="CV300" s="17"/>
      <c r="CW300" s="17"/>
      <c r="CX300" s="17"/>
      <c r="CY300" s="17"/>
      <c r="CZ300" s="17"/>
      <c r="DA300" s="17"/>
      <c r="DB300" s="17"/>
      <c r="DC300" s="17"/>
      <c r="DD300" s="17"/>
      <c r="DE300" s="17"/>
      <c r="DF300" s="17"/>
      <c r="DG300" s="17"/>
      <c r="DH300" s="17"/>
      <c r="DI300" s="17"/>
      <c r="DJ300" s="17"/>
      <c r="DK300" s="17"/>
      <c r="DL300" s="17"/>
      <c r="DM300" s="17"/>
      <c r="DN300" s="17"/>
      <c r="DO300" s="17"/>
      <c r="DP300" s="17"/>
      <c r="DQ300" s="17"/>
      <c r="DR300" s="17"/>
      <c r="DS300" s="17"/>
      <c r="DT300" s="17"/>
      <c r="DU300" s="17"/>
      <c r="DV300" s="17"/>
      <c r="DW300" s="17"/>
      <c r="DX300" s="17"/>
      <c r="DY300" s="17"/>
      <c r="DZ300" s="17"/>
      <c r="EA300" s="17"/>
      <c r="EB300" s="17"/>
      <c r="EC300" s="17"/>
      <c r="ED300" s="17"/>
      <c r="EE300" s="17"/>
      <c r="EF300" s="17"/>
      <c r="EG300" s="17"/>
      <c r="EH300" s="17"/>
      <c r="EI300" s="17"/>
      <c r="EJ300" s="17"/>
      <c r="EK300" s="17"/>
      <c r="EL300" s="17"/>
      <c r="EM300" s="17"/>
      <c r="EN300" s="17"/>
      <c r="EO300" s="17"/>
      <c r="EP300" s="17"/>
      <c r="EQ300" s="17"/>
      <c r="ER300" s="17"/>
      <c r="ES300" s="17"/>
      <c r="ET300" s="17"/>
      <c r="EU300" s="17"/>
      <c r="EV300" s="17"/>
      <c r="EW300" s="17"/>
      <c r="EX300" s="17"/>
      <c r="EY300" s="17"/>
      <c r="EZ300" s="17"/>
      <c r="FA300" s="17"/>
      <c r="FB300" s="17"/>
      <c r="FC300" s="17"/>
      <c r="FD300" s="17"/>
      <c r="FE300" s="17"/>
      <c r="FF300" s="17"/>
      <c r="FG300" s="17"/>
      <c r="FH300" s="17"/>
      <c r="FI300" s="17"/>
      <c r="FJ300" s="17"/>
      <c r="FK300" s="17"/>
      <c r="FL300" s="17"/>
      <c r="FM300" s="17"/>
      <c r="FN300" s="17"/>
      <c r="FO300" s="17"/>
      <c r="FP300" s="17"/>
      <c r="FQ300" s="17"/>
      <c r="FR300" s="17"/>
      <c r="FS300" s="17"/>
      <c r="FT300" s="17"/>
      <c r="FU300" s="17"/>
      <c r="FV300" s="17"/>
      <c r="FW300" s="17"/>
      <c r="FX300" s="17"/>
      <c r="FY300" s="17"/>
      <c r="FZ300" s="17"/>
      <c r="GA300" s="17"/>
      <c r="GB300" s="17"/>
      <c r="GC300" s="17"/>
      <c r="GD300" s="17"/>
      <c r="GE300" s="17"/>
      <c r="GF300" s="17"/>
      <c r="GG300" s="17"/>
      <c r="GH300" s="17"/>
      <c r="GI300" s="17"/>
      <c r="GJ300" s="17"/>
      <c r="GK300" s="17"/>
      <c r="GL300" s="17"/>
      <c r="GM300" s="17"/>
      <c r="GN300" s="17"/>
      <c r="GO300" s="17"/>
      <c r="GP300" s="17"/>
      <c r="GQ300" s="17"/>
      <c r="GR300" s="17"/>
      <c r="GS300" s="17"/>
      <c r="GT300" s="17"/>
      <c r="GU300" s="17"/>
      <c r="GV300" s="17"/>
      <c r="GW300" s="17"/>
      <c r="GX300" s="17"/>
      <c r="GY300" s="17"/>
      <c r="GZ300" s="17"/>
      <c r="HA300" s="17"/>
      <c r="HB300" s="17"/>
      <c r="HC300" s="17"/>
      <c r="HD300" s="17"/>
      <c r="HE300" s="17"/>
      <c r="HF300" s="17"/>
      <c r="HG300" s="17"/>
      <c r="HH300" s="17"/>
      <c r="HI300" s="17"/>
      <c r="HJ300" s="17"/>
      <c r="HK300" s="17"/>
      <c r="HL300" s="17"/>
      <c r="HM300" s="17"/>
      <c r="HN300" s="17"/>
      <c r="HO300" s="17"/>
      <c r="HP300" s="17"/>
      <c r="HQ300" s="17"/>
      <c r="HR300" s="17"/>
      <c r="HS300" s="17"/>
      <c r="HT300" s="17"/>
      <c r="HU300" s="17"/>
      <c r="HV300" s="17"/>
      <c r="HW300" s="17"/>
      <c r="HX300" s="17"/>
      <c r="HY300" s="17"/>
      <c r="HZ300" s="17"/>
      <c r="IA300" s="17"/>
      <c r="IB300" s="17"/>
      <c r="IC300" s="17"/>
      <c r="ID300" s="17"/>
      <c r="IE300" s="17"/>
      <c r="IF300" s="17"/>
      <c r="IG300" s="17"/>
      <c r="IH300" s="17"/>
      <c r="II300" s="17"/>
      <c r="IJ300" s="17"/>
      <c r="IK300" s="17"/>
      <c r="IL300" s="17"/>
      <c r="IM300" s="17"/>
      <c r="IN300" s="17"/>
      <c r="IO300" s="17"/>
      <c r="IP300" s="17"/>
      <c r="IQ300" s="17"/>
      <c r="IR300" s="17"/>
      <c r="IS300" s="17"/>
      <c r="IT300" s="17"/>
      <c r="IU300" s="17"/>
      <c r="IV300" s="17"/>
      <c r="IW300" s="17"/>
      <c r="IX300" s="17"/>
      <c r="IY300" s="17"/>
      <c r="IZ300" s="17"/>
      <c r="JA300" s="17"/>
      <c r="JB300" s="17"/>
      <c r="JC300" s="17"/>
      <c r="JD300" s="17"/>
      <c r="JE300" s="17"/>
      <c r="JF300" s="17"/>
      <c r="JG300" s="17"/>
      <c r="JH300" s="17"/>
      <c r="JI300" s="17"/>
      <c r="JJ300" s="17"/>
      <c r="JK300" s="17"/>
      <c r="JL300" s="17"/>
      <c r="JM300" s="17"/>
      <c r="JN300" s="17"/>
      <c r="JO300" s="17"/>
      <c r="JP300" s="17"/>
      <c r="JQ300" s="17"/>
      <c r="JR300" s="17"/>
      <c r="JS300" s="17"/>
      <c r="JT300" s="17"/>
      <c r="JU300" s="17"/>
      <c r="JV300" s="17"/>
      <c r="JW300" s="17"/>
      <c r="JX300" s="17"/>
      <c r="JY300" s="17"/>
      <c r="JZ300" s="17"/>
      <c r="KA300" s="17"/>
      <c r="KB300" s="17"/>
      <c r="KC300" s="17"/>
      <c r="KD300" s="17"/>
      <c r="KE300" s="17"/>
      <c r="KF300" s="17"/>
      <c r="KG300" s="17"/>
      <c r="KH300" s="17"/>
      <c r="KI300" s="17"/>
      <c r="KJ300" s="17"/>
      <c r="KK300" s="17"/>
      <c r="KL300" s="17"/>
      <c r="KM300" s="17"/>
      <c r="KN300" s="17"/>
      <c r="KO300" s="17"/>
      <c r="KP300" s="17"/>
      <c r="KQ300" s="17"/>
      <c r="KR300" s="17"/>
      <c r="KS300" s="17"/>
      <c r="KT300" s="17"/>
      <c r="KU300" s="17"/>
      <c r="KV300" s="17"/>
      <c r="KW300" s="17"/>
      <c r="KX300" s="17"/>
      <c r="KY300" s="17"/>
    </row>
    <row r="301" spans="1:311" x14ac:dyDescent="0.25">
      <c r="A301" s="17"/>
      <c r="B301" s="17"/>
      <c r="C301" s="17"/>
      <c r="D301" s="17"/>
      <c r="E301" s="17"/>
      <c r="F301" s="17"/>
      <c r="G301" s="17"/>
      <c r="H301" s="17"/>
      <c r="I301" s="17"/>
      <c r="J301" s="17"/>
      <c r="K301" s="17"/>
      <c r="L301" s="17"/>
      <c r="M301" s="17"/>
      <c r="N301" s="17"/>
      <c r="O301" s="17"/>
      <c r="P301" s="17"/>
      <c r="Q301" s="17"/>
      <c r="R301" s="17"/>
      <c r="S301" s="17"/>
      <c r="T301" s="17"/>
      <c r="U301" s="17"/>
      <c r="V301" s="17"/>
      <c r="W301" s="17"/>
      <c r="X301" s="17"/>
      <c r="Y301" s="17"/>
      <c r="Z301" s="17"/>
      <c r="AA301" s="17"/>
      <c r="AB301" s="17"/>
      <c r="AC301" s="17"/>
      <c r="AD301" s="17"/>
      <c r="AE301" s="17"/>
      <c r="AF301" s="17"/>
      <c r="AG301" s="17"/>
      <c r="AH301" s="17"/>
      <c r="AI301" s="17"/>
      <c r="AJ301" s="17"/>
      <c r="AK301" s="17"/>
      <c r="AL301" s="17"/>
      <c r="AM301" s="17"/>
      <c r="AN301" s="17"/>
      <c r="AO301" s="17"/>
      <c r="AP301" s="17"/>
      <c r="AQ301" s="17"/>
      <c r="AR301" s="17"/>
      <c r="AS301" s="17"/>
      <c r="AT301" s="17"/>
      <c r="AU301" s="17"/>
      <c r="AV301" s="17"/>
      <c r="AW301" s="17"/>
      <c r="AX301" s="17"/>
      <c r="AY301" s="17"/>
      <c r="AZ301" s="17"/>
      <c r="BA301" s="17"/>
      <c r="BB301" s="17"/>
      <c r="BC301" s="17"/>
      <c r="BD301" s="17"/>
      <c r="BE301" s="17"/>
      <c r="BF301" s="17"/>
      <c r="BG301" s="17"/>
      <c r="BH301" s="17"/>
      <c r="BI301" s="17"/>
      <c r="BJ301" s="17"/>
      <c r="BK301" s="17"/>
      <c r="BL301" s="17"/>
      <c r="BM301" s="17"/>
      <c r="BN301" s="17"/>
      <c r="BO301" s="17"/>
      <c r="BP301" s="17"/>
      <c r="BQ301" s="17"/>
      <c r="BR301" s="17"/>
      <c r="BS301" s="17"/>
      <c r="BT301" s="17"/>
      <c r="BU301" s="17"/>
      <c r="BV301" s="17"/>
      <c r="BW301" s="17"/>
      <c r="BX301" s="17"/>
      <c r="BY301" s="17"/>
      <c r="BZ301" s="17"/>
      <c r="CA301" s="17"/>
      <c r="CB301" s="17"/>
      <c r="CC301" s="17"/>
      <c r="CD301" s="17"/>
      <c r="CE301" s="17"/>
      <c r="CF301" s="17"/>
      <c r="CG301" s="17"/>
      <c r="CH301" s="17"/>
      <c r="CI301" s="17"/>
      <c r="CJ301" s="17"/>
      <c r="CK301" s="17"/>
      <c r="CL301" s="17"/>
      <c r="CM301" s="17"/>
      <c r="CN301" s="17"/>
      <c r="CO301" s="17"/>
      <c r="CP301" s="17"/>
      <c r="CQ301" s="17"/>
      <c r="CR301" s="17"/>
      <c r="CS301" s="17"/>
      <c r="CT301" s="17"/>
      <c r="CU301" s="17"/>
      <c r="CV301" s="17"/>
      <c r="CW301" s="17"/>
      <c r="CX301" s="17"/>
      <c r="CY301" s="17"/>
      <c r="CZ301" s="17"/>
      <c r="DA301" s="17"/>
      <c r="DB301" s="17"/>
      <c r="DC301" s="17"/>
      <c r="DD301" s="17"/>
      <c r="DE301" s="17"/>
      <c r="DF301" s="17"/>
      <c r="DG301" s="17"/>
      <c r="DH301" s="17"/>
      <c r="DI301" s="17"/>
      <c r="DJ301" s="17"/>
      <c r="DK301" s="17"/>
      <c r="DL301" s="17"/>
      <c r="DM301" s="17"/>
      <c r="DN301" s="17"/>
      <c r="DO301" s="17"/>
      <c r="DP301" s="17"/>
      <c r="DQ301" s="17"/>
      <c r="DR301" s="17"/>
      <c r="DS301" s="17"/>
      <c r="DT301" s="17"/>
      <c r="DU301" s="17"/>
      <c r="DV301" s="17"/>
      <c r="DW301" s="17"/>
      <c r="DX301" s="17"/>
      <c r="DY301" s="17"/>
      <c r="DZ301" s="17"/>
      <c r="EA301" s="17"/>
      <c r="EB301" s="17"/>
      <c r="EC301" s="17"/>
      <c r="ED301" s="17"/>
      <c r="EE301" s="17"/>
      <c r="EF301" s="17"/>
      <c r="EG301" s="17"/>
      <c r="EH301" s="17"/>
      <c r="EI301" s="17"/>
      <c r="EJ301" s="17"/>
      <c r="EK301" s="17"/>
      <c r="EL301" s="17"/>
      <c r="EM301" s="17"/>
      <c r="EN301" s="17"/>
      <c r="EO301" s="17"/>
      <c r="EP301" s="17"/>
      <c r="EQ301" s="17"/>
      <c r="ER301" s="17"/>
      <c r="ES301" s="17"/>
      <c r="ET301" s="17"/>
      <c r="EU301" s="17"/>
      <c r="EV301" s="17"/>
      <c r="EW301" s="17"/>
      <c r="EX301" s="17"/>
      <c r="EY301" s="17"/>
      <c r="EZ301" s="17"/>
      <c r="FA301" s="17"/>
      <c r="FB301" s="17"/>
      <c r="FC301" s="17"/>
      <c r="FD301" s="17"/>
      <c r="FE301" s="17"/>
      <c r="FF301" s="17"/>
      <c r="FG301" s="17"/>
      <c r="FH301" s="17"/>
      <c r="FI301" s="17"/>
      <c r="FJ301" s="17"/>
      <c r="FK301" s="17"/>
      <c r="FL301" s="17"/>
      <c r="FM301" s="17"/>
      <c r="FN301" s="17"/>
      <c r="FO301" s="17"/>
      <c r="FP301" s="17"/>
      <c r="FQ301" s="17"/>
      <c r="FR301" s="17"/>
      <c r="FS301" s="17"/>
      <c r="FT301" s="17"/>
      <c r="FU301" s="17"/>
      <c r="FV301" s="17"/>
      <c r="FW301" s="17"/>
      <c r="FX301" s="17"/>
      <c r="FY301" s="17"/>
      <c r="FZ301" s="17"/>
      <c r="GA301" s="17"/>
      <c r="GB301" s="17"/>
      <c r="GC301" s="17"/>
      <c r="GD301" s="17"/>
      <c r="GE301" s="17"/>
      <c r="GF301" s="17"/>
      <c r="GG301" s="17"/>
      <c r="GH301" s="17"/>
      <c r="GI301" s="17"/>
      <c r="GJ301" s="17"/>
      <c r="GK301" s="17"/>
      <c r="GL301" s="17"/>
      <c r="GM301" s="17"/>
      <c r="GN301" s="17"/>
      <c r="GO301" s="17"/>
      <c r="GP301" s="17"/>
      <c r="GQ301" s="17"/>
      <c r="GR301" s="17"/>
      <c r="GS301" s="17"/>
      <c r="GT301" s="17"/>
      <c r="GU301" s="17"/>
      <c r="GV301" s="17"/>
      <c r="GW301" s="17"/>
      <c r="GX301" s="17"/>
      <c r="GY301" s="17"/>
      <c r="GZ301" s="17"/>
      <c r="HA301" s="17"/>
      <c r="HB301" s="17"/>
      <c r="HC301" s="17"/>
      <c r="HD301" s="17"/>
      <c r="HE301" s="17"/>
      <c r="HF301" s="17"/>
      <c r="HG301" s="17"/>
      <c r="HH301" s="17"/>
      <c r="HI301" s="17"/>
      <c r="HJ301" s="17"/>
      <c r="HK301" s="17"/>
      <c r="HL301" s="17"/>
      <c r="HM301" s="17"/>
      <c r="HN301" s="17"/>
      <c r="HO301" s="17"/>
      <c r="HP301" s="17"/>
      <c r="HQ301" s="17"/>
      <c r="HR301" s="17"/>
      <c r="HS301" s="17"/>
      <c r="HT301" s="17"/>
      <c r="HU301" s="17"/>
      <c r="HV301" s="17"/>
      <c r="HW301" s="17"/>
      <c r="HX301" s="17"/>
      <c r="HY301" s="17"/>
      <c r="HZ301" s="17"/>
      <c r="IA301" s="17"/>
      <c r="IB301" s="17"/>
      <c r="IC301" s="17"/>
      <c r="ID301" s="17"/>
      <c r="IE301" s="17"/>
      <c r="IF301" s="17"/>
      <c r="IG301" s="17"/>
      <c r="IH301" s="17"/>
      <c r="II301" s="17"/>
      <c r="IJ301" s="17"/>
      <c r="IK301" s="17"/>
      <c r="IL301" s="17"/>
      <c r="IM301" s="17"/>
      <c r="IN301" s="17"/>
      <c r="IO301" s="17"/>
      <c r="IP301" s="17"/>
      <c r="IQ301" s="17"/>
      <c r="IR301" s="17"/>
      <c r="IS301" s="17"/>
      <c r="IT301" s="17"/>
      <c r="IU301" s="17"/>
      <c r="IV301" s="17"/>
      <c r="IW301" s="17"/>
      <c r="IX301" s="17"/>
      <c r="IY301" s="17"/>
      <c r="IZ301" s="17"/>
      <c r="JA301" s="17"/>
      <c r="JB301" s="17"/>
      <c r="JC301" s="17"/>
      <c r="JD301" s="17"/>
      <c r="JE301" s="17"/>
      <c r="JF301" s="17"/>
      <c r="JG301" s="17"/>
      <c r="JH301" s="17"/>
      <c r="JI301" s="17"/>
      <c r="JJ301" s="17"/>
      <c r="JK301" s="17"/>
      <c r="JL301" s="17"/>
      <c r="JM301" s="17"/>
      <c r="JN301" s="17"/>
      <c r="JO301" s="17"/>
      <c r="JP301" s="17"/>
      <c r="JQ301" s="17"/>
      <c r="JR301" s="17"/>
      <c r="JS301" s="17"/>
      <c r="JT301" s="17"/>
      <c r="JU301" s="17"/>
      <c r="JV301" s="17"/>
      <c r="JW301" s="17"/>
      <c r="JX301" s="17"/>
      <c r="JY301" s="17"/>
      <c r="JZ301" s="17"/>
      <c r="KA301" s="17"/>
      <c r="KB301" s="17"/>
      <c r="KC301" s="17"/>
      <c r="KD301" s="17"/>
      <c r="KE301" s="17"/>
      <c r="KF301" s="17"/>
      <c r="KG301" s="17"/>
      <c r="KH301" s="17"/>
      <c r="KI301" s="17"/>
      <c r="KJ301" s="17"/>
      <c r="KK301" s="17"/>
      <c r="KL301" s="17"/>
      <c r="KM301" s="17"/>
      <c r="KN301" s="17"/>
      <c r="KO301" s="17"/>
      <c r="KP301" s="17"/>
      <c r="KQ301" s="17"/>
      <c r="KR301" s="17"/>
      <c r="KS301" s="17"/>
      <c r="KT301" s="17"/>
      <c r="KU301" s="17"/>
      <c r="KV301" s="17"/>
      <c r="KW301" s="17"/>
      <c r="KX301" s="17"/>
      <c r="KY301" s="17"/>
    </row>
    <row r="302" spans="1:311" x14ac:dyDescent="0.25">
      <c r="A302" s="17"/>
      <c r="B302" s="17"/>
      <c r="C302" s="17"/>
      <c r="D302" s="17"/>
      <c r="E302" s="17"/>
      <c r="F302" s="17"/>
      <c r="G302" s="17"/>
      <c r="H302" s="17"/>
      <c r="I302" s="17"/>
      <c r="J302" s="17"/>
      <c r="K302" s="17"/>
      <c r="L302" s="17"/>
      <c r="M302" s="17"/>
      <c r="N302" s="17"/>
      <c r="O302" s="17"/>
      <c r="P302" s="17"/>
      <c r="Q302" s="17"/>
      <c r="R302" s="17"/>
      <c r="S302" s="17"/>
      <c r="T302" s="17"/>
      <c r="U302" s="17"/>
      <c r="V302" s="17"/>
      <c r="W302" s="17"/>
      <c r="X302" s="17"/>
      <c r="Y302" s="17"/>
      <c r="Z302" s="17"/>
      <c r="AA302" s="17"/>
      <c r="AB302" s="17"/>
      <c r="AC302" s="17"/>
      <c r="AD302" s="17"/>
      <c r="AE302" s="17"/>
      <c r="AF302" s="17"/>
      <c r="AG302" s="17"/>
      <c r="AH302" s="17"/>
      <c r="AI302" s="17"/>
      <c r="AJ302" s="17"/>
      <c r="AK302" s="17"/>
      <c r="AL302" s="17"/>
      <c r="AM302" s="17"/>
      <c r="AN302" s="17"/>
      <c r="AO302" s="17"/>
      <c r="AP302" s="17"/>
      <c r="AQ302" s="17"/>
      <c r="AR302" s="17"/>
      <c r="AS302" s="17"/>
      <c r="AT302" s="17"/>
      <c r="AU302" s="17"/>
      <c r="AV302" s="17"/>
      <c r="AW302" s="17"/>
      <c r="AX302" s="17"/>
      <c r="AY302" s="17"/>
      <c r="AZ302" s="17"/>
      <c r="BA302" s="17"/>
      <c r="BB302" s="17"/>
      <c r="BC302" s="17"/>
      <c r="BD302" s="17"/>
      <c r="BE302" s="17"/>
      <c r="BF302" s="17"/>
      <c r="BG302" s="17"/>
      <c r="BH302" s="17"/>
      <c r="BI302" s="17"/>
      <c r="BJ302" s="17"/>
      <c r="BK302" s="17"/>
      <c r="BL302" s="17"/>
      <c r="BM302" s="17"/>
      <c r="BN302" s="17"/>
      <c r="BO302" s="17"/>
      <c r="BP302" s="17"/>
      <c r="BQ302" s="17"/>
      <c r="BR302" s="17"/>
      <c r="BS302" s="17"/>
      <c r="BT302" s="17"/>
      <c r="BU302" s="17"/>
      <c r="BV302" s="17"/>
      <c r="BW302" s="17"/>
      <c r="BX302" s="17"/>
      <c r="BY302" s="17"/>
      <c r="BZ302" s="17"/>
      <c r="CA302" s="17"/>
      <c r="CB302" s="17"/>
      <c r="CC302" s="17"/>
      <c r="CD302" s="17"/>
      <c r="CE302" s="17"/>
      <c r="CF302" s="17"/>
      <c r="CG302" s="17"/>
      <c r="CH302" s="17"/>
      <c r="CI302" s="17"/>
      <c r="CJ302" s="17"/>
      <c r="CK302" s="17"/>
      <c r="CL302" s="17"/>
      <c r="CM302" s="17"/>
      <c r="CN302" s="17"/>
      <c r="CO302" s="17"/>
      <c r="CP302" s="17"/>
      <c r="CQ302" s="17"/>
      <c r="CR302" s="17"/>
      <c r="CS302" s="17"/>
      <c r="CT302" s="17"/>
      <c r="CU302" s="17"/>
      <c r="CV302" s="17"/>
      <c r="CW302" s="17"/>
      <c r="CX302" s="17"/>
      <c r="CY302" s="17"/>
      <c r="CZ302" s="17"/>
      <c r="DA302" s="17"/>
      <c r="DB302" s="17"/>
      <c r="DC302" s="17"/>
      <c r="DD302" s="17"/>
      <c r="DE302" s="17"/>
      <c r="DF302" s="17"/>
      <c r="DG302" s="17"/>
      <c r="DH302" s="17"/>
      <c r="DI302" s="17"/>
      <c r="DJ302" s="17"/>
      <c r="DK302" s="17"/>
      <c r="DL302" s="17"/>
      <c r="DM302" s="17"/>
      <c r="DN302" s="17"/>
      <c r="DO302" s="17"/>
      <c r="DP302" s="17"/>
      <c r="DQ302" s="17"/>
      <c r="DR302" s="17"/>
      <c r="DS302" s="17"/>
      <c r="DT302" s="17"/>
      <c r="DU302" s="17"/>
      <c r="DV302" s="17"/>
      <c r="DW302" s="17"/>
      <c r="DX302" s="17"/>
      <c r="DY302" s="17"/>
      <c r="DZ302" s="17"/>
      <c r="EA302" s="17"/>
      <c r="EB302" s="17"/>
      <c r="EC302" s="17"/>
      <c r="ED302" s="17"/>
      <c r="EE302" s="17"/>
      <c r="EF302" s="17"/>
      <c r="EG302" s="17"/>
      <c r="EH302" s="17"/>
      <c r="EI302" s="17"/>
      <c r="EJ302" s="17"/>
      <c r="EK302" s="17"/>
      <c r="EL302" s="17"/>
      <c r="EM302" s="17"/>
      <c r="EN302" s="17"/>
      <c r="EO302" s="17"/>
      <c r="EP302" s="17"/>
      <c r="EQ302" s="17"/>
      <c r="ER302" s="17"/>
      <c r="ES302" s="17"/>
      <c r="ET302" s="17"/>
      <c r="EU302" s="17"/>
      <c r="EV302" s="17"/>
      <c r="EW302" s="17"/>
      <c r="EX302" s="17"/>
      <c r="EY302" s="17"/>
      <c r="EZ302" s="17"/>
      <c r="FA302" s="17"/>
      <c r="FB302" s="17"/>
      <c r="FC302" s="17"/>
      <c r="FD302" s="17"/>
      <c r="FE302" s="17"/>
      <c r="FF302" s="17"/>
      <c r="FG302" s="17"/>
      <c r="FH302" s="17"/>
      <c r="FI302" s="17"/>
      <c r="FJ302" s="17"/>
      <c r="FK302" s="17"/>
      <c r="FL302" s="17"/>
      <c r="FM302" s="17"/>
      <c r="FN302" s="17"/>
      <c r="FO302" s="17"/>
      <c r="FP302" s="17"/>
      <c r="FQ302" s="17"/>
      <c r="FR302" s="17"/>
      <c r="FS302" s="17"/>
      <c r="FT302" s="17"/>
      <c r="FU302" s="17"/>
      <c r="FV302" s="17"/>
      <c r="FW302" s="17"/>
      <c r="FX302" s="17"/>
      <c r="FY302" s="17"/>
      <c r="FZ302" s="17"/>
      <c r="GA302" s="17"/>
      <c r="GB302" s="17"/>
      <c r="GC302" s="17"/>
      <c r="GD302" s="17"/>
      <c r="GE302" s="17"/>
      <c r="GF302" s="17"/>
      <c r="GG302" s="17"/>
      <c r="GH302" s="17"/>
      <c r="GI302" s="17"/>
      <c r="GJ302" s="17"/>
      <c r="GK302" s="17"/>
      <c r="GL302" s="17"/>
      <c r="GM302" s="17"/>
      <c r="GN302" s="17"/>
      <c r="GO302" s="17"/>
      <c r="GP302" s="17"/>
      <c r="GQ302" s="17"/>
      <c r="GR302" s="17"/>
      <c r="GS302" s="17"/>
      <c r="GT302" s="17"/>
      <c r="GU302" s="17"/>
      <c r="GV302" s="17"/>
      <c r="GW302" s="17"/>
      <c r="GX302" s="17"/>
      <c r="GY302" s="17"/>
      <c r="GZ302" s="17"/>
      <c r="HA302" s="17"/>
      <c r="HB302" s="17"/>
      <c r="HC302" s="17"/>
      <c r="HD302" s="17"/>
      <c r="HE302" s="17"/>
      <c r="HF302" s="17"/>
      <c r="HG302" s="17"/>
      <c r="HH302" s="17"/>
      <c r="HI302" s="17"/>
      <c r="HJ302" s="17"/>
      <c r="HK302" s="17"/>
      <c r="HL302" s="17"/>
      <c r="HM302" s="17"/>
      <c r="HN302" s="17"/>
      <c r="HO302" s="17"/>
      <c r="HP302" s="17"/>
      <c r="HQ302" s="17"/>
      <c r="HR302" s="17"/>
      <c r="HS302" s="17"/>
      <c r="HT302" s="17"/>
      <c r="HU302" s="17"/>
      <c r="HV302" s="17"/>
      <c r="HW302" s="17"/>
      <c r="HX302" s="17"/>
      <c r="HY302" s="17"/>
      <c r="HZ302" s="17"/>
      <c r="IA302" s="17"/>
      <c r="IB302" s="17"/>
      <c r="IC302" s="17"/>
      <c r="ID302" s="17"/>
      <c r="IE302" s="17"/>
      <c r="IF302" s="17"/>
      <c r="IG302" s="17"/>
      <c r="IH302" s="17"/>
      <c r="II302" s="17"/>
      <c r="IJ302" s="17"/>
      <c r="IK302" s="17"/>
      <c r="IL302" s="17"/>
      <c r="IM302" s="17"/>
      <c r="IN302" s="17"/>
      <c r="IO302" s="17"/>
      <c r="IP302" s="17"/>
      <c r="IQ302" s="17"/>
      <c r="IR302" s="17"/>
      <c r="IS302" s="17"/>
      <c r="IT302" s="17"/>
      <c r="IU302" s="17"/>
      <c r="IV302" s="17"/>
      <c r="IW302" s="17"/>
      <c r="IX302" s="17"/>
      <c r="IY302" s="17"/>
      <c r="IZ302" s="17"/>
      <c r="JA302" s="17"/>
      <c r="JB302" s="17"/>
      <c r="JC302" s="17"/>
      <c r="JD302" s="17"/>
      <c r="JE302" s="17"/>
      <c r="JF302" s="17"/>
      <c r="JG302" s="17"/>
      <c r="JH302" s="17"/>
      <c r="JI302" s="17"/>
      <c r="JJ302" s="17"/>
      <c r="JK302" s="17"/>
      <c r="JL302" s="17"/>
      <c r="JM302" s="17"/>
      <c r="JN302" s="17"/>
      <c r="JO302" s="17"/>
      <c r="JP302" s="17"/>
      <c r="JQ302" s="17"/>
      <c r="JR302" s="17"/>
      <c r="JS302" s="17"/>
      <c r="JT302" s="17"/>
      <c r="JU302" s="17"/>
      <c r="JV302" s="17"/>
      <c r="JW302" s="17"/>
      <c r="JX302" s="17"/>
      <c r="JY302" s="17"/>
      <c r="JZ302" s="17"/>
      <c r="KA302" s="17"/>
      <c r="KB302" s="17"/>
      <c r="KC302" s="17"/>
      <c r="KD302" s="17"/>
      <c r="KE302" s="17"/>
      <c r="KF302" s="17"/>
      <c r="KG302" s="17"/>
      <c r="KH302" s="17"/>
      <c r="KI302" s="17"/>
      <c r="KJ302" s="17"/>
      <c r="KK302" s="17"/>
      <c r="KL302" s="17"/>
      <c r="KM302" s="17"/>
      <c r="KN302" s="17"/>
      <c r="KO302" s="17"/>
      <c r="KP302" s="17"/>
      <c r="KQ302" s="17"/>
      <c r="KR302" s="17"/>
      <c r="KS302" s="17"/>
      <c r="KT302" s="17"/>
      <c r="KU302" s="17"/>
      <c r="KV302" s="17"/>
      <c r="KW302" s="17"/>
      <c r="KX302" s="17"/>
      <c r="KY302" s="17"/>
    </row>
    <row r="303" spans="1:311" x14ac:dyDescent="0.25">
      <c r="A303" s="17"/>
      <c r="B303" s="17"/>
      <c r="C303" s="17"/>
      <c r="D303" s="17"/>
      <c r="E303" s="17"/>
      <c r="F303" s="17"/>
      <c r="G303" s="17"/>
      <c r="H303" s="17"/>
      <c r="I303" s="17"/>
      <c r="J303" s="17"/>
      <c r="K303" s="17"/>
      <c r="L303" s="17"/>
      <c r="M303" s="17"/>
      <c r="N303" s="17"/>
      <c r="O303" s="17"/>
      <c r="P303" s="17"/>
      <c r="Q303" s="17"/>
      <c r="R303" s="17"/>
      <c r="S303" s="17"/>
      <c r="T303" s="17"/>
      <c r="U303" s="17"/>
      <c r="V303" s="17"/>
      <c r="W303" s="17"/>
      <c r="X303" s="17"/>
      <c r="Y303" s="17"/>
      <c r="Z303" s="17"/>
      <c r="AA303" s="17"/>
      <c r="AB303" s="17"/>
      <c r="AC303" s="17"/>
      <c r="AD303" s="17"/>
      <c r="AE303" s="17"/>
      <c r="AF303" s="17"/>
      <c r="AG303" s="17"/>
      <c r="AH303" s="17"/>
      <c r="AI303" s="17"/>
      <c r="AJ303" s="17"/>
      <c r="AK303" s="17"/>
      <c r="AL303" s="17"/>
      <c r="AM303" s="17"/>
      <c r="AN303" s="17"/>
      <c r="AO303" s="17"/>
      <c r="AP303" s="17"/>
      <c r="AQ303" s="17"/>
      <c r="AR303" s="17"/>
      <c r="AS303" s="17"/>
      <c r="AT303" s="17"/>
      <c r="AU303" s="17"/>
      <c r="AV303" s="17"/>
      <c r="AW303" s="17"/>
      <c r="AX303" s="17"/>
      <c r="AY303" s="17"/>
      <c r="AZ303" s="17"/>
      <c r="BA303" s="17"/>
      <c r="BB303" s="17"/>
      <c r="BC303" s="17"/>
      <c r="BD303" s="17"/>
      <c r="BE303" s="17"/>
      <c r="BF303" s="17"/>
      <c r="BG303" s="17"/>
      <c r="BH303" s="17"/>
      <c r="BI303" s="17"/>
      <c r="BJ303" s="17"/>
      <c r="BK303" s="17"/>
      <c r="BL303" s="17"/>
      <c r="BM303" s="17"/>
      <c r="BN303" s="17"/>
      <c r="BO303" s="17"/>
      <c r="BP303" s="17"/>
      <c r="BQ303" s="17"/>
      <c r="BR303" s="17"/>
      <c r="BS303" s="17"/>
      <c r="BT303" s="17"/>
      <c r="BU303" s="17"/>
      <c r="BV303" s="17"/>
      <c r="BW303" s="17"/>
      <c r="BX303" s="17"/>
      <c r="BY303" s="17"/>
      <c r="BZ303" s="17"/>
      <c r="CA303" s="17"/>
      <c r="CB303" s="17"/>
      <c r="CC303" s="17"/>
      <c r="CD303" s="17"/>
      <c r="CE303" s="17"/>
      <c r="CF303" s="17"/>
      <c r="CG303" s="17"/>
      <c r="CH303" s="17"/>
      <c r="CI303" s="17"/>
      <c r="CJ303" s="17"/>
      <c r="CK303" s="17"/>
      <c r="CL303" s="17"/>
      <c r="CM303" s="17"/>
      <c r="CN303" s="17"/>
      <c r="CO303" s="17"/>
      <c r="CP303" s="17"/>
      <c r="CQ303" s="17"/>
      <c r="CR303" s="17"/>
      <c r="CS303" s="17"/>
      <c r="CT303" s="17"/>
      <c r="CU303" s="17"/>
      <c r="CV303" s="17"/>
      <c r="CW303" s="17"/>
      <c r="CX303" s="17"/>
      <c r="CY303" s="17"/>
      <c r="CZ303" s="17"/>
      <c r="DA303" s="17"/>
      <c r="DB303" s="17"/>
      <c r="DC303" s="17"/>
      <c r="DD303" s="17"/>
      <c r="DE303" s="17"/>
      <c r="DF303" s="17"/>
      <c r="DG303" s="17"/>
      <c r="DH303" s="17"/>
      <c r="DI303" s="17"/>
      <c r="DJ303" s="17"/>
      <c r="DK303" s="17"/>
      <c r="DL303" s="17"/>
      <c r="DM303" s="17"/>
      <c r="DN303" s="17"/>
      <c r="DO303" s="17"/>
      <c r="DP303" s="17"/>
      <c r="DQ303" s="17"/>
      <c r="DR303" s="17"/>
      <c r="DS303" s="17"/>
      <c r="DT303" s="17"/>
      <c r="DU303" s="17"/>
      <c r="DV303" s="17"/>
      <c r="DW303" s="17"/>
      <c r="DX303" s="17"/>
      <c r="DY303" s="17"/>
      <c r="DZ303" s="17"/>
      <c r="EA303" s="17"/>
      <c r="EB303" s="17"/>
      <c r="EC303" s="17"/>
      <c r="ED303" s="17"/>
      <c r="EE303" s="17"/>
      <c r="EF303" s="17"/>
      <c r="EG303" s="17"/>
      <c r="EH303" s="17"/>
      <c r="EI303" s="17"/>
      <c r="EJ303" s="17"/>
      <c r="EK303" s="17"/>
      <c r="EL303" s="17"/>
      <c r="EM303" s="17"/>
      <c r="EN303" s="17"/>
      <c r="EO303" s="17"/>
      <c r="EP303" s="17"/>
      <c r="EQ303" s="17"/>
      <c r="ER303" s="17"/>
      <c r="ES303" s="17"/>
      <c r="ET303" s="17"/>
      <c r="EU303" s="17"/>
      <c r="EV303" s="17"/>
      <c r="EW303" s="17"/>
      <c r="EX303" s="17"/>
      <c r="EY303" s="17"/>
      <c r="EZ303" s="17"/>
      <c r="FA303" s="17"/>
      <c r="FB303" s="17"/>
      <c r="FC303" s="17"/>
      <c r="FD303" s="17"/>
      <c r="FE303" s="17"/>
      <c r="FF303" s="17"/>
      <c r="FG303" s="17"/>
      <c r="FH303" s="17"/>
      <c r="FI303" s="17"/>
      <c r="FJ303" s="17"/>
      <c r="FK303" s="17"/>
      <c r="FL303" s="17"/>
      <c r="FM303" s="17"/>
      <c r="FN303" s="17"/>
      <c r="FO303" s="17"/>
      <c r="FP303" s="17"/>
      <c r="FQ303" s="17"/>
      <c r="FR303" s="17"/>
      <c r="FS303" s="17"/>
      <c r="FT303" s="17"/>
      <c r="FU303" s="17"/>
      <c r="FV303" s="17"/>
      <c r="FW303" s="17"/>
      <c r="FX303" s="17"/>
      <c r="FY303" s="17"/>
      <c r="FZ303" s="17"/>
      <c r="GA303" s="17"/>
      <c r="GB303" s="17"/>
      <c r="GC303" s="17"/>
      <c r="GD303" s="17"/>
      <c r="GE303" s="17"/>
      <c r="GF303" s="17"/>
      <c r="GG303" s="17"/>
      <c r="GH303" s="17"/>
      <c r="GI303" s="17"/>
      <c r="GJ303" s="17"/>
      <c r="GK303" s="17"/>
      <c r="GL303" s="17"/>
      <c r="GM303" s="17"/>
      <c r="GN303" s="17"/>
      <c r="GO303" s="17"/>
      <c r="GP303" s="17"/>
      <c r="GQ303" s="17"/>
      <c r="GR303" s="17"/>
      <c r="GS303" s="17"/>
      <c r="GT303" s="17"/>
      <c r="GU303" s="17"/>
      <c r="GV303" s="17"/>
      <c r="GW303" s="17"/>
      <c r="GX303" s="17"/>
      <c r="GY303" s="17"/>
      <c r="GZ303" s="17"/>
      <c r="HA303" s="17"/>
      <c r="HB303" s="17"/>
      <c r="HC303" s="17"/>
      <c r="HD303" s="17"/>
      <c r="HE303" s="17"/>
      <c r="HF303" s="17"/>
      <c r="HG303" s="17"/>
      <c r="HH303" s="17"/>
      <c r="HI303" s="17"/>
      <c r="HJ303" s="17"/>
      <c r="HK303" s="17"/>
      <c r="HL303" s="17"/>
      <c r="HM303" s="17"/>
      <c r="HN303" s="17"/>
      <c r="HO303" s="17"/>
      <c r="HP303" s="17"/>
      <c r="HQ303" s="17"/>
      <c r="HR303" s="17"/>
      <c r="HS303" s="17"/>
      <c r="HT303" s="17"/>
      <c r="HU303" s="17"/>
      <c r="HV303" s="17"/>
      <c r="HW303" s="17"/>
      <c r="HX303" s="17"/>
      <c r="HY303" s="17"/>
      <c r="HZ303" s="17"/>
      <c r="IA303" s="17"/>
      <c r="IB303" s="17"/>
      <c r="IC303" s="17"/>
      <c r="ID303" s="17"/>
      <c r="IE303" s="17"/>
      <c r="IF303" s="17"/>
      <c r="IG303" s="17"/>
      <c r="IH303" s="17"/>
      <c r="II303" s="17"/>
      <c r="IJ303" s="17"/>
      <c r="IK303" s="17"/>
      <c r="IL303" s="17"/>
      <c r="IM303" s="17"/>
      <c r="IN303" s="17"/>
      <c r="IO303" s="17"/>
      <c r="IP303" s="17"/>
      <c r="IQ303" s="17"/>
      <c r="IR303" s="17"/>
      <c r="IS303" s="17"/>
      <c r="IT303" s="17"/>
      <c r="IU303" s="17"/>
      <c r="IV303" s="17"/>
      <c r="IW303" s="17"/>
      <c r="IX303" s="17"/>
      <c r="IY303" s="17"/>
      <c r="IZ303" s="17"/>
      <c r="JA303" s="17"/>
      <c r="JB303" s="17"/>
      <c r="JC303" s="17"/>
      <c r="JD303" s="17"/>
      <c r="JE303" s="17"/>
      <c r="JF303" s="17"/>
      <c r="JG303" s="17"/>
      <c r="JH303" s="17"/>
      <c r="JI303" s="17"/>
      <c r="JJ303" s="17"/>
      <c r="JK303" s="17"/>
      <c r="JL303" s="17"/>
      <c r="JM303" s="17"/>
      <c r="JN303" s="17"/>
      <c r="JO303" s="17"/>
      <c r="JP303" s="17"/>
      <c r="JQ303" s="17"/>
      <c r="JR303" s="17"/>
      <c r="JS303" s="17"/>
      <c r="JT303" s="17"/>
      <c r="JU303" s="17"/>
      <c r="JV303" s="17"/>
      <c r="JW303" s="17"/>
      <c r="JX303" s="17"/>
      <c r="JY303" s="17"/>
      <c r="JZ303" s="17"/>
      <c r="KA303" s="17"/>
      <c r="KB303" s="17"/>
      <c r="KC303" s="17"/>
      <c r="KD303" s="17"/>
      <c r="KE303" s="17"/>
      <c r="KF303" s="17"/>
      <c r="KG303" s="17"/>
      <c r="KH303" s="17"/>
      <c r="KI303" s="17"/>
      <c r="KJ303" s="17"/>
      <c r="KK303" s="17"/>
      <c r="KL303" s="17"/>
      <c r="KM303" s="17"/>
      <c r="KN303" s="17"/>
      <c r="KO303" s="17"/>
      <c r="KP303" s="17"/>
      <c r="KQ303" s="17"/>
      <c r="KR303" s="17"/>
      <c r="KS303" s="17"/>
      <c r="KT303" s="17"/>
      <c r="KU303" s="17"/>
      <c r="KV303" s="17"/>
      <c r="KW303" s="17"/>
      <c r="KX303" s="17"/>
      <c r="KY303" s="17"/>
    </row>
    <row r="304" spans="1:311" x14ac:dyDescent="0.25">
      <c r="A304" s="17"/>
      <c r="B304" s="17"/>
      <c r="C304" s="17"/>
      <c r="D304" s="17"/>
      <c r="E304" s="17"/>
      <c r="F304" s="17"/>
      <c r="G304" s="17"/>
      <c r="H304" s="17"/>
      <c r="I304" s="17"/>
      <c r="J304" s="17"/>
      <c r="K304" s="17"/>
      <c r="L304" s="17"/>
      <c r="M304" s="17"/>
      <c r="N304" s="17"/>
      <c r="O304" s="17"/>
      <c r="P304" s="17"/>
      <c r="Q304" s="17"/>
      <c r="R304" s="17"/>
      <c r="S304" s="17"/>
      <c r="T304" s="17"/>
      <c r="U304" s="17"/>
      <c r="V304" s="17"/>
      <c r="W304" s="17"/>
      <c r="X304" s="17"/>
      <c r="Y304" s="17"/>
      <c r="Z304" s="17"/>
      <c r="AA304" s="17"/>
      <c r="AB304" s="17"/>
      <c r="AC304" s="17"/>
      <c r="AD304" s="17"/>
      <c r="AE304" s="17"/>
      <c r="AF304" s="17"/>
      <c r="AG304" s="17"/>
      <c r="AH304" s="17"/>
      <c r="AI304" s="17"/>
      <c r="AJ304" s="17"/>
      <c r="AK304" s="17"/>
      <c r="AL304" s="17"/>
      <c r="AM304" s="17"/>
      <c r="AN304" s="17"/>
      <c r="AO304" s="17"/>
      <c r="AP304" s="17"/>
      <c r="AQ304" s="17"/>
      <c r="AR304" s="17"/>
      <c r="AS304" s="17"/>
      <c r="AT304" s="17"/>
      <c r="AU304" s="17"/>
      <c r="AV304" s="17"/>
      <c r="AW304" s="17"/>
      <c r="AX304" s="17"/>
      <c r="AY304" s="17"/>
      <c r="AZ304" s="17"/>
      <c r="BA304" s="17"/>
      <c r="BB304" s="17"/>
      <c r="BC304" s="17"/>
      <c r="BD304" s="17"/>
      <c r="BE304" s="17"/>
      <c r="BF304" s="17"/>
      <c r="BG304" s="17"/>
      <c r="BH304" s="17"/>
      <c r="BI304" s="17"/>
      <c r="BJ304" s="17"/>
      <c r="BK304" s="17"/>
      <c r="BL304" s="17"/>
      <c r="BM304" s="17"/>
      <c r="BN304" s="17"/>
      <c r="BO304" s="17"/>
      <c r="BP304" s="17"/>
      <c r="BQ304" s="17"/>
      <c r="BR304" s="17"/>
      <c r="BS304" s="17"/>
      <c r="BT304" s="17"/>
      <c r="BU304" s="17"/>
      <c r="BV304" s="17"/>
      <c r="BW304" s="17"/>
      <c r="BX304" s="17"/>
      <c r="BY304" s="17"/>
      <c r="BZ304" s="17"/>
      <c r="CA304" s="17"/>
      <c r="CB304" s="17"/>
      <c r="CC304" s="17"/>
      <c r="CD304" s="17"/>
      <c r="CE304" s="17"/>
      <c r="CF304" s="17"/>
      <c r="CG304" s="17"/>
      <c r="CH304" s="17"/>
      <c r="CI304" s="17"/>
      <c r="CJ304" s="17"/>
      <c r="CK304" s="17"/>
      <c r="CL304" s="17"/>
      <c r="CM304" s="17"/>
      <c r="CN304" s="17"/>
      <c r="CO304" s="17"/>
      <c r="CP304" s="17"/>
      <c r="CQ304" s="17"/>
      <c r="CR304" s="17"/>
      <c r="CS304" s="17"/>
      <c r="CT304" s="17"/>
      <c r="CU304" s="17"/>
      <c r="CV304" s="17"/>
      <c r="CW304" s="17"/>
      <c r="CX304" s="17"/>
      <c r="CY304" s="17"/>
      <c r="CZ304" s="17"/>
      <c r="DA304" s="17"/>
      <c r="DB304" s="17"/>
      <c r="DC304" s="17"/>
      <c r="DD304" s="17"/>
      <c r="DE304" s="17"/>
      <c r="DF304" s="17"/>
      <c r="DG304" s="17"/>
      <c r="DH304" s="17"/>
      <c r="DI304" s="17"/>
      <c r="DJ304" s="17"/>
      <c r="DK304" s="17"/>
      <c r="DL304" s="17"/>
      <c r="DM304" s="17"/>
      <c r="DN304" s="17"/>
      <c r="DO304" s="17"/>
      <c r="DP304" s="17"/>
      <c r="DQ304" s="17"/>
      <c r="DR304" s="17"/>
      <c r="DS304" s="17"/>
      <c r="DT304" s="17"/>
      <c r="DU304" s="17"/>
      <c r="DV304" s="17"/>
      <c r="DW304" s="17"/>
      <c r="DX304" s="17"/>
      <c r="DY304" s="17"/>
      <c r="DZ304" s="17"/>
      <c r="EA304" s="17"/>
      <c r="EB304" s="17"/>
      <c r="EC304" s="17"/>
      <c r="ED304" s="17"/>
      <c r="EE304" s="17"/>
      <c r="EF304" s="17"/>
      <c r="EG304" s="17"/>
      <c r="EH304" s="17"/>
      <c r="EI304" s="17"/>
      <c r="EJ304" s="17"/>
      <c r="EK304" s="17"/>
      <c r="EL304" s="17"/>
      <c r="EM304" s="17"/>
      <c r="EN304" s="17"/>
      <c r="EO304" s="17"/>
      <c r="EP304" s="17"/>
      <c r="EQ304" s="17"/>
      <c r="ER304" s="17"/>
      <c r="ES304" s="17"/>
      <c r="ET304" s="17"/>
      <c r="EU304" s="17"/>
      <c r="EV304" s="17"/>
      <c r="EW304" s="17"/>
      <c r="EX304" s="17"/>
      <c r="EY304" s="17"/>
      <c r="EZ304" s="17"/>
      <c r="FA304" s="17"/>
      <c r="FB304" s="17"/>
      <c r="FC304" s="17"/>
      <c r="FD304" s="17"/>
      <c r="FE304" s="17"/>
      <c r="FF304" s="17"/>
      <c r="FG304" s="17"/>
      <c r="FH304" s="17"/>
      <c r="FI304" s="17"/>
      <c r="FJ304" s="17"/>
      <c r="FK304" s="17"/>
      <c r="FL304" s="17"/>
      <c r="FM304" s="17"/>
      <c r="FN304" s="17"/>
      <c r="FO304" s="17"/>
      <c r="FP304" s="17"/>
      <c r="FQ304" s="17"/>
      <c r="FR304" s="17"/>
      <c r="FS304" s="17"/>
      <c r="FT304" s="17"/>
      <c r="FU304" s="17"/>
      <c r="FV304" s="17"/>
      <c r="FW304" s="17"/>
      <c r="FX304" s="17"/>
      <c r="FY304" s="17"/>
      <c r="FZ304" s="17"/>
      <c r="GA304" s="17"/>
      <c r="GB304" s="17"/>
      <c r="GC304" s="17"/>
      <c r="GD304" s="17"/>
      <c r="GE304" s="17"/>
      <c r="GF304" s="17"/>
      <c r="GG304" s="17"/>
      <c r="GH304" s="17"/>
      <c r="GI304" s="17"/>
      <c r="GJ304" s="17"/>
      <c r="GK304" s="17"/>
      <c r="GL304" s="17"/>
      <c r="GM304" s="17"/>
      <c r="GN304" s="17"/>
      <c r="GO304" s="17"/>
      <c r="GP304" s="17"/>
      <c r="GQ304" s="17"/>
      <c r="GR304" s="17"/>
      <c r="GS304" s="17"/>
      <c r="GT304" s="17"/>
      <c r="GU304" s="17"/>
      <c r="GV304" s="17"/>
      <c r="GW304" s="17"/>
      <c r="GX304" s="17"/>
      <c r="GY304" s="17"/>
      <c r="GZ304" s="17"/>
      <c r="HA304" s="17"/>
      <c r="HB304" s="17"/>
      <c r="HC304" s="17"/>
      <c r="HD304" s="17"/>
      <c r="HE304" s="17"/>
      <c r="HF304" s="17"/>
      <c r="HG304" s="17"/>
      <c r="HH304" s="17"/>
      <c r="HI304" s="17"/>
      <c r="HJ304" s="17"/>
      <c r="HK304" s="17"/>
      <c r="HL304" s="17"/>
      <c r="HM304" s="17"/>
      <c r="HN304" s="17"/>
      <c r="HO304" s="17"/>
      <c r="HP304" s="17"/>
      <c r="HQ304" s="17"/>
      <c r="HR304" s="17"/>
      <c r="HS304" s="17"/>
      <c r="HT304" s="17"/>
      <c r="HU304" s="17"/>
      <c r="HV304" s="17"/>
      <c r="HW304" s="17"/>
      <c r="HX304" s="17"/>
      <c r="HY304" s="17"/>
      <c r="HZ304" s="17"/>
      <c r="IA304" s="17"/>
      <c r="IB304" s="17"/>
      <c r="IC304" s="17"/>
      <c r="ID304" s="17"/>
      <c r="IE304" s="17"/>
      <c r="IF304" s="17"/>
      <c r="IG304" s="17"/>
      <c r="IH304" s="17"/>
      <c r="II304" s="17"/>
      <c r="IJ304" s="17"/>
      <c r="IK304" s="17"/>
      <c r="IL304" s="17"/>
      <c r="IM304" s="17"/>
      <c r="IN304" s="17"/>
      <c r="IO304" s="17"/>
      <c r="IP304" s="17"/>
      <c r="IQ304" s="17"/>
      <c r="IR304" s="17"/>
      <c r="IS304" s="17"/>
      <c r="IT304" s="17"/>
      <c r="IU304" s="17"/>
      <c r="IV304" s="17"/>
      <c r="IW304" s="17"/>
      <c r="IX304" s="17"/>
      <c r="IY304" s="17"/>
      <c r="IZ304" s="17"/>
      <c r="JA304" s="17"/>
      <c r="JB304" s="17"/>
      <c r="JC304" s="17"/>
      <c r="JD304" s="17"/>
      <c r="JE304" s="17"/>
      <c r="JF304" s="17"/>
      <c r="JG304" s="17"/>
      <c r="JH304" s="17"/>
      <c r="JI304" s="17"/>
      <c r="JJ304" s="17"/>
      <c r="JK304" s="17"/>
      <c r="JL304" s="17"/>
      <c r="JM304" s="17"/>
      <c r="JN304" s="17"/>
      <c r="JO304" s="17"/>
      <c r="JP304" s="17"/>
      <c r="JQ304" s="17"/>
      <c r="JR304" s="17"/>
      <c r="JS304" s="17"/>
      <c r="JT304" s="17"/>
      <c r="JU304" s="17"/>
      <c r="JV304" s="17"/>
      <c r="JW304" s="17"/>
      <c r="JX304" s="17"/>
      <c r="JY304" s="17"/>
      <c r="JZ304" s="17"/>
      <c r="KA304" s="17"/>
      <c r="KB304" s="17"/>
      <c r="KC304" s="17"/>
      <c r="KD304" s="17"/>
      <c r="KE304" s="17"/>
      <c r="KF304" s="17"/>
      <c r="KG304" s="17"/>
      <c r="KH304" s="17"/>
      <c r="KI304" s="17"/>
      <c r="KJ304" s="17"/>
      <c r="KK304" s="17"/>
      <c r="KL304" s="17"/>
      <c r="KM304" s="17"/>
      <c r="KN304" s="17"/>
      <c r="KO304" s="17"/>
      <c r="KP304" s="17"/>
      <c r="KQ304" s="17"/>
      <c r="KR304" s="17"/>
      <c r="KS304" s="17"/>
      <c r="KT304" s="17"/>
      <c r="KU304" s="17"/>
      <c r="KV304" s="17"/>
      <c r="KW304" s="17"/>
      <c r="KX304" s="17"/>
      <c r="KY304" s="17"/>
    </row>
    <row r="305" spans="1:311" x14ac:dyDescent="0.25">
      <c r="A305" s="17"/>
      <c r="B305" s="17"/>
      <c r="C305" s="17"/>
      <c r="D305" s="17"/>
      <c r="E305" s="17"/>
      <c r="F305" s="17"/>
      <c r="G305" s="17"/>
      <c r="H305" s="17"/>
      <c r="I305" s="17"/>
      <c r="J305" s="17"/>
      <c r="K305" s="17"/>
      <c r="L305" s="17"/>
      <c r="M305" s="17"/>
      <c r="N305" s="17"/>
      <c r="O305" s="17"/>
      <c r="P305" s="17"/>
      <c r="Q305" s="17"/>
      <c r="R305" s="17"/>
      <c r="S305" s="17"/>
      <c r="T305" s="17"/>
      <c r="U305" s="17"/>
      <c r="V305" s="17"/>
      <c r="W305" s="17"/>
      <c r="X305" s="17"/>
      <c r="Y305" s="17"/>
      <c r="Z305" s="17"/>
      <c r="AA305" s="17"/>
      <c r="AB305" s="17"/>
      <c r="AC305" s="17"/>
      <c r="AD305" s="17"/>
      <c r="AE305" s="17"/>
      <c r="AF305" s="17"/>
      <c r="AG305" s="17"/>
      <c r="AH305" s="17"/>
      <c r="AI305" s="17"/>
      <c r="AJ305" s="17"/>
      <c r="AK305" s="17"/>
      <c r="AL305" s="17"/>
      <c r="AM305" s="17"/>
      <c r="AN305" s="17"/>
      <c r="AO305" s="17"/>
      <c r="AP305" s="17"/>
      <c r="AQ305" s="17"/>
      <c r="AR305" s="17"/>
      <c r="AS305" s="17"/>
      <c r="AT305" s="17"/>
      <c r="AU305" s="17"/>
      <c r="AV305" s="17"/>
      <c r="AW305" s="17"/>
      <c r="AX305" s="17"/>
      <c r="AY305" s="17"/>
      <c r="AZ305" s="17"/>
      <c r="BA305" s="17"/>
      <c r="BB305" s="17"/>
      <c r="BC305" s="17"/>
      <c r="BD305" s="17"/>
      <c r="BE305" s="17"/>
      <c r="BF305" s="17"/>
      <c r="BG305" s="17"/>
      <c r="BH305" s="17"/>
      <c r="BI305" s="17"/>
      <c r="BJ305" s="17"/>
      <c r="BK305" s="17"/>
      <c r="BL305" s="17"/>
      <c r="BM305" s="17"/>
      <c r="BN305" s="17"/>
      <c r="BO305" s="17"/>
      <c r="BP305" s="17"/>
      <c r="BQ305" s="17"/>
      <c r="BR305" s="17"/>
      <c r="BS305" s="17"/>
      <c r="BT305" s="17"/>
      <c r="BU305" s="17"/>
      <c r="BV305" s="17"/>
      <c r="BW305" s="17"/>
      <c r="BX305" s="17"/>
      <c r="BY305" s="17"/>
      <c r="BZ305" s="17"/>
      <c r="CA305" s="17"/>
      <c r="CB305" s="17"/>
      <c r="CC305" s="17"/>
      <c r="CD305" s="17"/>
      <c r="CE305" s="17"/>
      <c r="CF305" s="17"/>
      <c r="CG305" s="17"/>
      <c r="CH305" s="17"/>
      <c r="CI305" s="17"/>
      <c r="CJ305" s="17"/>
      <c r="CK305" s="17"/>
      <c r="CL305" s="17"/>
      <c r="CM305" s="17"/>
      <c r="CN305" s="17"/>
      <c r="CO305" s="17"/>
      <c r="CP305" s="17"/>
      <c r="CQ305" s="17"/>
      <c r="CR305" s="17"/>
      <c r="CS305" s="17"/>
      <c r="CT305" s="17"/>
      <c r="CU305" s="17"/>
      <c r="CV305" s="17"/>
      <c r="CW305" s="17"/>
      <c r="CX305" s="17"/>
      <c r="CY305" s="17"/>
      <c r="CZ305" s="17"/>
      <c r="DA305" s="17"/>
      <c r="DB305" s="17"/>
      <c r="DC305" s="17"/>
      <c r="DD305" s="17"/>
      <c r="DE305" s="17"/>
      <c r="DF305" s="17"/>
      <c r="DG305" s="17"/>
      <c r="DH305" s="17"/>
      <c r="DI305" s="17"/>
      <c r="DJ305" s="17"/>
      <c r="DK305" s="17"/>
      <c r="DL305" s="17"/>
      <c r="DM305" s="17"/>
      <c r="DN305" s="17"/>
      <c r="DO305" s="17"/>
      <c r="DP305" s="17"/>
      <c r="DQ305" s="17"/>
      <c r="DR305" s="17"/>
      <c r="DS305" s="17"/>
      <c r="DT305" s="17"/>
      <c r="DU305" s="17"/>
      <c r="DV305" s="17"/>
      <c r="DW305" s="17"/>
      <c r="DX305" s="17"/>
      <c r="DY305" s="17"/>
      <c r="DZ305" s="17"/>
      <c r="EA305" s="17"/>
      <c r="EB305" s="17"/>
      <c r="EC305" s="17"/>
      <c r="ED305" s="17"/>
      <c r="EE305" s="17"/>
      <c r="EF305" s="17"/>
      <c r="EG305" s="17"/>
      <c r="EH305" s="17"/>
      <c r="EI305" s="17"/>
      <c r="EJ305" s="17"/>
      <c r="EK305" s="17"/>
      <c r="EL305" s="17"/>
      <c r="EM305" s="17"/>
      <c r="EN305" s="17"/>
      <c r="EO305" s="17"/>
      <c r="EP305" s="17"/>
      <c r="EQ305" s="17"/>
      <c r="ER305" s="17"/>
      <c r="ES305" s="17"/>
      <c r="ET305" s="17"/>
      <c r="EU305" s="17"/>
      <c r="EV305" s="17"/>
      <c r="EW305" s="17"/>
      <c r="EX305" s="17"/>
      <c r="EY305" s="17"/>
      <c r="EZ305" s="17"/>
      <c r="FA305" s="17"/>
      <c r="FB305" s="17"/>
      <c r="FC305" s="17"/>
      <c r="FD305" s="17"/>
      <c r="FE305" s="17"/>
      <c r="FF305" s="17"/>
      <c r="FG305" s="17"/>
      <c r="FH305" s="17"/>
      <c r="FI305" s="17"/>
      <c r="FJ305" s="17"/>
      <c r="FK305" s="17"/>
      <c r="FL305" s="17"/>
      <c r="FM305" s="17"/>
      <c r="FN305" s="17"/>
      <c r="FO305" s="17"/>
      <c r="FP305" s="17"/>
      <c r="FQ305" s="17"/>
      <c r="FR305" s="17"/>
      <c r="FS305" s="17"/>
      <c r="FT305" s="17"/>
      <c r="FU305" s="17"/>
      <c r="FV305" s="17"/>
      <c r="FW305" s="17"/>
      <c r="FX305" s="17"/>
      <c r="FY305" s="17"/>
      <c r="FZ305" s="17"/>
      <c r="GA305" s="17"/>
      <c r="GB305" s="17"/>
      <c r="GC305" s="17"/>
      <c r="GD305" s="17"/>
      <c r="GE305" s="17"/>
      <c r="GF305" s="17"/>
      <c r="GG305" s="17"/>
      <c r="GH305" s="17"/>
      <c r="GI305" s="17"/>
      <c r="GJ305" s="17"/>
      <c r="GK305" s="17"/>
      <c r="GL305" s="17"/>
      <c r="GM305" s="17"/>
      <c r="GN305" s="17"/>
      <c r="GO305" s="17"/>
      <c r="GP305" s="17"/>
      <c r="GQ305" s="17"/>
      <c r="GR305" s="17"/>
      <c r="GS305" s="17"/>
      <c r="GT305" s="17"/>
      <c r="GU305" s="17"/>
      <c r="GV305" s="17"/>
      <c r="GW305" s="17"/>
      <c r="GX305" s="17"/>
      <c r="GY305" s="17"/>
      <c r="GZ305" s="17"/>
      <c r="HA305" s="17"/>
      <c r="HB305" s="17"/>
      <c r="HC305" s="17"/>
      <c r="HD305" s="17"/>
      <c r="HE305" s="17"/>
      <c r="HF305" s="17"/>
      <c r="HG305" s="17"/>
      <c r="HH305" s="17"/>
      <c r="HI305" s="17"/>
      <c r="HJ305" s="17"/>
      <c r="HK305" s="17"/>
      <c r="HL305" s="17"/>
      <c r="HM305" s="17"/>
      <c r="HN305" s="17"/>
      <c r="HO305" s="17"/>
      <c r="HP305" s="17"/>
      <c r="HQ305" s="17"/>
      <c r="HR305" s="17"/>
      <c r="HS305" s="17"/>
      <c r="HT305" s="17"/>
      <c r="HU305" s="17"/>
      <c r="HV305" s="17"/>
      <c r="HW305" s="17"/>
      <c r="HX305" s="17"/>
      <c r="HY305" s="17"/>
      <c r="HZ305" s="17"/>
      <c r="IA305" s="17"/>
      <c r="IB305" s="17"/>
      <c r="IC305" s="17"/>
      <c r="ID305" s="17"/>
      <c r="IE305" s="17"/>
      <c r="IF305" s="17"/>
      <c r="IG305" s="17"/>
      <c r="IH305" s="17"/>
      <c r="II305" s="17"/>
      <c r="IJ305" s="17"/>
      <c r="IK305" s="17"/>
      <c r="IL305" s="17"/>
      <c r="IM305" s="17"/>
      <c r="IN305" s="17"/>
      <c r="IO305" s="17"/>
      <c r="IP305" s="17"/>
      <c r="IQ305" s="17"/>
      <c r="IR305" s="17"/>
      <c r="IS305" s="17"/>
      <c r="IT305" s="17"/>
      <c r="IU305" s="17"/>
      <c r="IV305" s="17"/>
      <c r="IW305" s="17"/>
      <c r="IX305" s="17"/>
      <c r="IY305" s="17"/>
      <c r="IZ305" s="17"/>
      <c r="JA305" s="17"/>
      <c r="JB305" s="17"/>
      <c r="JC305" s="17"/>
      <c r="JD305" s="17"/>
      <c r="JE305" s="17"/>
      <c r="JF305" s="17"/>
      <c r="JG305" s="17"/>
      <c r="JH305" s="17"/>
      <c r="JI305" s="17"/>
      <c r="JJ305" s="17"/>
      <c r="JK305" s="17"/>
      <c r="JL305" s="17"/>
      <c r="JM305" s="17"/>
      <c r="JN305" s="17"/>
      <c r="JO305" s="17"/>
      <c r="JP305" s="17"/>
      <c r="JQ305" s="17"/>
      <c r="JR305" s="17"/>
      <c r="JS305" s="17"/>
      <c r="JT305" s="17"/>
      <c r="JU305" s="17"/>
      <c r="JV305" s="17"/>
      <c r="JW305" s="17"/>
      <c r="JX305" s="17"/>
      <c r="JY305" s="17"/>
      <c r="JZ305" s="17"/>
      <c r="KA305" s="17"/>
      <c r="KB305" s="17"/>
      <c r="KC305" s="17"/>
      <c r="KD305" s="17"/>
      <c r="KE305" s="17"/>
      <c r="KF305" s="17"/>
      <c r="KG305" s="17"/>
      <c r="KH305" s="17"/>
      <c r="KI305" s="17"/>
      <c r="KJ305" s="17"/>
      <c r="KK305" s="17"/>
      <c r="KL305" s="17"/>
      <c r="KM305" s="17"/>
      <c r="KN305" s="17"/>
      <c r="KO305" s="17"/>
      <c r="KP305" s="17"/>
      <c r="KQ305" s="17"/>
      <c r="KR305" s="17"/>
      <c r="KS305" s="17"/>
      <c r="KT305" s="17"/>
      <c r="KU305" s="17"/>
      <c r="KV305" s="17"/>
      <c r="KW305" s="17"/>
      <c r="KX305" s="17"/>
      <c r="KY305" s="17"/>
    </row>
    <row r="306" spans="1:311" x14ac:dyDescent="0.25">
      <c r="A306" s="17"/>
      <c r="B306" s="17"/>
      <c r="C306" s="17"/>
      <c r="D306" s="17"/>
      <c r="E306" s="17"/>
      <c r="F306" s="17"/>
      <c r="G306" s="17"/>
      <c r="H306" s="17"/>
      <c r="I306" s="17"/>
      <c r="J306" s="17"/>
      <c r="K306" s="17"/>
      <c r="L306" s="17"/>
      <c r="M306" s="17"/>
      <c r="N306" s="17"/>
      <c r="O306" s="17"/>
      <c r="P306" s="17"/>
      <c r="Q306" s="17"/>
      <c r="R306" s="17"/>
      <c r="S306" s="17"/>
      <c r="T306" s="17"/>
      <c r="U306" s="17"/>
      <c r="V306" s="17"/>
      <c r="W306" s="17"/>
      <c r="X306" s="17"/>
      <c r="Y306" s="17"/>
      <c r="Z306" s="17"/>
      <c r="AA306" s="17"/>
      <c r="AB306" s="17"/>
      <c r="AC306" s="17"/>
      <c r="AD306" s="17"/>
      <c r="AE306" s="17"/>
      <c r="AF306" s="17"/>
      <c r="AG306" s="17"/>
      <c r="AH306" s="17"/>
      <c r="AI306" s="17"/>
      <c r="AJ306" s="17"/>
      <c r="AK306" s="17"/>
      <c r="AL306" s="17"/>
      <c r="AM306" s="17"/>
      <c r="AN306" s="17"/>
      <c r="AO306" s="17"/>
      <c r="AP306" s="17"/>
      <c r="AQ306" s="17"/>
      <c r="AR306" s="17"/>
      <c r="AS306" s="17"/>
      <c r="AT306" s="17"/>
      <c r="AU306" s="17"/>
      <c r="AV306" s="17"/>
      <c r="AW306" s="17"/>
      <c r="AX306" s="17"/>
      <c r="AY306" s="17"/>
      <c r="AZ306" s="17"/>
      <c r="BA306" s="17"/>
      <c r="BB306" s="17"/>
      <c r="BC306" s="17"/>
      <c r="BD306" s="17"/>
      <c r="BE306" s="17"/>
      <c r="BF306" s="17"/>
      <c r="BG306" s="17"/>
      <c r="BH306" s="17"/>
      <c r="BI306" s="17"/>
      <c r="BJ306" s="17"/>
      <c r="BK306" s="17"/>
      <c r="BL306" s="17"/>
      <c r="BM306" s="17"/>
      <c r="BN306" s="17"/>
      <c r="BO306" s="17"/>
      <c r="BP306" s="17"/>
      <c r="BQ306" s="17"/>
      <c r="BR306" s="17"/>
      <c r="BS306" s="17"/>
      <c r="BT306" s="17"/>
      <c r="BU306" s="17"/>
      <c r="BV306" s="17"/>
      <c r="BW306" s="17"/>
      <c r="BX306" s="17"/>
      <c r="BY306" s="17"/>
      <c r="BZ306" s="17"/>
      <c r="CA306" s="17"/>
      <c r="CB306" s="17"/>
      <c r="CC306" s="17"/>
      <c r="CD306" s="17"/>
      <c r="CE306" s="17"/>
      <c r="CF306" s="17"/>
      <c r="CG306" s="17"/>
      <c r="CH306" s="17"/>
      <c r="CI306" s="17"/>
      <c r="CJ306" s="17"/>
      <c r="CK306" s="17"/>
      <c r="CL306" s="17"/>
      <c r="CM306" s="17"/>
      <c r="CN306" s="17"/>
      <c r="CO306" s="17"/>
      <c r="CP306" s="17"/>
      <c r="CQ306" s="17"/>
      <c r="CR306" s="17"/>
      <c r="CS306" s="17"/>
      <c r="CT306" s="17"/>
      <c r="CU306" s="17"/>
      <c r="CV306" s="17"/>
      <c r="CW306" s="17"/>
      <c r="CX306" s="17"/>
      <c r="CY306" s="17"/>
      <c r="CZ306" s="17"/>
      <c r="DA306" s="17"/>
      <c r="DB306" s="17"/>
      <c r="DC306" s="17"/>
      <c r="DD306" s="17"/>
      <c r="DE306" s="17"/>
      <c r="DF306" s="17"/>
      <c r="DG306" s="17"/>
      <c r="DH306" s="17"/>
      <c r="DI306" s="17"/>
      <c r="DJ306" s="17"/>
      <c r="DK306" s="17"/>
      <c r="DL306" s="17"/>
      <c r="DM306" s="17"/>
      <c r="DN306" s="17"/>
      <c r="DO306" s="17"/>
      <c r="DP306" s="17"/>
      <c r="DQ306" s="17"/>
      <c r="DR306" s="17"/>
      <c r="DS306" s="17"/>
      <c r="DT306" s="17"/>
      <c r="DU306" s="17"/>
      <c r="DV306" s="17"/>
      <c r="DW306" s="17"/>
      <c r="DX306" s="17"/>
      <c r="DY306" s="17"/>
      <c r="DZ306" s="17"/>
      <c r="EA306" s="17"/>
      <c r="EB306" s="17"/>
      <c r="EC306" s="17"/>
      <c r="ED306" s="17"/>
      <c r="EE306" s="17"/>
      <c r="EF306" s="17"/>
      <c r="EG306" s="17"/>
      <c r="EH306" s="17"/>
      <c r="EI306" s="17"/>
      <c r="EJ306" s="17"/>
      <c r="EK306" s="17"/>
      <c r="EL306" s="17"/>
      <c r="EM306" s="17"/>
      <c r="EN306" s="17"/>
      <c r="EO306" s="17"/>
      <c r="EP306" s="17"/>
      <c r="EQ306" s="17"/>
      <c r="ER306" s="17"/>
      <c r="ES306" s="17"/>
      <c r="ET306" s="17"/>
      <c r="EU306" s="17"/>
      <c r="EV306" s="17"/>
      <c r="EW306" s="17"/>
      <c r="EX306" s="17"/>
      <c r="EY306" s="17"/>
      <c r="EZ306" s="17"/>
      <c r="FA306" s="17"/>
      <c r="FB306" s="17"/>
      <c r="FC306" s="17"/>
      <c r="FD306" s="17"/>
      <c r="FE306" s="17"/>
      <c r="FF306" s="17"/>
      <c r="FG306" s="17"/>
      <c r="FH306" s="17"/>
      <c r="FI306" s="17"/>
      <c r="FJ306" s="17"/>
      <c r="FK306" s="17"/>
      <c r="FL306" s="17"/>
      <c r="FM306" s="17"/>
      <c r="FN306" s="17"/>
      <c r="FO306" s="17"/>
      <c r="FP306" s="17"/>
      <c r="FQ306" s="17"/>
      <c r="FR306" s="17"/>
      <c r="FS306" s="17"/>
      <c r="FT306" s="17"/>
      <c r="FU306" s="17"/>
      <c r="FV306" s="17"/>
      <c r="FW306" s="17"/>
      <c r="FX306" s="17"/>
      <c r="FY306" s="17"/>
      <c r="FZ306" s="17"/>
      <c r="GA306" s="17"/>
      <c r="GB306" s="17"/>
      <c r="GC306" s="17"/>
      <c r="GD306" s="17"/>
      <c r="GE306" s="17"/>
      <c r="GF306" s="17"/>
      <c r="GG306" s="17"/>
      <c r="GH306" s="17"/>
      <c r="GI306" s="17"/>
      <c r="GJ306" s="17"/>
      <c r="GK306" s="17"/>
      <c r="GL306" s="17"/>
      <c r="GM306" s="17"/>
      <c r="GN306" s="17"/>
      <c r="GO306" s="17"/>
      <c r="GP306" s="17"/>
      <c r="GQ306" s="17"/>
      <c r="GR306" s="17"/>
      <c r="GS306" s="17"/>
      <c r="GT306" s="17"/>
      <c r="GU306" s="17"/>
      <c r="GV306" s="17"/>
      <c r="GW306" s="17"/>
      <c r="GX306" s="17"/>
      <c r="GY306" s="17"/>
      <c r="GZ306" s="17"/>
      <c r="HA306" s="17"/>
      <c r="HB306" s="17"/>
      <c r="HC306" s="17"/>
      <c r="HD306" s="17"/>
      <c r="HE306" s="17"/>
      <c r="HF306" s="17"/>
      <c r="HG306" s="17"/>
      <c r="HH306" s="17"/>
      <c r="HI306" s="17"/>
      <c r="HJ306" s="17"/>
      <c r="HK306" s="17"/>
      <c r="HL306" s="17"/>
      <c r="HM306" s="17"/>
      <c r="HN306" s="17"/>
      <c r="HO306" s="17"/>
      <c r="HP306" s="17"/>
      <c r="HQ306" s="17"/>
      <c r="HR306" s="17"/>
      <c r="HS306" s="17"/>
      <c r="HT306" s="17"/>
      <c r="HU306" s="17"/>
      <c r="HV306" s="17"/>
      <c r="HW306" s="17"/>
      <c r="HX306" s="17"/>
      <c r="HY306" s="17"/>
      <c r="HZ306" s="17"/>
      <c r="IA306" s="17"/>
      <c r="IB306" s="17"/>
      <c r="IC306" s="17"/>
      <c r="ID306" s="17"/>
      <c r="IE306" s="17"/>
      <c r="IF306" s="17"/>
      <c r="IG306" s="17"/>
      <c r="IH306" s="17"/>
      <c r="II306" s="17"/>
      <c r="IJ306" s="17"/>
      <c r="IK306" s="17"/>
      <c r="IL306" s="17"/>
      <c r="IM306" s="17"/>
      <c r="IN306" s="17"/>
      <c r="IO306" s="17"/>
      <c r="IP306" s="17"/>
      <c r="IQ306" s="17"/>
      <c r="IR306" s="17"/>
      <c r="IS306" s="17"/>
      <c r="IT306" s="17"/>
      <c r="IU306" s="17"/>
      <c r="IV306" s="17"/>
      <c r="IW306" s="17"/>
      <c r="IX306" s="17"/>
      <c r="IY306" s="17"/>
      <c r="IZ306" s="17"/>
      <c r="JA306" s="17"/>
      <c r="JB306" s="17"/>
      <c r="JC306" s="17"/>
      <c r="JD306" s="17"/>
      <c r="JE306" s="17"/>
      <c r="JF306" s="17"/>
      <c r="JG306" s="17"/>
      <c r="JH306" s="17"/>
      <c r="JI306" s="17"/>
      <c r="JJ306" s="17"/>
      <c r="JK306" s="17"/>
      <c r="JL306" s="17"/>
      <c r="JM306" s="17"/>
      <c r="JN306" s="17"/>
      <c r="JO306" s="17"/>
      <c r="JP306" s="17"/>
      <c r="JQ306" s="17"/>
      <c r="JR306" s="17"/>
      <c r="JS306" s="17"/>
      <c r="JT306" s="17"/>
      <c r="JU306" s="17"/>
      <c r="JV306" s="17"/>
      <c r="JW306" s="17"/>
      <c r="JX306" s="17"/>
      <c r="JY306" s="17"/>
      <c r="JZ306" s="17"/>
      <c r="KA306" s="17"/>
      <c r="KB306" s="17"/>
      <c r="KC306" s="17"/>
      <c r="KD306" s="17"/>
      <c r="KE306" s="17"/>
      <c r="KF306" s="17"/>
      <c r="KG306" s="17"/>
      <c r="KH306" s="17"/>
      <c r="KI306" s="17"/>
      <c r="KJ306" s="17"/>
      <c r="KK306" s="17"/>
      <c r="KL306" s="17"/>
      <c r="KM306" s="17"/>
      <c r="KN306" s="17"/>
      <c r="KO306" s="17"/>
      <c r="KP306" s="17"/>
      <c r="KQ306" s="17"/>
      <c r="KR306" s="17"/>
      <c r="KS306" s="17"/>
      <c r="KT306" s="17"/>
      <c r="KU306" s="17"/>
      <c r="KV306" s="17"/>
      <c r="KW306" s="17"/>
      <c r="KX306" s="17"/>
      <c r="KY306" s="17"/>
    </row>
    <row r="307" spans="1:311" x14ac:dyDescent="0.25">
      <c r="A307" s="17"/>
      <c r="B307" s="17"/>
      <c r="C307" s="17"/>
      <c r="D307" s="17"/>
      <c r="E307" s="17"/>
      <c r="F307" s="17"/>
      <c r="G307" s="17"/>
      <c r="H307" s="17"/>
      <c r="I307" s="17"/>
      <c r="J307" s="17"/>
      <c r="K307" s="17"/>
      <c r="L307" s="17"/>
      <c r="M307" s="17"/>
      <c r="N307" s="17"/>
      <c r="O307" s="17"/>
      <c r="P307" s="17"/>
      <c r="Q307" s="17"/>
      <c r="R307" s="17"/>
      <c r="S307" s="17"/>
      <c r="T307" s="17"/>
      <c r="U307" s="17"/>
      <c r="V307" s="17"/>
      <c r="W307" s="17"/>
      <c r="X307" s="17"/>
      <c r="Y307" s="17"/>
      <c r="Z307" s="17"/>
      <c r="AA307" s="17"/>
      <c r="AB307" s="17"/>
      <c r="AC307" s="17"/>
      <c r="AD307" s="17"/>
      <c r="AE307" s="17"/>
      <c r="AF307" s="17"/>
      <c r="AG307" s="17"/>
      <c r="AH307" s="17"/>
      <c r="AI307" s="17"/>
      <c r="AJ307" s="17"/>
      <c r="AK307" s="17"/>
      <c r="AL307" s="17"/>
      <c r="AM307" s="17"/>
      <c r="AN307" s="17"/>
      <c r="AO307" s="17"/>
      <c r="AP307" s="17"/>
      <c r="AQ307" s="17"/>
      <c r="AR307" s="17"/>
      <c r="AS307" s="17"/>
      <c r="AT307" s="17"/>
      <c r="AU307" s="17"/>
      <c r="AV307" s="17"/>
      <c r="AW307" s="17"/>
      <c r="AX307" s="17"/>
      <c r="AY307" s="17"/>
      <c r="AZ307" s="17"/>
      <c r="BA307" s="17"/>
      <c r="BB307" s="17"/>
      <c r="BC307" s="17"/>
      <c r="BD307" s="17"/>
      <c r="BE307" s="17"/>
      <c r="BF307" s="17"/>
      <c r="BG307" s="17"/>
      <c r="BH307" s="17"/>
      <c r="BI307" s="17"/>
      <c r="BJ307" s="17"/>
      <c r="BK307" s="17"/>
      <c r="BL307" s="17"/>
      <c r="BM307" s="17"/>
      <c r="BN307" s="17"/>
      <c r="BO307" s="17"/>
      <c r="BP307" s="17"/>
      <c r="BQ307" s="17"/>
      <c r="BR307" s="17"/>
      <c r="BS307" s="17"/>
      <c r="BT307" s="17"/>
      <c r="BU307" s="17"/>
      <c r="BV307" s="17"/>
      <c r="BW307" s="17"/>
      <c r="BX307" s="17"/>
      <c r="BY307" s="17"/>
      <c r="BZ307" s="17"/>
      <c r="CA307" s="17"/>
      <c r="CB307" s="17"/>
      <c r="CC307" s="17"/>
      <c r="CD307" s="17"/>
      <c r="CE307" s="17"/>
      <c r="CF307" s="17"/>
      <c r="CG307" s="17"/>
      <c r="CH307" s="17"/>
      <c r="CI307" s="17"/>
      <c r="CJ307" s="17"/>
      <c r="CK307" s="17"/>
      <c r="CL307" s="17"/>
      <c r="CM307" s="17"/>
      <c r="CN307" s="17"/>
      <c r="CO307" s="17"/>
      <c r="CP307" s="17"/>
      <c r="CQ307" s="17"/>
      <c r="CR307" s="17"/>
      <c r="CS307" s="17"/>
      <c r="CT307" s="17"/>
      <c r="CU307" s="17"/>
      <c r="CV307" s="17"/>
      <c r="CW307" s="17"/>
      <c r="CX307" s="17"/>
      <c r="CY307" s="17"/>
      <c r="CZ307" s="17"/>
      <c r="DA307" s="17"/>
      <c r="DB307" s="17"/>
      <c r="DC307" s="17"/>
      <c r="DD307" s="17"/>
      <c r="DE307" s="17"/>
      <c r="DF307" s="17"/>
      <c r="DG307" s="17"/>
      <c r="DH307" s="17"/>
      <c r="DI307" s="17"/>
      <c r="DJ307" s="17"/>
      <c r="DK307" s="17"/>
      <c r="DL307" s="17"/>
      <c r="DM307" s="17"/>
      <c r="DN307" s="17"/>
      <c r="DO307" s="17"/>
      <c r="DP307" s="17"/>
      <c r="DQ307" s="17"/>
      <c r="DR307" s="17"/>
      <c r="DS307" s="17"/>
      <c r="DT307" s="17"/>
      <c r="DU307" s="17"/>
      <c r="DV307" s="17"/>
      <c r="DW307" s="17"/>
      <c r="DX307" s="17"/>
      <c r="DY307" s="17"/>
      <c r="DZ307" s="17"/>
      <c r="EA307" s="17"/>
      <c r="EB307" s="17"/>
      <c r="EC307" s="17"/>
      <c r="ED307" s="17"/>
      <c r="EE307" s="17"/>
      <c r="EF307" s="17"/>
      <c r="EG307" s="17"/>
      <c r="EH307" s="17"/>
      <c r="EI307" s="17"/>
      <c r="EJ307" s="17"/>
      <c r="EK307" s="17"/>
      <c r="EL307" s="17"/>
      <c r="EM307" s="17"/>
      <c r="EN307" s="17"/>
      <c r="EO307" s="17"/>
      <c r="EP307" s="17"/>
      <c r="EQ307" s="17"/>
      <c r="ER307" s="17"/>
      <c r="ES307" s="17"/>
      <c r="ET307" s="17"/>
      <c r="EU307" s="17"/>
      <c r="EV307" s="17"/>
      <c r="EW307" s="17"/>
      <c r="EX307" s="17"/>
      <c r="EY307" s="17"/>
      <c r="EZ307" s="17"/>
      <c r="FA307" s="17"/>
      <c r="FB307" s="17"/>
      <c r="FC307" s="17"/>
      <c r="FD307" s="17"/>
      <c r="FE307" s="17"/>
      <c r="FF307" s="17"/>
      <c r="FG307" s="17"/>
      <c r="FH307" s="17"/>
      <c r="FI307" s="17"/>
      <c r="FJ307" s="17"/>
      <c r="FK307" s="17"/>
      <c r="FL307" s="17"/>
      <c r="FM307" s="17"/>
      <c r="FN307" s="17"/>
      <c r="FO307" s="17"/>
      <c r="FP307" s="17"/>
      <c r="FQ307" s="17"/>
      <c r="FR307" s="17"/>
      <c r="FS307" s="17"/>
      <c r="FT307" s="17"/>
      <c r="FU307" s="17"/>
      <c r="FV307" s="17"/>
      <c r="FW307" s="17"/>
      <c r="FX307" s="17"/>
      <c r="FY307" s="17"/>
      <c r="FZ307" s="17"/>
      <c r="GA307" s="17"/>
      <c r="GB307" s="17"/>
      <c r="GC307" s="17"/>
      <c r="GD307" s="17"/>
      <c r="GE307" s="17"/>
      <c r="GF307" s="17"/>
      <c r="GG307" s="17"/>
      <c r="GH307" s="17"/>
      <c r="GI307" s="17"/>
      <c r="GJ307" s="17"/>
      <c r="GK307" s="17"/>
      <c r="GL307" s="17"/>
      <c r="GM307" s="17"/>
      <c r="GN307" s="17"/>
      <c r="GO307" s="17"/>
      <c r="GP307" s="17"/>
      <c r="GQ307" s="17"/>
      <c r="GR307" s="17"/>
      <c r="GS307" s="17"/>
      <c r="GT307" s="17"/>
      <c r="GU307" s="17"/>
      <c r="GV307" s="17"/>
      <c r="GW307" s="17"/>
      <c r="GX307" s="17"/>
      <c r="GY307" s="17"/>
      <c r="GZ307" s="17"/>
      <c r="HA307" s="17"/>
      <c r="HB307" s="17"/>
      <c r="HC307" s="17"/>
      <c r="HD307" s="17"/>
      <c r="HE307" s="17"/>
      <c r="HF307" s="17"/>
      <c r="HG307" s="17"/>
      <c r="HH307" s="17"/>
      <c r="HI307" s="17"/>
      <c r="HJ307" s="17"/>
      <c r="HK307" s="17"/>
      <c r="HL307" s="17"/>
      <c r="HM307" s="17"/>
      <c r="HN307" s="17"/>
      <c r="HO307" s="17"/>
      <c r="HP307" s="17"/>
      <c r="HQ307" s="17"/>
      <c r="HR307" s="17"/>
      <c r="HS307" s="17"/>
      <c r="HT307" s="17"/>
      <c r="HU307" s="17"/>
      <c r="HV307" s="17"/>
      <c r="HW307" s="17"/>
      <c r="HX307" s="17"/>
      <c r="HY307" s="17"/>
      <c r="HZ307" s="17"/>
      <c r="IA307" s="17"/>
      <c r="IB307" s="17"/>
      <c r="IC307" s="17"/>
      <c r="ID307" s="17"/>
      <c r="IE307" s="17"/>
      <c r="IF307" s="17"/>
      <c r="IG307" s="17"/>
      <c r="IH307" s="17"/>
      <c r="II307" s="17"/>
      <c r="IJ307" s="17"/>
      <c r="IK307" s="17"/>
      <c r="IL307" s="17"/>
      <c r="IM307" s="17"/>
      <c r="IN307" s="17"/>
      <c r="IO307" s="17"/>
      <c r="IP307" s="17"/>
      <c r="IQ307" s="17"/>
      <c r="IR307" s="17"/>
      <c r="IS307" s="17"/>
      <c r="IT307" s="17"/>
      <c r="IU307" s="17"/>
      <c r="IV307" s="17"/>
      <c r="IW307" s="17"/>
      <c r="IX307" s="17"/>
      <c r="IY307" s="17"/>
      <c r="IZ307" s="17"/>
      <c r="JA307" s="17"/>
      <c r="JB307" s="17"/>
      <c r="JC307" s="17"/>
      <c r="JD307" s="17"/>
      <c r="JE307" s="17"/>
      <c r="JF307" s="17"/>
      <c r="JG307" s="17"/>
      <c r="JH307" s="17"/>
      <c r="JI307" s="17"/>
      <c r="JJ307" s="17"/>
      <c r="JK307" s="17"/>
      <c r="JL307" s="17"/>
      <c r="JM307" s="17"/>
      <c r="JN307" s="17"/>
      <c r="JO307" s="17"/>
      <c r="JP307" s="17"/>
      <c r="JQ307" s="17"/>
      <c r="JR307" s="17"/>
      <c r="JS307" s="17"/>
      <c r="JT307" s="17"/>
      <c r="JU307" s="17"/>
      <c r="JV307" s="17"/>
      <c r="JW307" s="17"/>
      <c r="JX307" s="17"/>
      <c r="JY307" s="17"/>
      <c r="JZ307" s="17"/>
      <c r="KA307" s="17"/>
      <c r="KB307" s="17"/>
      <c r="KC307" s="17"/>
      <c r="KD307" s="17"/>
      <c r="KE307" s="17"/>
      <c r="KF307" s="17"/>
      <c r="KG307" s="17"/>
      <c r="KH307" s="17"/>
      <c r="KI307" s="17"/>
      <c r="KJ307" s="17"/>
      <c r="KK307" s="17"/>
      <c r="KL307" s="17"/>
      <c r="KM307" s="17"/>
      <c r="KN307" s="17"/>
      <c r="KO307" s="17"/>
      <c r="KP307" s="17"/>
      <c r="KQ307" s="17"/>
      <c r="KR307" s="17"/>
      <c r="KS307" s="17"/>
      <c r="KT307" s="17"/>
      <c r="KU307" s="17"/>
      <c r="KV307" s="17"/>
      <c r="KW307" s="17"/>
      <c r="KX307" s="17"/>
      <c r="KY307" s="17"/>
    </row>
    <row r="308" spans="1:311" x14ac:dyDescent="0.25">
      <c r="A308" s="17"/>
      <c r="B308" s="17"/>
      <c r="C308" s="17"/>
      <c r="D308" s="17"/>
      <c r="E308" s="17"/>
      <c r="F308" s="17"/>
      <c r="G308" s="17"/>
      <c r="H308" s="17"/>
      <c r="I308" s="17"/>
      <c r="J308" s="17"/>
      <c r="K308" s="17"/>
      <c r="L308" s="17"/>
      <c r="M308" s="17"/>
      <c r="N308" s="17"/>
      <c r="O308" s="17"/>
      <c r="P308" s="17"/>
      <c r="Q308" s="17"/>
      <c r="R308" s="17"/>
      <c r="S308" s="17"/>
      <c r="T308" s="17"/>
      <c r="U308" s="17"/>
      <c r="V308" s="17"/>
      <c r="W308" s="17"/>
      <c r="X308" s="17"/>
      <c r="Y308" s="17"/>
      <c r="Z308" s="17"/>
      <c r="AA308" s="17"/>
      <c r="AB308" s="17"/>
      <c r="AC308" s="17"/>
      <c r="AD308" s="17"/>
      <c r="AE308" s="17"/>
      <c r="AF308" s="17"/>
      <c r="AG308" s="17"/>
      <c r="AH308" s="17"/>
      <c r="AI308" s="17"/>
      <c r="AJ308" s="17"/>
      <c r="AK308" s="17"/>
      <c r="AL308" s="17"/>
      <c r="AM308" s="17"/>
      <c r="AN308" s="17"/>
      <c r="AO308" s="17"/>
      <c r="AP308" s="17"/>
      <c r="AQ308" s="17"/>
      <c r="AR308" s="17"/>
      <c r="AS308" s="17"/>
      <c r="AT308" s="17"/>
      <c r="AU308" s="17"/>
      <c r="AV308" s="17"/>
      <c r="AW308" s="17"/>
      <c r="AX308" s="17"/>
      <c r="AY308" s="17"/>
      <c r="AZ308" s="17"/>
      <c r="BA308" s="17"/>
      <c r="BB308" s="17"/>
      <c r="BC308" s="17"/>
      <c r="BD308" s="17"/>
      <c r="BE308" s="17"/>
      <c r="BF308" s="17"/>
      <c r="BG308" s="17"/>
      <c r="BH308" s="17"/>
      <c r="BI308" s="17"/>
      <c r="BJ308" s="17"/>
      <c r="BK308" s="17"/>
      <c r="BL308" s="17"/>
      <c r="BM308" s="17"/>
      <c r="BN308" s="17"/>
      <c r="BO308" s="17"/>
      <c r="BP308" s="17"/>
      <c r="BQ308" s="17"/>
      <c r="BR308" s="17"/>
      <c r="BS308" s="17"/>
      <c r="BT308" s="17"/>
      <c r="BU308" s="17"/>
      <c r="BV308" s="17"/>
      <c r="BW308" s="17"/>
      <c r="BX308" s="17"/>
      <c r="BY308" s="17"/>
      <c r="BZ308" s="17"/>
      <c r="CA308" s="17"/>
      <c r="CB308" s="17"/>
      <c r="CC308" s="17"/>
      <c r="CD308" s="17"/>
      <c r="CE308" s="17"/>
      <c r="CF308" s="17"/>
      <c r="CG308" s="17"/>
      <c r="CH308" s="17"/>
      <c r="CI308" s="17"/>
      <c r="CJ308" s="17"/>
      <c r="CK308" s="17"/>
      <c r="CL308" s="17"/>
      <c r="CM308" s="17"/>
      <c r="CN308" s="17"/>
      <c r="CO308" s="17"/>
      <c r="CP308" s="17"/>
      <c r="CQ308" s="17"/>
      <c r="CR308" s="17"/>
      <c r="CS308" s="17"/>
      <c r="CT308" s="17"/>
      <c r="CU308" s="17"/>
      <c r="CV308" s="17"/>
      <c r="CW308" s="17"/>
      <c r="CX308" s="17"/>
      <c r="CY308" s="17"/>
      <c r="CZ308" s="17"/>
      <c r="DA308" s="17"/>
      <c r="DB308" s="17"/>
      <c r="DC308" s="17"/>
      <c r="DD308" s="17"/>
      <c r="DE308" s="17"/>
      <c r="DF308" s="17"/>
      <c r="DG308" s="17"/>
      <c r="DH308" s="17"/>
      <c r="DI308" s="17"/>
      <c r="DJ308" s="17"/>
      <c r="DK308" s="17"/>
      <c r="DL308" s="17"/>
      <c r="DM308" s="17"/>
      <c r="DN308" s="17"/>
      <c r="DO308" s="17"/>
      <c r="DP308" s="17"/>
      <c r="DQ308" s="17"/>
      <c r="DR308" s="17"/>
      <c r="DS308" s="17"/>
      <c r="DT308" s="17"/>
      <c r="DU308" s="17"/>
      <c r="DV308" s="17"/>
      <c r="DW308" s="17"/>
      <c r="DX308" s="17"/>
      <c r="DY308" s="17"/>
      <c r="DZ308" s="17"/>
      <c r="EA308" s="17"/>
      <c r="EB308" s="17"/>
      <c r="EC308" s="17"/>
      <c r="ED308" s="17"/>
      <c r="EE308" s="17"/>
      <c r="EF308" s="17"/>
      <c r="EG308" s="17"/>
      <c r="EH308" s="17"/>
      <c r="EI308" s="17"/>
      <c r="EJ308" s="17"/>
      <c r="EK308" s="17"/>
      <c r="EL308" s="17"/>
      <c r="EM308" s="17"/>
      <c r="EN308" s="17"/>
      <c r="EO308" s="17"/>
      <c r="EP308" s="17"/>
      <c r="EQ308" s="17"/>
      <c r="ER308" s="17"/>
      <c r="ES308" s="17"/>
      <c r="ET308" s="17"/>
      <c r="EU308" s="17"/>
      <c r="EV308" s="17"/>
      <c r="EW308" s="17"/>
      <c r="EX308" s="17"/>
      <c r="EY308" s="17"/>
      <c r="EZ308" s="17"/>
      <c r="FA308" s="17"/>
      <c r="FB308" s="17"/>
      <c r="FC308" s="17"/>
      <c r="FD308" s="17"/>
      <c r="FE308" s="17"/>
      <c r="FF308" s="17"/>
      <c r="FG308" s="17"/>
      <c r="FH308" s="17"/>
      <c r="FI308" s="17"/>
      <c r="FJ308" s="17"/>
      <c r="FK308" s="17"/>
      <c r="FL308" s="17"/>
      <c r="FM308" s="17"/>
      <c r="FN308" s="17"/>
      <c r="FO308" s="17"/>
      <c r="FP308" s="17"/>
      <c r="FQ308" s="17"/>
      <c r="FR308" s="17"/>
      <c r="FS308" s="17"/>
      <c r="FT308" s="17"/>
      <c r="FU308" s="17"/>
      <c r="FV308" s="17"/>
      <c r="FW308" s="17"/>
      <c r="FX308" s="17"/>
      <c r="FY308" s="17"/>
      <c r="FZ308" s="17"/>
      <c r="GA308" s="17"/>
      <c r="GB308" s="17"/>
      <c r="GC308" s="17"/>
      <c r="GD308" s="17"/>
      <c r="GE308" s="17"/>
      <c r="GF308" s="17"/>
      <c r="GG308" s="17"/>
      <c r="GH308" s="17"/>
      <c r="GI308" s="17"/>
      <c r="GJ308" s="17"/>
      <c r="GK308" s="17"/>
      <c r="GL308" s="17"/>
      <c r="GM308" s="17"/>
      <c r="GN308" s="17"/>
      <c r="GO308" s="17"/>
      <c r="GP308" s="17"/>
      <c r="GQ308" s="17"/>
      <c r="GR308" s="17"/>
      <c r="GS308" s="17"/>
      <c r="GT308" s="17"/>
      <c r="GU308" s="17"/>
      <c r="GV308" s="17"/>
      <c r="GW308" s="17"/>
      <c r="GX308" s="17"/>
      <c r="GY308" s="17"/>
      <c r="GZ308" s="17"/>
      <c r="HA308" s="17"/>
      <c r="HB308" s="17"/>
      <c r="HC308" s="17"/>
      <c r="HD308" s="17"/>
      <c r="HE308" s="17"/>
      <c r="HF308" s="17"/>
      <c r="HG308" s="17"/>
      <c r="HH308" s="17"/>
      <c r="HI308" s="17"/>
      <c r="HJ308" s="17"/>
      <c r="HK308" s="17"/>
      <c r="HL308" s="17"/>
      <c r="HM308" s="17"/>
      <c r="HN308" s="17"/>
      <c r="HO308" s="17"/>
      <c r="HP308" s="17"/>
      <c r="HQ308" s="17"/>
      <c r="HR308" s="17"/>
      <c r="HS308" s="17"/>
      <c r="HT308" s="17"/>
      <c r="HU308" s="17"/>
      <c r="HV308" s="17"/>
      <c r="HW308" s="17"/>
      <c r="HX308" s="17"/>
      <c r="HY308" s="17"/>
      <c r="HZ308" s="17"/>
      <c r="IA308" s="17"/>
      <c r="IB308" s="17"/>
      <c r="IC308" s="17"/>
      <c r="ID308" s="17"/>
      <c r="IE308" s="17"/>
      <c r="IF308" s="17"/>
      <c r="IG308" s="17"/>
      <c r="IH308" s="17"/>
      <c r="II308" s="17"/>
      <c r="IJ308" s="17"/>
      <c r="IK308" s="17"/>
      <c r="IL308" s="17"/>
      <c r="IM308" s="17"/>
      <c r="IN308" s="17"/>
      <c r="IO308" s="17"/>
      <c r="IP308" s="17"/>
      <c r="IQ308" s="17"/>
      <c r="IR308" s="17"/>
      <c r="IS308" s="17"/>
      <c r="IT308" s="17"/>
      <c r="IU308" s="17"/>
      <c r="IV308" s="17"/>
      <c r="IW308" s="17"/>
      <c r="IX308" s="17"/>
      <c r="IY308" s="17"/>
      <c r="IZ308" s="17"/>
      <c r="JA308" s="17"/>
      <c r="JB308" s="17"/>
      <c r="JC308" s="17"/>
      <c r="JD308" s="17"/>
      <c r="JE308" s="17"/>
      <c r="JF308" s="17"/>
      <c r="JG308" s="17"/>
      <c r="JH308" s="17"/>
      <c r="JI308" s="17"/>
      <c r="JJ308" s="17"/>
      <c r="JK308" s="17"/>
      <c r="JL308" s="17"/>
      <c r="JM308" s="17"/>
      <c r="JN308" s="17"/>
      <c r="JO308" s="17"/>
      <c r="JP308" s="17"/>
      <c r="JQ308" s="17"/>
      <c r="JR308" s="17"/>
      <c r="JS308" s="17"/>
      <c r="JT308" s="17"/>
      <c r="JU308" s="17"/>
      <c r="JV308" s="17"/>
      <c r="JW308" s="17"/>
      <c r="JX308" s="17"/>
      <c r="JY308" s="17"/>
      <c r="JZ308" s="17"/>
      <c r="KA308" s="17"/>
      <c r="KB308" s="17"/>
      <c r="KC308" s="17"/>
      <c r="KD308" s="17"/>
      <c r="KE308" s="17"/>
      <c r="KF308" s="17"/>
      <c r="KG308" s="17"/>
      <c r="KH308" s="17"/>
      <c r="KI308" s="17"/>
      <c r="KJ308" s="17"/>
      <c r="KK308" s="17"/>
      <c r="KL308" s="17"/>
      <c r="KM308" s="17"/>
      <c r="KN308" s="17"/>
      <c r="KO308" s="17"/>
      <c r="KP308" s="17"/>
      <c r="KQ308" s="17"/>
      <c r="KR308" s="17"/>
      <c r="KS308" s="17"/>
      <c r="KT308" s="17"/>
      <c r="KU308" s="17"/>
      <c r="KV308" s="17"/>
      <c r="KW308" s="17"/>
      <c r="KX308" s="17"/>
      <c r="KY308" s="17"/>
    </row>
    <row r="309" spans="1:311" x14ac:dyDescent="0.25">
      <c r="A309" s="17"/>
      <c r="B309" s="17"/>
      <c r="C309" s="17"/>
      <c r="D309" s="17"/>
      <c r="E309" s="17"/>
      <c r="F309" s="17"/>
      <c r="G309" s="17"/>
      <c r="H309" s="17"/>
      <c r="I309" s="17"/>
      <c r="J309" s="17"/>
      <c r="K309" s="17"/>
      <c r="L309" s="17"/>
      <c r="M309" s="17"/>
      <c r="N309" s="17"/>
      <c r="O309" s="17"/>
      <c r="P309" s="17"/>
      <c r="Q309" s="17"/>
      <c r="R309" s="17"/>
      <c r="S309" s="17"/>
      <c r="T309" s="17"/>
      <c r="U309" s="17"/>
      <c r="V309" s="17"/>
      <c r="W309" s="17"/>
      <c r="X309" s="17"/>
      <c r="Y309" s="17"/>
      <c r="Z309" s="17"/>
      <c r="AA309" s="17"/>
      <c r="AB309" s="17"/>
      <c r="AC309" s="17"/>
      <c r="AD309" s="17"/>
      <c r="AE309" s="17"/>
      <c r="AF309" s="17"/>
      <c r="AG309" s="17"/>
      <c r="AH309" s="17"/>
      <c r="AI309" s="17"/>
      <c r="AJ309" s="17"/>
      <c r="AK309" s="17"/>
      <c r="AL309" s="17"/>
      <c r="AM309" s="17"/>
      <c r="AN309" s="17"/>
      <c r="AO309" s="17"/>
      <c r="AP309" s="17"/>
      <c r="AQ309" s="17"/>
      <c r="AR309" s="17"/>
      <c r="AS309" s="17"/>
      <c r="AT309" s="17"/>
      <c r="AU309" s="17"/>
      <c r="AV309" s="17"/>
      <c r="AW309" s="17"/>
      <c r="AX309" s="17"/>
      <c r="AY309" s="17"/>
      <c r="AZ309" s="17"/>
      <c r="BA309" s="17"/>
      <c r="BB309" s="17"/>
      <c r="BC309" s="17"/>
      <c r="BD309" s="17"/>
      <c r="BE309" s="17"/>
      <c r="BF309" s="17"/>
      <c r="BG309" s="17"/>
      <c r="BH309" s="17"/>
      <c r="BI309" s="17"/>
      <c r="BJ309" s="17"/>
      <c r="BK309" s="17"/>
      <c r="BL309" s="17"/>
      <c r="BM309" s="17"/>
      <c r="BN309" s="17"/>
      <c r="BO309" s="17"/>
      <c r="BP309" s="17"/>
      <c r="BQ309" s="17"/>
      <c r="BR309" s="17"/>
      <c r="BS309" s="17"/>
      <c r="BT309" s="17"/>
      <c r="BU309" s="17"/>
      <c r="BV309" s="17"/>
      <c r="BW309" s="17"/>
      <c r="BX309" s="17"/>
      <c r="BY309" s="17"/>
      <c r="BZ309" s="17"/>
      <c r="CA309" s="17"/>
      <c r="CB309" s="17"/>
      <c r="CC309" s="17"/>
      <c r="CD309" s="17"/>
      <c r="CE309" s="17"/>
      <c r="CF309" s="17"/>
      <c r="CG309" s="17"/>
      <c r="CH309" s="17"/>
      <c r="CI309" s="17"/>
      <c r="CJ309" s="17"/>
      <c r="CK309" s="17"/>
      <c r="CL309" s="17"/>
      <c r="CM309" s="17"/>
      <c r="CN309" s="17"/>
      <c r="CO309" s="17"/>
      <c r="CP309" s="17"/>
      <c r="CQ309" s="17"/>
      <c r="CR309" s="17"/>
      <c r="CS309" s="17"/>
      <c r="CT309" s="17"/>
      <c r="CU309" s="17"/>
      <c r="CV309" s="17"/>
      <c r="CW309" s="17"/>
      <c r="CX309" s="17"/>
      <c r="CY309" s="17"/>
      <c r="CZ309" s="17"/>
      <c r="DA309" s="17"/>
      <c r="DB309" s="17"/>
      <c r="DC309" s="17"/>
      <c r="DD309" s="17"/>
      <c r="DE309" s="17"/>
      <c r="DF309" s="17"/>
      <c r="DG309" s="17"/>
      <c r="DH309" s="17"/>
      <c r="DI309" s="17"/>
      <c r="DJ309" s="17"/>
      <c r="DK309" s="17"/>
      <c r="DL309" s="17"/>
      <c r="DM309" s="17"/>
      <c r="DN309" s="17"/>
      <c r="DO309" s="17"/>
      <c r="DP309" s="17"/>
      <c r="DQ309" s="17"/>
      <c r="DR309" s="17"/>
      <c r="DS309" s="17"/>
      <c r="DT309" s="17"/>
      <c r="DU309" s="17"/>
      <c r="DV309" s="17"/>
      <c r="DW309" s="17"/>
      <c r="DX309" s="17"/>
      <c r="DY309" s="17"/>
      <c r="DZ309" s="17"/>
      <c r="EA309" s="17"/>
      <c r="EB309" s="17"/>
      <c r="EC309" s="17"/>
      <c r="ED309" s="17"/>
      <c r="EE309" s="17"/>
      <c r="EF309" s="17"/>
      <c r="EG309" s="17"/>
      <c r="EH309" s="17"/>
      <c r="EI309" s="17"/>
      <c r="EJ309" s="17"/>
      <c r="EK309" s="17"/>
      <c r="EL309" s="17"/>
      <c r="EM309" s="17"/>
      <c r="EN309" s="17"/>
      <c r="EO309" s="17"/>
      <c r="EP309" s="17"/>
      <c r="EQ309" s="17"/>
      <c r="ER309" s="17"/>
      <c r="ES309" s="17"/>
      <c r="ET309" s="17"/>
      <c r="EU309" s="17"/>
      <c r="EV309" s="17"/>
      <c r="EW309" s="17"/>
      <c r="EX309" s="17"/>
      <c r="EY309" s="17"/>
      <c r="EZ309" s="17"/>
      <c r="FA309" s="17"/>
      <c r="FB309" s="17"/>
      <c r="FC309" s="17"/>
      <c r="FD309" s="17"/>
      <c r="FE309" s="17"/>
      <c r="FF309" s="17"/>
      <c r="FG309" s="17"/>
      <c r="FH309" s="17"/>
      <c r="FI309" s="17"/>
      <c r="FJ309" s="17"/>
      <c r="FK309" s="17"/>
      <c r="FL309" s="17"/>
      <c r="FM309" s="17"/>
      <c r="FN309" s="17"/>
      <c r="FO309" s="17"/>
      <c r="FP309" s="17"/>
      <c r="FQ309" s="17"/>
      <c r="FR309" s="17"/>
      <c r="FS309" s="17"/>
      <c r="FT309" s="17"/>
      <c r="FU309" s="17"/>
      <c r="FV309" s="17"/>
      <c r="FW309" s="17"/>
      <c r="FX309" s="17"/>
      <c r="FY309" s="17"/>
      <c r="FZ309" s="17"/>
      <c r="GA309" s="17"/>
      <c r="GB309" s="17"/>
      <c r="GC309" s="17"/>
      <c r="GD309" s="17"/>
      <c r="GE309" s="17"/>
      <c r="GF309" s="17"/>
      <c r="GG309" s="17"/>
      <c r="GH309" s="17"/>
      <c r="GI309" s="17"/>
      <c r="GJ309" s="17"/>
      <c r="GK309" s="17"/>
      <c r="GL309" s="17"/>
      <c r="GM309" s="17"/>
      <c r="GN309" s="17"/>
      <c r="GO309" s="17"/>
      <c r="GP309" s="17"/>
      <c r="GQ309" s="17"/>
      <c r="GR309" s="17"/>
      <c r="GS309" s="17"/>
      <c r="GT309" s="17"/>
      <c r="GU309" s="17"/>
      <c r="GV309" s="17"/>
      <c r="GW309" s="17"/>
      <c r="GX309" s="17"/>
      <c r="GY309" s="17"/>
      <c r="GZ309" s="17"/>
      <c r="HA309" s="17"/>
      <c r="HB309" s="17"/>
      <c r="HC309" s="17"/>
      <c r="HD309" s="17"/>
      <c r="HE309" s="17"/>
      <c r="HF309" s="17"/>
      <c r="HG309" s="17"/>
      <c r="HH309" s="17"/>
      <c r="HI309" s="17"/>
      <c r="HJ309" s="17"/>
      <c r="HK309" s="17"/>
      <c r="HL309" s="17"/>
      <c r="HM309" s="17"/>
      <c r="HN309" s="17"/>
      <c r="HO309" s="17"/>
      <c r="HP309" s="17"/>
      <c r="HQ309" s="17"/>
      <c r="HR309" s="17"/>
      <c r="HS309" s="17"/>
      <c r="HT309" s="17"/>
      <c r="HU309" s="17"/>
      <c r="HV309" s="17"/>
      <c r="HW309" s="17"/>
      <c r="HX309" s="17"/>
      <c r="HY309" s="17"/>
      <c r="HZ309" s="17"/>
      <c r="IA309" s="17"/>
      <c r="IB309" s="17"/>
      <c r="IC309" s="17"/>
      <c r="ID309" s="17"/>
      <c r="IE309" s="17"/>
      <c r="IF309" s="17"/>
      <c r="IG309" s="17"/>
      <c r="IH309" s="17"/>
      <c r="II309" s="17"/>
      <c r="IJ309" s="17"/>
      <c r="IK309" s="17"/>
      <c r="IL309" s="17"/>
      <c r="IM309" s="17"/>
      <c r="IN309" s="17"/>
      <c r="IO309" s="17"/>
      <c r="IP309" s="17"/>
      <c r="IQ309" s="17"/>
      <c r="IR309" s="17"/>
      <c r="IS309" s="17"/>
      <c r="IT309" s="17"/>
      <c r="IU309" s="17"/>
      <c r="IV309" s="17"/>
      <c r="IW309" s="17"/>
      <c r="IX309" s="17"/>
      <c r="IY309" s="17"/>
      <c r="IZ309" s="17"/>
      <c r="JA309" s="17"/>
      <c r="JB309" s="17"/>
      <c r="JC309" s="17"/>
      <c r="JD309" s="17"/>
      <c r="JE309" s="17"/>
      <c r="JF309" s="17"/>
      <c r="JG309" s="17"/>
      <c r="JH309" s="17"/>
      <c r="JI309" s="17"/>
      <c r="JJ309" s="17"/>
      <c r="JK309" s="17"/>
      <c r="JL309" s="17"/>
      <c r="JM309" s="17"/>
      <c r="JN309" s="17"/>
      <c r="JO309" s="17"/>
      <c r="JP309" s="17"/>
      <c r="JQ309" s="17"/>
      <c r="JR309" s="17"/>
      <c r="JS309" s="17"/>
      <c r="JT309" s="17"/>
      <c r="JU309" s="17"/>
      <c r="JV309" s="17"/>
      <c r="JW309" s="17"/>
      <c r="JX309" s="17"/>
      <c r="JY309" s="17"/>
      <c r="JZ309" s="17"/>
      <c r="KA309" s="17"/>
      <c r="KB309" s="17"/>
      <c r="KC309" s="17"/>
      <c r="KD309" s="17"/>
      <c r="KE309" s="17"/>
      <c r="KF309" s="17"/>
      <c r="KG309" s="17"/>
      <c r="KH309" s="17"/>
      <c r="KI309" s="17"/>
      <c r="KJ309" s="17"/>
      <c r="KK309" s="17"/>
      <c r="KL309" s="17"/>
      <c r="KM309" s="17"/>
      <c r="KN309" s="17"/>
      <c r="KO309" s="17"/>
      <c r="KP309" s="17"/>
      <c r="KQ309" s="17"/>
      <c r="KR309" s="17"/>
      <c r="KS309" s="17"/>
      <c r="KT309" s="17"/>
      <c r="KU309" s="17"/>
      <c r="KV309" s="17"/>
      <c r="KW309" s="17"/>
      <c r="KX309" s="17"/>
      <c r="KY309" s="17"/>
    </row>
    <row r="310" spans="1:311" x14ac:dyDescent="0.25">
      <c r="A310" s="17"/>
      <c r="B310" s="17"/>
      <c r="C310" s="17"/>
      <c r="D310" s="17"/>
      <c r="E310" s="17"/>
      <c r="F310" s="17"/>
      <c r="G310" s="17"/>
      <c r="H310" s="17"/>
      <c r="I310" s="17"/>
      <c r="J310" s="17"/>
      <c r="K310" s="17"/>
      <c r="L310" s="17"/>
      <c r="M310" s="17"/>
      <c r="N310" s="17"/>
      <c r="O310" s="17"/>
      <c r="P310" s="17"/>
      <c r="Q310" s="17"/>
      <c r="R310" s="17"/>
      <c r="S310" s="17"/>
      <c r="T310" s="17"/>
      <c r="U310" s="17"/>
      <c r="V310" s="17"/>
      <c r="W310" s="17"/>
      <c r="X310" s="17"/>
      <c r="Y310" s="17"/>
      <c r="Z310" s="17"/>
      <c r="AA310" s="17"/>
      <c r="AB310" s="17"/>
      <c r="AC310" s="17"/>
      <c r="AD310" s="17"/>
      <c r="AE310" s="17"/>
      <c r="AF310" s="17"/>
      <c r="AG310" s="17"/>
      <c r="AH310" s="17"/>
      <c r="AI310" s="17"/>
      <c r="AJ310" s="17"/>
      <c r="AK310" s="17"/>
      <c r="AL310" s="17"/>
      <c r="AM310" s="17"/>
      <c r="AN310" s="17"/>
      <c r="AO310" s="17"/>
      <c r="AP310" s="17"/>
      <c r="AQ310" s="17"/>
      <c r="AR310" s="17"/>
      <c r="AS310" s="17"/>
      <c r="AT310" s="17"/>
      <c r="AU310" s="17"/>
      <c r="AV310" s="17"/>
      <c r="AW310" s="17"/>
      <c r="AX310" s="17"/>
      <c r="AY310" s="17"/>
      <c r="AZ310" s="17"/>
      <c r="BA310" s="17"/>
      <c r="BB310" s="17"/>
      <c r="BC310" s="17"/>
      <c r="BD310" s="17"/>
      <c r="BE310" s="17"/>
      <c r="BF310" s="17"/>
      <c r="BG310" s="17"/>
      <c r="BH310" s="17"/>
      <c r="BI310" s="17"/>
      <c r="BJ310" s="17"/>
      <c r="BK310" s="17"/>
      <c r="BL310" s="17"/>
      <c r="BM310" s="17"/>
      <c r="BN310" s="17"/>
      <c r="BO310" s="17"/>
      <c r="BP310" s="17"/>
      <c r="BQ310" s="17"/>
      <c r="BR310" s="17"/>
      <c r="BS310" s="17"/>
      <c r="BT310" s="17"/>
      <c r="BU310" s="17"/>
      <c r="BV310" s="17"/>
      <c r="BW310" s="17"/>
      <c r="BX310" s="17"/>
      <c r="BY310" s="17"/>
      <c r="BZ310" s="17"/>
      <c r="CA310" s="17"/>
      <c r="CB310" s="17"/>
      <c r="CC310" s="17"/>
      <c r="CD310" s="17"/>
      <c r="CE310" s="17"/>
      <c r="CF310" s="17"/>
      <c r="CG310" s="17"/>
      <c r="CH310" s="17"/>
      <c r="CI310" s="17"/>
      <c r="CJ310" s="17"/>
      <c r="CK310" s="17"/>
      <c r="CL310" s="17"/>
      <c r="CM310" s="17"/>
      <c r="CN310" s="17"/>
      <c r="CO310" s="17"/>
      <c r="CP310" s="17"/>
      <c r="CQ310" s="17"/>
      <c r="CR310" s="17"/>
      <c r="CS310" s="17"/>
      <c r="CT310" s="17"/>
      <c r="CU310" s="17"/>
      <c r="CV310" s="17"/>
      <c r="CW310" s="17"/>
      <c r="CX310" s="17"/>
      <c r="CY310" s="17"/>
      <c r="CZ310" s="17"/>
      <c r="DA310" s="17"/>
      <c r="DB310" s="17"/>
      <c r="DC310" s="17"/>
      <c r="DD310" s="17"/>
      <c r="DE310" s="17"/>
      <c r="DF310" s="17"/>
      <c r="DG310" s="17"/>
      <c r="DH310" s="17"/>
      <c r="DI310" s="17"/>
      <c r="DJ310" s="17"/>
      <c r="DK310" s="17"/>
      <c r="DL310" s="17"/>
      <c r="DM310" s="17"/>
      <c r="DN310" s="17"/>
      <c r="DO310" s="17"/>
      <c r="DP310" s="17"/>
      <c r="DQ310" s="17"/>
      <c r="DR310" s="17"/>
      <c r="DS310" s="17"/>
      <c r="DT310" s="17"/>
      <c r="DU310" s="17"/>
      <c r="DV310" s="17"/>
      <c r="DW310" s="17"/>
      <c r="DX310" s="17"/>
      <c r="DY310" s="17"/>
      <c r="DZ310" s="17"/>
      <c r="EA310" s="17"/>
      <c r="EB310" s="17"/>
      <c r="EC310" s="17"/>
      <c r="ED310" s="17"/>
      <c r="EE310" s="17"/>
      <c r="EF310" s="17"/>
      <c r="EG310" s="17"/>
      <c r="EH310" s="17"/>
      <c r="EI310" s="17"/>
      <c r="EJ310" s="17"/>
      <c r="EK310" s="17"/>
      <c r="EL310" s="17"/>
      <c r="EM310" s="17"/>
      <c r="EN310" s="17"/>
      <c r="EO310" s="17"/>
      <c r="EP310" s="17"/>
      <c r="EQ310" s="17"/>
      <c r="ER310" s="17"/>
      <c r="ES310" s="17"/>
      <c r="ET310" s="17"/>
      <c r="EU310" s="17"/>
      <c r="EV310" s="17"/>
      <c r="EW310" s="17"/>
      <c r="EX310" s="17"/>
      <c r="EY310" s="17"/>
      <c r="EZ310" s="17"/>
      <c r="FA310" s="17"/>
      <c r="FB310" s="17"/>
      <c r="FC310" s="17"/>
      <c r="FD310" s="17"/>
      <c r="FE310" s="17"/>
      <c r="FF310" s="17"/>
      <c r="FG310" s="17"/>
      <c r="FH310" s="17"/>
      <c r="FI310" s="17"/>
      <c r="FJ310" s="17"/>
      <c r="FK310" s="17"/>
      <c r="FL310" s="17"/>
      <c r="FM310" s="17"/>
      <c r="FN310" s="17"/>
      <c r="FO310" s="17"/>
      <c r="FP310" s="17"/>
      <c r="FQ310" s="17"/>
      <c r="FR310" s="17"/>
      <c r="FS310" s="17"/>
      <c r="FT310" s="17"/>
      <c r="FU310" s="17"/>
      <c r="FV310" s="17"/>
      <c r="FW310" s="17"/>
      <c r="FX310" s="17"/>
      <c r="FY310" s="17"/>
      <c r="FZ310" s="17"/>
      <c r="GA310" s="17"/>
      <c r="GB310" s="17"/>
      <c r="GC310" s="17"/>
      <c r="GD310" s="17"/>
      <c r="GE310" s="17"/>
      <c r="GF310" s="17"/>
      <c r="GG310" s="17"/>
      <c r="GH310" s="17"/>
      <c r="GI310" s="17"/>
      <c r="GJ310" s="17"/>
      <c r="GK310" s="17"/>
      <c r="GL310" s="17"/>
      <c r="GM310" s="17"/>
      <c r="GN310" s="17"/>
      <c r="GO310" s="17"/>
      <c r="GP310" s="17"/>
      <c r="GQ310" s="17"/>
      <c r="GR310" s="17"/>
      <c r="GS310" s="17"/>
      <c r="GT310" s="17"/>
      <c r="GU310" s="17"/>
      <c r="GV310" s="17"/>
      <c r="GW310" s="17"/>
      <c r="GX310" s="17"/>
      <c r="GY310" s="17"/>
      <c r="GZ310" s="17"/>
      <c r="HA310" s="17"/>
      <c r="HB310" s="17"/>
      <c r="HC310" s="17"/>
      <c r="HD310" s="17"/>
      <c r="HE310" s="17"/>
      <c r="HF310" s="17"/>
      <c r="HG310" s="17"/>
      <c r="HH310" s="17"/>
      <c r="HI310" s="17"/>
      <c r="HJ310" s="17"/>
      <c r="HK310" s="17"/>
      <c r="HL310" s="17"/>
      <c r="HM310" s="17"/>
      <c r="HN310" s="17"/>
      <c r="HO310" s="17"/>
      <c r="HP310" s="17"/>
      <c r="HQ310" s="17"/>
      <c r="HR310" s="17"/>
      <c r="HS310" s="17"/>
      <c r="HT310" s="17"/>
      <c r="HU310" s="17"/>
      <c r="HV310" s="17"/>
      <c r="HW310" s="17"/>
      <c r="HX310" s="17"/>
      <c r="HY310" s="17"/>
      <c r="HZ310" s="17"/>
      <c r="IA310" s="17"/>
      <c r="IB310" s="17"/>
      <c r="IC310" s="17"/>
      <c r="ID310" s="17"/>
      <c r="IE310" s="17"/>
      <c r="IF310" s="17"/>
      <c r="IG310" s="17"/>
      <c r="IH310" s="17"/>
      <c r="II310" s="17"/>
      <c r="IJ310" s="17"/>
      <c r="IK310" s="17"/>
      <c r="IL310" s="17"/>
      <c r="IM310" s="17"/>
      <c r="IN310" s="17"/>
      <c r="IO310" s="17"/>
      <c r="IP310" s="17"/>
      <c r="IQ310" s="17"/>
      <c r="IR310" s="17"/>
      <c r="IS310" s="17"/>
      <c r="IT310" s="17"/>
      <c r="IU310" s="17"/>
      <c r="IV310" s="17"/>
      <c r="IW310" s="17"/>
      <c r="IX310" s="17"/>
      <c r="IY310" s="17"/>
      <c r="IZ310" s="17"/>
      <c r="JA310" s="17"/>
      <c r="JB310" s="17"/>
      <c r="JC310" s="17"/>
      <c r="JD310" s="17"/>
      <c r="JE310" s="17"/>
      <c r="JF310" s="17"/>
      <c r="JG310" s="17"/>
      <c r="JH310" s="17"/>
      <c r="JI310" s="17"/>
      <c r="JJ310" s="17"/>
      <c r="JK310" s="17"/>
      <c r="JL310" s="17"/>
      <c r="JM310" s="17"/>
      <c r="JN310" s="17"/>
      <c r="JO310" s="17"/>
      <c r="JP310" s="17"/>
      <c r="JQ310" s="17"/>
      <c r="JR310" s="17"/>
      <c r="JS310" s="17"/>
      <c r="JT310" s="17"/>
      <c r="JU310" s="17"/>
      <c r="JV310" s="17"/>
      <c r="JW310" s="17"/>
      <c r="JX310" s="17"/>
      <c r="JY310" s="17"/>
      <c r="JZ310" s="17"/>
      <c r="KA310" s="17"/>
      <c r="KB310" s="17"/>
      <c r="KC310" s="17"/>
      <c r="KD310" s="17"/>
      <c r="KE310" s="17"/>
      <c r="KF310" s="17"/>
      <c r="KG310" s="17"/>
      <c r="KH310" s="17"/>
      <c r="KI310" s="17"/>
      <c r="KJ310" s="17"/>
      <c r="KK310" s="17"/>
      <c r="KL310" s="17"/>
      <c r="KM310" s="17"/>
      <c r="KN310" s="17"/>
      <c r="KO310" s="17"/>
      <c r="KP310" s="17"/>
      <c r="KQ310" s="17"/>
      <c r="KR310" s="17"/>
      <c r="KS310" s="17"/>
      <c r="KT310" s="17"/>
      <c r="KU310" s="17"/>
      <c r="KV310" s="17"/>
      <c r="KW310" s="17"/>
      <c r="KX310" s="17"/>
      <c r="KY310" s="17"/>
    </row>
    <row r="311" spans="1:311" x14ac:dyDescent="0.25">
      <c r="A311" s="17"/>
      <c r="B311" s="17"/>
      <c r="C311" s="17"/>
      <c r="D311" s="17"/>
      <c r="E311" s="17"/>
      <c r="F311" s="17"/>
      <c r="G311" s="17"/>
      <c r="H311" s="17"/>
      <c r="I311" s="17"/>
      <c r="J311" s="17"/>
      <c r="K311" s="17"/>
      <c r="L311" s="17"/>
      <c r="M311" s="17"/>
      <c r="N311" s="17"/>
      <c r="O311" s="17"/>
      <c r="P311" s="17"/>
      <c r="Q311" s="17"/>
      <c r="R311" s="17"/>
      <c r="S311" s="17"/>
      <c r="T311" s="17"/>
      <c r="U311" s="17"/>
      <c r="V311" s="17"/>
      <c r="W311" s="17"/>
      <c r="X311" s="17"/>
      <c r="Y311" s="17"/>
      <c r="Z311" s="17"/>
      <c r="AA311" s="17"/>
      <c r="AB311" s="17"/>
      <c r="AC311" s="17"/>
      <c r="AD311" s="17"/>
      <c r="AE311" s="17"/>
      <c r="AF311" s="17"/>
      <c r="AG311" s="17"/>
      <c r="AH311" s="17"/>
      <c r="AI311" s="17"/>
      <c r="AJ311" s="17"/>
      <c r="AK311" s="17"/>
      <c r="AL311" s="17"/>
      <c r="AM311" s="17"/>
      <c r="AN311" s="17"/>
      <c r="AO311" s="17"/>
      <c r="AP311" s="17"/>
      <c r="AQ311" s="17"/>
      <c r="AR311" s="17"/>
      <c r="AS311" s="17"/>
      <c r="AT311" s="17"/>
      <c r="AU311" s="17"/>
      <c r="AV311" s="17"/>
      <c r="AW311" s="17"/>
      <c r="AX311" s="17"/>
      <c r="AY311" s="17"/>
      <c r="AZ311" s="17"/>
      <c r="BA311" s="17"/>
      <c r="BB311" s="17"/>
      <c r="BC311" s="17"/>
      <c r="BD311" s="17"/>
      <c r="BE311" s="17"/>
      <c r="BF311" s="17"/>
      <c r="BG311" s="17"/>
      <c r="BH311" s="17"/>
      <c r="BI311" s="17"/>
      <c r="BJ311" s="17"/>
      <c r="BK311" s="17"/>
      <c r="BL311" s="17"/>
      <c r="BM311" s="17"/>
      <c r="BN311" s="17"/>
      <c r="BO311" s="17"/>
      <c r="BP311" s="17"/>
      <c r="BQ311" s="17"/>
      <c r="BR311" s="17"/>
      <c r="BS311" s="17"/>
      <c r="BT311" s="17"/>
      <c r="BU311" s="17"/>
      <c r="BV311" s="17"/>
      <c r="BW311" s="17"/>
      <c r="BX311" s="17"/>
      <c r="BY311" s="17"/>
      <c r="BZ311" s="17"/>
      <c r="CA311" s="17"/>
      <c r="CB311" s="17"/>
      <c r="CC311" s="17"/>
      <c r="CD311" s="17"/>
      <c r="CE311" s="17"/>
      <c r="CF311" s="17"/>
      <c r="CG311" s="17"/>
      <c r="CH311" s="17"/>
      <c r="CI311" s="17"/>
      <c r="CJ311" s="17"/>
      <c r="CK311" s="17"/>
      <c r="CL311" s="17"/>
      <c r="CM311" s="17"/>
      <c r="CN311" s="17"/>
      <c r="CO311" s="17"/>
      <c r="CP311" s="17"/>
      <c r="CQ311" s="17"/>
      <c r="CR311" s="17"/>
      <c r="CS311" s="17"/>
      <c r="CT311" s="17"/>
      <c r="CU311" s="17"/>
      <c r="CV311" s="17"/>
      <c r="CW311" s="17"/>
      <c r="CX311" s="17"/>
      <c r="CY311" s="17"/>
      <c r="CZ311" s="17"/>
      <c r="DA311" s="17"/>
      <c r="DB311" s="17"/>
      <c r="DC311" s="17"/>
      <c r="DD311" s="17"/>
      <c r="DE311" s="17"/>
      <c r="DF311" s="17"/>
      <c r="DG311" s="17"/>
      <c r="DH311" s="17"/>
      <c r="DI311" s="17"/>
      <c r="DJ311" s="17"/>
      <c r="DK311" s="17"/>
      <c r="DL311" s="17"/>
      <c r="DM311" s="17"/>
      <c r="DN311" s="17"/>
      <c r="DO311" s="17"/>
      <c r="DP311" s="17"/>
      <c r="DQ311" s="17"/>
      <c r="DR311" s="17"/>
      <c r="DS311" s="17"/>
      <c r="DT311" s="17"/>
      <c r="DU311" s="17"/>
      <c r="DV311" s="17"/>
      <c r="DW311" s="17"/>
      <c r="DX311" s="17"/>
      <c r="DY311" s="17"/>
      <c r="DZ311" s="17"/>
      <c r="EA311" s="17"/>
      <c r="EB311" s="17"/>
      <c r="EC311" s="17"/>
      <c r="ED311" s="17"/>
      <c r="EE311" s="17"/>
      <c r="EF311" s="17"/>
      <c r="EG311" s="17"/>
      <c r="EH311" s="17"/>
      <c r="EI311" s="17"/>
      <c r="EJ311" s="17"/>
      <c r="EK311" s="17"/>
      <c r="EL311" s="17"/>
      <c r="EM311" s="17"/>
      <c r="EN311" s="17"/>
      <c r="EO311" s="17"/>
      <c r="EP311" s="17"/>
      <c r="EQ311" s="17"/>
      <c r="ER311" s="17"/>
      <c r="ES311" s="17"/>
      <c r="ET311" s="17"/>
      <c r="EU311" s="17"/>
      <c r="EV311" s="17"/>
      <c r="EW311" s="17"/>
      <c r="EX311" s="17"/>
      <c r="EY311" s="17"/>
      <c r="EZ311" s="17"/>
      <c r="FA311" s="17"/>
      <c r="FB311" s="17"/>
      <c r="FC311" s="17"/>
      <c r="FD311" s="17"/>
      <c r="FE311" s="17"/>
      <c r="FF311" s="17"/>
      <c r="FG311" s="17"/>
      <c r="FH311" s="17"/>
      <c r="FI311" s="17"/>
      <c r="FJ311" s="17"/>
      <c r="FK311" s="17"/>
      <c r="FL311" s="17"/>
      <c r="FM311" s="17"/>
      <c r="FN311" s="17"/>
      <c r="FO311" s="17"/>
      <c r="FP311" s="17"/>
      <c r="FQ311" s="17"/>
      <c r="FR311" s="17"/>
      <c r="FS311" s="17"/>
      <c r="FT311" s="17"/>
      <c r="FU311" s="17"/>
      <c r="FV311" s="17"/>
      <c r="FW311" s="17"/>
      <c r="FX311" s="17"/>
      <c r="FY311" s="17"/>
      <c r="FZ311" s="17"/>
      <c r="GA311" s="17"/>
      <c r="GB311" s="17"/>
      <c r="GC311" s="17"/>
      <c r="GD311" s="17"/>
      <c r="GE311" s="17"/>
      <c r="GF311" s="17"/>
      <c r="GG311" s="17"/>
      <c r="GH311" s="17"/>
      <c r="GI311" s="17"/>
      <c r="GJ311" s="17"/>
      <c r="GK311" s="17"/>
      <c r="GL311" s="17"/>
      <c r="GM311" s="17"/>
      <c r="GN311" s="17"/>
      <c r="GO311" s="17"/>
      <c r="GP311" s="17"/>
      <c r="GQ311" s="17"/>
      <c r="GR311" s="17"/>
      <c r="GS311" s="17"/>
      <c r="GT311" s="17"/>
      <c r="GU311" s="17"/>
      <c r="GV311" s="17"/>
      <c r="GW311" s="17"/>
      <c r="GX311" s="17"/>
      <c r="GY311" s="17"/>
      <c r="GZ311" s="17"/>
      <c r="HA311" s="17"/>
      <c r="HB311" s="17"/>
      <c r="HC311" s="17"/>
      <c r="HD311" s="17"/>
      <c r="HE311" s="17"/>
      <c r="HF311" s="17"/>
      <c r="HG311" s="17"/>
      <c r="HH311" s="17"/>
      <c r="HI311" s="17"/>
      <c r="HJ311" s="17"/>
      <c r="HK311" s="17"/>
      <c r="HL311" s="17"/>
      <c r="HM311" s="17"/>
      <c r="HN311" s="17"/>
      <c r="HO311" s="17"/>
      <c r="HP311" s="17"/>
      <c r="HQ311" s="17"/>
      <c r="HR311" s="17"/>
      <c r="HS311" s="17"/>
      <c r="HT311" s="17"/>
      <c r="HU311" s="17"/>
      <c r="HV311" s="17"/>
      <c r="HW311" s="17"/>
      <c r="HX311" s="17"/>
      <c r="HY311" s="17"/>
      <c r="HZ311" s="17"/>
      <c r="IA311" s="17"/>
      <c r="IB311" s="17"/>
      <c r="IC311" s="17"/>
      <c r="ID311" s="17"/>
      <c r="IE311" s="17"/>
      <c r="IF311" s="17"/>
      <c r="IG311" s="17"/>
      <c r="IH311" s="17"/>
      <c r="II311" s="17"/>
      <c r="IJ311" s="17"/>
      <c r="IK311" s="17"/>
      <c r="IL311" s="17"/>
      <c r="IM311" s="17"/>
      <c r="IN311" s="17"/>
      <c r="IO311" s="17"/>
      <c r="IP311" s="17"/>
      <c r="IQ311" s="17"/>
      <c r="IR311" s="17"/>
      <c r="IS311" s="17"/>
      <c r="IT311" s="17"/>
      <c r="IU311" s="17"/>
      <c r="IV311" s="17"/>
      <c r="IW311" s="17"/>
      <c r="IX311" s="17"/>
      <c r="IY311" s="17"/>
      <c r="IZ311" s="17"/>
      <c r="JA311" s="17"/>
      <c r="JB311" s="17"/>
      <c r="JC311" s="17"/>
      <c r="JD311" s="17"/>
      <c r="JE311" s="17"/>
      <c r="JF311" s="17"/>
      <c r="JG311" s="17"/>
      <c r="JH311" s="17"/>
      <c r="JI311" s="17"/>
      <c r="JJ311" s="17"/>
      <c r="JK311" s="17"/>
      <c r="JL311" s="17"/>
      <c r="JM311" s="17"/>
      <c r="JN311" s="17"/>
      <c r="JO311" s="17"/>
      <c r="JP311" s="17"/>
      <c r="JQ311" s="17"/>
      <c r="JR311" s="17"/>
      <c r="JS311" s="17"/>
      <c r="JT311" s="17"/>
      <c r="JU311" s="17"/>
      <c r="JV311" s="17"/>
      <c r="JW311" s="17"/>
      <c r="JX311" s="17"/>
      <c r="JY311" s="17"/>
      <c r="JZ311" s="17"/>
      <c r="KA311" s="17"/>
      <c r="KB311" s="17"/>
      <c r="KC311" s="17"/>
      <c r="KD311" s="17"/>
      <c r="KE311" s="17"/>
      <c r="KF311" s="17"/>
      <c r="KG311" s="17"/>
      <c r="KH311" s="17"/>
      <c r="KI311" s="17"/>
      <c r="KJ311" s="17"/>
      <c r="KK311" s="17"/>
      <c r="KL311" s="17"/>
      <c r="KM311" s="17"/>
      <c r="KN311" s="17"/>
      <c r="KO311" s="17"/>
      <c r="KP311" s="17"/>
      <c r="KQ311" s="17"/>
      <c r="KR311" s="17"/>
      <c r="KS311" s="17"/>
      <c r="KT311" s="17"/>
      <c r="KU311" s="17"/>
      <c r="KV311" s="17"/>
      <c r="KW311" s="17"/>
      <c r="KX311" s="17"/>
      <c r="KY311" s="17"/>
    </row>
    <row r="312" spans="1:311" x14ac:dyDescent="0.25">
      <c r="A312" s="17"/>
      <c r="B312" s="17"/>
      <c r="C312" s="17"/>
      <c r="D312" s="17"/>
      <c r="E312" s="17"/>
      <c r="F312" s="17"/>
      <c r="G312" s="17"/>
      <c r="H312" s="17"/>
      <c r="I312" s="17"/>
      <c r="J312" s="17"/>
      <c r="K312" s="17"/>
      <c r="L312" s="17"/>
      <c r="M312" s="17"/>
      <c r="N312" s="17"/>
      <c r="O312" s="17"/>
      <c r="P312" s="17"/>
      <c r="Q312" s="17"/>
      <c r="R312" s="17"/>
      <c r="S312" s="17"/>
      <c r="T312" s="17"/>
      <c r="U312" s="17"/>
      <c r="V312" s="17"/>
      <c r="W312" s="17"/>
      <c r="X312" s="17"/>
      <c r="Y312" s="17"/>
      <c r="Z312" s="17"/>
      <c r="AA312" s="17"/>
      <c r="AB312" s="17"/>
      <c r="AC312" s="17"/>
      <c r="AD312" s="17"/>
      <c r="AE312" s="17"/>
      <c r="AF312" s="17"/>
      <c r="AG312" s="17"/>
      <c r="AH312" s="17"/>
      <c r="AI312" s="17"/>
      <c r="AJ312" s="17"/>
      <c r="AK312" s="17"/>
      <c r="AL312" s="17"/>
      <c r="AM312" s="17"/>
      <c r="AN312" s="17"/>
      <c r="AO312" s="17"/>
      <c r="AP312" s="17"/>
      <c r="AQ312" s="17"/>
      <c r="AR312" s="17"/>
      <c r="AS312" s="17"/>
      <c r="AT312" s="17"/>
      <c r="AU312" s="17"/>
      <c r="AV312" s="17"/>
      <c r="AW312" s="17"/>
      <c r="AX312" s="17"/>
      <c r="AY312" s="17"/>
      <c r="AZ312" s="17"/>
      <c r="BA312" s="17"/>
      <c r="BB312" s="17"/>
      <c r="BC312" s="17"/>
      <c r="BD312" s="17"/>
      <c r="BE312" s="17"/>
      <c r="BF312" s="17"/>
      <c r="BG312" s="17"/>
      <c r="BH312" s="17"/>
      <c r="BI312" s="17"/>
      <c r="BJ312" s="17"/>
      <c r="BK312" s="17"/>
      <c r="BL312" s="17"/>
      <c r="BM312" s="17"/>
      <c r="BN312" s="17"/>
      <c r="BO312" s="17"/>
      <c r="BP312" s="17"/>
      <c r="BQ312" s="17"/>
      <c r="BR312" s="17"/>
      <c r="BS312" s="17"/>
      <c r="BT312" s="17"/>
      <c r="BU312" s="17"/>
      <c r="BV312" s="17"/>
      <c r="BW312" s="17"/>
      <c r="BX312" s="17"/>
      <c r="BY312" s="17"/>
      <c r="BZ312" s="17"/>
      <c r="CA312" s="17"/>
      <c r="CB312" s="17"/>
      <c r="CC312" s="17"/>
      <c r="CD312" s="17"/>
      <c r="CE312" s="17"/>
      <c r="CF312" s="17"/>
      <c r="CG312" s="17"/>
      <c r="CH312" s="17"/>
      <c r="CI312" s="17"/>
      <c r="CJ312" s="17"/>
      <c r="CK312" s="17"/>
      <c r="CL312" s="17"/>
      <c r="CM312" s="17"/>
      <c r="CN312" s="17"/>
      <c r="CO312" s="17"/>
      <c r="CP312" s="17"/>
      <c r="CQ312" s="17"/>
      <c r="CR312" s="17"/>
      <c r="CS312" s="17"/>
      <c r="CT312" s="17"/>
      <c r="CU312" s="17"/>
      <c r="CV312" s="17"/>
      <c r="CW312" s="17"/>
      <c r="CX312" s="17"/>
      <c r="CY312" s="17"/>
      <c r="CZ312" s="17"/>
      <c r="DA312" s="17"/>
      <c r="DB312" s="17"/>
      <c r="DC312" s="17"/>
      <c r="DD312" s="17"/>
      <c r="DE312" s="17"/>
      <c r="DF312" s="17"/>
      <c r="DG312" s="17"/>
      <c r="DH312" s="17"/>
      <c r="DI312" s="17"/>
      <c r="DJ312" s="17"/>
      <c r="DK312" s="17"/>
      <c r="DL312" s="17"/>
      <c r="DM312" s="17"/>
      <c r="DN312" s="17"/>
      <c r="DO312" s="17"/>
      <c r="DP312" s="17"/>
      <c r="DQ312" s="17"/>
      <c r="DR312" s="17"/>
      <c r="DS312" s="17"/>
      <c r="DT312" s="17"/>
      <c r="DU312" s="17"/>
      <c r="DV312" s="17"/>
      <c r="DW312" s="17"/>
      <c r="DX312" s="17"/>
      <c r="DY312" s="17"/>
      <c r="DZ312" s="17"/>
      <c r="EA312" s="17"/>
      <c r="EB312" s="17"/>
      <c r="EC312" s="17"/>
      <c r="ED312" s="17"/>
      <c r="EE312" s="17"/>
      <c r="EF312" s="17"/>
      <c r="EG312" s="17"/>
      <c r="EH312" s="17"/>
      <c r="EI312" s="17"/>
      <c r="EJ312" s="17"/>
      <c r="EK312" s="17"/>
      <c r="EL312" s="17"/>
      <c r="EM312" s="17"/>
      <c r="EN312" s="17"/>
      <c r="EO312" s="17"/>
      <c r="EP312" s="17"/>
      <c r="EQ312" s="17"/>
      <c r="ER312" s="17"/>
      <c r="ES312" s="17"/>
      <c r="ET312" s="17"/>
      <c r="EU312" s="17"/>
      <c r="EV312" s="17"/>
      <c r="EW312" s="17"/>
      <c r="EX312" s="17"/>
      <c r="EY312" s="17"/>
      <c r="EZ312" s="17"/>
      <c r="FA312" s="17"/>
      <c r="FB312" s="17"/>
      <c r="FC312" s="17"/>
      <c r="FD312" s="17"/>
      <c r="FE312" s="17"/>
      <c r="FF312" s="17"/>
      <c r="FG312" s="17"/>
      <c r="FH312" s="17"/>
      <c r="FI312" s="17"/>
      <c r="FJ312" s="17"/>
      <c r="FK312" s="17"/>
      <c r="FL312" s="17"/>
      <c r="FM312" s="17"/>
      <c r="FN312" s="17"/>
      <c r="FO312" s="17"/>
      <c r="FP312" s="17"/>
      <c r="FQ312" s="17"/>
      <c r="FR312" s="17"/>
      <c r="FS312" s="17"/>
      <c r="FT312" s="17"/>
      <c r="FU312" s="17"/>
      <c r="FV312" s="17"/>
      <c r="FW312" s="17"/>
      <c r="FX312" s="17"/>
      <c r="FY312" s="17"/>
      <c r="FZ312" s="17"/>
      <c r="GA312" s="17"/>
      <c r="GB312" s="17"/>
      <c r="GC312" s="17"/>
      <c r="GD312" s="17"/>
      <c r="GE312" s="17"/>
      <c r="GF312" s="17"/>
      <c r="GG312" s="17"/>
      <c r="GH312" s="17"/>
      <c r="GI312" s="17"/>
      <c r="GJ312" s="17"/>
      <c r="GK312" s="17"/>
      <c r="GL312" s="17"/>
      <c r="GM312" s="17"/>
      <c r="GN312" s="17"/>
      <c r="GO312" s="17"/>
      <c r="GP312" s="17"/>
      <c r="GQ312" s="17"/>
      <c r="GR312" s="17"/>
      <c r="GS312" s="17"/>
      <c r="GT312" s="17"/>
      <c r="GU312" s="17"/>
      <c r="GV312" s="17"/>
      <c r="GW312" s="17"/>
      <c r="GX312" s="17"/>
      <c r="GY312" s="17"/>
      <c r="GZ312" s="17"/>
      <c r="HA312" s="17"/>
      <c r="HB312" s="17"/>
      <c r="HC312" s="17"/>
      <c r="HD312" s="17"/>
      <c r="HE312" s="17"/>
      <c r="HF312" s="17"/>
      <c r="HG312" s="17"/>
      <c r="HH312" s="17"/>
      <c r="HI312" s="17"/>
      <c r="HJ312" s="17"/>
      <c r="HK312" s="17"/>
      <c r="HL312" s="17"/>
      <c r="HM312" s="17"/>
      <c r="HN312" s="17"/>
      <c r="HO312" s="17"/>
      <c r="HP312" s="17"/>
      <c r="HQ312" s="17"/>
      <c r="HR312" s="17"/>
      <c r="HS312" s="17"/>
      <c r="HT312" s="17"/>
      <c r="HU312" s="17"/>
      <c r="HV312" s="17"/>
      <c r="HW312" s="17"/>
      <c r="HX312" s="17"/>
      <c r="HY312" s="17"/>
      <c r="HZ312" s="17"/>
      <c r="IA312" s="17"/>
      <c r="IB312" s="17"/>
      <c r="IC312" s="17"/>
      <c r="ID312" s="17"/>
      <c r="IE312" s="17"/>
      <c r="IF312" s="17"/>
      <c r="IG312" s="17"/>
      <c r="IH312" s="17"/>
      <c r="II312" s="17"/>
      <c r="IJ312" s="17"/>
      <c r="IK312" s="17"/>
      <c r="IL312" s="17"/>
      <c r="IM312" s="17"/>
      <c r="IN312" s="17"/>
      <c r="IO312" s="17"/>
      <c r="IP312" s="17"/>
      <c r="IQ312" s="17"/>
      <c r="IR312" s="17"/>
      <c r="IS312" s="17"/>
      <c r="IT312" s="17"/>
      <c r="IU312" s="17"/>
      <c r="IV312" s="17"/>
      <c r="IW312" s="17"/>
      <c r="IX312" s="17"/>
      <c r="IY312" s="17"/>
      <c r="IZ312" s="17"/>
      <c r="JA312" s="17"/>
      <c r="JB312" s="17"/>
      <c r="JC312" s="17"/>
      <c r="JD312" s="17"/>
      <c r="JE312" s="17"/>
      <c r="JF312" s="17"/>
      <c r="JG312" s="17"/>
      <c r="JH312" s="17"/>
      <c r="JI312" s="17"/>
      <c r="JJ312" s="17"/>
      <c r="JK312" s="17"/>
      <c r="JL312" s="17"/>
      <c r="JM312" s="17"/>
      <c r="JN312" s="17"/>
      <c r="JO312" s="17"/>
      <c r="JP312" s="17"/>
      <c r="JQ312" s="17"/>
      <c r="JR312" s="17"/>
      <c r="JS312" s="17"/>
      <c r="JT312" s="17"/>
      <c r="JU312" s="17"/>
      <c r="JV312" s="17"/>
      <c r="JW312" s="17"/>
      <c r="JX312" s="17"/>
      <c r="JY312" s="17"/>
      <c r="JZ312" s="17"/>
      <c r="KA312" s="17"/>
      <c r="KB312" s="17"/>
      <c r="KC312" s="17"/>
      <c r="KD312" s="17"/>
      <c r="KE312" s="17"/>
      <c r="KF312" s="17"/>
      <c r="KG312" s="17"/>
      <c r="KH312" s="17"/>
      <c r="KI312" s="17"/>
      <c r="KJ312" s="17"/>
      <c r="KK312" s="17"/>
      <c r="KL312" s="17"/>
      <c r="KM312" s="17"/>
      <c r="KN312" s="17"/>
      <c r="KO312" s="17"/>
      <c r="KP312" s="17"/>
      <c r="KQ312" s="17"/>
      <c r="KR312" s="17"/>
      <c r="KS312" s="17"/>
      <c r="KT312" s="17"/>
      <c r="KU312" s="17"/>
      <c r="KV312" s="17"/>
      <c r="KW312" s="17"/>
      <c r="KX312" s="17"/>
      <c r="KY312" s="17"/>
    </row>
    <row r="313" spans="1:311" x14ac:dyDescent="0.25">
      <c r="A313" s="17"/>
      <c r="B313" s="17"/>
      <c r="C313" s="17"/>
      <c r="D313" s="17"/>
      <c r="E313" s="17"/>
      <c r="F313" s="17"/>
      <c r="G313" s="17"/>
      <c r="H313" s="17"/>
      <c r="I313" s="17"/>
      <c r="J313" s="17"/>
      <c r="K313" s="17"/>
      <c r="L313" s="17"/>
      <c r="M313" s="17"/>
      <c r="N313" s="17"/>
      <c r="O313" s="17"/>
      <c r="P313" s="17"/>
      <c r="Q313" s="17"/>
      <c r="R313" s="17"/>
      <c r="S313" s="17"/>
      <c r="T313" s="17"/>
      <c r="U313" s="17"/>
      <c r="V313" s="17"/>
      <c r="W313" s="17"/>
      <c r="X313" s="17"/>
      <c r="Y313" s="17"/>
      <c r="Z313" s="17"/>
      <c r="AA313" s="17"/>
      <c r="AB313" s="17"/>
      <c r="AC313" s="17"/>
      <c r="AD313" s="17"/>
      <c r="AE313" s="17"/>
      <c r="AF313" s="17"/>
      <c r="AG313" s="17"/>
      <c r="AH313" s="17"/>
      <c r="AI313" s="17"/>
      <c r="AJ313" s="17"/>
      <c r="AK313" s="17"/>
      <c r="AL313" s="17"/>
      <c r="AM313" s="17"/>
      <c r="AN313" s="17"/>
      <c r="AO313" s="17"/>
      <c r="AP313" s="17"/>
      <c r="AQ313" s="17"/>
      <c r="AR313" s="17"/>
      <c r="AS313" s="17"/>
      <c r="AT313" s="17"/>
      <c r="AU313" s="17"/>
      <c r="AV313" s="17"/>
      <c r="AW313" s="17"/>
      <c r="AX313" s="17"/>
      <c r="AY313" s="17"/>
      <c r="AZ313" s="17"/>
      <c r="BA313" s="17"/>
      <c r="BB313" s="17"/>
      <c r="BC313" s="17"/>
      <c r="BD313" s="17"/>
      <c r="BE313" s="17"/>
      <c r="BF313" s="17"/>
      <c r="BG313" s="17"/>
      <c r="BH313" s="17"/>
      <c r="BI313" s="17"/>
      <c r="BJ313" s="17"/>
      <c r="BK313" s="17"/>
      <c r="BL313" s="17"/>
      <c r="BM313" s="17"/>
      <c r="BN313" s="17"/>
      <c r="BO313" s="17"/>
      <c r="BP313" s="17"/>
      <c r="BQ313" s="17"/>
      <c r="BR313" s="17"/>
      <c r="BS313" s="17"/>
      <c r="BT313" s="17"/>
      <c r="BU313" s="17"/>
      <c r="BV313" s="17"/>
      <c r="BW313" s="17"/>
      <c r="BX313" s="17"/>
      <c r="BY313" s="17"/>
      <c r="BZ313" s="17"/>
      <c r="CA313" s="17"/>
      <c r="CB313" s="17"/>
      <c r="CC313" s="17"/>
      <c r="CD313" s="17"/>
      <c r="CE313" s="17"/>
      <c r="CF313" s="17"/>
      <c r="CG313" s="17"/>
      <c r="CH313" s="17"/>
      <c r="CI313" s="17"/>
      <c r="CJ313" s="17"/>
      <c r="CK313" s="17"/>
      <c r="CL313" s="17"/>
      <c r="CM313" s="17"/>
      <c r="CN313" s="17"/>
      <c r="CO313" s="17"/>
      <c r="CP313" s="17"/>
      <c r="CQ313" s="17"/>
      <c r="CR313" s="17"/>
      <c r="CS313" s="17"/>
      <c r="CT313" s="17"/>
      <c r="CU313" s="17"/>
      <c r="CV313" s="17"/>
      <c r="CW313" s="17"/>
      <c r="CX313" s="17"/>
      <c r="CY313" s="17"/>
      <c r="CZ313" s="17"/>
      <c r="DA313" s="17"/>
      <c r="DB313" s="17"/>
      <c r="DC313" s="17"/>
      <c r="DD313" s="17"/>
      <c r="DE313" s="17"/>
      <c r="DF313" s="17"/>
      <c r="DG313" s="17"/>
      <c r="DH313" s="17"/>
      <c r="DI313" s="17"/>
      <c r="DJ313" s="17"/>
      <c r="DK313" s="17"/>
      <c r="DL313" s="17"/>
      <c r="DM313" s="17"/>
      <c r="DN313" s="17"/>
      <c r="DO313" s="17"/>
      <c r="DP313" s="17"/>
      <c r="DQ313" s="17"/>
      <c r="DR313" s="17"/>
      <c r="DS313" s="17"/>
      <c r="DT313" s="17"/>
      <c r="DU313" s="17"/>
      <c r="DV313" s="17"/>
      <c r="DW313" s="17"/>
      <c r="DX313" s="17"/>
      <c r="DY313" s="17"/>
      <c r="DZ313" s="17"/>
      <c r="EA313" s="17"/>
      <c r="EB313" s="17"/>
      <c r="EC313" s="17"/>
      <c r="ED313" s="17"/>
      <c r="EE313" s="17"/>
      <c r="EF313" s="17"/>
      <c r="EG313" s="17"/>
      <c r="EH313" s="17"/>
      <c r="EI313" s="17"/>
      <c r="EJ313" s="17"/>
      <c r="EK313" s="17"/>
      <c r="EL313" s="17"/>
      <c r="EM313" s="17"/>
      <c r="EN313" s="17"/>
      <c r="EO313" s="17"/>
      <c r="EP313" s="17"/>
      <c r="EQ313" s="17"/>
      <c r="ER313" s="17"/>
      <c r="ES313" s="17"/>
      <c r="ET313" s="17"/>
      <c r="EU313" s="17"/>
      <c r="EV313" s="17"/>
      <c r="EW313" s="17"/>
      <c r="EX313" s="17"/>
      <c r="EY313" s="17"/>
      <c r="EZ313" s="17"/>
      <c r="FA313" s="17"/>
      <c r="FB313" s="17"/>
      <c r="FC313" s="17"/>
      <c r="FD313" s="17"/>
      <c r="FE313" s="17"/>
      <c r="FF313" s="17"/>
      <c r="FG313" s="17"/>
      <c r="FH313" s="17"/>
      <c r="FI313" s="17"/>
      <c r="FJ313" s="17"/>
      <c r="FK313" s="17"/>
      <c r="FL313" s="17"/>
      <c r="FM313" s="17"/>
      <c r="FN313" s="17"/>
      <c r="FO313" s="17"/>
      <c r="FP313" s="17"/>
      <c r="FQ313" s="17"/>
      <c r="FR313" s="17"/>
      <c r="FS313" s="17"/>
      <c r="FT313" s="17"/>
      <c r="FU313" s="17"/>
      <c r="FV313" s="17"/>
      <c r="FW313" s="17"/>
      <c r="FX313" s="17"/>
      <c r="FY313" s="17"/>
      <c r="FZ313" s="17"/>
      <c r="GA313" s="17"/>
      <c r="GB313" s="17"/>
      <c r="GC313" s="17"/>
      <c r="GD313" s="17"/>
      <c r="GE313" s="17"/>
      <c r="GF313" s="17"/>
      <c r="GG313" s="17"/>
      <c r="GH313" s="17"/>
      <c r="GI313" s="17"/>
      <c r="GJ313" s="17"/>
      <c r="GK313" s="17"/>
      <c r="GL313" s="17"/>
      <c r="GM313" s="17"/>
      <c r="GN313" s="17"/>
      <c r="GO313" s="17"/>
      <c r="GP313" s="17"/>
      <c r="GQ313" s="17"/>
      <c r="GR313" s="17"/>
      <c r="GS313" s="17"/>
      <c r="GT313" s="17"/>
      <c r="GU313" s="17"/>
      <c r="GV313" s="17"/>
      <c r="GW313" s="17"/>
      <c r="GX313" s="17"/>
      <c r="GY313" s="17"/>
      <c r="GZ313" s="17"/>
      <c r="HA313" s="17"/>
      <c r="HB313" s="17"/>
      <c r="HC313" s="17"/>
      <c r="HD313" s="17"/>
      <c r="HE313" s="17"/>
      <c r="HF313" s="17"/>
      <c r="HG313" s="17"/>
      <c r="HH313" s="17"/>
      <c r="HI313" s="17"/>
      <c r="HJ313" s="17"/>
      <c r="HK313" s="17"/>
      <c r="HL313" s="17"/>
      <c r="HM313" s="17"/>
      <c r="HN313" s="17"/>
      <c r="HO313" s="17"/>
      <c r="HP313" s="17"/>
      <c r="HQ313" s="17"/>
      <c r="HR313" s="17"/>
      <c r="HS313" s="17"/>
      <c r="HT313" s="17"/>
      <c r="HU313" s="17"/>
      <c r="HV313" s="17"/>
      <c r="HW313" s="17"/>
      <c r="HX313" s="17"/>
      <c r="HY313" s="17"/>
      <c r="HZ313" s="17"/>
      <c r="IA313" s="17"/>
      <c r="IB313" s="17"/>
      <c r="IC313" s="17"/>
      <c r="ID313" s="17"/>
      <c r="IE313" s="17"/>
      <c r="IF313" s="17"/>
      <c r="IG313" s="17"/>
      <c r="IH313" s="17"/>
      <c r="II313" s="17"/>
      <c r="IJ313" s="17"/>
      <c r="IK313" s="17"/>
      <c r="IL313" s="17"/>
      <c r="IM313" s="17"/>
      <c r="IN313" s="17"/>
      <c r="IO313" s="17"/>
      <c r="IP313" s="17"/>
      <c r="IQ313" s="17"/>
      <c r="IR313" s="17"/>
      <c r="IS313" s="17"/>
      <c r="IT313" s="17"/>
      <c r="IU313" s="17"/>
      <c r="IV313" s="17"/>
      <c r="IW313" s="17"/>
      <c r="IX313" s="17"/>
      <c r="IY313" s="17"/>
      <c r="IZ313" s="17"/>
      <c r="JA313" s="17"/>
      <c r="JB313" s="17"/>
      <c r="JC313" s="17"/>
      <c r="JD313" s="17"/>
      <c r="JE313" s="17"/>
      <c r="JF313" s="17"/>
      <c r="JG313" s="17"/>
      <c r="JH313" s="17"/>
      <c r="JI313" s="17"/>
      <c r="JJ313" s="17"/>
      <c r="JK313" s="17"/>
      <c r="JL313" s="17"/>
      <c r="JM313" s="17"/>
      <c r="JN313" s="17"/>
      <c r="JO313" s="17"/>
      <c r="JP313" s="17"/>
      <c r="JQ313" s="17"/>
      <c r="JR313" s="17"/>
      <c r="JS313" s="17"/>
      <c r="JT313" s="17"/>
      <c r="JU313" s="17"/>
      <c r="JV313" s="17"/>
      <c r="JW313" s="17"/>
      <c r="JX313" s="17"/>
      <c r="JY313" s="17"/>
      <c r="JZ313" s="17"/>
      <c r="KA313" s="17"/>
      <c r="KB313" s="17"/>
      <c r="KC313" s="17"/>
      <c r="KD313" s="17"/>
      <c r="KE313" s="17"/>
      <c r="KF313" s="17"/>
      <c r="KG313" s="17"/>
      <c r="KH313" s="17"/>
      <c r="KI313" s="17"/>
      <c r="KJ313" s="17"/>
      <c r="KK313" s="17"/>
      <c r="KL313" s="17"/>
      <c r="KM313" s="17"/>
      <c r="KN313" s="17"/>
      <c r="KO313" s="17"/>
      <c r="KP313" s="17"/>
      <c r="KQ313" s="17"/>
      <c r="KR313" s="17"/>
      <c r="KS313" s="17"/>
      <c r="KT313" s="17"/>
      <c r="KU313" s="17"/>
      <c r="KV313" s="17"/>
      <c r="KW313" s="17"/>
      <c r="KX313" s="17"/>
      <c r="KY313" s="17"/>
    </row>
    <row r="314" spans="1:311" x14ac:dyDescent="0.25">
      <c r="A314" s="17"/>
      <c r="B314" s="17"/>
      <c r="C314" s="17"/>
      <c r="D314" s="17"/>
      <c r="E314" s="17"/>
      <c r="F314" s="17"/>
      <c r="G314" s="17"/>
      <c r="H314" s="17"/>
      <c r="I314" s="17"/>
      <c r="J314" s="17"/>
      <c r="K314" s="17"/>
      <c r="L314" s="17"/>
      <c r="M314" s="17"/>
      <c r="N314" s="17"/>
      <c r="O314" s="17"/>
      <c r="P314" s="17"/>
      <c r="Q314" s="17"/>
      <c r="R314" s="17"/>
      <c r="S314" s="17"/>
      <c r="T314" s="17"/>
      <c r="U314" s="17"/>
      <c r="V314" s="17"/>
      <c r="W314" s="17"/>
      <c r="X314" s="17"/>
      <c r="Y314" s="17"/>
      <c r="Z314" s="17"/>
      <c r="AA314" s="17"/>
      <c r="AB314" s="17"/>
      <c r="AC314" s="17"/>
      <c r="AD314" s="17"/>
      <c r="AE314" s="17"/>
      <c r="AF314" s="17"/>
      <c r="AG314" s="17"/>
      <c r="AH314" s="17"/>
      <c r="AI314" s="17"/>
      <c r="AJ314" s="17"/>
      <c r="AK314" s="17"/>
      <c r="AL314" s="17"/>
      <c r="AM314" s="17"/>
      <c r="AN314" s="17"/>
      <c r="AO314" s="17"/>
      <c r="AP314" s="17"/>
      <c r="AQ314" s="17"/>
      <c r="AR314" s="17"/>
      <c r="AS314" s="17"/>
      <c r="AT314" s="17"/>
      <c r="AU314" s="17"/>
      <c r="AV314" s="17"/>
      <c r="AW314" s="17"/>
      <c r="AX314" s="17"/>
      <c r="AY314" s="17"/>
      <c r="AZ314" s="17"/>
      <c r="BA314" s="17"/>
      <c r="BB314" s="17"/>
      <c r="BC314" s="17"/>
      <c r="BD314" s="17"/>
      <c r="BE314" s="17"/>
      <c r="BF314" s="17"/>
      <c r="BG314" s="17"/>
      <c r="BH314" s="17"/>
      <c r="BI314" s="17"/>
      <c r="BJ314" s="17"/>
      <c r="BK314" s="17"/>
      <c r="BL314" s="17"/>
      <c r="BM314" s="17"/>
      <c r="BN314" s="17"/>
      <c r="BO314" s="17"/>
      <c r="BP314" s="17"/>
      <c r="BQ314" s="17"/>
      <c r="BR314" s="17"/>
      <c r="BS314" s="17"/>
      <c r="BT314" s="17"/>
      <c r="BU314" s="17"/>
      <c r="BV314" s="17"/>
      <c r="BW314" s="17"/>
      <c r="BX314" s="17"/>
      <c r="BY314" s="17"/>
      <c r="BZ314" s="17"/>
      <c r="CA314" s="17"/>
      <c r="CB314" s="17"/>
      <c r="CC314" s="17"/>
      <c r="CD314" s="17"/>
      <c r="CE314" s="17"/>
      <c r="CF314" s="17"/>
      <c r="CG314" s="17"/>
      <c r="CH314" s="17"/>
      <c r="CI314" s="17"/>
      <c r="CJ314" s="17"/>
      <c r="CK314" s="17"/>
      <c r="CL314" s="17"/>
      <c r="CM314" s="17"/>
      <c r="CN314" s="17"/>
      <c r="CO314" s="17"/>
      <c r="CP314" s="17"/>
      <c r="CQ314" s="17"/>
      <c r="CR314" s="17"/>
      <c r="CS314" s="17"/>
      <c r="CT314" s="17"/>
      <c r="CU314" s="17"/>
      <c r="CV314" s="17"/>
      <c r="CW314" s="17"/>
      <c r="CX314" s="17"/>
      <c r="CY314" s="17"/>
      <c r="CZ314" s="17"/>
      <c r="DA314" s="17"/>
      <c r="DB314" s="17"/>
      <c r="DC314" s="17"/>
      <c r="DD314" s="17"/>
      <c r="DE314" s="17"/>
      <c r="DF314" s="17"/>
      <c r="DG314" s="17"/>
      <c r="DH314" s="17"/>
      <c r="DI314" s="17"/>
      <c r="DJ314" s="17"/>
      <c r="DK314" s="17"/>
      <c r="DL314" s="17"/>
      <c r="DM314" s="17"/>
      <c r="DN314" s="17"/>
      <c r="DO314" s="17"/>
      <c r="DP314" s="17"/>
      <c r="DQ314" s="17"/>
      <c r="DR314" s="17"/>
      <c r="DS314" s="17"/>
      <c r="DT314" s="17"/>
      <c r="DU314" s="17"/>
      <c r="DV314" s="17"/>
      <c r="DW314" s="17"/>
      <c r="DX314" s="17"/>
      <c r="DY314" s="17"/>
      <c r="DZ314" s="17"/>
      <c r="EA314" s="17"/>
      <c r="EB314" s="17"/>
      <c r="EC314" s="17"/>
      <c r="ED314" s="17"/>
      <c r="EE314" s="17"/>
      <c r="EF314" s="17"/>
      <c r="EG314" s="17"/>
      <c r="EH314" s="17"/>
      <c r="EI314" s="17"/>
      <c r="EJ314" s="17"/>
      <c r="EK314" s="17"/>
      <c r="EL314" s="17"/>
      <c r="EM314" s="17"/>
      <c r="EN314" s="17"/>
      <c r="EO314" s="17"/>
      <c r="EP314" s="17"/>
      <c r="EQ314" s="17"/>
      <c r="ER314" s="17"/>
      <c r="ES314" s="17"/>
      <c r="ET314" s="17"/>
      <c r="EU314" s="17"/>
      <c r="EV314" s="17"/>
      <c r="EW314" s="17"/>
      <c r="EX314" s="17"/>
      <c r="EY314" s="17"/>
      <c r="EZ314" s="17"/>
      <c r="FA314" s="17"/>
      <c r="FB314" s="17"/>
      <c r="FC314" s="17"/>
      <c r="FD314" s="17"/>
      <c r="FE314" s="17"/>
      <c r="FF314" s="17"/>
      <c r="FG314" s="17"/>
      <c r="FH314" s="17"/>
      <c r="FI314" s="17"/>
      <c r="FJ314" s="17"/>
      <c r="FK314" s="17"/>
      <c r="FL314" s="17"/>
      <c r="FM314" s="17"/>
      <c r="FN314" s="17"/>
      <c r="FO314" s="17"/>
      <c r="FP314" s="17"/>
      <c r="FQ314" s="17"/>
      <c r="FR314" s="17"/>
      <c r="FS314" s="17"/>
      <c r="FT314" s="17"/>
      <c r="FU314" s="17"/>
      <c r="FV314" s="17"/>
      <c r="FW314" s="17"/>
      <c r="FX314" s="17"/>
      <c r="FY314" s="17"/>
      <c r="FZ314" s="17"/>
      <c r="GA314" s="17"/>
      <c r="GB314" s="17"/>
      <c r="GC314" s="17"/>
      <c r="GD314" s="17"/>
      <c r="GE314" s="17"/>
      <c r="GF314" s="17"/>
      <c r="GG314" s="17"/>
      <c r="GH314" s="17"/>
      <c r="GI314" s="17"/>
      <c r="GJ314" s="17"/>
      <c r="GK314" s="17"/>
      <c r="GL314" s="17"/>
      <c r="GM314" s="17"/>
      <c r="GN314" s="17"/>
      <c r="GO314" s="17"/>
      <c r="GP314" s="17"/>
      <c r="GQ314" s="17"/>
      <c r="GR314" s="17"/>
      <c r="GS314" s="17"/>
      <c r="GT314" s="17"/>
      <c r="GU314" s="17"/>
      <c r="GV314" s="17"/>
      <c r="GW314" s="17"/>
      <c r="GX314" s="17"/>
      <c r="GY314" s="17"/>
      <c r="GZ314" s="17"/>
      <c r="HA314" s="17"/>
      <c r="HB314" s="17"/>
      <c r="HC314" s="17"/>
      <c r="HD314" s="17"/>
      <c r="HE314" s="17"/>
      <c r="HF314" s="17"/>
      <c r="HG314" s="17"/>
      <c r="HH314" s="17"/>
      <c r="HI314" s="17"/>
      <c r="HJ314" s="17"/>
      <c r="HK314" s="17"/>
      <c r="HL314" s="17"/>
      <c r="HM314" s="17"/>
      <c r="HN314" s="17"/>
      <c r="HO314" s="17"/>
      <c r="HP314" s="17"/>
      <c r="HQ314" s="17"/>
      <c r="HR314" s="17"/>
      <c r="HS314" s="17"/>
      <c r="HT314" s="17"/>
      <c r="HU314" s="17"/>
      <c r="HV314" s="17"/>
      <c r="HW314" s="17"/>
      <c r="HX314" s="17"/>
      <c r="HY314" s="17"/>
      <c r="HZ314" s="17"/>
      <c r="IA314" s="17"/>
      <c r="IB314" s="17"/>
      <c r="IC314" s="17"/>
      <c r="ID314" s="17"/>
      <c r="IE314" s="17"/>
      <c r="IF314" s="17"/>
      <c r="IG314" s="17"/>
      <c r="IH314" s="17"/>
      <c r="II314" s="17"/>
      <c r="IJ314" s="17"/>
      <c r="IK314" s="17"/>
      <c r="IL314" s="17"/>
      <c r="IM314" s="17"/>
      <c r="IN314" s="17"/>
      <c r="IO314" s="17"/>
      <c r="IP314" s="17"/>
      <c r="IQ314" s="17"/>
      <c r="IR314" s="17"/>
      <c r="IS314" s="17"/>
      <c r="IT314" s="17"/>
      <c r="IU314" s="17"/>
      <c r="IV314" s="17"/>
      <c r="IW314" s="17"/>
      <c r="IX314" s="17"/>
      <c r="IY314" s="17"/>
      <c r="IZ314" s="17"/>
      <c r="JA314" s="17"/>
      <c r="JB314" s="17"/>
      <c r="JC314" s="17"/>
      <c r="JD314" s="17"/>
      <c r="JE314" s="17"/>
      <c r="JF314" s="17"/>
      <c r="JG314" s="17"/>
      <c r="JH314" s="17"/>
      <c r="JI314" s="17"/>
      <c r="JJ314" s="17"/>
      <c r="JK314" s="17"/>
      <c r="JL314" s="17"/>
      <c r="JM314" s="17"/>
      <c r="JN314" s="17"/>
      <c r="JO314" s="17"/>
      <c r="JP314" s="17"/>
      <c r="JQ314" s="17"/>
      <c r="JR314" s="17"/>
      <c r="JS314" s="17"/>
      <c r="JT314" s="17"/>
      <c r="JU314" s="17"/>
      <c r="JV314" s="17"/>
      <c r="JW314" s="17"/>
      <c r="JX314" s="17"/>
      <c r="JY314" s="17"/>
      <c r="JZ314" s="17"/>
      <c r="KA314" s="17"/>
      <c r="KB314" s="17"/>
      <c r="KC314" s="17"/>
      <c r="KD314" s="17"/>
      <c r="KE314" s="17"/>
      <c r="KF314" s="17"/>
      <c r="KG314" s="17"/>
      <c r="KH314" s="17"/>
      <c r="KI314" s="17"/>
      <c r="KJ314" s="17"/>
      <c r="KK314" s="17"/>
      <c r="KL314" s="17"/>
      <c r="KM314" s="17"/>
      <c r="KN314" s="17"/>
      <c r="KO314" s="17"/>
      <c r="KP314" s="17"/>
      <c r="KQ314" s="17"/>
      <c r="KR314" s="17"/>
      <c r="KS314" s="17"/>
      <c r="KT314" s="17"/>
      <c r="KU314" s="17"/>
      <c r="KV314" s="17"/>
      <c r="KW314" s="17"/>
      <c r="KX314" s="17"/>
      <c r="KY314" s="17"/>
    </row>
    <row r="315" spans="1:311" x14ac:dyDescent="0.25">
      <c r="A315" s="17"/>
      <c r="B315" s="17"/>
      <c r="C315" s="17"/>
      <c r="D315" s="17"/>
      <c r="E315" s="17"/>
      <c r="F315" s="17"/>
      <c r="G315" s="17"/>
      <c r="H315" s="17"/>
      <c r="I315" s="17"/>
      <c r="J315" s="17"/>
      <c r="K315" s="17"/>
      <c r="L315" s="17"/>
      <c r="M315" s="17"/>
      <c r="N315" s="17"/>
      <c r="O315" s="17"/>
      <c r="P315" s="17"/>
      <c r="Q315" s="17"/>
      <c r="R315" s="17"/>
      <c r="S315" s="17"/>
      <c r="T315" s="17"/>
      <c r="U315" s="17"/>
      <c r="V315" s="17"/>
      <c r="W315" s="17"/>
      <c r="X315" s="17"/>
      <c r="Y315" s="17"/>
      <c r="Z315" s="17"/>
      <c r="AA315" s="17"/>
      <c r="AB315" s="17"/>
      <c r="AC315" s="17"/>
      <c r="AD315" s="17"/>
      <c r="AE315" s="17"/>
      <c r="AF315" s="17"/>
      <c r="AG315" s="17"/>
      <c r="AH315" s="17"/>
      <c r="AI315" s="17"/>
      <c r="AJ315" s="17"/>
      <c r="AK315" s="17"/>
      <c r="AL315" s="17"/>
      <c r="AM315" s="17"/>
      <c r="AN315" s="17"/>
      <c r="AO315" s="17"/>
      <c r="AP315" s="17"/>
      <c r="AQ315" s="17"/>
      <c r="AR315" s="17"/>
      <c r="AS315" s="17"/>
      <c r="AT315" s="17"/>
      <c r="AU315" s="17"/>
      <c r="AV315" s="17"/>
      <c r="AW315" s="17"/>
      <c r="AX315" s="17"/>
      <c r="AY315" s="17"/>
      <c r="AZ315" s="17"/>
      <c r="BA315" s="17"/>
      <c r="BB315" s="17"/>
      <c r="BC315" s="17"/>
      <c r="BD315" s="17"/>
      <c r="BE315" s="17"/>
      <c r="BF315" s="17"/>
      <c r="BG315" s="17"/>
      <c r="BH315" s="17"/>
      <c r="BI315" s="17"/>
      <c r="BJ315" s="17"/>
      <c r="BK315" s="17"/>
      <c r="BL315" s="17"/>
      <c r="BM315" s="17"/>
      <c r="BN315" s="17"/>
      <c r="BO315" s="17"/>
      <c r="BP315" s="17"/>
      <c r="BQ315" s="17"/>
      <c r="BR315" s="17"/>
      <c r="BS315" s="17"/>
      <c r="BT315" s="17"/>
      <c r="BU315" s="17"/>
      <c r="BV315" s="17"/>
      <c r="BW315" s="17"/>
      <c r="BX315" s="17"/>
      <c r="BY315" s="17"/>
      <c r="BZ315" s="17"/>
      <c r="CA315" s="17"/>
      <c r="CB315" s="17"/>
      <c r="CC315" s="17"/>
      <c r="CD315" s="17"/>
      <c r="CE315" s="17"/>
      <c r="CF315" s="17"/>
      <c r="CG315" s="17"/>
      <c r="CH315" s="17"/>
      <c r="CI315" s="17"/>
      <c r="CJ315" s="17"/>
      <c r="CK315" s="17"/>
      <c r="CL315" s="17"/>
      <c r="CM315" s="17"/>
      <c r="CN315" s="17"/>
      <c r="CO315" s="17"/>
      <c r="CP315" s="17"/>
      <c r="CQ315" s="17"/>
      <c r="CR315" s="17"/>
      <c r="CS315" s="17"/>
      <c r="CT315" s="17"/>
      <c r="CU315" s="17"/>
      <c r="CV315" s="17"/>
      <c r="CW315" s="17"/>
      <c r="CX315" s="17"/>
      <c r="CY315" s="17"/>
      <c r="CZ315" s="17"/>
      <c r="DA315" s="17"/>
      <c r="DB315" s="17"/>
      <c r="DC315" s="17"/>
      <c r="DD315" s="17"/>
      <c r="DE315" s="17"/>
      <c r="DF315" s="17"/>
      <c r="DG315" s="17"/>
      <c r="DH315" s="17"/>
      <c r="DI315" s="17"/>
      <c r="DJ315" s="17"/>
      <c r="DK315" s="17"/>
      <c r="DL315" s="17"/>
      <c r="DM315" s="17"/>
      <c r="DN315" s="17"/>
      <c r="DO315" s="17"/>
      <c r="DP315" s="17"/>
      <c r="DQ315" s="17"/>
      <c r="DR315" s="17"/>
      <c r="DS315" s="17"/>
      <c r="DT315" s="17"/>
      <c r="DU315" s="17"/>
      <c r="DV315" s="17"/>
      <c r="DW315" s="17"/>
      <c r="DX315" s="17"/>
      <c r="DY315" s="17"/>
      <c r="DZ315" s="17"/>
      <c r="EA315" s="17"/>
      <c r="EB315" s="17"/>
      <c r="EC315" s="17"/>
      <c r="ED315" s="17"/>
      <c r="EE315" s="17"/>
      <c r="EF315" s="17"/>
      <c r="EG315" s="17"/>
      <c r="EH315" s="17"/>
      <c r="EI315" s="17"/>
      <c r="EJ315" s="17"/>
      <c r="EK315" s="17"/>
      <c r="EL315" s="17"/>
      <c r="EM315" s="17"/>
      <c r="EN315" s="17"/>
      <c r="EO315" s="17"/>
      <c r="EP315" s="17"/>
      <c r="EQ315" s="17"/>
      <c r="ER315" s="17"/>
      <c r="ES315" s="17"/>
      <c r="ET315" s="17"/>
      <c r="EU315" s="17"/>
      <c r="EV315" s="17"/>
      <c r="EW315" s="17"/>
      <c r="EX315" s="17"/>
      <c r="EY315" s="17"/>
      <c r="EZ315" s="17"/>
      <c r="FA315" s="17"/>
      <c r="FB315" s="17"/>
      <c r="FC315" s="17"/>
      <c r="FD315" s="17"/>
      <c r="FE315" s="17"/>
      <c r="FF315" s="17"/>
      <c r="FG315" s="17"/>
      <c r="FH315" s="17"/>
      <c r="FI315" s="17"/>
      <c r="FJ315" s="17"/>
      <c r="FK315" s="17"/>
      <c r="FL315" s="17"/>
      <c r="FM315" s="17"/>
      <c r="FN315" s="17"/>
      <c r="FO315" s="17"/>
      <c r="FP315" s="17"/>
      <c r="FQ315" s="17"/>
      <c r="FR315" s="17"/>
      <c r="FS315" s="17"/>
      <c r="FT315" s="17"/>
      <c r="FU315" s="17"/>
      <c r="FV315" s="17"/>
      <c r="FW315" s="17"/>
      <c r="FX315" s="17"/>
      <c r="FY315" s="17"/>
      <c r="FZ315" s="17"/>
      <c r="GA315" s="17"/>
      <c r="GB315" s="17"/>
      <c r="GC315" s="17"/>
      <c r="GD315" s="17"/>
      <c r="GE315" s="17"/>
      <c r="GF315" s="17"/>
      <c r="GG315" s="17"/>
      <c r="GH315" s="17"/>
      <c r="GI315" s="17"/>
      <c r="GJ315" s="17"/>
      <c r="GK315" s="17"/>
      <c r="GL315" s="17"/>
      <c r="GM315" s="17"/>
      <c r="GN315" s="17"/>
      <c r="GO315" s="17"/>
      <c r="GP315" s="17"/>
      <c r="GQ315" s="17"/>
      <c r="GR315" s="17"/>
      <c r="GS315" s="17"/>
      <c r="GT315" s="17"/>
      <c r="GU315" s="17"/>
      <c r="GV315" s="17"/>
      <c r="GW315" s="17"/>
      <c r="GX315" s="17"/>
      <c r="GY315" s="17"/>
      <c r="GZ315" s="17"/>
      <c r="HA315" s="17"/>
      <c r="HB315" s="17"/>
      <c r="HC315" s="17"/>
      <c r="HD315" s="17"/>
      <c r="HE315" s="17"/>
      <c r="HF315" s="17"/>
      <c r="HG315" s="17"/>
      <c r="HH315" s="17"/>
      <c r="HI315" s="17"/>
      <c r="HJ315" s="17"/>
      <c r="HK315" s="17"/>
      <c r="HL315" s="17"/>
      <c r="HM315" s="17"/>
      <c r="HN315" s="17"/>
      <c r="HO315" s="17"/>
      <c r="HP315" s="17"/>
      <c r="HQ315" s="17"/>
      <c r="HR315" s="17"/>
      <c r="HS315" s="17"/>
      <c r="HT315" s="17"/>
      <c r="HU315" s="17"/>
      <c r="HV315" s="17"/>
      <c r="HW315" s="17"/>
      <c r="HX315" s="17"/>
      <c r="HY315" s="17"/>
      <c r="HZ315" s="17"/>
      <c r="IA315" s="17"/>
      <c r="IB315" s="17"/>
      <c r="IC315" s="17"/>
      <c r="ID315" s="17"/>
      <c r="IE315" s="17"/>
      <c r="IF315" s="17"/>
      <c r="IG315" s="17"/>
      <c r="IH315" s="17"/>
      <c r="II315" s="17"/>
      <c r="IJ315" s="17"/>
      <c r="IK315" s="17"/>
      <c r="IL315" s="17"/>
      <c r="IM315" s="17"/>
      <c r="IN315" s="17"/>
      <c r="IO315" s="17"/>
      <c r="IP315" s="17"/>
      <c r="IQ315" s="17"/>
      <c r="IR315" s="17"/>
      <c r="IS315" s="17"/>
      <c r="IT315" s="17"/>
      <c r="IU315" s="17"/>
      <c r="IV315" s="17"/>
      <c r="IW315" s="17"/>
      <c r="IX315" s="17"/>
      <c r="IY315" s="17"/>
      <c r="IZ315" s="17"/>
      <c r="JA315" s="17"/>
      <c r="JB315" s="17"/>
      <c r="JC315" s="17"/>
      <c r="JD315" s="17"/>
      <c r="JE315" s="17"/>
      <c r="JF315" s="17"/>
      <c r="JG315" s="17"/>
      <c r="JH315" s="17"/>
      <c r="JI315" s="17"/>
      <c r="JJ315" s="17"/>
      <c r="JK315" s="17"/>
      <c r="JL315" s="17"/>
      <c r="JM315" s="17"/>
      <c r="JN315" s="17"/>
      <c r="JO315" s="17"/>
      <c r="JP315" s="17"/>
      <c r="JQ315" s="17"/>
      <c r="JR315" s="17"/>
      <c r="JS315" s="17"/>
      <c r="JT315" s="17"/>
      <c r="JU315" s="17"/>
      <c r="JV315" s="17"/>
      <c r="JW315" s="17"/>
      <c r="JX315" s="17"/>
      <c r="JY315" s="17"/>
      <c r="JZ315" s="17"/>
      <c r="KA315" s="17"/>
      <c r="KB315" s="17"/>
      <c r="KC315" s="17"/>
      <c r="KD315" s="17"/>
      <c r="KE315" s="17"/>
      <c r="KF315" s="17"/>
      <c r="KG315" s="17"/>
      <c r="KH315" s="17"/>
      <c r="KI315" s="17"/>
      <c r="KJ315" s="17"/>
      <c r="KK315" s="17"/>
      <c r="KL315" s="17"/>
      <c r="KM315" s="17"/>
      <c r="KN315" s="17"/>
      <c r="KO315" s="17"/>
      <c r="KP315" s="17"/>
      <c r="KQ315" s="17"/>
      <c r="KR315" s="17"/>
      <c r="KS315" s="17"/>
      <c r="KT315" s="17"/>
      <c r="KU315" s="17"/>
      <c r="KV315" s="17"/>
      <c r="KW315" s="17"/>
      <c r="KX315" s="17"/>
      <c r="KY315" s="17"/>
    </row>
    <row r="316" spans="1:311" x14ac:dyDescent="0.25">
      <c r="A316" s="17"/>
      <c r="B316" s="17"/>
      <c r="C316" s="17"/>
      <c r="D316" s="17"/>
      <c r="E316" s="17"/>
      <c r="F316" s="17"/>
      <c r="G316" s="17"/>
      <c r="H316" s="17"/>
      <c r="I316" s="17"/>
      <c r="J316" s="17"/>
      <c r="K316" s="17"/>
      <c r="L316" s="17"/>
      <c r="M316" s="17"/>
      <c r="N316" s="17"/>
      <c r="O316" s="17"/>
      <c r="P316" s="17"/>
      <c r="Q316" s="17"/>
      <c r="R316" s="17"/>
      <c r="S316" s="17"/>
      <c r="T316" s="17"/>
      <c r="U316" s="17"/>
      <c r="V316" s="17"/>
      <c r="W316" s="17"/>
      <c r="X316" s="17"/>
      <c r="Y316" s="17"/>
      <c r="Z316" s="17"/>
      <c r="AA316" s="17"/>
      <c r="AB316" s="17"/>
      <c r="AC316" s="17"/>
      <c r="AD316" s="17"/>
      <c r="AE316" s="17"/>
      <c r="AF316" s="17"/>
      <c r="AG316" s="17"/>
      <c r="AH316" s="17"/>
      <c r="AI316" s="17"/>
      <c r="AJ316" s="17"/>
      <c r="AK316" s="17"/>
      <c r="AL316" s="17"/>
      <c r="AM316" s="17"/>
      <c r="AN316" s="17"/>
      <c r="AO316" s="17"/>
      <c r="AP316" s="17"/>
      <c r="AQ316" s="17"/>
      <c r="AR316" s="17"/>
      <c r="AS316" s="17"/>
      <c r="AT316" s="17"/>
      <c r="AU316" s="17"/>
      <c r="AV316" s="17"/>
      <c r="AW316" s="17"/>
      <c r="AX316" s="17"/>
      <c r="AY316" s="17"/>
      <c r="AZ316" s="17"/>
      <c r="BA316" s="17"/>
      <c r="BB316" s="17"/>
      <c r="BC316" s="17"/>
      <c r="BD316" s="17"/>
      <c r="BE316" s="17"/>
      <c r="BF316" s="17"/>
      <c r="BG316" s="17"/>
      <c r="BH316" s="17"/>
      <c r="BI316" s="17"/>
      <c r="BJ316" s="17"/>
      <c r="BK316" s="17"/>
      <c r="BL316" s="17"/>
      <c r="BM316" s="17"/>
      <c r="BN316" s="17"/>
      <c r="BO316" s="17"/>
      <c r="BP316" s="17"/>
      <c r="BQ316" s="17"/>
      <c r="BR316" s="17"/>
      <c r="BS316" s="17"/>
      <c r="BT316" s="17"/>
      <c r="BU316" s="17"/>
      <c r="BV316" s="17"/>
      <c r="BW316" s="17"/>
      <c r="BX316" s="17"/>
      <c r="BY316" s="17"/>
      <c r="BZ316" s="17"/>
      <c r="CA316" s="17"/>
      <c r="CB316" s="17"/>
      <c r="CC316" s="17"/>
      <c r="CD316" s="17"/>
      <c r="CE316" s="17"/>
      <c r="CF316" s="17"/>
      <c r="CG316" s="17"/>
      <c r="CH316" s="17"/>
      <c r="CI316" s="17"/>
      <c r="CJ316" s="17"/>
      <c r="CK316" s="17"/>
      <c r="CL316" s="17"/>
      <c r="CM316" s="17"/>
      <c r="CN316" s="17"/>
      <c r="CO316" s="17"/>
      <c r="CP316" s="17"/>
      <c r="CQ316" s="17"/>
      <c r="CR316" s="17"/>
      <c r="CS316" s="17"/>
      <c r="CT316" s="17"/>
      <c r="CU316" s="17"/>
      <c r="CV316" s="17"/>
      <c r="CW316" s="17"/>
      <c r="CX316" s="17"/>
      <c r="CY316" s="17"/>
      <c r="CZ316" s="17"/>
      <c r="DA316" s="17"/>
      <c r="DB316" s="17"/>
      <c r="DC316" s="17"/>
      <c r="DD316" s="17"/>
      <c r="DE316" s="17"/>
      <c r="DF316" s="17"/>
      <c r="DG316" s="17"/>
      <c r="DH316" s="17"/>
      <c r="DI316" s="17"/>
      <c r="DJ316" s="17"/>
      <c r="DK316" s="17"/>
      <c r="DL316" s="17"/>
      <c r="DM316" s="17"/>
      <c r="DN316" s="17"/>
      <c r="DO316" s="17"/>
      <c r="DP316" s="17"/>
      <c r="DQ316" s="17"/>
      <c r="DR316" s="17"/>
      <c r="DS316" s="17"/>
      <c r="DT316" s="17"/>
      <c r="DU316" s="17"/>
      <c r="DV316" s="17"/>
      <c r="DW316" s="17"/>
      <c r="DX316" s="17"/>
      <c r="DY316" s="17"/>
      <c r="DZ316" s="17"/>
      <c r="EA316" s="17"/>
      <c r="EB316" s="17"/>
      <c r="EC316" s="17"/>
      <c r="ED316" s="17"/>
      <c r="EE316" s="17"/>
      <c r="EF316" s="17"/>
      <c r="EG316" s="17"/>
      <c r="EH316" s="17"/>
      <c r="EI316" s="17"/>
      <c r="EJ316" s="17"/>
      <c r="EK316" s="17"/>
      <c r="EL316" s="17"/>
      <c r="EM316" s="17"/>
      <c r="EN316" s="17"/>
      <c r="EO316" s="17"/>
      <c r="EP316" s="17"/>
      <c r="EQ316" s="17"/>
      <c r="ER316" s="17"/>
      <c r="ES316" s="17"/>
      <c r="ET316" s="17"/>
      <c r="EU316" s="17"/>
      <c r="EV316" s="17"/>
      <c r="EW316" s="17"/>
      <c r="EX316" s="17"/>
      <c r="EY316" s="17"/>
      <c r="EZ316" s="17"/>
      <c r="FA316" s="17"/>
      <c r="FB316" s="17"/>
      <c r="FC316" s="17"/>
      <c r="FD316" s="17"/>
      <c r="FE316" s="17"/>
      <c r="FF316" s="17"/>
      <c r="FG316" s="17"/>
      <c r="FH316" s="17"/>
      <c r="FI316" s="17"/>
      <c r="FJ316" s="17"/>
      <c r="FK316" s="17"/>
      <c r="FL316" s="17"/>
      <c r="FM316" s="17"/>
      <c r="FN316" s="17"/>
      <c r="FO316" s="17"/>
      <c r="FP316" s="17"/>
      <c r="FQ316" s="17"/>
      <c r="FR316" s="17"/>
      <c r="FS316" s="17"/>
      <c r="FT316" s="17"/>
      <c r="FU316" s="17"/>
      <c r="FV316" s="17"/>
      <c r="FW316" s="17"/>
      <c r="FX316" s="17"/>
      <c r="FY316" s="17"/>
      <c r="FZ316" s="17"/>
      <c r="GA316" s="17"/>
      <c r="GB316" s="17"/>
      <c r="GC316" s="17"/>
      <c r="GD316" s="17"/>
      <c r="GE316" s="17"/>
      <c r="GF316" s="17"/>
      <c r="GG316" s="17"/>
      <c r="GH316" s="17"/>
      <c r="GI316" s="17"/>
      <c r="GJ316" s="17"/>
      <c r="GK316" s="17"/>
      <c r="GL316" s="17"/>
      <c r="GM316" s="17"/>
      <c r="GN316" s="17"/>
      <c r="GO316" s="17"/>
      <c r="GP316" s="17"/>
      <c r="GQ316" s="17"/>
      <c r="GR316" s="17"/>
      <c r="GS316" s="17"/>
      <c r="GT316" s="17"/>
      <c r="GU316" s="17"/>
      <c r="GV316" s="17"/>
      <c r="GW316" s="17"/>
      <c r="GX316" s="17"/>
      <c r="GY316" s="17"/>
      <c r="GZ316" s="17"/>
      <c r="HA316" s="17"/>
      <c r="HB316" s="17"/>
      <c r="HC316" s="17"/>
      <c r="HD316" s="17"/>
      <c r="HE316" s="17"/>
      <c r="HF316" s="17"/>
      <c r="HG316" s="17"/>
      <c r="HH316" s="17"/>
      <c r="HI316" s="17"/>
      <c r="HJ316" s="17"/>
      <c r="HK316" s="17"/>
      <c r="HL316" s="17"/>
      <c r="HM316" s="17"/>
      <c r="HN316" s="17"/>
      <c r="HO316" s="17"/>
      <c r="HP316" s="17"/>
      <c r="HQ316" s="17"/>
      <c r="HR316" s="17"/>
      <c r="HS316" s="17"/>
      <c r="HT316" s="17"/>
      <c r="HU316" s="17"/>
      <c r="HV316" s="17"/>
      <c r="HW316" s="17"/>
      <c r="HX316" s="17"/>
      <c r="HY316" s="17"/>
      <c r="HZ316" s="17"/>
      <c r="IA316" s="17"/>
      <c r="IB316" s="17"/>
      <c r="IC316" s="17"/>
      <c r="ID316" s="17"/>
      <c r="IE316" s="17"/>
      <c r="IF316" s="17"/>
      <c r="IG316" s="17"/>
      <c r="IH316" s="17"/>
      <c r="II316" s="17"/>
      <c r="IJ316" s="17"/>
      <c r="IK316" s="17"/>
      <c r="IL316" s="17"/>
      <c r="IM316" s="17"/>
      <c r="IN316" s="17"/>
      <c r="IO316" s="17"/>
      <c r="IP316" s="17"/>
      <c r="IQ316" s="17"/>
      <c r="IR316" s="17"/>
      <c r="IS316" s="17"/>
      <c r="IT316" s="17"/>
      <c r="IU316" s="17"/>
      <c r="IV316" s="17"/>
      <c r="IW316" s="17"/>
      <c r="IX316" s="17"/>
      <c r="IY316" s="17"/>
      <c r="IZ316" s="17"/>
      <c r="JA316" s="17"/>
      <c r="JB316" s="17"/>
      <c r="JC316" s="17"/>
      <c r="JD316" s="17"/>
      <c r="JE316" s="17"/>
      <c r="JF316" s="17"/>
      <c r="JG316" s="17"/>
      <c r="JH316" s="17"/>
      <c r="JI316" s="17"/>
      <c r="JJ316" s="17"/>
      <c r="JK316" s="17"/>
      <c r="JL316" s="17"/>
      <c r="JM316" s="17"/>
      <c r="JN316" s="17"/>
      <c r="JO316" s="17"/>
      <c r="JP316" s="17"/>
      <c r="JQ316" s="17"/>
      <c r="JR316" s="17"/>
      <c r="JS316" s="17"/>
      <c r="JT316" s="17"/>
      <c r="JU316" s="17"/>
      <c r="JV316" s="17"/>
      <c r="JW316" s="17"/>
      <c r="JX316" s="17"/>
      <c r="JY316" s="17"/>
      <c r="JZ316" s="17"/>
      <c r="KA316" s="17"/>
      <c r="KB316" s="17"/>
      <c r="KC316" s="17"/>
      <c r="KD316" s="17"/>
      <c r="KE316" s="17"/>
      <c r="KF316" s="17"/>
      <c r="KG316" s="17"/>
      <c r="KH316" s="17"/>
      <c r="KI316" s="17"/>
      <c r="KJ316" s="17"/>
      <c r="KK316" s="17"/>
      <c r="KL316" s="17"/>
      <c r="KM316" s="17"/>
      <c r="KN316" s="17"/>
      <c r="KO316" s="17"/>
      <c r="KP316" s="17"/>
      <c r="KQ316" s="17"/>
      <c r="KR316" s="17"/>
      <c r="KS316" s="17"/>
      <c r="KT316" s="17"/>
      <c r="KU316" s="17"/>
      <c r="KV316" s="17"/>
      <c r="KW316" s="17"/>
      <c r="KX316" s="17"/>
      <c r="KY316" s="17"/>
    </row>
    <row r="317" spans="1:311" x14ac:dyDescent="0.25">
      <c r="A317" s="17"/>
      <c r="B317" s="17"/>
      <c r="C317" s="17"/>
      <c r="D317" s="17"/>
      <c r="E317" s="17"/>
      <c r="F317" s="17"/>
      <c r="G317" s="17"/>
      <c r="H317" s="17"/>
      <c r="I317" s="17"/>
      <c r="J317" s="17"/>
      <c r="K317" s="17"/>
      <c r="L317" s="17"/>
      <c r="M317" s="17"/>
      <c r="N317" s="17"/>
      <c r="O317" s="17"/>
      <c r="P317" s="17"/>
      <c r="Q317" s="17"/>
      <c r="R317" s="17"/>
      <c r="S317" s="17"/>
      <c r="T317" s="17"/>
      <c r="U317" s="17"/>
      <c r="V317" s="17"/>
      <c r="W317" s="17"/>
      <c r="X317" s="17"/>
      <c r="Y317" s="17"/>
      <c r="Z317" s="17"/>
      <c r="AA317" s="17"/>
      <c r="AB317" s="17"/>
      <c r="AC317" s="17"/>
      <c r="AD317" s="17"/>
      <c r="AE317" s="17"/>
      <c r="AF317" s="17"/>
      <c r="AG317" s="17"/>
      <c r="AH317" s="17"/>
      <c r="AI317" s="17"/>
      <c r="AJ317" s="17"/>
      <c r="AK317" s="17"/>
      <c r="AL317" s="17"/>
      <c r="AM317" s="17"/>
      <c r="AN317" s="17"/>
      <c r="AO317" s="17"/>
      <c r="AP317" s="17"/>
      <c r="AQ317" s="17"/>
      <c r="AR317" s="17"/>
      <c r="AS317" s="17"/>
      <c r="AT317" s="17"/>
      <c r="AU317" s="17"/>
      <c r="AV317" s="17"/>
      <c r="AW317" s="17"/>
      <c r="AX317" s="17"/>
      <c r="AY317" s="17"/>
      <c r="AZ317" s="17"/>
      <c r="BA317" s="17"/>
      <c r="BB317" s="17"/>
      <c r="BC317" s="17"/>
      <c r="BD317" s="17"/>
      <c r="BE317" s="17"/>
      <c r="BF317" s="17"/>
      <c r="BG317" s="17"/>
      <c r="BH317" s="17"/>
      <c r="BI317" s="17"/>
      <c r="BJ317" s="17"/>
      <c r="BK317" s="17"/>
      <c r="BL317" s="17"/>
      <c r="BM317" s="17"/>
      <c r="BN317" s="17"/>
      <c r="BO317" s="17"/>
      <c r="BP317" s="17"/>
      <c r="BQ317" s="17"/>
      <c r="BR317" s="17"/>
      <c r="BS317" s="17"/>
      <c r="BT317" s="17"/>
      <c r="BU317" s="17"/>
      <c r="BV317" s="17"/>
      <c r="BW317" s="17"/>
      <c r="BX317" s="17"/>
      <c r="BY317" s="17"/>
      <c r="BZ317" s="17"/>
      <c r="CA317" s="17"/>
      <c r="CB317" s="17"/>
      <c r="CC317" s="17"/>
      <c r="CD317" s="17"/>
      <c r="CE317" s="17"/>
      <c r="CF317" s="17"/>
      <c r="CG317" s="17"/>
      <c r="CH317" s="17"/>
      <c r="CI317" s="17"/>
      <c r="CJ317" s="17"/>
      <c r="CK317" s="17"/>
      <c r="CL317" s="17"/>
      <c r="CM317" s="17"/>
      <c r="CN317" s="17"/>
      <c r="CO317" s="17"/>
      <c r="CP317" s="17"/>
      <c r="CQ317" s="17"/>
      <c r="CR317" s="17"/>
      <c r="CS317" s="17"/>
      <c r="CT317" s="17"/>
      <c r="CU317" s="17"/>
      <c r="CV317" s="17"/>
      <c r="CW317" s="17"/>
      <c r="CX317" s="17"/>
      <c r="CY317" s="17"/>
      <c r="CZ317" s="17"/>
      <c r="DA317" s="17"/>
      <c r="DB317" s="17"/>
      <c r="DC317" s="17"/>
      <c r="DD317" s="17"/>
      <c r="DE317" s="17"/>
      <c r="DF317" s="17"/>
      <c r="DG317" s="17"/>
      <c r="DH317" s="17"/>
      <c r="DI317" s="17"/>
      <c r="DJ317" s="17"/>
      <c r="DK317" s="17"/>
      <c r="DL317" s="17"/>
      <c r="DM317" s="17"/>
      <c r="DN317" s="17"/>
      <c r="DO317" s="17"/>
      <c r="DP317" s="17"/>
      <c r="DQ317" s="17"/>
      <c r="DR317" s="17"/>
      <c r="DS317" s="17"/>
      <c r="DT317" s="17"/>
      <c r="DU317" s="17"/>
      <c r="DV317" s="17"/>
      <c r="DW317" s="17"/>
      <c r="DX317" s="17"/>
      <c r="DY317" s="17"/>
      <c r="DZ317" s="17"/>
      <c r="EA317" s="17"/>
      <c r="EB317" s="17"/>
      <c r="EC317" s="17"/>
      <c r="ED317" s="17"/>
      <c r="EE317" s="17"/>
      <c r="EF317" s="17"/>
      <c r="EG317" s="17"/>
      <c r="EH317" s="17"/>
      <c r="EI317" s="17"/>
      <c r="EJ317" s="17"/>
      <c r="EK317" s="17"/>
      <c r="EL317" s="17"/>
      <c r="EM317" s="17"/>
      <c r="EN317" s="17"/>
      <c r="EO317" s="17"/>
      <c r="EP317" s="17"/>
      <c r="EQ317" s="17"/>
      <c r="ER317" s="17"/>
      <c r="ES317" s="17"/>
      <c r="ET317" s="17"/>
      <c r="EU317" s="17"/>
      <c r="EV317" s="17"/>
      <c r="EW317" s="17"/>
      <c r="EX317" s="17"/>
      <c r="EY317" s="17"/>
      <c r="EZ317" s="17"/>
      <c r="FA317" s="17"/>
      <c r="FB317" s="17"/>
      <c r="FC317" s="17"/>
      <c r="FD317" s="17"/>
      <c r="FE317" s="17"/>
      <c r="FF317" s="17"/>
      <c r="FG317" s="17"/>
      <c r="FH317" s="17"/>
      <c r="FI317" s="17"/>
      <c r="FJ317" s="17"/>
      <c r="FK317" s="17"/>
      <c r="FL317" s="17"/>
      <c r="FM317" s="17"/>
      <c r="FN317" s="17"/>
      <c r="FO317" s="17"/>
      <c r="FP317" s="17"/>
      <c r="FQ317" s="17"/>
      <c r="FR317" s="17"/>
      <c r="FS317" s="17"/>
      <c r="FT317" s="17"/>
      <c r="FU317" s="17"/>
      <c r="FV317" s="17"/>
      <c r="FW317" s="17"/>
      <c r="FX317" s="17"/>
      <c r="FY317" s="17"/>
      <c r="FZ317" s="17"/>
      <c r="GA317" s="17"/>
      <c r="GB317" s="17"/>
      <c r="GC317" s="17"/>
      <c r="GD317" s="17"/>
      <c r="GE317" s="17"/>
      <c r="GF317" s="17"/>
      <c r="GG317" s="17"/>
      <c r="GH317" s="17"/>
      <c r="GI317" s="17"/>
      <c r="GJ317" s="17"/>
      <c r="GK317" s="17"/>
      <c r="GL317" s="17"/>
      <c r="GM317" s="17"/>
      <c r="GN317" s="17"/>
      <c r="GO317" s="17"/>
      <c r="GP317" s="17"/>
      <c r="GQ317" s="17"/>
      <c r="GR317" s="17"/>
      <c r="GS317" s="17"/>
      <c r="GT317" s="17"/>
      <c r="GU317" s="17"/>
      <c r="GV317" s="17"/>
      <c r="GW317" s="17"/>
      <c r="GX317" s="17"/>
      <c r="GY317" s="17"/>
      <c r="GZ317" s="17"/>
      <c r="HA317" s="17"/>
      <c r="HB317" s="17"/>
      <c r="HC317" s="17"/>
      <c r="HD317" s="17"/>
      <c r="HE317" s="17"/>
      <c r="HF317" s="17"/>
      <c r="HG317" s="17"/>
      <c r="HH317" s="17"/>
      <c r="HI317" s="17"/>
      <c r="HJ317" s="17"/>
      <c r="HK317" s="17"/>
      <c r="HL317" s="17"/>
      <c r="HM317" s="17"/>
      <c r="HN317" s="17"/>
      <c r="HO317" s="17"/>
      <c r="HP317" s="17"/>
      <c r="HQ317" s="17"/>
      <c r="HR317" s="17"/>
      <c r="HS317" s="17"/>
      <c r="HT317" s="17"/>
      <c r="HU317" s="17"/>
      <c r="HV317" s="17"/>
      <c r="HW317" s="17"/>
      <c r="HX317" s="17"/>
      <c r="HY317" s="17"/>
      <c r="HZ317" s="17"/>
      <c r="IA317" s="17"/>
      <c r="IB317" s="17"/>
      <c r="IC317" s="17"/>
      <c r="ID317" s="17"/>
      <c r="IE317" s="17"/>
      <c r="IF317" s="17"/>
      <c r="IG317" s="17"/>
      <c r="IH317" s="17"/>
      <c r="II317" s="17"/>
      <c r="IJ317" s="17"/>
      <c r="IK317" s="17"/>
      <c r="IL317" s="17"/>
      <c r="IM317" s="17"/>
      <c r="IN317" s="17"/>
      <c r="IO317" s="17"/>
      <c r="IP317" s="17"/>
      <c r="IQ317" s="17"/>
      <c r="IR317" s="17"/>
      <c r="IS317" s="17"/>
      <c r="IT317" s="17"/>
      <c r="IU317" s="17"/>
      <c r="IV317" s="17"/>
      <c r="IW317" s="17"/>
      <c r="IX317" s="17"/>
      <c r="IY317" s="17"/>
      <c r="IZ317" s="17"/>
      <c r="JA317" s="17"/>
      <c r="JB317" s="17"/>
      <c r="JC317" s="17"/>
      <c r="JD317" s="17"/>
      <c r="JE317" s="17"/>
      <c r="JF317" s="17"/>
      <c r="JG317" s="17"/>
      <c r="JH317" s="17"/>
      <c r="JI317" s="17"/>
      <c r="JJ317" s="17"/>
      <c r="JK317" s="17"/>
      <c r="JL317" s="17"/>
      <c r="JM317" s="17"/>
      <c r="JN317" s="17"/>
      <c r="JO317" s="17"/>
      <c r="JP317" s="17"/>
      <c r="JQ317" s="17"/>
      <c r="JR317" s="17"/>
      <c r="JS317" s="17"/>
      <c r="JT317" s="17"/>
      <c r="JU317" s="17"/>
      <c r="JV317" s="17"/>
      <c r="JW317" s="17"/>
      <c r="JX317" s="17"/>
      <c r="JY317" s="17"/>
      <c r="JZ317" s="17"/>
      <c r="KA317" s="17"/>
      <c r="KB317" s="17"/>
      <c r="KC317" s="17"/>
      <c r="KD317" s="17"/>
      <c r="KE317" s="17"/>
      <c r="KF317" s="17"/>
      <c r="KG317" s="17"/>
      <c r="KH317" s="17"/>
      <c r="KI317" s="17"/>
      <c r="KJ317" s="17"/>
      <c r="KK317" s="17"/>
      <c r="KL317" s="17"/>
      <c r="KM317" s="17"/>
      <c r="KN317" s="17"/>
      <c r="KO317" s="17"/>
      <c r="KP317" s="17"/>
      <c r="KQ317" s="17"/>
      <c r="KR317" s="17"/>
      <c r="KS317" s="17"/>
      <c r="KT317" s="17"/>
      <c r="KU317" s="17"/>
      <c r="KV317" s="17"/>
      <c r="KW317" s="17"/>
      <c r="KX317" s="17"/>
      <c r="KY317" s="17"/>
    </row>
    <row r="318" spans="1:311" x14ac:dyDescent="0.25">
      <c r="A318" s="17"/>
      <c r="B318" s="17"/>
      <c r="C318" s="17"/>
      <c r="D318" s="17"/>
      <c r="E318" s="17"/>
      <c r="F318" s="17"/>
      <c r="G318" s="17"/>
      <c r="H318" s="17"/>
      <c r="I318" s="17"/>
      <c r="J318" s="17"/>
      <c r="K318" s="17"/>
      <c r="L318" s="17"/>
      <c r="M318" s="17"/>
      <c r="N318" s="17"/>
      <c r="O318" s="17"/>
      <c r="P318" s="17"/>
      <c r="Q318" s="17"/>
      <c r="R318" s="17"/>
      <c r="S318" s="17"/>
      <c r="T318" s="17"/>
      <c r="U318" s="17"/>
      <c r="V318" s="17"/>
      <c r="W318" s="17"/>
      <c r="X318" s="17"/>
      <c r="Y318" s="17"/>
      <c r="Z318" s="17"/>
      <c r="AA318" s="17"/>
      <c r="AB318" s="17"/>
      <c r="AC318" s="17"/>
      <c r="AD318" s="17"/>
      <c r="AE318" s="17"/>
      <c r="AF318" s="17"/>
      <c r="AG318" s="17"/>
      <c r="AH318" s="17"/>
      <c r="AI318" s="17"/>
      <c r="AJ318" s="17"/>
      <c r="AK318" s="17"/>
      <c r="AL318" s="17"/>
      <c r="AM318" s="17"/>
      <c r="AN318" s="17"/>
      <c r="AO318" s="17"/>
      <c r="AP318" s="17"/>
      <c r="AQ318" s="17"/>
      <c r="AR318" s="17"/>
      <c r="AS318" s="17"/>
      <c r="AT318" s="17"/>
      <c r="AU318" s="17"/>
      <c r="AV318" s="17"/>
      <c r="AW318" s="17"/>
      <c r="AX318" s="17"/>
      <c r="AY318" s="17"/>
      <c r="AZ318" s="17"/>
      <c r="BA318" s="17"/>
      <c r="BB318" s="17"/>
      <c r="BC318" s="17"/>
      <c r="BD318" s="17"/>
      <c r="BE318" s="17"/>
      <c r="BF318" s="17"/>
      <c r="BG318" s="17"/>
      <c r="BH318" s="17"/>
      <c r="BI318" s="17"/>
      <c r="BJ318" s="17"/>
      <c r="BK318" s="17"/>
      <c r="BL318" s="17"/>
      <c r="BM318" s="17"/>
      <c r="BN318" s="17"/>
      <c r="BO318" s="17"/>
      <c r="BP318" s="17"/>
      <c r="BQ318" s="17"/>
      <c r="BR318" s="17"/>
      <c r="BS318" s="17"/>
      <c r="BT318" s="17"/>
      <c r="BU318" s="17"/>
      <c r="BV318" s="17"/>
      <c r="BW318" s="17"/>
      <c r="BX318" s="17"/>
      <c r="BY318" s="17"/>
      <c r="BZ318" s="17"/>
      <c r="CA318" s="17"/>
      <c r="CB318" s="17"/>
      <c r="CC318" s="17"/>
      <c r="CD318" s="17"/>
      <c r="CE318" s="17"/>
      <c r="CF318" s="17"/>
      <c r="CG318" s="17"/>
      <c r="CH318" s="17"/>
      <c r="CI318" s="17"/>
      <c r="CJ318" s="17"/>
      <c r="CK318" s="17"/>
      <c r="CL318" s="17"/>
      <c r="CM318" s="17"/>
      <c r="CN318" s="17"/>
      <c r="CO318" s="17"/>
      <c r="CP318" s="17"/>
      <c r="CQ318" s="17"/>
      <c r="CR318" s="17"/>
      <c r="CS318" s="17"/>
      <c r="CT318" s="17"/>
      <c r="CU318" s="17"/>
      <c r="CV318" s="17"/>
      <c r="CW318" s="17"/>
      <c r="CX318" s="17"/>
      <c r="CY318" s="17"/>
      <c r="CZ318" s="17"/>
      <c r="DA318" s="17"/>
      <c r="DB318" s="17"/>
      <c r="DC318" s="17"/>
      <c r="DD318" s="17"/>
      <c r="DE318" s="17"/>
      <c r="DF318" s="17"/>
      <c r="DG318" s="17"/>
      <c r="DH318" s="17"/>
      <c r="DI318" s="17"/>
      <c r="DJ318" s="17"/>
      <c r="DK318" s="17"/>
      <c r="DL318" s="17"/>
      <c r="DM318" s="17"/>
      <c r="DN318" s="17"/>
      <c r="DO318" s="17"/>
      <c r="DP318" s="17"/>
      <c r="DQ318" s="17"/>
      <c r="DR318" s="17"/>
      <c r="DS318" s="17"/>
      <c r="DT318" s="17"/>
      <c r="DU318" s="17"/>
      <c r="DV318" s="17"/>
      <c r="DW318" s="17"/>
      <c r="DX318" s="17"/>
      <c r="DY318" s="17"/>
      <c r="DZ318" s="17"/>
      <c r="EA318" s="17"/>
      <c r="EB318" s="17"/>
      <c r="EC318" s="17"/>
      <c r="ED318" s="17"/>
      <c r="EE318" s="17"/>
      <c r="EF318" s="17"/>
      <c r="EG318" s="17"/>
      <c r="EH318" s="17"/>
      <c r="EI318" s="17"/>
      <c r="EJ318" s="17"/>
      <c r="EK318" s="17"/>
      <c r="EL318" s="17"/>
      <c r="EM318" s="17"/>
      <c r="EN318" s="17"/>
      <c r="EO318" s="17"/>
      <c r="EP318" s="17"/>
      <c r="EQ318" s="17"/>
      <c r="ER318" s="17"/>
      <c r="ES318" s="17"/>
      <c r="ET318" s="17"/>
      <c r="EU318" s="17"/>
      <c r="EV318" s="17"/>
      <c r="EW318" s="17"/>
      <c r="EX318" s="17"/>
      <c r="EY318" s="17"/>
      <c r="EZ318" s="17"/>
      <c r="FA318" s="17"/>
      <c r="FB318" s="17"/>
      <c r="FC318" s="17"/>
      <c r="FD318" s="17"/>
      <c r="FE318" s="17"/>
      <c r="FF318" s="17"/>
      <c r="FG318" s="17"/>
      <c r="FH318" s="17"/>
      <c r="FI318" s="17"/>
      <c r="FJ318" s="17"/>
      <c r="FK318" s="17"/>
      <c r="FL318" s="17"/>
      <c r="FM318" s="17"/>
      <c r="FN318" s="17"/>
      <c r="FO318" s="17"/>
      <c r="FP318" s="17"/>
      <c r="FQ318" s="17"/>
      <c r="FR318" s="17"/>
      <c r="FS318" s="17"/>
      <c r="FT318" s="17"/>
      <c r="FU318" s="17"/>
      <c r="FV318" s="17"/>
      <c r="FW318" s="17"/>
      <c r="FX318" s="17"/>
      <c r="FY318" s="17"/>
      <c r="FZ318" s="17"/>
      <c r="GA318" s="17"/>
      <c r="GB318" s="17"/>
      <c r="GC318" s="17"/>
      <c r="GD318" s="17"/>
      <c r="GE318" s="17"/>
      <c r="GF318" s="17"/>
      <c r="GG318" s="17"/>
      <c r="GH318" s="17"/>
      <c r="GI318" s="17"/>
      <c r="GJ318" s="17"/>
      <c r="GK318" s="17"/>
      <c r="GL318" s="17"/>
      <c r="GM318" s="17"/>
      <c r="GN318" s="17"/>
      <c r="GO318" s="17"/>
      <c r="GP318" s="17"/>
      <c r="GQ318" s="17"/>
      <c r="GR318" s="17"/>
      <c r="GS318" s="17"/>
      <c r="GT318" s="17"/>
      <c r="GU318" s="17"/>
      <c r="GV318" s="17"/>
      <c r="GW318" s="17"/>
      <c r="GX318" s="17"/>
      <c r="GY318" s="17"/>
      <c r="GZ318" s="17"/>
      <c r="HA318" s="17"/>
      <c r="HB318" s="17"/>
      <c r="HC318" s="17"/>
      <c r="HD318" s="17"/>
      <c r="HE318" s="17"/>
      <c r="HF318" s="17"/>
      <c r="HG318" s="17"/>
      <c r="HH318" s="17"/>
      <c r="HI318" s="17"/>
      <c r="HJ318" s="17"/>
      <c r="HK318" s="17"/>
      <c r="HL318" s="17"/>
      <c r="HM318" s="17"/>
      <c r="HN318" s="17"/>
      <c r="HO318" s="17"/>
      <c r="HP318" s="17"/>
      <c r="HQ318" s="17"/>
      <c r="HR318" s="17"/>
      <c r="HS318" s="17"/>
      <c r="HT318" s="17"/>
      <c r="HU318" s="17"/>
      <c r="HV318" s="17"/>
      <c r="HW318" s="17"/>
      <c r="HX318" s="17"/>
      <c r="HY318" s="17"/>
      <c r="HZ318" s="17"/>
      <c r="IA318" s="17"/>
      <c r="IB318" s="17"/>
      <c r="IC318" s="17"/>
      <c r="ID318" s="17"/>
      <c r="IE318" s="17"/>
      <c r="IF318" s="17"/>
      <c r="IG318" s="17"/>
      <c r="IH318" s="17"/>
      <c r="II318" s="17"/>
      <c r="IJ318" s="17"/>
      <c r="IK318" s="17"/>
      <c r="IL318" s="17"/>
      <c r="IM318" s="17"/>
      <c r="IN318" s="17"/>
      <c r="IO318" s="17"/>
      <c r="IP318" s="17"/>
      <c r="IQ318" s="17"/>
      <c r="IR318" s="17"/>
      <c r="IS318" s="17"/>
      <c r="IT318" s="17"/>
      <c r="IU318" s="17"/>
      <c r="IV318" s="17"/>
      <c r="IW318" s="17"/>
      <c r="IX318" s="17"/>
      <c r="IY318" s="17"/>
      <c r="IZ318" s="17"/>
      <c r="JA318" s="17"/>
      <c r="JB318" s="17"/>
      <c r="JC318" s="17"/>
      <c r="JD318" s="17"/>
      <c r="JE318" s="17"/>
      <c r="JF318" s="17"/>
      <c r="JG318" s="17"/>
      <c r="JH318" s="17"/>
      <c r="JI318" s="17"/>
      <c r="JJ318" s="17"/>
      <c r="JK318" s="17"/>
      <c r="JL318" s="17"/>
      <c r="JM318" s="17"/>
      <c r="JN318" s="17"/>
      <c r="JO318" s="17"/>
      <c r="JP318" s="17"/>
      <c r="JQ318" s="17"/>
      <c r="JR318" s="17"/>
      <c r="JS318" s="17"/>
      <c r="JT318" s="17"/>
      <c r="JU318" s="17"/>
      <c r="JV318" s="17"/>
      <c r="JW318" s="17"/>
      <c r="JX318" s="17"/>
      <c r="JY318" s="17"/>
      <c r="JZ318" s="17"/>
      <c r="KA318" s="17"/>
      <c r="KB318" s="17"/>
      <c r="KC318" s="17"/>
      <c r="KD318" s="17"/>
      <c r="KE318" s="17"/>
      <c r="KF318" s="17"/>
      <c r="KG318" s="17"/>
      <c r="KH318" s="17"/>
      <c r="KI318" s="17"/>
      <c r="KJ318" s="17"/>
      <c r="KK318" s="17"/>
      <c r="KL318" s="17"/>
      <c r="KM318" s="17"/>
      <c r="KN318" s="17"/>
      <c r="KO318" s="17"/>
      <c r="KP318" s="17"/>
      <c r="KQ318" s="17"/>
      <c r="KR318" s="17"/>
      <c r="KS318" s="17"/>
      <c r="KT318" s="17"/>
      <c r="KU318" s="17"/>
      <c r="KV318" s="17"/>
      <c r="KW318" s="17"/>
      <c r="KX318" s="17"/>
      <c r="KY318" s="17"/>
    </row>
    <row r="319" spans="1:311" x14ac:dyDescent="0.25">
      <c r="A319" s="17"/>
      <c r="B319" s="17"/>
      <c r="C319" s="17"/>
      <c r="D319" s="17"/>
      <c r="E319" s="17"/>
      <c r="F319" s="17"/>
      <c r="G319" s="17"/>
      <c r="H319" s="17"/>
      <c r="I319" s="17"/>
      <c r="J319" s="17"/>
      <c r="K319" s="17"/>
      <c r="L319" s="17"/>
      <c r="M319" s="17"/>
      <c r="N319" s="17"/>
      <c r="O319" s="17"/>
      <c r="P319" s="17"/>
      <c r="Q319" s="17"/>
      <c r="R319" s="17"/>
      <c r="S319" s="17"/>
      <c r="T319" s="17"/>
      <c r="U319" s="17"/>
      <c r="V319" s="17"/>
      <c r="W319" s="17"/>
      <c r="X319" s="17"/>
      <c r="Y319" s="17"/>
      <c r="Z319" s="17"/>
      <c r="AA319" s="17"/>
      <c r="AB319" s="17"/>
      <c r="AC319" s="17"/>
      <c r="AD319" s="17"/>
      <c r="AE319" s="17"/>
      <c r="AF319" s="17"/>
      <c r="AG319" s="17"/>
      <c r="AH319" s="17"/>
      <c r="AI319" s="17"/>
      <c r="AJ319" s="17"/>
      <c r="AK319" s="17"/>
      <c r="AL319" s="17"/>
      <c r="AM319" s="17"/>
      <c r="AN319" s="17"/>
      <c r="AO319" s="17"/>
      <c r="AP319" s="17"/>
      <c r="AQ319" s="17"/>
      <c r="AR319" s="17"/>
      <c r="AS319" s="17"/>
      <c r="AT319" s="17"/>
      <c r="AU319" s="17"/>
      <c r="AV319" s="17"/>
      <c r="AW319" s="17"/>
      <c r="AX319" s="17"/>
      <c r="AY319" s="17"/>
      <c r="AZ319" s="17"/>
      <c r="BA319" s="17"/>
      <c r="BB319" s="17"/>
      <c r="BC319" s="17"/>
      <c r="BD319" s="17"/>
      <c r="BE319" s="17"/>
      <c r="BF319" s="17"/>
      <c r="BG319" s="17"/>
      <c r="BH319" s="17"/>
      <c r="BI319" s="17"/>
      <c r="BJ319" s="17"/>
      <c r="BK319" s="17"/>
      <c r="BL319" s="17"/>
      <c r="BM319" s="17"/>
      <c r="BN319" s="17"/>
      <c r="BO319" s="17"/>
      <c r="BP319" s="17"/>
      <c r="BQ319" s="17"/>
      <c r="BR319" s="17"/>
      <c r="BS319" s="17"/>
      <c r="BT319" s="17"/>
      <c r="BU319" s="17"/>
      <c r="BV319" s="17"/>
      <c r="BW319" s="17"/>
      <c r="BX319" s="17"/>
      <c r="BY319" s="17"/>
      <c r="BZ319" s="17"/>
      <c r="CA319" s="17"/>
      <c r="CB319" s="17"/>
      <c r="CC319" s="17"/>
      <c r="CD319" s="17"/>
      <c r="CE319" s="17"/>
      <c r="CF319" s="17"/>
      <c r="CG319" s="17"/>
      <c r="CH319" s="17"/>
      <c r="CI319" s="17"/>
      <c r="CJ319" s="17"/>
      <c r="CK319" s="17"/>
      <c r="CL319" s="17"/>
      <c r="CM319" s="17"/>
      <c r="CN319" s="17"/>
      <c r="CO319" s="17"/>
      <c r="CP319" s="17"/>
      <c r="CQ319" s="17"/>
      <c r="CR319" s="17"/>
      <c r="CS319" s="17"/>
      <c r="CT319" s="17"/>
      <c r="CU319" s="17"/>
      <c r="CV319" s="17"/>
      <c r="CW319" s="17"/>
      <c r="CX319" s="17"/>
      <c r="CY319" s="17"/>
      <c r="CZ319" s="17"/>
      <c r="DA319" s="17"/>
      <c r="DB319" s="17"/>
      <c r="DC319" s="17"/>
      <c r="DD319" s="17"/>
      <c r="DE319" s="17"/>
      <c r="DF319" s="17"/>
      <c r="DG319" s="17"/>
      <c r="DH319" s="17"/>
      <c r="DI319" s="17"/>
      <c r="DJ319" s="17"/>
      <c r="DK319" s="17"/>
      <c r="DL319" s="17"/>
      <c r="DM319" s="17"/>
      <c r="DN319" s="17"/>
      <c r="DO319" s="17"/>
      <c r="DP319" s="17"/>
      <c r="DQ319" s="17"/>
      <c r="DR319" s="17"/>
      <c r="DS319" s="17"/>
      <c r="DT319" s="17"/>
      <c r="DU319" s="17"/>
      <c r="DV319" s="17"/>
      <c r="DW319" s="17"/>
      <c r="DX319" s="17"/>
      <c r="DY319" s="17"/>
      <c r="DZ319" s="17"/>
      <c r="EA319" s="17"/>
      <c r="EB319" s="17"/>
      <c r="EC319" s="17"/>
      <c r="ED319" s="17"/>
      <c r="EE319" s="17"/>
      <c r="EF319" s="17"/>
      <c r="EG319" s="17"/>
      <c r="EH319" s="17"/>
      <c r="EI319" s="17"/>
      <c r="EJ319" s="17"/>
      <c r="EK319" s="17"/>
      <c r="EL319" s="17"/>
      <c r="EM319" s="17"/>
      <c r="EN319" s="17"/>
      <c r="EO319" s="17"/>
      <c r="EP319" s="17"/>
      <c r="EQ319" s="17"/>
      <c r="ER319" s="17"/>
      <c r="ES319" s="17"/>
      <c r="ET319" s="17"/>
      <c r="EU319" s="17"/>
      <c r="EV319" s="17"/>
      <c r="EW319" s="17"/>
      <c r="EX319" s="17"/>
      <c r="EY319" s="17"/>
      <c r="EZ319" s="17"/>
      <c r="FA319" s="17"/>
      <c r="FB319" s="17"/>
      <c r="FC319" s="17"/>
      <c r="FD319" s="17"/>
      <c r="FE319" s="17"/>
      <c r="FF319" s="17"/>
      <c r="FG319" s="17"/>
      <c r="FH319" s="17"/>
      <c r="FI319" s="17"/>
      <c r="FJ319" s="17"/>
      <c r="FK319" s="17"/>
      <c r="FL319" s="17"/>
      <c r="FM319" s="17"/>
      <c r="FN319" s="17"/>
      <c r="FO319" s="17"/>
      <c r="FP319" s="17"/>
      <c r="FQ319" s="17"/>
      <c r="FR319" s="17"/>
      <c r="FS319" s="17"/>
      <c r="FT319" s="17"/>
      <c r="FU319" s="17"/>
      <c r="FV319" s="17"/>
      <c r="FW319" s="17"/>
      <c r="FX319" s="17"/>
      <c r="FY319" s="17"/>
      <c r="FZ319" s="17"/>
      <c r="GA319" s="17"/>
      <c r="GB319" s="17"/>
      <c r="GC319" s="17"/>
      <c r="GD319" s="17"/>
      <c r="GE319" s="17"/>
      <c r="GF319" s="17"/>
      <c r="GG319" s="17"/>
      <c r="GH319" s="17"/>
      <c r="GI319" s="17"/>
      <c r="GJ319" s="17"/>
      <c r="GK319" s="17"/>
      <c r="GL319" s="17"/>
      <c r="GM319" s="17"/>
      <c r="GN319" s="17"/>
      <c r="GO319" s="17"/>
      <c r="GP319" s="17"/>
      <c r="GQ319" s="17"/>
      <c r="GR319" s="17"/>
      <c r="GS319" s="17"/>
      <c r="GT319" s="17"/>
      <c r="GU319" s="17"/>
      <c r="GV319" s="17"/>
      <c r="GW319" s="17"/>
      <c r="GX319" s="17"/>
      <c r="GY319" s="17"/>
      <c r="GZ319" s="17"/>
      <c r="HA319" s="17"/>
      <c r="HB319" s="17"/>
      <c r="HC319" s="17"/>
      <c r="HD319" s="17"/>
      <c r="HE319" s="17"/>
      <c r="HF319" s="17"/>
      <c r="HG319" s="17"/>
      <c r="HH319" s="17"/>
      <c r="HI319" s="17"/>
      <c r="HJ319" s="17"/>
      <c r="HK319" s="17"/>
      <c r="HL319" s="17"/>
      <c r="HM319" s="17"/>
      <c r="HN319" s="17"/>
      <c r="HO319" s="17"/>
      <c r="HP319" s="17"/>
      <c r="HQ319" s="17"/>
      <c r="HR319" s="17"/>
      <c r="HS319" s="17"/>
      <c r="HT319" s="17"/>
      <c r="HU319" s="17"/>
      <c r="HV319" s="17"/>
      <c r="HW319" s="17"/>
      <c r="HX319" s="17"/>
      <c r="HY319" s="17"/>
      <c r="HZ319" s="17"/>
      <c r="IA319" s="17"/>
      <c r="IB319" s="17"/>
      <c r="IC319" s="17"/>
      <c r="ID319" s="17"/>
      <c r="IE319" s="17"/>
      <c r="IF319" s="17"/>
      <c r="IG319" s="17"/>
      <c r="IH319" s="17"/>
      <c r="II319" s="17"/>
      <c r="IJ319" s="17"/>
      <c r="IK319" s="17"/>
      <c r="IL319" s="17"/>
      <c r="IM319" s="17"/>
      <c r="IN319" s="17"/>
      <c r="IO319" s="17"/>
      <c r="IP319" s="17"/>
      <c r="IQ319" s="17"/>
      <c r="IR319" s="17"/>
      <c r="IS319" s="17"/>
      <c r="IT319" s="17"/>
      <c r="IU319" s="17"/>
      <c r="IV319" s="17"/>
      <c r="IW319" s="17"/>
      <c r="IX319" s="17"/>
      <c r="IY319" s="17"/>
      <c r="IZ319" s="17"/>
      <c r="JA319" s="17"/>
      <c r="JB319" s="17"/>
      <c r="JC319" s="17"/>
      <c r="JD319" s="17"/>
      <c r="JE319" s="17"/>
      <c r="JF319" s="17"/>
      <c r="JG319" s="17"/>
      <c r="JH319" s="17"/>
      <c r="JI319" s="17"/>
      <c r="JJ319" s="17"/>
      <c r="JK319" s="17"/>
      <c r="JL319" s="17"/>
      <c r="JM319" s="17"/>
      <c r="JN319" s="17"/>
      <c r="JO319" s="17"/>
      <c r="JP319" s="17"/>
      <c r="JQ319" s="17"/>
      <c r="JR319" s="17"/>
      <c r="JS319" s="17"/>
      <c r="JT319" s="17"/>
      <c r="JU319" s="17"/>
      <c r="JV319" s="17"/>
      <c r="JW319" s="17"/>
      <c r="JX319" s="17"/>
      <c r="JY319" s="17"/>
      <c r="JZ319" s="17"/>
      <c r="KA319" s="17"/>
      <c r="KB319" s="17"/>
      <c r="KC319" s="17"/>
      <c r="KD319" s="17"/>
      <c r="KE319" s="17"/>
      <c r="KF319" s="17"/>
      <c r="KG319" s="17"/>
      <c r="KH319" s="17"/>
      <c r="KI319" s="17"/>
      <c r="KJ319" s="17"/>
      <c r="KK319" s="17"/>
      <c r="KL319" s="17"/>
      <c r="KM319" s="17"/>
      <c r="KN319" s="17"/>
      <c r="KO319" s="17"/>
      <c r="KP319" s="17"/>
      <c r="KQ319" s="17"/>
      <c r="KR319" s="17"/>
      <c r="KS319" s="17"/>
      <c r="KT319" s="17"/>
      <c r="KU319" s="17"/>
      <c r="KV319" s="17"/>
      <c r="KW319" s="17"/>
      <c r="KX319" s="17"/>
      <c r="KY319" s="17"/>
    </row>
    <row r="320" spans="1:311" x14ac:dyDescent="0.25">
      <c r="A320" s="17"/>
      <c r="B320" s="17"/>
      <c r="C320" s="17"/>
      <c r="D320" s="17"/>
      <c r="E320" s="17"/>
      <c r="F320" s="17"/>
      <c r="G320" s="17"/>
      <c r="H320" s="17"/>
      <c r="I320" s="17"/>
      <c r="J320" s="17"/>
      <c r="K320" s="17"/>
      <c r="L320" s="17"/>
      <c r="M320" s="17"/>
      <c r="N320" s="17"/>
      <c r="O320" s="17"/>
      <c r="P320" s="17"/>
      <c r="Q320" s="17"/>
      <c r="R320" s="17"/>
      <c r="S320" s="17"/>
      <c r="T320" s="17"/>
      <c r="U320" s="17"/>
      <c r="V320" s="17"/>
      <c r="W320" s="17"/>
      <c r="X320" s="17"/>
      <c r="Y320" s="17"/>
      <c r="Z320" s="17"/>
      <c r="AA320" s="17"/>
      <c r="AB320" s="17"/>
      <c r="AC320" s="17"/>
      <c r="AD320" s="17"/>
      <c r="AE320" s="17"/>
      <c r="AF320" s="17"/>
      <c r="AG320" s="17"/>
      <c r="AH320" s="17"/>
      <c r="AI320" s="17"/>
      <c r="AJ320" s="17"/>
      <c r="AK320" s="17"/>
      <c r="AL320" s="17"/>
      <c r="AM320" s="17"/>
      <c r="AN320" s="17"/>
      <c r="AO320" s="17"/>
      <c r="AP320" s="17"/>
      <c r="AQ320" s="17"/>
      <c r="AR320" s="17"/>
      <c r="AS320" s="17"/>
      <c r="AT320" s="17"/>
      <c r="AU320" s="17"/>
      <c r="AV320" s="17"/>
      <c r="AW320" s="17"/>
      <c r="AX320" s="17"/>
      <c r="AY320" s="17"/>
      <c r="AZ320" s="17"/>
      <c r="BA320" s="17"/>
      <c r="BB320" s="17"/>
      <c r="BC320" s="17"/>
      <c r="BD320" s="17"/>
      <c r="BE320" s="17"/>
      <c r="BF320" s="17"/>
      <c r="BG320" s="17"/>
      <c r="BH320" s="17"/>
      <c r="BI320" s="17"/>
      <c r="BJ320" s="17"/>
      <c r="BK320" s="17"/>
      <c r="BL320" s="17"/>
      <c r="BM320" s="17"/>
      <c r="BN320" s="17"/>
      <c r="BO320" s="17"/>
      <c r="BP320" s="17"/>
      <c r="BQ320" s="17"/>
      <c r="BR320" s="17"/>
      <c r="BS320" s="17"/>
      <c r="BT320" s="17"/>
      <c r="BU320" s="17"/>
      <c r="BV320" s="17"/>
      <c r="BW320" s="17"/>
      <c r="BX320" s="17"/>
      <c r="BY320" s="17"/>
      <c r="BZ320" s="17"/>
      <c r="CA320" s="17"/>
      <c r="CB320" s="17"/>
      <c r="CC320" s="17"/>
      <c r="CD320" s="17"/>
      <c r="CE320" s="17"/>
      <c r="CF320" s="17"/>
      <c r="CG320" s="17"/>
      <c r="CH320" s="17"/>
      <c r="CI320" s="17"/>
      <c r="CJ320" s="17"/>
      <c r="CK320" s="17"/>
      <c r="CL320" s="17"/>
      <c r="CM320" s="17"/>
      <c r="CN320" s="17"/>
      <c r="CO320" s="17"/>
      <c r="CP320" s="17"/>
      <c r="CQ320" s="17"/>
      <c r="CR320" s="17"/>
      <c r="CS320" s="17"/>
      <c r="CT320" s="17"/>
      <c r="CU320" s="17"/>
      <c r="CV320" s="17"/>
      <c r="CW320" s="17"/>
      <c r="CX320" s="17"/>
      <c r="CY320" s="17"/>
      <c r="CZ320" s="17"/>
      <c r="DA320" s="17"/>
      <c r="DB320" s="17"/>
      <c r="DC320" s="17"/>
      <c r="DD320" s="17"/>
      <c r="DE320" s="17"/>
      <c r="DF320" s="17"/>
      <c r="DG320" s="17"/>
      <c r="DH320" s="17"/>
      <c r="DI320" s="17"/>
      <c r="DJ320" s="17"/>
      <c r="DK320" s="17"/>
      <c r="DL320" s="17"/>
      <c r="DM320" s="17"/>
      <c r="DN320" s="17"/>
      <c r="DO320" s="17"/>
      <c r="DP320" s="17"/>
      <c r="DQ320" s="17"/>
      <c r="DR320" s="17"/>
      <c r="DS320" s="17"/>
      <c r="DT320" s="17"/>
      <c r="DU320" s="17"/>
      <c r="DV320" s="17"/>
      <c r="DW320" s="17"/>
      <c r="DX320" s="17"/>
      <c r="DY320" s="17"/>
      <c r="DZ320" s="17"/>
      <c r="EA320" s="17"/>
      <c r="EB320" s="17"/>
      <c r="EC320" s="17"/>
      <c r="ED320" s="17"/>
      <c r="EE320" s="17"/>
      <c r="EF320" s="17"/>
      <c r="EG320" s="17"/>
      <c r="EH320" s="17"/>
      <c r="EI320" s="17"/>
      <c r="EJ320" s="17"/>
      <c r="EK320" s="17"/>
      <c r="EL320" s="17"/>
      <c r="EM320" s="17"/>
      <c r="EN320" s="17"/>
      <c r="EO320" s="17"/>
      <c r="EP320" s="17"/>
      <c r="EQ320" s="17"/>
      <c r="ER320" s="17"/>
      <c r="ES320" s="17"/>
      <c r="ET320" s="17"/>
      <c r="EU320" s="17"/>
      <c r="EV320" s="17"/>
      <c r="EW320" s="17"/>
      <c r="EX320" s="17"/>
      <c r="EY320" s="17"/>
      <c r="EZ320" s="17"/>
      <c r="FA320" s="17"/>
      <c r="FB320" s="17"/>
      <c r="FC320" s="17"/>
      <c r="FD320" s="17"/>
      <c r="FE320" s="17"/>
      <c r="FF320" s="17"/>
      <c r="FG320" s="17"/>
      <c r="FH320" s="17"/>
      <c r="FI320" s="17"/>
      <c r="FJ320" s="17"/>
      <c r="FK320" s="17"/>
      <c r="FL320" s="17"/>
      <c r="FM320" s="17"/>
      <c r="FN320" s="17"/>
      <c r="FO320" s="17"/>
      <c r="FP320" s="17"/>
      <c r="FQ320" s="17"/>
      <c r="FR320" s="17"/>
      <c r="FS320" s="17"/>
      <c r="FT320" s="17"/>
      <c r="FU320" s="17"/>
      <c r="FV320" s="17"/>
      <c r="FW320" s="17"/>
      <c r="FX320" s="17"/>
      <c r="FY320" s="17"/>
      <c r="FZ320" s="17"/>
      <c r="GA320" s="17"/>
      <c r="GB320" s="17"/>
      <c r="GC320" s="17"/>
      <c r="GD320" s="17"/>
      <c r="GE320" s="17"/>
      <c r="GF320" s="17"/>
      <c r="GG320" s="17"/>
      <c r="GH320" s="17"/>
      <c r="GI320" s="17"/>
      <c r="GJ320" s="17"/>
      <c r="GK320" s="17"/>
      <c r="GL320" s="17"/>
      <c r="GM320" s="17"/>
      <c r="GN320" s="17"/>
      <c r="GO320" s="17"/>
      <c r="GP320" s="17"/>
      <c r="GQ320" s="17"/>
      <c r="GR320" s="17"/>
      <c r="GS320" s="17"/>
      <c r="GT320" s="17"/>
      <c r="GU320" s="17"/>
      <c r="GV320" s="17"/>
      <c r="GW320" s="17"/>
      <c r="GX320" s="17"/>
      <c r="GY320" s="17"/>
      <c r="GZ320" s="17"/>
      <c r="HA320" s="17"/>
      <c r="HB320" s="17"/>
      <c r="HC320" s="17"/>
      <c r="HD320" s="17"/>
      <c r="HE320" s="17"/>
      <c r="HF320" s="17"/>
      <c r="HG320" s="17"/>
      <c r="HH320" s="17"/>
      <c r="HI320" s="17"/>
      <c r="HJ320" s="17"/>
      <c r="HK320" s="17"/>
      <c r="HL320" s="17"/>
      <c r="HM320" s="17"/>
      <c r="HN320" s="17"/>
      <c r="HO320" s="17"/>
      <c r="HP320" s="17"/>
      <c r="HQ320" s="17"/>
      <c r="HR320" s="17"/>
      <c r="HS320" s="17"/>
      <c r="HT320" s="17"/>
      <c r="HU320" s="17"/>
      <c r="HV320" s="17"/>
      <c r="HW320" s="17"/>
      <c r="HX320" s="17"/>
      <c r="HY320" s="17"/>
      <c r="HZ320" s="17"/>
      <c r="IA320" s="17"/>
      <c r="IB320" s="17"/>
      <c r="IC320" s="17"/>
      <c r="ID320" s="17"/>
      <c r="IE320" s="17"/>
      <c r="IF320" s="17"/>
      <c r="IG320" s="17"/>
      <c r="IH320" s="17"/>
      <c r="II320" s="17"/>
      <c r="IJ320" s="17"/>
      <c r="IK320" s="17"/>
      <c r="IL320" s="17"/>
      <c r="IM320" s="17"/>
      <c r="IN320" s="17"/>
      <c r="IO320" s="17"/>
      <c r="IP320" s="17"/>
      <c r="IQ320" s="17"/>
      <c r="IR320" s="17"/>
      <c r="IS320" s="17"/>
      <c r="IT320" s="17"/>
      <c r="IU320" s="17"/>
      <c r="IV320" s="17"/>
      <c r="IW320" s="17"/>
      <c r="IX320" s="17"/>
      <c r="IY320" s="17"/>
      <c r="IZ320" s="17"/>
      <c r="JA320" s="17"/>
      <c r="JB320" s="17"/>
      <c r="JC320" s="17"/>
      <c r="JD320" s="17"/>
      <c r="JE320" s="17"/>
      <c r="JF320" s="17"/>
      <c r="JG320" s="17"/>
      <c r="JH320" s="17"/>
      <c r="JI320" s="17"/>
      <c r="JJ320" s="17"/>
      <c r="JK320" s="17"/>
      <c r="JL320" s="17"/>
      <c r="JM320" s="17"/>
      <c r="JN320" s="17"/>
      <c r="JO320" s="17"/>
      <c r="JP320" s="17"/>
      <c r="JQ320" s="17"/>
      <c r="JR320" s="17"/>
      <c r="JS320" s="17"/>
      <c r="JT320" s="17"/>
      <c r="JU320" s="17"/>
      <c r="JV320" s="17"/>
      <c r="JW320" s="17"/>
      <c r="JX320" s="17"/>
      <c r="JY320" s="17"/>
      <c r="JZ320" s="17"/>
      <c r="KA320" s="17"/>
      <c r="KB320" s="17"/>
      <c r="KC320" s="17"/>
      <c r="KD320" s="17"/>
      <c r="KE320" s="17"/>
      <c r="KF320" s="17"/>
      <c r="KG320" s="17"/>
      <c r="KH320" s="17"/>
      <c r="KI320" s="17"/>
      <c r="KJ320" s="17"/>
      <c r="KK320" s="17"/>
      <c r="KL320" s="17"/>
      <c r="KM320" s="17"/>
      <c r="KN320" s="17"/>
      <c r="KO320" s="17"/>
      <c r="KP320" s="17"/>
      <c r="KQ320" s="17"/>
      <c r="KR320" s="17"/>
      <c r="KS320" s="17"/>
      <c r="KT320" s="17"/>
      <c r="KU320" s="17"/>
      <c r="KV320" s="17"/>
      <c r="KW320" s="17"/>
      <c r="KX320" s="17"/>
      <c r="KY320" s="17"/>
    </row>
    <row r="321" spans="1:311" x14ac:dyDescent="0.25">
      <c r="A321" s="17"/>
      <c r="B321" s="17"/>
      <c r="C321" s="17"/>
      <c r="D321" s="17"/>
      <c r="E321" s="17"/>
      <c r="F321" s="17"/>
      <c r="G321" s="17"/>
      <c r="H321" s="17"/>
      <c r="I321" s="17"/>
      <c r="J321" s="17"/>
      <c r="K321" s="17"/>
      <c r="L321" s="17"/>
      <c r="M321" s="17"/>
      <c r="N321" s="17"/>
      <c r="O321" s="17"/>
      <c r="P321" s="17"/>
      <c r="Q321" s="17"/>
      <c r="R321" s="17"/>
      <c r="S321" s="17"/>
      <c r="T321" s="17"/>
      <c r="U321" s="17"/>
      <c r="V321" s="17"/>
      <c r="W321" s="17"/>
      <c r="X321" s="17"/>
      <c r="Y321" s="17"/>
      <c r="Z321" s="17"/>
      <c r="AA321" s="17"/>
      <c r="AB321" s="17"/>
      <c r="AC321" s="17"/>
      <c r="AD321" s="17"/>
      <c r="AE321" s="17"/>
      <c r="AF321" s="17"/>
      <c r="AG321" s="17"/>
      <c r="AH321" s="17"/>
      <c r="AI321" s="17"/>
      <c r="AJ321" s="17"/>
      <c r="AK321" s="17"/>
      <c r="AL321" s="17"/>
      <c r="AM321" s="17"/>
      <c r="AN321" s="17"/>
      <c r="AO321" s="17"/>
      <c r="AP321" s="17"/>
      <c r="AQ321" s="17"/>
      <c r="AR321" s="17"/>
      <c r="AS321" s="17"/>
      <c r="AT321" s="17"/>
      <c r="AU321" s="17"/>
      <c r="AV321" s="17"/>
      <c r="AW321" s="17"/>
      <c r="AX321" s="17"/>
      <c r="AY321" s="17"/>
      <c r="AZ321" s="17"/>
      <c r="BA321" s="17"/>
      <c r="BB321" s="17"/>
      <c r="BC321" s="17"/>
      <c r="BD321" s="17"/>
      <c r="BE321" s="17"/>
      <c r="BF321" s="17"/>
      <c r="BG321" s="17"/>
      <c r="BH321" s="17"/>
      <c r="BI321" s="17"/>
      <c r="BJ321" s="17"/>
      <c r="BK321" s="17"/>
      <c r="BL321" s="17"/>
      <c r="BM321" s="17"/>
      <c r="BN321" s="17"/>
      <c r="BO321" s="17"/>
      <c r="BP321" s="17"/>
      <c r="BQ321" s="17"/>
      <c r="BR321" s="17"/>
      <c r="BS321" s="17"/>
      <c r="BT321" s="17"/>
      <c r="BU321" s="17"/>
      <c r="BV321" s="17"/>
      <c r="BW321" s="17"/>
      <c r="BX321" s="17"/>
      <c r="BY321" s="17"/>
      <c r="BZ321" s="17"/>
      <c r="CA321" s="17"/>
      <c r="CB321" s="17"/>
      <c r="CC321" s="17"/>
      <c r="CD321" s="17"/>
      <c r="CE321" s="17"/>
      <c r="CF321" s="17"/>
      <c r="CG321" s="17"/>
      <c r="CH321" s="17"/>
      <c r="CI321" s="17"/>
      <c r="CJ321" s="17"/>
      <c r="CK321" s="17"/>
      <c r="CL321" s="17"/>
      <c r="CM321" s="17"/>
      <c r="CN321" s="17"/>
      <c r="CO321" s="17"/>
      <c r="CP321" s="17"/>
      <c r="CQ321" s="17"/>
      <c r="CR321" s="17"/>
      <c r="CS321" s="17"/>
      <c r="CT321" s="17"/>
      <c r="CU321" s="17"/>
      <c r="CV321" s="17"/>
      <c r="CW321" s="17"/>
      <c r="CX321" s="17"/>
      <c r="CY321" s="17"/>
      <c r="CZ321" s="17"/>
      <c r="DA321" s="17"/>
      <c r="DB321" s="17"/>
      <c r="DC321" s="17"/>
      <c r="DD321" s="17"/>
      <c r="DE321" s="17"/>
      <c r="DF321" s="17"/>
      <c r="DG321" s="17"/>
      <c r="DH321" s="17"/>
      <c r="DI321" s="17"/>
      <c r="DJ321" s="17"/>
      <c r="DK321" s="17"/>
      <c r="DL321" s="17"/>
      <c r="DM321" s="17"/>
      <c r="DN321" s="17"/>
      <c r="DO321" s="17"/>
      <c r="DP321" s="17"/>
      <c r="DQ321" s="17"/>
      <c r="DR321" s="17"/>
      <c r="DS321" s="17"/>
      <c r="DT321" s="17"/>
      <c r="DU321" s="17"/>
      <c r="DV321" s="17"/>
      <c r="DW321" s="17"/>
      <c r="DX321" s="17"/>
      <c r="DY321" s="17"/>
      <c r="DZ321" s="17"/>
      <c r="EA321" s="17"/>
      <c r="EB321" s="17"/>
      <c r="EC321" s="17"/>
      <c r="ED321" s="17"/>
      <c r="EE321" s="17"/>
      <c r="EF321" s="17"/>
      <c r="EG321" s="17"/>
      <c r="EH321" s="17"/>
      <c r="EI321" s="17"/>
      <c r="EJ321" s="17"/>
      <c r="EK321" s="17"/>
      <c r="EL321" s="17"/>
      <c r="EM321" s="17"/>
      <c r="EN321" s="17"/>
      <c r="EO321" s="17"/>
      <c r="EP321" s="17"/>
      <c r="EQ321" s="17"/>
      <c r="ER321" s="17"/>
      <c r="ES321" s="17"/>
      <c r="ET321" s="17"/>
      <c r="EU321" s="17"/>
      <c r="EV321" s="17"/>
      <c r="EW321" s="17"/>
      <c r="EX321" s="17"/>
      <c r="EY321" s="17"/>
      <c r="EZ321" s="17"/>
      <c r="FA321" s="17"/>
      <c r="FB321" s="17"/>
      <c r="FC321" s="17"/>
      <c r="FD321" s="17"/>
      <c r="FE321" s="17"/>
      <c r="FF321" s="17"/>
      <c r="FG321" s="17"/>
      <c r="FH321" s="17"/>
      <c r="FI321" s="17"/>
      <c r="FJ321" s="17"/>
      <c r="FK321" s="17"/>
      <c r="FL321" s="17"/>
      <c r="FM321" s="17"/>
      <c r="FN321" s="17"/>
      <c r="FO321" s="17"/>
      <c r="FP321" s="17"/>
      <c r="FQ321" s="17"/>
      <c r="FR321" s="17"/>
      <c r="FS321" s="17"/>
      <c r="FT321" s="17"/>
      <c r="FU321" s="17"/>
      <c r="FV321" s="17"/>
      <c r="FW321" s="17"/>
      <c r="FX321" s="17"/>
      <c r="FY321" s="17"/>
      <c r="FZ321" s="17"/>
      <c r="GA321" s="17"/>
      <c r="GB321" s="17"/>
      <c r="GC321" s="17"/>
      <c r="GD321" s="17"/>
      <c r="GE321" s="17"/>
      <c r="GF321" s="17"/>
      <c r="GG321" s="17"/>
      <c r="GH321" s="17"/>
      <c r="GI321" s="17"/>
      <c r="GJ321" s="17"/>
      <c r="GK321" s="17"/>
      <c r="GL321" s="17"/>
      <c r="GM321" s="17"/>
      <c r="GN321" s="17"/>
      <c r="GO321" s="17"/>
      <c r="GP321" s="17"/>
      <c r="GQ321" s="17"/>
      <c r="GR321" s="17"/>
      <c r="GS321" s="17"/>
      <c r="GT321" s="17"/>
      <c r="GU321" s="17"/>
      <c r="GV321" s="17"/>
      <c r="GW321" s="17"/>
      <c r="GX321" s="17"/>
      <c r="GY321" s="17"/>
      <c r="GZ321" s="17"/>
      <c r="HA321" s="17"/>
      <c r="HB321" s="17"/>
      <c r="HC321" s="17"/>
      <c r="HD321" s="17"/>
      <c r="HE321" s="17"/>
      <c r="HF321" s="17"/>
      <c r="HG321" s="17"/>
      <c r="HH321" s="17"/>
      <c r="HI321" s="17"/>
      <c r="HJ321" s="17"/>
      <c r="HK321" s="17"/>
      <c r="HL321" s="17"/>
      <c r="HM321" s="17"/>
      <c r="HN321" s="17"/>
      <c r="HO321" s="17"/>
      <c r="HP321" s="17"/>
      <c r="HQ321" s="17"/>
      <c r="HR321" s="17"/>
      <c r="HS321" s="17"/>
      <c r="HT321" s="17"/>
      <c r="HU321" s="17"/>
      <c r="HV321" s="17"/>
      <c r="HW321" s="17"/>
      <c r="HX321" s="17"/>
      <c r="HY321" s="17"/>
      <c r="HZ321" s="17"/>
      <c r="IA321" s="17"/>
      <c r="IB321" s="17"/>
      <c r="IC321" s="17"/>
      <c r="ID321" s="17"/>
      <c r="IE321" s="17"/>
      <c r="IF321" s="17"/>
      <c r="IG321" s="17"/>
      <c r="IH321" s="17"/>
      <c r="II321" s="17"/>
      <c r="IJ321" s="17"/>
      <c r="IK321" s="17"/>
      <c r="IL321" s="17"/>
      <c r="IM321" s="17"/>
      <c r="IN321" s="17"/>
      <c r="IO321" s="17"/>
      <c r="IP321" s="17"/>
      <c r="IQ321" s="17"/>
      <c r="IR321" s="17"/>
      <c r="IS321" s="17"/>
      <c r="IT321" s="17"/>
      <c r="IU321" s="17"/>
      <c r="IV321" s="17"/>
      <c r="IW321" s="17"/>
      <c r="IX321" s="17"/>
      <c r="IY321" s="17"/>
      <c r="IZ321" s="17"/>
      <c r="JA321" s="17"/>
      <c r="JB321" s="17"/>
      <c r="JC321" s="17"/>
      <c r="JD321" s="17"/>
      <c r="JE321" s="17"/>
      <c r="JF321" s="17"/>
      <c r="JG321" s="17"/>
      <c r="JH321" s="17"/>
      <c r="JI321" s="17"/>
      <c r="JJ321" s="17"/>
      <c r="JK321" s="17"/>
      <c r="JL321" s="17"/>
      <c r="JM321" s="17"/>
      <c r="JN321" s="17"/>
      <c r="JO321" s="17"/>
      <c r="JP321" s="17"/>
      <c r="JQ321" s="17"/>
      <c r="JR321" s="17"/>
      <c r="JS321" s="17"/>
      <c r="JT321" s="17"/>
      <c r="JU321" s="17"/>
      <c r="JV321" s="17"/>
      <c r="JW321" s="17"/>
      <c r="JX321" s="17"/>
      <c r="JY321" s="17"/>
      <c r="JZ321" s="17"/>
      <c r="KA321" s="17"/>
      <c r="KB321" s="17"/>
      <c r="KC321" s="17"/>
      <c r="KD321" s="17"/>
      <c r="KE321" s="17"/>
      <c r="KF321" s="17"/>
      <c r="KG321" s="17"/>
      <c r="KH321" s="17"/>
      <c r="KI321" s="17"/>
      <c r="KJ321" s="17"/>
      <c r="KK321" s="17"/>
      <c r="KL321" s="17"/>
      <c r="KM321" s="17"/>
      <c r="KN321" s="17"/>
      <c r="KO321" s="17"/>
      <c r="KP321" s="17"/>
      <c r="KQ321" s="17"/>
      <c r="KR321" s="17"/>
      <c r="KS321" s="17"/>
      <c r="KT321" s="17"/>
      <c r="KU321" s="17"/>
      <c r="KV321" s="17"/>
      <c r="KW321" s="17"/>
      <c r="KX321" s="17"/>
      <c r="KY321" s="17"/>
    </row>
    <row r="322" spans="1:311" x14ac:dyDescent="0.25">
      <c r="A322" s="17"/>
      <c r="B322" s="17"/>
      <c r="C322" s="17"/>
      <c r="D322" s="17"/>
      <c r="E322" s="17"/>
      <c r="F322" s="17"/>
      <c r="G322" s="17"/>
      <c r="H322" s="17"/>
      <c r="I322" s="17"/>
      <c r="J322" s="17"/>
      <c r="K322" s="17"/>
      <c r="L322" s="17"/>
      <c r="M322" s="17"/>
      <c r="N322" s="17"/>
      <c r="O322" s="17"/>
      <c r="P322" s="17"/>
      <c r="Q322" s="17"/>
      <c r="R322" s="17"/>
      <c r="S322" s="17"/>
      <c r="T322" s="17"/>
      <c r="U322" s="17"/>
      <c r="V322" s="17"/>
      <c r="W322" s="17"/>
      <c r="X322" s="17"/>
      <c r="Y322" s="17"/>
      <c r="Z322" s="17"/>
      <c r="AA322" s="17"/>
      <c r="AB322" s="17"/>
      <c r="AC322" s="17"/>
      <c r="AD322" s="17"/>
      <c r="AE322" s="17"/>
      <c r="AF322" s="17"/>
      <c r="AG322" s="17"/>
      <c r="AH322" s="17"/>
      <c r="AI322" s="17"/>
      <c r="AJ322" s="17"/>
      <c r="AK322" s="17"/>
      <c r="AL322" s="17"/>
      <c r="AM322" s="17"/>
      <c r="AN322" s="17"/>
      <c r="AO322" s="17"/>
      <c r="AP322" s="17"/>
      <c r="AQ322" s="17"/>
      <c r="AR322" s="17"/>
      <c r="AS322" s="17"/>
      <c r="AT322" s="17"/>
      <c r="AU322" s="17"/>
      <c r="AV322" s="17"/>
      <c r="AW322" s="17"/>
      <c r="AX322" s="17"/>
      <c r="AY322" s="17"/>
      <c r="AZ322" s="17"/>
      <c r="BA322" s="17"/>
      <c r="BB322" s="17"/>
      <c r="BC322" s="17"/>
      <c r="BD322" s="17"/>
      <c r="BE322" s="17"/>
      <c r="BF322" s="17"/>
      <c r="BG322" s="17"/>
      <c r="BH322" s="17"/>
      <c r="BI322" s="17"/>
      <c r="BJ322" s="17"/>
      <c r="BK322" s="17"/>
      <c r="BL322" s="17"/>
      <c r="BM322" s="17"/>
      <c r="BN322" s="17"/>
      <c r="BO322" s="17"/>
      <c r="BP322" s="17"/>
      <c r="BQ322" s="17"/>
      <c r="BR322" s="17"/>
      <c r="BS322" s="17"/>
      <c r="BT322" s="17"/>
      <c r="BU322" s="17"/>
      <c r="BV322" s="17"/>
      <c r="BW322" s="17"/>
      <c r="BX322" s="17"/>
      <c r="BY322" s="17"/>
      <c r="BZ322" s="17"/>
      <c r="CA322" s="17"/>
      <c r="CB322" s="17"/>
      <c r="CC322" s="17"/>
      <c r="CD322" s="17"/>
      <c r="CE322" s="17"/>
      <c r="CF322" s="17"/>
      <c r="CG322" s="17"/>
      <c r="CH322" s="17"/>
      <c r="CI322" s="17"/>
      <c r="CJ322" s="17"/>
      <c r="CK322" s="17"/>
      <c r="CL322" s="17"/>
      <c r="CM322" s="17"/>
      <c r="CN322" s="17"/>
      <c r="CO322" s="17"/>
      <c r="CP322" s="17"/>
      <c r="CQ322" s="17"/>
      <c r="CR322" s="17"/>
      <c r="CS322" s="17"/>
      <c r="CT322" s="17"/>
      <c r="CU322" s="17"/>
      <c r="CV322" s="17"/>
      <c r="CW322" s="17"/>
      <c r="CX322" s="17"/>
      <c r="CY322" s="17"/>
      <c r="CZ322" s="17"/>
      <c r="DA322" s="17"/>
      <c r="DB322" s="17"/>
      <c r="DC322" s="17"/>
      <c r="DD322" s="17"/>
      <c r="DE322" s="17"/>
      <c r="DF322" s="17"/>
      <c r="DG322" s="17"/>
      <c r="DH322" s="17"/>
      <c r="DI322" s="17"/>
      <c r="DJ322" s="17"/>
      <c r="DK322" s="17"/>
      <c r="DL322" s="17"/>
      <c r="DM322" s="17"/>
      <c r="DN322" s="17"/>
      <c r="DO322" s="17"/>
      <c r="DP322" s="17"/>
      <c r="DQ322" s="17"/>
      <c r="DR322" s="17"/>
      <c r="DS322" s="17"/>
      <c r="DT322" s="17"/>
      <c r="DU322" s="17"/>
      <c r="DV322" s="17"/>
      <c r="DW322" s="17"/>
      <c r="DX322" s="17"/>
      <c r="DY322" s="17"/>
      <c r="DZ322" s="17"/>
      <c r="EA322" s="17"/>
      <c r="EB322" s="17"/>
      <c r="EC322" s="17"/>
      <c r="ED322" s="17"/>
      <c r="EE322" s="17"/>
      <c r="EF322" s="17"/>
      <c r="EG322" s="17"/>
      <c r="EH322" s="17"/>
      <c r="EI322" s="17"/>
      <c r="EJ322" s="17"/>
      <c r="EK322" s="17"/>
      <c r="EL322" s="17"/>
      <c r="EM322" s="17"/>
      <c r="EN322" s="17"/>
      <c r="EO322" s="17"/>
      <c r="EP322" s="17"/>
      <c r="EQ322" s="17"/>
      <c r="ER322" s="17"/>
      <c r="ES322" s="17"/>
      <c r="ET322" s="17"/>
      <c r="EU322" s="17"/>
      <c r="EV322" s="17"/>
      <c r="EW322" s="17"/>
      <c r="EX322" s="17"/>
      <c r="EY322" s="17"/>
      <c r="EZ322" s="17"/>
      <c r="FA322" s="17"/>
      <c r="FB322" s="17"/>
      <c r="FC322" s="17"/>
      <c r="FD322" s="17"/>
      <c r="FE322" s="17"/>
      <c r="FF322" s="17"/>
      <c r="FG322" s="17"/>
      <c r="FH322" s="17"/>
      <c r="FI322" s="17"/>
      <c r="FJ322" s="17"/>
      <c r="FK322" s="17"/>
      <c r="FL322" s="17"/>
      <c r="FM322" s="17"/>
      <c r="FN322" s="17"/>
      <c r="FO322" s="17"/>
      <c r="FP322" s="17"/>
      <c r="FQ322" s="17"/>
      <c r="FR322" s="17"/>
      <c r="FS322" s="17"/>
      <c r="FT322" s="17"/>
      <c r="FU322" s="17"/>
      <c r="FV322" s="17"/>
      <c r="FW322" s="17"/>
      <c r="FX322" s="17"/>
      <c r="FY322" s="17"/>
      <c r="FZ322" s="17"/>
      <c r="GA322" s="17"/>
      <c r="GB322" s="17"/>
      <c r="GC322" s="17"/>
      <c r="GD322" s="17"/>
      <c r="GE322" s="17"/>
      <c r="GF322" s="17"/>
      <c r="GG322" s="17"/>
      <c r="GH322" s="17"/>
      <c r="GI322" s="17"/>
      <c r="GJ322" s="17"/>
      <c r="GK322" s="17"/>
      <c r="GL322" s="17"/>
      <c r="GM322" s="17"/>
      <c r="GN322" s="17"/>
      <c r="GO322" s="17"/>
      <c r="GP322" s="17"/>
      <c r="GQ322" s="17"/>
      <c r="GR322" s="17"/>
      <c r="GS322" s="17"/>
      <c r="GT322" s="17"/>
      <c r="GU322" s="17"/>
      <c r="GV322" s="17"/>
      <c r="GW322" s="17"/>
      <c r="GX322" s="17"/>
      <c r="GY322" s="17"/>
      <c r="GZ322" s="17"/>
      <c r="HA322" s="17"/>
      <c r="HB322" s="17"/>
      <c r="HC322" s="17"/>
      <c r="HD322" s="17"/>
      <c r="HE322" s="17"/>
      <c r="HF322" s="17"/>
      <c r="HG322" s="17"/>
      <c r="HH322" s="17"/>
      <c r="HI322" s="17"/>
      <c r="HJ322" s="17"/>
      <c r="HK322" s="17"/>
      <c r="HL322" s="17"/>
      <c r="HM322" s="17"/>
      <c r="HN322" s="17"/>
      <c r="HO322" s="17"/>
      <c r="HP322" s="17"/>
      <c r="HQ322" s="17"/>
      <c r="HR322" s="17"/>
      <c r="HS322" s="17"/>
      <c r="HT322" s="17"/>
      <c r="HU322" s="17"/>
      <c r="HV322" s="17"/>
      <c r="HW322" s="17"/>
      <c r="HX322" s="17"/>
      <c r="HY322" s="17"/>
      <c r="HZ322" s="17"/>
      <c r="IA322" s="17"/>
      <c r="IB322" s="17"/>
      <c r="IC322" s="17"/>
      <c r="ID322" s="17"/>
      <c r="IE322" s="17"/>
      <c r="IF322" s="17"/>
      <c r="IG322" s="17"/>
      <c r="IH322" s="17"/>
      <c r="II322" s="17"/>
      <c r="IJ322" s="17"/>
      <c r="IK322" s="17"/>
      <c r="IL322" s="17"/>
      <c r="IM322" s="17"/>
      <c r="IN322" s="17"/>
      <c r="IO322" s="17"/>
      <c r="IP322" s="17"/>
      <c r="IQ322" s="17"/>
      <c r="IR322" s="17"/>
      <c r="IS322" s="17"/>
      <c r="IT322" s="17"/>
      <c r="IU322" s="17"/>
      <c r="IV322" s="17"/>
      <c r="IW322" s="17"/>
      <c r="IX322" s="17"/>
      <c r="IY322" s="17"/>
      <c r="IZ322" s="17"/>
      <c r="JA322" s="17"/>
      <c r="JB322" s="17"/>
      <c r="JC322" s="17"/>
      <c r="JD322" s="17"/>
      <c r="JE322" s="17"/>
      <c r="JF322" s="17"/>
      <c r="JG322" s="17"/>
      <c r="JH322" s="17"/>
      <c r="JI322" s="17"/>
      <c r="JJ322" s="17"/>
      <c r="JK322" s="17"/>
      <c r="JL322" s="17"/>
      <c r="JM322" s="17"/>
      <c r="JN322" s="17"/>
      <c r="JO322" s="17"/>
      <c r="JP322" s="17"/>
      <c r="JQ322" s="17"/>
      <c r="JR322" s="17"/>
      <c r="JS322" s="17"/>
      <c r="JT322" s="17"/>
      <c r="JU322" s="17"/>
      <c r="JV322" s="17"/>
      <c r="JW322" s="17"/>
      <c r="JX322" s="17"/>
      <c r="JY322" s="17"/>
      <c r="JZ322" s="17"/>
      <c r="KA322" s="17"/>
      <c r="KB322" s="17"/>
      <c r="KC322" s="17"/>
      <c r="KD322" s="17"/>
      <c r="KE322" s="17"/>
      <c r="KF322" s="17"/>
      <c r="KG322" s="17"/>
      <c r="KH322" s="17"/>
      <c r="KI322" s="17"/>
      <c r="KJ322" s="17"/>
      <c r="KK322" s="17"/>
      <c r="KL322" s="17"/>
      <c r="KM322" s="17"/>
      <c r="KN322" s="17"/>
      <c r="KO322" s="17"/>
      <c r="KP322" s="17"/>
      <c r="KQ322" s="17"/>
      <c r="KR322" s="17"/>
      <c r="KS322" s="17"/>
      <c r="KT322" s="17"/>
      <c r="KU322" s="17"/>
      <c r="KV322" s="17"/>
      <c r="KW322" s="17"/>
      <c r="KX322" s="17"/>
      <c r="KY322" s="17"/>
    </row>
    <row r="323" spans="1:311" x14ac:dyDescent="0.25">
      <c r="A323" s="17"/>
      <c r="B323" s="17"/>
      <c r="C323" s="17"/>
      <c r="D323" s="17"/>
      <c r="E323" s="17"/>
      <c r="F323" s="17"/>
      <c r="G323" s="17"/>
      <c r="H323" s="17"/>
      <c r="I323" s="17"/>
      <c r="J323" s="17"/>
      <c r="K323" s="17"/>
      <c r="L323" s="17"/>
      <c r="M323" s="17"/>
      <c r="N323" s="17"/>
      <c r="O323" s="17"/>
      <c r="P323" s="17"/>
      <c r="Q323" s="17"/>
      <c r="R323" s="17"/>
      <c r="S323" s="17"/>
      <c r="T323" s="17"/>
      <c r="U323" s="17"/>
      <c r="V323" s="17"/>
      <c r="W323" s="17"/>
      <c r="X323" s="17"/>
      <c r="Y323" s="17"/>
      <c r="Z323" s="17"/>
      <c r="AA323" s="17"/>
      <c r="AB323" s="17"/>
      <c r="AC323" s="17"/>
      <c r="AD323" s="17"/>
      <c r="AE323" s="17"/>
      <c r="AF323" s="17"/>
      <c r="AG323" s="17"/>
      <c r="AH323" s="17"/>
      <c r="AI323" s="17"/>
      <c r="AJ323" s="17"/>
      <c r="AK323" s="17"/>
      <c r="AL323" s="17"/>
      <c r="AM323" s="17"/>
      <c r="AN323" s="17"/>
      <c r="AO323" s="17"/>
      <c r="AP323" s="17"/>
      <c r="AQ323" s="17"/>
      <c r="AR323" s="17"/>
      <c r="AS323" s="17"/>
      <c r="AT323" s="17"/>
      <c r="AU323" s="17"/>
      <c r="AV323" s="17"/>
      <c r="AW323" s="17"/>
      <c r="AX323" s="17"/>
      <c r="AY323" s="17"/>
      <c r="AZ323" s="17"/>
      <c r="BA323" s="17"/>
      <c r="BB323" s="17"/>
      <c r="BC323" s="17"/>
      <c r="BD323" s="17"/>
      <c r="BE323" s="17"/>
      <c r="BF323" s="17"/>
      <c r="BG323" s="17"/>
      <c r="BH323" s="17"/>
      <c r="BI323" s="17"/>
      <c r="BJ323" s="17"/>
      <c r="BK323" s="17"/>
      <c r="BL323" s="17"/>
      <c r="BM323" s="17"/>
      <c r="BN323" s="17"/>
      <c r="BO323" s="17"/>
      <c r="BP323" s="17"/>
      <c r="BQ323" s="17"/>
      <c r="BR323" s="17"/>
      <c r="BS323" s="17"/>
      <c r="BT323" s="17"/>
      <c r="BU323" s="17"/>
      <c r="BV323" s="17"/>
      <c r="BW323" s="17"/>
      <c r="BX323" s="17"/>
      <c r="BY323" s="17"/>
      <c r="BZ323" s="17"/>
      <c r="CA323" s="17"/>
      <c r="CB323" s="17"/>
      <c r="CC323" s="17"/>
      <c r="CD323" s="17"/>
      <c r="CE323" s="17"/>
      <c r="CF323" s="17"/>
      <c r="CG323" s="17"/>
      <c r="CH323" s="17"/>
      <c r="CI323" s="17"/>
      <c r="CJ323" s="17"/>
      <c r="CK323" s="17"/>
      <c r="CL323" s="17"/>
      <c r="CM323" s="17"/>
      <c r="CN323" s="17"/>
      <c r="CO323" s="17"/>
      <c r="CP323" s="17"/>
      <c r="CQ323" s="17"/>
      <c r="CR323" s="17"/>
      <c r="CS323" s="17"/>
      <c r="CT323" s="17"/>
      <c r="CU323" s="17"/>
      <c r="CV323" s="17"/>
      <c r="CW323" s="17"/>
      <c r="CX323" s="17"/>
      <c r="CY323" s="17"/>
      <c r="CZ323" s="17"/>
      <c r="DA323" s="17"/>
      <c r="DB323" s="17"/>
      <c r="DC323" s="17"/>
      <c r="DD323" s="17"/>
      <c r="DE323" s="17"/>
      <c r="DF323" s="17"/>
      <c r="DG323" s="17"/>
      <c r="DH323" s="17"/>
      <c r="DI323" s="17"/>
      <c r="DJ323" s="17"/>
      <c r="DK323" s="17"/>
      <c r="DL323" s="17"/>
      <c r="DM323" s="17"/>
      <c r="DN323" s="17"/>
      <c r="DO323" s="17"/>
      <c r="DP323" s="17"/>
      <c r="DQ323" s="17"/>
      <c r="DR323" s="17"/>
      <c r="DS323" s="17"/>
      <c r="DT323" s="17"/>
      <c r="DU323" s="17"/>
      <c r="DV323" s="17"/>
      <c r="DW323" s="17"/>
      <c r="DX323" s="17"/>
      <c r="DY323" s="17"/>
      <c r="DZ323" s="17"/>
      <c r="EA323" s="17"/>
      <c r="EB323" s="17"/>
      <c r="EC323" s="17"/>
      <c r="ED323" s="17"/>
      <c r="EE323" s="17"/>
      <c r="EF323" s="17"/>
      <c r="EG323" s="17"/>
      <c r="EH323" s="17"/>
      <c r="EI323" s="17"/>
      <c r="EJ323" s="17"/>
      <c r="EK323" s="17"/>
      <c r="EL323" s="17"/>
      <c r="EM323" s="17"/>
      <c r="EN323" s="17"/>
      <c r="EO323" s="17"/>
      <c r="EP323" s="17"/>
      <c r="EQ323" s="17"/>
      <c r="ER323" s="17"/>
      <c r="ES323" s="17"/>
      <c r="ET323" s="17"/>
      <c r="EU323" s="17"/>
      <c r="EV323" s="17"/>
      <c r="EW323" s="17"/>
      <c r="EX323" s="17"/>
      <c r="EY323" s="17"/>
      <c r="EZ323" s="17"/>
      <c r="FA323" s="17"/>
      <c r="FB323" s="17"/>
      <c r="FC323" s="17"/>
      <c r="FD323" s="17"/>
      <c r="FE323" s="17"/>
      <c r="FF323" s="17"/>
      <c r="FG323" s="17"/>
      <c r="FH323" s="17"/>
      <c r="FI323" s="17"/>
      <c r="FJ323" s="17"/>
      <c r="FK323" s="17"/>
      <c r="FL323" s="17"/>
      <c r="FM323" s="17"/>
      <c r="FN323" s="17"/>
      <c r="FO323" s="17"/>
      <c r="FP323" s="17"/>
      <c r="FQ323" s="17"/>
      <c r="FR323" s="17"/>
      <c r="FS323" s="17"/>
      <c r="FT323" s="17"/>
      <c r="FU323" s="17"/>
      <c r="FV323" s="17"/>
      <c r="FW323" s="17"/>
      <c r="FX323" s="17"/>
      <c r="FY323" s="17"/>
      <c r="FZ323" s="17"/>
      <c r="GA323" s="17"/>
      <c r="GB323" s="17"/>
      <c r="GC323" s="17"/>
      <c r="GD323" s="17"/>
      <c r="GE323" s="17"/>
      <c r="GF323" s="17"/>
      <c r="GG323" s="17"/>
      <c r="GH323" s="17"/>
      <c r="GI323" s="17"/>
      <c r="GJ323" s="17"/>
      <c r="GK323" s="17"/>
      <c r="GL323" s="17"/>
      <c r="GM323" s="17"/>
      <c r="GN323" s="17"/>
      <c r="GO323" s="17"/>
      <c r="GP323" s="17"/>
      <c r="GQ323" s="17"/>
      <c r="GR323" s="17"/>
      <c r="GS323" s="17"/>
      <c r="GT323" s="17"/>
      <c r="GU323" s="17"/>
      <c r="GV323" s="17"/>
      <c r="GW323" s="17"/>
      <c r="GX323" s="17"/>
      <c r="GY323" s="17"/>
      <c r="GZ323" s="17"/>
      <c r="HA323" s="17"/>
      <c r="HB323" s="17"/>
      <c r="HC323" s="17"/>
      <c r="HD323" s="17"/>
      <c r="HE323" s="17"/>
      <c r="HF323" s="17"/>
      <c r="HG323" s="17"/>
      <c r="HH323" s="17"/>
      <c r="HI323" s="17"/>
      <c r="HJ323" s="17"/>
      <c r="HK323" s="17"/>
      <c r="HL323" s="17"/>
      <c r="HM323" s="17"/>
      <c r="HN323" s="17"/>
      <c r="HO323" s="17"/>
      <c r="HP323" s="17"/>
      <c r="HQ323" s="17"/>
      <c r="HR323" s="17"/>
      <c r="HS323" s="17"/>
      <c r="HT323" s="17"/>
      <c r="HU323" s="17"/>
      <c r="HV323" s="17"/>
      <c r="HW323" s="17"/>
      <c r="HX323" s="17"/>
      <c r="HY323" s="17"/>
      <c r="HZ323" s="17"/>
      <c r="IA323" s="17"/>
      <c r="IB323" s="17"/>
      <c r="IC323" s="17"/>
      <c r="ID323" s="17"/>
      <c r="IE323" s="17"/>
      <c r="IF323" s="17"/>
      <c r="IG323" s="17"/>
      <c r="IH323" s="17"/>
      <c r="II323" s="17"/>
      <c r="IJ323" s="17"/>
      <c r="IK323" s="17"/>
      <c r="IL323" s="17"/>
      <c r="IM323" s="17"/>
      <c r="IN323" s="17"/>
      <c r="IO323" s="17"/>
      <c r="IP323" s="17"/>
      <c r="IQ323" s="17"/>
      <c r="IR323" s="17"/>
      <c r="IS323" s="17"/>
      <c r="IT323" s="17"/>
      <c r="IU323" s="17"/>
      <c r="IV323" s="17"/>
      <c r="IW323" s="17"/>
      <c r="IX323" s="17"/>
      <c r="IY323" s="17"/>
      <c r="IZ323" s="17"/>
      <c r="JA323" s="17"/>
      <c r="JB323" s="17"/>
      <c r="JC323" s="17"/>
      <c r="JD323" s="17"/>
      <c r="JE323" s="17"/>
      <c r="JF323" s="17"/>
      <c r="JG323" s="17"/>
      <c r="JH323" s="17"/>
      <c r="JI323" s="17"/>
      <c r="JJ323" s="17"/>
      <c r="JK323" s="17"/>
      <c r="JL323" s="17"/>
      <c r="JM323" s="17"/>
      <c r="JN323" s="17"/>
      <c r="JO323" s="17"/>
      <c r="JP323" s="17"/>
      <c r="JQ323" s="17"/>
      <c r="JR323" s="17"/>
      <c r="JS323" s="17"/>
      <c r="JT323" s="17"/>
      <c r="JU323" s="17"/>
      <c r="JV323" s="17"/>
      <c r="JW323" s="17"/>
      <c r="JX323" s="17"/>
      <c r="JY323" s="17"/>
      <c r="JZ323" s="17"/>
      <c r="KA323" s="17"/>
      <c r="KB323" s="17"/>
      <c r="KC323" s="17"/>
      <c r="KD323" s="17"/>
      <c r="KE323" s="17"/>
      <c r="KF323" s="17"/>
      <c r="KG323" s="17"/>
      <c r="KH323" s="17"/>
      <c r="KI323" s="17"/>
      <c r="KJ323" s="17"/>
      <c r="KK323" s="17"/>
      <c r="KL323" s="17"/>
      <c r="KM323" s="17"/>
      <c r="KN323" s="17"/>
      <c r="KO323" s="17"/>
      <c r="KP323" s="17"/>
      <c r="KQ323" s="17"/>
      <c r="KR323" s="17"/>
      <c r="KS323" s="17"/>
      <c r="KT323" s="17"/>
      <c r="KU323" s="17"/>
      <c r="KV323" s="17"/>
      <c r="KW323" s="17"/>
      <c r="KX323" s="17"/>
      <c r="KY323" s="17"/>
    </row>
    <row r="324" spans="1:311" x14ac:dyDescent="0.25">
      <c r="A324" s="17"/>
      <c r="B324" s="17"/>
      <c r="C324" s="17"/>
      <c r="D324" s="17"/>
      <c r="E324" s="17"/>
      <c r="F324" s="17"/>
      <c r="G324" s="17"/>
      <c r="H324" s="17"/>
      <c r="I324" s="17"/>
      <c r="J324" s="17"/>
      <c r="K324" s="17"/>
      <c r="L324" s="17"/>
      <c r="M324" s="17"/>
      <c r="N324" s="17"/>
      <c r="O324" s="17"/>
      <c r="P324" s="17"/>
      <c r="Q324" s="17"/>
      <c r="R324" s="17"/>
      <c r="S324" s="17"/>
      <c r="T324" s="17"/>
      <c r="U324" s="17"/>
      <c r="V324" s="17"/>
      <c r="W324" s="17"/>
      <c r="X324" s="17"/>
      <c r="Y324" s="17"/>
      <c r="Z324" s="17"/>
      <c r="AA324" s="17"/>
      <c r="AB324" s="17"/>
      <c r="AC324" s="17"/>
      <c r="AD324" s="17"/>
      <c r="AE324" s="17"/>
      <c r="AF324" s="17"/>
      <c r="AG324" s="17"/>
      <c r="AH324" s="17"/>
      <c r="AI324" s="17"/>
      <c r="AJ324" s="17"/>
      <c r="AK324" s="17"/>
      <c r="AL324" s="17"/>
      <c r="AM324" s="17"/>
      <c r="AN324" s="17"/>
      <c r="AO324" s="17"/>
      <c r="AP324" s="17"/>
      <c r="AQ324" s="17"/>
      <c r="AR324" s="17"/>
      <c r="AS324" s="17"/>
      <c r="AT324" s="17"/>
      <c r="AU324" s="17"/>
      <c r="AV324" s="17"/>
      <c r="AW324" s="17"/>
      <c r="AX324" s="17"/>
      <c r="AY324" s="17"/>
      <c r="AZ324" s="17"/>
      <c r="BA324" s="17"/>
      <c r="BB324" s="17"/>
      <c r="BC324" s="17"/>
      <c r="BD324" s="17"/>
      <c r="BE324" s="17"/>
      <c r="BF324" s="17"/>
      <c r="BG324" s="17"/>
      <c r="BH324" s="17"/>
      <c r="BI324" s="17"/>
      <c r="BJ324" s="17"/>
      <c r="BK324" s="17"/>
      <c r="BL324" s="17"/>
      <c r="BM324" s="17"/>
      <c r="BN324" s="17"/>
      <c r="BO324" s="17"/>
      <c r="BP324" s="17"/>
      <c r="BQ324" s="17"/>
      <c r="BR324" s="17"/>
      <c r="BS324" s="17"/>
      <c r="BT324" s="17"/>
      <c r="BU324" s="17"/>
      <c r="BV324" s="17"/>
      <c r="BW324" s="17"/>
      <c r="BX324" s="17"/>
      <c r="BY324" s="17"/>
      <c r="BZ324" s="17"/>
      <c r="CA324" s="17"/>
      <c r="CB324" s="17"/>
      <c r="CC324" s="17"/>
      <c r="CD324" s="17"/>
      <c r="CE324" s="17"/>
      <c r="CF324" s="17"/>
      <c r="CG324" s="17"/>
      <c r="CH324" s="17"/>
      <c r="CI324" s="17"/>
      <c r="CJ324" s="17"/>
      <c r="CK324" s="17"/>
      <c r="CL324" s="17"/>
      <c r="CM324" s="17"/>
      <c r="CN324" s="17"/>
      <c r="CO324" s="17"/>
      <c r="CP324" s="17"/>
      <c r="CQ324" s="17"/>
      <c r="CR324" s="17"/>
      <c r="CS324" s="17"/>
      <c r="CT324" s="17"/>
      <c r="CU324" s="17"/>
      <c r="CV324" s="17"/>
      <c r="CW324" s="17"/>
      <c r="CX324" s="17"/>
      <c r="CY324" s="17"/>
      <c r="CZ324" s="17"/>
      <c r="DA324" s="17"/>
      <c r="DB324" s="17"/>
      <c r="DC324" s="17"/>
      <c r="DD324" s="17"/>
      <c r="DE324" s="17"/>
      <c r="DF324" s="17"/>
      <c r="DG324" s="17"/>
      <c r="DH324" s="17"/>
      <c r="DI324" s="17"/>
      <c r="DJ324" s="17"/>
      <c r="DK324" s="17"/>
      <c r="DL324" s="17"/>
      <c r="DM324" s="17"/>
      <c r="DN324" s="17"/>
      <c r="DO324" s="17"/>
      <c r="DP324" s="17"/>
      <c r="DQ324" s="17"/>
      <c r="DR324" s="17"/>
      <c r="DS324" s="17"/>
      <c r="DT324" s="17"/>
      <c r="DU324" s="17"/>
      <c r="DV324" s="17"/>
      <c r="DW324" s="17"/>
      <c r="DX324" s="17"/>
      <c r="DY324" s="17"/>
      <c r="DZ324" s="17"/>
      <c r="EA324" s="17"/>
      <c r="EB324" s="17"/>
      <c r="EC324" s="17"/>
      <c r="ED324" s="17"/>
      <c r="EE324" s="17"/>
      <c r="EF324" s="17"/>
      <c r="EG324" s="17"/>
      <c r="EH324" s="17"/>
      <c r="EI324" s="17"/>
      <c r="EJ324" s="17"/>
      <c r="EK324" s="17"/>
      <c r="EL324" s="17"/>
      <c r="EM324" s="17"/>
      <c r="EN324" s="17"/>
      <c r="EO324" s="17"/>
      <c r="EP324" s="17"/>
      <c r="EQ324" s="17"/>
      <c r="ER324" s="17"/>
      <c r="ES324" s="17"/>
      <c r="ET324" s="17"/>
      <c r="EU324" s="17"/>
      <c r="EV324" s="17"/>
      <c r="EW324" s="17"/>
      <c r="EX324" s="17"/>
      <c r="EY324" s="17"/>
      <c r="EZ324" s="17"/>
      <c r="FA324" s="17"/>
      <c r="FB324" s="17"/>
      <c r="FC324" s="17"/>
      <c r="FD324" s="17"/>
      <c r="FE324" s="17"/>
      <c r="FF324" s="17"/>
      <c r="FG324" s="17"/>
      <c r="FH324" s="17"/>
      <c r="FI324" s="17"/>
      <c r="FJ324" s="17"/>
      <c r="FK324" s="17"/>
      <c r="FL324" s="17"/>
      <c r="FM324" s="17"/>
      <c r="FN324" s="17"/>
      <c r="FO324" s="17"/>
      <c r="FP324" s="17"/>
      <c r="FQ324" s="17"/>
      <c r="FR324" s="17"/>
      <c r="FS324" s="17"/>
      <c r="FT324" s="17"/>
      <c r="FU324" s="17"/>
      <c r="FV324" s="17"/>
      <c r="FW324" s="17"/>
      <c r="FX324" s="17"/>
      <c r="FY324" s="17"/>
      <c r="FZ324" s="17"/>
      <c r="GA324" s="17"/>
      <c r="GB324" s="17"/>
      <c r="GC324" s="17"/>
      <c r="GD324" s="17"/>
      <c r="GE324" s="17"/>
      <c r="GF324" s="17"/>
      <c r="GG324" s="17"/>
      <c r="GH324" s="17"/>
      <c r="GI324" s="17"/>
      <c r="GJ324" s="17"/>
      <c r="GK324" s="17"/>
      <c r="GL324" s="17"/>
      <c r="GM324" s="17"/>
      <c r="GN324" s="17"/>
      <c r="GO324" s="17"/>
      <c r="GP324" s="17"/>
      <c r="GQ324" s="17"/>
      <c r="GR324" s="17"/>
      <c r="GS324" s="17"/>
      <c r="GT324" s="17"/>
      <c r="GU324" s="17"/>
      <c r="GV324" s="17"/>
      <c r="GW324" s="17"/>
      <c r="GX324" s="17"/>
      <c r="GY324" s="17"/>
      <c r="GZ324" s="17"/>
      <c r="HA324" s="17"/>
      <c r="HB324" s="17"/>
      <c r="HC324" s="17"/>
      <c r="HD324" s="17"/>
      <c r="HE324" s="17"/>
      <c r="HF324" s="17"/>
      <c r="HG324" s="17"/>
      <c r="HH324" s="17"/>
      <c r="HI324" s="17"/>
      <c r="HJ324" s="17"/>
      <c r="HK324" s="17"/>
      <c r="HL324" s="17"/>
      <c r="HM324" s="17"/>
      <c r="HN324" s="17"/>
      <c r="HO324" s="17"/>
      <c r="HP324" s="17"/>
      <c r="HQ324" s="17"/>
      <c r="HR324" s="17"/>
      <c r="HS324" s="17"/>
      <c r="HT324" s="17"/>
      <c r="HU324" s="17"/>
      <c r="HV324" s="17"/>
      <c r="HW324" s="17"/>
      <c r="HX324" s="17"/>
      <c r="HY324" s="17"/>
      <c r="HZ324" s="17"/>
      <c r="IA324" s="17"/>
      <c r="IB324" s="17"/>
      <c r="IC324" s="17"/>
      <c r="ID324" s="17"/>
      <c r="IE324" s="17"/>
      <c r="IF324" s="17"/>
      <c r="IG324" s="17"/>
      <c r="IH324" s="17"/>
      <c r="II324" s="17"/>
      <c r="IJ324" s="17"/>
      <c r="IK324" s="17"/>
      <c r="IL324" s="17"/>
      <c r="IM324" s="17"/>
      <c r="IN324" s="17"/>
      <c r="IO324" s="17"/>
      <c r="IP324" s="17"/>
      <c r="IQ324" s="17"/>
      <c r="IR324" s="17"/>
      <c r="IS324" s="17"/>
      <c r="IT324" s="17"/>
      <c r="IU324" s="17"/>
      <c r="IV324" s="17"/>
      <c r="IW324" s="17"/>
      <c r="IX324" s="17"/>
      <c r="IY324" s="17"/>
      <c r="IZ324" s="17"/>
      <c r="JA324" s="17"/>
      <c r="JB324" s="17"/>
      <c r="JC324" s="17"/>
      <c r="JD324" s="17"/>
      <c r="JE324" s="17"/>
      <c r="JF324" s="17"/>
      <c r="JG324" s="17"/>
      <c r="JH324" s="17"/>
      <c r="JI324" s="17"/>
      <c r="JJ324" s="17"/>
      <c r="JK324" s="17"/>
      <c r="JL324" s="17"/>
      <c r="JM324" s="17"/>
      <c r="JN324" s="17"/>
      <c r="JO324" s="17"/>
      <c r="JP324" s="17"/>
      <c r="JQ324" s="17"/>
      <c r="JR324" s="17"/>
      <c r="JS324" s="17"/>
      <c r="JT324" s="17"/>
      <c r="JU324" s="17"/>
      <c r="JV324" s="17"/>
      <c r="JW324" s="17"/>
      <c r="JX324" s="17"/>
      <c r="JY324" s="17"/>
      <c r="JZ324" s="17"/>
      <c r="KA324" s="17"/>
      <c r="KB324" s="17"/>
      <c r="KC324" s="17"/>
      <c r="KD324" s="17"/>
      <c r="KE324" s="17"/>
      <c r="KF324" s="17"/>
      <c r="KG324" s="17"/>
      <c r="KH324" s="17"/>
      <c r="KI324" s="17"/>
      <c r="KJ324" s="17"/>
      <c r="KK324" s="17"/>
      <c r="KL324" s="17"/>
      <c r="KM324" s="17"/>
      <c r="KN324" s="17"/>
      <c r="KO324" s="17"/>
      <c r="KP324" s="17"/>
      <c r="KQ324" s="17"/>
      <c r="KR324" s="17"/>
      <c r="KS324" s="17"/>
      <c r="KT324" s="17"/>
      <c r="KU324" s="17"/>
      <c r="KV324" s="17"/>
      <c r="KW324" s="17"/>
      <c r="KX324" s="17"/>
      <c r="KY324" s="17"/>
    </row>
    <row r="325" spans="1:311" x14ac:dyDescent="0.25">
      <c r="A325" s="17"/>
      <c r="B325" s="17"/>
      <c r="C325" s="17"/>
      <c r="D325" s="17"/>
      <c r="E325" s="17"/>
      <c r="F325" s="17"/>
      <c r="G325" s="17"/>
      <c r="H325" s="17"/>
      <c r="I325" s="17"/>
      <c r="J325" s="17"/>
      <c r="K325" s="17"/>
      <c r="L325" s="17"/>
      <c r="M325" s="17"/>
      <c r="N325" s="17"/>
      <c r="O325" s="17"/>
      <c r="P325" s="17"/>
      <c r="Q325" s="17"/>
      <c r="R325" s="17"/>
      <c r="S325" s="17"/>
      <c r="T325" s="17"/>
      <c r="U325" s="17"/>
      <c r="V325" s="17"/>
      <c r="W325" s="17"/>
      <c r="X325" s="17"/>
      <c r="Y325" s="17"/>
      <c r="Z325" s="17"/>
      <c r="AA325" s="17"/>
      <c r="AB325" s="17"/>
      <c r="AC325" s="17"/>
      <c r="AD325" s="17"/>
      <c r="AE325" s="17"/>
      <c r="AF325" s="17"/>
      <c r="AG325" s="17"/>
      <c r="AH325" s="17"/>
      <c r="AI325" s="17"/>
      <c r="AJ325" s="17"/>
      <c r="AK325" s="17"/>
      <c r="AL325" s="17"/>
      <c r="AM325" s="17"/>
      <c r="AN325" s="17"/>
      <c r="AO325" s="17"/>
      <c r="AP325" s="17"/>
      <c r="AQ325" s="17"/>
      <c r="AR325" s="17"/>
      <c r="AS325" s="17"/>
      <c r="AT325" s="17"/>
      <c r="AU325" s="17"/>
      <c r="AV325" s="17"/>
      <c r="AW325" s="17"/>
      <c r="AX325" s="17"/>
      <c r="AY325" s="17"/>
      <c r="AZ325" s="17"/>
      <c r="BA325" s="17"/>
      <c r="BB325" s="17"/>
      <c r="BC325" s="17"/>
      <c r="BD325" s="17"/>
      <c r="BE325" s="17"/>
      <c r="BF325" s="17"/>
      <c r="BG325" s="17"/>
      <c r="BH325" s="17"/>
      <c r="BI325" s="17"/>
      <c r="BJ325" s="17"/>
      <c r="BK325" s="17"/>
      <c r="BL325" s="17"/>
      <c r="BM325" s="17"/>
      <c r="BN325" s="17"/>
      <c r="BO325" s="17"/>
      <c r="BP325" s="17"/>
      <c r="BQ325" s="17"/>
      <c r="BR325" s="17"/>
      <c r="BS325" s="17"/>
      <c r="BT325" s="17"/>
      <c r="BU325" s="17"/>
      <c r="BV325" s="17"/>
      <c r="BW325" s="17"/>
      <c r="BX325" s="17"/>
      <c r="BY325" s="17"/>
      <c r="BZ325" s="17"/>
      <c r="CA325" s="17"/>
      <c r="CB325" s="17"/>
      <c r="CC325" s="17"/>
      <c r="CD325" s="17"/>
      <c r="CE325" s="17"/>
      <c r="CF325" s="17"/>
      <c r="CG325" s="17"/>
      <c r="CH325" s="17"/>
      <c r="CI325" s="17"/>
      <c r="CJ325" s="17"/>
      <c r="CK325" s="17"/>
      <c r="CL325" s="17"/>
      <c r="CM325" s="17"/>
      <c r="CN325" s="17"/>
      <c r="CO325" s="17"/>
      <c r="CP325" s="17"/>
      <c r="CQ325" s="17"/>
      <c r="CR325" s="17"/>
      <c r="CS325" s="17"/>
      <c r="CT325" s="17"/>
      <c r="CU325" s="17"/>
      <c r="CV325" s="17"/>
      <c r="CW325" s="17"/>
      <c r="CX325" s="17"/>
      <c r="CY325" s="17"/>
      <c r="CZ325" s="17"/>
      <c r="DA325" s="17"/>
      <c r="DB325" s="17"/>
      <c r="DC325" s="17"/>
      <c r="DD325" s="17"/>
      <c r="DE325" s="17"/>
      <c r="DF325" s="17"/>
      <c r="DG325" s="17"/>
      <c r="DH325" s="17"/>
      <c r="DI325" s="17"/>
      <c r="DJ325" s="17"/>
      <c r="DK325" s="17"/>
      <c r="DL325" s="17"/>
      <c r="DM325" s="17"/>
      <c r="DN325" s="17"/>
      <c r="DO325" s="17"/>
      <c r="DP325" s="17"/>
      <c r="DQ325" s="17"/>
      <c r="DR325" s="17"/>
      <c r="DS325" s="17"/>
      <c r="DT325" s="17"/>
      <c r="DU325" s="17"/>
      <c r="DV325" s="17"/>
      <c r="DW325" s="17"/>
      <c r="DX325" s="17"/>
      <c r="DY325" s="17"/>
      <c r="DZ325" s="17"/>
      <c r="EA325" s="17"/>
      <c r="EB325" s="17"/>
      <c r="EC325" s="17"/>
      <c r="ED325" s="17"/>
      <c r="EE325" s="17"/>
      <c r="EF325" s="17"/>
      <c r="EG325" s="17"/>
      <c r="EH325" s="17"/>
      <c r="EI325" s="17"/>
      <c r="EJ325" s="17"/>
      <c r="EK325" s="17"/>
      <c r="EL325" s="17"/>
      <c r="EM325" s="17"/>
      <c r="EN325" s="17"/>
      <c r="EO325" s="17"/>
      <c r="EP325" s="17"/>
      <c r="EQ325" s="17"/>
      <c r="ER325" s="17"/>
      <c r="ES325" s="17"/>
      <c r="ET325" s="17"/>
      <c r="EU325" s="17"/>
      <c r="EV325" s="17"/>
      <c r="EW325" s="17"/>
      <c r="EX325" s="17"/>
      <c r="EY325" s="17"/>
      <c r="EZ325" s="17"/>
      <c r="FA325" s="17"/>
      <c r="FB325" s="17"/>
      <c r="FC325" s="17"/>
      <c r="FD325" s="17"/>
      <c r="FE325" s="17"/>
      <c r="FF325" s="17"/>
      <c r="FG325" s="17"/>
      <c r="FH325" s="17"/>
      <c r="FI325" s="17"/>
      <c r="FJ325" s="17"/>
      <c r="FK325" s="17"/>
      <c r="FL325" s="17"/>
      <c r="FM325" s="17"/>
      <c r="FN325" s="17"/>
      <c r="FO325" s="17"/>
      <c r="FP325" s="17"/>
      <c r="FQ325" s="17"/>
      <c r="FR325" s="17"/>
      <c r="FS325" s="17"/>
      <c r="FT325" s="17"/>
      <c r="FU325" s="17"/>
      <c r="FV325" s="17"/>
      <c r="FW325" s="17"/>
      <c r="FX325" s="17"/>
      <c r="FY325" s="17"/>
      <c r="FZ325" s="17"/>
      <c r="GA325" s="17"/>
      <c r="GB325" s="17"/>
      <c r="GC325" s="17"/>
      <c r="GD325" s="17"/>
      <c r="GE325" s="17"/>
      <c r="GF325" s="17"/>
      <c r="GG325" s="17"/>
      <c r="GH325" s="17"/>
      <c r="GI325" s="17"/>
      <c r="GJ325" s="17"/>
      <c r="GK325" s="17"/>
      <c r="GL325" s="17"/>
      <c r="GM325" s="17"/>
      <c r="GN325" s="17"/>
      <c r="GO325" s="17"/>
      <c r="GP325" s="17"/>
      <c r="GQ325" s="17"/>
      <c r="GR325" s="17"/>
      <c r="GS325" s="17"/>
      <c r="GT325" s="17"/>
      <c r="GU325" s="17"/>
      <c r="GV325" s="17"/>
      <c r="GW325" s="17"/>
      <c r="GX325" s="17"/>
      <c r="GY325" s="17"/>
      <c r="GZ325" s="17"/>
      <c r="HA325" s="17"/>
      <c r="HB325" s="17"/>
      <c r="HC325" s="17"/>
      <c r="HD325" s="17"/>
      <c r="HE325" s="17"/>
      <c r="HF325" s="17"/>
      <c r="HG325" s="17"/>
      <c r="HH325" s="17"/>
      <c r="HI325" s="17"/>
      <c r="HJ325" s="17"/>
      <c r="HK325" s="17"/>
      <c r="HL325" s="17"/>
      <c r="HM325" s="17"/>
      <c r="HN325" s="17"/>
      <c r="HO325" s="17"/>
      <c r="HP325" s="17"/>
      <c r="HQ325" s="17"/>
      <c r="HR325" s="17"/>
      <c r="HS325" s="17"/>
      <c r="HT325" s="17"/>
      <c r="HU325" s="17"/>
      <c r="HV325" s="17"/>
      <c r="HW325" s="17"/>
      <c r="HX325" s="17"/>
      <c r="HY325" s="17"/>
      <c r="HZ325" s="17"/>
      <c r="IA325" s="17"/>
      <c r="IB325" s="17"/>
      <c r="IC325" s="17"/>
      <c r="ID325" s="17"/>
      <c r="IE325" s="17"/>
      <c r="IF325" s="17"/>
      <c r="IG325" s="17"/>
      <c r="IH325" s="17"/>
      <c r="II325" s="17"/>
      <c r="IJ325" s="17"/>
      <c r="IK325" s="17"/>
      <c r="IL325" s="17"/>
      <c r="IM325" s="17"/>
      <c r="IN325" s="17"/>
      <c r="IO325" s="17"/>
      <c r="IP325" s="17"/>
      <c r="IQ325" s="17"/>
      <c r="IR325" s="17"/>
      <c r="IS325" s="17"/>
      <c r="IT325" s="17"/>
      <c r="IU325" s="17"/>
      <c r="IV325" s="17"/>
      <c r="IW325" s="17"/>
      <c r="IX325" s="17"/>
      <c r="IY325" s="17"/>
      <c r="IZ325" s="17"/>
      <c r="JA325" s="17"/>
      <c r="JB325" s="17"/>
      <c r="JC325" s="17"/>
      <c r="JD325" s="17"/>
      <c r="JE325" s="17"/>
      <c r="JF325" s="17"/>
      <c r="JG325" s="17"/>
      <c r="JH325" s="17"/>
      <c r="JI325" s="17"/>
      <c r="JJ325" s="17"/>
      <c r="JK325" s="17"/>
      <c r="JL325" s="17"/>
      <c r="JM325" s="17"/>
      <c r="JN325" s="17"/>
      <c r="JO325" s="17"/>
      <c r="JP325" s="17"/>
      <c r="JQ325" s="17"/>
      <c r="JR325" s="17"/>
      <c r="JS325" s="17"/>
      <c r="JT325" s="17"/>
      <c r="JU325" s="17"/>
      <c r="JV325" s="17"/>
      <c r="JW325" s="17"/>
      <c r="JX325" s="17"/>
      <c r="JY325" s="17"/>
      <c r="JZ325" s="17"/>
      <c r="KA325" s="17"/>
      <c r="KB325" s="17"/>
      <c r="KC325" s="17"/>
      <c r="KD325" s="17"/>
      <c r="KE325" s="17"/>
      <c r="KF325" s="17"/>
      <c r="KG325" s="17"/>
      <c r="KH325" s="17"/>
      <c r="KI325" s="17"/>
      <c r="KJ325" s="17"/>
      <c r="KK325" s="17"/>
      <c r="KL325" s="17"/>
      <c r="KM325" s="17"/>
      <c r="KN325" s="17"/>
      <c r="KO325" s="17"/>
      <c r="KP325" s="17"/>
      <c r="KQ325" s="17"/>
      <c r="KR325" s="17"/>
      <c r="KS325" s="17"/>
      <c r="KT325" s="17"/>
      <c r="KU325" s="17"/>
      <c r="KV325" s="17"/>
      <c r="KW325" s="17"/>
      <c r="KX325" s="17"/>
      <c r="KY325" s="17"/>
    </row>
    <row r="326" spans="1:311" x14ac:dyDescent="0.25">
      <c r="A326" s="17"/>
      <c r="B326" s="17"/>
      <c r="C326" s="17"/>
      <c r="D326" s="17"/>
      <c r="E326" s="17"/>
      <c r="F326" s="17"/>
      <c r="G326" s="17"/>
      <c r="H326" s="17"/>
      <c r="I326" s="17"/>
      <c r="J326" s="17"/>
      <c r="K326" s="17"/>
      <c r="L326" s="17"/>
      <c r="M326" s="17"/>
      <c r="N326" s="17"/>
      <c r="O326" s="17"/>
      <c r="P326" s="17"/>
      <c r="Q326" s="17"/>
      <c r="R326" s="17"/>
      <c r="S326" s="17"/>
      <c r="T326" s="17"/>
      <c r="U326" s="17"/>
      <c r="V326" s="17"/>
      <c r="W326" s="17"/>
      <c r="X326" s="17"/>
      <c r="Y326" s="17"/>
      <c r="Z326" s="17"/>
      <c r="AA326" s="17"/>
      <c r="AB326" s="17"/>
      <c r="AC326" s="17"/>
      <c r="AD326" s="17"/>
      <c r="AE326" s="17"/>
      <c r="AF326" s="17"/>
      <c r="AG326" s="17"/>
      <c r="AH326" s="17"/>
      <c r="AI326" s="17"/>
      <c r="AJ326" s="17"/>
      <c r="AK326" s="17"/>
      <c r="AL326" s="17"/>
      <c r="AM326" s="17"/>
      <c r="AN326" s="17"/>
      <c r="AO326" s="17"/>
      <c r="AP326" s="17"/>
      <c r="AQ326" s="17"/>
      <c r="AR326" s="17"/>
      <c r="AS326" s="17"/>
      <c r="AT326" s="17"/>
      <c r="AU326" s="17"/>
      <c r="AV326" s="17"/>
      <c r="AW326" s="17"/>
      <c r="AX326" s="17"/>
      <c r="AY326" s="17"/>
      <c r="AZ326" s="17"/>
      <c r="BA326" s="17"/>
      <c r="BB326" s="17"/>
      <c r="BC326" s="17"/>
      <c r="BD326" s="17"/>
      <c r="BE326" s="17"/>
      <c r="BF326" s="17"/>
      <c r="BG326" s="17"/>
      <c r="BH326" s="17"/>
      <c r="BI326" s="17"/>
      <c r="BJ326" s="17"/>
      <c r="BK326" s="17"/>
      <c r="BL326" s="17"/>
      <c r="BM326" s="17"/>
      <c r="BN326" s="17"/>
      <c r="BO326" s="17"/>
      <c r="BP326" s="17"/>
      <c r="BQ326" s="17"/>
      <c r="BR326" s="17"/>
      <c r="BS326" s="17"/>
      <c r="BT326" s="17"/>
      <c r="BU326" s="17"/>
      <c r="BV326" s="17"/>
      <c r="BW326" s="17"/>
      <c r="BX326" s="17"/>
      <c r="BY326" s="17"/>
      <c r="BZ326" s="17"/>
      <c r="CA326" s="17"/>
      <c r="CB326" s="17"/>
      <c r="CC326" s="17"/>
      <c r="CD326" s="17"/>
      <c r="CE326" s="17"/>
      <c r="CF326" s="17"/>
      <c r="CG326" s="17"/>
      <c r="CH326" s="17"/>
      <c r="CI326" s="17"/>
      <c r="CJ326" s="17"/>
      <c r="CK326" s="17"/>
      <c r="CL326" s="17"/>
      <c r="CM326" s="17"/>
      <c r="CN326" s="17"/>
      <c r="CO326" s="17"/>
      <c r="CP326" s="17"/>
      <c r="CQ326" s="17"/>
      <c r="CR326" s="17"/>
      <c r="CS326" s="17"/>
      <c r="CT326" s="17"/>
      <c r="CU326" s="17"/>
      <c r="CV326" s="17"/>
      <c r="CW326" s="17"/>
      <c r="CX326" s="17"/>
      <c r="CY326" s="17"/>
      <c r="CZ326" s="17"/>
      <c r="DA326" s="17"/>
      <c r="DB326" s="17"/>
      <c r="DC326" s="17"/>
      <c r="DD326" s="17"/>
      <c r="DE326" s="17"/>
      <c r="DF326" s="17"/>
      <c r="DG326" s="17"/>
      <c r="DH326" s="17"/>
      <c r="DI326" s="17"/>
      <c r="DJ326" s="17"/>
      <c r="DK326" s="17"/>
      <c r="DL326" s="17"/>
      <c r="DM326" s="17"/>
      <c r="DN326" s="17"/>
      <c r="DO326" s="17"/>
      <c r="DP326" s="17"/>
      <c r="DQ326" s="17"/>
      <c r="DR326" s="17"/>
      <c r="DS326" s="17"/>
      <c r="DT326" s="17"/>
      <c r="DU326" s="17"/>
      <c r="DV326" s="17"/>
      <c r="DW326" s="17"/>
      <c r="DX326" s="17"/>
      <c r="DY326" s="17"/>
      <c r="DZ326" s="17"/>
      <c r="EA326" s="17"/>
      <c r="EB326" s="17"/>
      <c r="EC326" s="17"/>
      <c r="ED326" s="17"/>
      <c r="EE326" s="17"/>
      <c r="EF326" s="17"/>
      <c r="EG326" s="17"/>
      <c r="EH326" s="17"/>
      <c r="EI326" s="17"/>
      <c r="EJ326" s="17"/>
      <c r="EK326" s="17"/>
      <c r="EL326" s="17"/>
      <c r="EM326" s="17"/>
      <c r="EN326" s="17"/>
      <c r="EO326" s="17"/>
      <c r="EP326" s="17"/>
      <c r="EQ326" s="17"/>
      <c r="ER326" s="17"/>
      <c r="ES326" s="17"/>
      <c r="ET326" s="17"/>
      <c r="EU326" s="17"/>
      <c r="EV326" s="17"/>
      <c r="EW326" s="17"/>
      <c r="EX326" s="17"/>
      <c r="EY326" s="17"/>
      <c r="EZ326" s="17"/>
      <c r="FA326" s="17"/>
      <c r="FB326" s="17"/>
      <c r="FC326" s="17"/>
      <c r="FD326" s="17"/>
      <c r="FE326" s="17"/>
      <c r="FF326" s="17"/>
      <c r="FG326" s="17"/>
      <c r="FH326" s="17"/>
      <c r="FI326" s="17"/>
      <c r="FJ326" s="17"/>
      <c r="FK326" s="17"/>
      <c r="FL326" s="17"/>
      <c r="FM326" s="17"/>
      <c r="FN326" s="17"/>
      <c r="FO326" s="17"/>
      <c r="FP326" s="17"/>
      <c r="FQ326" s="17"/>
      <c r="FR326" s="17"/>
      <c r="FS326" s="17"/>
      <c r="FT326" s="17"/>
      <c r="FU326" s="17"/>
      <c r="FV326" s="17"/>
      <c r="FW326" s="17"/>
      <c r="FX326" s="17"/>
      <c r="FY326" s="17"/>
      <c r="FZ326" s="17"/>
      <c r="GA326" s="17"/>
      <c r="GB326" s="17"/>
      <c r="GC326" s="17"/>
      <c r="GD326" s="17"/>
      <c r="GE326" s="17"/>
      <c r="GF326" s="17"/>
      <c r="GG326" s="17"/>
      <c r="GH326" s="17"/>
      <c r="GI326" s="17"/>
      <c r="GJ326" s="17"/>
      <c r="GK326" s="17"/>
      <c r="GL326" s="17"/>
      <c r="GM326" s="17"/>
      <c r="GN326" s="17"/>
      <c r="GO326" s="17"/>
      <c r="GP326" s="17"/>
      <c r="GQ326" s="17"/>
      <c r="GR326" s="17"/>
      <c r="GS326" s="17"/>
      <c r="GT326" s="17"/>
      <c r="GU326" s="17"/>
      <c r="GV326" s="17"/>
      <c r="GW326" s="17"/>
      <c r="GX326" s="17"/>
      <c r="GY326" s="17"/>
      <c r="GZ326" s="17"/>
      <c r="HA326" s="17"/>
      <c r="HB326" s="17"/>
      <c r="HC326" s="17"/>
      <c r="HD326" s="17"/>
      <c r="HE326" s="17"/>
      <c r="HF326" s="17"/>
      <c r="HG326" s="17"/>
      <c r="HH326" s="17"/>
      <c r="HI326" s="17"/>
      <c r="HJ326" s="17"/>
      <c r="HK326" s="17"/>
      <c r="HL326" s="17"/>
      <c r="HM326" s="17"/>
      <c r="HN326" s="17"/>
      <c r="HO326" s="17"/>
      <c r="HP326" s="17"/>
      <c r="HQ326" s="17"/>
      <c r="HR326" s="17"/>
      <c r="HS326" s="17"/>
      <c r="HT326" s="17"/>
      <c r="HU326" s="17"/>
      <c r="HV326" s="17"/>
      <c r="HW326" s="17"/>
      <c r="HX326" s="17"/>
      <c r="HY326" s="17"/>
      <c r="HZ326" s="17"/>
      <c r="IA326" s="17"/>
      <c r="IB326" s="17"/>
      <c r="IC326" s="17"/>
      <c r="ID326" s="17"/>
      <c r="IE326" s="17"/>
      <c r="IF326" s="17"/>
      <c r="IG326" s="17"/>
      <c r="IH326" s="17"/>
      <c r="II326" s="17"/>
      <c r="IJ326" s="17"/>
      <c r="IK326" s="17"/>
      <c r="IL326" s="17"/>
      <c r="IM326" s="17"/>
      <c r="IN326" s="17"/>
      <c r="IO326" s="17"/>
      <c r="IP326" s="17"/>
      <c r="IQ326" s="17"/>
      <c r="IR326" s="17"/>
      <c r="IS326" s="17"/>
      <c r="IT326" s="17"/>
      <c r="IU326" s="17"/>
      <c r="IV326" s="17"/>
      <c r="IW326" s="17"/>
      <c r="IX326" s="17"/>
      <c r="IY326" s="17"/>
      <c r="IZ326" s="17"/>
      <c r="JA326" s="17"/>
      <c r="JB326" s="17"/>
      <c r="JC326" s="17"/>
      <c r="JD326" s="17"/>
      <c r="JE326" s="17"/>
      <c r="JF326" s="17"/>
      <c r="JG326" s="17"/>
      <c r="JH326" s="17"/>
      <c r="JI326" s="17"/>
      <c r="JJ326" s="17"/>
      <c r="JK326" s="17"/>
      <c r="JL326" s="17"/>
      <c r="JM326" s="17"/>
      <c r="JN326" s="17"/>
      <c r="JO326" s="17"/>
      <c r="JP326" s="17"/>
      <c r="JQ326" s="17"/>
      <c r="JR326" s="17"/>
      <c r="JS326" s="17"/>
      <c r="JT326" s="17"/>
      <c r="JU326" s="17"/>
      <c r="JV326" s="17"/>
      <c r="JW326" s="17"/>
      <c r="JX326" s="17"/>
      <c r="JY326" s="17"/>
      <c r="JZ326" s="17"/>
      <c r="KA326" s="17"/>
      <c r="KB326" s="17"/>
      <c r="KC326" s="17"/>
      <c r="KD326" s="17"/>
      <c r="KE326" s="17"/>
      <c r="KF326" s="17"/>
      <c r="KG326" s="17"/>
      <c r="KH326" s="17"/>
      <c r="KI326" s="17"/>
      <c r="KJ326" s="17"/>
      <c r="KK326" s="17"/>
      <c r="KL326" s="17"/>
      <c r="KM326" s="17"/>
      <c r="KN326" s="17"/>
      <c r="KO326" s="17"/>
      <c r="KP326" s="17"/>
      <c r="KQ326" s="17"/>
      <c r="KR326" s="17"/>
      <c r="KS326" s="17"/>
      <c r="KT326" s="17"/>
      <c r="KU326" s="17"/>
      <c r="KV326" s="17"/>
      <c r="KW326" s="17"/>
      <c r="KX326" s="17"/>
      <c r="KY326" s="17"/>
    </row>
    <row r="327" spans="1:311" x14ac:dyDescent="0.25">
      <c r="A327" s="17"/>
      <c r="B327" s="17"/>
      <c r="C327" s="17"/>
      <c r="D327" s="17"/>
      <c r="E327" s="17"/>
      <c r="F327" s="17"/>
      <c r="G327" s="17"/>
      <c r="H327" s="17"/>
      <c r="I327" s="17"/>
      <c r="J327" s="17"/>
      <c r="K327" s="17"/>
      <c r="L327" s="17"/>
      <c r="M327" s="17"/>
      <c r="N327" s="17"/>
      <c r="O327" s="17"/>
      <c r="P327" s="17"/>
      <c r="Q327" s="17"/>
      <c r="R327" s="17"/>
      <c r="S327" s="17"/>
      <c r="T327" s="17"/>
      <c r="U327" s="17"/>
      <c r="V327" s="17"/>
      <c r="W327" s="17"/>
      <c r="X327" s="17"/>
      <c r="Y327" s="17"/>
      <c r="Z327" s="17"/>
      <c r="AA327" s="17"/>
      <c r="AB327" s="17"/>
      <c r="AC327" s="17"/>
      <c r="AD327" s="17"/>
      <c r="AE327" s="17"/>
      <c r="AF327" s="17"/>
      <c r="AG327" s="17"/>
      <c r="AH327" s="17"/>
      <c r="AI327" s="17"/>
      <c r="AJ327" s="17"/>
      <c r="AK327" s="17"/>
      <c r="AL327" s="17"/>
      <c r="AM327" s="17"/>
      <c r="AN327" s="17"/>
      <c r="AO327" s="17"/>
      <c r="AP327" s="17"/>
      <c r="AQ327" s="17"/>
      <c r="AR327" s="17"/>
      <c r="AS327" s="17"/>
      <c r="AT327" s="17"/>
      <c r="AU327" s="17"/>
      <c r="AV327" s="17"/>
      <c r="AW327" s="17"/>
      <c r="AX327" s="17"/>
      <c r="AY327" s="17"/>
      <c r="AZ327" s="17"/>
      <c r="BA327" s="17"/>
      <c r="BB327" s="17"/>
      <c r="BC327" s="17"/>
      <c r="BD327" s="17"/>
      <c r="BE327" s="17"/>
      <c r="BF327" s="17"/>
      <c r="BG327" s="17"/>
      <c r="BH327" s="17"/>
      <c r="BI327" s="17"/>
      <c r="BJ327" s="17"/>
      <c r="BK327" s="17"/>
      <c r="BL327" s="17"/>
      <c r="BM327" s="17"/>
      <c r="BN327" s="17"/>
      <c r="BO327" s="17"/>
      <c r="BP327" s="17"/>
      <c r="BQ327" s="17"/>
      <c r="BR327" s="17"/>
      <c r="BS327" s="17"/>
      <c r="BT327" s="17"/>
      <c r="BU327" s="17"/>
      <c r="BV327" s="17"/>
      <c r="BW327" s="17"/>
      <c r="BX327" s="17"/>
      <c r="BY327" s="17"/>
      <c r="BZ327" s="17"/>
      <c r="CA327" s="17"/>
      <c r="CB327" s="17"/>
      <c r="CC327" s="17"/>
      <c r="CD327" s="17"/>
      <c r="CE327" s="17"/>
      <c r="CF327" s="17"/>
      <c r="CG327" s="17"/>
      <c r="CH327" s="17"/>
      <c r="CI327" s="17"/>
      <c r="CJ327" s="17"/>
      <c r="CK327" s="17"/>
      <c r="CL327" s="17"/>
      <c r="CM327" s="17"/>
      <c r="CN327" s="17"/>
      <c r="CO327" s="17"/>
      <c r="CP327" s="17"/>
      <c r="CQ327" s="17"/>
      <c r="CR327" s="17"/>
      <c r="CS327" s="17"/>
      <c r="CT327" s="17"/>
      <c r="CU327" s="17"/>
      <c r="CV327" s="17"/>
      <c r="CW327" s="17"/>
      <c r="CX327" s="17"/>
      <c r="CY327" s="17"/>
      <c r="CZ327" s="17"/>
      <c r="DA327" s="17"/>
      <c r="DB327" s="17"/>
      <c r="DC327" s="17"/>
      <c r="DD327" s="17"/>
      <c r="DE327" s="17"/>
      <c r="DF327" s="17"/>
      <c r="DG327" s="17"/>
      <c r="DH327" s="17"/>
      <c r="DI327" s="17"/>
      <c r="DJ327" s="17"/>
      <c r="DK327" s="17"/>
      <c r="DL327" s="17"/>
      <c r="DM327" s="17"/>
      <c r="DN327" s="17"/>
      <c r="DO327" s="17"/>
      <c r="DP327" s="17"/>
      <c r="DQ327" s="17"/>
      <c r="DR327" s="17"/>
      <c r="DS327" s="17"/>
      <c r="DT327" s="17"/>
      <c r="DU327" s="17"/>
      <c r="DV327" s="17"/>
      <c r="DW327" s="17"/>
      <c r="DX327" s="17"/>
      <c r="DY327" s="17"/>
      <c r="DZ327" s="17"/>
      <c r="EA327" s="17"/>
      <c r="EB327" s="17"/>
      <c r="EC327" s="17"/>
      <c r="ED327" s="17"/>
      <c r="EE327" s="17"/>
      <c r="EF327" s="17"/>
      <c r="EG327" s="17"/>
      <c r="EH327" s="17"/>
      <c r="EI327" s="17"/>
      <c r="EJ327" s="17"/>
      <c r="EK327" s="17"/>
      <c r="EL327" s="17"/>
      <c r="EM327" s="17"/>
      <c r="EN327" s="17"/>
      <c r="EO327" s="17"/>
      <c r="EP327" s="17"/>
      <c r="EQ327" s="17"/>
      <c r="ER327" s="17"/>
      <c r="ES327" s="17"/>
      <c r="ET327" s="17"/>
      <c r="EU327" s="17"/>
      <c r="EV327" s="17"/>
      <c r="EW327" s="17"/>
      <c r="EX327" s="17"/>
      <c r="EY327" s="17"/>
      <c r="EZ327" s="17"/>
      <c r="FA327" s="17"/>
      <c r="FB327" s="17"/>
      <c r="FC327" s="17"/>
      <c r="FD327" s="17"/>
      <c r="FE327" s="17"/>
      <c r="FF327" s="17"/>
      <c r="FG327" s="17"/>
      <c r="FH327" s="17"/>
      <c r="FI327" s="17"/>
      <c r="FJ327" s="17"/>
      <c r="FK327" s="17"/>
      <c r="FL327" s="17"/>
      <c r="FM327" s="17"/>
      <c r="FN327" s="17"/>
      <c r="FO327" s="17"/>
      <c r="FP327" s="17"/>
      <c r="FQ327" s="17"/>
      <c r="FR327" s="17"/>
      <c r="FS327" s="17"/>
      <c r="FT327" s="17"/>
      <c r="FU327" s="17"/>
      <c r="FV327" s="17"/>
      <c r="FW327" s="17"/>
      <c r="FX327" s="17"/>
      <c r="FY327" s="17"/>
      <c r="FZ327" s="17"/>
      <c r="GA327" s="17"/>
      <c r="GB327" s="17"/>
      <c r="GC327" s="17"/>
      <c r="GD327" s="17"/>
      <c r="GE327" s="17"/>
      <c r="GF327" s="17"/>
      <c r="GG327" s="17"/>
      <c r="GH327" s="17"/>
      <c r="GI327" s="17"/>
      <c r="GJ327" s="17"/>
      <c r="GK327" s="17"/>
      <c r="GL327" s="17"/>
      <c r="GM327" s="17"/>
      <c r="GN327" s="17"/>
      <c r="GO327" s="17"/>
      <c r="GP327" s="17"/>
      <c r="GQ327" s="17"/>
      <c r="GR327" s="17"/>
      <c r="GS327" s="17"/>
      <c r="GT327" s="17"/>
      <c r="GU327" s="17"/>
      <c r="GV327" s="17"/>
      <c r="GW327" s="17"/>
      <c r="GX327" s="17"/>
      <c r="GY327" s="17"/>
      <c r="GZ327" s="17"/>
      <c r="HA327" s="17"/>
      <c r="HB327" s="17"/>
      <c r="HC327" s="17"/>
      <c r="HD327" s="17"/>
      <c r="HE327" s="17"/>
      <c r="HF327" s="17"/>
      <c r="HG327" s="17"/>
      <c r="HH327" s="17"/>
      <c r="HI327" s="17"/>
      <c r="HJ327" s="17"/>
      <c r="HK327" s="17"/>
      <c r="HL327" s="17"/>
      <c r="HM327" s="17"/>
      <c r="HN327" s="17"/>
      <c r="HO327" s="17"/>
      <c r="HP327" s="17"/>
      <c r="HQ327" s="17"/>
      <c r="HR327" s="17"/>
      <c r="HS327" s="17"/>
      <c r="HT327" s="17"/>
      <c r="HU327" s="17"/>
      <c r="HV327" s="17"/>
      <c r="HW327" s="17"/>
      <c r="HX327" s="17"/>
      <c r="HY327" s="17"/>
      <c r="HZ327" s="17"/>
      <c r="IA327" s="17"/>
      <c r="IB327" s="17"/>
      <c r="IC327" s="17"/>
      <c r="ID327" s="17"/>
      <c r="IE327" s="17"/>
      <c r="IF327" s="17"/>
      <c r="IG327" s="17"/>
      <c r="IH327" s="17"/>
      <c r="II327" s="17"/>
      <c r="IJ327" s="17"/>
      <c r="IK327" s="17"/>
      <c r="IL327" s="17"/>
      <c r="IM327" s="17"/>
      <c r="IN327" s="17"/>
      <c r="IO327" s="17"/>
      <c r="IP327" s="17"/>
      <c r="IQ327" s="17"/>
      <c r="IR327" s="17"/>
      <c r="IS327" s="17"/>
      <c r="IT327" s="17"/>
      <c r="IU327" s="17"/>
      <c r="IV327" s="17"/>
      <c r="IW327" s="17"/>
      <c r="IX327" s="17"/>
      <c r="IY327" s="17"/>
      <c r="IZ327" s="17"/>
      <c r="JA327" s="17"/>
      <c r="JB327" s="17"/>
      <c r="JC327" s="17"/>
      <c r="JD327" s="17"/>
      <c r="JE327" s="17"/>
      <c r="JF327" s="17"/>
      <c r="JG327" s="17"/>
      <c r="JH327" s="17"/>
      <c r="JI327" s="17"/>
      <c r="JJ327" s="17"/>
      <c r="JK327" s="17"/>
      <c r="JL327" s="17"/>
      <c r="JM327" s="17"/>
      <c r="JN327" s="17"/>
      <c r="JO327" s="17"/>
      <c r="JP327" s="17"/>
      <c r="JQ327" s="17"/>
      <c r="JR327" s="17"/>
      <c r="JS327" s="17"/>
      <c r="JT327" s="17"/>
      <c r="JU327" s="17"/>
      <c r="JV327" s="17"/>
      <c r="JW327" s="17"/>
      <c r="JX327" s="17"/>
      <c r="JY327" s="17"/>
      <c r="JZ327" s="17"/>
      <c r="KA327" s="17"/>
      <c r="KB327" s="17"/>
      <c r="KC327" s="17"/>
      <c r="KD327" s="17"/>
      <c r="KE327" s="17"/>
      <c r="KF327" s="17"/>
      <c r="KG327" s="17"/>
      <c r="KH327" s="17"/>
      <c r="KI327" s="17"/>
      <c r="KJ327" s="17"/>
      <c r="KK327" s="17"/>
      <c r="KL327" s="17"/>
      <c r="KM327" s="17"/>
      <c r="KN327" s="17"/>
      <c r="KO327" s="17"/>
      <c r="KP327" s="17"/>
      <c r="KQ327" s="17"/>
      <c r="KR327" s="17"/>
      <c r="KS327" s="17"/>
      <c r="KT327" s="17"/>
      <c r="KU327" s="17"/>
      <c r="KV327" s="17"/>
      <c r="KW327" s="17"/>
      <c r="KX327" s="17"/>
      <c r="KY327" s="17"/>
    </row>
    <row r="328" spans="1:311" x14ac:dyDescent="0.25">
      <c r="A328" s="17"/>
      <c r="B328" s="17"/>
      <c r="C328" s="17"/>
      <c r="D328" s="17"/>
      <c r="E328" s="17"/>
      <c r="F328" s="17"/>
      <c r="G328" s="17"/>
      <c r="H328" s="17"/>
      <c r="I328" s="17"/>
      <c r="J328" s="17"/>
      <c r="K328" s="17"/>
      <c r="L328" s="17"/>
      <c r="M328" s="17"/>
      <c r="N328" s="17"/>
      <c r="O328" s="17"/>
      <c r="P328" s="17"/>
      <c r="Q328" s="17"/>
      <c r="R328" s="17"/>
      <c r="S328" s="17"/>
      <c r="T328" s="17"/>
      <c r="U328" s="17"/>
      <c r="V328" s="17"/>
      <c r="W328" s="17"/>
      <c r="X328" s="17"/>
      <c r="Y328" s="17"/>
      <c r="Z328" s="17"/>
      <c r="AA328" s="17"/>
      <c r="AB328" s="17"/>
      <c r="AC328" s="17"/>
      <c r="AD328" s="17"/>
      <c r="AE328" s="17"/>
      <c r="AF328" s="17"/>
      <c r="AG328" s="17"/>
      <c r="AH328" s="17"/>
      <c r="AI328" s="17"/>
      <c r="AJ328" s="17"/>
      <c r="AK328" s="17"/>
      <c r="AL328" s="17"/>
      <c r="AM328" s="17"/>
      <c r="AN328" s="17"/>
      <c r="AO328" s="17"/>
      <c r="AP328" s="17"/>
      <c r="AQ328" s="17"/>
      <c r="AR328" s="17"/>
      <c r="AS328" s="17"/>
      <c r="AT328" s="17"/>
      <c r="AU328" s="17"/>
      <c r="AV328" s="17"/>
      <c r="AW328" s="17"/>
      <c r="AX328" s="17"/>
      <c r="AY328" s="17"/>
      <c r="AZ328" s="17"/>
      <c r="BA328" s="17"/>
      <c r="BB328" s="17"/>
      <c r="BC328" s="17"/>
      <c r="BD328" s="17"/>
      <c r="BE328" s="17"/>
      <c r="BF328" s="17"/>
      <c r="BG328" s="17"/>
      <c r="BH328" s="17"/>
      <c r="BI328" s="17"/>
      <c r="BJ328" s="17"/>
      <c r="BK328" s="17"/>
      <c r="BL328" s="17"/>
      <c r="BM328" s="17"/>
      <c r="BN328" s="17"/>
      <c r="BO328" s="17"/>
      <c r="BP328" s="17"/>
      <c r="BQ328" s="17"/>
      <c r="BR328" s="17"/>
      <c r="BS328" s="17"/>
      <c r="BT328" s="17"/>
      <c r="BU328" s="17"/>
      <c r="BV328" s="17"/>
      <c r="BW328" s="17"/>
      <c r="BX328" s="17"/>
      <c r="BY328" s="17"/>
      <c r="BZ328" s="17"/>
      <c r="CA328" s="17"/>
      <c r="CB328" s="17"/>
      <c r="CC328" s="17"/>
      <c r="CD328" s="17"/>
      <c r="CE328" s="17"/>
      <c r="CF328" s="17"/>
      <c r="CG328" s="17"/>
      <c r="CH328" s="17"/>
      <c r="CI328" s="17"/>
      <c r="CJ328" s="17"/>
      <c r="CK328" s="17"/>
      <c r="CL328" s="17"/>
      <c r="CM328" s="17"/>
      <c r="CN328" s="17"/>
      <c r="CO328" s="17"/>
      <c r="CP328" s="17"/>
      <c r="CQ328" s="17"/>
      <c r="CR328" s="17"/>
      <c r="CS328" s="17"/>
      <c r="CT328" s="17"/>
      <c r="CU328" s="17"/>
      <c r="CV328" s="17"/>
      <c r="CW328" s="17"/>
      <c r="CX328" s="17"/>
      <c r="CY328" s="17"/>
      <c r="CZ328" s="17"/>
      <c r="DA328" s="17"/>
      <c r="DB328" s="17"/>
      <c r="DC328" s="17"/>
      <c r="DD328" s="17"/>
      <c r="DE328" s="17"/>
      <c r="DF328" s="17"/>
      <c r="DG328" s="17"/>
      <c r="DH328" s="17"/>
      <c r="DI328" s="17"/>
      <c r="DJ328" s="17"/>
      <c r="DK328" s="17"/>
      <c r="DL328" s="17"/>
      <c r="DM328" s="17"/>
      <c r="DN328" s="17"/>
      <c r="DO328" s="17"/>
      <c r="DP328" s="17"/>
      <c r="DQ328" s="17"/>
      <c r="DR328" s="17"/>
      <c r="DS328" s="17"/>
      <c r="DT328" s="17"/>
      <c r="DU328" s="17"/>
      <c r="DV328" s="17"/>
      <c r="DW328" s="17"/>
      <c r="DX328" s="17"/>
      <c r="DY328" s="17"/>
      <c r="DZ328" s="17"/>
      <c r="EA328" s="17"/>
      <c r="EB328" s="17"/>
      <c r="EC328" s="17"/>
      <c r="ED328" s="17"/>
      <c r="EE328" s="17"/>
      <c r="EF328" s="17"/>
      <c r="EG328" s="17"/>
      <c r="EH328" s="17"/>
      <c r="EI328" s="17"/>
      <c r="EJ328" s="17"/>
      <c r="EK328" s="17"/>
      <c r="EL328" s="17"/>
      <c r="EM328" s="17"/>
      <c r="EN328" s="17"/>
      <c r="EO328" s="17"/>
      <c r="EP328" s="17"/>
      <c r="EQ328" s="17"/>
      <c r="ER328" s="17"/>
      <c r="ES328" s="17"/>
      <c r="ET328" s="17"/>
      <c r="EU328" s="17"/>
      <c r="EV328" s="17"/>
      <c r="EW328" s="17"/>
      <c r="EX328" s="17"/>
      <c r="EY328" s="17"/>
      <c r="EZ328" s="17"/>
      <c r="FA328" s="17"/>
      <c r="FB328" s="17"/>
      <c r="FC328" s="17"/>
      <c r="FD328" s="17"/>
      <c r="FE328" s="17"/>
      <c r="FF328" s="17"/>
      <c r="FG328" s="17"/>
      <c r="FH328" s="17"/>
      <c r="FI328" s="17"/>
      <c r="FJ328" s="17"/>
      <c r="FK328" s="17"/>
      <c r="FL328" s="17"/>
      <c r="FM328" s="17"/>
      <c r="FN328" s="17"/>
      <c r="FO328" s="17"/>
      <c r="FP328" s="17"/>
      <c r="FQ328" s="17"/>
      <c r="FR328" s="17"/>
      <c r="FS328" s="17"/>
      <c r="FT328" s="17"/>
      <c r="FU328" s="17"/>
      <c r="FV328" s="17"/>
      <c r="FW328" s="17"/>
      <c r="FX328" s="17"/>
      <c r="FY328" s="17"/>
      <c r="FZ328" s="17"/>
      <c r="GA328" s="17"/>
      <c r="GB328" s="17"/>
      <c r="GC328" s="17"/>
      <c r="GD328" s="17"/>
      <c r="GE328" s="17"/>
      <c r="GF328" s="17"/>
      <c r="GG328" s="17"/>
      <c r="GH328" s="17"/>
      <c r="GI328" s="17"/>
      <c r="GJ328" s="17"/>
      <c r="GK328" s="17"/>
      <c r="GL328" s="17"/>
      <c r="GM328" s="17"/>
      <c r="GN328" s="17"/>
      <c r="GO328" s="17"/>
      <c r="GP328" s="17"/>
      <c r="GQ328" s="17"/>
      <c r="GR328" s="17"/>
      <c r="GS328" s="17"/>
      <c r="GT328" s="17"/>
      <c r="GU328" s="17"/>
      <c r="GV328" s="17"/>
      <c r="GW328" s="17"/>
      <c r="GX328" s="17"/>
      <c r="GY328" s="17"/>
      <c r="GZ328" s="17"/>
      <c r="HA328" s="17"/>
      <c r="HB328" s="17"/>
      <c r="HC328" s="17"/>
      <c r="HD328" s="17"/>
      <c r="HE328" s="17"/>
      <c r="HF328" s="17"/>
      <c r="HG328" s="17"/>
      <c r="HH328" s="17"/>
      <c r="HI328" s="17"/>
      <c r="HJ328" s="17"/>
      <c r="HK328" s="17"/>
      <c r="HL328" s="17"/>
      <c r="HM328" s="17"/>
      <c r="HN328" s="17"/>
      <c r="HO328" s="17"/>
      <c r="HP328" s="17"/>
      <c r="HQ328" s="17"/>
      <c r="HR328" s="17"/>
      <c r="HS328" s="17"/>
      <c r="HT328" s="17"/>
      <c r="HU328" s="17"/>
      <c r="HV328" s="17"/>
      <c r="HW328" s="17"/>
      <c r="HX328" s="17"/>
      <c r="HY328" s="17"/>
      <c r="HZ328" s="17"/>
      <c r="IA328" s="17"/>
      <c r="IB328" s="17"/>
      <c r="IC328" s="17"/>
      <c r="ID328" s="17"/>
      <c r="IE328" s="17"/>
      <c r="IF328" s="17"/>
      <c r="IG328" s="17"/>
      <c r="IH328" s="17"/>
      <c r="II328" s="17"/>
      <c r="IJ328" s="17"/>
      <c r="IK328" s="17"/>
      <c r="IL328" s="17"/>
      <c r="IM328" s="17"/>
      <c r="IN328" s="17"/>
      <c r="IO328" s="17"/>
      <c r="IP328" s="17"/>
      <c r="IQ328" s="17"/>
      <c r="IR328" s="17"/>
      <c r="IS328" s="17"/>
      <c r="IT328" s="17"/>
      <c r="IU328" s="17"/>
      <c r="IV328" s="17"/>
      <c r="IW328" s="17"/>
      <c r="IX328" s="17"/>
      <c r="IY328" s="17"/>
      <c r="IZ328" s="17"/>
      <c r="JA328" s="17"/>
      <c r="JB328" s="17"/>
      <c r="JC328" s="17"/>
      <c r="JD328" s="17"/>
      <c r="JE328" s="17"/>
      <c r="JF328" s="17"/>
      <c r="JG328" s="17"/>
      <c r="JH328" s="17"/>
      <c r="JI328" s="17"/>
      <c r="JJ328" s="17"/>
      <c r="JK328" s="17"/>
      <c r="JL328" s="17"/>
      <c r="JM328" s="17"/>
      <c r="JN328" s="17"/>
      <c r="JO328" s="17"/>
      <c r="JP328" s="17"/>
      <c r="JQ328" s="17"/>
      <c r="JR328" s="17"/>
      <c r="JS328" s="17"/>
      <c r="JT328" s="17"/>
      <c r="JU328" s="17"/>
      <c r="JV328" s="17"/>
      <c r="JW328" s="17"/>
      <c r="JX328" s="17"/>
      <c r="JY328" s="17"/>
      <c r="JZ328" s="17"/>
      <c r="KA328" s="17"/>
      <c r="KB328" s="17"/>
      <c r="KC328" s="17"/>
      <c r="KD328" s="17"/>
      <c r="KE328" s="17"/>
      <c r="KF328" s="17"/>
      <c r="KG328" s="17"/>
      <c r="KH328" s="17"/>
      <c r="KI328" s="17"/>
      <c r="KJ328" s="17"/>
      <c r="KK328" s="17"/>
      <c r="KL328" s="17"/>
      <c r="KM328" s="17"/>
      <c r="KN328" s="17"/>
      <c r="KO328" s="17"/>
      <c r="KP328" s="17"/>
      <c r="KQ328" s="17"/>
      <c r="KR328" s="17"/>
      <c r="KS328" s="17"/>
      <c r="KT328" s="17"/>
      <c r="KU328" s="17"/>
      <c r="KV328" s="17"/>
      <c r="KW328" s="17"/>
      <c r="KX328" s="17"/>
      <c r="KY328" s="17"/>
    </row>
    <row r="329" spans="1:311" x14ac:dyDescent="0.25">
      <c r="A329" s="17"/>
      <c r="B329" s="17"/>
      <c r="C329" s="17"/>
      <c r="D329" s="17"/>
      <c r="E329" s="17"/>
      <c r="F329" s="17"/>
      <c r="G329" s="17"/>
      <c r="H329" s="17"/>
      <c r="I329" s="17"/>
      <c r="J329" s="17"/>
      <c r="K329" s="17"/>
      <c r="L329" s="17"/>
      <c r="M329" s="17"/>
      <c r="N329" s="17"/>
      <c r="O329" s="17"/>
      <c r="P329" s="17"/>
      <c r="Q329" s="17"/>
      <c r="R329" s="17"/>
      <c r="S329" s="17"/>
      <c r="T329" s="17"/>
      <c r="U329" s="17"/>
      <c r="V329" s="17"/>
      <c r="W329" s="17"/>
      <c r="X329" s="17"/>
      <c r="Y329" s="17"/>
      <c r="Z329" s="17"/>
      <c r="AA329" s="17"/>
      <c r="AB329" s="17"/>
      <c r="AC329" s="17"/>
      <c r="AD329" s="17"/>
      <c r="AE329" s="17"/>
      <c r="AF329" s="17"/>
      <c r="AG329" s="17"/>
      <c r="AH329" s="17"/>
      <c r="AI329" s="17"/>
      <c r="AJ329" s="17"/>
      <c r="AK329" s="17"/>
      <c r="AL329" s="17"/>
      <c r="AM329" s="17"/>
      <c r="AN329" s="17"/>
      <c r="AO329" s="17"/>
      <c r="AP329" s="17"/>
      <c r="AQ329" s="17"/>
      <c r="AR329" s="17"/>
      <c r="AS329" s="17"/>
      <c r="AT329" s="17"/>
      <c r="AU329" s="17"/>
      <c r="AV329" s="17"/>
      <c r="AW329" s="17"/>
      <c r="AX329" s="17"/>
      <c r="AY329" s="17"/>
      <c r="AZ329" s="17"/>
      <c r="BA329" s="17"/>
      <c r="BB329" s="17"/>
      <c r="BC329" s="17"/>
      <c r="BD329" s="17"/>
      <c r="BE329" s="17"/>
      <c r="BF329" s="17"/>
      <c r="BG329" s="17"/>
      <c r="BH329" s="17"/>
      <c r="BI329" s="17"/>
      <c r="BJ329" s="17"/>
      <c r="BK329" s="17"/>
      <c r="BL329" s="17"/>
      <c r="BM329" s="17"/>
      <c r="BN329" s="17"/>
      <c r="BO329" s="17"/>
      <c r="BP329" s="17"/>
      <c r="BQ329" s="17"/>
      <c r="BR329" s="17"/>
      <c r="BS329" s="17"/>
      <c r="BT329" s="17"/>
      <c r="BU329" s="17"/>
      <c r="BV329" s="17"/>
      <c r="BW329" s="17"/>
      <c r="BX329" s="17"/>
      <c r="BY329" s="17"/>
      <c r="BZ329" s="17"/>
      <c r="CA329" s="17"/>
      <c r="CB329" s="17"/>
      <c r="CC329" s="17"/>
      <c r="CD329" s="17"/>
      <c r="CE329" s="17"/>
      <c r="CF329" s="17"/>
      <c r="CG329" s="17"/>
      <c r="CH329" s="17"/>
      <c r="CI329" s="17"/>
      <c r="CJ329" s="17"/>
      <c r="CK329" s="17"/>
      <c r="CL329" s="17"/>
      <c r="CM329" s="17"/>
      <c r="CN329" s="17"/>
      <c r="CO329" s="17"/>
      <c r="CP329" s="17"/>
      <c r="CQ329" s="17"/>
      <c r="CR329" s="17"/>
      <c r="CS329" s="17"/>
      <c r="CT329" s="17"/>
      <c r="CU329" s="17"/>
      <c r="CV329" s="17"/>
      <c r="CW329" s="17"/>
      <c r="CX329" s="17"/>
      <c r="CY329" s="17"/>
      <c r="CZ329" s="17"/>
      <c r="DA329" s="17"/>
      <c r="DB329" s="17"/>
      <c r="DC329" s="17"/>
      <c r="DD329" s="17"/>
      <c r="DE329" s="17"/>
      <c r="DF329" s="17"/>
      <c r="DG329" s="17"/>
      <c r="DH329" s="17"/>
      <c r="DI329" s="17"/>
      <c r="DJ329" s="17"/>
      <c r="DK329" s="17"/>
      <c r="DL329" s="17"/>
      <c r="DM329" s="17"/>
      <c r="DN329" s="17"/>
      <c r="DO329" s="17"/>
      <c r="DP329" s="17"/>
      <c r="DQ329" s="17"/>
      <c r="DR329" s="17"/>
      <c r="DS329" s="17"/>
      <c r="DT329" s="17"/>
      <c r="DU329" s="17"/>
      <c r="DV329" s="17"/>
      <c r="DW329" s="17"/>
      <c r="DX329" s="17"/>
      <c r="DY329" s="17"/>
      <c r="DZ329" s="17"/>
      <c r="EA329" s="17"/>
      <c r="EB329" s="17"/>
      <c r="EC329" s="17"/>
      <c r="ED329" s="17"/>
      <c r="EE329" s="17"/>
      <c r="EF329" s="17"/>
      <c r="EG329" s="17"/>
      <c r="EH329" s="17"/>
      <c r="EI329" s="17"/>
      <c r="EJ329" s="17"/>
      <c r="EK329" s="17"/>
      <c r="EL329" s="17"/>
      <c r="EM329" s="17"/>
      <c r="EN329" s="17"/>
      <c r="EO329" s="17"/>
      <c r="EP329" s="17"/>
      <c r="EQ329" s="17"/>
      <c r="ER329" s="17"/>
      <c r="ES329" s="17"/>
      <c r="ET329" s="17"/>
      <c r="EU329" s="17"/>
      <c r="EV329" s="17"/>
      <c r="EW329" s="17"/>
      <c r="EX329" s="17"/>
      <c r="EY329" s="17"/>
      <c r="EZ329" s="17"/>
      <c r="FA329" s="17"/>
      <c r="FB329" s="17"/>
      <c r="FC329" s="17"/>
      <c r="FD329" s="17"/>
      <c r="FE329" s="17"/>
      <c r="FF329" s="17"/>
      <c r="FG329" s="17"/>
      <c r="FH329" s="17"/>
      <c r="FI329" s="17"/>
      <c r="FJ329" s="17"/>
      <c r="FK329" s="17"/>
      <c r="FL329" s="17"/>
      <c r="FM329" s="17"/>
      <c r="FN329" s="17"/>
      <c r="FO329" s="17"/>
      <c r="FP329" s="17"/>
      <c r="FQ329" s="17"/>
      <c r="FR329" s="17"/>
      <c r="FS329" s="17"/>
      <c r="FT329" s="17"/>
      <c r="FU329" s="17"/>
      <c r="FV329" s="17"/>
      <c r="FW329" s="17"/>
      <c r="FX329" s="17"/>
      <c r="FY329" s="17"/>
      <c r="FZ329" s="17"/>
      <c r="GA329" s="17"/>
      <c r="GB329" s="17"/>
      <c r="GC329" s="17"/>
      <c r="GD329" s="17"/>
      <c r="GE329" s="17"/>
      <c r="GF329" s="17"/>
      <c r="GG329" s="17"/>
      <c r="GH329" s="17"/>
      <c r="GI329" s="17"/>
      <c r="GJ329" s="17"/>
      <c r="GK329" s="17"/>
      <c r="GL329" s="17"/>
      <c r="GM329" s="17"/>
      <c r="GN329" s="17"/>
      <c r="GO329" s="17"/>
      <c r="GP329" s="17"/>
      <c r="GQ329" s="17"/>
      <c r="GR329" s="17"/>
      <c r="GS329" s="17"/>
      <c r="GT329" s="17"/>
      <c r="GU329" s="17"/>
      <c r="GV329" s="17"/>
      <c r="GW329" s="17"/>
      <c r="GX329" s="17"/>
      <c r="GY329" s="17"/>
      <c r="GZ329" s="17"/>
      <c r="HA329" s="17"/>
      <c r="HB329" s="17"/>
      <c r="HC329" s="17"/>
      <c r="HD329" s="17"/>
      <c r="HE329" s="17"/>
      <c r="HF329" s="17"/>
      <c r="HG329" s="17"/>
      <c r="HH329" s="17"/>
      <c r="HI329" s="17"/>
      <c r="HJ329" s="17"/>
      <c r="HK329" s="17"/>
      <c r="HL329" s="17"/>
      <c r="HM329" s="17"/>
      <c r="HN329" s="17"/>
      <c r="HO329" s="17"/>
      <c r="HP329" s="17"/>
      <c r="HQ329" s="17"/>
      <c r="HR329" s="17"/>
      <c r="HS329" s="17"/>
      <c r="HT329" s="17"/>
      <c r="HU329" s="17"/>
      <c r="HV329" s="17"/>
      <c r="HW329" s="17"/>
      <c r="HX329" s="17"/>
      <c r="HY329" s="17"/>
      <c r="HZ329" s="17"/>
      <c r="IA329" s="17"/>
      <c r="IB329" s="17"/>
      <c r="IC329" s="17"/>
      <c r="ID329" s="17"/>
      <c r="IE329" s="17"/>
      <c r="IF329" s="17"/>
      <c r="IG329" s="17"/>
      <c r="IH329" s="17"/>
      <c r="II329" s="17"/>
      <c r="IJ329" s="17"/>
      <c r="IK329" s="17"/>
      <c r="IL329" s="17"/>
      <c r="IM329" s="17"/>
      <c r="IN329" s="17"/>
      <c r="IO329" s="17"/>
      <c r="IP329" s="17"/>
      <c r="IQ329" s="17"/>
      <c r="IR329" s="17"/>
      <c r="IS329" s="17"/>
      <c r="IT329" s="17"/>
      <c r="IU329" s="17"/>
      <c r="IV329" s="17"/>
      <c r="IW329" s="17"/>
      <c r="IX329" s="17"/>
      <c r="IY329" s="17"/>
      <c r="IZ329" s="17"/>
      <c r="JA329" s="17"/>
      <c r="JB329" s="17"/>
      <c r="JC329" s="17"/>
      <c r="JD329" s="17"/>
      <c r="JE329" s="17"/>
      <c r="JF329" s="17"/>
      <c r="JG329" s="17"/>
      <c r="JH329" s="17"/>
      <c r="JI329" s="17"/>
      <c r="JJ329" s="17"/>
      <c r="JK329" s="17"/>
      <c r="JL329" s="17"/>
      <c r="JM329" s="17"/>
      <c r="JN329" s="17"/>
      <c r="JO329" s="17"/>
      <c r="JP329" s="17"/>
      <c r="JQ329" s="17"/>
      <c r="JR329" s="17"/>
      <c r="JS329" s="17"/>
      <c r="JT329" s="17"/>
      <c r="JU329" s="17"/>
      <c r="JV329" s="17"/>
      <c r="JW329" s="17"/>
      <c r="JX329" s="17"/>
      <c r="JY329" s="17"/>
      <c r="JZ329" s="17"/>
      <c r="KA329" s="17"/>
      <c r="KB329" s="17"/>
      <c r="KC329" s="17"/>
      <c r="KD329" s="17"/>
      <c r="KE329" s="17"/>
      <c r="KF329" s="17"/>
      <c r="KG329" s="17"/>
      <c r="KH329" s="17"/>
      <c r="KI329" s="17"/>
      <c r="KJ329" s="17"/>
      <c r="KK329" s="17"/>
      <c r="KL329" s="17"/>
      <c r="KM329" s="17"/>
      <c r="KN329" s="17"/>
      <c r="KO329" s="17"/>
      <c r="KP329" s="17"/>
      <c r="KQ329" s="17"/>
      <c r="KR329" s="17"/>
      <c r="KS329" s="17"/>
      <c r="KT329" s="17"/>
      <c r="KU329" s="17"/>
      <c r="KV329" s="17"/>
      <c r="KW329" s="17"/>
      <c r="KX329" s="17"/>
      <c r="KY329" s="17"/>
    </row>
    <row r="330" spans="1:311" x14ac:dyDescent="0.25">
      <c r="A330" s="17"/>
      <c r="B330" s="17"/>
      <c r="C330" s="17"/>
      <c r="D330" s="17"/>
      <c r="E330" s="17"/>
      <c r="F330" s="17"/>
      <c r="G330" s="17"/>
      <c r="H330" s="17"/>
      <c r="I330" s="17"/>
      <c r="J330" s="17"/>
      <c r="K330" s="17"/>
      <c r="L330" s="17"/>
      <c r="M330" s="17"/>
      <c r="N330" s="17"/>
      <c r="O330" s="17"/>
      <c r="P330" s="17"/>
      <c r="Q330" s="17"/>
      <c r="R330" s="17"/>
      <c r="S330" s="17"/>
      <c r="T330" s="17"/>
      <c r="U330" s="17"/>
      <c r="V330" s="17"/>
      <c r="W330" s="17"/>
      <c r="X330" s="17"/>
      <c r="Y330" s="17"/>
      <c r="Z330" s="17"/>
      <c r="AA330" s="17"/>
      <c r="AB330" s="17"/>
      <c r="AC330" s="17"/>
      <c r="AD330" s="17"/>
      <c r="AE330" s="17"/>
      <c r="AF330" s="17"/>
      <c r="AG330" s="17"/>
      <c r="AH330" s="17"/>
      <c r="AI330" s="17"/>
      <c r="AJ330" s="17"/>
      <c r="AK330" s="17"/>
      <c r="AL330" s="17"/>
      <c r="AM330" s="17"/>
      <c r="AN330" s="17"/>
      <c r="AO330" s="17"/>
      <c r="AP330" s="17"/>
      <c r="AQ330" s="17"/>
      <c r="AR330" s="17"/>
      <c r="AS330" s="17"/>
      <c r="AT330" s="17"/>
      <c r="AU330" s="17"/>
      <c r="AV330" s="17"/>
      <c r="AW330" s="17"/>
      <c r="AX330" s="17"/>
      <c r="AY330" s="17"/>
      <c r="AZ330" s="17"/>
      <c r="BA330" s="17"/>
      <c r="BB330" s="17"/>
      <c r="BC330" s="17"/>
      <c r="BD330" s="17"/>
      <c r="BE330" s="17"/>
      <c r="BF330" s="17"/>
      <c r="BG330" s="17"/>
      <c r="BH330" s="17"/>
      <c r="BI330" s="17"/>
      <c r="BJ330" s="17"/>
      <c r="BK330" s="17"/>
      <c r="BL330" s="17"/>
      <c r="BM330" s="17"/>
      <c r="BN330" s="17"/>
      <c r="BO330" s="17"/>
      <c r="BP330" s="17"/>
      <c r="BQ330" s="17"/>
      <c r="BR330" s="17"/>
      <c r="BS330" s="17"/>
      <c r="BT330" s="17"/>
      <c r="BU330" s="17"/>
      <c r="BV330" s="17"/>
      <c r="BW330" s="17"/>
      <c r="BX330" s="17"/>
      <c r="BY330" s="17"/>
      <c r="BZ330" s="17"/>
      <c r="CA330" s="17"/>
      <c r="CB330" s="17"/>
      <c r="CC330" s="17"/>
      <c r="CD330" s="17"/>
      <c r="CE330" s="17"/>
      <c r="CF330" s="17"/>
      <c r="CG330" s="17"/>
      <c r="CH330" s="17"/>
      <c r="CI330" s="17"/>
      <c r="CJ330" s="17"/>
      <c r="CK330" s="17"/>
      <c r="CL330" s="17"/>
      <c r="CM330" s="17"/>
      <c r="CN330" s="17"/>
      <c r="CO330" s="17"/>
      <c r="CP330" s="17"/>
      <c r="CQ330" s="17"/>
      <c r="CR330" s="17"/>
      <c r="CS330" s="17"/>
      <c r="CT330" s="17"/>
      <c r="CU330" s="17"/>
      <c r="CV330" s="17"/>
      <c r="CW330" s="17"/>
      <c r="CX330" s="17"/>
      <c r="CY330" s="17"/>
      <c r="CZ330" s="17"/>
      <c r="DA330" s="17"/>
      <c r="DB330" s="17"/>
      <c r="DC330" s="17"/>
      <c r="DD330" s="17"/>
      <c r="DE330" s="17"/>
      <c r="DF330" s="17"/>
      <c r="DG330" s="17"/>
      <c r="DH330" s="17"/>
      <c r="DI330" s="17"/>
      <c r="DJ330" s="17"/>
      <c r="DK330" s="17"/>
      <c r="DL330" s="17"/>
      <c r="DM330" s="17"/>
      <c r="DN330" s="17"/>
      <c r="DO330" s="17"/>
      <c r="DP330" s="17"/>
      <c r="DQ330" s="17"/>
      <c r="DR330" s="17"/>
      <c r="DS330" s="17"/>
      <c r="DT330" s="17"/>
      <c r="DU330" s="17"/>
      <c r="DV330" s="17"/>
      <c r="DW330" s="17"/>
      <c r="DX330" s="17"/>
      <c r="DY330" s="17"/>
      <c r="DZ330" s="17"/>
      <c r="EA330" s="17"/>
      <c r="EB330" s="17"/>
      <c r="EC330" s="17"/>
      <c r="ED330" s="17"/>
      <c r="EE330" s="17"/>
      <c r="EF330" s="17"/>
      <c r="EG330" s="17"/>
      <c r="EH330" s="17"/>
      <c r="EI330" s="17"/>
      <c r="EJ330" s="17"/>
      <c r="EK330" s="17"/>
      <c r="EL330" s="17"/>
      <c r="EM330" s="17"/>
      <c r="EN330" s="17"/>
      <c r="EO330" s="17"/>
      <c r="EP330" s="17"/>
      <c r="EQ330" s="17"/>
      <c r="ER330" s="17"/>
      <c r="ES330" s="17"/>
      <c r="ET330" s="17"/>
      <c r="EU330" s="17"/>
      <c r="EV330" s="17"/>
      <c r="EW330" s="17"/>
      <c r="EX330" s="17"/>
      <c r="EY330" s="17"/>
      <c r="EZ330" s="17"/>
      <c r="FA330" s="17"/>
      <c r="FB330" s="17"/>
      <c r="FC330" s="17"/>
      <c r="FD330" s="17"/>
      <c r="FE330" s="17"/>
      <c r="FF330" s="17"/>
      <c r="FG330" s="17"/>
      <c r="FH330" s="17"/>
      <c r="FI330" s="17"/>
      <c r="FJ330" s="17"/>
      <c r="FK330" s="17"/>
      <c r="FL330" s="17"/>
      <c r="FM330" s="17"/>
      <c r="FN330" s="17"/>
      <c r="FO330" s="17"/>
      <c r="FP330" s="17"/>
      <c r="FQ330" s="17"/>
      <c r="FR330" s="17"/>
      <c r="FS330" s="17"/>
      <c r="FT330" s="17"/>
      <c r="FU330" s="17"/>
      <c r="FV330" s="17"/>
      <c r="FW330" s="17"/>
      <c r="FX330" s="17"/>
      <c r="FY330" s="17"/>
      <c r="FZ330" s="17"/>
      <c r="GA330" s="17"/>
      <c r="GB330" s="17"/>
      <c r="GC330" s="17"/>
      <c r="GD330" s="17"/>
      <c r="GE330" s="17"/>
      <c r="GF330" s="17"/>
      <c r="GG330" s="17"/>
      <c r="GH330" s="17"/>
      <c r="GI330" s="17"/>
      <c r="GJ330" s="17"/>
      <c r="GK330" s="17"/>
      <c r="GL330" s="17"/>
      <c r="GM330" s="17"/>
      <c r="GN330" s="17"/>
      <c r="GO330" s="17"/>
      <c r="GP330" s="17"/>
      <c r="GQ330" s="17"/>
      <c r="GR330" s="17"/>
      <c r="GS330" s="17"/>
      <c r="GT330" s="17"/>
      <c r="GU330" s="17"/>
      <c r="GV330" s="17"/>
      <c r="GW330" s="17"/>
      <c r="GX330" s="17"/>
      <c r="GY330" s="17"/>
      <c r="GZ330" s="17"/>
      <c r="HA330" s="17"/>
      <c r="HB330" s="17"/>
      <c r="HC330" s="17"/>
      <c r="HD330" s="17"/>
      <c r="HE330" s="17"/>
      <c r="HF330" s="17"/>
      <c r="HG330" s="17"/>
      <c r="HH330" s="17"/>
      <c r="HI330" s="17"/>
      <c r="HJ330" s="17"/>
      <c r="HK330" s="17"/>
      <c r="HL330" s="17"/>
      <c r="HM330" s="17"/>
      <c r="HN330" s="17"/>
      <c r="HO330" s="17"/>
      <c r="HP330" s="17"/>
      <c r="HQ330" s="17"/>
      <c r="HR330" s="17"/>
      <c r="HS330" s="17"/>
      <c r="HT330" s="17"/>
      <c r="HU330" s="17"/>
      <c r="HV330" s="17"/>
      <c r="HW330" s="17"/>
      <c r="HX330" s="17"/>
      <c r="HY330" s="17"/>
      <c r="HZ330" s="17"/>
      <c r="IA330" s="17"/>
      <c r="IB330" s="17"/>
      <c r="IC330" s="17"/>
      <c r="ID330" s="17"/>
      <c r="IE330" s="17"/>
      <c r="IF330" s="17"/>
      <c r="IG330" s="17"/>
      <c r="IH330" s="17"/>
      <c r="II330" s="17"/>
      <c r="IJ330" s="17"/>
      <c r="IK330" s="17"/>
      <c r="IL330" s="17"/>
      <c r="IM330" s="17"/>
      <c r="IN330" s="17"/>
      <c r="IO330" s="17"/>
      <c r="IP330" s="17"/>
      <c r="IQ330" s="17"/>
      <c r="IR330" s="17"/>
      <c r="IS330" s="17"/>
      <c r="IT330" s="17"/>
      <c r="IU330" s="17"/>
      <c r="IV330" s="17"/>
      <c r="IW330" s="17"/>
      <c r="IX330" s="17"/>
      <c r="IY330" s="17"/>
      <c r="IZ330" s="17"/>
      <c r="JA330" s="17"/>
      <c r="JB330" s="17"/>
      <c r="JC330" s="17"/>
      <c r="JD330" s="17"/>
      <c r="JE330" s="17"/>
      <c r="JF330" s="17"/>
      <c r="JG330" s="17"/>
      <c r="JH330" s="17"/>
      <c r="JI330" s="17"/>
      <c r="JJ330" s="17"/>
      <c r="JK330" s="17"/>
      <c r="JL330" s="17"/>
      <c r="JM330" s="17"/>
      <c r="JN330" s="17"/>
      <c r="JO330" s="17"/>
      <c r="JP330" s="17"/>
      <c r="JQ330" s="17"/>
      <c r="JR330" s="17"/>
      <c r="JS330" s="17"/>
      <c r="JT330" s="17"/>
      <c r="JU330" s="17"/>
      <c r="JV330" s="17"/>
      <c r="JW330" s="17"/>
      <c r="JX330" s="17"/>
      <c r="JY330" s="17"/>
      <c r="JZ330" s="17"/>
      <c r="KA330" s="17"/>
      <c r="KB330" s="17"/>
      <c r="KC330" s="17"/>
      <c r="KD330" s="17"/>
      <c r="KE330" s="17"/>
      <c r="KF330" s="17"/>
      <c r="KG330" s="17"/>
      <c r="KH330" s="17"/>
      <c r="KI330" s="17"/>
      <c r="KJ330" s="17"/>
      <c r="KK330" s="17"/>
      <c r="KL330" s="17"/>
      <c r="KM330" s="17"/>
      <c r="KN330" s="17"/>
      <c r="KO330" s="17"/>
      <c r="KP330" s="17"/>
      <c r="KQ330" s="17"/>
      <c r="KR330" s="17"/>
      <c r="KS330" s="17"/>
      <c r="KT330" s="17"/>
      <c r="KU330" s="17"/>
      <c r="KV330" s="17"/>
      <c r="KW330" s="17"/>
      <c r="KX330" s="17"/>
      <c r="KY330" s="17"/>
    </row>
    <row r="331" spans="1:311" x14ac:dyDescent="0.25">
      <c r="A331" s="17"/>
      <c r="B331" s="17"/>
      <c r="C331" s="17"/>
      <c r="D331" s="17"/>
      <c r="E331" s="17"/>
      <c r="F331" s="17"/>
      <c r="G331" s="17"/>
      <c r="H331" s="17"/>
      <c r="I331" s="17"/>
      <c r="J331" s="17"/>
      <c r="K331" s="17"/>
      <c r="L331" s="17"/>
      <c r="M331" s="17"/>
      <c r="N331" s="17"/>
      <c r="O331" s="17"/>
      <c r="P331" s="17"/>
      <c r="Q331" s="17"/>
      <c r="R331" s="17"/>
      <c r="S331" s="17"/>
      <c r="T331" s="17"/>
      <c r="U331" s="17"/>
      <c r="V331" s="17"/>
      <c r="W331" s="17"/>
      <c r="X331" s="17"/>
      <c r="Y331" s="17"/>
      <c r="Z331" s="17"/>
      <c r="AA331" s="17"/>
      <c r="AB331" s="17"/>
      <c r="AC331" s="17"/>
      <c r="AD331" s="17"/>
      <c r="AE331" s="17"/>
      <c r="AF331" s="17"/>
      <c r="AG331" s="17"/>
      <c r="AH331" s="17"/>
      <c r="AI331" s="17"/>
      <c r="AJ331" s="17"/>
      <c r="AK331" s="17"/>
      <c r="AL331" s="17"/>
      <c r="AM331" s="17"/>
      <c r="AN331" s="17"/>
      <c r="AO331" s="17"/>
      <c r="AP331" s="17"/>
      <c r="AQ331" s="17"/>
      <c r="AR331" s="17"/>
      <c r="AS331" s="17"/>
      <c r="AT331" s="17"/>
      <c r="AU331" s="17"/>
      <c r="AV331" s="17"/>
      <c r="AW331" s="17"/>
      <c r="AX331" s="17"/>
      <c r="AY331" s="17"/>
      <c r="AZ331" s="17"/>
      <c r="BA331" s="17"/>
      <c r="BB331" s="17"/>
      <c r="BC331" s="17"/>
      <c r="BD331" s="17"/>
      <c r="BE331" s="17"/>
      <c r="BF331" s="17"/>
      <c r="BG331" s="17"/>
      <c r="BH331" s="17"/>
      <c r="BI331" s="17"/>
      <c r="BJ331" s="17"/>
      <c r="BK331" s="17"/>
      <c r="BL331" s="17"/>
      <c r="BM331" s="17"/>
      <c r="BN331" s="17"/>
      <c r="BO331" s="17"/>
      <c r="BP331" s="17"/>
      <c r="BQ331" s="17"/>
      <c r="BR331" s="17"/>
      <c r="BS331" s="17"/>
      <c r="BT331" s="17"/>
      <c r="BU331" s="17"/>
      <c r="BV331" s="17"/>
      <c r="BW331" s="17"/>
      <c r="BX331" s="17"/>
      <c r="BY331" s="17"/>
      <c r="BZ331" s="17"/>
      <c r="CA331" s="17"/>
      <c r="CB331" s="17"/>
      <c r="CC331" s="17"/>
      <c r="CD331" s="17"/>
      <c r="CE331" s="17"/>
      <c r="CF331" s="17"/>
      <c r="CG331" s="17"/>
      <c r="CH331" s="17"/>
      <c r="CI331" s="17"/>
      <c r="CJ331" s="17"/>
      <c r="CK331" s="17"/>
      <c r="CL331" s="17"/>
      <c r="CM331" s="17"/>
      <c r="CN331" s="17"/>
      <c r="CO331" s="17"/>
      <c r="CP331" s="17"/>
      <c r="CQ331" s="17"/>
      <c r="CR331" s="17"/>
      <c r="CS331" s="17"/>
      <c r="CT331" s="17"/>
      <c r="CU331" s="17"/>
      <c r="CV331" s="17"/>
      <c r="CW331" s="17"/>
      <c r="CX331" s="17"/>
      <c r="CY331" s="17"/>
      <c r="CZ331" s="17"/>
      <c r="DA331" s="17"/>
      <c r="DB331" s="17"/>
      <c r="DC331" s="17"/>
      <c r="DD331" s="17"/>
      <c r="DE331" s="17"/>
      <c r="DF331" s="17"/>
      <c r="DG331" s="17"/>
      <c r="DH331" s="17"/>
      <c r="DI331" s="17"/>
      <c r="DJ331" s="17"/>
      <c r="DK331" s="17"/>
      <c r="DL331" s="17"/>
      <c r="DM331" s="17"/>
      <c r="DN331" s="17"/>
      <c r="DO331" s="17"/>
      <c r="DP331" s="17"/>
      <c r="DQ331" s="17"/>
      <c r="DR331" s="17"/>
      <c r="DS331" s="17"/>
      <c r="DT331" s="17"/>
      <c r="DU331" s="17"/>
      <c r="DV331" s="17"/>
      <c r="DW331" s="17"/>
      <c r="DX331" s="17"/>
      <c r="DY331" s="17"/>
      <c r="DZ331" s="17"/>
      <c r="EA331" s="17"/>
      <c r="EB331" s="17"/>
      <c r="EC331" s="17"/>
      <c r="ED331" s="17"/>
      <c r="EE331" s="17"/>
      <c r="EF331" s="17"/>
      <c r="EG331" s="17"/>
      <c r="EH331" s="17"/>
      <c r="EI331" s="17"/>
      <c r="EJ331" s="17"/>
      <c r="EK331" s="17"/>
      <c r="EL331" s="17"/>
      <c r="EM331" s="17"/>
      <c r="EN331" s="17"/>
      <c r="EO331" s="17"/>
      <c r="EP331" s="17"/>
      <c r="EQ331" s="17"/>
      <c r="ER331" s="17"/>
      <c r="ES331" s="17"/>
      <c r="ET331" s="17"/>
      <c r="EU331" s="17"/>
      <c r="EV331" s="17"/>
      <c r="EW331" s="17"/>
      <c r="EX331" s="17"/>
      <c r="EY331" s="17"/>
      <c r="EZ331" s="17"/>
      <c r="FA331" s="17"/>
      <c r="FB331" s="17"/>
      <c r="FC331" s="17"/>
      <c r="FD331" s="17"/>
      <c r="FE331" s="17"/>
      <c r="FF331" s="17"/>
      <c r="FG331" s="17"/>
      <c r="FH331" s="17"/>
      <c r="FI331" s="17"/>
      <c r="FJ331" s="17"/>
      <c r="FK331" s="17"/>
      <c r="FL331" s="17"/>
      <c r="FM331" s="17"/>
      <c r="FN331" s="17"/>
      <c r="FO331" s="17"/>
      <c r="FP331" s="17"/>
      <c r="FQ331" s="17"/>
      <c r="FR331" s="17"/>
      <c r="FS331" s="17"/>
      <c r="FT331" s="17"/>
      <c r="FU331" s="17"/>
      <c r="FV331" s="17"/>
      <c r="FW331" s="17"/>
      <c r="FX331" s="17"/>
      <c r="FY331" s="17"/>
      <c r="FZ331" s="17"/>
      <c r="GA331" s="17"/>
      <c r="GB331" s="17"/>
      <c r="GC331" s="17"/>
      <c r="GD331" s="17"/>
      <c r="GE331" s="17"/>
      <c r="GF331" s="17"/>
      <c r="GG331" s="17"/>
      <c r="GH331" s="17"/>
      <c r="GI331" s="17"/>
      <c r="GJ331" s="17"/>
      <c r="GK331" s="17"/>
      <c r="GL331" s="17"/>
      <c r="GM331" s="17"/>
      <c r="GN331" s="17"/>
      <c r="GO331" s="17"/>
      <c r="GP331" s="17"/>
      <c r="GQ331" s="17"/>
      <c r="GR331" s="17"/>
      <c r="GS331" s="17"/>
      <c r="GT331" s="17"/>
      <c r="GU331" s="17"/>
      <c r="GV331" s="17"/>
      <c r="GW331" s="17"/>
      <c r="GX331" s="17"/>
      <c r="GY331" s="17"/>
      <c r="GZ331" s="17"/>
      <c r="HA331" s="17"/>
      <c r="HB331" s="17"/>
      <c r="HC331" s="17"/>
      <c r="HD331" s="17"/>
      <c r="HE331" s="17"/>
      <c r="HF331" s="17"/>
      <c r="HG331" s="17"/>
      <c r="HH331" s="17"/>
      <c r="HI331" s="17"/>
      <c r="HJ331" s="17"/>
      <c r="HK331" s="17"/>
      <c r="HL331" s="17"/>
      <c r="HM331" s="17"/>
      <c r="HN331" s="17"/>
      <c r="HO331" s="17"/>
      <c r="HP331" s="17"/>
      <c r="HQ331" s="17"/>
      <c r="HR331" s="17"/>
      <c r="HS331" s="17"/>
      <c r="HT331" s="17"/>
      <c r="HU331" s="17"/>
      <c r="HV331" s="17"/>
      <c r="HW331" s="17"/>
      <c r="HX331" s="17"/>
      <c r="HY331" s="17"/>
      <c r="HZ331" s="17"/>
      <c r="IA331" s="17"/>
      <c r="IB331" s="17"/>
      <c r="IC331" s="17"/>
      <c r="ID331" s="17"/>
      <c r="IE331" s="17"/>
      <c r="IF331" s="17"/>
      <c r="IG331" s="17"/>
      <c r="IH331" s="17"/>
      <c r="II331" s="17"/>
      <c r="IJ331" s="17"/>
      <c r="IK331" s="17"/>
      <c r="IL331" s="17"/>
      <c r="IM331" s="17"/>
      <c r="IN331" s="17"/>
      <c r="IO331" s="17"/>
      <c r="IP331" s="17"/>
      <c r="IQ331" s="17"/>
      <c r="IR331" s="17"/>
      <c r="IS331" s="17"/>
      <c r="IT331" s="17"/>
      <c r="IU331" s="17"/>
      <c r="IV331" s="17"/>
      <c r="IW331" s="17"/>
      <c r="IX331" s="17"/>
      <c r="IY331" s="17"/>
      <c r="IZ331" s="17"/>
      <c r="JA331" s="17"/>
      <c r="JB331" s="17"/>
      <c r="JC331" s="17"/>
      <c r="JD331" s="17"/>
      <c r="JE331" s="17"/>
      <c r="JF331" s="17"/>
      <c r="JG331" s="17"/>
      <c r="JH331" s="17"/>
      <c r="JI331" s="17"/>
      <c r="JJ331" s="17"/>
      <c r="JK331" s="17"/>
      <c r="JL331" s="17"/>
      <c r="JM331" s="17"/>
      <c r="JN331" s="17"/>
      <c r="JO331" s="17"/>
      <c r="JP331" s="17"/>
      <c r="JQ331" s="17"/>
      <c r="JR331" s="17"/>
      <c r="JS331" s="17"/>
      <c r="JT331" s="17"/>
      <c r="JU331" s="17"/>
      <c r="JV331" s="17"/>
      <c r="JW331" s="17"/>
      <c r="JX331" s="17"/>
      <c r="JY331" s="17"/>
      <c r="JZ331" s="17"/>
      <c r="KA331" s="17"/>
      <c r="KB331" s="17"/>
      <c r="KC331" s="17"/>
      <c r="KD331" s="17"/>
      <c r="KE331" s="17"/>
      <c r="KF331" s="17"/>
      <c r="KG331" s="17"/>
      <c r="KH331" s="17"/>
      <c r="KI331" s="17"/>
      <c r="KJ331" s="17"/>
      <c r="KK331" s="17"/>
      <c r="KL331" s="17"/>
      <c r="KM331" s="17"/>
      <c r="KN331" s="17"/>
      <c r="KO331" s="17"/>
      <c r="KP331" s="17"/>
      <c r="KQ331" s="17"/>
      <c r="KR331" s="17"/>
      <c r="KS331" s="17"/>
      <c r="KT331" s="17"/>
      <c r="KU331" s="17"/>
      <c r="KV331" s="17"/>
      <c r="KW331" s="17"/>
      <c r="KX331" s="17"/>
      <c r="KY331" s="17"/>
    </row>
    <row r="332" spans="1:311" x14ac:dyDescent="0.25">
      <c r="A332" s="17"/>
      <c r="B332" s="17"/>
      <c r="C332" s="17"/>
      <c r="D332" s="17"/>
      <c r="E332" s="17"/>
      <c r="F332" s="17"/>
      <c r="G332" s="17"/>
      <c r="H332" s="17"/>
      <c r="I332" s="17"/>
      <c r="J332" s="17"/>
      <c r="K332" s="17"/>
      <c r="L332" s="17"/>
      <c r="M332" s="17"/>
      <c r="N332" s="17"/>
      <c r="O332" s="17"/>
      <c r="P332" s="17"/>
      <c r="Q332" s="17"/>
      <c r="R332" s="17"/>
      <c r="S332" s="17"/>
      <c r="T332" s="17"/>
      <c r="U332" s="17"/>
      <c r="V332" s="17"/>
      <c r="W332" s="17"/>
      <c r="X332" s="17"/>
      <c r="Y332" s="17"/>
      <c r="Z332" s="17"/>
      <c r="AA332" s="17"/>
      <c r="AB332" s="17"/>
      <c r="AC332" s="17"/>
      <c r="AD332" s="17"/>
      <c r="AE332" s="17"/>
      <c r="AF332" s="17"/>
      <c r="AG332" s="17"/>
      <c r="AH332" s="17"/>
      <c r="AI332" s="17"/>
      <c r="AJ332" s="17"/>
      <c r="AK332" s="17"/>
      <c r="AL332" s="17"/>
      <c r="AM332" s="17"/>
      <c r="AN332" s="17"/>
      <c r="AO332" s="17"/>
      <c r="AP332" s="17"/>
      <c r="AQ332" s="17"/>
      <c r="AR332" s="17"/>
      <c r="AS332" s="17"/>
      <c r="AT332" s="17"/>
      <c r="AU332" s="17"/>
      <c r="AV332" s="17"/>
      <c r="AW332" s="17"/>
      <c r="AX332" s="17"/>
      <c r="AY332" s="17"/>
      <c r="AZ332" s="17"/>
      <c r="BA332" s="17"/>
      <c r="BB332" s="17"/>
      <c r="BC332" s="17"/>
      <c r="BD332" s="17"/>
      <c r="BE332" s="17"/>
      <c r="BF332" s="17"/>
      <c r="BG332" s="17"/>
      <c r="BH332" s="17"/>
      <c r="BI332" s="17"/>
      <c r="BJ332" s="17"/>
      <c r="BK332" s="17"/>
      <c r="BL332" s="17"/>
      <c r="BM332" s="17"/>
      <c r="BN332" s="17"/>
      <c r="BO332" s="17"/>
      <c r="BP332" s="17"/>
      <c r="BQ332" s="17"/>
      <c r="BR332" s="17"/>
      <c r="BS332" s="17"/>
      <c r="BT332" s="17"/>
      <c r="BU332" s="17"/>
      <c r="BV332" s="17"/>
      <c r="BW332" s="17"/>
      <c r="BX332" s="17"/>
      <c r="BY332" s="17"/>
      <c r="BZ332" s="17"/>
      <c r="CA332" s="17"/>
      <c r="CB332" s="17"/>
      <c r="CC332" s="17"/>
      <c r="CD332" s="17"/>
      <c r="CE332" s="17"/>
      <c r="CF332" s="17"/>
      <c r="CG332" s="17"/>
      <c r="CH332" s="17"/>
      <c r="CI332" s="17"/>
      <c r="CJ332" s="17"/>
      <c r="CK332" s="17"/>
      <c r="CL332" s="17"/>
      <c r="CM332" s="17"/>
      <c r="CN332" s="17"/>
      <c r="CO332" s="17"/>
      <c r="CP332" s="17"/>
      <c r="CQ332" s="17"/>
      <c r="CR332" s="17"/>
      <c r="CS332" s="17"/>
      <c r="CT332" s="17"/>
      <c r="CU332" s="17"/>
      <c r="CV332" s="17"/>
      <c r="CW332" s="17"/>
      <c r="CX332" s="17"/>
      <c r="CY332" s="17"/>
      <c r="CZ332" s="17"/>
      <c r="DA332" s="17"/>
      <c r="DB332" s="17"/>
      <c r="DC332" s="17"/>
      <c r="DD332" s="17"/>
      <c r="DE332" s="17"/>
      <c r="DF332" s="17"/>
      <c r="DG332" s="17"/>
      <c r="DH332" s="17"/>
      <c r="DI332" s="17"/>
      <c r="DJ332" s="17"/>
      <c r="DK332" s="17"/>
      <c r="DL332" s="17"/>
      <c r="DM332" s="17"/>
      <c r="DN332" s="17"/>
      <c r="DO332" s="17"/>
      <c r="DP332" s="17"/>
      <c r="DQ332" s="17"/>
      <c r="DR332" s="17"/>
      <c r="DS332" s="17"/>
      <c r="DT332" s="17"/>
      <c r="DU332" s="17"/>
      <c r="DV332" s="17"/>
      <c r="DW332" s="17"/>
      <c r="DX332" s="17"/>
      <c r="DY332" s="17"/>
      <c r="DZ332" s="17"/>
      <c r="EA332" s="17"/>
      <c r="EB332" s="17"/>
      <c r="EC332" s="17"/>
      <c r="ED332" s="17"/>
      <c r="EE332" s="17"/>
      <c r="EF332" s="17"/>
      <c r="EG332" s="17"/>
      <c r="EH332" s="17"/>
      <c r="EI332" s="17"/>
      <c r="EJ332" s="17"/>
      <c r="EK332" s="17"/>
      <c r="EL332" s="17"/>
      <c r="EM332" s="17"/>
      <c r="EN332" s="17"/>
      <c r="EO332" s="17"/>
      <c r="EP332" s="17"/>
      <c r="EQ332" s="17"/>
      <c r="ER332" s="17"/>
      <c r="ES332" s="17"/>
      <c r="ET332" s="17"/>
      <c r="EU332" s="17"/>
      <c r="EV332" s="17"/>
      <c r="EW332" s="17"/>
      <c r="EX332" s="17"/>
      <c r="EY332" s="17"/>
      <c r="EZ332" s="17"/>
      <c r="FA332" s="17"/>
      <c r="FB332" s="17"/>
      <c r="FC332" s="17"/>
      <c r="FD332" s="17"/>
      <c r="FE332" s="17"/>
      <c r="FF332" s="17"/>
      <c r="FG332" s="17"/>
      <c r="FH332" s="17"/>
      <c r="FI332" s="17"/>
      <c r="FJ332" s="17"/>
      <c r="FK332" s="17"/>
      <c r="FL332" s="17"/>
      <c r="FM332" s="17"/>
      <c r="FN332" s="17"/>
      <c r="FO332" s="17"/>
      <c r="FP332" s="17"/>
      <c r="FQ332" s="17"/>
      <c r="FR332" s="17"/>
      <c r="FS332" s="17"/>
      <c r="FT332" s="17"/>
      <c r="FU332" s="17"/>
      <c r="FV332" s="17"/>
      <c r="FW332" s="17"/>
      <c r="FX332" s="17"/>
      <c r="FY332" s="17"/>
      <c r="FZ332" s="17"/>
      <c r="GA332" s="17"/>
      <c r="GB332" s="17"/>
      <c r="GC332" s="17"/>
      <c r="GD332" s="17"/>
      <c r="GE332" s="17"/>
      <c r="GF332" s="17"/>
      <c r="GG332" s="17"/>
      <c r="GH332" s="17"/>
      <c r="GI332" s="17"/>
      <c r="GJ332" s="17"/>
      <c r="GK332" s="17"/>
      <c r="GL332" s="17"/>
      <c r="GM332" s="17"/>
      <c r="GN332" s="17"/>
      <c r="GO332" s="17"/>
      <c r="GP332" s="17"/>
      <c r="GQ332" s="17"/>
      <c r="GR332" s="17"/>
      <c r="GS332" s="17"/>
      <c r="GT332" s="17"/>
      <c r="GU332" s="17"/>
      <c r="GV332" s="17"/>
      <c r="GW332" s="17"/>
      <c r="GX332" s="17"/>
      <c r="GY332" s="17"/>
      <c r="GZ332" s="17"/>
      <c r="HA332" s="17"/>
      <c r="HB332" s="17"/>
      <c r="HC332" s="17"/>
      <c r="HD332" s="17"/>
      <c r="HE332" s="17"/>
      <c r="HF332" s="17"/>
      <c r="HG332" s="17"/>
      <c r="HH332" s="17"/>
      <c r="HI332" s="17"/>
      <c r="HJ332" s="17"/>
      <c r="HK332" s="17"/>
      <c r="HL332" s="17"/>
      <c r="HM332" s="17"/>
      <c r="HN332" s="17"/>
      <c r="HO332" s="17"/>
      <c r="HP332" s="17"/>
      <c r="HQ332" s="17"/>
      <c r="HR332" s="17"/>
      <c r="HS332" s="17"/>
      <c r="HT332" s="17"/>
      <c r="HU332" s="17"/>
      <c r="HV332" s="17"/>
      <c r="HW332" s="17"/>
      <c r="HX332" s="17"/>
      <c r="HY332" s="17"/>
      <c r="HZ332" s="17"/>
      <c r="IA332" s="17"/>
      <c r="IB332" s="17"/>
      <c r="IC332" s="17"/>
      <c r="ID332" s="17"/>
      <c r="IE332" s="17"/>
      <c r="IF332" s="17"/>
      <c r="IG332" s="17"/>
      <c r="IH332" s="17"/>
      <c r="II332" s="17"/>
      <c r="IJ332" s="17"/>
      <c r="IK332" s="17"/>
      <c r="IL332" s="17"/>
      <c r="IM332" s="17"/>
      <c r="IN332" s="17"/>
      <c r="IO332" s="17"/>
      <c r="IP332" s="17"/>
      <c r="IQ332" s="17"/>
      <c r="IR332" s="17"/>
      <c r="IS332" s="17"/>
      <c r="IT332" s="17"/>
      <c r="IU332" s="17"/>
      <c r="IV332" s="17"/>
      <c r="IW332" s="17"/>
      <c r="IX332" s="17"/>
      <c r="IY332" s="17"/>
      <c r="IZ332" s="17"/>
      <c r="JA332" s="17"/>
      <c r="JB332" s="17"/>
      <c r="JC332" s="17"/>
      <c r="JD332" s="17"/>
      <c r="JE332" s="17"/>
      <c r="JF332" s="17"/>
      <c r="JG332" s="17"/>
      <c r="JH332" s="17"/>
      <c r="JI332" s="17"/>
      <c r="JJ332" s="17"/>
      <c r="JK332" s="17"/>
      <c r="JL332" s="17"/>
      <c r="JM332" s="17"/>
      <c r="JN332" s="17"/>
      <c r="JO332" s="17"/>
      <c r="JP332" s="17"/>
      <c r="JQ332" s="17"/>
      <c r="JR332" s="17"/>
      <c r="JS332" s="17"/>
      <c r="JT332" s="17"/>
      <c r="JU332" s="17"/>
      <c r="JV332" s="17"/>
      <c r="JW332" s="17"/>
      <c r="JX332" s="17"/>
      <c r="JY332" s="17"/>
      <c r="JZ332" s="17"/>
      <c r="KA332" s="17"/>
      <c r="KB332" s="17"/>
      <c r="KC332" s="17"/>
      <c r="KD332" s="17"/>
      <c r="KE332" s="17"/>
      <c r="KF332" s="17"/>
      <c r="KG332" s="17"/>
      <c r="KH332" s="17"/>
      <c r="KI332" s="17"/>
      <c r="KJ332" s="17"/>
      <c r="KK332" s="17"/>
      <c r="KL332" s="17"/>
      <c r="KM332" s="17"/>
      <c r="KN332" s="17"/>
      <c r="KO332" s="17"/>
      <c r="KP332" s="17"/>
      <c r="KQ332" s="17"/>
      <c r="KR332" s="17"/>
      <c r="KS332" s="17"/>
      <c r="KT332" s="17"/>
      <c r="KU332" s="17"/>
      <c r="KV332" s="17"/>
      <c r="KW332" s="17"/>
      <c r="KX332" s="17"/>
      <c r="KY332" s="17"/>
    </row>
    <row r="333" spans="1:311" x14ac:dyDescent="0.25">
      <c r="A333" s="17"/>
      <c r="B333" s="17"/>
      <c r="C333" s="17"/>
      <c r="D333" s="17"/>
      <c r="E333" s="17"/>
      <c r="F333" s="17"/>
      <c r="G333" s="17"/>
      <c r="H333" s="17"/>
      <c r="I333" s="17"/>
      <c r="J333" s="17"/>
      <c r="K333" s="17"/>
      <c r="L333" s="17"/>
      <c r="M333" s="17"/>
      <c r="N333" s="17"/>
      <c r="O333" s="17"/>
      <c r="P333" s="17"/>
      <c r="Q333" s="17"/>
      <c r="R333" s="17"/>
      <c r="S333" s="17"/>
      <c r="T333" s="17"/>
      <c r="U333" s="17"/>
      <c r="V333" s="17"/>
      <c r="W333" s="17"/>
      <c r="X333" s="17"/>
      <c r="Y333" s="17"/>
      <c r="Z333" s="17"/>
      <c r="AA333" s="17"/>
      <c r="AB333" s="17"/>
      <c r="AC333" s="17"/>
      <c r="AD333" s="17"/>
      <c r="AE333" s="17"/>
      <c r="AF333" s="17"/>
      <c r="AG333" s="17"/>
      <c r="AH333" s="17"/>
      <c r="AI333" s="17"/>
      <c r="AJ333" s="17"/>
      <c r="AK333" s="17"/>
      <c r="AL333" s="17"/>
      <c r="AM333" s="17"/>
      <c r="AN333" s="17"/>
      <c r="AO333" s="17"/>
      <c r="AP333" s="17"/>
      <c r="AQ333" s="17"/>
      <c r="AR333" s="17"/>
      <c r="AS333" s="17"/>
      <c r="AT333" s="17"/>
      <c r="AU333" s="17"/>
      <c r="AV333" s="17"/>
      <c r="AW333" s="17"/>
      <c r="AX333" s="17"/>
      <c r="AY333" s="17"/>
      <c r="AZ333" s="17"/>
      <c r="BA333" s="17"/>
      <c r="BB333" s="17"/>
      <c r="BC333" s="17"/>
      <c r="BD333" s="17"/>
      <c r="BE333" s="17"/>
      <c r="BF333" s="17"/>
      <c r="BG333" s="17"/>
      <c r="BH333" s="17"/>
      <c r="BI333" s="17"/>
      <c r="BJ333" s="17"/>
      <c r="BK333" s="17"/>
      <c r="BL333" s="17"/>
      <c r="BM333" s="17"/>
      <c r="BN333" s="17"/>
      <c r="BO333" s="17"/>
      <c r="BP333" s="17"/>
      <c r="BQ333" s="17"/>
      <c r="BR333" s="17"/>
      <c r="BS333" s="17"/>
      <c r="BT333" s="17"/>
      <c r="BU333" s="17"/>
      <c r="BV333" s="17"/>
      <c r="BW333" s="17"/>
      <c r="BX333" s="17"/>
      <c r="BY333" s="17"/>
      <c r="BZ333" s="17"/>
      <c r="CA333" s="17"/>
      <c r="CB333" s="17"/>
      <c r="CC333" s="17"/>
      <c r="CD333" s="17"/>
      <c r="CE333" s="17"/>
      <c r="CF333" s="17"/>
      <c r="CG333" s="17"/>
      <c r="CH333" s="17"/>
      <c r="CI333" s="17"/>
      <c r="CJ333" s="17"/>
      <c r="CK333" s="17"/>
      <c r="CL333" s="17"/>
      <c r="CM333" s="17"/>
      <c r="CN333" s="17"/>
      <c r="CO333" s="17"/>
      <c r="CP333" s="17"/>
      <c r="CQ333" s="17"/>
      <c r="CR333" s="17"/>
      <c r="CS333" s="17"/>
      <c r="CT333" s="17"/>
      <c r="CU333" s="17"/>
      <c r="CV333" s="17"/>
      <c r="CW333" s="17"/>
      <c r="CX333" s="17"/>
      <c r="CY333" s="17"/>
      <c r="CZ333" s="17"/>
      <c r="DA333" s="17"/>
      <c r="DB333" s="17"/>
      <c r="DC333" s="17"/>
      <c r="DD333" s="17"/>
      <c r="DE333" s="17"/>
      <c r="DF333" s="17"/>
      <c r="DG333" s="17"/>
      <c r="DH333" s="17"/>
      <c r="DI333" s="17"/>
      <c r="DJ333" s="17"/>
      <c r="DK333" s="17"/>
      <c r="DL333" s="17"/>
      <c r="DM333" s="17"/>
      <c r="DN333" s="17"/>
      <c r="DO333" s="17"/>
      <c r="DP333" s="17"/>
      <c r="DQ333" s="17"/>
      <c r="DR333" s="17"/>
      <c r="DS333" s="17"/>
      <c r="DT333" s="17"/>
      <c r="DU333" s="17"/>
      <c r="DV333" s="17"/>
      <c r="DW333" s="17"/>
      <c r="DX333" s="17"/>
      <c r="DY333" s="17"/>
      <c r="DZ333" s="17"/>
      <c r="EA333" s="17"/>
      <c r="EB333" s="17"/>
      <c r="EC333" s="17"/>
      <c r="ED333" s="17"/>
      <c r="EE333" s="17"/>
      <c r="EF333" s="17"/>
      <c r="EG333" s="17"/>
      <c r="EH333" s="17"/>
      <c r="EI333" s="17"/>
      <c r="EJ333" s="17"/>
      <c r="EK333" s="17"/>
      <c r="EL333" s="17"/>
      <c r="EM333" s="17"/>
      <c r="EN333" s="17"/>
      <c r="EO333" s="17"/>
      <c r="EP333" s="17"/>
      <c r="EQ333" s="17"/>
      <c r="ER333" s="17"/>
      <c r="ES333" s="17"/>
      <c r="ET333" s="17"/>
      <c r="EU333" s="17"/>
      <c r="EV333" s="17"/>
      <c r="EW333" s="17"/>
      <c r="EX333" s="17"/>
      <c r="EY333" s="17"/>
      <c r="EZ333" s="17"/>
      <c r="FA333" s="17"/>
      <c r="FB333" s="17"/>
      <c r="FC333" s="17"/>
      <c r="FD333" s="17"/>
      <c r="FE333" s="17"/>
      <c r="FF333" s="17"/>
      <c r="FG333" s="17"/>
      <c r="FH333" s="17"/>
      <c r="FI333" s="17"/>
      <c r="FJ333" s="17"/>
      <c r="FK333" s="17"/>
      <c r="FL333" s="17"/>
      <c r="FM333" s="17"/>
      <c r="FN333" s="17"/>
      <c r="FO333" s="17"/>
      <c r="FP333" s="17"/>
      <c r="FQ333" s="17"/>
      <c r="FR333" s="17"/>
      <c r="FS333" s="17"/>
      <c r="FT333" s="17"/>
      <c r="FU333" s="17"/>
      <c r="FV333" s="17"/>
      <c r="FW333" s="17"/>
      <c r="FX333" s="17"/>
      <c r="FY333" s="17"/>
      <c r="FZ333" s="17"/>
      <c r="GA333" s="17"/>
      <c r="GB333" s="17"/>
      <c r="GC333" s="17"/>
      <c r="GD333" s="17"/>
      <c r="GE333" s="17"/>
      <c r="GF333" s="17"/>
      <c r="GG333" s="17"/>
      <c r="GH333" s="17"/>
      <c r="GI333" s="17"/>
      <c r="GJ333" s="17"/>
      <c r="GK333" s="17"/>
      <c r="GL333" s="17"/>
      <c r="GM333" s="17"/>
      <c r="GN333" s="17"/>
      <c r="GO333" s="17"/>
      <c r="GP333" s="17"/>
      <c r="GQ333" s="17"/>
      <c r="GR333" s="17"/>
      <c r="GS333" s="17"/>
      <c r="GT333" s="17"/>
      <c r="GU333" s="17"/>
      <c r="GV333" s="17"/>
      <c r="GW333" s="17"/>
      <c r="GX333" s="17"/>
      <c r="GY333" s="17"/>
      <c r="GZ333" s="17"/>
      <c r="HA333" s="17"/>
      <c r="HB333" s="17"/>
      <c r="HC333" s="17"/>
      <c r="HD333" s="17"/>
      <c r="HE333" s="17"/>
      <c r="HF333" s="17"/>
      <c r="HG333" s="17"/>
      <c r="HH333" s="17"/>
      <c r="HI333" s="17"/>
      <c r="HJ333" s="17"/>
      <c r="HK333" s="17"/>
      <c r="HL333" s="17"/>
      <c r="HM333" s="17"/>
      <c r="HN333" s="17"/>
      <c r="HO333" s="17"/>
      <c r="HP333" s="17"/>
      <c r="HQ333" s="17"/>
      <c r="HR333" s="17"/>
      <c r="HS333" s="17"/>
      <c r="HT333" s="17"/>
      <c r="HU333" s="17"/>
      <c r="HV333" s="17"/>
      <c r="HW333" s="17"/>
      <c r="HX333" s="17"/>
      <c r="HY333" s="17"/>
      <c r="HZ333" s="17"/>
      <c r="IA333" s="17"/>
      <c r="IB333" s="17"/>
      <c r="IC333" s="17"/>
      <c r="ID333" s="17"/>
      <c r="IE333" s="17"/>
      <c r="IF333" s="17"/>
      <c r="IG333" s="17"/>
      <c r="IH333" s="17"/>
      <c r="II333" s="17"/>
      <c r="IJ333" s="17"/>
      <c r="IK333" s="17"/>
      <c r="IL333" s="17"/>
      <c r="IM333" s="17"/>
      <c r="IN333" s="17"/>
      <c r="IO333" s="17"/>
      <c r="IP333" s="17"/>
      <c r="IQ333" s="17"/>
      <c r="IR333" s="17"/>
      <c r="IS333" s="17"/>
      <c r="IT333" s="17"/>
      <c r="IU333" s="17"/>
      <c r="IV333" s="17"/>
      <c r="IW333" s="17"/>
      <c r="IX333" s="17"/>
      <c r="IY333" s="17"/>
      <c r="IZ333" s="17"/>
      <c r="JA333" s="17"/>
      <c r="JB333" s="17"/>
      <c r="JC333" s="17"/>
      <c r="JD333" s="17"/>
      <c r="JE333" s="17"/>
      <c r="JF333" s="17"/>
      <c r="JG333" s="17"/>
      <c r="JH333" s="17"/>
      <c r="JI333" s="17"/>
      <c r="JJ333" s="17"/>
      <c r="JK333" s="17"/>
      <c r="JL333" s="17"/>
      <c r="JM333" s="17"/>
      <c r="JN333" s="17"/>
      <c r="JO333" s="17"/>
      <c r="JP333" s="17"/>
      <c r="JQ333" s="17"/>
      <c r="JR333" s="17"/>
      <c r="JS333" s="17"/>
      <c r="JT333" s="17"/>
      <c r="JU333" s="17"/>
      <c r="JV333" s="17"/>
      <c r="JW333" s="17"/>
      <c r="JX333" s="17"/>
      <c r="JY333" s="17"/>
      <c r="JZ333" s="17"/>
      <c r="KA333" s="17"/>
      <c r="KB333" s="17"/>
      <c r="KC333" s="17"/>
      <c r="KD333" s="17"/>
      <c r="KE333" s="17"/>
      <c r="KF333" s="17"/>
      <c r="KG333" s="17"/>
      <c r="KH333" s="17"/>
      <c r="KI333" s="17"/>
      <c r="KJ333" s="17"/>
      <c r="KK333" s="17"/>
      <c r="KL333" s="17"/>
      <c r="KM333" s="17"/>
      <c r="KN333" s="17"/>
      <c r="KO333" s="17"/>
      <c r="KP333" s="17"/>
      <c r="KQ333" s="17"/>
      <c r="KR333" s="17"/>
      <c r="KS333" s="17"/>
      <c r="KT333" s="17"/>
      <c r="KU333" s="17"/>
      <c r="KV333" s="17"/>
      <c r="KW333" s="17"/>
      <c r="KX333" s="17"/>
      <c r="KY333" s="17"/>
    </row>
    <row r="334" spans="1:311" x14ac:dyDescent="0.25">
      <c r="A334" s="17"/>
      <c r="B334" s="17"/>
      <c r="C334" s="17"/>
      <c r="D334" s="17"/>
      <c r="E334" s="17"/>
      <c r="F334" s="17"/>
      <c r="G334" s="17"/>
      <c r="H334" s="17"/>
      <c r="I334" s="17"/>
      <c r="J334" s="17"/>
      <c r="K334" s="17"/>
      <c r="L334" s="17"/>
      <c r="M334" s="17"/>
      <c r="N334" s="17"/>
      <c r="O334" s="17"/>
      <c r="P334" s="17"/>
      <c r="Q334" s="17"/>
      <c r="R334" s="17"/>
      <c r="S334" s="17"/>
      <c r="T334" s="17"/>
      <c r="U334" s="17"/>
      <c r="V334" s="17"/>
      <c r="W334" s="17"/>
      <c r="X334" s="17"/>
      <c r="Y334" s="17"/>
      <c r="Z334" s="17"/>
      <c r="AA334" s="17"/>
      <c r="AB334" s="17"/>
      <c r="AC334" s="17"/>
      <c r="AD334" s="17"/>
      <c r="AE334" s="17"/>
      <c r="AF334" s="17"/>
      <c r="AG334" s="17"/>
      <c r="AH334" s="17"/>
      <c r="AI334" s="17"/>
      <c r="AJ334" s="17"/>
      <c r="AK334" s="17"/>
      <c r="AL334" s="17"/>
      <c r="AM334" s="17"/>
      <c r="AN334" s="17"/>
      <c r="AO334" s="17"/>
      <c r="AP334" s="17"/>
      <c r="AQ334" s="17"/>
      <c r="AR334" s="17"/>
      <c r="AS334" s="17"/>
      <c r="AT334" s="17"/>
      <c r="AU334" s="17"/>
      <c r="AV334" s="17"/>
      <c r="AW334" s="17"/>
      <c r="AX334" s="17"/>
      <c r="AY334" s="17"/>
      <c r="AZ334" s="17"/>
      <c r="BA334" s="17"/>
      <c r="BB334" s="17"/>
      <c r="BC334" s="17"/>
      <c r="BD334" s="17"/>
      <c r="BE334" s="17"/>
      <c r="BF334" s="17"/>
      <c r="BG334" s="17"/>
      <c r="BH334" s="17"/>
      <c r="BI334" s="17"/>
      <c r="BJ334" s="17"/>
      <c r="BK334" s="17"/>
      <c r="BL334" s="17"/>
      <c r="BM334" s="17"/>
      <c r="BN334" s="17"/>
      <c r="BO334" s="17"/>
      <c r="BP334" s="17"/>
      <c r="BQ334" s="17"/>
      <c r="BR334" s="17"/>
      <c r="BS334" s="17"/>
      <c r="BT334" s="17"/>
      <c r="BU334" s="17"/>
      <c r="BV334" s="17"/>
      <c r="BW334" s="17"/>
      <c r="BX334" s="17"/>
      <c r="BY334" s="17"/>
      <c r="BZ334" s="17"/>
      <c r="CA334" s="17"/>
      <c r="CB334" s="17"/>
      <c r="CC334" s="17"/>
      <c r="CD334" s="17"/>
      <c r="CE334" s="17"/>
      <c r="CF334" s="17"/>
      <c r="CG334" s="17"/>
      <c r="CH334" s="17"/>
      <c r="CI334" s="17"/>
      <c r="CJ334" s="17"/>
      <c r="CK334" s="17"/>
      <c r="CL334" s="17"/>
      <c r="CM334" s="17"/>
      <c r="CN334" s="17"/>
      <c r="CO334" s="17"/>
      <c r="CP334" s="17"/>
      <c r="CQ334" s="17"/>
      <c r="CR334" s="17"/>
      <c r="CS334" s="17"/>
      <c r="CT334" s="17"/>
      <c r="CU334" s="17"/>
      <c r="CV334" s="17"/>
      <c r="CW334" s="17"/>
      <c r="CX334" s="17"/>
      <c r="CY334" s="17"/>
      <c r="CZ334" s="17"/>
      <c r="DA334" s="17"/>
      <c r="DB334" s="17"/>
      <c r="DC334" s="17"/>
      <c r="DD334" s="17"/>
      <c r="DE334" s="17"/>
      <c r="DF334" s="17"/>
      <c r="DG334" s="17"/>
      <c r="DH334" s="17"/>
      <c r="DI334" s="17"/>
      <c r="DJ334" s="17"/>
      <c r="DK334" s="17"/>
      <c r="DL334" s="17"/>
      <c r="DM334" s="17"/>
      <c r="DN334" s="17"/>
      <c r="DO334" s="17"/>
      <c r="DP334" s="17"/>
      <c r="DQ334" s="17"/>
      <c r="DR334" s="17"/>
      <c r="DS334" s="17"/>
      <c r="DT334" s="17"/>
      <c r="DU334" s="17"/>
      <c r="DV334" s="17"/>
      <c r="DW334" s="17"/>
      <c r="DX334" s="17"/>
      <c r="DY334" s="17"/>
      <c r="DZ334" s="17"/>
      <c r="EA334" s="17"/>
      <c r="EB334" s="17"/>
      <c r="EC334" s="17"/>
      <c r="ED334" s="17"/>
      <c r="EE334" s="17"/>
      <c r="EF334" s="17"/>
      <c r="EG334" s="17"/>
      <c r="EH334" s="17"/>
      <c r="EI334" s="17"/>
      <c r="EJ334" s="17"/>
      <c r="EK334" s="17"/>
      <c r="EL334" s="17"/>
      <c r="EM334" s="17"/>
      <c r="EN334" s="17"/>
      <c r="EO334" s="17"/>
      <c r="EP334" s="17"/>
      <c r="EQ334" s="17"/>
      <c r="ER334" s="17"/>
      <c r="ES334" s="17"/>
      <c r="ET334" s="17"/>
      <c r="EU334" s="17"/>
      <c r="EV334" s="17"/>
      <c r="EW334" s="17"/>
      <c r="EX334" s="17"/>
      <c r="EY334" s="17"/>
      <c r="EZ334" s="17"/>
      <c r="FA334" s="17"/>
      <c r="FB334" s="17"/>
      <c r="FC334" s="17"/>
      <c r="FD334" s="17"/>
      <c r="FE334" s="17"/>
      <c r="FF334" s="17"/>
      <c r="FG334" s="17"/>
      <c r="FH334" s="17"/>
      <c r="FI334" s="17"/>
      <c r="FJ334" s="17"/>
      <c r="FK334" s="17"/>
      <c r="FL334" s="17"/>
      <c r="FM334" s="17"/>
      <c r="FN334" s="17"/>
      <c r="FO334" s="17"/>
      <c r="FP334" s="17"/>
      <c r="FQ334" s="17"/>
      <c r="FR334" s="17"/>
      <c r="FS334" s="17"/>
      <c r="FT334" s="17"/>
      <c r="FU334" s="17"/>
      <c r="FV334" s="17"/>
      <c r="FW334" s="17"/>
      <c r="FX334" s="17"/>
      <c r="FY334" s="17"/>
      <c r="FZ334" s="17"/>
      <c r="GA334" s="17"/>
      <c r="GB334" s="17"/>
      <c r="GC334" s="17"/>
      <c r="GD334" s="17"/>
      <c r="GE334" s="17"/>
      <c r="GF334" s="17"/>
      <c r="GG334" s="17"/>
      <c r="GH334" s="17"/>
      <c r="GI334" s="17"/>
      <c r="GJ334" s="17"/>
      <c r="GK334" s="17"/>
      <c r="GL334" s="17"/>
      <c r="GM334" s="17"/>
      <c r="GN334" s="17"/>
      <c r="GO334" s="17"/>
      <c r="GP334" s="17"/>
      <c r="GQ334" s="17"/>
      <c r="GR334" s="17"/>
      <c r="GS334" s="17"/>
      <c r="GT334" s="17"/>
      <c r="GU334" s="17"/>
      <c r="GV334" s="17"/>
      <c r="GW334" s="17"/>
      <c r="GX334" s="17"/>
      <c r="GY334" s="17"/>
      <c r="GZ334" s="17"/>
      <c r="HA334" s="17"/>
      <c r="HB334" s="17"/>
      <c r="HC334" s="17"/>
      <c r="HD334" s="17"/>
      <c r="HE334" s="17"/>
      <c r="HF334" s="17"/>
      <c r="HG334" s="17"/>
      <c r="HH334" s="17"/>
      <c r="HI334" s="17"/>
      <c r="HJ334" s="17"/>
      <c r="HK334" s="17"/>
      <c r="HL334" s="17"/>
      <c r="HM334" s="17"/>
      <c r="HN334" s="17"/>
      <c r="HO334" s="17"/>
      <c r="HP334" s="17"/>
      <c r="HQ334" s="17"/>
      <c r="HR334" s="17"/>
      <c r="HS334" s="17"/>
      <c r="HT334" s="17"/>
      <c r="HU334" s="17"/>
      <c r="HV334" s="17"/>
      <c r="HW334" s="17"/>
      <c r="HX334" s="17"/>
      <c r="HY334" s="17"/>
      <c r="HZ334" s="17"/>
      <c r="IA334" s="17"/>
      <c r="IB334" s="17"/>
      <c r="IC334" s="17"/>
      <c r="ID334" s="17"/>
      <c r="IE334" s="17"/>
      <c r="IF334" s="17"/>
      <c r="IG334" s="17"/>
      <c r="IH334" s="17"/>
      <c r="II334" s="17"/>
      <c r="IJ334" s="17"/>
      <c r="IK334" s="17"/>
      <c r="IL334" s="17"/>
      <c r="IM334" s="17"/>
      <c r="IN334" s="17"/>
      <c r="IO334" s="17"/>
      <c r="IP334" s="17"/>
      <c r="IQ334" s="17"/>
      <c r="IR334" s="17"/>
      <c r="IS334" s="17"/>
      <c r="IT334" s="17"/>
      <c r="IU334" s="17"/>
      <c r="IV334" s="17"/>
      <c r="IW334" s="17"/>
      <c r="IX334" s="17"/>
      <c r="IY334" s="17"/>
      <c r="IZ334" s="17"/>
      <c r="JA334" s="17"/>
      <c r="JB334" s="17"/>
      <c r="JC334" s="17"/>
      <c r="JD334" s="17"/>
      <c r="JE334" s="17"/>
      <c r="JF334" s="17"/>
      <c r="JG334" s="17"/>
      <c r="JH334" s="17"/>
      <c r="JI334" s="17"/>
      <c r="JJ334" s="17"/>
      <c r="JK334" s="17"/>
      <c r="JL334" s="17"/>
      <c r="JM334" s="17"/>
      <c r="JN334" s="17"/>
      <c r="JO334" s="17"/>
      <c r="JP334" s="17"/>
      <c r="JQ334" s="17"/>
      <c r="JR334" s="17"/>
      <c r="JS334" s="17"/>
      <c r="JT334" s="17"/>
      <c r="JU334" s="17"/>
      <c r="JV334" s="17"/>
      <c r="JW334" s="17"/>
      <c r="JX334" s="17"/>
      <c r="JY334" s="17"/>
      <c r="JZ334" s="17"/>
      <c r="KA334" s="17"/>
      <c r="KB334" s="17"/>
      <c r="KC334" s="17"/>
      <c r="KD334" s="17"/>
      <c r="KE334" s="17"/>
      <c r="KF334" s="17"/>
      <c r="KG334" s="17"/>
      <c r="KH334" s="17"/>
      <c r="KI334" s="17"/>
      <c r="KJ334" s="17"/>
      <c r="KK334" s="17"/>
      <c r="KL334" s="17"/>
      <c r="KM334" s="17"/>
      <c r="KN334" s="17"/>
      <c r="KO334" s="17"/>
      <c r="KP334" s="17"/>
      <c r="KQ334" s="17"/>
      <c r="KR334" s="17"/>
      <c r="KS334" s="17"/>
      <c r="KT334" s="17"/>
      <c r="KU334" s="17"/>
      <c r="KV334" s="17"/>
      <c r="KW334" s="17"/>
      <c r="KX334" s="17"/>
      <c r="KY334" s="17"/>
    </row>
    <row r="335" spans="1:311" x14ac:dyDescent="0.25">
      <c r="A335" s="17"/>
      <c r="B335" s="17"/>
      <c r="C335" s="17"/>
      <c r="D335" s="17"/>
      <c r="E335" s="17"/>
      <c r="F335" s="17"/>
      <c r="G335" s="17"/>
      <c r="H335" s="17"/>
      <c r="I335" s="17"/>
      <c r="J335" s="17"/>
      <c r="K335" s="17"/>
      <c r="L335" s="17"/>
      <c r="M335" s="17"/>
      <c r="N335" s="17"/>
      <c r="O335" s="17"/>
      <c r="P335" s="17"/>
      <c r="Q335" s="17"/>
      <c r="R335" s="17"/>
      <c r="S335" s="17"/>
      <c r="T335" s="17"/>
      <c r="U335" s="17"/>
      <c r="V335" s="17"/>
      <c r="W335" s="17"/>
      <c r="X335" s="17"/>
      <c r="Y335" s="17"/>
      <c r="Z335" s="17"/>
      <c r="AA335" s="17"/>
      <c r="AB335" s="17"/>
      <c r="AC335" s="17"/>
      <c r="AD335" s="17"/>
      <c r="AE335" s="17"/>
      <c r="AF335" s="17"/>
      <c r="AG335" s="17"/>
      <c r="AH335" s="17"/>
      <c r="AI335" s="17"/>
      <c r="AJ335" s="17"/>
      <c r="AK335" s="17"/>
      <c r="AL335" s="17"/>
      <c r="AM335" s="17"/>
      <c r="AN335" s="17"/>
      <c r="AO335" s="17"/>
      <c r="AP335" s="17"/>
      <c r="AQ335" s="17"/>
      <c r="AR335" s="17"/>
      <c r="AS335" s="17"/>
      <c r="AT335" s="17"/>
      <c r="AU335" s="17"/>
      <c r="AV335" s="17"/>
      <c r="AW335" s="17"/>
      <c r="AX335" s="17"/>
      <c r="AY335" s="17"/>
      <c r="AZ335" s="17"/>
      <c r="BA335" s="17"/>
      <c r="BB335" s="17"/>
      <c r="BC335" s="17"/>
      <c r="BD335" s="17"/>
      <c r="BE335" s="17"/>
      <c r="BF335" s="17"/>
      <c r="BG335" s="17"/>
      <c r="BH335" s="17"/>
      <c r="BI335" s="17"/>
      <c r="BJ335" s="17"/>
      <c r="BK335" s="17"/>
      <c r="BL335" s="17"/>
      <c r="BM335" s="17"/>
      <c r="BN335" s="17"/>
      <c r="BO335" s="17"/>
      <c r="BP335" s="17"/>
      <c r="BQ335" s="17"/>
      <c r="BR335" s="17"/>
      <c r="BS335" s="17"/>
      <c r="BT335" s="17"/>
      <c r="BU335" s="17"/>
      <c r="BV335" s="17"/>
      <c r="BW335" s="17"/>
      <c r="BX335" s="17"/>
      <c r="BY335" s="17"/>
      <c r="BZ335" s="17"/>
      <c r="CA335" s="17"/>
      <c r="CB335" s="17"/>
      <c r="CC335" s="17"/>
      <c r="CD335" s="17"/>
      <c r="CE335" s="17"/>
      <c r="CF335" s="17"/>
      <c r="CG335" s="17"/>
      <c r="CH335" s="17"/>
      <c r="CI335" s="17"/>
      <c r="CJ335" s="17"/>
      <c r="CK335" s="17"/>
      <c r="CL335" s="17"/>
      <c r="CM335" s="17"/>
      <c r="CN335" s="17"/>
      <c r="CO335" s="17"/>
      <c r="CP335" s="17"/>
      <c r="CQ335" s="17"/>
      <c r="CR335" s="17"/>
      <c r="CS335" s="17"/>
      <c r="CT335" s="17"/>
      <c r="CU335" s="17"/>
      <c r="CV335" s="17"/>
      <c r="CW335" s="17"/>
      <c r="CX335" s="17"/>
      <c r="CY335" s="17"/>
      <c r="CZ335" s="17"/>
      <c r="DA335" s="17"/>
      <c r="DB335" s="17"/>
      <c r="DC335" s="17"/>
      <c r="DD335" s="17"/>
      <c r="DE335" s="17"/>
      <c r="DF335" s="17"/>
      <c r="DG335" s="17"/>
      <c r="DH335" s="17"/>
      <c r="DI335" s="17"/>
      <c r="DJ335" s="17"/>
      <c r="DK335" s="17"/>
      <c r="DL335" s="17"/>
      <c r="DM335" s="17"/>
      <c r="DN335" s="17"/>
      <c r="DO335" s="17"/>
      <c r="DP335" s="17"/>
      <c r="DQ335" s="17"/>
      <c r="DR335" s="17"/>
      <c r="DS335" s="17"/>
      <c r="DT335" s="17"/>
      <c r="DU335" s="17"/>
      <c r="DV335" s="17"/>
      <c r="DW335" s="17"/>
      <c r="DX335" s="17"/>
      <c r="DY335" s="17"/>
      <c r="DZ335" s="17"/>
      <c r="EA335" s="17"/>
      <c r="EB335" s="17"/>
      <c r="EC335" s="17"/>
      <c r="ED335" s="17"/>
      <c r="EE335" s="17"/>
      <c r="EF335" s="17"/>
      <c r="EG335" s="17"/>
      <c r="EH335" s="17"/>
      <c r="EI335" s="17"/>
      <c r="EJ335" s="17"/>
      <c r="EK335" s="17"/>
      <c r="EL335" s="17"/>
      <c r="EM335" s="17"/>
      <c r="EN335" s="17"/>
      <c r="EO335" s="17"/>
      <c r="EP335" s="17"/>
      <c r="EQ335" s="17"/>
      <c r="ER335" s="17"/>
      <c r="ES335" s="17"/>
      <c r="ET335" s="17"/>
      <c r="EU335" s="17"/>
      <c r="EV335" s="17"/>
      <c r="EW335" s="17"/>
      <c r="EX335" s="17"/>
      <c r="EY335" s="17"/>
      <c r="EZ335" s="17"/>
      <c r="FA335" s="17"/>
      <c r="FB335" s="17"/>
      <c r="FC335" s="17"/>
      <c r="FD335" s="17"/>
      <c r="FE335" s="17"/>
      <c r="FF335" s="17"/>
      <c r="FG335" s="17"/>
      <c r="FH335" s="17"/>
      <c r="FI335" s="17"/>
      <c r="FJ335" s="17"/>
      <c r="FK335" s="17"/>
      <c r="FL335" s="17"/>
      <c r="FM335" s="17"/>
      <c r="FN335" s="17"/>
      <c r="FO335" s="17"/>
      <c r="FP335" s="17"/>
      <c r="FQ335" s="17"/>
      <c r="FR335" s="17"/>
      <c r="FS335" s="17"/>
      <c r="FT335" s="17"/>
      <c r="FU335" s="17"/>
      <c r="FV335" s="17"/>
      <c r="FW335" s="17"/>
      <c r="FX335" s="17"/>
      <c r="FY335" s="17"/>
      <c r="FZ335" s="17"/>
      <c r="GA335" s="17"/>
      <c r="GB335" s="17"/>
      <c r="GC335" s="17"/>
      <c r="GD335" s="17"/>
      <c r="GE335" s="17"/>
      <c r="GF335" s="17"/>
      <c r="GG335" s="17"/>
      <c r="GH335" s="17"/>
      <c r="GI335" s="17"/>
      <c r="GJ335" s="17"/>
      <c r="GK335" s="17"/>
      <c r="GL335" s="17"/>
      <c r="GM335" s="17"/>
      <c r="GN335" s="17"/>
      <c r="GO335" s="17"/>
      <c r="GP335" s="17"/>
      <c r="GQ335" s="17"/>
      <c r="GR335" s="17"/>
      <c r="GS335" s="17"/>
      <c r="GT335" s="17"/>
      <c r="GU335" s="17"/>
      <c r="GV335" s="17"/>
      <c r="GW335" s="17"/>
      <c r="GX335" s="17"/>
      <c r="GY335" s="17"/>
      <c r="GZ335" s="17"/>
      <c r="HA335" s="17"/>
      <c r="HB335" s="17"/>
      <c r="HC335" s="17"/>
      <c r="HD335" s="17"/>
      <c r="HE335" s="17"/>
      <c r="HF335" s="17"/>
      <c r="HG335" s="17"/>
      <c r="HH335" s="17"/>
      <c r="HI335" s="17"/>
      <c r="HJ335" s="17"/>
      <c r="HK335" s="17"/>
      <c r="HL335" s="17"/>
      <c r="HM335" s="17"/>
      <c r="HN335" s="17"/>
      <c r="HO335" s="17"/>
      <c r="HP335" s="17"/>
      <c r="HQ335" s="17"/>
      <c r="HR335" s="17"/>
      <c r="HS335" s="17"/>
      <c r="HT335" s="17"/>
      <c r="HU335" s="17"/>
      <c r="HV335" s="17"/>
      <c r="HW335" s="17"/>
      <c r="HX335" s="17"/>
      <c r="HY335" s="17"/>
      <c r="HZ335" s="17"/>
      <c r="IA335" s="17"/>
      <c r="IB335" s="17"/>
      <c r="IC335" s="17"/>
      <c r="ID335" s="17"/>
      <c r="IE335" s="17"/>
      <c r="IF335" s="17"/>
      <c r="IG335" s="17"/>
      <c r="IH335" s="17"/>
      <c r="II335" s="17"/>
      <c r="IJ335" s="17"/>
      <c r="IK335" s="17"/>
      <c r="IL335" s="17"/>
      <c r="IM335" s="17"/>
      <c r="IN335" s="17"/>
      <c r="IO335" s="17"/>
      <c r="IP335" s="17"/>
      <c r="IQ335" s="17"/>
      <c r="IR335" s="17"/>
      <c r="IS335" s="17"/>
      <c r="IT335" s="17"/>
      <c r="IU335" s="17"/>
      <c r="IV335" s="17"/>
      <c r="IW335" s="17"/>
      <c r="IX335" s="17"/>
      <c r="IY335" s="17"/>
      <c r="IZ335" s="17"/>
      <c r="JA335" s="17"/>
      <c r="JB335" s="17"/>
      <c r="JC335" s="17"/>
      <c r="JD335" s="17"/>
      <c r="JE335" s="17"/>
      <c r="JF335" s="17"/>
      <c r="JG335" s="17"/>
      <c r="JH335" s="17"/>
      <c r="JI335" s="17"/>
      <c r="JJ335" s="17"/>
      <c r="JK335" s="17"/>
      <c r="JL335" s="17"/>
      <c r="JM335" s="17"/>
      <c r="JN335" s="17"/>
      <c r="JO335" s="17"/>
      <c r="JP335" s="17"/>
      <c r="JQ335" s="17"/>
      <c r="JR335" s="17"/>
      <c r="JS335" s="17"/>
      <c r="JT335" s="17"/>
      <c r="JU335" s="17"/>
      <c r="JV335" s="17"/>
      <c r="JW335" s="17"/>
      <c r="JX335" s="17"/>
      <c r="JY335" s="17"/>
      <c r="JZ335" s="17"/>
      <c r="KA335" s="17"/>
      <c r="KB335" s="17"/>
      <c r="KC335" s="17"/>
      <c r="KD335" s="17"/>
      <c r="KE335" s="17"/>
      <c r="KF335" s="17"/>
      <c r="KG335" s="17"/>
      <c r="KH335" s="17"/>
      <c r="KI335" s="17"/>
      <c r="KJ335" s="17"/>
      <c r="KK335" s="17"/>
      <c r="KL335" s="17"/>
      <c r="KM335" s="17"/>
      <c r="KN335" s="17"/>
      <c r="KO335" s="17"/>
      <c r="KP335" s="17"/>
      <c r="KQ335" s="17"/>
      <c r="KR335" s="17"/>
      <c r="KS335" s="17"/>
      <c r="KT335" s="17"/>
      <c r="KU335" s="17"/>
      <c r="KV335" s="17"/>
      <c r="KW335" s="17"/>
      <c r="KX335" s="17"/>
      <c r="KY335" s="17"/>
    </row>
    <row r="336" spans="1:311" x14ac:dyDescent="0.25">
      <c r="A336" s="17"/>
      <c r="B336" s="17"/>
      <c r="C336" s="17"/>
      <c r="D336" s="17"/>
      <c r="E336" s="17"/>
      <c r="F336" s="17"/>
      <c r="G336" s="17"/>
      <c r="H336" s="17"/>
      <c r="I336" s="17"/>
      <c r="J336" s="17"/>
      <c r="K336" s="17"/>
      <c r="L336" s="17"/>
      <c r="M336" s="17"/>
      <c r="N336" s="17"/>
      <c r="O336" s="17"/>
      <c r="P336" s="17"/>
      <c r="Q336" s="17"/>
      <c r="R336" s="17"/>
      <c r="S336" s="17"/>
      <c r="T336" s="17"/>
      <c r="U336" s="17"/>
      <c r="V336" s="17"/>
      <c r="W336" s="17"/>
      <c r="X336" s="17"/>
      <c r="Y336" s="17"/>
      <c r="Z336" s="17"/>
      <c r="AA336" s="17"/>
      <c r="AB336" s="17"/>
      <c r="AC336" s="17"/>
      <c r="AD336" s="17"/>
      <c r="AE336" s="17"/>
      <c r="AF336" s="17"/>
      <c r="AG336" s="17"/>
      <c r="AH336" s="17"/>
      <c r="AI336" s="17"/>
      <c r="AJ336" s="17"/>
      <c r="AK336" s="17"/>
      <c r="AL336" s="17"/>
      <c r="AM336" s="17"/>
      <c r="AN336" s="17"/>
      <c r="AO336" s="17"/>
      <c r="AP336" s="17"/>
      <c r="AQ336" s="17"/>
      <c r="AR336" s="17"/>
      <c r="AS336" s="17"/>
      <c r="AT336" s="17"/>
      <c r="AU336" s="17"/>
      <c r="AV336" s="17"/>
      <c r="AW336" s="17"/>
      <c r="AX336" s="17"/>
      <c r="AY336" s="17"/>
      <c r="AZ336" s="17"/>
      <c r="BA336" s="17"/>
      <c r="BB336" s="17"/>
      <c r="BC336" s="17"/>
      <c r="BD336" s="17"/>
      <c r="BE336" s="17"/>
      <c r="BF336" s="17"/>
      <c r="BG336" s="17"/>
      <c r="BH336" s="17"/>
      <c r="BI336" s="17"/>
      <c r="BJ336" s="17"/>
      <c r="BK336" s="17"/>
      <c r="BL336" s="17"/>
      <c r="BM336" s="17"/>
      <c r="BN336" s="17"/>
      <c r="BO336" s="17"/>
      <c r="BP336" s="17"/>
      <c r="BQ336" s="17"/>
      <c r="BR336" s="17"/>
      <c r="BS336" s="17"/>
      <c r="BT336" s="17"/>
      <c r="BU336" s="17"/>
      <c r="BV336" s="17"/>
      <c r="BW336" s="17"/>
      <c r="BX336" s="17"/>
      <c r="BY336" s="17"/>
      <c r="BZ336" s="17"/>
      <c r="CA336" s="17"/>
      <c r="CB336" s="17"/>
      <c r="CC336" s="17"/>
      <c r="CD336" s="17"/>
      <c r="CE336" s="17"/>
      <c r="CF336" s="17"/>
      <c r="CG336" s="17"/>
      <c r="CH336" s="17"/>
      <c r="CI336" s="17"/>
      <c r="CJ336" s="17"/>
      <c r="CK336" s="17"/>
      <c r="CL336" s="17"/>
      <c r="CM336" s="17"/>
      <c r="CN336" s="17"/>
      <c r="CO336" s="17"/>
      <c r="CP336" s="17"/>
      <c r="CQ336" s="17"/>
      <c r="CR336" s="17"/>
      <c r="CS336" s="17"/>
      <c r="CT336" s="17"/>
      <c r="CU336" s="17"/>
      <c r="CV336" s="17"/>
      <c r="CW336" s="17"/>
      <c r="CX336" s="17"/>
      <c r="CY336" s="17"/>
      <c r="CZ336" s="17"/>
      <c r="DA336" s="17"/>
      <c r="DB336" s="17"/>
      <c r="DC336" s="17"/>
      <c r="DD336" s="17"/>
      <c r="DE336" s="17"/>
      <c r="DF336" s="17"/>
      <c r="DG336" s="17"/>
      <c r="DH336" s="17"/>
      <c r="DI336" s="17"/>
      <c r="DJ336" s="17"/>
      <c r="DK336" s="17"/>
      <c r="DL336" s="17"/>
      <c r="DM336" s="17"/>
      <c r="DN336" s="17"/>
      <c r="DO336" s="17"/>
      <c r="DP336" s="17"/>
      <c r="DQ336" s="17"/>
      <c r="DR336" s="17"/>
      <c r="DS336" s="17"/>
      <c r="DT336" s="17"/>
      <c r="DU336" s="17"/>
      <c r="DV336" s="17"/>
      <c r="DW336" s="17"/>
      <c r="DX336" s="17"/>
      <c r="DY336" s="17"/>
      <c r="DZ336" s="17"/>
      <c r="EA336" s="17"/>
      <c r="EB336" s="17"/>
      <c r="EC336" s="17"/>
      <c r="ED336" s="17"/>
      <c r="EE336" s="17"/>
      <c r="EF336" s="17"/>
      <c r="EG336" s="17"/>
      <c r="EH336" s="17"/>
      <c r="EI336" s="17"/>
      <c r="EJ336" s="17"/>
      <c r="EK336" s="17"/>
      <c r="EL336" s="17"/>
      <c r="EM336" s="17"/>
      <c r="EN336" s="17"/>
      <c r="EO336" s="17"/>
      <c r="EP336" s="17"/>
      <c r="EQ336" s="17"/>
      <c r="ER336" s="17"/>
      <c r="ES336" s="17"/>
      <c r="ET336" s="17"/>
      <c r="EU336" s="17"/>
      <c r="EV336" s="17"/>
      <c r="EW336" s="17"/>
      <c r="EX336" s="17"/>
      <c r="EY336" s="17"/>
      <c r="EZ336" s="17"/>
      <c r="FA336" s="17"/>
      <c r="FB336" s="17"/>
      <c r="FC336" s="17"/>
      <c r="FD336" s="17"/>
      <c r="FE336" s="17"/>
      <c r="FF336" s="17"/>
      <c r="FG336" s="17"/>
      <c r="FH336" s="17"/>
      <c r="FI336" s="17"/>
      <c r="FJ336" s="17"/>
      <c r="FK336" s="17"/>
      <c r="FL336" s="17"/>
      <c r="FM336" s="17"/>
      <c r="FN336" s="17"/>
      <c r="FO336" s="17"/>
      <c r="FP336" s="17"/>
      <c r="FQ336" s="17"/>
      <c r="FR336" s="17"/>
      <c r="FS336" s="17"/>
      <c r="FT336" s="17"/>
      <c r="FU336" s="17"/>
      <c r="FV336" s="17"/>
      <c r="FW336" s="17"/>
      <c r="FX336" s="17"/>
      <c r="FY336" s="17"/>
      <c r="FZ336" s="17"/>
      <c r="GA336" s="17"/>
      <c r="GB336" s="17"/>
      <c r="GC336" s="17"/>
      <c r="GD336" s="17"/>
      <c r="GE336" s="17"/>
      <c r="GF336" s="17"/>
      <c r="GG336" s="17"/>
      <c r="GH336" s="17"/>
      <c r="GI336" s="17"/>
      <c r="GJ336" s="17"/>
      <c r="GK336" s="17"/>
      <c r="GL336" s="17"/>
      <c r="GM336" s="17"/>
      <c r="GN336" s="17"/>
      <c r="GO336" s="17"/>
      <c r="GP336" s="17"/>
      <c r="GQ336" s="17"/>
      <c r="GR336" s="17"/>
      <c r="GS336" s="17"/>
      <c r="GT336" s="17"/>
      <c r="GU336" s="17"/>
      <c r="GV336" s="17"/>
      <c r="GW336" s="17"/>
      <c r="GX336" s="17"/>
      <c r="GY336" s="17"/>
      <c r="GZ336" s="17"/>
      <c r="HA336" s="17"/>
      <c r="HB336" s="17"/>
      <c r="HC336" s="17"/>
      <c r="HD336" s="17"/>
      <c r="HE336" s="17"/>
      <c r="HF336" s="17"/>
      <c r="HG336" s="17"/>
      <c r="HH336" s="17"/>
      <c r="HI336" s="17"/>
      <c r="HJ336" s="17"/>
      <c r="HK336" s="17"/>
      <c r="HL336" s="17"/>
      <c r="HM336" s="17"/>
      <c r="HN336" s="17"/>
      <c r="HO336" s="17"/>
      <c r="HP336" s="17"/>
      <c r="HQ336" s="17"/>
      <c r="HR336" s="17"/>
      <c r="HS336" s="17"/>
      <c r="HT336" s="17"/>
      <c r="HU336" s="17"/>
      <c r="HV336" s="17"/>
      <c r="HW336" s="17"/>
      <c r="HX336" s="17"/>
      <c r="HY336" s="17"/>
      <c r="HZ336" s="17"/>
      <c r="IA336" s="17"/>
      <c r="IB336" s="17"/>
      <c r="IC336" s="17"/>
      <c r="ID336" s="17"/>
      <c r="IE336" s="17"/>
      <c r="IF336" s="17"/>
      <c r="IG336" s="17"/>
      <c r="IH336" s="17"/>
      <c r="II336" s="17"/>
      <c r="IJ336" s="17"/>
      <c r="IK336" s="17"/>
      <c r="IL336" s="17"/>
      <c r="IM336" s="17"/>
      <c r="IN336" s="17"/>
      <c r="IO336" s="17"/>
      <c r="IP336" s="17"/>
      <c r="IQ336" s="17"/>
      <c r="IR336" s="17"/>
      <c r="IS336" s="17"/>
      <c r="IT336" s="17"/>
      <c r="IU336" s="17"/>
      <c r="IV336" s="17"/>
      <c r="IW336" s="17"/>
      <c r="IX336" s="17"/>
      <c r="IY336" s="17"/>
      <c r="IZ336" s="17"/>
      <c r="JA336" s="17"/>
      <c r="JB336" s="17"/>
      <c r="JC336" s="17"/>
      <c r="JD336" s="17"/>
      <c r="JE336" s="17"/>
      <c r="JF336" s="17"/>
      <c r="JG336" s="17"/>
      <c r="JH336" s="17"/>
      <c r="JI336" s="17"/>
      <c r="JJ336" s="17"/>
      <c r="JK336" s="17"/>
      <c r="JL336" s="17"/>
      <c r="JM336" s="17"/>
      <c r="JN336" s="17"/>
      <c r="JO336" s="17"/>
      <c r="JP336" s="17"/>
      <c r="JQ336" s="17"/>
      <c r="JR336" s="17"/>
      <c r="JS336" s="17"/>
      <c r="JT336" s="17"/>
      <c r="JU336" s="17"/>
      <c r="JV336" s="17"/>
      <c r="JW336" s="17"/>
      <c r="JX336" s="17"/>
      <c r="JY336" s="17"/>
      <c r="JZ336" s="17"/>
      <c r="KA336" s="17"/>
      <c r="KB336" s="17"/>
      <c r="KC336" s="17"/>
      <c r="KD336" s="17"/>
      <c r="KE336" s="17"/>
      <c r="KF336" s="17"/>
      <c r="KG336" s="17"/>
      <c r="KH336" s="17"/>
      <c r="KI336" s="17"/>
      <c r="KJ336" s="17"/>
      <c r="KK336" s="17"/>
      <c r="KL336" s="17"/>
      <c r="KM336" s="17"/>
      <c r="KN336" s="17"/>
      <c r="KO336" s="17"/>
      <c r="KP336" s="17"/>
      <c r="KQ336" s="17"/>
      <c r="KR336" s="17"/>
      <c r="KS336" s="17"/>
      <c r="KT336" s="17"/>
      <c r="KU336" s="17"/>
      <c r="KV336" s="17"/>
      <c r="KW336" s="17"/>
      <c r="KX336" s="17"/>
      <c r="KY336" s="17"/>
    </row>
    <row r="337" spans="1:311" x14ac:dyDescent="0.25">
      <c r="A337" s="17"/>
      <c r="B337" s="17"/>
      <c r="C337" s="17"/>
      <c r="D337" s="17"/>
      <c r="E337" s="17"/>
      <c r="F337" s="17"/>
      <c r="G337" s="17"/>
      <c r="H337" s="17"/>
      <c r="I337" s="17"/>
      <c r="J337" s="17"/>
      <c r="K337" s="17"/>
      <c r="L337" s="17"/>
      <c r="M337" s="17"/>
      <c r="N337" s="17"/>
      <c r="O337" s="17"/>
      <c r="P337" s="17"/>
      <c r="Q337" s="17"/>
      <c r="R337" s="17"/>
      <c r="S337" s="17"/>
      <c r="T337" s="17"/>
      <c r="U337" s="17"/>
      <c r="V337" s="17"/>
      <c r="W337" s="17"/>
      <c r="X337" s="17"/>
      <c r="Y337" s="17"/>
      <c r="Z337" s="17"/>
      <c r="AA337" s="17"/>
      <c r="AB337" s="17"/>
      <c r="AC337" s="17"/>
      <c r="AD337" s="17"/>
      <c r="AE337" s="17"/>
      <c r="AF337" s="17"/>
      <c r="AG337" s="17"/>
      <c r="AH337" s="17"/>
      <c r="AI337" s="17"/>
      <c r="AJ337" s="17"/>
      <c r="AK337" s="17"/>
      <c r="AL337" s="17"/>
      <c r="AM337" s="17"/>
      <c r="AN337" s="17"/>
      <c r="AO337" s="17"/>
      <c r="AP337" s="17"/>
      <c r="AQ337" s="17"/>
      <c r="AR337" s="17"/>
      <c r="AS337" s="17"/>
      <c r="AT337" s="17"/>
      <c r="AU337" s="17"/>
      <c r="AV337" s="17"/>
      <c r="AW337" s="17"/>
      <c r="AX337" s="17"/>
      <c r="AY337" s="17"/>
      <c r="AZ337" s="17"/>
      <c r="BA337" s="17"/>
      <c r="BB337" s="17"/>
      <c r="BC337" s="17"/>
      <c r="BD337" s="17"/>
      <c r="BE337" s="17"/>
      <c r="BF337" s="17"/>
      <c r="BG337" s="17"/>
      <c r="BH337" s="17"/>
      <c r="BI337" s="17"/>
      <c r="BJ337" s="17"/>
      <c r="BK337" s="17"/>
      <c r="BL337" s="17"/>
      <c r="BM337" s="17"/>
      <c r="BN337" s="17"/>
      <c r="BO337" s="17"/>
      <c r="BP337" s="17"/>
      <c r="BQ337" s="17"/>
      <c r="BR337" s="17"/>
      <c r="BS337" s="17"/>
      <c r="BT337" s="17"/>
      <c r="BU337" s="17"/>
      <c r="BV337" s="17"/>
      <c r="BW337" s="17"/>
      <c r="BX337" s="17"/>
      <c r="BY337" s="17"/>
      <c r="BZ337" s="17"/>
      <c r="CA337" s="17"/>
      <c r="CB337" s="17"/>
      <c r="CC337" s="17"/>
      <c r="CD337" s="17"/>
      <c r="CE337" s="17"/>
      <c r="CF337" s="17"/>
      <c r="CG337" s="17"/>
      <c r="CH337" s="17"/>
      <c r="CI337" s="17"/>
      <c r="CJ337" s="17"/>
      <c r="CK337" s="17"/>
      <c r="CL337" s="17"/>
      <c r="CM337" s="17"/>
      <c r="CN337" s="17"/>
      <c r="CO337" s="17"/>
      <c r="CP337" s="17"/>
      <c r="CQ337" s="17"/>
      <c r="CR337" s="17"/>
      <c r="CS337" s="17"/>
      <c r="CT337" s="17"/>
      <c r="CU337" s="17"/>
      <c r="CV337" s="17"/>
      <c r="CW337" s="17"/>
      <c r="CX337" s="17"/>
      <c r="CY337" s="17"/>
      <c r="CZ337" s="17"/>
      <c r="DA337" s="17"/>
      <c r="DB337" s="17"/>
      <c r="DC337" s="17"/>
      <c r="DD337" s="17"/>
      <c r="DE337" s="17"/>
      <c r="DF337" s="17"/>
      <c r="DG337" s="17"/>
      <c r="DH337" s="17"/>
      <c r="DI337" s="17"/>
      <c r="DJ337" s="17"/>
      <c r="DK337" s="17"/>
      <c r="DL337" s="17"/>
      <c r="DM337" s="17"/>
      <c r="DN337" s="17"/>
      <c r="DO337" s="17"/>
      <c r="DP337" s="17"/>
      <c r="DQ337" s="17"/>
      <c r="DR337" s="17"/>
      <c r="DS337" s="17"/>
      <c r="DT337" s="17"/>
      <c r="DU337" s="17"/>
      <c r="DV337" s="17"/>
      <c r="DW337" s="17"/>
      <c r="DX337" s="17"/>
      <c r="DY337" s="17"/>
      <c r="DZ337" s="17"/>
      <c r="EA337" s="17"/>
      <c r="EB337" s="17"/>
      <c r="EC337" s="17"/>
      <c r="ED337" s="17"/>
      <c r="EE337" s="17"/>
      <c r="EF337" s="17"/>
      <c r="EG337" s="17"/>
      <c r="EH337" s="17"/>
      <c r="EI337" s="17"/>
      <c r="EJ337" s="17"/>
      <c r="EK337" s="17"/>
      <c r="EL337" s="17"/>
      <c r="EM337" s="17"/>
      <c r="EN337" s="17"/>
      <c r="EO337" s="17"/>
      <c r="EP337" s="17"/>
      <c r="EQ337" s="17"/>
      <c r="ER337" s="17"/>
      <c r="ES337" s="17"/>
      <c r="ET337" s="17"/>
      <c r="EU337" s="17"/>
      <c r="EV337" s="17"/>
      <c r="EW337" s="17"/>
      <c r="EX337" s="17"/>
      <c r="EY337" s="17"/>
      <c r="EZ337" s="17"/>
      <c r="FA337" s="17"/>
      <c r="FB337" s="17"/>
      <c r="FC337" s="17"/>
      <c r="FD337" s="17"/>
      <c r="FE337" s="17"/>
      <c r="FF337" s="17"/>
      <c r="FG337" s="17"/>
      <c r="FH337" s="17"/>
      <c r="FI337" s="17"/>
      <c r="FJ337" s="17"/>
      <c r="FK337" s="17"/>
      <c r="FL337" s="17"/>
      <c r="FM337" s="17"/>
      <c r="FN337" s="17"/>
      <c r="FO337" s="17"/>
      <c r="FP337" s="17"/>
      <c r="FQ337" s="17"/>
      <c r="FR337" s="17"/>
      <c r="FS337" s="17"/>
      <c r="FT337" s="17"/>
      <c r="FU337" s="17"/>
      <c r="FV337" s="17"/>
      <c r="FW337" s="17"/>
      <c r="FX337" s="17"/>
      <c r="FY337" s="17"/>
      <c r="FZ337" s="17"/>
      <c r="GA337" s="17"/>
      <c r="GB337" s="17"/>
      <c r="GC337" s="17"/>
      <c r="GD337" s="17"/>
      <c r="GE337" s="17"/>
      <c r="GF337" s="17"/>
      <c r="GG337" s="17"/>
      <c r="GH337" s="17"/>
      <c r="GI337" s="17"/>
      <c r="GJ337" s="17"/>
      <c r="GK337" s="17"/>
      <c r="GL337" s="17"/>
      <c r="GM337" s="17"/>
      <c r="GN337" s="17"/>
      <c r="GO337" s="17"/>
      <c r="GP337" s="17"/>
      <c r="GQ337" s="17"/>
      <c r="GR337" s="17"/>
      <c r="GS337" s="17"/>
      <c r="GT337" s="17"/>
      <c r="GU337" s="17"/>
      <c r="GV337" s="17"/>
      <c r="GW337" s="17"/>
      <c r="GX337" s="17"/>
      <c r="GY337" s="17"/>
      <c r="GZ337" s="17"/>
      <c r="HA337" s="17"/>
      <c r="HB337" s="17"/>
      <c r="HC337" s="17"/>
      <c r="HD337" s="17"/>
      <c r="HE337" s="17"/>
      <c r="HF337" s="17"/>
      <c r="HG337" s="17"/>
      <c r="HH337" s="17"/>
      <c r="HI337" s="17"/>
      <c r="HJ337" s="17"/>
      <c r="HK337" s="17"/>
      <c r="HL337" s="17"/>
      <c r="HM337" s="17"/>
      <c r="HN337" s="17"/>
      <c r="HO337" s="17"/>
      <c r="HP337" s="17"/>
      <c r="HQ337" s="17"/>
      <c r="HR337" s="17"/>
      <c r="HS337" s="17"/>
      <c r="HT337" s="17"/>
      <c r="HU337" s="17"/>
      <c r="HV337" s="17"/>
      <c r="HW337" s="17"/>
      <c r="HX337" s="17"/>
      <c r="HY337" s="17"/>
      <c r="HZ337" s="17"/>
      <c r="IA337" s="17"/>
      <c r="IB337" s="17"/>
      <c r="IC337" s="17"/>
      <c r="ID337" s="17"/>
      <c r="IE337" s="17"/>
      <c r="IF337" s="17"/>
      <c r="IG337" s="17"/>
      <c r="IH337" s="17"/>
      <c r="II337" s="17"/>
      <c r="IJ337" s="17"/>
      <c r="IK337" s="17"/>
      <c r="IL337" s="17"/>
      <c r="IM337" s="17"/>
      <c r="IN337" s="17"/>
      <c r="IO337" s="17"/>
      <c r="IP337" s="17"/>
      <c r="IQ337" s="17"/>
      <c r="IR337" s="17"/>
      <c r="IS337" s="17"/>
      <c r="IT337" s="17"/>
      <c r="IU337" s="17"/>
      <c r="IV337" s="17"/>
      <c r="IW337" s="17"/>
      <c r="IX337" s="17"/>
      <c r="IY337" s="17"/>
      <c r="IZ337" s="17"/>
      <c r="JA337" s="17"/>
      <c r="JB337" s="17"/>
      <c r="JC337" s="17"/>
      <c r="JD337" s="17"/>
      <c r="JE337" s="17"/>
      <c r="JF337" s="17"/>
      <c r="JG337" s="17"/>
      <c r="JH337" s="17"/>
      <c r="JI337" s="17"/>
      <c r="JJ337" s="17"/>
      <c r="JK337" s="17"/>
      <c r="JL337" s="17"/>
      <c r="JM337" s="17"/>
      <c r="JN337" s="17"/>
      <c r="JO337" s="17"/>
      <c r="JP337" s="17"/>
      <c r="JQ337" s="17"/>
      <c r="JR337" s="17"/>
      <c r="JS337" s="17"/>
      <c r="JT337" s="17"/>
      <c r="JU337" s="17"/>
      <c r="JV337" s="17"/>
      <c r="JW337" s="17"/>
      <c r="JX337" s="17"/>
      <c r="JY337" s="17"/>
      <c r="JZ337" s="17"/>
      <c r="KA337" s="17"/>
      <c r="KB337" s="17"/>
      <c r="KC337" s="17"/>
      <c r="KD337" s="17"/>
      <c r="KE337" s="17"/>
      <c r="KF337" s="17"/>
      <c r="KG337" s="17"/>
      <c r="KH337" s="17"/>
      <c r="KI337" s="17"/>
      <c r="KJ337" s="17"/>
      <c r="KK337" s="17"/>
      <c r="KL337" s="17"/>
      <c r="KM337" s="17"/>
      <c r="KN337" s="17"/>
      <c r="KO337" s="17"/>
      <c r="KP337" s="17"/>
      <c r="KQ337" s="17"/>
      <c r="KR337" s="17"/>
      <c r="KS337" s="17"/>
      <c r="KT337" s="17"/>
      <c r="KU337" s="17"/>
      <c r="KV337" s="17"/>
      <c r="KW337" s="17"/>
      <c r="KX337" s="17"/>
      <c r="KY337" s="17"/>
    </row>
    <row r="338" spans="1:311" x14ac:dyDescent="0.25">
      <c r="A338" s="17"/>
      <c r="B338" s="17"/>
      <c r="C338" s="17"/>
      <c r="D338" s="17"/>
      <c r="E338" s="17"/>
      <c r="F338" s="17"/>
      <c r="G338" s="17"/>
      <c r="H338" s="17"/>
      <c r="I338" s="17"/>
      <c r="J338" s="17"/>
      <c r="K338" s="17"/>
      <c r="L338" s="17"/>
      <c r="M338" s="17"/>
      <c r="N338" s="17"/>
      <c r="O338" s="17"/>
      <c r="P338" s="17"/>
      <c r="Q338" s="17"/>
      <c r="R338" s="17"/>
      <c r="S338" s="17"/>
      <c r="T338" s="17"/>
      <c r="U338" s="17"/>
      <c r="V338" s="17"/>
      <c r="W338" s="17"/>
      <c r="X338" s="17"/>
      <c r="Y338" s="17"/>
      <c r="Z338" s="17"/>
      <c r="AA338" s="17"/>
      <c r="AB338" s="17"/>
      <c r="AC338" s="17"/>
      <c r="AD338" s="17"/>
      <c r="AE338" s="17"/>
      <c r="AF338" s="17"/>
      <c r="AG338" s="17"/>
      <c r="AH338" s="17"/>
      <c r="AI338" s="17"/>
      <c r="AJ338" s="17"/>
      <c r="AK338" s="17"/>
      <c r="AL338" s="17"/>
      <c r="AM338" s="17"/>
      <c r="AN338" s="17"/>
      <c r="AO338" s="17"/>
      <c r="AP338" s="17"/>
      <c r="AQ338" s="17"/>
      <c r="AR338" s="17"/>
      <c r="AS338" s="17"/>
      <c r="AT338" s="17"/>
      <c r="AU338" s="17"/>
      <c r="AV338" s="17"/>
      <c r="AW338" s="17"/>
      <c r="AX338" s="17"/>
      <c r="AY338" s="17"/>
      <c r="AZ338" s="17"/>
      <c r="BA338" s="17"/>
      <c r="BB338" s="17"/>
      <c r="BC338" s="17"/>
      <c r="BD338" s="17"/>
      <c r="BE338" s="17"/>
      <c r="BF338" s="17"/>
      <c r="BG338" s="17"/>
      <c r="BH338" s="17"/>
      <c r="BI338" s="17"/>
      <c r="BJ338" s="17"/>
      <c r="BK338" s="17"/>
      <c r="BL338" s="17"/>
      <c r="BM338" s="17"/>
      <c r="BN338" s="17"/>
      <c r="BO338" s="17"/>
      <c r="BP338" s="17"/>
      <c r="BQ338" s="17"/>
      <c r="BR338" s="17"/>
      <c r="BS338" s="17"/>
      <c r="BT338" s="17"/>
      <c r="BU338" s="17"/>
      <c r="BV338" s="17"/>
      <c r="BW338" s="17"/>
      <c r="BX338" s="17"/>
      <c r="BY338" s="17"/>
      <c r="BZ338" s="17"/>
      <c r="CA338" s="17"/>
      <c r="CB338" s="17"/>
      <c r="CC338" s="17"/>
      <c r="CD338" s="17"/>
      <c r="CE338" s="17"/>
      <c r="CF338" s="17"/>
      <c r="CG338" s="17"/>
      <c r="CH338" s="17"/>
      <c r="CI338" s="17"/>
      <c r="CJ338" s="17"/>
      <c r="CK338" s="17"/>
      <c r="CL338" s="17"/>
      <c r="CM338" s="17"/>
      <c r="CN338" s="17"/>
      <c r="CO338" s="17"/>
      <c r="CP338" s="17"/>
      <c r="CQ338" s="17"/>
      <c r="CR338" s="17"/>
      <c r="CS338" s="17"/>
      <c r="CT338" s="17"/>
      <c r="CU338" s="17"/>
      <c r="CV338" s="17"/>
      <c r="CW338" s="17"/>
      <c r="CX338" s="17"/>
      <c r="CY338" s="17"/>
      <c r="CZ338" s="17"/>
      <c r="DA338" s="17"/>
      <c r="DB338" s="17"/>
      <c r="DC338" s="17"/>
      <c r="DD338" s="17"/>
      <c r="DE338" s="17"/>
      <c r="DF338" s="17"/>
      <c r="DG338" s="17"/>
      <c r="DH338" s="17"/>
      <c r="DI338" s="17"/>
      <c r="DJ338" s="17"/>
      <c r="DK338" s="17"/>
      <c r="DL338" s="17"/>
      <c r="DM338" s="17"/>
      <c r="DN338" s="17"/>
      <c r="DO338" s="17"/>
      <c r="DP338" s="17"/>
      <c r="DQ338" s="17"/>
      <c r="DR338" s="17"/>
      <c r="DS338" s="17"/>
      <c r="DT338" s="17"/>
      <c r="DU338" s="17"/>
      <c r="DV338" s="17"/>
      <c r="DW338" s="17"/>
      <c r="DX338" s="17"/>
      <c r="DY338" s="17"/>
      <c r="DZ338" s="17"/>
      <c r="EA338" s="17"/>
      <c r="EB338" s="17"/>
      <c r="EC338" s="17"/>
      <c r="ED338" s="17"/>
      <c r="EE338" s="17"/>
      <c r="EF338" s="17"/>
      <c r="EG338" s="17"/>
      <c r="EH338" s="17"/>
      <c r="EI338" s="17"/>
      <c r="EJ338" s="17"/>
      <c r="EK338" s="17"/>
      <c r="EL338" s="17"/>
      <c r="EM338" s="17"/>
      <c r="EN338" s="17"/>
      <c r="EO338" s="17"/>
      <c r="EP338" s="17"/>
      <c r="EQ338" s="17"/>
      <c r="ER338" s="17"/>
      <c r="ES338" s="17"/>
      <c r="ET338" s="17"/>
      <c r="EU338" s="17"/>
      <c r="EV338" s="17"/>
      <c r="EW338" s="17"/>
      <c r="EX338" s="17"/>
      <c r="EY338" s="17"/>
      <c r="EZ338" s="17"/>
      <c r="FA338" s="17"/>
      <c r="FB338" s="17"/>
      <c r="FC338" s="17"/>
      <c r="FD338" s="17"/>
      <c r="FE338" s="17"/>
      <c r="FF338" s="17"/>
      <c r="FG338" s="17"/>
      <c r="FH338" s="17"/>
      <c r="FI338" s="17"/>
      <c r="FJ338" s="17"/>
      <c r="FK338" s="17"/>
      <c r="FL338" s="17"/>
      <c r="FM338" s="17"/>
      <c r="FN338" s="17"/>
      <c r="FO338" s="17"/>
      <c r="FP338" s="17"/>
      <c r="FQ338" s="17"/>
      <c r="FR338" s="17"/>
      <c r="FS338" s="17"/>
      <c r="FT338" s="17"/>
      <c r="FU338" s="17"/>
      <c r="FV338" s="17"/>
      <c r="FW338" s="17"/>
      <c r="FX338" s="17"/>
      <c r="FY338" s="17"/>
      <c r="FZ338" s="17"/>
      <c r="GA338" s="17"/>
      <c r="GB338" s="17"/>
      <c r="GC338" s="17"/>
      <c r="GD338" s="17"/>
      <c r="GE338" s="17"/>
      <c r="GF338" s="17"/>
      <c r="GG338" s="17"/>
      <c r="GH338" s="17"/>
      <c r="GI338" s="17"/>
      <c r="GJ338" s="17"/>
      <c r="GK338" s="17"/>
      <c r="GL338" s="17"/>
      <c r="GM338" s="17"/>
      <c r="GN338" s="17"/>
      <c r="GO338" s="17"/>
      <c r="GP338" s="17"/>
      <c r="GQ338" s="17"/>
      <c r="GR338" s="17"/>
      <c r="GS338" s="17"/>
      <c r="GT338" s="17"/>
      <c r="GU338" s="17"/>
      <c r="GV338" s="17"/>
      <c r="GW338" s="17"/>
      <c r="GX338" s="17"/>
      <c r="GY338" s="17"/>
      <c r="GZ338" s="17"/>
      <c r="HA338" s="17"/>
      <c r="HB338" s="17"/>
      <c r="HC338" s="17"/>
      <c r="HD338" s="17"/>
      <c r="HE338" s="17"/>
      <c r="HF338" s="17"/>
      <c r="HG338" s="17"/>
      <c r="HH338" s="17"/>
      <c r="HI338" s="17"/>
      <c r="HJ338" s="17"/>
      <c r="HK338" s="17"/>
      <c r="HL338" s="17"/>
      <c r="HM338" s="17"/>
      <c r="HN338" s="17"/>
      <c r="HO338" s="17"/>
      <c r="HP338" s="17"/>
      <c r="HQ338" s="17"/>
      <c r="HR338" s="17"/>
      <c r="HS338" s="17"/>
      <c r="HT338" s="17"/>
      <c r="HU338" s="17"/>
      <c r="HV338" s="17"/>
      <c r="HW338" s="17"/>
      <c r="HX338" s="17"/>
      <c r="HY338" s="17"/>
      <c r="HZ338" s="17"/>
      <c r="IA338" s="17"/>
      <c r="IB338" s="17"/>
      <c r="IC338" s="17"/>
      <c r="ID338" s="17"/>
      <c r="IE338" s="17"/>
      <c r="IF338" s="17"/>
      <c r="IG338" s="17"/>
      <c r="IH338" s="17"/>
      <c r="II338" s="17"/>
      <c r="IJ338" s="17"/>
      <c r="IK338" s="17"/>
      <c r="IL338" s="17"/>
      <c r="IM338" s="17"/>
      <c r="IN338" s="17"/>
      <c r="IO338" s="17"/>
      <c r="IP338" s="17"/>
      <c r="IQ338" s="17"/>
      <c r="IR338" s="17"/>
      <c r="IS338" s="17"/>
      <c r="IT338" s="17"/>
      <c r="IU338" s="17"/>
      <c r="IV338" s="17"/>
      <c r="IW338" s="17"/>
      <c r="IX338" s="17"/>
      <c r="IY338" s="17"/>
      <c r="IZ338" s="17"/>
      <c r="JA338" s="17"/>
      <c r="JB338" s="17"/>
      <c r="JC338" s="17"/>
      <c r="JD338" s="17"/>
      <c r="JE338" s="17"/>
      <c r="JF338" s="17"/>
      <c r="JG338" s="17"/>
      <c r="JH338" s="17"/>
      <c r="JI338" s="17"/>
      <c r="JJ338" s="17"/>
      <c r="JK338" s="17"/>
      <c r="JL338" s="17"/>
      <c r="JM338" s="17"/>
      <c r="JN338" s="17"/>
      <c r="JO338" s="17"/>
      <c r="JP338" s="17"/>
      <c r="JQ338" s="17"/>
      <c r="JR338" s="17"/>
      <c r="JS338" s="17"/>
      <c r="JT338" s="17"/>
      <c r="JU338" s="17"/>
      <c r="JV338" s="17"/>
      <c r="JW338" s="17"/>
      <c r="JX338" s="17"/>
      <c r="JY338" s="17"/>
      <c r="JZ338" s="17"/>
      <c r="KA338" s="17"/>
      <c r="KB338" s="17"/>
      <c r="KC338" s="17"/>
      <c r="KD338" s="17"/>
      <c r="KE338" s="17"/>
      <c r="KF338" s="17"/>
      <c r="KG338" s="17"/>
      <c r="KH338" s="17"/>
      <c r="KI338" s="17"/>
      <c r="KJ338" s="17"/>
      <c r="KK338" s="17"/>
      <c r="KL338" s="17"/>
      <c r="KM338" s="17"/>
      <c r="KN338" s="17"/>
      <c r="KO338" s="17"/>
      <c r="KP338" s="17"/>
      <c r="KQ338" s="17"/>
      <c r="KR338" s="17"/>
      <c r="KS338" s="17"/>
      <c r="KT338" s="17"/>
      <c r="KU338" s="17"/>
      <c r="KV338" s="17"/>
      <c r="KW338" s="17"/>
      <c r="KX338" s="17"/>
      <c r="KY338" s="17"/>
    </row>
    <row r="339" spans="1:311" x14ac:dyDescent="0.25">
      <c r="A339" s="17"/>
      <c r="B339" s="17"/>
      <c r="C339" s="17"/>
      <c r="D339" s="17"/>
      <c r="E339" s="17"/>
      <c r="F339" s="17"/>
      <c r="G339" s="17"/>
      <c r="H339" s="17"/>
      <c r="I339" s="17"/>
      <c r="J339" s="17"/>
      <c r="K339" s="17"/>
      <c r="L339" s="17"/>
      <c r="M339" s="17"/>
      <c r="N339" s="17"/>
      <c r="O339" s="17"/>
      <c r="P339" s="17"/>
      <c r="Q339" s="17"/>
      <c r="R339" s="17"/>
      <c r="S339" s="17"/>
      <c r="T339" s="17"/>
      <c r="U339" s="17"/>
      <c r="V339" s="17"/>
      <c r="W339" s="17"/>
      <c r="X339" s="17"/>
      <c r="Y339" s="17"/>
      <c r="Z339" s="17"/>
      <c r="AA339" s="17"/>
      <c r="AB339" s="17"/>
      <c r="AC339" s="17"/>
      <c r="AD339" s="17"/>
      <c r="AE339" s="17"/>
      <c r="AF339" s="17"/>
      <c r="AG339" s="17"/>
      <c r="AH339" s="17"/>
      <c r="AI339" s="17"/>
      <c r="AJ339" s="17"/>
      <c r="AK339" s="17"/>
      <c r="AL339" s="17"/>
      <c r="AM339" s="17"/>
      <c r="AN339" s="17"/>
      <c r="AO339" s="17"/>
      <c r="AP339" s="17"/>
      <c r="AQ339" s="17"/>
      <c r="AR339" s="17"/>
      <c r="AS339" s="17"/>
      <c r="AT339" s="17"/>
      <c r="AU339" s="17"/>
      <c r="AV339" s="17"/>
      <c r="AW339" s="17"/>
      <c r="AX339" s="17"/>
      <c r="AY339" s="17"/>
      <c r="AZ339" s="17"/>
      <c r="BA339" s="17"/>
      <c r="BB339" s="17"/>
      <c r="BC339" s="17"/>
      <c r="BD339" s="17"/>
      <c r="BE339" s="17"/>
      <c r="BF339" s="17"/>
      <c r="BG339" s="17"/>
      <c r="BH339" s="17"/>
      <c r="BI339" s="17"/>
      <c r="BJ339" s="17"/>
      <c r="BK339" s="17"/>
      <c r="BL339" s="17"/>
      <c r="BM339" s="17"/>
      <c r="BN339" s="17"/>
      <c r="BO339" s="17"/>
      <c r="BP339" s="17"/>
      <c r="BQ339" s="17"/>
      <c r="BR339" s="17"/>
      <c r="BS339" s="17"/>
      <c r="BT339" s="17"/>
      <c r="BU339" s="17"/>
      <c r="BV339" s="17"/>
      <c r="BW339" s="17"/>
      <c r="BX339" s="17"/>
      <c r="BY339" s="17"/>
      <c r="BZ339" s="17"/>
      <c r="CA339" s="17"/>
      <c r="CB339" s="17"/>
      <c r="CC339" s="17"/>
      <c r="CD339" s="17"/>
      <c r="CE339" s="17"/>
      <c r="CF339" s="17"/>
      <c r="CG339" s="17"/>
      <c r="CH339" s="17"/>
      <c r="CI339" s="17"/>
      <c r="CJ339" s="17"/>
      <c r="CK339" s="17"/>
      <c r="CL339" s="17"/>
      <c r="CM339" s="17"/>
      <c r="CN339" s="17"/>
      <c r="CO339" s="17"/>
      <c r="CP339" s="17"/>
      <c r="CQ339" s="17"/>
      <c r="CR339" s="17"/>
      <c r="CS339" s="17"/>
      <c r="CT339" s="17"/>
      <c r="CU339" s="17"/>
      <c r="CV339" s="17"/>
      <c r="CW339" s="17"/>
      <c r="CX339" s="17"/>
      <c r="CY339" s="17"/>
      <c r="CZ339" s="17"/>
      <c r="DA339" s="17"/>
      <c r="DB339" s="17"/>
      <c r="DC339" s="17"/>
      <c r="DD339" s="17"/>
      <c r="DE339" s="17"/>
      <c r="DF339" s="17"/>
      <c r="DG339" s="17"/>
      <c r="DH339" s="17"/>
      <c r="DI339" s="17"/>
      <c r="DJ339" s="17"/>
      <c r="DK339" s="17"/>
      <c r="DL339" s="17"/>
      <c r="DM339" s="17"/>
      <c r="DN339" s="17"/>
      <c r="DO339" s="17"/>
      <c r="DP339" s="17"/>
      <c r="DQ339" s="17"/>
      <c r="DR339" s="17"/>
      <c r="DS339" s="17"/>
      <c r="DT339" s="17"/>
      <c r="DU339" s="17"/>
      <c r="DV339" s="17"/>
      <c r="DW339" s="17"/>
      <c r="DX339" s="17"/>
      <c r="DY339" s="17"/>
      <c r="DZ339" s="17"/>
      <c r="EA339" s="17"/>
      <c r="EB339" s="17"/>
      <c r="EC339" s="17"/>
      <c r="ED339" s="17"/>
      <c r="EE339" s="17"/>
      <c r="EF339" s="17"/>
      <c r="EG339" s="17"/>
      <c r="EH339" s="17"/>
      <c r="EI339" s="17"/>
      <c r="EJ339" s="17"/>
      <c r="EK339" s="17"/>
      <c r="EL339" s="17"/>
      <c r="EM339" s="17"/>
      <c r="EN339" s="17"/>
      <c r="EO339" s="17"/>
      <c r="EP339" s="17"/>
      <c r="EQ339" s="17"/>
      <c r="ER339" s="17"/>
      <c r="ES339" s="17"/>
      <c r="ET339" s="17"/>
      <c r="EU339" s="17"/>
      <c r="EV339" s="17"/>
      <c r="EW339" s="17"/>
      <c r="EX339" s="17"/>
      <c r="EY339" s="17"/>
      <c r="EZ339" s="17"/>
      <c r="FA339" s="17"/>
      <c r="FB339" s="17"/>
      <c r="FC339" s="17"/>
      <c r="FD339" s="17"/>
      <c r="FE339" s="17"/>
      <c r="FF339" s="17"/>
      <c r="FG339" s="17"/>
      <c r="FH339" s="17"/>
      <c r="FI339" s="17"/>
      <c r="FJ339" s="17"/>
      <c r="FK339" s="17"/>
      <c r="FL339" s="17"/>
      <c r="FM339" s="17"/>
      <c r="FN339" s="17"/>
      <c r="FO339" s="17"/>
      <c r="FP339" s="17"/>
      <c r="FQ339" s="17"/>
      <c r="FR339" s="17"/>
      <c r="FS339" s="17"/>
      <c r="FT339" s="17"/>
      <c r="FU339" s="17"/>
      <c r="FV339" s="17"/>
      <c r="FW339" s="17"/>
      <c r="FX339" s="17"/>
      <c r="FY339" s="17"/>
      <c r="FZ339" s="17"/>
      <c r="GA339" s="17"/>
      <c r="GB339" s="17"/>
      <c r="GC339" s="17"/>
      <c r="GD339" s="17"/>
      <c r="GE339" s="17"/>
      <c r="GF339" s="17"/>
      <c r="GG339" s="17"/>
      <c r="GH339" s="17"/>
      <c r="GI339" s="17"/>
      <c r="GJ339" s="17"/>
      <c r="GK339" s="17"/>
      <c r="GL339" s="17"/>
      <c r="GM339" s="17"/>
      <c r="GN339" s="17"/>
      <c r="GO339" s="17"/>
      <c r="GP339" s="17"/>
      <c r="GQ339" s="17"/>
      <c r="GR339" s="17"/>
      <c r="GS339" s="17"/>
      <c r="GT339" s="17"/>
      <c r="GU339" s="17"/>
      <c r="GV339" s="17"/>
      <c r="GW339" s="17"/>
      <c r="GX339" s="17"/>
      <c r="GY339" s="17"/>
      <c r="GZ339" s="17"/>
      <c r="HA339" s="17"/>
      <c r="HB339" s="17"/>
      <c r="HC339" s="17"/>
      <c r="HD339" s="17"/>
      <c r="HE339" s="17"/>
      <c r="HF339" s="17"/>
      <c r="HG339" s="17"/>
      <c r="HH339" s="17"/>
      <c r="HI339" s="17"/>
      <c r="HJ339" s="17"/>
      <c r="HK339" s="17"/>
      <c r="HL339" s="17"/>
      <c r="HM339" s="17"/>
      <c r="HN339" s="17"/>
      <c r="HO339" s="17"/>
      <c r="HP339" s="17"/>
      <c r="HQ339" s="17"/>
      <c r="HR339" s="17"/>
      <c r="HS339" s="17"/>
      <c r="HT339" s="17"/>
      <c r="HU339" s="17"/>
      <c r="HV339" s="17"/>
      <c r="HW339" s="17"/>
      <c r="HX339" s="17"/>
      <c r="HY339" s="17"/>
      <c r="HZ339" s="17"/>
      <c r="IA339" s="17"/>
      <c r="IB339" s="17"/>
      <c r="IC339" s="17"/>
      <c r="ID339" s="17"/>
      <c r="IE339" s="17"/>
      <c r="IF339" s="17"/>
      <c r="IG339" s="17"/>
      <c r="IH339" s="17"/>
      <c r="II339" s="17"/>
      <c r="IJ339" s="17"/>
      <c r="IK339" s="17"/>
      <c r="IL339" s="17"/>
      <c r="IM339" s="17"/>
      <c r="IN339" s="17"/>
      <c r="IO339" s="17"/>
      <c r="IP339" s="17"/>
      <c r="IQ339" s="17"/>
      <c r="IR339" s="17"/>
      <c r="IS339" s="17"/>
      <c r="IT339" s="17"/>
      <c r="IU339" s="17"/>
      <c r="IV339" s="17"/>
      <c r="IW339" s="17"/>
      <c r="IX339" s="17"/>
      <c r="IY339" s="17"/>
      <c r="IZ339" s="17"/>
      <c r="JA339" s="17"/>
      <c r="JB339" s="17"/>
      <c r="JC339" s="17"/>
      <c r="JD339" s="17"/>
      <c r="JE339" s="17"/>
      <c r="JF339" s="17"/>
      <c r="JG339" s="17"/>
      <c r="JH339" s="17"/>
      <c r="JI339" s="17"/>
      <c r="JJ339" s="17"/>
      <c r="JK339" s="17"/>
      <c r="JL339" s="17"/>
      <c r="JM339" s="17"/>
      <c r="JN339" s="17"/>
      <c r="JO339" s="17"/>
      <c r="JP339" s="17"/>
      <c r="JQ339" s="17"/>
      <c r="JR339" s="17"/>
      <c r="JS339" s="17"/>
      <c r="JT339" s="17"/>
      <c r="JU339" s="17"/>
      <c r="JV339" s="17"/>
      <c r="JW339" s="17"/>
      <c r="JX339" s="17"/>
      <c r="JY339" s="17"/>
      <c r="JZ339" s="17"/>
      <c r="KA339" s="17"/>
      <c r="KB339" s="17"/>
      <c r="KC339" s="17"/>
      <c r="KD339" s="17"/>
      <c r="KE339" s="17"/>
      <c r="KF339" s="17"/>
      <c r="KG339" s="17"/>
      <c r="KH339" s="17"/>
      <c r="KI339" s="17"/>
      <c r="KJ339" s="17"/>
      <c r="KK339" s="17"/>
      <c r="KL339" s="17"/>
      <c r="KM339" s="17"/>
      <c r="KN339" s="17"/>
      <c r="KO339" s="17"/>
      <c r="KP339" s="17"/>
      <c r="KQ339" s="17"/>
      <c r="KR339" s="17"/>
      <c r="KS339" s="17"/>
      <c r="KT339" s="17"/>
      <c r="KU339" s="17"/>
      <c r="KV339" s="17"/>
      <c r="KW339" s="17"/>
      <c r="KX339" s="17"/>
      <c r="KY339" s="17"/>
    </row>
    <row r="340" spans="1:311" x14ac:dyDescent="0.25">
      <c r="A340" s="17"/>
      <c r="B340" s="17"/>
      <c r="C340" s="17"/>
      <c r="D340" s="17"/>
      <c r="E340" s="17"/>
      <c r="F340" s="17"/>
      <c r="G340" s="17"/>
      <c r="H340" s="17"/>
      <c r="I340" s="17"/>
      <c r="J340" s="17"/>
      <c r="K340" s="17"/>
      <c r="L340" s="17"/>
      <c r="M340" s="17"/>
      <c r="N340" s="17"/>
      <c r="O340" s="17"/>
      <c r="P340" s="17"/>
      <c r="Q340" s="17"/>
      <c r="R340" s="17"/>
      <c r="S340" s="17"/>
      <c r="T340" s="17"/>
      <c r="U340" s="17"/>
      <c r="V340" s="17"/>
      <c r="W340" s="17"/>
      <c r="X340" s="17"/>
      <c r="Y340" s="17"/>
      <c r="Z340" s="17"/>
      <c r="AA340" s="17"/>
      <c r="AB340" s="17"/>
      <c r="AC340" s="17"/>
      <c r="AD340" s="17"/>
      <c r="AE340" s="17"/>
      <c r="AF340" s="17"/>
      <c r="AG340" s="17"/>
      <c r="AH340" s="17"/>
      <c r="AI340" s="17"/>
      <c r="AJ340" s="17"/>
      <c r="AK340" s="17"/>
      <c r="AL340" s="17"/>
      <c r="AM340" s="17"/>
      <c r="AN340" s="17"/>
      <c r="AO340" s="17"/>
      <c r="AP340" s="17"/>
      <c r="AQ340" s="17"/>
      <c r="AR340" s="17"/>
      <c r="AS340" s="17"/>
      <c r="AT340" s="17"/>
      <c r="AU340" s="17"/>
      <c r="AV340" s="17"/>
      <c r="AW340" s="17"/>
      <c r="AX340" s="17"/>
      <c r="AY340" s="17"/>
      <c r="AZ340" s="17"/>
      <c r="BA340" s="17"/>
      <c r="BB340" s="17"/>
      <c r="BC340" s="17"/>
      <c r="BD340" s="17"/>
      <c r="BE340" s="17"/>
      <c r="BF340" s="17"/>
      <c r="BG340" s="17"/>
      <c r="BH340" s="17"/>
      <c r="BI340" s="17"/>
      <c r="BJ340" s="17"/>
      <c r="BK340" s="17"/>
      <c r="BL340" s="17"/>
      <c r="BM340" s="17"/>
      <c r="BN340" s="17"/>
      <c r="BO340" s="17"/>
      <c r="BP340" s="17"/>
      <c r="BQ340" s="17"/>
      <c r="BR340" s="17"/>
      <c r="BS340" s="17"/>
      <c r="BT340" s="17"/>
      <c r="BU340" s="17"/>
      <c r="BV340" s="17"/>
      <c r="BW340" s="17"/>
      <c r="BX340" s="17"/>
      <c r="BY340" s="17"/>
      <c r="BZ340" s="17"/>
      <c r="CA340" s="17"/>
      <c r="CB340" s="17"/>
      <c r="CC340" s="17"/>
      <c r="CD340" s="17"/>
      <c r="CE340" s="17"/>
      <c r="CF340" s="17"/>
      <c r="CG340" s="17"/>
      <c r="CH340" s="17"/>
      <c r="CI340" s="17"/>
      <c r="CJ340" s="17"/>
      <c r="CK340" s="17"/>
      <c r="CL340" s="17"/>
      <c r="CM340" s="17"/>
      <c r="CN340" s="17"/>
      <c r="CO340" s="17"/>
      <c r="CP340" s="17"/>
      <c r="CQ340" s="17"/>
      <c r="CR340" s="17"/>
      <c r="CS340" s="17"/>
      <c r="CT340" s="17"/>
      <c r="CU340" s="17"/>
      <c r="CV340" s="17"/>
      <c r="CW340" s="17"/>
      <c r="CX340" s="17"/>
      <c r="CY340" s="17"/>
      <c r="CZ340" s="17"/>
      <c r="DA340" s="17"/>
      <c r="DB340" s="17"/>
      <c r="DC340" s="17"/>
      <c r="DD340" s="17"/>
      <c r="DE340" s="17"/>
      <c r="DF340" s="17"/>
      <c r="DG340" s="17"/>
      <c r="DH340" s="17"/>
      <c r="DI340" s="17"/>
      <c r="DJ340" s="17"/>
      <c r="DK340" s="17"/>
      <c r="DL340" s="17"/>
      <c r="DM340" s="17"/>
      <c r="DN340" s="17"/>
      <c r="DO340" s="17"/>
      <c r="DP340" s="17"/>
      <c r="DQ340" s="17"/>
      <c r="DR340" s="17"/>
      <c r="DS340" s="17"/>
      <c r="DT340" s="17"/>
      <c r="DU340" s="17"/>
      <c r="DV340" s="17"/>
      <c r="DW340" s="17"/>
      <c r="DX340" s="17"/>
      <c r="DY340" s="17"/>
      <c r="DZ340" s="17"/>
      <c r="EA340" s="17"/>
      <c r="EB340" s="17"/>
      <c r="EC340" s="17"/>
      <c r="ED340" s="17"/>
      <c r="EE340" s="17"/>
      <c r="EF340" s="17"/>
      <c r="EG340" s="17"/>
      <c r="EH340" s="17"/>
      <c r="EI340" s="17"/>
      <c r="EJ340" s="17"/>
      <c r="EK340" s="17"/>
      <c r="EL340" s="17"/>
      <c r="EM340" s="17"/>
      <c r="EN340" s="17"/>
      <c r="EO340" s="17"/>
      <c r="EP340" s="17"/>
      <c r="EQ340" s="17"/>
      <c r="ER340" s="17"/>
      <c r="ES340" s="17"/>
      <c r="ET340" s="17"/>
      <c r="EU340" s="17"/>
      <c r="EV340" s="17"/>
      <c r="EW340" s="17"/>
      <c r="EX340" s="17"/>
      <c r="EY340" s="17"/>
      <c r="EZ340" s="17"/>
      <c r="FA340" s="17"/>
      <c r="FB340" s="17"/>
      <c r="FC340" s="17"/>
      <c r="FD340" s="17"/>
      <c r="FE340" s="17"/>
      <c r="FF340" s="17"/>
      <c r="FG340" s="17"/>
      <c r="FH340" s="17"/>
      <c r="FI340" s="17"/>
      <c r="FJ340" s="17"/>
      <c r="FK340" s="17"/>
      <c r="FL340" s="17"/>
      <c r="FM340" s="17"/>
      <c r="FN340" s="17"/>
      <c r="FO340" s="17"/>
      <c r="FP340" s="17"/>
      <c r="FQ340" s="17"/>
      <c r="FR340" s="17"/>
      <c r="FS340" s="17"/>
      <c r="FT340" s="17"/>
      <c r="FU340" s="17"/>
      <c r="FV340" s="17"/>
      <c r="FW340" s="17"/>
      <c r="FX340" s="17"/>
      <c r="FY340" s="17"/>
      <c r="FZ340" s="17"/>
      <c r="GA340" s="17"/>
      <c r="GB340" s="17"/>
      <c r="GC340" s="17"/>
      <c r="GD340" s="17"/>
      <c r="GE340" s="17"/>
      <c r="GF340" s="17"/>
      <c r="GG340" s="17"/>
      <c r="GH340" s="17"/>
      <c r="GI340" s="17"/>
      <c r="GJ340" s="17"/>
      <c r="GK340" s="17"/>
      <c r="GL340" s="17"/>
      <c r="GM340" s="17"/>
      <c r="GN340" s="17"/>
      <c r="GO340" s="17"/>
      <c r="GP340" s="17"/>
      <c r="GQ340" s="17"/>
      <c r="GR340" s="17"/>
      <c r="GS340" s="17"/>
      <c r="GT340" s="17"/>
      <c r="GU340" s="17"/>
      <c r="GV340" s="17"/>
      <c r="GW340" s="17"/>
      <c r="GX340" s="17"/>
      <c r="GY340" s="17"/>
      <c r="GZ340" s="17"/>
      <c r="HA340" s="17"/>
      <c r="HB340" s="17"/>
      <c r="HC340" s="17"/>
      <c r="HD340" s="17"/>
      <c r="HE340" s="17"/>
      <c r="HF340" s="17"/>
      <c r="HG340" s="17"/>
      <c r="HH340" s="17"/>
      <c r="HI340" s="17"/>
      <c r="HJ340" s="17"/>
      <c r="HK340" s="17"/>
      <c r="HL340" s="17"/>
      <c r="HM340" s="17"/>
      <c r="HN340" s="17"/>
      <c r="HO340" s="17"/>
      <c r="HP340" s="17"/>
      <c r="HQ340" s="17"/>
      <c r="HR340" s="17"/>
      <c r="HS340" s="17"/>
      <c r="HT340" s="17"/>
      <c r="HU340" s="17"/>
      <c r="HV340" s="17"/>
      <c r="HW340" s="17"/>
      <c r="HX340" s="17"/>
      <c r="HY340" s="17"/>
      <c r="HZ340" s="17"/>
      <c r="IA340" s="17"/>
      <c r="IB340" s="17"/>
      <c r="IC340" s="17"/>
      <c r="ID340" s="17"/>
      <c r="IE340" s="17"/>
      <c r="IF340" s="17"/>
      <c r="IG340" s="17"/>
      <c r="IH340" s="17"/>
      <c r="II340" s="17"/>
      <c r="IJ340" s="17"/>
      <c r="IK340" s="17"/>
      <c r="IL340" s="17"/>
      <c r="IM340" s="17"/>
      <c r="IN340" s="17"/>
      <c r="IO340" s="17"/>
      <c r="IP340" s="17"/>
      <c r="IQ340" s="17"/>
      <c r="IR340" s="17"/>
      <c r="IS340" s="17"/>
      <c r="IT340" s="17"/>
      <c r="IU340" s="17"/>
      <c r="IV340" s="17"/>
      <c r="IW340" s="17"/>
      <c r="IX340" s="17"/>
      <c r="IY340" s="17"/>
      <c r="IZ340" s="17"/>
      <c r="JA340" s="17"/>
      <c r="JB340" s="17"/>
      <c r="JC340" s="17"/>
      <c r="JD340" s="17"/>
      <c r="JE340" s="17"/>
      <c r="JF340" s="17"/>
      <c r="JG340" s="17"/>
      <c r="JH340" s="17"/>
      <c r="JI340" s="17"/>
      <c r="JJ340" s="17"/>
      <c r="JK340" s="17"/>
      <c r="JL340" s="17"/>
      <c r="JM340" s="17"/>
      <c r="JN340" s="17"/>
      <c r="JO340" s="17"/>
      <c r="JP340" s="17"/>
      <c r="JQ340" s="17"/>
      <c r="JR340" s="17"/>
      <c r="JS340" s="17"/>
      <c r="JT340" s="17"/>
      <c r="JU340" s="17"/>
      <c r="JV340" s="17"/>
      <c r="JW340" s="17"/>
      <c r="JX340" s="17"/>
      <c r="JY340" s="17"/>
      <c r="JZ340" s="17"/>
      <c r="KA340" s="17"/>
      <c r="KB340" s="17"/>
      <c r="KC340" s="17"/>
      <c r="KD340" s="17"/>
      <c r="KE340" s="17"/>
      <c r="KF340" s="17"/>
      <c r="KG340" s="17"/>
      <c r="KH340" s="17"/>
      <c r="KI340" s="17"/>
      <c r="KJ340" s="17"/>
      <c r="KK340" s="17"/>
      <c r="KL340" s="17"/>
      <c r="KM340" s="17"/>
      <c r="KN340" s="17"/>
      <c r="KO340" s="17"/>
      <c r="KP340" s="17"/>
      <c r="KQ340" s="17"/>
      <c r="KR340" s="17"/>
      <c r="KS340" s="17"/>
      <c r="KT340" s="17"/>
      <c r="KU340" s="17"/>
      <c r="KV340" s="17"/>
      <c r="KW340" s="17"/>
      <c r="KX340" s="17"/>
      <c r="KY340" s="17"/>
    </row>
    <row r="341" spans="1:311" x14ac:dyDescent="0.25">
      <c r="A341" s="17"/>
      <c r="B341" s="17"/>
      <c r="C341" s="17"/>
      <c r="D341" s="17"/>
      <c r="E341" s="17"/>
      <c r="F341" s="17"/>
      <c r="G341" s="17"/>
      <c r="H341" s="17"/>
      <c r="I341" s="17"/>
      <c r="J341" s="17"/>
      <c r="K341" s="17"/>
      <c r="L341" s="17"/>
      <c r="M341" s="17"/>
      <c r="N341" s="17"/>
      <c r="O341" s="17"/>
      <c r="P341" s="17"/>
      <c r="Q341" s="17"/>
      <c r="R341" s="17"/>
      <c r="S341" s="17"/>
      <c r="T341" s="17"/>
      <c r="U341" s="17"/>
      <c r="V341" s="17"/>
      <c r="W341" s="17"/>
      <c r="X341" s="17"/>
      <c r="Y341" s="17"/>
      <c r="Z341" s="17"/>
      <c r="AA341" s="17"/>
      <c r="AB341" s="17"/>
      <c r="AC341" s="17"/>
      <c r="AD341" s="17"/>
      <c r="AE341" s="17"/>
      <c r="AF341" s="17"/>
      <c r="AG341" s="17"/>
      <c r="AH341" s="17"/>
      <c r="AI341" s="17"/>
      <c r="AJ341" s="17"/>
      <c r="AK341" s="17"/>
      <c r="AL341" s="17"/>
      <c r="AM341" s="17"/>
      <c r="AN341" s="17"/>
      <c r="AO341" s="17"/>
      <c r="AP341" s="17"/>
      <c r="AQ341" s="17"/>
      <c r="AR341" s="17"/>
      <c r="AS341" s="17"/>
      <c r="AT341" s="17"/>
      <c r="AU341" s="17"/>
      <c r="AV341" s="17"/>
      <c r="AW341" s="17"/>
      <c r="AX341" s="17"/>
      <c r="AY341" s="17"/>
      <c r="AZ341" s="17"/>
      <c r="BA341" s="17"/>
      <c r="BB341" s="17"/>
      <c r="BC341" s="17"/>
      <c r="BD341" s="17"/>
      <c r="BE341" s="17"/>
      <c r="BF341" s="17"/>
      <c r="BG341" s="17"/>
      <c r="BH341" s="17"/>
      <c r="BI341" s="17"/>
      <c r="BJ341" s="17"/>
      <c r="BK341" s="17"/>
      <c r="BL341" s="17"/>
      <c r="BM341" s="17"/>
      <c r="BN341" s="17"/>
      <c r="BO341" s="17"/>
      <c r="BP341" s="17"/>
      <c r="BQ341" s="17"/>
      <c r="BR341" s="17"/>
      <c r="BS341" s="17"/>
      <c r="BT341" s="17"/>
      <c r="BU341" s="17"/>
      <c r="BV341" s="17"/>
      <c r="BW341" s="17"/>
      <c r="BX341" s="17"/>
      <c r="BY341" s="17"/>
      <c r="BZ341" s="17"/>
      <c r="CA341" s="17"/>
      <c r="CB341" s="17"/>
      <c r="CC341" s="17"/>
      <c r="CD341" s="17"/>
      <c r="CE341" s="17"/>
      <c r="CF341" s="17"/>
      <c r="CG341" s="17"/>
      <c r="CH341" s="17"/>
      <c r="CI341" s="17"/>
      <c r="CJ341" s="17"/>
      <c r="CK341" s="17"/>
      <c r="CL341" s="17"/>
      <c r="CM341" s="17"/>
      <c r="CN341" s="17"/>
      <c r="CO341" s="17"/>
      <c r="CP341" s="17"/>
      <c r="CQ341" s="17"/>
      <c r="CR341" s="17"/>
      <c r="CS341" s="17"/>
      <c r="CT341" s="17"/>
      <c r="CU341" s="17"/>
      <c r="CV341" s="17"/>
      <c r="CW341" s="17"/>
      <c r="CX341" s="17"/>
      <c r="CY341" s="17"/>
      <c r="CZ341" s="17"/>
      <c r="DA341" s="17"/>
      <c r="DB341" s="17"/>
      <c r="DC341" s="17"/>
      <c r="DD341" s="17"/>
      <c r="DE341" s="17"/>
      <c r="DF341" s="17"/>
      <c r="DG341" s="17"/>
      <c r="DH341" s="17"/>
      <c r="DI341" s="17"/>
      <c r="DJ341" s="17"/>
      <c r="DK341" s="17"/>
      <c r="DL341" s="17"/>
      <c r="DM341" s="17"/>
      <c r="DN341" s="17"/>
      <c r="DO341" s="17"/>
      <c r="DP341" s="17"/>
      <c r="DQ341" s="17"/>
      <c r="DR341" s="17"/>
      <c r="DS341" s="17"/>
      <c r="DT341" s="17"/>
      <c r="DU341" s="17"/>
      <c r="DV341" s="17"/>
      <c r="DW341" s="17"/>
      <c r="DX341" s="17"/>
      <c r="DY341" s="17"/>
      <c r="DZ341" s="17"/>
      <c r="EA341" s="17"/>
      <c r="EB341" s="17"/>
      <c r="EC341" s="17"/>
      <c r="ED341" s="17"/>
      <c r="EE341" s="17"/>
      <c r="EF341" s="17"/>
      <c r="EG341" s="17"/>
      <c r="EH341" s="17"/>
      <c r="EI341" s="17"/>
      <c r="EJ341" s="17"/>
      <c r="EK341" s="17"/>
      <c r="EL341" s="17"/>
      <c r="EM341" s="17"/>
      <c r="EN341" s="17"/>
      <c r="EO341" s="17"/>
      <c r="EP341" s="17"/>
      <c r="EQ341" s="17"/>
      <c r="ER341" s="17"/>
      <c r="ES341" s="17"/>
      <c r="ET341" s="17"/>
      <c r="EU341" s="17"/>
      <c r="EV341" s="17"/>
      <c r="EW341" s="17"/>
      <c r="EX341" s="17"/>
      <c r="EY341" s="17"/>
      <c r="EZ341" s="17"/>
      <c r="FA341" s="17"/>
      <c r="FB341" s="17"/>
      <c r="FC341" s="17"/>
      <c r="FD341" s="17"/>
      <c r="FE341" s="17"/>
      <c r="FF341" s="17"/>
      <c r="FG341" s="17"/>
      <c r="FH341" s="17"/>
      <c r="FI341" s="17"/>
      <c r="FJ341" s="17"/>
      <c r="FK341" s="17"/>
      <c r="FL341" s="17"/>
      <c r="FM341" s="17"/>
      <c r="FN341" s="17"/>
      <c r="FO341" s="17"/>
      <c r="FP341" s="17"/>
      <c r="FQ341" s="17"/>
      <c r="FR341" s="17"/>
      <c r="FS341" s="17"/>
      <c r="FT341" s="17"/>
      <c r="FU341" s="17"/>
      <c r="FV341" s="17"/>
      <c r="FW341" s="17"/>
      <c r="FX341" s="17"/>
      <c r="FY341" s="17"/>
      <c r="FZ341" s="17"/>
      <c r="GA341" s="17"/>
      <c r="GB341" s="17"/>
      <c r="GC341" s="17"/>
      <c r="GD341" s="17"/>
      <c r="GE341" s="17"/>
      <c r="GF341" s="17"/>
      <c r="GG341" s="17"/>
      <c r="GH341" s="17"/>
      <c r="GI341" s="17"/>
      <c r="GJ341" s="17"/>
      <c r="GK341" s="17"/>
      <c r="GL341" s="17"/>
      <c r="GM341" s="17"/>
      <c r="GN341" s="17"/>
      <c r="GO341" s="17"/>
      <c r="GP341" s="17"/>
      <c r="GQ341" s="17"/>
      <c r="GR341" s="17"/>
      <c r="GS341" s="17"/>
      <c r="GT341" s="17"/>
      <c r="GU341" s="17"/>
      <c r="GV341" s="17"/>
      <c r="GW341" s="17"/>
      <c r="GX341" s="17"/>
      <c r="GY341" s="17"/>
      <c r="GZ341" s="17"/>
      <c r="HA341" s="17"/>
      <c r="HB341" s="17"/>
      <c r="HC341" s="17"/>
      <c r="HD341" s="17"/>
      <c r="HE341" s="17"/>
      <c r="HF341" s="17"/>
      <c r="HG341" s="17"/>
      <c r="HH341" s="17"/>
      <c r="HI341" s="17"/>
      <c r="HJ341" s="17"/>
      <c r="HK341" s="17"/>
      <c r="HL341" s="17"/>
      <c r="HM341" s="17"/>
      <c r="HN341" s="17"/>
      <c r="HO341" s="17"/>
      <c r="HP341" s="17"/>
      <c r="HQ341" s="17"/>
      <c r="HR341" s="17"/>
      <c r="HS341" s="17"/>
      <c r="HT341" s="17"/>
      <c r="HU341" s="17"/>
      <c r="HV341" s="17"/>
      <c r="HW341" s="17"/>
      <c r="HX341" s="17"/>
      <c r="HY341" s="17"/>
      <c r="HZ341" s="17"/>
      <c r="IA341" s="17"/>
      <c r="IB341" s="17"/>
      <c r="IC341" s="17"/>
      <c r="ID341" s="17"/>
      <c r="IE341" s="17"/>
      <c r="IF341" s="17"/>
      <c r="IG341" s="17"/>
      <c r="IH341" s="17"/>
      <c r="II341" s="17"/>
      <c r="IJ341" s="17"/>
      <c r="IK341" s="17"/>
      <c r="IL341" s="17"/>
      <c r="IM341" s="17"/>
      <c r="IN341" s="17"/>
      <c r="IO341" s="17"/>
      <c r="IP341" s="17"/>
      <c r="IQ341" s="17"/>
      <c r="IR341" s="17"/>
      <c r="IS341" s="17"/>
      <c r="IT341" s="17"/>
      <c r="IU341" s="17"/>
      <c r="IV341" s="17"/>
      <c r="IW341" s="17"/>
      <c r="IX341" s="17"/>
      <c r="IY341" s="17"/>
      <c r="IZ341" s="17"/>
      <c r="JA341" s="17"/>
      <c r="JB341" s="17"/>
      <c r="JC341" s="17"/>
      <c r="JD341" s="17"/>
      <c r="JE341" s="17"/>
      <c r="JF341" s="17"/>
      <c r="JG341" s="17"/>
      <c r="JH341" s="17"/>
      <c r="JI341" s="17"/>
      <c r="JJ341" s="17"/>
      <c r="JK341" s="17"/>
      <c r="JL341" s="17"/>
      <c r="JM341" s="17"/>
      <c r="JN341" s="17"/>
      <c r="JO341" s="17"/>
      <c r="JP341" s="17"/>
      <c r="JQ341" s="17"/>
      <c r="JR341" s="17"/>
      <c r="JS341" s="17"/>
      <c r="JT341" s="17"/>
      <c r="JU341" s="17"/>
      <c r="JV341" s="17"/>
      <c r="JW341" s="17"/>
      <c r="JX341" s="17"/>
      <c r="JY341" s="17"/>
      <c r="JZ341" s="17"/>
      <c r="KA341" s="17"/>
      <c r="KB341" s="17"/>
      <c r="KC341" s="17"/>
      <c r="KD341" s="17"/>
      <c r="KE341" s="17"/>
      <c r="KF341" s="17"/>
      <c r="KG341" s="17"/>
      <c r="KH341" s="17"/>
      <c r="KI341" s="17"/>
      <c r="KJ341" s="17"/>
      <c r="KK341" s="17"/>
      <c r="KL341" s="17"/>
      <c r="KM341" s="17"/>
      <c r="KN341" s="17"/>
      <c r="KO341" s="17"/>
      <c r="KP341" s="17"/>
      <c r="KQ341" s="17"/>
      <c r="KR341" s="17"/>
      <c r="KS341" s="17"/>
      <c r="KT341" s="17"/>
      <c r="KU341" s="17"/>
      <c r="KV341" s="17"/>
      <c r="KW341" s="17"/>
      <c r="KX341" s="17"/>
      <c r="KY341" s="17"/>
    </row>
    <row r="342" spans="1:311" x14ac:dyDescent="0.25">
      <c r="A342" s="17"/>
      <c r="B342" s="17"/>
      <c r="C342" s="17"/>
      <c r="D342" s="17"/>
      <c r="E342" s="17"/>
      <c r="F342" s="17"/>
      <c r="G342" s="17"/>
      <c r="H342" s="17"/>
      <c r="I342" s="17"/>
      <c r="J342" s="17"/>
      <c r="K342" s="17"/>
      <c r="L342" s="17"/>
      <c r="M342" s="17"/>
      <c r="N342" s="17"/>
      <c r="O342" s="17"/>
      <c r="P342" s="17"/>
      <c r="Q342" s="17"/>
      <c r="R342" s="17"/>
      <c r="S342" s="17"/>
      <c r="T342" s="17"/>
      <c r="U342" s="17"/>
      <c r="V342" s="17"/>
      <c r="W342" s="17"/>
      <c r="X342" s="17"/>
      <c r="Y342" s="17"/>
      <c r="Z342" s="17"/>
      <c r="AA342" s="17"/>
      <c r="AB342" s="17"/>
      <c r="AC342" s="17"/>
      <c r="AD342" s="17"/>
      <c r="AE342" s="17"/>
      <c r="AF342" s="17"/>
      <c r="AG342" s="17"/>
      <c r="AH342" s="17"/>
      <c r="AI342" s="17"/>
      <c r="AJ342" s="17"/>
      <c r="AK342" s="17"/>
      <c r="AL342" s="17"/>
      <c r="AM342" s="17"/>
      <c r="AN342" s="17"/>
      <c r="AO342" s="17"/>
      <c r="AP342" s="17"/>
      <c r="AQ342" s="17"/>
      <c r="AR342" s="17"/>
      <c r="AS342" s="17"/>
      <c r="AT342" s="17"/>
      <c r="AU342" s="17"/>
      <c r="AV342" s="17"/>
      <c r="AW342" s="17"/>
      <c r="AX342" s="17"/>
      <c r="AY342" s="17"/>
      <c r="AZ342" s="17"/>
      <c r="BA342" s="17"/>
      <c r="BB342" s="17"/>
      <c r="BC342" s="17"/>
      <c r="BD342" s="17"/>
      <c r="BE342" s="17"/>
      <c r="BF342" s="17"/>
      <c r="BG342" s="17"/>
      <c r="BH342" s="17"/>
      <c r="BI342" s="17"/>
      <c r="BJ342" s="17"/>
      <c r="BK342" s="17"/>
      <c r="BL342" s="17"/>
      <c r="BM342" s="17"/>
      <c r="BN342" s="17"/>
      <c r="BO342" s="17"/>
      <c r="BP342" s="17"/>
      <c r="BQ342" s="17"/>
      <c r="BR342" s="17"/>
      <c r="BS342" s="17"/>
      <c r="BT342" s="17"/>
      <c r="BU342" s="17"/>
      <c r="BV342" s="17"/>
      <c r="BW342" s="17"/>
      <c r="BX342" s="17"/>
      <c r="BY342" s="17"/>
      <c r="BZ342" s="17"/>
      <c r="CA342" s="17"/>
      <c r="CB342" s="17"/>
      <c r="CC342" s="17"/>
      <c r="CD342" s="17"/>
      <c r="CE342" s="17"/>
      <c r="CF342" s="17"/>
      <c r="CG342" s="17"/>
      <c r="CH342" s="17"/>
      <c r="CI342" s="17"/>
      <c r="CJ342" s="17"/>
      <c r="CK342" s="17"/>
      <c r="CL342" s="17"/>
      <c r="CM342" s="17"/>
      <c r="CN342" s="17"/>
      <c r="CO342" s="17"/>
      <c r="CP342" s="17"/>
      <c r="CQ342" s="17"/>
      <c r="CR342" s="17"/>
      <c r="CS342" s="17"/>
      <c r="CT342" s="17"/>
      <c r="CU342" s="17"/>
      <c r="CV342" s="17"/>
      <c r="CW342" s="17"/>
      <c r="CX342" s="17"/>
      <c r="CY342" s="17"/>
      <c r="CZ342" s="17"/>
      <c r="DA342" s="17"/>
      <c r="DB342" s="17"/>
      <c r="DC342" s="17"/>
      <c r="DD342" s="17"/>
      <c r="DE342" s="17"/>
      <c r="DF342" s="17"/>
      <c r="DG342" s="17"/>
      <c r="DH342" s="17"/>
      <c r="DI342" s="17"/>
      <c r="DJ342" s="17"/>
      <c r="DK342" s="17"/>
      <c r="DL342" s="17"/>
      <c r="DM342" s="17"/>
      <c r="DN342" s="17"/>
      <c r="DO342" s="17"/>
      <c r="DP342" s="17"/>
      <c r="DQ342" s="17"/>
      <c r="DR342" s="17"/>
      <c r="DS342" s="17"/>
      <c r="DT342" s="17"/>
      <c r="DU342" s="17"/>
      <c r="DV342" s="17"/>
      <c r="DW342" s="17"/>
      <c r="DX342" s="17"/>
      <c r="DY342" s="17"/>
      <c r="DZ342" s="17"/>
      <c r="EA342" s="17"/>
      <c r="EB342" s="17"/>
      <c r="EC342" s="17"/>
      <c r="ED342" s="17"/>
      <c r="EE342" s="17"/>
      <c r="EF342" s="17"/>
      <c r="EG342" s="17"/>
      <c r="EH342" s="17"/>
      <c r="EI342" s="17"/>
      <c r="EJ342" s="17"/>
      <c r="EK342" s="17"/>
      <c r="EL342" s="17"/>
      <c r="EM342" s="17"/>
      <c r="EN342" s="17"/>
      <c r="EO342" s="17"/>
      <c r="EP342" s="17"/>
      <c r="EQ342" s="17"/>
      <c r="ER342" s="17"/>
      <c r="ES342" s="17"/>
      <c r="ET342" s="17"/>
      <c r="EU342" s="17"/>
      <c r="EV342" s="17"/>
      <c r="EW342" s="17"/>
      <c r="EX342" s="17"/>
      <c r="EY342" s="17"/>
      <c r="EZ342" s="17"/>
      <c r="FA342" s="17"/>
      <c r="FB342" s="17"/>
      <c r="FC342" s="17"/>
      <c r="FD342" s="17"/>
      <c r="FE342" s="17"/>
      <c r="FF342" s="17"/>
      <c r="FG342" s="17"/>
      <c r="FH342" s="17"/>
      <c r="FI342" s="17"/>
      <c r="FJ342" s="17"/>
      <c r="FK342" s="17"/>
      <c r="FL342" s="17"/>
      <c r="FM342" s="17"/>
      <c r="FN342" s="17"/>
      <c r="FO342" s="17"/>
      <c r="FP342" s="17"/>
      <c r="FQ342" s="17"/>
      <c r="FR342" s="17"/>
      <c r="FS342" s="17"/>
      <c r="FT342" s="17"/>
      <c r="FU342" s="17"/>
      <c r="FV342" s="17"/>
      <c r="FW342" s="17"/>
      <c r="FX342" s="17"/>
      <c r="FY342" s="17"/>
      <c r="FZ342" s="17"/>
      <c r="GA342" s="17"/>
      <c r="GB342" s="17"/>
      <c r="GC342" s="17"/>
      <c r="GD342" s="17"/>
      <c r="GE342" s="17"/>
      <c r="GF342" s="17"/>
      <c r="GG342" s="17"/>
      <c r="GH342" s="17"/>
      <c r="GI342" s="17"/>
      <c r="GJ342" s="17"/>
      <c r="GK342" s="17"/>
      <c r="GL342" s="17"/>
      <c r="GM342" s="17"/>
      <c r="GN342" s="17"/>
      <c r="GO342" s="17"/>
      <c r="GP342" s="17"/>
      <c r="GQ342" s="17"/>
      <c r="GR342" s="17"/>
      <c r="GS342" s="17"/>
      <c r="GT342" s="17"/>
      <c r="GU342" s="17"/>
      <c r="GV342" s="17"/>
      <c r="GW342" s="17"/>
      <c r="GX342" s="17"/>
      <c r="GY342" s="17"/>
      <c r="GZ342" s="17"/>
      <c r="HA342" s="17"/>
      <c r="HB342" s="17"/>
      <c r="HC342" s="17"/>
      <c r="HD342" s="17"/>
      <c r="HE342" s="17"/>
      <c r="HF342" s="17"/>
      <c r="HG342" s="17"/>
      <c r="HH342" s="17"/>
      <c r="HI342" s="17"/>
      <c r="HJ342" s="17"/>
      <c r="HK342" s="17"/>
      <c r="HL342" s="17"/>
      <c r="HM342" s="17"/>
      <c r="HN342" s="17"/>
      <c r="HO342" s="17"/>
      <c r="HP342" s="17"/>
      <c r="HQ342" s="17"/>
      <c r="HR342" s="17"/>
      <c r="HS342" s="17"/>
      <c r="HT342" s="17"/>
      <c r="HU342" s="17"/>
      <c r="HV342" s="17"/>
      <c r="HW342" s="17"/>
      <c r="HX342" s="17"/>
      <c r="HY342" s="17"/>
      <c r="HZ342" s="17"/>
      <c r="IA342" s="17"/>
      <c r="IB342" s="17"/>
      <c r="IC342" s="17"/>
      <c r="ID342" s="17"/>
      <c r="IE342" s="17"/>
      <c r="IF342" s="17"/>
      <c r="IG342" s="17"/>
      <c r="IH342" s="17"/>
      <c r="II342" s="17"/>
      <c r="IJ342" s="17"/>
      <c r="IK342" s="17"/>
      <c r="IL342" s="17"/>
      <c r="IM342" s="17"/>
      <c r="IN342" s="17"/>
      <c r="IO342" s="17"/>
      <c r="IP342" s="17"/>
      <c r="IQ342" s="17"/>
      <c r="IR342" s="17"/>
      <c r="IS342" s="17"/>
      <c r="IT342" s="17"/>
      <c r="IU342" s="17"/>
      <c r="IV342" s="17"/>
      <c r="IW342" s="17"/>
      <c r="IX342" s="17"/>
      <c r="IY342" s="17"/>
      <c r="IZ342" s="17"/>
      <c r="JA342" s="17"/>
      <c r="JB342" s="17"/>
      <c r="JC342" s="17"/>
      <c r="JD342" s="17"/>
      <c r="JE342" s="17"/>
      <c r="JF342" s="17"/>
      <c r="JG342" s="17"/>
      <c r="JH342" s="17"/>
      <c r="JI342" s="17"/>
      <c r="JJ342" s="17"/>
      <c r="JK342" s="17"/>
      <c r="JL342" s="17"/>
      <c r="JM342" s="17"/>
      <c r="JN342" s="17"/>
      <c r="JO342" s="17"/>
      <c r="JP342" s="17"/>
      <c r="JQ342" s="17"/>
      <c r="JR342" s="17"/>
      <c r="JS342" s="17"/>
      <c r="JT342" s="17"/>
      <c r="JU342" s="17"/>
      <c r="JV342" s="17"/>
      <c r="JW342" s="17"/>
      <c r="JX342" s="17"/>
      <c r="JY342" s="17"/>
      <c r="JZ342" s="17"/>
      <c r="KA342" s="17"/>
      <c r="KB342" s="17"/>
      <c r="KC342" s="17"/>
      <c r="KD342" s="17"/>
      <c r="KE342" s="17"/>
      <c r="KF342" s="17"/>
      <c r="KG342" s="17"/>
      <c r="KH342" s="17"/>
      <c r="KI342" s="17"/>
      <c r="KJ342" s="17"/>
      <c r="KK342" s="17"/>
      <c r="KL342" s="17"/>
      <c r="KM342" s="17"/>
      <c r="KN342" s="17"/>
      <c r="KO342" s="17"/>
      <c r="KP342" s="17"/>
      <c r="KQ342" s="17"/>
      <c r="KR342" s="17"/>
      <c r="KS342" s="17"/>
      <c r="KT342" s="17"/>
      <c r="KU342" s="17"/>
      <c r="KV342" s="17"/>
      <c r="KW342" s="17"/>
      <c r="KX342" s="17"/>
      <c r="KY342" s="17"/>
    </row>
    <row r="343" spans="1:311" x14ac:dyDescent="0.25">
      <c r="A343" s="17"/>
      <c r="B343" s="17"/>
      <c r="C343" s="17"/>
      <c r="D343" s="17"/>
      <c r="E343" s="17"/>
      <c r="F343" s="17"/>
      <c r="G343" s="17"/>
      <c r="H343" s="17"/>
      <c r="I343" s="17"/>
      <c r="J343" s="17"/>
      <c r="K343" s="17"/>
      <c r="L343" s="17"/>
      <c r="M343" s="17"/>
      <c r="N343" s="17"/>
      <c r="O343" s="17"/>
      <c r="P343" s="17"/>
      <c r="Q343" s="17"/>
      <c r="R343" s="17"/>
      <c r="S343" s="17"/>
      <c r="T343" s="17"/>
      <c r="U343" s="17"/>
      <c r="V343" s="17"/>
      <c r="W343" s="17"/>
      <c r="X343" s="17"/>
      <c r="Y343" s="17"/>
      <c r="Z343" s="17"/>
      <c r="AA343" s="17"/>
      <c r="AB343" s="17"/>
      <c r="AC343" s="17"/>
      <c r="AD343" s="17"/>
      <c r="AE343" s="17"/>
      <c r="AF343" s="17"/>
      <c r="AG343" s="17"/>
      <c r="AH343" s="17"/>
      <c r="AI343" s="17"/>
      <c r="AJ343" s="17"/>
      <c r="AK343" s="17"/>
      <c r="AL343" s="17"/>
      <c r="AM343" s="17"/>
      <c r="AN343" s="17"/>
      <c r="AO343" s="17"/>
      <c r="AP343" s="17"/>
      <c r="AQ343" s="17"/>
      <c r="AR343" s="17"/>
      <c r="AS343" s="17"/>
      <c r="AT343" s="17"/>
      <c r="AU343" s="17"/>
      <c r="AV343" s="17"/>
      <c r="AW343" s="17"/>
      <c r="AX343" s="17"/>
      <c r="AY343" s="17"/>
      <c r="AZ343" s="17"/>
      <c r="BA343" s="17"/>
      <c r="BB343" s="17"/>
      <c r="BC343" s="17"/>
      <c r="BD343" s="17"/>
      <c r="BE343" s="17"/>
      <c r="BF343" s="17"/>
      <c r="BG343" s="17"/>
      <c r="BH343" s="17"/>
      <c r="BI343" s="17"/>
      <c r="BJ343" s="17"/>
      <c r="BK343" s="17"/>
      <c r="BL343" s="17"/>
      <c r="BM343" s="17"/>
      <c r="BN343" s="17"/>
      <c r="BO343" s="17"/>
      <c r="BP343" s="17"/>
      <c r="BQ343" s="17"/>
      <c r="BR343" s="17"/>
      <c r="BS343" s="17"/>
      <c r="BT343" s="17"/>
      <c r="BU343" s="17"/>
      <c r="BV343" s="17"/>
      <c r="BW343" s="17"/>
      <c r="BX343" s="17"/>
      <c r="BY343" s="17"/>
      <c r="BZ343" s="17"/>
      <c r="CA343" s="17"/>
      <c r="CB343" s="17"/>
      <c r="CC343" s="17"/>
      <c r="CD343" s="17"/>
      <c r="CE343" s="17"/>
      <c r="CF343" s="17"/>
      <c r="CG343" s="17"/>
      <c r="CH343" s="17"/>
      <c r="CI343" s="17"/>
      <c r="CJ343" s="17"/>
      <c r="CK343" s="17"/>
      <c r="CL343" s="17"/>
      <c r="CM343" s="17"/>
      <c r="CN343" s="17"/>
      <c r="CO343" s="17"/>
      <c r="CP343" s="17"/>
      <c r="CQ343" s="17"/>
      <c r="CR343" s="17"/>
      <c r="CS343" s="17"/>
      <c r="CT343" s="17"/>
      <c r="CU343" s="17"/>
      <c r="CV343" s="17"/>
      <c r="CW343" s="17"/>
      <c r="CX343" s="17"/>
      <c r="CY343" s="17"/>
      <c r="CZ343" s="17"/>
      <c r="DA343" s="17"/>
      <c r="DB343" s="17"/>
      <c r="DC343" s="17"/>
      <c r="DD343" s="17"/>
      <c r="DE343" s="17"/>
      <c r="DF343" s="17"/>
      <c r="DG343" s="17"/>
      <c r="DH343" s="17"/>
      <c r="DI343" s="17"/>
      <c r="DJ343" s="17"/>
      <c r="DK343" s="17"/>
      <c r="DL343" s="17"/>
      <c r="DM343" s="17"/>
      <c r="DN343" s="17"/>
      <c r="DO343" s="17"/>
      <c r="DP343" s="17"/>
      <c r="DQ343" s="17"/>
      <c r="DR343" s="17"/>
      <c r="DS343" s="17"/>
      <c r="DT343" s="17"/>
      <c r="DU343" s="17"/>
      <c r="DV343" s="17"/>
      <c r="DW343" s="17"/>
      <c r="DX343" s="17"/>
      <c r="DY343" s="17"/>
      <c r="DZ343" s="17"/>
      <c r="EA343" s="17"/>
      <c r="EB343" s="17"/>
      <c r="EC343" s="17"/>
      <c r="ED343" s="17"/>
      <c r="EE343" s="17"/>
      <c r="EF343" s="17"/>
      <c r="EG343" s="17"/>
      <c r="EH343" s="17"/>
      <c r="EI343" s="17"/>
      <c r="EJ343" s="17"/>
      <c r="EK343" s="17"/>
      <c r="EL343" s="17"/>
      <c r="EM343" s="17"/>
      <c r="EN343" s="17"/>
      <c r="EO343" s="17"/>
      <c r="EP343" s="17"/>
      <c r="EQ343" s="17"/>
      <c r="ER343" s="17"/>
      <c r="ES343" s="17"/>
      <c r="ET343" s="17"/>
      <c r="EU343" s="17"/>
      <c r="EV343" s="17"/>
      <c r="EW343" s="17"/>
      <c r="EX343" s="17"/>
      <c r="EY343" s="17"/>
      <c r="EZ343" s="17"/>
      <c r="FA343" s="17"/>
      <c r="FB343" s="17"/>
      <c r="FC343" s="17"/>
      <c r="FD343" s="17"/>
      <c r="FE343" s="17"/>
      <c r="FF343" s="17"/>
      <c r="FG343" s="17"/>
      <c r="FH343" s="17"/>
      <c r="FI343" s="17"/>
      <c r="FJ343" s="17"/>
      <c r="FK343" s="17"/>
      <c r="FL343" s="17"/>
      <c r="FM343" s="17"/>
      <c r="FN343" s="17"/>
      <c r="FO343" s="17"/>
      <c r="FP343" s="17"/>
      <c r="FQ343" s="17"/>
      <c r="FR343" s="17"/>
      <c r="FS343" s="17"/>
      <c r="FT343" s="17"/>
      <c r="FU343" s="17"/>
      <c r="FV343" s="17"/>
      <c r="FW343" s="17"/>
      <c r="FX343" s="17"/>
      <c r="FY343" s="17"/>
      <c r="FZ343" s="17"/>
      <c r="GA343" s="17"/>
      <c r="GB343" s="17"/>
      <c r="GC343" s="17"/>
      <c r="GD343" s="17"/>
      <c r="GE343" s="17"/>
      <c r="GF343" s="17"/>
      <c r="GG343" s="17"/>
      <c r="GH343" s="17"/>
      <c r="GI343" s="17"/>
      <c r="GJ343" s="17"/>
      <c r="GK343" s="17"/>
      <c r="GL343" s="17"/>
      <c r="GM343" s="17"/>
      <c r="GN343" s="17"/>
      <c r="GO343" s="17"/>
      <c r="GP343" s="17"/>
      <c r="GQ343" s="17"/>
      <c r="GR343" s="17"/>
      <c r="GS343" s="17"/>
      <c r="GT343" s="17"/>
      <c r="GU343" s="17"/>
      <c r="GV343" s="17"/>
      <c r="GW343" s="17"/>
      <c r="GX343" s="17"/>
      <c r="GY343" s="17"/>
      <c r="GZ343" s="17"/>
      <c r="HA343" s="17"/>
      <c r="HB343" s="17"/>
      <c r="HC343" s="17"/>
      <c r="HD343" s="17"/>
      <c r="HE343" s="17"/>
      <c r="HF343" s="17"/>
      <c r="HG343" s="17"/>
      <c r="HH343" s="17"/>
      <c r="HI343" s="17"/>
      <c r="HJ343" s="17"/>
      <c r="HK343" s="17"/>
      <c r="HL343" s="17"/>
      <c r="HM343" s="17"/>
      <c r="HN343" s="17"/>
      <c r="HO343" s="17"/>
      <c r="HP343" s="17"/>
      <c r="HQ343" s="17"/>
      <c r="HR343" s="17"/>
      <c r="HS343" s="17"/>
      <c r="HT343" s="17"/>
      <c r="HU343" s="17"/>
      <c r="HV343" s="17"/>
      <c r="HW343" s="17"/>
      <c r="HX343" s="17"/>
      <c r="HY343" s="17"/>
      <c r="HZ343" s="17"/>
      <c r="IA343" s="17"/>
      <c r="IB343" s="17"/>
      <c r="IC343" s="17"/>
      <c r="ID343" s="17"/>
      <c r="IE343" s="17"/>
      <c r="IF343" s="17"/>
      <c r="IG343" s="17"/>
      <c r="IH343" s="17"/>
      <c r="II343" s="17"/>
      <c r="IJ343" s="17"/>
      <c r="IK343" s="17"/>
      <c r="IL343" s="17"/>
      <c r="IM343" s="17"/>
      <c r="IN343" s="17"/>
      <c r="IO343" s="17"/>
      <c r="IP343" s="17"/>
      <c r="IQ343" s="17"/>
      <c r="IR343" s="17"/>
      <c r="IS343" s="17"/>
      <c r="IT343" s="17"/>
      <c r="IU343" s="17"/>
      <c r="IV343" s="17"/>
      <c r="IW343" s="17"/>
      <c r="IX343" s="17"/>
      <c r="IY343" s="17"/>
      <c r="IZ343" s="17"/>
      <c r="JA343" s="17"/>
      <c r="JB343" s="17"/>
      <c r="JC343" s="17"/>
      <c r="JD343" s="17"/>
      <c r="JE343" s="17"/>
      <c r="JF343" s="17"/>
      <c r="JG343" s="17"/>
      <c r="JH343" s="17"/>
      <c r="JI343" s="17"/>
      <c r="JJ343" s="17"/>
      <c r="JK343" s="17"/>
      <c r="JL343" s="17"/>
      <c r="JM343" s="17"/>
      <c r="JN343" s="17"/>
      <c r="JO343" s="17"/>
      <c r="JP343" s="17"/>
      <c r="JQ343" s="17"/>
      <c r="JR343" s="17"/>
      <c r="JS343" s="17"/>
      <c r="JT343" s="17"/>
      <c r="JU343" s="17"/>
      <c r="JV343" s="17"/>
      <c r="JW343" s="17"/>
      <c r="JX343" s="17"/>
      <c r="JY343" s="17"/>
      <c r="JZ343" s="17"/>
      <c r="KA343" s="17"/>
      <c r="KB343" s="17"/>
      <c r="KC343" s="17"/>
      <c r="KD343" s="17"/>
      <c r="KE343" s="17"/>
      <c r="KF343" s="17"/>
      <c r="KG343" s="17"/>
      <c r="KH343" s="17"/>
      <c r="KI343" s="17"/>
      <c r="KJ343" s="17"/>
      <c r="KK343" s="17"/>
      <c r="KL343" s="17"/>
      <c r="KM343" s="17"/>
      <c r="KN343" s="17"/>
      <c r="KO343" s="17"/>
      <c r="KP343" s="17"/>
      <c r="KQ343" s="17"/>
      <c r="KR343" s="17"/>
      <c r="KS343" s="17"/>
      <c r="KT343" s="17"/>
      <c r="KU343" s="17"/>
      <c r="KV343" s="17"/>
      <c r="KW343" s="17"/>
      <c r="KX343" s="17"/>
      <c r="KY343" s="17"/>
    </row>
    <row r="344" spans="1:311" x14ac:dyDescent="0.25">
      <c r="A344" s="17"/>
      <c r="B344" s="17"/>
      <c r="C344" s="17"/>
      <c r="D344" s="17"/>
      <c r="E344" s="17"/>
      <c r="F344" s="17"/>
      <c r="G344" s="17"/>
      <c r="H344" s="17"/>
      <c r="I344" s="17"/>
      <c r="J344" s="17"/>
      <c r="K344" s="17"/>
      <c r="L344" s="17"/>
      <c r="M344" s="17"/>
      <c r="N344" s="17"/>
      <c r="O344" s="17"/>
      <c r="P344" s="17"/>
      <c r="Q344" s="17"/>
      <c r="R344" s="17"/>
      <c r="S344" s="17"/>
      <c r="T344" s="17"/>
      <c r="U344" s="17"/>
      <c r="V344" s="17"/>
      <c r="W344" s="17"/>
      <c r="X344" s="17"/>
      <c r="Y344" s="17"/>
      <c r="Z344" s="17"/>
      <c r="AA344" s="17"/>
      <c r="AB344" s="17"/>
      <c r="AC344" s="17"/>
      <c r="AD344" s="17"/>
      <c r="AE344" s="17"/>
      <c r="AF344" s="17"/>
      <c r="AG344" s="17"/>
      <c r="AH344" s="17"/>
      <c r="AI344" s="17"/>
      <c r="AJ344" s="17"/>
      <c r="AK344" s="17"/>
      <c r="AL344" s="17"/>
      <c r="AM344" s="17"/>
      <c r="AN344" s="17"/>
      <c r="AO344" s="17"/>
      <c r="AP344" s="17"/>
      <c r="AQ344" s="17"/>
      <c r="AR344" s="17"/>
      <c r="AS344" s="17"/>
      <c r="AT344" s="17"/>
      <c r="AU344" s="17"/>
      <c r="AV344" s="17"/>
      <c r="AW344" s="17"/>
      <c r="AX344" s="17"/>
      <c r="AY344" s="17"/>
      <c r="AZ344" s="17"/>
      <c r="BA344" s="17"/>
      <c r="BB344" s="17"/>
      <c r="BC344" s="17"/>
      <c r="BD344" s="17"/>
      <c r="BE344" s="17"/>
      <c r="BF344" s="17"/>
      <c r="BG344" s="17"/>
      <c r="BH344" s="17"/>
      <c r="BI344" s="17"/>
      <c r="BJ344" s="17"/>
      <c r="BK344" s="17"/>
      <c r="BL344" s="17"/>
      <c r="BM344" s="17"/>
      <c r="BN344" s="17"/>
      <c r="BO344" s="17"/>
      <c r="BP344" s="17"/>
      <c r="BQ344" s="17"/>
      <c r="BR344" s="17"/>
      <c r="BS344" s="17"/>
      <c r="BT344" s="17"/>
      <c r="BU344" s="17"/>
      <c r="BV344" s="17"/>
      <c r="BW344" s="17"/>
      <c r="BX344" s="17"/>
      <c r="BY344" s="17"/>
      <c r="BZ344" s="17"/>
      <c r="CA344" s="17"/>
      <c r="CB344" s="17"/>
      <c r="CC344" s="17"/>
      <c r="CD344" s="17"/>
      <c r="CE344" s="17"/>
      <c r="CF344" s="17"/>
      <c r="CG344" s="17"/>
      <c r="CH344" s="17"/>
      <c r="CI344" s="17"/>
      <c r="CJ344" s="17"/>
      <c r="CK344" s="17"/>
      <c r="CL344" s="17"/>
      <c r="CM344" s="17"/>
      <c r="CN344" s="17"/>
      <c r="CO344" s="17"/>
      <c r="CP344" s="17"/>
      <c r="CQ344" s="17"/>
      <c r="CR344" s="17"/>
      <c r="CS344" s="17"/>
      <c r="CT344" s="17"/>
      <c r="CU344" s="17"/>
      <c r="CV344" s="17"/>
      <c r="CW344" s="17"/>
      <c r="CX344" s="17"/>
      <c r="CY344" s="17"/>
      <c r="CZ344" s="17"/>
      <c r="DA344" s="17"/>
      <c r="DB344" s="17"/>
      <c r="DC344" s="17"/>
      <c r="DD344" s="17"/>
      <c r="DE344" s="17"/>
      <c r="DF344" s="17"/>
      <c r="DG344" s="17"/>
      <c r="DH344" s="17"/>
      <c r="DI344" s="17"/>
      <c r="DJ344" s="17"/>
      <c r="DK344" s="17"/>
      <c r="DL344" s="17"/>
      <c r="DM344" s="17"/>
      <c r="DN344" s="17"/>
      <c r="DO344" s="17"/>
      <c r="DP344" s="17"/>
      <c r="DQ344" s="17"/>
      <c r="DR344" s="17"/>
      <c r="DS344" s="17"/>
      <c r="DT344" s="17"/>
      <c r="DU344" s="17"/>
      <c r="DV344" s="17"/>
      <c r="DW344" s="17"/>
      <c r="DX344" s="17"/>
      <c r="DY344" s="17"/>
      <c r="DZ344" s="17"/>
      <c r="EA344" s="17"/>
      <c r="EB344" s="17"/>
      <c r="EC344" s="17"/>
      <c r="ED344" s="17"/>
      <c r="EE344" s="17"/>
      <c r="EF344" s="17"/>
      <c r="EG344" s="17"/>
      <c r="EH344" s="17"/>
      <c r="EI344" s="17"/>
      <c r="EJ344" s="17"/>
      <c r="EK344" s="17"/>
      <c r="EL344" s="17"/>
      <c r="EM344" s="17"/>
      <c r="EN344" s="17"/>
      <c r="EO344" s="17"/>
      <c r="EP344" s="17"/>
      <c r="EQ344" s="17"/>
      <c r="ER344" s="17"/>
      <c r="ES344" s="17"/>
      <c r="ET344" s="17"/>
      <c r="EU344" s="17"/>
      <c r="EV344" s="17"/>
      <c r="EW344" s="17"/>
      <c r="EX344" s="17"/>
      <c r="EY344" s="17"/>
      <c r="EZ344" s="17"/>
      <c r="FA344" s="17"/>
      <c r="FB344" s="17"/>
      <c r="FC344" s="17"/>
      <c r="FD344" s="17"/>
      <c r="FE344" s="17"/>
      <c r="FF344" s="17"/>
      <c r="FG344" s="17"/>
      <c r="FH344" s="17"/>
      <c r="FI344" s="17"/>
      <c r="FJ344" s="17"/>
      <c r="FK344" s="17"/>
      <c r="FL344" s="17"/>
      <c r="FM344" s="17"/>
      <c r="FN344" s="17"/>
      <c r="FO344" s="17"/>
      <c r="FP344" s="17"/>
      <c r="FQ344" s="17"/>
      <c r="FR344" s="17"/>
      <c r="FS344" s="17"/>
      <c r="FT344" s="17"/>
      <c r="FU344" s="17"/>
      <c r="FV344" s="17"/>
      <c r="FW344" s="17"/>
      <c r="FX344" s="17"/>
      <c r="FY344" s="17"/>
      <c r="FZ344" s="17"/>
      <c r="GA344" s="17"/>
      <c r="GB344" s="17"/>
      <c r="GC344" s="17"/>
      <c r="GD344" s="17"/>
      <c r="GE344" s="17"/>
      <c r="GF344" s="17"/>
      <c r="GG344" s="17"/>
      <c r="GH344" s="17"/>
      <c r="GI344" s="17"/>
      <c r="GJ344" s="17"/>
      <c r="GK344" s="17"/>
      <c r="GL344" s="17"/>
      <c r="GM344" s="17"/>
      <c r="GN344" s="17"/>
      <c r="GO344" s="17"/>
      <c r="GP344" s="17"/>
      <c r="GQ344" s="17"/>
      <c r="GR344" s="17"/>
      <c r="GS344" s="17"/>
      <c r="GT344" s="17"/>
      <c r="GU344" s="17"/>
      <c r="GV344" s="17"/>
      <c r="GW344" s="17"/>
      <c r="GX344" s="17"/>
      <c r="GY344" s="17"/>
      <c r="GZ344" s="17"/>
      <c r="HA344" s="17"/>
      <c r="HB344" s="17"/>
      <c r="HC344" s="17"/>
      <c r="HD344" s="17"/>
      <c r="HE344" s="17"/>
      <c r="HF344" s="17"/>
      <c r="HG344" s="17"/>
      <c r="HH344" s="17"/>
      <c r="HI344" s="17"/>
      <c r="HJ344" s="17"/>
      <c r="HK344" s="17"/>
      <c r="HL344" s="17"/>
      <c r="HM344" s="17"/>
      <c r="HN344" s="17"/>
      <c r="HO344" s="17"/>
      <c r="HP344" s="17"/>
      <c r="HQ344" s="17"/>
      <c r="HR344" s="17"/>
      <c r="HS344" s="17"/>
      <c r="HT344" s="17"/>
      <c r="HU344" s="17"/>
      <c r="HV344" s="17"/>
      <c r="HW344" s="17"/>
      <c r="HX344" s="17"/>
      <c r="HY344" s="17"/>
      <c r="HZ344" s="17"/>
      <c r="IA344" s="17"/>
      <c r="IB344" s="17"/>
      <c r="IC344" s="17"/>
      <c r="ID344" s="17"/>
      <c r="IE344" s="17"/>
      <c r="IF344" s="17"/>
      <c r="IG344" s="17"/>
      <c r="IH344" s="17"/>
      <c r="II344" s="17"/>
      <c r="IJ344" s="17"/>
      <c r="IK344" s="17"/>
      <c r="IL344" s="17"/>
      <c r="IM344" s="17"/>
      <c r="IN344" s="17"/>
      <c r="IO344" s="17"/>
      <c r="IP344" s="17"/>
      <c r="IQ344" s="17"/>
      <c r="IR344" s="17"/>
      <c r="IS344" s="17"/>
      <c r="IT344" s="17"/>
      <c r="IU344" s="17"/>
      <c r="IV344" s="17"/>
      <c r="IW344" s="17"/>
      <c r="IX344" s="17"/>
      <c r="IY344" s="17"/>
      <c r="IZ344" s="17"/>
      <c r="JA344" s="17"/>
      <c r="JB344" s="17"/>
      <c r="JC344" s="17"/>
      <c r="JD344" s="17"/>
      <c r="JE344" s="17"/>
      <c r="JF344" s="17"/>
      <c r="JG344" s="17"/>
      <c r="JH344" s="17"/>
      <c r="JI344" s="17"/>
      <c r="JJ344" s="17"/>
      <c r="JK344" s="17"/>
      <c r="JL344" s="17"/>
      <c r="JM344" s="17"/>
      <c r="JN344" s="17"/>
      <c r="JO344" s="17"/>
      <c r="JP344" s="17"/>
      <c r="JQ344" s="17"/>
      <c r="JR344" s="17"/>
      <c r="JS344" s="17"/>
      <c r="JT344" s="17"/>
      <c r="JU344" s="17"/>
      <c r="JV344" s="17"/>
      <c r="JW344" s="17"/>
      <c r="JX344" s="17"/>
      <c r="JY344" s="17"/>
      <c r="JZ344" s="17"/>
      <c r="KA344" s="17"/>
      <c r="KB344" s="17"/>
      <c r="KC344" s="17"/>
      <c r="KD344" s="17"/>
      <c r="KE344" s="17"/>
      <c r="KF344" s="17"/>
      <c r="KG344" s="17"/>
      <c r="KH344" s="17"/>
      <c r="KI344" s="17"/>
      <c r="KJ344" s="17"/>
      <c r="KK344" s="17"/>
      <c r="KL344" s="17"/>
      <c r="KM344" s="17"/>
      <c r="KN344" s="17"/>
      <c r="KO344" s="17"/>
      <c r="KP344" s="17"/>
      <c r="KQ344" s="17"/>
      <c r="KR344" s="17"/>
      <c r="KS344" s="17"/>
      <c r="KT344" s="17"/>
      <c r="KU344" s="17"/>
      <c r="KV344" s="17"/>
      <c r="KW344" s="17"/>
      <c r="KX344" s="17"/>
      <c r="KY344" s="17"/>
    </row>
    <row r="345" spans="1:311" x14ac:dyDescent="0.25">
      <c r="A345" s="17"/>
      <c r="B345" s="17"/>
      <c r="C345" s="17"/>
      <c r="D345" s="17"/>
      <c r="E345" s="17"/>
      <c r="F345" s="17"/>
      <c r="G345" s="17"/>
      <c r="H345" s="17"/>
      <c r="I345" s="17"/>
      <c r="J345" s="17"/>
      <c r="K345" s="17"/>
      <c r="L345" s="17"/>
      <c r="M345" s="17"/>
      <c r="N345" s="17"/>
      <c r="O345" s="17"/>
      <c r="P345" s="17"/>
      <c r="Q345" s="17"/>
      <c r="R345" s="17"/>
      <c r="S345" s="17"/>
      <c r="T345" s="17"/>
      <c r="U345" s="17"/>
      <c r="V345" s="17"/>
      <c r="W345" s="17"/>
      <c r="X345" s="17"/>
      <c r="Y345" s="17"/>
      <c r="Z345" s="17"/>
      <c r="AA345" s="17"/>
      <c r="AB345" s="17"/>
      <c r="AC345" s="17"/>
      <c r="AD345" s="17"/>
      <c r="AE345" s="17"/>
      <c r="AF345" s="17"/>
      <c r="AG345" s="17"/>
      <c r="AH345" s="17"/>
      <c r="AI345" s="17"/>
      <c r="AJ345" s="17"/>
      <c r="AK345" s="17"/>
      <c r="AL345" s="17"/>
      <c r="AM345" s="17"/>
      <c r="AN345" s="17"/>
      <c r="AO345" s="17"/>
      <c r="AP345" s="17"/>
      <c r="AQ345" s="17"/>
      <c r="AR345" s="17"/>
      <c r="AS345" s="17"/>
      <c r="AT345" s="17"/>
      <c r="AU345" s="17"/>
      <c r="AV345" s="17"/>
      <c r="AW345" s="17"/>
      <c r="AX345" s="17"/>
      <c r="AY345" s="17"/>
      <c r="AZ345" s="17"/>
      <c r="BA345" s="17"/>
      <c r="BB345" s="17"/>
      <c r="BC345" s="17"/>
      <c r="BD345" s="17"/>
      <c r="BE345" s="17"/>
      <c r="BF345" s="17"/>
      <c r="BG345" s="17"/>
      <c r="BH345" s="17"/>
      <c r="BI345" s="17"/>
      <c r="BJ345" s="17"/>
      <c r="BK345" s="17"/>
      <c r="BL345" s="17"/>
      <c r="BM345" s="17"/>
      <c r="BN345" s="17"/>
      <c r="BO345" s="17"/>
      <c r="BP345" s="17"/>
      <c r="BQ345" s="17"/>
      <c r="BR345" s="17"/>
      <c r="BS345" s="17"/>
      <c r="BT345" s="17"/>
      <c r="BU345" s="17"/>
      <c r="BV345" s="17"/>
      <c r="BW345" s="17"/>
      <c r="BX345" s="17"/>
      <c r="BY345" s="17"/>
      <c r="BZ345" s="17"/>
      <c r="CA345" s="17"/>
      <c r="CB345" s="17"/>
      <c r="CC345" s="17"/>
      <c r="CD345" s="17"/>
      <c r="CE345" s="17"/>
      <c r="CF345" s="17"/>
      <c r="CG345" s="17"/>
      <c r="CH345" s="17"/>
      <c r="CI345" s="17"/>
      <c r="CJ345" s="17"/>
      <c r="CK345" s="17"/>
      <c r="CL345" s="17"/>
      <c r="CM345" s="17"/>
      <c r="CN345" s="17"/>
      <c r="CO345" s="17"/>
      <c r="CP345" s="17"/>
      <c r="CQ345" s="17"/>
      <c r="CR345" s="17"/>
      <c r="CS345" s="17"/>
      <c r="CT345" s="17"/>
      <c r="CU345" s="17"/>
      <c r="CV345" s="17"/>
      <c r="CW345" s="17"/>
      <c r="CX345" s="17"/>
      <c r="CY345" s="17"/>
      <c r="CZ345" s="17"/>
      <c r="DA345" s="17"/>
      <c r="DB345" s="17"/>
      <c r="DC345" s="17"/>
      <c r="DD345" s="17"/>
      <c r="DE345" s="17"/>
      <c r="DF345" s="17"/>
      <c r="DG345" s="17"/>
      <c r="DH345" s="17"/>
      <c r="DI345" s="17"/>
      <c r="DJ345" s="17"/>
      <c r="DK345" s="17"/>
      <c r="DL345" s="17"/>
      <c r="DM345" s="17"/>
      <c r="DN345" s="17"/>
      <c r="DO345" s="17"/>
      <c r="DP345" s="17"/>
      <c r="DQ345" s="17"/>
      <c r="DR345" s="17"/>
      <c r="DS345" s="17"/>
      <c r="DT345" s="17"/>
      <c r="DU345" s="17"/>
      <c r="DV345" s="17"/>
      <c r="DW345" s="17"/>
      <c r="DX345" s="17"/>
      <c r="DY345" s="17"/>
      <c r="DZ345" s="17"/>
      <c r="EA345" s="17"/>
      <c r="EB345" s="17"/>
      <c r="EC345" s="17"/>
      <c r="ED345" s="17"/>
      <c r="EE345" s="17"/>
      <c r="EF345" s="17"/>
      <c r="EG345" s="17"/>
      <c r="EH345" s="17"/>
      <c r="EI345" s="17"/>
      <c r="EJ345" s="17"/>
      <c r="EK345" s="17"/>
      <c r="EL345" s="17"/>
      <c r="EM345" s="17"/>
      <c r="EN345" s="17"/>
      <c r="EO345" s="17"/>
      <c r="EP345" s="17"/>
      <c r="EQ345" s="17"/>
      <c r="ER345" s="17"/>
      <c r="ES345" s="17"/>
      <c r="ET345" s="17"/>
      <c r="EU345" s="17"/>
      <c r="EV345" s="17"/>
      <c r="EW345" s="17"/>
      <c r="EX345" s="17"/>
      <c r="EY345" s="17"/>
      <c r="EZ345" s="17"/>
      <c r="FA345" s="17"/>
      <c r="FB345" s="17"/>
      <c r="FC345" s="17"/>
      <c r="FD345" s="17"/>
      <c r="FE345" s="17"/>
      <c r="FF345" s="17"/>
      <c r="FG345" s="17"/>
      <c r="FH345" s="17"/>
      <c r="FI345" s="17"/>
      <c r="FJ345" s="17"/>
      <c r="FK345" s="17"/>
      <c r="FL345" s="17"/>
      <c r="FM345" s="17"/>
      <c r="FN345" s="17"/>
      <c r="FO345" s="17"/>
      <c r="FP345" s="17"/>
      <c r="FQ345" s="17"/>
      <c r="FR345" s="17"/>
      <c r="FS345" s="17"/>
      <c r="FT345" s="17"/>
      <c r="FU345" s="17"/>
      <c r="FV345" s="17"/>
      <c r="FW345" s="17"/>
      <c r="FX345" s="17"/>
      <c r="FY345" s="17"/>
      <c r="FZ345" s="17"/>
      <c r="GA345" s="17"/>
      <c r="GB345" s="17"/>
      <c r="GC345" s="17"/>
      <c r="GD345" s="17"/>
      <c r="GE345" s="17"/>
      <c r="GF345" s="17"/>
      <c r="GG345" s="17"/>
      <c r="GH345" s="17"/>
      <c r="GI345" s="17"/>
      <c r="GJ345" s="17"/>
      <c r="GK345" s="17"/>
      <c r="GL345" s="17"/>
      <c r="GM345" s="17"/>
      <c r="GN345" s="17"/>
      <c r="GO345" s="17"/>
      <c r="GP345" s="17"/>
      <c r="GQ345" s="17"/>
      <c r="GR345" s="17"/>
      <c r="GS345" s="17"/>
      <c r="GT345" s="17"/>
      <c r="GU345" s="17"/>
      <c r="GV345" s="17"/>
      <c r="GW345" s="17"/>
      <c r="GX345" s="17"/>
      <c r="GY345" s="17"/>
      <c r="GZ345" s="17"/>
      <c r="HA345" s="17"/>
      <c r="HB345" s="17"/>
      <c r="HC345" s="17"/>
      <c r="HD345" s="17"/>
      <c r="HE345" s="17"/>
      <c r="HF345" s="17"/>
      <c r="HG345" s="17"/>
      <c r="HH345" s="17"/>
      <c r="HI345" s="17"/>
      <c r="HJ345" s="17"/>
      <c r="HK345" s="17"/>
      <c r="HL345" s="17"/>
      <c r="HM345" s="17"/>
      <c r="HN345" s="17"/>
      <c r="HO345" s="17"/>
      <c r="HP345" s="17"/>
      <c r="HQ345" s="17"/>
      <c r="HR345" s="17"/>
      <c r="HS345" s="17"/>
      <c r="HT345" s="17"/>
      <c r="HU345" s="17"/>
      <c r="HV345" s="17"/>
      <c r="HW345" s="17"/>
      <c r="HX345" s="17"/>
      <c r="HY345" s="17"/>
      <c r="HZ345" s="17"/>
      <c r="IA345" s="17"/>
      <c r="IB345" s="17"/>
      <c r="IC345" s="17"/>
      <c r="ID345" s="17"/>
      <c r="IE345" s="17"/>
      <c r="IF345" s="17"/>
      <c r="IG345" s="17"/>
      <c r="IH345" s="17"/>
      <c r="II345" s="17"/>
      <c r="IJ345" s="17"/>
      <c r="IK345" s="17"/>
      <c r="IL345" s="17"/>
      <c r="IM345" s="17"/>
      <c r="IN345" s="17"/>
      <c r="IO345" s="17"/>
      <c r="IP345" s="17"/>
      <c r="IQ345" s="17"/>
      <c r="IR345" s="17"/>
      <c r="IS345" s="17"/>
      <c r="IT345" s="17"/>
      <c r="IU345" s="17"/>
      <c r="IV345" s="17"/>
      <c r="IW345" s="17"/>
      <c r="IX345" s="17"/>
      <c r="IY345" s="17"/>
      <c r="IZ345" s="17"/>
      <c r="JA345" s="17"/>
      <c r="JB345" s="17"/>
      <c r="JC345" s="17"/>
      <c r="JD345" s="17"/>
      <c r="JE345" s="17"/>
      <c r="JF345" s="17"/>
      <c r="JG345" s="17"/>
      <c r="JH345" s="17"/>
      <c r="JI345" s="17"/>
      <c r="JJ345" s="17"/>
      <c r="JK345" s="17"/>
      <c r="JL345" s="17"/>
      <c r="JM345" s="17"/>
      <c r="JN345" s="17"/>
      <c r="JO345" s="17"/>
      <c r="JP345" s="17"/>
      <c r="JQ345" s="17"/>
      <c r="JR345" s="17"/>
      <c r="JS345" s="17"/>
      <c r="JT345" s="17"/>
      <c r="JU345" s="17"/>
      <c r="JV345" s="17"/>
      <c r="JW345" s="17"/>
      <c r="JX345" s="17"/>
      <c r="JY345" s="17"/>
      <c r="JZ345" s="17"/>
      <c r="KA345" s="17"/>
      <c r="KB345" s="17"/>
      <c r="KC345" s="17"/>
      <c r="KD345" s="17"/>
      <c r="KE345" s="17"/>
      <c r="KF345" s="17"/>
      <c r="KG345" s="17"/>
      <c r="KH345" s="17"/>
      <c r="KI345" s="17"/>
      <c r="KJ345" s="17"/>
      <c r="KK345" s="17"/>
      <c r="KL345" s="17"/>
      <c r="KM345" s="17"/>
      <c r="KN345" s="17"/>
      <c r="KO345" s="17"/>
      <c r="KP345" s="17"/>
      <c r="KQ345" s="17"/>
      <c r="KR345" s="17"/>
      <c r="KS345" s="17"/>
      <c r="KT345" s="17"/>
      <c r="KU345" s="17"/>
      <c r="KV345" s="17"/>
      <c r="KW345" s="17"/>
      <c r="KX345" s="17"/>
      <c r="KY345" s="17"/>
    </row>
    <row r="346" spans="1:311" x14ac:dyDescent="0.25">
      <c r="A346" s="17"/>
      <c r="B346" s="17"/>
      <c r="C346" s="17"/>
      <c r="D346" s="17"/>
      <c r="E346" s="17"/>
      <c r="F346" s="17"/>
      <c r="G346" s="17"/>
      <c r="H346" s="17"/>
      <c r="I346" s="17"/>
      <c r="J346" s="17"/>
      <c r="K346" s="17"/>
      <c r="L346" s="17"/>
      <c r="M346" s="17"/>
      <c r="N346" s="17"/>
      <c r="O346" s="17"/>
      <c r="P346" s="17"/>
      <c r="Q346" s="17"/>
      <c r="R346" s="17"/>
      <c r="S346" s="17"/>
      <c r="T346" s="17"/>
      <c r="U346" s="17"/>
      <c r="V346" s="17"/>
      <c r="W346" s="17"/>
      <c r="X346" s="17"/>
      <c r="Y346" s="17"/>
      <c r="Z346" s="17"/>
      <c r="AA346" s="17"/>
      <c r="AB346" s="17"/>
      <c r="AC346" s="17"/>
      <c r="AD346" s="17"/>
      <c r="AE346" s="17"/>
      <c r="AF346" s="17"/>
      <c r="AG346" s="17"/>
      <c r="AH346" s="17"/>
      <c r="AI346" s="17"/>
      <c r="AJ346" s="17"/>
      <c r="AK346" s="17"/>
      <c r="AL346" s="17"/>
      <c r="AM346" s="17"/>
      <c r="AN346" s="17"/>
      <c r="AO346" s="17"/>
      <c r="AP346" s="17"/>
      <c r="AQ346" s="17"/>
      <c r="AR346" s="17"/>
      <c r="AS346" s="17"/>
      <c r="AT346" s="17"/>
      <c r="AU346" s="17"/>
      <c r="AV346" s="17"/>
      <c r="AW346" s="17"/>
      <c r="AX346" s="17"/>
      <c r="AY346" s="17"/>
      <c r="AZ346" s="17"/>
      <c r="BA346" s="17"/>
      <c r="BB346" s="17"/>
      <c r="BC346" s="17"/>
      <c r="BD346" s="17"/>
      <c r="BE346" s="17"/>
      <c r="BF346" s="17"/>
      <c r="BG346" s="17"/>
      <c r="BH346" s="17"/>
      <c r="BI346" s="17"/>
      <c r="BJ346" s="17"/>
      <c r="BK346" s="17"/>
      <c r="BL346" s="17"/>
      <c r="BM346" s="17"/>
      <c r="BN346" s="17"/>
      <c r="BO346" s="17"/>
      <c r="BP346" s="17"/>
      <c r="BQ346" s="17"/>
      <c r="BR346" s="17"/>
      <c r="BS346" s="17"/>
      <c r="BT346" s="17"/>
      <c r="BU346" s="17"/>
      <c r="BV346" s="17"/>
      <c r="BW346" s="17"/>
      <c r="BX346" s="17"/>
      <c r="BY346" s="17"/>
      <c r="BZ346" s="17"/>
      <c r="CA346" s="17"/>
      <c r="CB346" s="17"/>
      <c r="CC346" s="17"/>
      <c r="CD346" s="17"/>
      <c r="CE346" s="17"/>
      <c r="CF346" s="17"/>
      <c r="CG346" s="17"/>
      <c r="CH346" s="17"/>
      <c r="CI346" s="17"/>
      <c r="CJ346" s="17"/>
      <c r="CK346" s="17"/>
      <c r="CL346" s="17"/>
      <c r="CM346" s="17"/>
      <c r="CN346" s="17"/>
      <c r="CO346" s="17"/>
      <c r="CP346" s="17"/>
      <c r="CQ346" s="17"/>
      <c r="CR346" s="17"/>
      <c r="CS346" s="17"/>
      <c r="CT346" s="17"/>
      <c r="CU346" s="17"/>
      <c r="CV346" s="17"/>
      <c r="CW346" s="17"/>
      <c r="CX346" s="17"/>
      <c r="CY346" s="17"/>
      <c r="CZ346" s="17"/>
      <c r="DA346" s="17"/>
      <c r="DB346" s="17"/>
      <c r="DC346" s="17"/>
      <c r="DD346" s="17"/>
      <c r="DE346" s="17"/>
      <c r="DF346" s="17"/>
      <c r="DG346" s="17"/>
      <c r="DH346" s="17"/>
      <c r="DI346" s="17"/>
      <c r="DJ346" s="17"/>
      <c r="DK346" s="17"/>
      <c r="DL346" s="17"/>
      <c r="DM346" s="17"/>
      <c r="DN346" s="17"/>
      <c r="DO346" s="17"/>
      <c r="DP346" s="17"/>
      <c r="DQ346" s="17"/>
      <c r="DR346" s="17"/>
      <c r="DS346" s="17"/>
      <c r="DT346" s="17"/>
      <c r="DU346" s="17"/>
      <c r="DV346" s="17"/>
      <c r="DW346" s="17"/>
      <c r="DX346" s="17"/>
      <c r="DY346" s="17"/>
      <c r="DZ346" s="17"/>
      <c r="EA346" s="17"/>
      <c r="EB346" s="17"/>
      <c r="EC346" s="17"/>
      <c r="ED346" s="17"/>
      <c r="EE346" s="17"/>
      <c r="EF346" s="17"/>
      <c r="EG346" s="17"/>
      <c r="EH346" s="17"/>
      <c r="EI346" s="17"/>
      <c r="EJ346" s="17"/>
      <c r="EK346" s="17"/>
      <c r="EL346" s="17"/>
      <c r="EM346" s="17"/>
      <c r="EN346" s="17"/>
      <c r="EO346" s="17"/>
      <c r="EP346" s="17"/>
      <c r="EQ346" s="17"/>
      <c r="ER346" s="17"/>
      <c r="ES346" s="17"/>
      <c r="ET346" s="17"/>
      <c r="EU346" s="17"/>
      <c r="EV346" s="17"/>
      <c r="EW346" s="17"/>
      <c r="EX346" s="17"/>
      <c r="EY346" s="17"/>
      <c r="EZ346" s="17"/>
      <c r="FA346" s="17"/>
      <c r="FB346" s="17"/>
      <c r="FC346" s="17"/>
      <c r="FD346" s="17"/>
      <c r="FE346" s="17"/>
      <c r="FF346" s="17"/>
      <c r="FG346" s="17"/>
      <c r="FH346" s="17"/>
      <c r="FI346" s="17"/>
      <c r="FJ346" s="17"/>
      <c r="FK346" s="17"/>
      <c r="FL346" s="17"/>
      <c r="FM346" s="17"/>
      <c r="FN346" s="17"/>
      <c r="FO346" s="17"/>
      <c r="FP346" s="17"/>
      <c r="FQ346" s="17"/>
      <c r="FR346" s="17"/>
      <c r="FS346" s="17"/>
      <c r="FT346" s="17"/>
      <c r="FU346" s="17"/>
      <c r="FV346" s="17"/>
      <c r="FW346" s="17"/>
      <c r="FX346" s="17"/>
      <c r="FY346" s="17"/>
      <c r="FZ346" s="17"/>
      <c r="GA346" s="17"/>
      <c r="GB346" s="17"/>
      <c r="GC346" s="17"/>
      <c r="GD346" s="17"/>
      <c r="GE346" s="17"/>
      <c r="GF346" s="17"/>
      <c r="GG346" s="17"/>
      <c r="GH346" s="17"/>
      <c r="GI346" s="17"/>
      <c r="GJ346" s="17"/>
      <c r="GK346" s="17"/>
      <c r="GL346" s="17"/>
      <c r="GM346" s="17"/>
      <c r="GN346" s="17"/>
      <c r="GO346" s="17"/>
      <c r="GP346" s="17"/>
      <c r="GQ346" s="17"/>
      <c r="GR346" s="17"/>
      <c r="GS346" s="17"/>
      <c r="GT346" s="17"/>
      <c r="GU346" s="17"/>
      <c r="GV346" s="17"/>
      <c r="GW346" s="17"/>
      <c r="GX346" s="17"/>
      <c r="GY346" s="17"/>
      <c r="GZ346" s="17"/>
      <c r="HA346" s="17"/>
      <c r="HB346" s="17"/>
      <c r="HC346" s="17"/>
      <c r="HD346" s="17"/>
      <c r="HE346" s="17"/>
      <c r="HF346" s="17"/>
      <c r="HG346" s="17"/>
      <c r="HH346" s="17"/>
      <c r="HI346" s="17"/>
      <c r="HJ346" s="17"/>
      <c r="HK346" s="17"/>
      <c r="HL346" s="17"/>
      <c r="HM346" s="17"/>
      <c r="HN346" s="17"/>
      <c r="HO346" s="17"/>
      <c r="HP346" s="17"/>
      <c r="HQ346" s="17"/>
      <c r="HR346" s="17"/>
      <c r="HS346" s="17"/>
      <c r="HT346" s="17"/>
      <c r="HU346" s="17"/>
      <c r="HV346" s="17"/>
      <c r="HW346" s="17"/>
      <c r="HX346" s="17"/>
      <c r="HY346" s="17"/>
      <c r="HZ346" s="17"/>
      <c r="IA346" s="17"/>
      <c r="IB346" s="17"/>
      <c r="IC346" s="17"/>
      <c r="ID346" s="17"/>
      <c r="IE346" s="17"/>
      <c r="IF346" s="17"/>
      <c r="IG346" s="17"/>
      <c r="IH346" s="17"/>
      <c r="II346" s="17"/>
      <c r="IJ346" s="17"/>
      <c r="IK346" s="17"/>
      <c r="IL346" s="17"/>
      <c r="IM346" s="17"/>
      <c r="IN346" s="17"/>
      <c r="IO346" s="17"/>
      <c r="IP346" s="17"/>
      <c r="IQ346" s="17"/>
      <c r="IR346" s="17"/>
      <c r="IS346" s="17"/>
      <c r="IT346" s="17"/>
      <c r="IU346" s="17"/>
      <c r="IV346" s="17"/>
      <c r="IW346" s="17"/>
      <c r="IX346" s="17"/>
      <c r="IY346" s="17"/>
      <c r="IZ346" s="17"/>
      <c r="JA346" s="17"/>
      <c r="JB346" s="17"/>
      <c r="JC346" s="17"/>
      <c r="JD346" s="17"/>
      <c r="JE346" s="17"/>
      <c r="JF346" s="17"/>
      <c r="JG346" s="17"/>
      <c r="JH346" s="17"/>
      <c r="JI346" s="17"/>
      <c r="JJ346" s="17"/>
      <c r="JK346" s="17"/>
      <c r="JL346" s="17"/>
      <c r="JM346" s="17"/>
      <c r="JN346" s="17"/>
      <c r="JO346" s="17"/>
      <c r="JP346" s="17"/>
      <c r="JQ346" s="17"/>
      <c r="JR346" s="17"/>
      <c r="JS346" s="17"/>
      <c r="JT346" s="17"/>
      <c r="JU346" s="17"/>
      <c r="JV346" s="17"/>
      <c r="JW346" s="17"/>
      <c r="JX346" s="17"/>
      <c r="JY346" s="17"/>
      <c r="JZ346" s="17"/>
      <c r="KA346" s="17"/>
      <c r="KB346" s="17"/>
      <c r="KC346" s="17"/>
      <c r="KD346" s="17"/>
      <c r="KE346" s="17"/>
      <c r="KF346" s="17"/>
      <c r="KG346" s="17"/>
      <c r="KH346" s="17"/>
      <c r="KI346" s="17"/>
      <c r="KJ346" s="17"/>
      <c r="KK346" s="17"/>
      <c r="KL346" s="17"/>
      <c r="KM346" s="17"/>
      <c r="KN346" s="17"/>
      <c r="KO346" s="17"/>
      <c r="KP346" s="17"/>
      <c r="KQ346" s="17"/>
      <c r="KR346" s="17"/>
      <c r="KS346" s="17"/>
      <c r="KT346" s="17"/>
      <c r="KU346" s="17"/>
      <c r="KV346" s="17"/>
      <c r="KW346" s="17"/>
      <c r="KX346" s="17"/>
      <c r="KY346" s="17"/>
    </row>
    <row r="347" spans="1:311" x14ac:dyDescent="0.25">
      <c r="A347" s="17"/>
      <c r="B347" s="17"/>
      <c r="C347" s="17"/>
      <c r="D347" s="17"/>
      <c r="E347" s="17"/>
      <c r="F347" s="17"/>
      <c r="G347" s="17"/>
      <c r="H347" s="17"/>
      <c r="I347" s="17"/>
      <c r="J347" s="17"/>
      <c r="K347" s="17"/>
      <c r="L347" s="17"/>
      <c r="M347" s="17"/>
      <c r="N347" s="17"/>
      <c r="O347" s="17"/>
      <c r="P347" s="17"/>
      <c r="Q347" s="17"/>
      <c r="R347" s="17"/>
      <c r="S347" s="17"/>
      <c r="T347" s="17"/>
      <c r="U347" s="17"/>
      <c r="V347" s="17"/>
      <c r="W347" s="17"/>
      <c r="X347" s="17"/>
      <c r="Y347" s="17"/>
      <c r="Z347" s="17"/>
      <c r="AA347" s="17"/>
      <c r="AB347" s="17"/>
      <c r="AC347" s="17"/>
      <c r="AD347" s="17"/>
      <c r="AE347" s="17"/>
      <c r="AF347" s="17"/>
      <c r="AG347" s="17"/>
      <c r="AH347" s="17"/>
      <c r="AI347" s="17"/>
      <c r="AJ347" s="17"/>
      <c r="AK347" s="17"/>
      <c r="AL347" s="17"/>
      <c r="AM347" s="17"/>
      <c r="AN347" s="17"/>
      <c r="AO347" s="17"/>
      <c r="AP347" s="17"/>
      <c r="AQ347" s="17"/>
      <c r="AR347" s="17"/>
      <c r="AS347" s="17"/>
      <c r="AT347" s="17"/>
      <c r="AU347" s="17"/>
      <c r="AV347" s="17"/>
      <c r="AW347" s="17"/>
      <c r="AX347" s="17"/>
      <c r="AY347" s="17"/>
      <c r="AZ347" s="17"/>
      <c r="BA347" s="17"/>
      <c r="BB347" s="17"/>
      <c r="BC347" s="17"/>
      <c r="BD347" s="17"/>
      <c r="BE347" s="17"/>
      <c r="BF347" s="17"/>
      <c r="BG347" s="17"/>
      <c r="BH347" s="17"/>
      <c r="BI347" s="17"/>
      <c r="BJ347" s="17"/>
      <c r="BK347" s="17"/>
      <c r="BL347" s="17"/>
      <c r="BM347" s="17"/>
      <c r="BN347" s="17"/>
      <c r="BO347" s="17"/>
      <c r="BP347" s="17"/>
      <c r="BQ347" s="17"/>
      <c r="BR347" s="17"/>
      <c r="BS347" s="17"/>
      <c r="BT347" s="17"/>
      <c r="BU347" s="17"/>
      <c r="BV347" s="17"/>
      <c r="BW347" s="17"/>
      <c r="BX347" s="17"/>
      <c r="BY347" s="17"/>
      <c r="BZ347" s="17"/>
      <c r="CA347" s="17"/>
      <c r="CB347" s="17"/>
      <c r="CC347" s="17"/>
      <c r="CD347" s="17"/>
      <c r="CE347" s="17"/>
      <c r="CF347" s="17"/>
      <c r="CG347" s="17"/>
      <c r="CH347" s="17"/>
      <c r="CI347" s="17"/>
      <c r="CJ347" s="17"/>
      <c r="CK347" s="17"/>
      <c r="CL347" s="17"/>
      <c r="CM347" s="17"/>
      <c r="CN347" s="17"/>
      <c r="CO347" s="17"/>
      <c r="CP347" s="17"/>
      <c r="CQ347" s="17"/>
      <c r="CR347" s="17"/>
      <c r="CS347" s="17"/>
      <c r="CT347" s="17"/>
      <c r="CU347" s="17"/>
      <c r="CV347" s="17"/>
      <c r="CW347" s="17"/>
      <c r="CX347" s="17"/>
      <c r="CY347" s="17"/>
      <c r="CZ347" s="17"/>
      <c r="DA347" s="17"/>
      <c r="DB347" s="17"/>
      <c r="DC347" s="17"/>
      <c r="DD347" s="17"/>
      <c r="DE347" s="17"/>
      <c r="DF347" s="17"/>
      <c r="DG347" s="17"/>
      <c r="DH347" s="17"/>
      <c r="DI347" s="17"/>
      <c r="DJ347" s="17"/>
      <c r="DK347" s="17"/>
      <c r="DL347" s="17"/>
      <c r="DM347" s="17"/>
      <c r="DN347" s="17"/>
      <c r="DO347" s="17"/>
      <c r="DP347" s="17"/>
      <c r="DQ347" s="17"/>
      <c r="DR347" s="17"/>
      <c r="DS347" s="17"/>
      <c r="DT347" s="17"/>
      <c r="DU347" s="17"/>
      <c r="DV347" s="17"/>
      <c r="DW347" s="17"/>
      <c r="DX347" s="17"/>
      <c r="DY347" s="17"/>
      <c r="DZ347" s="17"/>
      <c r="EA347" s="17"/>
      <c r="EB347" s="17"/>
      <c r="EC347" s="17"/>
      <c r="ED347" s="17"/>
      <c r="EE347" s="17"/>
      <c r="EF347" s="17"/>
      <c r="EG347" s="17"/>
      <c r="EH347" s="17"/>
      <c r="EI347" s="17"/>
      <c r="EJ347" s="17"/>
      <c r="EK347" s="17"/>
      <c r="EL347" s="17"/>
      <c r="EM347" s="17"/>
      <c r="EN347" s="17"/>
      <c r="EO347" s="17"/>
      <c r="EP347" s="17"/>
      <c r="EQ347" s="17"/>
      <c r="ER347" s="17"/>
      <c r="ES347" s="17"/>
      <c r="ET347" s="17"/>
      <c r="EU347" s="17"/>
      <c r="EV347" s="17"/>
      <c r="EW347" s="17"/>
      <c r="EX347" s="17"/>
      <c r="EY347" s="17"/>
      <c r="EZ347" s="17"/>
      <c r="FA347" s="17"/>
      <c r="FB347" s="17"/>
      <c r="FC347" s="17"/>
      <c r="FD347" s="17"/>
      <c r="FE347" s="17"/>
      <c r="FF347" s="17"/>
      <c r="FG347" s="17"/>
      <c r="FH347" s="17"/>
      <c r="FI347" s="17"/>
      <c r="FJ347" s="17"/>
      <c r="FK347" s="17"/>
      <c r="FL347" s="17"/>
      <c r="FM347" s="17"/>
      <c r="FN347" s="17"/>
      <c r="FO347" s="17"/>
      <c r="FP347" s="17"/>
      <c r="FQ347" s="17"/>
      <c r="FR347" s="17"/>
      <c r="FS347" s="17"/>
      <c r="FT347" s="17"/>
      <c r="FU347" s="17"/>
      <c r="FV347" s="17"/>
      <c r="FW347" s="17"/>
      <c r="FX347" s="17"/>
      <c r="FY347" s="17"/>
      <c r="FZ347" s="17"/>
      <c r="GA347" s="17"/>
      <c r="GB347" s="17"/>
      <c r="GC347" s="17"/>
      <c r="GD347" s="17"/>
      <c r="GE347" s="17"/>
      <c r="GF347" s="17"/>
      <c r="GG347" s="17"/>
      <c r="GH347" s="17"/>
      <c r="GI347" s="17"/>
      <c r="GJ347" s="17"/>
      <c r="GK347" s="17"/>
      <c r="GL347" s="17"/>
      <c r="GM347" s="17"/>
      <c r="GN347" s="17"/>
      <c r="GO347" s="17"/>
      <c r="GP347" s="17"/>
      <c r="GQ347" s="17"/>
      <c r="GR347" s="17"/>
      <c r="GS347" s="17"/>
      <c r="GT347" s="17"/>
      <c r="GU347" s="17"/>
      <c r="GV347" s="17"/>
      <c r="GW347" s="17"/>
      <c r="GX347" s="17"/>
      <c r="GY347" s="17"/>
      <c r="GZ347" s="17"/>
      <c r="HA347" s="17"/>
      <c r="HB347" s="17"/>
      <c r="HC347" s="17"/>
      <c r="HD347" s="17"/>
      <c r="HE347" s="17"/>
      <c r="HF347" s="17"/>
      <c r="HG347" s="17"/>
      <c r="HH347" s="17"/>
      <c r="HI347" s="17"/>
      <c r="HJ347" s="17"/>
      <c r="HK347" s="17"/>
      <c r="HL347" s="17"/>
      <c r="HM347" s="17"/>
      <c r="HN347" s="17"/>
      <c r="HO347" s="17"/>
      <c r="HP347" s="17"/>
      <c r="HQ347" s="17"/>
      <c r="HR347" s="17"/>
      <c r="HS347" s="17"/>
      <c r="HT347" s="17"/>
      <c r="HU347" s="17"/>
      <c r="HV347" s="17"/>
      <c r="HW347" s="17"/>
      <c r="HX347" s="17"/>
      <c r="HY347" s="17"/>
      <c r="HZ347" s="17"/>
      <c r="IA347" s="17"/>
      <c r="IB347" s="17"/>
      <c r="IC347" s="17"/>
      <c r="ID347" s="17"/>
      <c r="IE347" s="17"/>
      <c r="IF347" s="17"/>
      <c r="IG347" s="17"/>
      <c r="IH347" s="17"/>
      <c r="II347" s="17"/>
      <c r="IJ347" s="17"/>
      <c r="IK347" s="17"/>
      <c r="IL347" s="17"/>
      <c r="IM347" s="17"/>
      <c r="IN347" s="17"/>
      <c r="IO347" s="17"/>
      <c r="IP347" s="17"/>
      <c r="IQ347" s="17"/>
      <c r="IR347" s="17"/>
      <c r="IS347" s="17"/>
      <c r="IT347" s="17"/>
      <c r="IU347" s="17"/>
      <c r="IV347" s="17"/>
      <c r="IW347" s="17"/>
      <c r="IX347" s="17"/>
      <c r="IY347" s="17"/>
      <c r="IZ347" s="17"/>
      <c r="JA347" s="17"/>
      <c r="JB347" s="17"/>
      <c r="JC347" s="17"/>
      <c r="JD347" s="17"/>
      <c r="JE347" s="17"/>
      <c r="JF347" s="17"/>
      <c r="JG347" s="17"/>
      <c r="JH347" s="17"/>
      <c r="JI347" s="17"/>
      <c r="JJ347" s="17"/>
      <c r="JK347" s="17"/>
      <c r="JL347" s="17"/>
      <c r="JM347" s="17"/>
      <c r="JN347" s="17"/>
      <c r="JO347" s="17"/>
      <c r="JP347" s="17"/>
      <c r="JQ347" s="17"/>
      <c r="JR347" s="17"/>
      <c r="JS347" s="17"/>
      <c r="JT347" s="17"/>
      <c r="JU347" s="17"/>
      <c r="JV347" s="17"/>
      <c r="JW347" s="17"/>
      <c r="JX347" s="17"/>
      <c r="JY347" s="17"/>
      <c r="JZ347" s="17"/>
      <c r="KA347" s="17"/>
      <c r="KB347" s="17"/>
      <c r="KC347" s="17"/>
      <c r="KD347" s="17"/>
      <c r="KE347" s="17"/>
      <c r="KF347" s="17"/>
      <c r="KG347" s="17"/>
      <c r="KH347" s="17"/>
      <c r="KI347" s="17"/>
      <c r="KJ347" s="17"/>
      <c r="KK347" s="17"/>
      <c r="KL347" s="17"/>
      <c r="KM347" s="17"/>
      <c r="KN347" s="17"/>
      <c r="KO347" s="17"/>
      <c r="KP347" s="17"/>
      <c r="KQ347" s="17"/>
      <c r="KR347" s="17"/>
      <c r="KS347" s="17"/>
      <c r="KT347" s="17"/>
      <c r="KU347" s="17"/>
      <c r="KV347" s="17"/>
      <c r="KW347" s="17"/>
      <c r="KX347" s="17"/>
      <c r="KY347" s="17"/>
    </row>
    <row r="348" spans="1:311" x14ac:dyDescent="0.25">
      <c r="A348" s="17"/>
      <c r="B348" s="17"/>
      <c r="C348" s="17"/>
      <c r="D348" s="17"/>
      <c r="E348" s="17"/>
      <c r="F348" s="17"/>
      <c r="G348" s="17"/>
      <c r="H348" s="17"/>
      <c r="I348" s="17"/>
      <c r="J348" s="17"/>
      <c r="K348" s="17"/>
      <c r="L348" s="17"/>
      <c r="M348" s="17"/>
      <c r="N348" s="17"/>
      <c r="O348" s="17"/>
      <c r="P348" s="17"/>
      <c r="Q348" s="17"/>
      <c r="R348" s="17"/>
      <c r="S348" s="17"/>
      <c r="T348" s="17"/>
      <c r="U348" s="17"/>
      <c r="V348" s="17"/>
      <c r="W348" s="17"/>
      <c r="X348" s="17"/>
      <c r="Y348" s="17"/>
      <c r="Z348" s="17"/>
      <c r="AA348" s="17"/>
      <c r="AB348" s="17"/>
      <c r="AC348" s="17"/>
      <c r="AD348" s="17"/>
      <c r="AE348" s="17"/>
      <c r="AF348" s="17"/>
      <c r="AG348" s="17"/>
      <c r="AH348" s="17"/>
      <c r="AI348" s="17"/>
      <c r="AJ348" s="17"/>
      <c r="AK348" s="17"/>
      <c r="AL348" s="17"/>
      <c r="AM348" s="17"/>
      <c r="AN348" s="17"/>
      <c r="AO348" s="17"/>
      <c r="AP348" s="17"/>
      <c r="AQ348" s="17"/>
      <c r="AR348" s="17"/>
      <c r="AS348" s="17"/>
      <c r="AT348" s="17"/>
      <c r="AU348" s="17"/>
      <c r="AV348" s="17"/>
      <c r="AW348" s="17"/>
      <c r="AX348" s="17"/>
      <c r="AY348" s="17"/>
      <c r="AZ348" s="17"/>
      <c r="BA348" s="17"/>
      <c r="BB348" s="17"/>
      <c r="BC348" s="17"/>
      <c r="BD348" s="17"/>
      <c r="BE348" s="17"/>
      <c r="BF348" s="17"/>
      <c r="BG348" s="17"/>
      <c r="BH348" s="17"/>
      <c r="BI348" s="17"/>
      <c r="BJ348" s="17"/>
      <c r="BK348" s="17"/>
      <c r="BL348" s="17"/>
      <c r="BM348" s="17"/>
      <c r="BN348" s="17"/>
      <c r="BO348" s="17"/>
      <c r="BP348" s="17"/>
      <c r="BQ348" s="17"/>
      <c r="BR348" s="17"/>
      <c r="BS348" s="17"/>
      <c r="BT348" s="17"/>
      <c r="BU348" s="17"/>
      <c r="BV348" s="17"/>
      <c r="BW348" s="17"/>
      <c r="BX348" s="17"/>
      <c r="BY348" s="17"/>
      <c r="BZ348" s="17"/>
      <c r="CA348" s="17"/>
      <c r="CB348" s="17"/>
      <c r="CC348" s="17"/>
      <c r="CD348" s="17"/>
      <c r="CE348" s="17"/>
      <c r="CF348" s="17"/>
      <c r="CG348" s="17"/>
      <c r="CH348" s="17"/>
      <c r="CI348" s="17"/>
      <c r="CJ348" s="17"/>
      <c r="CK348" s="17"/>
      <c r="CL348" s="17"/>
      <c r="CM348" s="17"/>
      <c r="CN348" s="17"/>
      <c r="CO348" s="17"/>
      <c r="CP348" s="17"/>
      <c r="CQ348" s="17"/>
      <c r="CR348" s="17"/>
      <c r="CS348" s="17"/>
      <c r="CT348" s="17"/>
      <c r="CU348" s="17"/>
      <c r="CV348" s="17"/>
      <c r="CW348" s="17"/>
      <c r="CX348" s="17"/>
      <c r="CY348" s="17"/>
      <c r="CZ348" s="17"/>
      <c r="DA348" s="17"/>
      <c r="DB348" s="17"/>
      <c r="DC348" s="17"/>
      <c r="DD348" s="17"/>
      <c r="DE348" s="17"/>
      <c r="DF348" s="17"/>
      <c r="DG348" s="17"/>
      <c r="DH348" s="17"/>
      <c r="DI348" s="17"/>
      <c r="DJ348" s="17"/>
      <c r="DK348" s="17"/>
      <c r="DL348" s="17"/>
      <c r="DM348" s="17"/>
      <c r="DN348" s="17"/>
      <c r="DO348" s="17"/>
      <c r="DP348" s="17"/>
      <c r="DQ348" s="17"/>
      <c r="DR348" s="17"/>
      <c r="DS348" s="17"/>
      <c r="DT348" s="17"/>
      <c r="DU348" s="17"/>
      <c r="DV348" s="17"/>
      <c r="DW348" s="17"/>
      <c r="DX348" s="17"/>
      <c r="DY348" s="17"/>
      <c r="DZ348" s="17"/>
      <c r="EA348" s="17"/>
      <c r="EB348" s="17"/>
      <c r="EC348" s="17"/>
      <c r="ED348" s="17"/>
      <c r="EE348" s="17"/>
      <c r="EF348" s="17"/>
      <c r="EG348" s="17"/>
      <c r="EH348" s="17"/>
      <c r="EI348" s="17"/>
      <c r="EJ348" s="17"/>
      <c r="EK348" s="17"/>
      <c r="EL348" s="17"/>
      <c r="EM348" s="17"/>
      <c r="EN348" s="17"/>
      <c r="EO348" s="17"/>
      <c r="EP348" s="17"/>
      <c r="EQ348" s="17"/>
      <c r="ER348" s="17"/>
      <c r="ES348" s="17"/>
      <c r="ET348" s="17"/>
      <c r="EU348" s="17"/>
      <c r="EV348" s="17"/>
      <c r="EW348" s="17"/>
      <c r="EX348" s="17"/>
      <c r="EY348" s="17"/>
      <c r="EZ348" s="17"/>
      <c r="FA348" s="17"/>
      <c r="FB348" s="17"/>
      <c r="FC348" s="17"/>
      <c r="FD348" s="17"/>
      <c r="FE348" s="17"/>
      <c r="FF348" s="17"/>
      <c r="FG348" s="17"/>
      <c r="FH348" s="17"/>
      <c r="FI348" s="17"/>
      <c r="FJ348" s="17"/>
      <c r="FK348" s="17"/>
      <c r="FL348" s="17"/>
      <c r="FM348" s="17"/>
      <c r="FN348" s="17"/>
      <c r="FO348" s="17"/>
      <c r="FP348" s="17"/>
      <c r="FQ348" s="17"/>
      <c r="FR348" s="17"/>
      <c r="FS348" s="17"/>
      <c r="FT348" s="17"/>
      <c r="FU348" s="17"/>
      <c r="FV348" s="17"/>
      <c r="FW348" s="17"/>
      <c r="FX348" s="17"/>
      <c r="FY348" s="17"/>
      <c r="FZ348" s="17"/>
      <c r="GA348" s="17"/>
      <c r="GB348" s="17"/>
      <c r="GC348" s="17"/>
      <c r="GD348" s="17"/>
      <c r="GE348" s="17"/>
      <c r="GF348" s="17"/>
      <c r="GG348" s="17"/>
      <c r="GH348" s="17"/>
      <c r="GI348" s="17"/>
      <c r="GJ348" s="17"/>
      <c r="GK348" s="17"/>
      <c r="GL348" s="17"/>
      <c r="GM348" s="17"/>
      <c r="GN348" s="17"/>
      <c r="GO348" s="17"/>
      <c r="GP348" s="17"/>
      <c r="GQ348" s="17"/>
      <c r="GR348" s="17"/>
      <c r="GS348" s="17"/>
      <c r="GT348" s="17"/>
      <c r="GU348" s="17"/>
      <c r="GV348" s="17"/>
      <c r="GW348" s="17"/>
      <c r="GX348" s="17"/>
      <c r="GY348" s="17"/>
      <c r="GZ348" s="17"/>
      <c r="HA348" s="17"/>
      <c r="HB348" s="17"/>
      <c r="HC348" s="17"/>
      <c r="HD348" s="17"/>
      <c r="HE348" s="17"/>
      <c r="HF348" s="17"/>
      <c r="HG348" s="17"/>
      <c r="HH348" s="17"/>
      <c r="HI348" s="17"/>
      <c r="HJ348" s="17"/>
      <c r="HK348" s="17"/>
      <c r="HL348" s="17"/>
      <c r="HM348" s="17"/>
      <c r="HN348" s="17"/>
      <c r="HO348" s="17"/>
      <c r="HP348" s="17"/>
      <c r="HQ348" s="17"/>
      <c r="HR348" s="17"/>
      <c r="HS348" s="17"/>
      <c r="HT348" s="17"/>
      <c r="HU348" s="17"/>
      <c r="HV348" s="17"/>
      <c r="HW348" s="17"/>
      <c r="HX348" s="17"/>
      <c r="HY348" s="17"/>
      <c r="HZ348" s="17"/>
      <c r="IA348" s="17"/>
      <c r="IB348" s="17"/>
      <c r="IC348" s="17"/>
      <c r="ID348" s="17"/>
      <c r="IE348" s="17"/>
      <c r="IF348" s="17"/>
      <c r="IG348" s="17"/>
      <c r="IH348" s="17"/>
      <c r="II348" s="17"/>
      <c r="IJ348" s="17"/>
      <c r="IK348" s="17"/>
      <c r="IL348" s="17"/>
      <c r="IM348" s="17"/>
      <c r="IN348" s="17"/>
      <c r="IO348" s="17"/>
      <c r="IP348" s="17"/>
      <c r="IQ348" s="17"/>
      <c r="IR348" s="17"/>
      <c r="IS348" s="17"/>
      <c r="IT348" s="17"/>
      <c r="IU348" s="17"/>
      <c r="IV348" s="17"/>
      <c r="IW348" s="17"/>
      <c r="IX348" s="17"/>
      <c r="IY348" s="17"/>
      <c r="IZ348" s="17"/>
      <c r="JA348" s="17"/>
      <c r="JB348" s="17"/>
      <c r="JC348" s="17"/>
      <c r="JD348" s="17"/>
      <c r="JE348" s="17"/>
      <c r="JF348" s="17"/>
      <c r="JG348" s="17"/>
      <c r="JH348" s="17"/>
      <c r="JI348" s="17"/>
      <c r="JJ348" s="17"/>
      <c r="JK348" s="17"/>
      <c r="JL348" s="17"/>
      <c r="JM348" s="17"/>
      <c r="JN348" s="17"/>
      <c r="JO348" s="17"/>
      <c r="JP348" s="17"/>
      <c r="JQ348" s="17"/>
      <c r="JR348" s="17"/>
      <c r="JS348" s="17"/>
      <c r="JT348" s="17"/>
      <c r="JU348" s="17"/>
      <c r="JV348" s="17"/>
      <c r="JW348" s="17"/>
      <c r="JX348" s="17"/>
      <c r="JY348" s="17"/>
      <c r="JZ348" s="17"/>
      <c r="KA348" s="17"/>
      <c r="KB348" s="17"/>
      <c r="KC348" s="17"/>
      <c r="KD348" s="17"/>
      <c r="KE348" s="17"/>
      <c r="KF348" s="17"/>
      <c r="KG348" s="17"/>
      <c r="KH348" s="17"/>
      <c r="KI348" s="17"/>
      <c r="KJ348" s="17"/>
      <c r="KK348" s="17"/>
      <c r="KL348" s="17"/>
      <c r="KM348" s="17"/>
      <c r="KN348" s="17"/>
      <c r="KO348" s="17"/>
      <c r="KP348" s="17"/>
      <c r="KQ348" s="17"/>
      <c r="KR348" s="17"/>
      <c r="KS348" s="17"/>
      <c r="KT348" s="17"/>
      <c r="KU348" s="17"/>
      <c r="KV348" s="17"/>
      <c r="KW348" s="17"/>
      <c r="KX348" s="17"/>
      <c r="KY348" s="17"/>
    </row>
    <row r="349" spans="1:311" x14ac:dyDescent="0.25">
      <c r="A349" s="17"/>
      <c r="B349" s="17"/>
      <c r="C349" s="17"/>
      <c r="D349" s="17"/>
      <c r="E349" s="17"/>
      <c r="F349" s="17"/>
      <c r="G349" s="17"/>
      <c r="H349" s="17"/>
      <c r="I349" s="17"/>
      <c r="J349" s="17"/>
      <c r="K349" s="17"/>
      <c r="L349" s="17"/>
      <c r="M349" s="17"/>
      <c r="N349" s="17"/>
      <c r="O349" s="17"/>
      <c r="P349" s="17"/>
      <c r="Q349" s="17"/>
      <c r="R349" s="17"/>
      <c r="S349" s="17"/>
      <c r="T349" s="17"/>
      <c r="U349" s="17"/>
      <c r="V349" s="17"/>
      <c r="W349" s="17"/>
      <c r="X349" s="17"/>
      <c r="Y349" s="17"/>
      <c r="Z349" s="17"/>
      <c r="AA349" s="17"/>
      <c r="AB349" s="17"/>
      <c r="AC349" s="17"/>
      <c r="AD349" s="17"/>
      <c r="AE349" s="17"/>
      <c r="AF349" s="17"/>
      <c r="AG349" s="17"/>
      <c r="AH349" s="17"/>
      <c r="AI349" s="17"/>
      <c r="AJ349" s="17"/>
      <c r="AK349" s="17"/>
      <c r="AL349" s="17"/>
      <c r="AM349" s="17"/>
      <c r="AN349" s="17"/>
      <c r="AO349" s="17"/>
      <c r="AP349" s="17"/>
      <c r="AQ349" s="17"/>
      <c r="AR349" s="17"/>
      <c r="AS349" s="17"/>
      <c r="AT349" s="17"/>
      <c r="AU349" s="17"/>
      <c r="AV349" s="17"/>
      <c r="AW349" s="17"/>
      <c r="AX349" s="17"/>
      <c r="AY349" s="17"/>
      <c r="AZ349" s="17"/>
      <c r="BA349" s="17"/>
      <c r="BB349" s="17"/>
      <c r="BC349" s="17"/>
      <c r="BD349" s="17"/>
      <c r="BE349" s="17"/>
      <c r="BF349" s="17"/>
      <c r="BG349" s="17"/>
      <c r="BH349" s="17"/>
      <c r="BI349" s="17"/>
      <c r="BJ349" s="17"/>
      <c r="BK349" s="17"/>
      <c r="BL349" s="17"/>
      <c r="BM349" s="17"/>
      <c r="BN349" s="17"/>
      <c r="BO349" s="17"/>
      <c r="BP349" s="17"/>
      <c r="BQ349" s="17"/>
      <c r="BR349" s="17"/>
      <c r="BS349" s="17"/>
      <c r="BT349" s="17"/>
      <c r="BU349" s="17"/>
      <c r="BV349" s="17"/>
      <c r="BW349" s="17"/>
      <c r="BX349" s="17"/>
      <c r="BY349" s="17"/>
      <c r="BZ349" s="17"/>
      <c r="CA349" s="17"/>
      <c r="CB349" s="17"/>
      <c r="CC349" s="17"/>
      <c r="CD349" s="17"/>
      <c r="CE349" s="17"/>
      <c r="CF349" s="17"/>
      <c r="CG349" s="17"/>
      <c r="CH349" s="17"/>
      <c r="CI349" s="17"/>
      <c r="CJ349" s="17"/>
      <c r="CK349" s="17"/>
      <c r="CL349" s="17"/>
      <c r="CM349" s="17"/>
      <c r="CN349" s="17"/>
      <c r="CO349" s="17"/>
      <c r="CP349" s="17"/>
      <c r="CQ349" s="17"/>
      <c r="CR349" s="17"/>
      <c r="CS349" s="17"/>
      <c r="CT349" s="17"/>
      <c r="CU349" s="17"/>
      <c r="CV349" s="17"/>
      <c r="CW349" s="17"/>
      <c r="CX349" s="17"/>
      <c r="CY349" s="17"/>
      <c r="CZ349" s="17"/>
      <c r="DA349" s="17"/>
      <c r="DB349" s="17"/>
      <c r="DC349" s="17"/>
      <c r="DD349" s="17"/>
      <c r="DE349" s="17"/>
      <c r="DF349" s="17"/>
      <c r="DG349" s="17"/>
      <c r="DH349" s="17"/>
      <c r="DI349" s="17"/>
      <c r="DJ349" s="17"/>
      <c r="DK349" s="17"/>
      <c r="DL349" s="17"/>
      <c r="DM349" s="17"/>
      <c r="DN349" s="17"/>
      <c r="DO349" s="17"/>
      <c r="DP349" s="17"/>
      <c r="DQ349" s="17"/>
      <c r="DR349" s="17"/>
      <c r="DS349" s="17"/>
      <c r="DT349" s="17"/>
      <c r="DU349" s="17"/>
      <c r="DV349" s="17"/>
      <c r="DW349" s="17"/>
      <c r="DX349" s="17"/>
      <c r="DY349" s="17"/>
      <c r="DZ349" s="17"/>
      <c r="EA349" s="17"/>
      <c r="EB349" s="17"/>
      <c r="EC349" s="17"/>
      <c r="ED349" s="17"/>
      <c r="EE349" s="17"/>
      <c r="EF349" s="17"/>
      <c r="EG349" s="17"/>
      <c r="EH349" s="17"/>
      <c r="EI349" s="17"/>
      <c r="EJ349" s="17"/>
      <c r="EK349" s="17"/>
      <c r="EL349" s="17"/>
      <c r="EM349" s="17"/>
      <c r="EN349" s="17"/>
      <c r="EO349" s="17"/>
      <c r="EP349" s="17"/>
      <c r="EQ349" s="17"/>
      <c r="ER349" s="17"/>
      <c r="ES349" s="17"/>
      <c r="ET349" s="17"/>
      <c r="EU349" s="17"/>
      <c r="EV349" s="17"/>
      <c r="EW349" s="17"/>
      <c r="EX349" s="17"/>
      <c r="EY349" s="17"/>
      <c r="EZ349" s="17"/>
      <c r="FA349" s="17"/>
      <c r="FB349" s="17"/>
      <c r="FC349" s="17"/>
      <c r="FD349" s="17"/>
      <c r="FE349" s="17"/>
      <c r="FF349" s="17"/>
      <c r="FG349" s="17"/>
      <c r="FH349" s="17"/>
      <c r="FI349" s="17"/>
      <c r="FJ349" s="17"/>
      <c r="FK349" s="17"/>
      <c r="FL349" s="17"/>
      <c r="FM349" s="17"/>
      <c r="FN349" s="17"/>
      <c r="FO349" s="17"/>
      <c r="FP349" s="17"/>
      <c r="FQ349" s="17"/>
      <c r="FR349" s="17"/>
      <c r="FS349" s="17"/>
      <c r="FT349" s="17"/>
      <c r="FU349" s="17"/>
      <c r="FV349" s="17"/>
      <c r="FW349" s="17"/>
      <c r="FX349" s="17"/>
      <c r="FY349" s="17"/>
      <c r="FZ349" s="17"/>
      <c r="GA349" s="17"/>
      <c r="GB349" s="17"/>
      <c r="GC349" s="17"/>
      <c r="GD349" s="17"/>
      <c r="GE349" s="17"/>
      <c r="GF349" s="17"/>
      <c r="GG349" s="17"/>
      <c r="GH349" s="17"/>
      <c r="GI349" s="17"/>
      <c r="GJ349" s="17"/>
      <c r="GK349" s="17"/>
      <c r="GL349" s="17"/>
      <c r="GM349" s="17"/>
      <c r="GN349" s="17"/>
      <c r="GO349" s="17"/>
      <c r="GP349" s="17"/>
      <c r="GQ349" s="17"/>
      <c r="GR349" s="17"/>
      <c r="GS349" s="17"/>
      <c r="GT349" s="17"/>
      <c r="GU349" s="17"/>
      <c r="GV349" s="17"/>
      <c r="GW349" s="17"/>
      <c r="GX349" s="17"/>
      <c r="GY349" s="17"/>
      <c r="GZ349" s="17"/>
      <c r="HA349" s="17"/>
      <c r="HB349" s="17"/>
      <c r="HC349" s="17"/>
      <c r="HD349" s="17"/>
      <c r="HE349" s="17"/>
      <c r="HF349" s="17"/>
      <c r="HG349" s="17"/>
      <c r="HH349" s="17"/>
      <c r="HI349" s="17"/>
      <c r="HJ349" s="17"/>
      <c r="HK349" s="17"/>
      <c r="HL349" s="17"/>
      <c r="HM349" s="17"/>
      <c r="HN349" s="17"/>
      <c r="HO349" s="17"/>
      <c r="HP349" s="17"/>
      <c r="HQ349" s="17"/>
      <c r="HR349" s="17"/>
      <c r="HS349" s="17"/>
      <c r="HT349" s="17"/>
      <c r="HU349" s="17"/>
      <c r="HV349" s="17"/>
      <c r="HW349" s="17"/>
      <c r="HX349" s="17"/>
      <c r="HY349" s="17"/>
      <c r="HZ349" s="17"/>
      <c r="IA349" s="17"/>
      <c r="IB349" s="17"/>
      <c r="IC349" s="17"/>
      <c r="ID349" s="17"/>
      <c r="IE349" s="17"/>
      <c r="IF349" s="17"/>
      <c r="IG349" s="17"/>
      <c r="IH349" s="17"/>
      <c r="II349" s="17"/>
      <c r="IJ349" s="17"/>
      <c r="IK349" s="17"/>
      <c r="IL349" s="17"/>
      <c r="IM349" s="17"/>
      <c r="IN349" s="17"/>
      <c r="IO349" s="17"/>
      <c r="IP349" s="17"/>
      <c r="IQ349" s="17"/>
      <c r="IR349" s="17"/>
      <c r="IS349" s="17"/>
      <c r="IT349" s="17"/>
      <c r="IU349" s="17"/>
      <c r="IV349" s="17"/>
      <c r="IW349" s="17"/>
      <c r="IX349" s="17"/>
      <c r="IY349" s="17"/>
      <c r="IZ349" s="17"/>
      <c r="JA349" s="17"/>
      <c r="JB349" s="17"/>
      <c r="JC349" s="17"/>
      <c r="JD349" s="17"/>
      <c r="JE349" s="17"/>
      <c r="JF349" s="17"/>
      <c r="JG349" s="17"/>
      <c r="JH349" s="17"/>
      <c r="JI349" s="17"/>
      <c r="JJ349" s="17"/>
      <c r="JK349" s="17"/>
      <c r="JL349" s="17"/>
      <c r="JM349" s="17"/>
      <c r="JN349" s="17"/>
      <c r="JO349" s="17"/>
      <c r="JP349" s="17"/>
      <c r="JQ349" s="17"/>
      <c r="JR349" s="17"/>
      <c r="JS349" s="17"/>
      <c r="JT349" s="17"/>
      <c r="JU349" s="17"/>
      <c r="JV349" s="17"/>
      <c r="JW349" s="17"/>
      <c r="JX349" s="17"/>
      <c r="JY349" s="17"/>
      <c r="JZ349" s="17"/>
      <c r="KA349" s="17"/>
      <c r="KB349" s="17"/>
      <c r="KC349" s="17"/>
      <c r="KD349" s="17"/>
      <c r="KE349" s="17"/>
      <c r="KF349" s="17"/>
      <c r="KG349" s="17"/>
      <c r="KH349" s="17"/>
      <c r="KI349" s="17"/>
      <c r="KJ349" s="17"/>
      <c r="KK349" s="17"/>
      <c r="KL349" s="17"/>
      <c r="KM349" s="17"/>
      <c r="KN349" s="17"/>
      <c r="KO349" s="17"/>
      <c r="KP349" s="17"/>
      <c r="KQ349" s="17"/>
      <c r="KR349" s="17"/>
      <c r="KS349" s="17"/>
      <c r="KT349" s="17"/>
      <c r="KU349" s="17"/>
      <c r="KV349" s="17"/>
      <c r="KW349" s="17"/>
      <c r="KX349" s="17"/>
      <c r="KY349" s="17"/>
    </row>
    <row r="350" spans="1:311" x14ac:dyDescent="0.25">
      <c r="A350" s="17"/>
      <c r="B350" s="17"/>
      <c r="C350" s="17"/>
      <c r="D350" s="17"/>
      <c r="E350" s="17"/>
      <c r="F350" s="17"/>
      <c r="G350" s="17"/>
      <c r="H350" s="17"/>
      <c r="I350" s="17"/>
      <c r="J350" s="17"/>
      <c r="K350" s="17"/>
      <c r="L350" s="17"/>
      <c r="M350" s="17"/>
      <c r="N350" s="17"/>
      <c r="O350" s="17"/>
      <c r="P350" s="17"/>
      <c r="Q350" s="17"/>
      <c r="R350" s="17"/>
      <c r="S350" s="17"/>
      <c r="T350" s="17"/>
      <c r="U350" s="17"/>
      <c r="V350" s="17"/>
      <c r="W350" s="17"/>
      <c r="X350" s="17"/>
      <c r="Y350" s="17"/>
      <c r="Z350" s="17"/>
      <c r="AA350" s="17"/>
      <c r="AB350" s="17"/>
      <c r="AC350" s="17"/>
      <c r="AD350" s="17"/>
      <c r="AE350" s="17"/>
      <c r="AF350" s="17"/>
      <c r="AG350" s="17"/>
      <c r="AH350" s="17"/>
      <c r="AI350" s="17"/>
      <c r="AJ350" s="17"/>
      <c r="AK350" s="17"/>
      <c r="AL350" s="17"/>
      <c r="AM350" s="17"/>
      <c r="AN350" s="17"/>
      <c r="AO350" s="17"/>
      <c r="AP350" s="17"/>
      <c r="AQ350" s="17"/>
      <c r="AR350" s="17"/>
      <c r="AS350" s="17"/>
      <c r="AT350" s="17"/>
      <c r="AU350" s="17"/>
      <c r="AV350" s="17"/>
      <c r="AW350" s="17"/>
      <c r="AX350" s="17"/>
      <c r="AY350" s="17"/>
      <c r="AZ350" s="17"/>
      <c r="BA350" s="17"/>
      <c r="BB350" s="17"/>
      <c r="BC350" s="17"/>
      <c r="BD350" s="17"/>
      <c r="BE350" s="17"/>
      <c r="BF350" s="17"/>
      <c r="BG350" s="17"/>
      <c r="BH350" s="17"/>
      <c r="BI350" s="17"/>
      <c r="BJ350" s="17"/>
      <c r="BK350" s="17"/>
      <c r="BL350" s="17"/>
      <c r="BM350" s="17"/>
      <c r="BN350" s="17"/>
      <c r="BO350" s="17"/>
      <c r="BP350" s="17"/>
      <c r="BQ350" s="17"/>
      <c r="BR350" s="17"/>
      <c r="BS350" s="17"/>
      <c r="BT350" s="17"/>
      <c r="BU350" s="17"/>
      <c r="BV350" s="17"/>
      <c r="BW350" s="17"/>
      <c r="BX350" s="17"/>
      <c r="BY350" s="17"/>
      <c r="BZ350" s="17"/>
      <c r="CA350" s="17"/>
      <c r="CB350" s="17"/>
      <c r="CC350" s="17"/>
      <c r="CD350" s="17"/>
      <c r="CE350" s="17"/>
      <c r="CF350" s="17"/>
      <c r="CG350" s="17"/>
      <c r="CH350" s="17"/>
      <c r="CI350" s="17"/>
      <c r="CJ350" s="17"/>
      <c r="CK350" s="17"/>
      <c r="CL350" s="17"/>
      <c r="CM350" s="17"/>
      <c r="CN350" s="17"/>
      <c r="CO350" s="17"/>
      <c r="CP350" s="17"/>
      <c r="CQ350" s="17"/>
      <c r="CR350" s="17"/>
      <c r="CS350" s="17"/>
      <c r="CT350" s="17"/>
      <c r="CU350" s="17"/>
      <c r="CV350" s="17"/>
      <c r="CW350" s="17"/>
      <c r="CX350" s="17"/>
      <c r="CY350" s="17"/>
      <c r="CZ350" s="17"/>
      <c r="DA350" s="17"/>
      <c r="DB350" s="17"/>
      <c r="DC350" s="17"/>
      <c r="DD350" s="17"/>
      <c r="DE350" s="17"/>
      <c r="DF350" s="17"/>
      <c r="DG350" s="17"/>
      <c r="DH350" s="17"/>
      <c r="DI350" s="17"/>
      <c r="DJ350" s="17"/>
      <c r="DK350" s="17"/>
      <c r="DL350" s="17"/>
      <c r="DM350" s="17"/>
      <c r="DN350" s="17"/>
      <c r="DO350" s="17"/>
      <c r="DP350" s="17"/>
      <c r="DQ350" s="17"/>
      <c r="DR350" s="17"/>
      <c r="DS350" s="17"/>
      <c r="DT350" s="17"/>
      <c r="DU350" s="17"/>
      <c r="DV350" s="17"/>
      <c r="DW350" s="17"/>
      <c r="DX350" s="17"/>
      <c r="DY350" s="17"/>
      <c r="DZ350" s="17"/>
      <c r="EA350" s="17"/>
      <c r="EB350" s="17"/>
      <c r="EC350" s="17"/>
      <c r="ED350" s="17"/>
      <c r="EE350" s="17"/>
      <c r="EF350" s="17"/>
      <c r="EG350" s="17"/>
      <c r="EH350" s="17"/>
      <c r="EI350" s="17"/>
      <c r="EJ350" s="17"/>
      <c r="EK350" s="17"/>
      <c r="EL350" s="17"/>
      <c r="EM350" s="17"/>
      <c r="EN350" s="17"/>
      <c r="EO350" s="17"/>
      <c r="EP350" s="17"/>
      <c r="EQ350" s="17"/>
      <c r="ER350" s="17"/>
      <c r="ES350" s="17"/>
      <c r="ET350" s="17"/>
      <c r="EU350" s="17"/>
      <c r="EV350" s="17"/>
      <c r="EW350" s="17"/>
      <c r="EX350" s="17"/>
      <c r="EY350" s="17"/>
      <c r="EZ350" s="17"/>
      <c r="FA350" s="17"/>
      <c r="FB350" s="17"/>
      <c r="FC350" s="17"/>
      <c r="FD350" s="17"/>
      <c r="FE350" s="17"/>
      <c r="FF350" s="17"/>
      <c r="FG350" s="17"/>
      <c r="FH350" s="17"/>
      <c r="FI350" s="17"/>
      <c r="FJ350" s="17"/>
      <c r="FK350" s="17"/>
      <c r="FL350" s="17"/>
      <c r="FM350" s="17"/>
      <c r="FN350" s="17"/>
      <c r="FO350" s="17"/>
      <c r="FP350" s="17"/>
      <c r="FQ350" s="17"/>
      <c r="FR350" s="17"/>
      <c r="FS350" s="17"/>
      <c r="FT350" s="17"/>
      <c r="FU350" s="17"/>
      <c r="FV350" s="17"/>
      <c r="FW350" s="17"/>
      <c r="FX350" s="17"/>
      <c r="FY350" s="17"/>
      <c r="FZ350" s="17"/>
      <c r="GA350" s="17"/>
      <c r="GB350" s="17"/>
      <c r="GC350" s="17"/>
      <c r="GD350" s="17"/>
      <c r="GE350" s="17"/>
      <c r="GF350" s="17"/>
      <c r="GG350" s="17"/>
      <c r="GH350" s="17"/>
      <c r="GI350" s="17"/>
      <c r="GJ350" s="17"/>
      <c r="GK350" s="17"/>
      <c r="GL350" s="17"/>
      <c r="GM350" s="17"/>
      <c r="GN350" s="17"/>
      <c r="GO350" s="17"/>
      <c r="GP350" s="17"/>
      <c r="GQ350" s="17"/>
      <c r="GR350" s="17"/>
      <c r="GS350" s="17"/>
      <c r="GT350" s="17"/>
      <c r="GU350" s="17"/>
      <c r="GV350" s="17"/>
      <c r="GW350" s="17"/>
      <c r="GX350" s="17"/>
      <c r="GY350" s="17"/>
      <c r="GZ350" s="17"/>
      <c r="HA350" s="17"/>
      <c r="HB350" s="17"/>
      <c r="HC350" s="17"/>
      <c r="HD350" s="17"/>
      <c r="HE350" s="17"/>
      <c r="HF350" s="17"/>
      <c r="HG350" s="17"/>
      <c r="HH350" s="17"/>
      <c r="HI350" s="17"/>
      <c r="HJ350" s="17"/>
      <c r="HK350" s="17"/>
      <c r="HL350" s="17"/>
      <c r="HM350" s="17"/>
      <c r="HN350" s="17"/>
      <c r="HO350" s="17"/>
      <c r="HP350" s="17"/>
      <c r="HQ350" s="17"/>
      <c r="HR350" s="17"/>
      <c r="HS350" s="17"/>
      <c r="HT350" s="17"/>
      <c r="HU350" s="17"/>
      <c r="HV350" s="17"/>
      <c r="HW350" s="17"/>
      <c r="HX350" s="17"/>
      <c r="HY350" s="17"/>
      <c r="HZ350" s="17"/>
      <c r="IA350" s="17"/>
      <c r="IB350" s="17"/>
      <c r="IC350" s="17"/>
      <c r="ID350" s="17"/>
      <c r="IE350" s="17"/>
      <c r="IF350" s="17"/>
      <c r="IG350" s="17"/>
      <c r="IH350" s="17"/>
      <c r="II350" s="17"/>
      <c r="IJ350" s="17"/>
      <c r="IK350" s="17"/>
      <c r="IL350" s="17"/>
      <c r="IM350" s="17"/>
      <c r="IN350" s="17"/>
      <c r="IO350" s="17"/>
      <c r="IP350" s="17"/>
      <c r="IQ350" s="17"/>
      <c r="IR350" s="17"/>
      <c r="IS350" s="17"/>
      <c r="IT350" s="17"/>
      <c r="IU350" s="17"/>
      <c r="IV350" s="17"/>
      <c r="IW350" s="17"/>
      <c r="IX350" s="17"/>
      <c r="IY350" s="17"/>
      <c r="IZ350" s="17"/>
      <c r="JA350" s="17"/>
      <c r="JB350" s="17"/>
      <c r="JC350" s="17"/>
      <c r="JD350" s="17"/>
      <c r="JE350" s="17"/>
      <c r="JF350" s="17"/>
      <c r="JG350" s="17"/>
      <c r="JH350" s="17"/>
      <c r="JI350" s="17"/>
      <c r="JJ350" s="17"/>
      <c r="JK350" s="17"/>
      <c r="JL350" s="17"/>
      <c r="JM350" s="17"/>
      <c r="JN350" s="17"/>
      <c r="JO350" s="17"/>
      <c r="JP350" s="17"/>
      <c r="JQ350" s="17"/>
      <c r="JR350" s="17"/>
      <c r="JS350" s="17"/>
      <c r="JT350" s="17"/>
      <c r="JU350" s="17"/>
      <c r="JV350" s="17"/>
      <c r="JW350" s="17"/>
      <c r="JX350" s="17"/>
      <c r="JY350" s="17"/>
      <c r="JZ350" s="17"/>
      <c r="KA350" s="17"/>
      <c r="KB350" s="17"/>
      <c r="KC350" s="17"/>
      <c r="KD350" s="17"/>
      <c r="KE350" s="17"/>
      <c r="KF350" s="17"/>
      <c r="KG350" s="17"/>
      <c r="KH350" s="17"/>
      <c r="KI350" s="17"/>
      <c r="KJ350" s="17"/>
      <c r="KK350" s="17"/>
      <c r="KL350" s="17"/>
      <c r="KM350" s="17"/>
      <c r="KN350" s="17"/>
      <c r="KO350" s="17"/>
      <c r="KP350" s="17"/>
      <c r="KQ350" s="17"/>
      <c r="KR350" s="17"/>
      <c r="KS350" s="17"/>
      <c r="KT350" s="17"/>
      <c r="KU350" s="17"/>
      <c r="KV350" s="17"/>
      <c r="KW350" s="17"/>
      <c r="KX350" s="17"/>
      <c r="KY350" s="17"/>
    </row>
    <row r="351" spans="1:311" x14ac:dyDescent="0.25">
      <c r="A351" s="17"/>
      <c r="B351" s="17"/>
      <c r="C351" s="17"/>
      <c r="D351" s="17"/>
      <c r="E351" s="17"/>
      <c r="F351" s="17"/>
      <c r="G351" s="17"/>
      <c r="H351" s="17"/>
      <c r="I351" s="17"/>
      <c r="J351" s="17"/>
      <c r="K351" s="17"/>
      <c r="L351" s="17"/>
      <c r="M351" s="17"/>
      <c r="N351" s="17"/>
      <c r="O351" s="17"/>
      <c r="P351" s="17"/>
      <c r="Q351" s="17"/>
      <c r="R351" s="17"/>
      <c r="S351" s="17"/>
      <c r="T351" s="17"/>
      <c r="U351" s="17"/>
      <c r="V351" s="17"/>
      <c r="W351" s="17"/>
      <c r="X351" s="17"/>
      <c r="Y351" s="17"/>
      <c r="Z351" s="17"/>
      <c r="AA351" s="17"/>
      <c r="AB351" s="17"/>
      <c r="AC351" s="17"/>
      <c r="AD351" s="17"/>
      <c r="AE351" s="17"/>
      <c r="AF351" s="17"/>
      <c r="AG351" s="17"/>
      <c r="AH351" s="17"/>
      <c r="AI351" s="17"/>
      <c r="AJ351" s="17"/>
      <c r="AK351" s="17"/>
      <c r="AL351" s="17"/>
      <c r="AM351" s="17"/>
      <c r="AN351" s="17"/>
      <c r="AO351" s="17"/>
      <c r="AP351" s="17"/>
      <c r="AQ351" s="17"/>
      <c r="AR351" s="17"/>
      <c r="AS351" s="17"/>
      <c r="AT351" s="17"/>
      <c r="AU351" s="17"/>
      <c r="AV351" s="17"/>
      <c r="AW351" s="17"/>
      <c r="AX351" s="17"/>
      <c r="AY351" s="17"/>
      <c r="AZ351" s="17"/>
      <c r="BA351" s="17"/>
      <c r="BB351" s="17"/>
      <c r="BC351" s="17"/>
      <c r="BD351" s="17"/>
      <c r="BE351" s="17"/>
      <c r="BF351" s="17"/>
      <c r="BG351" s="17"/>
      <c r="BH351" s="17"/>
      <c r="BI351" s="17"/>
      <c r="BJ351" s="17"/>
      <c r="BK351" s="17"/>
      <c r="BL351" s="17"/>
      <c r="BM351" s="17"/>
      <c r="BN351" s="17"/>
      <c r="BO351" s="17"/>
      <c r="BP351" s="17"/>
      <c r="BQ351" s="17"/>
      <c r="BR351" s="17"/>
      <c r="BS351" s="17"/>
      <c r="BT351" s="17"/>
      <c r="BU351" s="17"/>
      <c r="BV351" s="17"/>
      <c r="BW351" s="17"/>
      <c r="BX351" s="17"/>
      <c r="BY351" s="17"/>
      <c r="BZ351" s="17"/>
      <c r="CA351" s="17"/>
      <c r="CB351" s="17"/>
      <c r="CC351" s="17"/>
      <c r="CD351" s="17"/>
      <c r="CE351" s="17"/>
      <c r="CF351" s="17"/>
      <c r="CG351" s="17"/>
      <c r="CH351" s="17"/>
      <c r="CI351" s="17"/>
      <c r="CJ351" s="17"/>
      <c r="CK351" s="17"/>
      <c r="CL351" s="17"/>
      <c r="CM351" s="17"/>
      <c r="CN351" s="17"/>
      <c r="CO351" s="17"/>
      <c r="CP351" s="17"/>
      <c r="CQ351" s="17"/>
      <c r="CR351" s="17"/>
      <c r="CS351" s="17"/>
      <c r="CT351" s="17"/>
      <c r="CU351" s="17"/>
      <c r="CV351" s="17"/>
      <c r="CW351" s="17"/>
      <c r="CX351" s="17"/>
      <c r="CY351" s="17"/>
      <c r="CZ351" s="17"/>
      <c r="DA351" s="17"/>
      <c r="DB351" s="17"/>
      <c r="DC351" s="17"/>
      <c r="DD351" s="17"/>
      <c r="DE351" s="17"/>
      <c r="DF351" s="17"/>
      <c r="DG351" s="17"/>
      <c r="DH351" s="17"/>
      <c r="DI351" s="17"/>
      <c r="DJ351" s="17"/>
      <c r="DK351" s="17"/>
      <c r="DL351" s="17"/>
      <c r="DM351" s="17"/>
      <c r="DN351" s="17"/>
      <c r="DO351" s="17"/>
      <c r="DP351" s="17"/>
      <c r="DQ351" s="17"/>
      <c r="DR351" s="17"/>
      <c r="DS351" s="17"/>
      <c r="DT351" s="17"/>
      <c r="DU351" s="17"/>
      <c r="DV351" s="17"/>
      <c r="DW351" s="17"/>
      <c r="DX351" s="17"/>
      <c r="DY351" s="17"/>
      <c r="DZ351" s="17"/>
      <c r="EA351" s="17"/>
      <c r="EB351" s="17"/>
      <c r="EC351" s="17"/>
      <c r="ED351" s="17"/>
      <c r="EE351" s="17"/>
      <c r="EF351" s="17"/>
      <c r="EG351" s="17"/>
      <c r="EH351" s="17"/>
      <c r="EI351" s="17"/>
      <c r="EJ351" s="17"/>
      <c r="EK351" s="17"/>
      <c r="EL351" s="17"/>
      <c r="EM351" s="17"/>
      <c r="EN351" s="17"/>
      <c r="EO351" s="17"/>
      <c r="EP351" s="17"/>
      <c r="EQ351" s="17"/>
      <c r="ER351" s="17"/>
      <c r="ES351" s="17"/>
      <c r="ET351" s="17"/>
      <c r="EU351" s="17"/>
      <c r="EV351" s="17"/>
      <c r="EW351" s="17"/>
      <c r="EX351" s="17"/>
      <c r="EY351" s="17"/>
      <c r="EZ351" s="17"/>
      <c r="FA351" s="17"/>
      <c r="FB351" s="17"/>
      <c r="FC351" s="17"/>
      <c r="FD351" s="17"/>
      <c r="FE351" s="17"/>
      <c r="FF351" s="17"/>
      <c r="FG351" s="17"/>
      <c r="FH351" s="17"/>
      <c r="FI351" s="17"/>
      <c r="FJ351" s="17"/>
      <c r="FK351" s="17"/>
      <c r="FL351" s="17"/>
      <c r="FM351" s="17"/>
      <c r="FN351" s="17"/>
      <c r="FO351" s="17"/>
      <c r="FP351" s="17"/>
      <c r="FQ351" s="17"/>
      <c r="FR351" s="17"/>
      <c r="FS351" s="17"/>
      <c r="FT351" s="17"/>
      <c r="FU351" s="17"/>
      <c r="FV351" s="17"/>
      <c r="FW351" s="17"/>
      <c r="FX351" s="17"/>
      <c r="FY351" s="17"/>
      <c r="FZ351" s="17"/>
      <c r="GA351" s="17"/>
      <c r="GB351" s="17"/>
      <c r="GC351" s="17"/>
      <c r="GD351" s="17"/>
      <c r="GE351" s="17"/>
      <c r="GF351" s="17"/>
      <c r="GG351" s="17"/>
      <c r="GH351" s="17"/>
      <c r="GI351" s="17"/>
      <c r="GJ351" s="17"/>
      <c r="GK351" s="17"/>
      <c r="GL351" s="17"/>
      <c r="GM351" s="17"/>
      <c r="GN351" s="17"/>
      <c r="GO351" s="17"/>
      <c r="GP351" s="17"/>
      <c r="GQ351" s="17"/>
      <c r="GR351" s="17"/>
      <c r="GS351" s="17"/>
      <c r="GT351" s="17"/>
      <c r="GU351" s="17"/>
      <c r="GV351" s="17"/>
      <c r="GW351" s="17"/>
      <c r="GX351" s="17"/>
      <c r="GY351" s="17"/>
      <c r="GZ351" s="17"/>
      <c r="HA351" s="17"/>
      <c r="HB351" s="17"/>
      <c r="HC351" s="17"/>
      <c r="HD351" s="17"/>
      <c r="HE351" s="17"/>
      <c r="HF351" s="17"/>
      <c r="HG351" s="17"/>
      <c r="HH351" s="17"/>
      <c r="HI351" s="17"/>
      <c r="HJ351" s="17"/>
      <c r="HK351" s="17"/>
      <c r="HL351" s="17"/>
      <c r="HM351" s="17"/>
      <c r="HN351" s="17"/>
      <c r="HO351" s="17"/>
      <c r="HP351" s="17"/>
      <c r="HQ351" s="17"/>
      <c r="HR351" s="17"/>
      <c r="HS351" s="17"/>
      <c r="HT351" s="17"/>
      <c r="HU351" s="17"/>
      <c r="HV351" s="17"/>
      <c r="HW351" s="17"/>
      <c r="HX351" s="17"/>
      <c r="HY351" s="17"/>
      <c r="HZ351" s="17"/>
      <c r="IA351" s="17"/>
      <c r="IB351" s="17"/>
      <c r="IC351" s="17"/>
      <c r="ID351" s="17"/>
      <c r="IE351" s="17"/>
      <c r="IF351" s="17"/>
      <c r="IG351" s="17"/>
      <c r="IH351" s="17"/>
      <c r="II351" s="17"/>
      <c r="IJ351" s="17"/>
      <c r="IK351" s="17"/>
      <c r="IL351" s="17"/>
      <c r="IM351" s="17"/>
      <c r="IN351" s="17"/>
      <c r="IO351" s="17"/>
      <c r="IP351" s="17"/>
      <c r="IQ351" s="17"/>
      <c r="IR351" s="17"/>
      <c r="IS351" s="17"/>
      <c r="IT351" s="17"/>
      <c r="IU351" s="17"/>
      <c r="IV351" s="17"/>
      <c r="IW351" s="17"/>
      <c r="IX351" s="17"/>
      <c r="IY351" s="17"/>
      <c r="IZ351" s="17"/>
      <c r="JA351" s="17"/>
      <c r="JB351" s="17"/>
      <c r="JC351" s="17"/>
      <c r="JD351" s="17"/>
      <c r="JE351" s="17"/>
      <c r="JF351" s="17"/>
      <c r="JG351" s="17"/>
      <c r="JH351" s="17"/>
      <c r="JI351" s="17"/>
      <c r="JJ351" s="17"/>
      <c r="JK351" s="17"/>
      <c r="JL351" s="17"/>
      <c r="JM351" s="17"/>
      <c r="JN351" s="17"/>
      <c r="JO351" s="17"/>
      <c r="JP351" s="17"/>
      <c r="JQ351" s="17"/>
      <c r="JR351" s="17"/>
      <c r="JS351" s="17"/>
      <c r="JT351" s="17"/>
      <c r="JU351" s="17"/>
      <c r="JV351" s="17"/>
      <c r="JW351" s="17"/>
      <c r="JX351" s="17"/>
      <c r="JY351" s="17"/>
      <c r="JZ351" s="17"/>
      <c r="KA351" s="17"/>
      <c r="KB351" s="17"/>
      <c r="KC351" s="17"/>
      <c r="KD351" s="17"/>
      <c r="KE351" s="17"/>
      <c r="KF351" s="17"/>
      <c r="KG351" s="17"/>
      <c r="KH351" s="17"/>
      <c r="KI351" s="17"/>
      <c r="KJ351" s="17"/>
      <c r="KK351" s="17"/>
      <c r="KL351" s="17"/>
      <c r="KM351" s="17"/>
      <c r="KN351" s="17"/>
      <c r="KO351" s="17"/>
      <c r="KP351" s="17"/>
      <c r="KQ351" s="17"/>
      <c r="KR351" s="17"/>
      <c r="KS351" s="17"/>
      <c r="KT351" s="17"/>
      <c r="KU351" s="17"/>
      <c r="KV351" s="17"/>
      <c r="KW351" s="17"/>
      <c r="KX351" s="17"/>
      <c r="KY351" s="17"/>
    </row>
    <row r="352" spans="1:311" x14ac:dyDescent="0.25">
      <c r="A352" s="17"/>
      <c r="B352" s="17"/>
      <c r="C352" s="17"/>
      <c r="D352" s="17"/>
      <c r="E352" s="17"/>
      <c r="F352" s="17"/>
      <c r="G352" s="17"/>
      <c r="H352" s="17"/>
      <c r="I352" s="17"/>
      <c r="J352" s="17"/>
      <c r="K352" s="17"/>
      <c r="L352" s="17"/>
      <c r="M352" s="17"/>
      <c r="N352" s="17"/>
      <c r="O352" s="17"/>
      <c r="P352" s="17"/>
      <c r="Q352" s="17"/>
      <c r="R352" s="17"/>
      <c r="S352" s="17"/>
      <c r="T352" s="17"/>
      <c r="U352" s="17"/>
      <c r="V352" s="17"/>
      <c r="W352" s="17"/>
      <c r="X352" s="17"/>
      <c r="Y352" s="17"/>
      <c r="Z352" s="17"/>
      <c r="AA352" s="17"/>
      <c r="AB352" s="17"/>
      <c r="AC352" s="17"/>
      <c r="AD352" s="17"/>
      <c r="AE352" s="17"/>
      <c r="AF352" s="17"/>
      <c r="AG352" s="17"/>
      <c r="AH352" s="17"/>
      <c r="AI352" s="17"/>
      <c r="AJ352" s="17"/>
      <c r="AK352" s="17"/>
      <c r="AL352" s="17"/>
      <c r="AM352" s="17"/>
      <c r="AN352" s="17"/>
      <c r="AO352" s="17"/>
      <c r="AP352" s="17"/>
      <c r="AQ352" s="17"/>
      <c r="AR352" s="17"/>
      <c r="AS352" s="17"/>
      <c r="AT352" s="17"/>
      <c r="AU352" s="17"/>
      <c r="AV352" s="17"/>
      <c r="AW352" s="17"/>
      <c r="AX352" s="17"/>
      <c r="AY352" s="17"/>
      <c r="AZ352" s="17"/>
      <c r="BA352" s="17"/>
      <c r="BB352" s="17"/>
      <c r="BC352" s="17"/>
      <c r="BD352" s="17"/>
      <c r="BE352" s="17"/>
      <c r="BF352" s="17"/>
      <c r="BG352" s="17"/>
      <c r="BH352" s="17"/>
      <c r="BI352" s="17"/>
      <c r="BJ352" s="17"/>
      <c r="BK352" s="17"/>
      <c r="BL352" s="17"/>
      <c r="BM352" s="17"/>
      <c r="BN352" s="17"/>
      <c r="BO352" s="17"/>
      <c r="BP352" s="17"/>
      <c r="BQ352" s="17"/>
      <c r="BR352" s="17"/>
      <c r="BS352" s="17"/>
      <c r="BT352" s="17"/>
      <c r="BU352" s="17"/>
      <c r="BV352" s="17"/>
      <c r="BW352" s="17"/>
      <c r="BX352" s="17"/>
      <c r="BY352" s="17"/>
      <c r="BZ352" s="17"/>
      <c r="CA352" s="17"/>
      <c r="CB352" s="17"/>
      <c r="CC352" s="17"/>
      <c r="CD352" s="17"/>
      <c r="CE352" s="17"/>
      <c r="CF352" s="17"/>
      <c r="CG352" s="17"/>
      <c r="CH352" s="17"/>
      <c r="CI352" s="17"/>
      <c r="CJ352" s="17"/>
      <c r="CK352" s="17"/>
      <c r="CL352" s="17"/>
      <c r="CM352" s="17"/>
      <c r="CN352" s="17"/>
      <c r="CO352" s="17"/>
      <c r="CP352" s="17"/>
      <c r="CQ352" s="17"/>
      <c r="CR352" s="17"/>
      <c r="CS352" s="17"/>
      <c r="CT352" s="17"/>
      <c r="CU352" s="17"/>
      <c r="CV352" s="17"/>
      <c r="CW352" s="17"/>
      <c r="CX352" s="17"/>
      <c r="CY352" s="17"/>
      <c r="CZ352" s="17"/>
      <c r="DA352" s="17"/>
      <c r="DB352" s="17"/>
      <c r="DC352" s="17"/>
      <c r="DD352" s="17"/>
      <c r="DE352" s="17"/>
      <c r="DF352" s="17"/>
      <c r="DG352" s="17"/>
      <c r="DH352" s="17"/>
      <c r="DI352" s="17"/>
      <c r="DJ352" s="17"/>
      <c r="DK352" s="17"/>
      <c r="DL352" s="17"/>
      <c r="DM352" s="17"/>
      <c r="DN352" s="17"/>
      <c r="DO352" s="17"/>
      <c r="DP352" s="17"/>
      <c r="DQ352" s="17"/>
      <c r="DR352" s="17"/>
      <c r="DS352" s="17"/>
      <c r="DT352" s="17"/>
      <c r="DU352" s="17"/>
      <c r="DV352" s="17"/>
      <c r="DW352" s="17"/>
      <c r="DX352" s="17"/>
      <c r="DY352" s="17"/>
      <c r="DZ352" s="17"/>
      <c r="EA352" s="17"/>
      <c r="EB352" s="17"/>
      <c r="EC352" s="17"/>
      <c r="ED352" s="17"/>
      <c r="EE352" s="17"/>
      <c r="EF352" s="17"/>
      <c r="EG352" s="17"/>
      <c r="EH352" s="17"/>
      <c r="EI352" s="17"/>
      <c r="EJ352" s="17"/>
      <c r="EK352" s="17"/>
      <c r="EL352" s="17"/>
      <c r="EM352" s="17"/>
      <c r="EN352" s="17"/>
      <c r="EO352" s="17"/>
      <c r="EP352" s="17"/>
      <c r="EQ352" s="17"/>
      <c r="ER352" s="17"/>
      <c r="ES352" s="17"/>
      <c r="ET352" s="17"/>
      <c r="EU352" s="17"/>
      <c r="EV352" s="17"/>
      <c r="EW352" s="17"/>
      <c r="EX352" s="17"/>
      <c r="EY352" s="17"/>
      <c r="EZ352" s="17"/>
      <c r="FA352" s="17"/>
      <c r="FB352" s="17"/>
      <c r="FC352" s="17"/>
      <c r="FD352" s="17"/>
      <c r="FE352" s="17"/>
      <c r="FF352" s="17"/>
      <c r="FG352" s="17"/>
      <c r="FH352" s="17"/>
      <c r="FI352" s="17"/>
      <c r="FJ352" s="17"/>
      <c r="FK352" s="17"/>
      <c r="FL352" s="17"/>
      <c r="FM352" s="17"/>
      <c r="FN352" s="17"/>
      <c r="FO352" s="17"/>
      <c r="FP352" s="17"/>
      <c r="FQ352" s="17"/>
      <c r="FR352" s="17"/>
      <c r="FS352" s="17"/>
      <c r="FT352" s="17"/>
      <c r="FU352" s="17"/>
      <c r="FV352" s="17"/>
      <c r="FW352" s="17"/>
      <c r="FX352" s="17"/>
      <c r="FY352" s="17"/>
      <c r="FZ352" s="17"/>
      <c r="GA352" s="17"/>
      <c r="GB352" s="17"/>
      <c r="GC352" s="17"/>
      <c r="GD352" s="17"/>
      <c r="GE352" s="17"/>
      <c r="GF352" s="17"/>
      <c r="GG352" s="17"/>
      <c r="GH352" s="17"/>
      <c r="GI352" s="17"/>
      <c r="GJ352" s="17"/>
      <c r="GK352" s="17"/>
      <c r="GL352" s="17"/>
      <c r="GM352" s="17"/>
      <c r="GN352" s="17"/>
      <c r="GO352" s="17"/>
      <c r="GP352" s="17"/>
      <c r="GQ352" s="17"/>
      <c r="GR352" s="17"/>
      <c r="GS352" s="17"/>
      <c r="GT352" s="17"/>
      <c r="GU352" s="17"/>
      <c r="GV352" s="17"/>
      <c r="GW352" s="17"/>
      <c r="GX352" s="17"/>
      <c r="GY352" s="17"/>
      <c r="GZ352" s="17"/>
      <c r="HA352" s="17"/>
      <c r="HB352" s="17"/>
      <c r="HC352" s="17"/>
      <c r="HD352" s="17"/>
      <c r="HE352" s="17"/>
      <c r="HF352" s="17"/>
      <c r="HG352" s="17"/>
      <c r="HH352" s="17"/>
      <c r="HI352" s="17"/>
      <c r="HJ352" s="17"/>
      <c r="HK352" s="17"/>
      <c r="HL352" s="17"/>
      <c r="HM352" s="17"/>
      <c r="HN352" s="17"/>
      <c r="HO352" s="17"/>
      <c r="HP352" s="17"/>
      <c r="HQ352" s="17"/>
      <c r="HR352" s="17"/>
      <c r="HS352" s="17"/>
      <c r="HT352" s="17"/>
      <c r="HU352" s="17"/>
      <c r="HV352" s="17"/>
      <c r="HW352" s="17"/>
      <c r="HX352" s="17"/>
      <c r="HY352" s="17"/>
      <c r="HZ352" s="17"/>
      <c r="IA352" s="17"/>
      <c r="IB352" s="17"/>
      <c r="IC352" s="17"/>
      <c r="ID352" s="17"/>
      <c r="IE352" s="17"/>
      <c r="IF352" s="17"/>
      <c r="IG352" s="17"/>
      <c r="IH352" s="17"/>
      <c r="II352" s="17"/>
      <c r="IJ352" s="17"/>
      <c r="IK352" s="17"/>
      <c r="IL352" s="17"/>
      <c r="IM352" s="17"/>
      <c r="IN352" s="17"/>
      <c r="IO352" s="17"/>
      <c r="IP352" s="17"/>
      <c r="IQ352" s="17"/>
      <c r="IR352" s="17"/>
      <c r="IS352" s="17"/>
      <c r="IT352" s="17"/>
      <c r="IU352" s="17"/>
      <c r="IV352" s="17"/>
      <c r="IW352" s="17"/>
      <c r="IX352" s="17"/>
      <c r="IY352" s="17"/>
      <c r="IZ352" s="17"/>
      <c r="JA352" s="17"/>
      <c r="JB352" s="17"/>
      <c r="JC352" s="17"/>
      <c r="JD352" s="17"/>
      <c r="JE352" s="17"/>
      <c r="JF352" s="17"/>
      <c r="JG352" s="17"/>
      <c r="JH352" s="17"/>
      <c r="JI352" s="17"/>
      <c r="JJ352" s="17"/>
      <c r="JK352" s="17"/>
      <c r="JL352" s="17"/>
      <c r="JM352" s="17"/>
      <c r="JN352" s="17"/>
      <c r="JO352" s="17"/>
      <c r="JP352" s="17"/>
      <c r="JQ352" s="17"/>
      <c r="JR352" s="17"/>
      <c r="JS352" s="17"/>
      <c r="JT352" s="17"/>
      <c r="JU352" s="17"/>
      <c r="JV352" s="17"/>
      <c r="JW352" s="17"/>
      <c r="JX352" s="17"/>
      <c r="JY352" s="17"/>
      <c r="JZ352" s="17"/>
      <c r="KA352" s="17"/>
      <c r="KB352" s="17"/>
      <c r="KC352" s="17"/>
      <c r="KD352" s="17"/>
      <c r="KE352" s="17"/>
      <c r="KF352" s="17"/>
      <c r="KG352" s="17"/>
      <c r="KH352" s="17"/>
      <c r="KI352" s="17"/>
      <c r="KJ352" s="17"/>
      <c r="KK352" s="17"/>
      <c r="KL352" s="17"/>
      <c r="KM352" s="17"/>
      <c r="KN352" s="17"/>
      <c r="KO352" s="17"/>
      <c r="KP352" s="17"/>
      <c r="KQ352" s="17"/>
      <c r="KR352" s="17"/>
      <c r="KS352" s="17"/>
      <c r="KT352" s="17"/>
      <c r="KU352" s="17"/>
      <c r="KV352" s="17"/>
      <c r="KW352" s="17"/>
      <c r="KX352" s="17"/>
      <c r="KY352" s="17"/>
    </row>
    <row r="353" spans="1:311" x14ac:dyDescent="0.25">
      <c r="A353" s="17"/>
      <c r="B353" s="17"/>
      <c r="C353" s="17"/>
      <c r="D353" s="17"/>
      <c r="E353" s="17"/>
      <c r="F353" s="17"/>
      <c r="G353" s="17"/>
      <c r="H353" s="17"/>
      <c r="I353" s="17"/>
      <c r="J353" s="17"/>
      <c r="K353" s="17"/>
      <c r="L353" s="17"/>
      <c r="M353" s="17"/>
      <c r="N353" s="17"/>
      <c r="O353" s="17"/>
      <c r="P353" s="17"/>
      <c r="Q353" s="17"/>
      <c r="R353" s="17"/>
      <c r="S353" s="17"/>
      <c r="T353" s="17"/>
      <c r="U353" s="17"/>
      <c r="V353" s="17"/>
      <c r="W353" s="17"/>
      <c r="X353" s="17"/>
      <c r="Y353" s="17"/>
      <c r="Z353" s="17"/>
      <c r="AA353" s="17"/>
      <c r="AB353" s="17"/>
      <c r="AC353" s="17"/>
      <c r="AD353" s="17"/>
      <c r="AE353" s="17"/>
      <c r="AF353" s="17"/>
      <c r="AG353" s="17"/>
      <c r="AH353" s="17"/>
      <c r="AI353" s="17"/>
      <c r="AJ353" s="17"/>
      <c r="AK353" s="17"/>
      <c r="AL353" s="17"/>
      <c r="AM353" s="17"/>
      <c r="AN353" s="17"/>
      <c r="AO353" s="17"/>
      <c r="AP353" s="17"/>
      <c r="AQ353" s="17"/>
      <c r="AR353" s="17"/>
      <c r="AS353" s="17"/>
      <c r="AT353" s="17"/>
      <c r="AU353" s="17"/>
      <c r="AV353" s="17"/>
      <c r="AW353" s="17"/>
      <c r="AX353" s="17"/>
      <c r="AY353" s="17"/>
      <c r="AZ353" s="17"/>
      <c r="BA353" s="17"/>
      <c r="BB353" s="17"/>
      <c r="BC353" s="17"/>
      <c r="BD353" s="17"/>
      <c r="BE353" s="17"/>
      <c r="BF353" s="17"/>
      <c r="BG353" s="17"/>
      <c r="BH353" s="17"/>
      <c r="BI353" s="17"/>
      <c r="BJ353" s="17"/>
      <c r="BK353" s="17"/>
      <c r="BL353" s="17"/>
      <c r="BM353" s="17"/>
      <c r="BN353" s="17"/>
      <c r="BO353" s="17"/>
      <c r="BP353" s="17"/>
      <c r="BQ353" s="17"/>
      <c r="BR353" s="17"/>
      <c r="BS353" s="17"/>
      <c r="BT353" s="17"/>
      <c r="BU353" s="17"/>
      <c r="BV353" s="17"/>
      <c r="BW353" s="17"/>
      <c r="BX353" s="17"/>
      <c r="BY353" s="17"/>
      <c r="BZ353" s="17"/>
      <c r="CA353" s="17"/>
      <c r="CB353" s="17"/>
      <c r="CC353" s="17"/>
      <c r="CD353" s="17"/>
      <c r="CE353" s="17"/>
      <c r="CF353" s="17"/>
      <c r="CG353" s="17"/>
      <c r="CH353" s="17"/>
      <c r="CI353" s="17"/>
      <c r="CJ353" s="17"/>
      <c r="CK353" s="17"/>
      <c r="CL353" s="17"/>
      <c r="CM353" s="17"/>
      <c r="CN353" s="17"/>
      <c r="CO353" s="17"/>
      <c r="CP353" s="17"/>
      <c r="CQ353" s="17"/>
      <c r="CR353" s="17"/>
      <c r="CS353" s="17"/>
      <c r="CT353" s="17"/>
      <c r="CU353" s="17"/>
      <c r="CV353" s="17"/>
      <c r="CW353" s="17"/>
      <c r="CX353" s="17"/>
      <c r="CY353" s="17"/>
      <c r="CZ353" s="17"/>
      <c r="DA353" s="17"/>
      <c r="DB353" s="17"/>
      <c r="DC353" s="17"/>
      <c r="DD353" s="17"/>
      <c r="DE353" s="17"/>
      <c r="DF353" s="17"/>
      <c r="DG353" s="17"/>
      <c r="DH353" s="17"/>
      <c r="DI353" s="17"/>
      <c r="DJ353" s="17"/>
      <c r="DK353" s="17"/>
      <c r="DL353" s="17"/>
      <c r="DM353" s="17"/>
      <c r="DN353" s="17"/>
      <c r="DO353" s="17"/>
      <c r="DP353" s="17"/>
      <c r="DQ353" s="17"/>
      <c r="DR353" s="17"/>
      <c r="DS353" s="17"/>
      <c r="DT353" s="17"/>
      <c r="DU353" s="17"/>
      <c r="DV353" s="17"/>
      <c r="DW353" s="17"/>
      <c r="DX353" s="17"/>
      <c r="DY353" s="17"/>
      <c r="DZ353" s="17"/>
      <c r="EA353" s="17"/>
      <c r="EB353" s="17"/>
      <c r="EC353" s="17"/>
      <c r="ED353" s="17"/>
      <c r="EE353" s="17"/>
      <c r="EF353" s="17"/>
      <c r="EG353" s="17"/>
      <c r="EH353" s="17"/>
      <c r="EI353" s="17"/>
      <c r="EJ353" s="17"/>
      <c r="EK353" s="17"/>
      <c r="EL353" s="17"/>
      <c r="EM353" s="17"/>
      <c r="EN353" s="17"/>
      <c r="EO353" s="17"/>
      <c r="EP353" s="17"/>
      <c r="EQ353" s="17"/>
      <c r="ER353" s="17"/>
      <c r="ES353" s="17"/>
      <c r="ET353" s="17"/>
      <c r="EU353" s="17"/>
      <c r="EV353" s="17"/>
      <c r="EW353" s="17"/>
      <c r="EX353" s="17"/>
      <c r="EY353" s="17"/>
      <c r="EZ353" s="17"/>
      <c r="FA353" s="17"/>
      <c r="FB353" s="17"/>
      <c r="FC353" s="17"/>
      <c r="FD353" s="17"/>
      <c r="FE353" s="17"/>
      <c r="FF353" s="17"/>
      <c r="FG353" s="17"/>
      <c r="FH353" s="17"/>
      <c r="FI353" s="17"/>
      <c r="FJ353" s="17"/>
      <c r="FK353" s="17"/>
      <c r="FL353" s="17"/>
      <c r="FM353" s="17"/>
      <c r="FN353" s="17"/>
      <c r="FO353" s="17"/>
      <c r="FP353" s="17"/>
      <c r="FQ353" s="17"/>
      <c r="FR353" s="17"/>
      <c r="FS353" s="17"/>
      <c r="FT353" s="17"/>
      <c r="FU353" s="17"/>
      <c r="FV353" s="17"/>
      <c r="FW353" s="17"/>
      <c r="FX353" s="17"/>
      <c r="FY353" s="17"/>
      <c r="FZ353" s="17"/>
      <c r="GA353" s="17"/>
      <c r="GB353" s="17"/>
      <c r="GC353" s="17"/>
      <c r="GD353" s="17"/>
      <c r="GE353" s="17"/>
      <c r="GF353" s="17"/>
      <c r="GG353" s="17"/>
      <c r="GH353" s="17"/>
      <c r="GI353" s="17"/>
      <c r="GJ353" s="17"/>
      <c r="GK353" s="17"/>
      <c r="GL353" s="17"/>
      <c r="GM353" s="17"/>
      <c r="GN353" s="17"/>
      <c r="GO353" s="17"/>
      <c r="GP353" s="17"/>
      <c r="GQ353" s="17"/>
      <c r="GR353" s="17"/>
      <c r="GS353" s="17"/>
      <c r="GT353" s="17"/>
      <c r="GU353" s="17"/>
      <c r="GV353" s="17"/>
      <c r="GW353" s="17"/>
      <c r="GX353" s="17"/>
      <c r="GY353" s="17"/>
      <c r="GZ353" s="17"/>
      <c r="HA353" s="17"/>
      <c r="HB353" s="17"/>
      <c r="HC353" s="17"/>
      <c r="HD353" s="17"/>
      <c r="HE353" s="17"/>
      <c r="HF353" s="17"/>
      <c r="HG353" s="17"/>
      <c r="HH353" s="17"/>
      <c r="HI353" s="17"/>
      <c r="HJ353" s="17"/>
      <c r="HK353" s="17"/>
      <c r="HL353" s="17"/>
      <c r="HM353" s="17"/>
      <c r="HN353" s="17"/>
      <c r="HO353" s="17"/>
      <c r="HP353" s="17"/>
      <c r="HQ353" s="17"/>
      <c r="HR353" s="17"/>
      <c r="HS353" s="17"/>
      <c r="HT353" s="17"/>
      <c r="HU353" s="17"/>
      <c r="HV353" s="17"/>
      <c r="HW353" s="17"/>
      <c r="HX353" s="17"/>
      <c r="HY353" s="17"/>
      <c r="HZ353" s="17"/>
      <c r="IA353" s="17"/>
      <c r="IB353" s="17"/>
      <c r="IC353" s="17"/>
      <c r="ID353" s="17"/>
      <c r="IE353" s="17"/>
      <c r="IF353" s="17"/>
      <c r="IG353" s="17"/>
      <c r="IH353" s="17"/>
      <c r="II353" s="17"/>
      <c r="IJ353" s="17"/>
      <c r="IK353" s="17"/>
      <c r="IL353" s="17"/>
      <c r="IM353" s="17"/>
      <c r="IN353" s="17"/>
      <c r="IO353" s="17"/>
      <c r="IP353" s="17"/>
      <c r="IQ353" s="17"/>
      <c r="IR353" s="17"/>
      <c r="IS353" s="17"/>
      <c r="IT353" s="17"/>
      <c r="IU353" s="17"/>
      <c r="IV353" s="17"/>
      <c r="IW353" s="17"/>
      <c r="IX353" s="17"/>
      <c r="IY353" s="17"/>
      <c r="IZ353" s="17"/>
      <c r="JA353" s="17"/>
      <c r="JB353" s="17"/>
      <c r="JC353" s="17"/>
      <c r="JD353" s="17"/>
      <c r="JE353" s="17"/>
      <c r="JF353" s="17"/>
      <c r="JG353" s="17"/>
      <c r="JH353" s="17"/>
      <c r="JI353" s="17"/>
      <c r="JJ353" s="17"/>
      <c r="JK353" s="17"/>
      <c r="JL353" s="17"/>
      <c r="JM353" s="17"/>
      <c r="JN353" s="17"/>
      <c r="JO353" s="17"/>
      <c r="JP353" s="17"/>
      <c r="JQ353" s="17"/>
      <c r="JR353" s="17"/>
      <c r="JS353" s="17"/>
      <c r="JT353" s="17"/>
      <c r="JU353" s="17"/>
      <c r="JV353" s="17"/>
      <c r="JW353" s="17"/>
      <c r="JX353" s="17"/>
      <c r="JY353" s="17"/>
      <c r="JZ353" s="17"/>
      <c r="KA353" s="17"/>
      <c r="KB353" s="17"/>
      <c r="KC353" s="17"/>
      <c r="KD353" s="17"/>
      <c r="KE353" s="17"/>
      <c r="KF353" s="17"/>
      <c r="KG353" s="17"/>
      <c r="KH353" s="17"/>
      <c r="KI353" s="17"/>
      <c r="KJ353" s="17"/>
      <c r="KK353" s="17"/>
      <c r="KL353" s="17"/>
      <c r="KM353" s="17"/>
      <c r="KN353" s="17"/>
      <c r="KO353" s="17"/>
      <c r="KP353" s="17"/>
      <c r="KQ353" s="17"/>
      <c r="KR353" s="17"/>
      <c r="KS353" s="17"/>
      <c r="KT353" s="17"/>
      <c r="KU353" s="17"/>
      <c r="KV353" s="17"/>
      <c r="KW353" s="17"/>
      <c r="KX353" s="17"/>
      <c r="KY353" s="17"/>
    </row>
    <row r="354" spans="1:311" x14ac:dyDescent="0.25">
      <c r="A354" s="17"/>
      <c r="B354" s="17"/>
      <c r="C354" s="17"/>
      <c r="D354" s="17"/>
      <c r="E354" s="17"/>
      <c r="F354" s="17"/>
      <c r="G354" s="17"/>
      <c r="H354" s="17"/>
      <c r="I354" s="17"/>
      <c r="J354" s="17"/>
      <c r="K354" s="17"/>
      <c r="L354" s="17"/>
      <c r="M354" s="17"/>
      <c r="N354" s="17"/>
      <c r="O354" s="17"/>
      <c r="P354" s="17"/>
      <c r="Q354" s="17"/>
      <c r="R354" s="17"/>
      <c r="S354" s="17"/>
      <c r="T354" s="17"/>
      <c r="U354" s="17"/>
      <c r="V354" s="17"/>
      <c r="W354" s="17"/>
      <c r="X354" s="17"/>
      <c r="Y354" s="17"/>
      <c r="Z354" s="17"/>
      <c r="AA354" s="17"/>
      <c r="AB354" s="17"/>
      <c r="AC354" s="17"/>
      <c r="AD354" s="17"/>
      <c r="AE354" s="17"/>
      <c r="AF354" s="17"/>
      <c r="AG354" s="17"/>
      <c r="AH354" s="17"/>
      <c r="AI354" s="17"/>
      <c r="AJ354" s="17"/>
      <c r="AK354" s="17"/>
      <c r="AL354" s="17"/>
      <c r="AM354" s="17"/>
      <c r="AN354" s="17"/>
      <c r="AO354" s="17"/>
      <c r="AP354" s="17"/>
      <c r="AQ354" s="17"/>
      <c r="AR354" s="17"/>
      <c r="AS354" s="17"/>
      <c r="AT354" s="17"/>
      <c r="AU354" s="17"/>
      <c r="AV354" s="17"/>
      <c r="AW354" s="17"/>
      <c r="AX354" s="17"/>
      <c r="AY354" s="17"/>
      <c r="AZ354" s="17"/>
      <c r="BA354" s="17"/>
      <c r="BB354" s="17"/>
      <c r="BC354" s="17"/>
      <c r="BD354" s="17"/>
      <c r="BE354" s="17"/>
      <c r="BF354" s="17"/>
      <c r="BG354" s="17"/>
      <c r="BH354" s="17"/>
      <c r="BI354" s="17"/>
      <c r="BJ354" s="17"/>
      <c r="BK354" s="17"/>
      <c r="BL354" s="17"/>
      <c r="BM354" s="17"/>
      <c r="BN354" s="17"/>
      <c r="BO354" s="17"/>
      <c r="BP354" s="17"/>
      <c r="BQ354" s="17"/>
      <c r="BR354" s="17"/>
      <c r="BS354" s="17"/>
      <c r="BT354" s="17"/>
      <c r="BU354" s="17"/>
      <c r="BV354" s="17"/>
      <c r="BW354" s="17"/>
      <c r="BX354" s="17"/>
      <c r="BY354" s="17"/>
      <c r="BZ354" s="17"/>
      <c r="CA354" s="17"/>
      <c r="CB354" s="17"/>
      <c r="CC354" s="17"/>
      <c r="CD354" s="17"/>
      <c r="CE354" s="17"/>
      <c r="CF354" s="17"/>
      <c r="CG354" s="17"/>
      <c r="CH354" s="17"/>
      <c r="CI354" s="17"/>
      <c r="CJ354" s="17"/>
      <c r="CK354" s="17"/>
      <c r="CL354" s="17"/>
      <c r="CM354" s="17"/>
      <c r="CN354" s="17"/>
      <c r="CO354" s="17"/>
      <c r="CP354" s="17"/>
      <c r="CQ354" s="17"/>
      <c r="CR354" s="17"/>
      <c r="CS354" s="17"/>
      <c r="CT354" s="17"/>
      <c r="CU354" s="17"/>
      <c r="CV354" s="17"/>
      <c r="CW354" s="17"/>
      <c r="CX354" s="17"/>
      <c r="CY354" s="17"/>
      <c r="CZ354" s="17"/>
      <c r="DA354" s="17"/>
      <c r="DB354" s="17"/>
      <c r="DC354" s="17"/>
      <c r="DD354" s="17"/>
      <c r="DE354" s="17"/>
      <c r="DF354" s="17"/>
      <c r="DG354" s="17"/>
      <c r="DH354" s="17"/>
      <c r="DI354" s="17"/>
      <c r="DJ354" s="17"/>
      <c r="DK354" s="17"/>
      <c r="DL354" s="17"/>
      <c r="DM354" s="17"/>
      <c r="DN354" s="17"/>
      <c r="DO354" s="17"/>
      <c r="DP354" s="17"/>
      <c r="DQ354" s="17"/>
      <c r="DR354" s="17"/>
      <c r="DS354" s="17"/>
      <c r="DT354" s="17"/>
      <c r="DU354" s="17"/>
      <c r="DV354" s="17"/>
      <c r="DW354" s="17"/>
      <c r="DX354" s="17"/>
      <c r="DY354" s="17"/>
      <c r="DZ354" s="17"/>
      <c r="EA354" s="17"/>
      <c r="EB354" s="17"/>
      <c r="EC354" s="17"/>
      <c r="ED354" s="17"/>
      <c r="EE354" s="17"/>
      <c r="EF354" s="17"/>
      <c r="EG354" s="17"/>
      <c r="EH354" s="17"/>
      <c r="EI354" s="17"/>
      <c r="EJ354" s="17"/>
      <c r="EK354" s="17"/>
      <c r="EL354" s="17"/>
      <c r="EM354" s="17"/>
      <c r="EN354" s="17"/>
      <c r="EO354" s="17"/>
      <c r="EP354" s="17"/>
      <c r="EQ354" s="17"/>
      <c r="ER354" s="17"/>
      <c r="ES354" s="17"/>
      <c r="ET354" s="17"/>
      <c r="EU354" s="17"/>
      <c r="EV354" s="17"/>
      <c r="EW354" s="17"/>
      <c r="EX354" s="17"/>
      <c r="EY354" s="17"/>
      <c r="EZ354" s="17"/>
      <c r="FA354" s="17"/>
      <c r="FB354" s="17"/>
      <c r="FC354" s="17"/>
      <c r="FD354" s="17"/>
      <c r="FE354" s="17"/>
      <c r="FF354" s="17"/>
      <c r="FG354" s="17"/>
      <c r="FH354" s="17"/>
      <c r="FI354" s="17"/>
      <c r="FJ354" s="17"/>
      <c r="FK354" s="17"/>
      <c r="FL354" s="17"/>
      <c r="FM354" s="17"/>
      <c r="FN354" s="17"/>
      <c r="FO354" s="17"/>
      <c r="FP354" s="17"/>
      <c r="FQ354" s="17"/>
      <c r="FR354" s="17"/>
      <c r="FS354" s="17"/>
      <c r="FT354" s="17"/>
      <c r="FU354" s="17"/>
      <c r="FV354" s="17"/>
      <c r="FW354" s="17"/>
      <c r="FX354" s="17"/>
      <c r="FY354" s="17"/>
      <c r="FZ354" s="17"/>
      <c r="GA354" s="17"/>
      <c r="GB354" s="17"/>
      <c r="GC354" s="17"/>
      <c r="GD354" s="17"/>
      <c r="GE354" s="17"/>
      <c r="GF354" s="17"/>
      <c r="GG354" s="17"/>
      <c r="GH354" s="17"/>
      <c r="GI354" s="17"/>
      <c r="GJ354" s="17"/>
      <c r="GK354" s="17"/>
      <c r="GL354" s="17"/>
      <c r="GM354" s="17"/>
      <c r="GN354" s="17"/>
      <c r="GO354" s="17"/>
      <c r="GP354" s="17"/>
      <c r="GQ354" s="17"/>
      <c r="GR354" s="17"/>
      <c r="GS354" s="17"/>
      <c r="GT354" s="17"/>
      <c r="GU354" s="17"/>
      <c r="GV354" s="17"/>
      <c r="GW354" s="17"/>
      <c r="GX354" s="17"/>
      <c r="GY354" s="17"/>
      <c r="GZ354" s="17"/>
      <c r="HA354" s="17"/>
      <c r="HB354" s="17"/>
      <c r="HC354" s="17"/>
      <c r="HD354" s="17"/>
      <c r="HE354" s="17"/>
      <c r="HF354" s="17"/>
      <c r="HG354" s="17"/>
      <c r="HH354" s="17"/>
      <c r="HI354" s="17"/>
      <c r="HJ354" s="17"/>
      <c r="HK354" s="17"/>
      <c r="HL354" s="17"/>
      <c r="HM354" s="17"/>
      <c r="HN354" s="17"/>
      <c r="HO354" s="17"/>
      <c r="HP354" s="17"/>
      <c r="HQ354" s="17"/>
      <c r="HR354" s="17"/>
      <c r="HS354" s="17"/>
      <c r="HT354" s="17"/>
      <c r="HU354" s="17"/>
      <c r="HV354" s="17"/>
      <c r="HW354" s="17"/>
      <c r="HX354" s="17"/>
      <c r="HY354" s="17"/>
      <c r="HZ354" s="17"/>
      <c r="IA354" s="17"/>
      <c r="IB354" s="17"/>
      <c r="IC354" s="17"/>
      <c r="ID354" s="17"/>
      <c r="IE354" s="17"/>
      <c r="IF354" s="17"/>
      <c r="IG354" s="17"/>
      <c r="IH354" s="17"/>
      <c r="II354" s="17"/>
      <c r="IJ354" s="17"/>
      <c r="IK354" s="17"/>
      <c r="IL354" s="17"/>
      <c r="IM354" s="17"/>
      <c r="IN354" s="17"/>
      <c r="IO354" s="17"/>
      <c r="IP354" s="17"/>
      <c r="IQ354" s="17"/>
      <c r="IR354" s="17"/>
      <c r="IS354" s="17"/>
      <c r="IT354" s="17"/>
      <c r="IU354" s="17"/>
      <c r="IV354" s="17"/>
      <c r="IW354" s="17"/>
      <c r="IX354" s="17"/>
      <c r="IY354" s="17"/>
      <c r="IZ354" s="17"/>
      <c r="JA354" s="17"/>
      <c r="JB354" s="17"/>
      <c r="JC354" s="17"/>
      <c r="JD354" s="17"/>
      <c r="JE354" s="17"/>
      <c r="JF354" s="17"/>
      <c r="JG354" s="17"/>
      <c r="JH354" s="17"/>
      <c r="JI354" s="17"/>
      <c r="JJ354" s="17"/>
      <c r="JK354" s="17"/>
      <c r="JL354" s="17"/>
      <c r="JM354" s="17"/>
      <c r="JN354" s="17"/>
      <c r="JO354" s="17"/>
      <c r="JP354" s="17"/>
      <c r="JQ354" s="17"/>
      <c r="JR354" s="17"/>
      <c r="JS354" s="17"/>
      <c r="JT354" s="17"/>
      <c r="JU354" s="17"/>
      <c r="JV354" s="17"/>
      <c r="JW354" s="17"/>
      <c r="JX354" s="17"/>
      <c r="JY354" s="17"/>
      <c r="JZ354" s="17"/>
      <c r="KA354" s="17"/>
      <c r="KB354" s="17"/>
      <c r="KC354" s="17"/>
      <c r="KD354" s="17"/>
      <c r="KE354" s="17"/>
      <c r="KF354" s="17"/>
      <c r="KG354" s="17"/>
      <c r="KH354" s="17"/>
      <c r="KI354" s="17"/>
      <c r="KJ354" s="17"/>
      <c r="KK354" s="17"/>
      <c r="KL354" s="17"/>
      <c r="KM354" s="17"/>
      <c r="KN354" s="17"/>
      <c r="KO354" s="17"/>
      <c r="KP354" s="17"/>
      <c r="KQ354" s="17"/>
      <c r="KR354" s="17"/>
      <c r="KS354" s="17"/>
      <c r="KT354" s="17"/>
      <c r="KU354" s="17"/>
      <c r="KV354" s="17"/>
      <c r="KW354" s="17"/>
      <c r="KX354" s="17"/>
      <c r="KY354" s="17"/>
    </row>
    <row r="355" spans="1:311" x14ac:dyDescent="0.25">
      <c r="A355" s="17"/>
      <c r="B355" s="17"/>
      <c r="C355" s="17"/>
      <c r="D355" s="17"/>
      <c r="E355" s="17"/>
      <c r="F355" s="17"/>
      <c r="G355" s="17"/>
      <c r="H355" s="17"/>
      <c r="I355" s="17"/>
      <c r="J355" s="17"/>
      <c r="K355" s="17"/>
      <c r="L355" s="17"/>
      <c r="M355" s="17"/>
      <c r="N355" s="17"/>
      <c r="O355" s="17"/>
      <c r="P355" s="17"/>
      <c r="Q355" s="17"/>
      <c r="R355" s="17"/>
      <c r="S355" s="17"/>
      <c r="T355" s="17"/>
      <c r="U355" s="17"/>
      <c r="V355" s="17"/>
      <c r="W355" s="17"/>
      <c r="X355" s="17"/>
      <c r="Y355" s="17"/>
      <c r="Z355" s="17"/>
      <c r="AA355" s="17"/>
      <c r="AB355" s="17"/>
      <c r="AC355" s="17"/>
      <c r="AD355" s="17"/>
      <c r="AE355" s="17"/>
      <c r="AF355" s="17"/>
      <c r="AG355" s="17"/>
      <c r="AH355" s="17"/>
      <c r="AI355" s="17"/>
      <c r="AJ355" s="17"/>
      <c r="AK355" s="17"/>
      <c r="AL355" s="17"/>
      <c r="AM355" s="17"/>
      <c r="AN355" s="17"/>
      <c r="AO355" s="17"/>
      <c r="AP355" s="17"/>
      <c r="AQ355" s="17"/>
      <c r="AR355" s="17"/>
      <c r="AS355" s="17"/>
      <c r="AT355" s="17"/>
      <c r="AU355" s="17"/>
      <c r="AV355" s="17"/>
      <c r="AW355" s="17"/>
      <c r="AX355" s="17"/>
      <c r="AY355" s="17"/>
      <c r="AZ355" s="17"/>
      <c r="BA355" s="17"/>
      <c r="BB355" s="17"/>
      <c r="BC355" s="17"/>
      <c r="BD355" s="17"/>
      <c r="BE355" s="17"/>
      <c r="BF355" s="17"/>
      <c r="BG355" s="17"/>
      <c r="BH355" s="17"/>
      <c r="BI355" s="17"/>
      <c r="BJ355" s="17"/>
      <c r="BK355" s="17"/>
      <c r="BL355" s="17"/>
      <c r="BM355" s="17"/>
      <c r="BN355" s="17"/>
      <c r="BO355" s="17"/>
      <c r="BP355" s="17"/>
      <c r="BQ355" s="17"/>
      <c r="BR355" s="17"/>
      <c r="BS355" s="17"/>
      <c r="BT355" s="17"/>
      <c r="BU355" s="17"/>
      <c r="BV355" s="17"/>
      <c r="BW355" s="17"/>
      <c r="BX355" s="17"/>
      <c r="BY355" s="17"/>
      <c r="BZ355" s="17"/>
      <c r="CA355" s="17"/>
      <c r="CB355" s="17"/>
      <c r="CC355" s="17"/>
      <c r="CD355" s="17"/>
      <c r="CE355" s="17"/>
      <c r="CF355" s="17"/>
      <c r="CG355" s="17"/>
      <c r="CH355" s="17"/>
      <c r="CI355" s="17"/>
      <c r="CJ355" s="17"/>
      <c r="CK355" s="17"/>
      <c r="CL355" s="17"/>
      <c r="CM355" s="17"/>
      <c r="CN355" s="17"/>
      <c r="CO355" s="17"/>
      <c r="CP355" s="17"/>
      <c r="CQ355" s="17"/>
      <c r="CR355" s="17"/>
      <c r="CS355" s="17"/>
      <c r="CT355" s="17"/>
      <c r="CU355" s="17"/>
      <c r="CV355" s="17"/>
      <c r="CW355" s="17"/>
      <c r="CX355" s="17"/>
      <c r="CY355" s="17"/>
      <c r="CZ355" s="17"/>
      <c r="DA355" s="17"/>
      <c r="DB355" s="17"/>
      <c r="DC355" s="17"/>
      <c r="DD355" s="17"/>
      <c r="DE355" s="17"/>
      <c r="DF355" s="17"/>
      <c r="DG355" s="17"/>
      <c r="DH355" s="17"/>
      <c r="DI355" s="17"/>
      <c r="DJ355" s="17"/>
      <c r="DK355" s="17"/>
      <c r="DL355" s="17"/>
      <c r="DM355" s="17"/>
      <c r="DN355" s="17"/>
      <c r="DO355" s="17"/>
      <c r="DP355" s="17"/>
      <c r="DQ355" s="17"/>
      <c r="DR355" s="17"/>
      <c r="DS355" s="17"/>
      <c r="DT355" s="17"/>
      <c r="DU355" s="17"/>
      <c r="DV355" s="17"/>
      <c r="DW355" s="17"/>
      <c r="DX355" s="17"/>
      <c r="DY355" s="17"/>
      <c r="DZ355" s="17"/>
      <c r="EA355" s="17"/>
      <c r="EB355" s="17"/>
      <c r="EC355" s="17"/>
      <c r="ED355" s="17"/>
      <c r="EE355" s="17"/>
      <c r="EF355" s="17"/>
      <c r="EG355" s="17"/>
      <c r="EH355" s="17"/>
      <c r="EI355" s="17"/>
      <c r="EJ355" s="17"/>
      <c r="EK355" s="17"/>
      <c r="EL355" s="17"/>
      <c r="EM355" s="17"/>
      <c r="EN355" s="17"/>
      <c r="EO355" s="17"/>
      <c r="EP355" s="17"/>
      <c r="EQ355" s="17"/>
      <c r="ER355" s="17"/>
      <c r="ES355" s="17"/>
      <c r="ET355" s="17"/>
      <c r="EU355" s="17"/>
      <c r="EV355" s="17"/>
      <c r="EW355" s="17"/>
      <c r="EX355" s="17"/>
      <c r="EY355" s="17"/>
      <c r="EZ355" s="17"/>
      <c r="FA355" s="17"/>
      <c r="FB355" s="17"/>
      <c r="FC355" s="17"/>
      <c r="FD355" s="17"/>
      <c r="FE355" s="17"/>
      <c r="FF355" s="17"/>
      <c r="FG355" s="17"/>
      <c r="FH355" s="17"/>
      <c r="FI355" s="17"/>
      <c r="FJ355" s="17"/>
      <c r="FK355" s="17"/>
      <c r="FL355" s="17"/>
      <c r="FM355" s="17"/>
      <c r="FN355" s="17"/>
      <c r="FO355" s="17"/>
      <c r="FP355" s="17"/>
      <c r="FQ355" s="17"/>
      <c r="FR355" s="17"/>
      <c r="FS355" s="17"/>
      <c r="FT355" s="17"/>
      <c r="FU355" s="17"/>
      <c r="FV355" s="17"/>
      <c r="FW355" s="17"/>
      <c r="FX355" s="17"/>
      <c r="FY355" s="17"/>
      <c r="FZ355" s="17"/>
      <c r="GA355" s="17"/>
      <c r="GB355" s="17"/>
      <c r="GC355" s="17"/>
      <c r="GD355" s="17"/>
      <c r="GE355" s="17"/>
      <c r="GF355" s="17"/>
      <c r="GG355" s="17"/>
      <c r="GH355" s="17"/>
      <c r="GI355" s="17"/>
      <c r="GJ355" s="17"/>
      <c r="GK355" s="17"/>
      <c r="GL355" s="17"/>
      <c r="GM355" s="17"/>
      <c r="GN355" s="17"/>
      <c r="GO355" s="17"/>
      <c r="GP355" s="17"/>
      <c r="GQ355" s="17"/>
      <c r="GR355" s="17"/>
      <c r="GS355" s="17"/>
      <c r="GT355" s="17"/>
      <c r="GU355" s="17"/>
      <c r="GV355" s="17"/>
      <c r="GW355" s="17"/>
      <c r="GX355" s="17"/>
      <c r="GY355" s="17"/>
      <c r="GZ355" s="17"/>
      <c r="HA355" s="17"/>
      <c r="HB355" s="17"/>
      <c r="HC355" s="17"/>
      <c r="HD355" s="17"/>
      <c r="HE355" s="17"/>
      <c r="HF355" s="17"/>
      <c r="HG355" s="17"/>
      <c r="HH355" s="17"/>
      <c r="HI355" s="17"/>
      <c r="HJ355" s="17"/>
      <c r="HK355" s="17"/>
      <c r="HL355" s="17"/>
      <c r="HM355" s="17"/>
      <c r="HN355" s="17"/>
      <c r="HO355" s="17"/>
      <c r="HP355" s="17"/>
      <c r="HQ355" s="17"/>
      <c r="HR355" s="17"/>
      <c r="HS355" s="17"/>
      <c r="HT355" s="17"/>
      <c r="HU355" s="17"/>
      <c r="HV355" s="17"/>
      <c r="HW355" s="17"/>
      <c r="HX355" s="17"/>
      <c r="HY355" s="17"/>
      <c r="HZ355" s="17"/>
      <c r="IA355" s="17"/>
      <c r="IB355" s="17"/>
      <c r="IC355" s="17"/>
      <c r="ID355" s="17"/>
      <c r="IE355" s="17"/>
      <c r="IF355" s="17"/>
      <c r="IG355" s="17"/>
      <c r="IH355" s="17"/>
      <c r="II355" s="17"/>
      <c r="IJ355" s="17"/>
      <c r="IK355" s="17"/>
      <c r="IL355" s="17"/>
      <c r="IM355" s="17"/>
      <c r="IN355" s="17"/>
      <c r="IO355" s="17"/>
      <c r="IP355" s="17"/>
      <c r="IQ355" s="17"/>
      <c r="IR355" s="17"/>
      <c r="IS355" s="17"/>
      <c r="IT355" s="17"/>
      <c r="IU355" s="17"/>
      <c r="IV355" s="17"/>
      <c r="IW355" s="17"/>
      <c r="IX355" s="17"/>
      <c r="IY355" s="17"/>
      <c r="IZ355" s="17"/>
      <c r="JA355" s="17"/>
      <c r="JB355" s="17"/>
      <c r="JC355" s="17"/>
      <c r="JD355" s="17"/>
      <c r="JE355" s="17"/>
      <c r="JF355" s="17"/>
      <c r="JG355" s="17"/>
      <c r="JH355" s="17"/>
      <c r="JI355" s="17"/>
      <c r="JJ355" s="17"/>
      <c r="JK355" s="17"/>
      <c r="JL355" s="17"/>
      <c r="JM355" s="17"/>
      <c r="JN355" s="17"/>
      <c r="JO355" s="17"/>
      <c r="JP355" s="17"/>
      <c r="JQ355" s="17"/>
      <c r="JR355" s="17"/>
      <c r="JS355" s="17"/>
      <c r="JT355" s="17"/>
      <c r="JU355" s="17"/>
      <c r="JV355" s="17"/>
      <c r="JW355" s="17"/>
      <c r="JX355" s="17"/>
      <c r="JY355" s="17"/>
      <c r="JZ355" s="17"/>
      <c r="KA355" s="17"/>
      <c r="KB355" s="17"/>
      <c r="KC355" s="17"/>
      <c r="KD355" s="17"/>
      <c r="KE355" s="17"/>
      <c r="KF355" s="17"/>
      <c r="KG355" s="17"/>
      <c r="KH355" s="17"/>
      <c r="KI355" s="17"/>
      <c r="KJ355" s="17"/>
      <c r="KK355" s="17"/>
      <c r="KL355" s="17"/>
      <c r="KM355" s="17"/>
      <c r="KN355" s="17"/>
      <c r="KO355" s="17"/>
      <c r="KP355" s="17"/>
      <c r="KQ355" s="17"/>
      <c r="KR355" s="17"/>
      <c r="KS355" s="17"/>
      <c r="KT355" s="17"/>
      <c r="KU355" s="17"/>
      <c r="KV355" s="17"/>
      <c r="KW355" s="17"/>
      <c r="KX355" s="17"/>
      <c r="KY355" s="17"/>
    </row>
    <row r="356" spans="1:311" x14ac:dyDescent="0.25">
      <c r="A356" s="17"/>
      <c r="B356" s="17"/>
      <c r="C356" s="17"/>
      <c r="D356" s="17"/>
      <c r="E356" s="17"/>
      <c r="F356" s="17"/>
      <c r="G356" s="17"/>
      <c r="H356" s="17"/>
      <c r="I356" s="17"/>
      <c r="J356" s="17"/>
      <c r="K356" s="17"/>
      <c r="L356" s="17"/>
      <c r="M356" s="17"/>
      <c r="N356" s="17"/>
      <c r="O356" s="17"/>
      <c r="P356" s="17"/>
      <c r="Q356" s="17"/>
      <c r="R356" s="17"/>
      <c r="S356" s="17"/>
      <c r="T356" s="17"/>
      <c r="U356" s="17"/>
      <c r="V356" s="17"/>
      <c r="W356" s="17"/>
      <c r="X356" s="17"/>
      <c r="Y356" s="17"/>
      <c r="Z356" s="17"/>
      <c r="AA356" s="17"/>
      <c r="AB356" s="17"/>
      <c r="AC356" s="17"/>
      <c r="AD356" s="17"/>
      <c r="AE356" s="17"/>
      <c r="AF356" s="17"/>
      <c r="AG356" s="17"/>
      <c r="AH356" s="17"/>
      <c r="AI356" s="17"/>
      <c r="AJ356" s="17"/>
      <c r="AK356" s="17"/>
      <c r="AL356" s="17"/>
      <c r="AM356" s="17"/>
      <c r="AN356" s="17"/>
      <c r="AO356" s="17"/>
      <c r="AP356" s="17"/>
      <c r="AQ356" s="17"/>
      <c r="AR356" s="17"/>
      <c r="AS356" s="17"/>
      <c r="AT356" s="17"/>
      <c r="AU356" s="17"/>
      <c r="AV356" s="17"/>
      <c r="AW356" s="17"/>
      <c r="AX356" s="17"/>
      <c r="AY356" s="17"/>
      <c r="AZ356" s="17"/>
      <c r="BA356" s="17"/>
      <c r="BB356" s="17"/>
      <c r="BC356" s="17"/>
      <c r="BD356" s="17"/>
      <c r="BE356" s="17"/>
      <c r="BF356" s="17"/>
      <c r="BG356" s="17"/>
      <c r="BH356" s="17"/>
      <c r="BI356" s="17"/>
      <c r="BJ356" s="17"/>
      <c r="BK356" s="17"/>
      <c r="BL356" s="17"/>
      <c r="BM356" s="17"/>
      <c r="BN356" s="17"/>
      <c r="BO356" s="17"/>
      <c r="BP356" s="17"/>
      <c r="BQ356" s="17"/>
      <c r="BR356" s="17"/>
      <c r="BS356" s="17"/>
      <c r="BT356" s="17"/>
      <c r="BU356" s="17"/>
      <c r="BV356" s="17"/>
      <c r="BW356" s="17"/>
      <c r="BX356" s="17"/>
      <c r="BY356" s="17"/>
      <c r="BZ356" s="17"/>
      <c r="CA356" s="17"/>
      <c r="CB356" s="17"/>
      <c r="CC356" s="17"/>
      <c r="CD356" s="17"/>
      <c r="CE356" s="17"/>
      <c r="CF356" s="17"/>
      <c r="CG356" s="17"/>
      <c r="CH356" s="17"/>
      <c r="CI356" s="17"/>
      <c r="CJ356" s="17"/>
      <c r="CK356" s="17"/>
      <c r="CL356" s="17"/>
      <c r="CM356" s="17"/>
      <c r="CN356" s="17"/>
      <c r="CO356" s="17"/>
      <c r="CP356" s="17"/>
      <c r="CQ356" s="17"/>
      <c r="CR356" s="17"/>
      <c r="CS356" s="17"/>
      <c r="CT356" s="17"/>
      <c r="CU356" s="17"/>
      <c r="CV356" s="17"/>
      <c r="CW356" s="17"/>
      <c r="CX356" s="17"/>
      <c r="CY356" s="17"/>
      <c r="CZ356" s="17"/>
      <c r="DA356" s="17"/>
      <c r="DB356" s="17"/>
      <c r="DC356" s="17"/>
      <c r="DD356" s="17"/>
      <c r="DE356" s="17"/>
      <c r="DF356" s="17"/>
      <c r="DG356" s="17"/>
      <c r="DH356" s="17"/>
      <c r="DI356" s="17"/>
      <c r="DJ356" s="17"/>
      <c r="DK356" s="17"/>
      <c r="DL356" s="17"/>
      <c r="DM356" s="17"/>
      <c r="DN356" s="17"/>
      <c r="DO356" s="17"/>
      <c r="DP356" s="17"/>
      <c r="DQ356" s="17"/>
      <c r="DR356" s="17"/>
      <c r="DS356" s="17"/>
      <c r="DT356" s="17"/>
      <c r="DU356" s="17"/>
      <c r="DV356" s="17"/>
      <c r="DW356" s="17"/>
      <c r="DX356" s="17"/>
      <c r="DY356" s="17"/>
      <c r="DZ356" s="17"/>
      <c r="EA356" s="17"/>
      <c r="EB356" s="17"/>
      <c r="EC356" s="17"/>
      <c r="ED356" s="17"/>
      <c r="EE356" s="17"/>
      <c r="EF356" s="17"/>
      <c r="EG356" s="17"/>
      <c r="EH356" s="17"/>
      <c r="EI356" s="17"/>
      <c r="EJ356" s="17"/>
      <c r="EK356" s="17"/>
      <c r="EL356" s="17"/>
      <c r="EM356" s="17"/>
      <c r="EN356" s="17"/>
      <c r="EO356" s="17"/>
      <c r="EP356" s="17"/>
      <c r="EQ356" s="17"/>
      <c r="ER356" s="17"/>
      <c r="ES356" s="17"/>
      <c r="ET356" s="17"/>
      <c r="EU356" s="17"/>
      <c r="EV356" s="17"/>
      <c r="EW356" s="17"/>
      <c r="EX356" s="17"/>
      <c r="EY356" s="17"/>
      <c r="EZ356" s="17"/>
      <c r="FA356" s="17"/>
      <c r="FB356" s="17"/>
      <c r="FC356" s="17"/>
      <c r="FD356" s="17"/>
      <c r="FE356" s="17"/>
      <c r="FF356" s="17"/>
      <c r="FG356" s="17"/>
      <c r="FH356" s="17"/>
      <c r="FI356" s="17"/>
      <c r="FJ356" s="17"/>
      <c r="FK356" s="17"/>
      <c r="FL356" s="17"/>
      <c r="FM356" s="17"/>
      <c r="FN356" s="17"/>
      <c r="FO356" s="17"/>
      <c r="FP356" s="17"/>
      <c r="FQ356" s="17"/>
      <c r="FR356" s="17"/>
      <c r="FS356" s="17"/>
      <c r="FT356" s="17"/>
      <c r="FU356" s="17"/>
      <c r="FV356" s="17"/>
      <c r="FW356" s="17"/>
      <c r="FX356" s="17"/>
      <c r="FY356" s="17"/>
      <c r="FZ356" s="17"/>
      <c r="GA356" s="17"/>
      <c r="GB356" s="17"/>
      <c r="GC356" s="17"/>
      <c r="GD356" s="17"/>
      <c r="GE356" s="17"/>
      <c r="GF356" s="17"/>
      <c r="GG356" s="17"/>
      <c r="GH356" s="17"/>
      <c r="GI356" s="17"/>
      <c r="GJ356" s="17"/>
      <c r="GK356" s="17"/>
      <c r="GL356" s="17"/>
      <c r="GM356" s="17"/>
      <c r="GN356" s="17"/>
      <c r="GO356" s="17"/>
      <c r="GP356" s="17"/>
      <c r="GQ356" s="17"/>
      <c r="GR356" s="17"/>
      <c r="GS356" s="17"/>
      <c r="GT356" s="17"/>
      <c r="GU356" s="17"/>
      <c r="GV356" s="17"/>
      <c r="GW356" s="17"/>
      <c r="GX356" s="17"/>
      <c r="GY356" s="17"/>
      <c r="GZ356" s="17"/>
      <c r="HA356" s="17"/>
      <c r="HB356" s="17"/>
      <c r="HC356" s="17"/>
      <c r="HD356" s="17"/>
      <c r="HE356" s="17"/>
      <c r="HF356" s="17"/>
      <c r="HG356" s="17"/>
      <c r="HH356" s="17"/>
      <c r="HI356" s="17"/>
      <c r="HJ356" s="17"/>
      <c r="HK356" s="17"/>
      <c r="HL356" s="17"/>
      <c r="HM356" s="17"/>
      <c r="HN356" s="17"/>
      <c r="HO356" s="17"/>
      <c r="HP356" s="17"/>
      <c r="HQ356" s="17"/>
      <c r="HR356" s="17"/>
      <c r="HS356" s="17"/>
      <c r="HT356" s="17"/>
      <c r="HU356" s="17"/>
      <c r="HV356" s="17"/>
      <c r="HW356" s="17"/>
      <c r="HX356" s="17"/>
      <c r="HY356" s="17"/>
      <c r="HZ356" s="17"/>
      <c r="IA356" s="17"/>
      <c r="IB356" s="17"/>
      <c r="IC356" s="17"/>
      <c r="ID356" s="17"/>
      <c r="IE356" s="17"/>
      <c r="IF356" s="17"/>
      <c r="IG356" s="17"/>
      <c r="IH356" s="17"/>
      <c r="II356" s="17"/>
      <c r="IJ356" s="17"/>
      <c r="IK356" s="17"/>
      <c r="IL356" s="17"/>
      <c r="IM356" s="17"/>
      <c r="IN356" s="17"/>
      <c r="IO356" s="17"/>
      <c r="IP356" s="17"/>
      <c r="IQ356" s="17"/>
      <c r="IR356" s="17"/>
      <c r="IS356" s="17"/>
      <c r="IT356" s="17"/>
      <c r="IU356" s="17"/>
      <c r="IV356" s="17"/>
      <c r="IW356" s="17"/>
      <c r="IX356" s="17"/>
      <c r="IY356" s="17"/>
      <c r="IZ356" s="17"/>
      <c r="JA356" s="17"/>
      <c r="JB356" s="17"/>
      <c r="JC356" s="17"/>
      <c r="JD356" s="17"/>
      <c r="JE356" s="17"/>
      <c r="JF356" s="17"/>
      <c r="JG356" s="17"/>
      <c r="JH356" s="17"/>
      <c r="JI356" s="17"/>
      <c r="JJ356" s="17"/>
      <c r="JK356" s="17"/>
      <c r="JL356" s="17"/>
      <c r="JM356" s="17"/>
      <c r="JN356" s="17"/>
      <c r="JO356" s="17"/>
      <c r="JP356" s="17"/>
      <c r="JQ356" s="17"/>
      <c r="JR356" s="17"/>
      <c r="JS356" s="17"/>
      <c r="JT356" s="17"/>
      <c r="JU356" s="17"/>
      <c r="JV356" s="17"/>
      <c r="JW356" s="17"/>
      <c r="JX356" s="17"/>
      <c r="JY356" s="17"/>
      <c r="JZ356" s="17"/>
      <c r="KA356" s="17"/>
      <c r="KB356" s="17"/>
      <c r="KC356" s="17"/>
      <c r="KD356" s="17"/>
      <c r="KE356" s="17"/>
      <c r="KF356" s="17"/>
      <c r="KG356" s="17"/>
      <c r="KH356" s="17"/>
      <c r="KI356" s="17"/>
      <c r="KJ356" s="17"/>
      <c r="KK356" s="17"/>
      <c r="KL356" s="17"/>
      <c r="KM356" s="17"/>
      <c r="KN356" s="17"/>
      <c r="KO356" s="17"/>
      <c r="KP356" s="17"/>
      <c r="KQ356" s="17"/>
      <c r="KR356" s="17"/>
      <c r="KS356" s="17"/>
      <c r="KT356" s="17"/>
      <c r="KU356" s="17"/>
      <c r="KV356" s="17"/>
      <c r="KW356" s="17"/>
      <c r="KX356" s="17"/>
      <c r="KY356" s="17"/>
    </row>
    <row r="357" spans="1:311" x14ac:dyDescent="0.25">
      <c r="A357" s="17"/>
      <c r="B357" s="17"/>
      <c r="C357" s="17"/>
      <c r="D357" s="17"/>
      <c r="E357" s="17"/>
      <c r="F357" s="17"/>
      <c r="G357" s="17"/>
      <c r="H357" s="17"/>
      <c r="I357" s="17"/>
      <c r="J357" s="17"/>
      <c r="K357" s="17"/>
      <c r="L357" s="17"/>
      <c r="M357" s="17"/>
      <c r="N357" s="17"/>
      <c r="O357" s="17"/>
      <c r="P357" s="17"/>
      <c r="Q357" s="17"/>
      <c r="R357" s="17"/>
      <c r="S357" s="17"/>
      <c r="T357" s="17"/>
      <c r="U357" s="17"/>
      <c r="V357" s="17"/>
      <c r="W357" s="17"/>
      <c r="X357" s="17"/>
      <c r="Y357" s="17"/>
      <c r="Z357" s="17"/>
      <c r="AA357" s="17"/>
      <c r="AB357" s="17"/>
      <c r="AC357" s="17"/>
      <c r="AD357" s="17"/>
      <c r="AE357" s="17"/>
      <c r="AF357" s="17"/>
      <c r="AG357" s="17"/>
      <c r="AH357" s="17"/>
      <c r="AI357" s="17"/>
      <c r="AJ357" s="17"/>
      <c r="AK357" s="17"/>
      <c r="AL357" s="17"/>
      <c r="AM357" s="17"/>
      <c r="AN357" s="17"/>
      <c r="AO357" s="17"/>
      <c r="AP357" s="17"/>
      <c r="AQ357" s="17"/>
      <c r="AR357" s="17"/>
      <c r="AS357" s="17"/>
      <c r="AT357" s="17"/>
      <c r="AU357" s="17"/>
      <c r="AV357" s="17"/>
      <c r="AW357" s="17"/>
      <c r="AX357" s="17"/>
      <c r="AY357" s="17"/>
      <c r="AZ357" s="17"/>
      <c r="BA357" s="17"/>
      <c r="BB357" s="17"/>
      <c r="BC357" s="17"/>
      <c r="BD357" s="17"/>
      <c r="BE357" s="17"/>
      <c r="BF357" s="17"/>
      <c r="BG357" s="17"/>
      <c r="BH357" s="17"/>
      <c r="BI357" s="17"/>
      <c r="BJ357" s="17"/>
      <c r="BK357" s="17"/>
      <c r="BL357" s="17"/>
      <c r="BM357" s="17"/>
      <c r="BN357" s="17"/>
      <c r="BO357" s="17"/>
      <c r="BP357" s="17"/>
      <c r="BQ357" s="17"/>
      <c r="BR357" s="17"/>
      <c r="BS357" s="17"/>
      <c r="BT357" s="17"/>
      <c r="BU357" s="17"/>
      <c r="BV357" s="17"/>
      <c r="BW357" s="17"/>
      <c r="BX357" s="17"/>
      <c r="BY357" s="17"/>
      <c r="BZ357" s="17"/>
      <c r="CA357" s="17"/>
      <c r="CB357" s="17"/>
      <c r="CC357" s="17"/>
      <c r="CD357" s="17"/>
      <c r="CE357" s="17"/>
      <c r="CF357" s="17"/>
      <c r="CG357" s="17"/>
      <c r="CH357" s="17"/>
      <c r="CI357" s="17"/>
      <c r="CJ357" s="17"/>
      <c r="CK357" s="17"/>
      <c r="CL357" s="17"/>
      <c r="CM357" s="17"/>
      <c r="CN357" s="17"/>
      <c r="CO357" s="17"/>
      <c r="CP357" s="17"/>
      <c r="CQ357" s="17"/>
      <c r="CR357" s="17"/>
      <c r="CS357" s="17"/>
      <c r="CT357" s="17"/>
      <c r="CU357" s="17"/>
      <c r="CV357" s="17"/>
      <c r="CW357" s="17"/>
      <c r="CX357" s="17"/>
      <c r="CY357" s="17"/>
      <c r="CZ357" s="17"/>
      <c r="DA357" s="17"/>
      <c r="DB357" s="17"/>
      <c r="DC357" s="17"/>
      <c r="DD357" s="17"/>
      <c r="DE357" s="17"/>
      <c r="DF357" s="17"/>
      <c r="DG357" s="17"/>
      <c r="DH357" s="17"/>
      <c r="DI357" s="17"/>
      <c r="DJ357" s="17"/>
      <c r="DK357" s="17"/>
      <c r="DL357" s="17"/>
      <c r="DM357" s="17"/>
      <c r="DN357" s="17"/>
      <c r="DO357" s="17"/>
      <c r="DP357" s="17"/>
      <c r="DQ357" s="17"/>
      <c r="DR357" s="17"/>
      <c r="DS357" s="17"/>
      <c r="DT357" s="17"/>
      <c r="DU357" s="17"/>
      <c r="DV357" s="17"/>
      <c r="DW357" s="17"/>
      <c r="DX357" s="17"/>
      <c r="DY357" s="17"/>
      <c r="DZ357" s="17"/>
      <c r="EA357" s="17"/>
      <c r="EB357" s="17"/>
      <c r="EC357" s="17"/>
      <c r="ED357" s="17"/>
      <c r="EE357" s="17"/>
      <c r="EF357" s="17"/>
      <c r="EG357" s="17"/>
      <c r="EH357" s="17"/>
      <c r="EI357" s="17"/>
      <c r="EJ357" s="17"/>
      <c r="EK357" s="17"/>
      <c r="EL357" s="17"/>
      <c r="EM357" s="17"/>
      <c r="EN357" s="17"/>
      <c r="EO357" s="17"/>
      <c r="EP357" s="17"/>
      <c r="EQ357" s="17"/>
      <c r="ER357" s="17"/>
      <c r="ES357" s="17"/>
      <c r="ET357" s="17"/>
      <c r="EU357" s="17"/>
      <c r="EV357" s="17"/>
      <c r="EW357" s="17"/>
      <c r="EX357" s="17"/>
      <c r="EY357" s="17"/>
      <c r="EZ357" s="17"/>
      <c r="FA357" s="17"/>
      <c r="FB357" s="17"/>
      <c r="FC357" s="17"/>
      <c r="FD357" s="17"/>
      <c r="FE357" s="17"/>
      <c r="FF357" s="17"/>
      <c r="FG357" s="17"/>
      <c r="FH357" s="17"/>
      <c r="FI357" s="17"/>
      <c r="FJ357" s="17"/>
      <c r="FK357" s="17"/>
      <c r="FL357" s="17"/>
      <c r="FM357" s="17"/>
      <c r="FN357" s="17"/>
      <c r="FO357" s="17"/>
      <c r="FP357" s="17"/>
      <c r="FQ357" s="17"/>
      <c r="FR357" s="17"/>
      <c r="FS357" s="17"/>
      <c r="FT357" s="17"/>
      <c r="FU357" s="17"/>
      <c r="FV357" s="17"/>
      <c r="FW357" s="17"/>
      <c r="FX357" s="17"/>
      <c r="FY357" s="17"/>
      <c r="FZ357" s="17"/>
      <c r="GA357" s="17"/>
      <c r="GB357" s="17"/>
      <c r="GC357" s="17"/>
      <c r="GD357" s="17"/>
      <c r="GE357" s="17"/>
      <c r="GF357" s="17"/>
      <c r="GG357" s="17"/>
      <c r="GH357" s="17"/>
      <c r="GI357" s="17"/>
      <c r="GJ357" s="17"/>
      <c r="GK357" s="17"/>
      <c r="GL357" s="17"/>
      <c r="GM357" s="17"/>
      <c r="GN357" s="17"/>
      <c r="GO357" s="17"/>
      <c r="GP357" s="17"/>
      <c r="GQ357" s="17"/>
      <c r="GR357" s="17"/>
      <c r="GS357" s="17"/>
      <c r="GT357" s="17"/>
      <c r="GU357" s="17"/>
      <c r="GV357" s="17"/>
      <c r="GW357" s="17"/>
      <c r="GX357" s="17"/>
      <c r="GY357" s="17"/>
      <c r="GZ357" s="17"/>
      <c r="HA357" s="17"/>
      <c r="HB357" s="17"/>
      <c r="HC357" s="17"/>
      <c r="HD357" s="17"/>
      <c r="HE357" s="17"/>
      <c r="HF357" s="17"/>
      <c r="HG357" s="17"/>
      <c r="HH357" s="17"/>
      <c r="HI357" s="17"/>
      <c r="HJ357" s="17"/>
      <c r="HK357" s="17"/>
      <c r="HL357" s="17"/>
      <c r="HM357" s="17"/>
      <c r="HN357" s="17"/>
      <c r="HO357" s="17"/>
      <c r="HP357" s="17"/>
      <c r="HQ357" s="17"/>
      <c r="HR357" s="17"/>
      <c r="HS357" s="17"/>
      <c r="HT357" s="17"/>
      <c r="HU357" s="17"/>
      <c r="HV357" s="17"/>
      <c r="HW357" s="17"/>
      <c r="HX357" s="17"/>
      <c r="HY357" s="17"/>
      <c r="HZ357" s="17"/>
      <c r="IA357" s="17"/>
      <c r="IB357" s="17"/>
      <c r="IC357" s="17"/>
      <c r="ID357" s="17"/>
      <c r="IE357" s="17"/>
      <c r="IF357" s="17"/>
      <c r="IG357" s="17"/>
      <c r="IH357" s="17"/>
      <c r="II357" s="17"/>
      <c r="IJ357" s="17"/>
      <c r="IK357" s="17"/>
      <c r="IL357" s="17"/>
      <c r="IM357" s="17"/>
      <c r="IN357" s="17"/>
      <c r="IO357" s="17"/>
      <c r="IP357" s="17"/>
      <c r="IQ357" s="17"/>
      <c r="IR357" s="17"/>
      <c r="IS357" s="17"/>
      <c r="IT357" s="17"/>
      <c r="IU357" s="17"/>
      <c r="IV357" s="17"/>
      <c r="IW357" s="17"/>
      <c r="IX357" s="17"/>
      <c r="IY357" s="17"/>
      <c r="IZ357" s="17"/>
      <c r="JA357" s="17"/>
      <c r="JB357" s="17"/>
      <c r="JC357" s="17"/>
      <c r="JD357" s="17"/>
      <c r="JE357" s="17"/>
      <c r="JF357" s="17"/>
      <c r="JG357" s="17"/>
      <c r="JH357" s="17"/>
      <c r="JI357" s="17"/>
      <c r="JJ357" s="17"/>
      <c r="JK357" s="17"/>
      <c r="JL357" s="17"/>
      <c r="JM357" s="17"/>
      <c r="JN357" s="17"/>
      <c r="JO357" s="17"/>
      <c r="JP357" s="17"/>
      <c r="JQ357" s="17"/>
      <c r="JR357" s="17"/>
      <c r="JS357" s="17"/>
      <c r="JT357" s="17"/>
      <c r="JU357" s="17"/>
      <c r="JV357" s="17"/>
      <c r="JW357" s="17"/>
      <c r="JX357" s="17"/>
      <c r="JY357" s="17"/>
      <c r="JZ357" s="17"/>
      <c r="KA357" s="17"/>
      <c r="KB357" s="17"/>
      <c r="KC357" s="17"/>
      <c r="KD357" s="17"/>
      <c r="KE357" s="17"/>
      <c r="KF357" s="17"/>
      <c r="KG357" s="17"/>
      <c r="KH357" s="17"/>
      <c r="KI357" s="17"/>
      <c r="KJ357" s="17"/>
      <c r="KK357" s="17"/>
      <c r="KL357" s="17"/>
      <c r="KM357" s="17"/>
      <c r="KN357" s="17"/>
      <c r="KO357" s="17"/>
      <c r="KP357" s="17"/>
      <c r="KQ357" s="17"/>
      <c r="KR357" s="17"/>
      <c r="KS357" s="17"/>
      <c r="KT357" s="17"/>
      <c r="KU357" s="17"/>
      <c r="KV357" s="17"/>
      <c r="KW357" s="17"/>
      <c r="KX357" s="17"/>
      <c r="KY357" s="17"/>
    </row>
    <row r="358" spans="1:311" x14ac:dyDescent="0.25">
      <c r="A358" s="17"/>
      <c r="B358" s="17"/>
      <c r="C358" s="17"/>
      <c r="D358" s="17"/>
      <c r="E358" s="17"/>
      <c r="F358" s="17"/>
      <c r="G358" s="17"/>
      <c r="H358" s="17"/>
      <c r="I358" s="17"/>
      <c r="J358" s="17"/>
      <c r="K358" s="17"/>
      <c r="L358" s="17"/>
      <c r="M358" s="17"/>
      <c r="N358" s="17"/>
      <c r="O358" s="17"/>
      <c r="P358" s="17"/>
      <c r="Q358" s="17"/>
      <c r="R358" s="17"/>
      <c r="S358" s="17"/>
      <c r="T358" s="17"/>
      <c r="U358" s="17"/>
      <c r="V358" s="17"/>
      <c r="W358" s="17"/>
      <c r="X358" s="17"/>
      <c r="Y358" s="17"/>
      <c r="Z358" s="17"/>
      <c r="AA358" s="17"/>
      <c r="AB358" s="17"/>
      <c r="AC358" s="17"/>
      <c r="AD358" s="17"/>
      <c r="AE358" s="17"/>
      <c r="AF358" s="17"/>
      <c r="AG358" s="17"/>
      <c r="AH358" s="17"/>
      <c r="AI358" s="17"/>
      <c r="AJ358" s="17"/>
      <c r="AK358" s="17"/>
      <c r="AL358" s="17"/>
      <c r="AM358" s="17"/>
      <c r="AN358" s="17"/>
      <c r="AO358" s="17"/>
      <c r="AP358" s="17"/>
      <c r="AQ358" s="17"/>
      <c r="AR358" s="17"/>
      <c r="AS358" s="17"/>
      <c r="AT358" s="17"/>
      <c r="AU358" s="17"/>
      <c r="AV358" s="17"/>
      <c r="AW358" s="17"/>
      <c r="AX358" s="17"/>
      <c r="AY358" s="17"/>
      <c r="AZ358" s="17"/>
      <c r="BA358" s="17"/>
      <c r="BB358" s="17"/>
      <c r="BC358" s="17"/>
      <c r="BD358" s="17"/>
      <c r="BE358" s="17"/>
      <c r="BF358" s="17"/>
      <c r="BG358" s="17"/>
      <c r="BH358" s="17"/>
      <c r="BI358" s="17"/>
      <c r="BJ358" s="17"/>
      <c r="BK358" s="17"/>
      <c r="BL358" s="17"/>
      <c r="BM358" s="17"/>
      <c r="BN358" s="17"/>
      <c r="BO358" s="17"/>
      <c r="BP358" s="17"/>
      <c r="BQ358" s="17"/>
      <c r="BR358" s="17"/>
      <c r="BS358" s="17"/>
      <c r="BT358" s="17"/>
      <c r="BU358" s="17"/>
      <c r="BV358" s="17"/>
      <c r="BW358" s="17"/>
      <c r="BX358" s="17"/>
      <c r="BY358" s="17"/>
      <c r="BZ358" s="17"/>
      <c r="CA358" s="17"/>
      <c r="CB358" s="17"/>
      <c r="CC358" s="17"/>
      <c r="CD358" s="17"/>
      <c r="CE358" s="17"/>
      <c r="CF358" s="17"/>
      <c r="CG358" s="17"/>
      <c r="CH358" s="17"/>
      <c r="CI358" s="17"/>
      <c r="CJ358" s="17"/>
      <c r="CK358" s="17"/>
      <c r="CL358" s="17"/>
      <c r="CM358" s="17"/>
      <c r="CN358" s="17"/>
      <c r="CO358" s="17"/>
      <c r="CP358" s="17"/>
      <c r="CQ358" s="17"/>
      <c r="CR358" s="17"/>
      <c r="CS358" s="17"/>
      <c r="CT358" s="17"/>
      <c r="CU358" s="17"/>
      <c r="CV358" s="17"/>
      <c r="CW358" s="17"/>
      <c r="CX358" s="17"/>
      <c r="CY358" s="17"/>
      <c r="CZ358" s="17"/>
      <c r="DA358" s="17"/>
      <c r="DB358" s="17"/>
      <c r="DC358" s="17"/>
      <c r="DD358" s="17"/>
      <c r="DE358" s="17"/>
      <c r="DF358" s="17"/>
      <c r="DG358" s="17"/>
      <c r="DH358" s="17"/>
      <c r="DI358" s="17"/>
      <c r="DJ358" s="17"/>
      <c r="DK358" s="17"/>
      <c r="DL358" s="17"/>
      <c r="DM358" s="17"/>
      <c r="DN358" s="17"/>
      <c r="DO358" s="17"/>
      <c r="DP358" s="17"/>
      <c r="DQ358" s="17"/>
      <c r="DR358" s="17"/>
      <c r="DS358" s="17"/>
      <c r="DT358" s="17"/>
      <c r="DU358" s="17"/>
      <c r="DV358" s="17"/>
      <c r="DW358" s="17"/>
      <c r="DX358" s="17"/>
      <c r="DY358" s="17"/>
      <c r="DZ358" s="17"/>
      <c r="EA358" s="17"/>
      <c r="EB358" s="17"/>
      <c r="EC358" s="17"/>
      <c r="ED358" s="17"/>
      <c r="EE358" s="17"/>
      <c r="EF358" s="17"/>
      <c r="EG358" s="17"/>
      <c r="EH358" s="17"/>
      <c r="EI358" s="17"/>
      <c r="EJ358" s="17"/>
      <c r="EK358" s="17"/>
      <c r="EL358" s="17"/>
      <c r="EM358" s="17"/>
      <c r="EN358" s="17"/>
      <c r="EO358" s="17"/>
      <c r="EP358" s="17"/>
      <c r="EQ358" s="17"/>
      <c r="ER358" s="17"/>
      <c r="ES358" s="17"/>
      <c r="ET358" s="17"/>
      <c r="EU358" s="17"/>
      <c r="EV358" s="17"/>
      <c r="EW358" s="17"/>
      <c r="EX358" s="17"/>
      <c r="EY358" s="17"/>
      <c r="EZ358" s="17"/>
      <c r="FA358" s="17"/>
      <c r="FB358" s="17"/>
      <c r="FC358" s="17"/>
      <c r="FD358" s="17"/>
      <c r="FE358" s="17"/>
      <c r="FF358" s="17"/>
      <c r="FG358" s="17"/>
      <c r="FH358" s="17"/>
      <c r="FI358" s="17"/>
      <c r="FJ358" s="17"/>
      <c r="FK358" s="17"/>
      <c r="FL358" s="17"/>
      <c r="FM358" s="17"/>
      <c r="FN358" s="17"/>
      <c r="FO358" s="17"/>
      <c r="FP358" s="17"/>
      <c r="FQ358" s="17"/>
      <c r="FR358" s="17"/>
      <c r="FS358" s="17"/>
      <c r="FT358" s="17"/>
      <c r="FU358" s="17"/>
      <c r="FV358" s="17"/>
      <c r="FW358" s="17"/>
      <c r="FX358" s="17"/>
      <c r="FY358" s="17"/>
      <c r="FZ358" s="17"/>
      <c r="GA358" s="17"/>
      <c r="GB358" s="17"/>
      <c r="GC358" s="17"/>
      <c r="GD358" s="17"/>
      <c r="GE358" s="17"/>
      <c r="GF358" s="17"/>
      <c r="GG358" s="17"/>
      <c r="GH358" s="17"/>
      <c r="GI358" s="17"/>
      <c r="GJ358" s="17"/>
      <c r="GK358" s="17"/>
      <c r="GL358" s="17"/>
      <c r="GM358" s="17"/>
      <c r="GN358" s="17"/>
      <c r="GO358" s="17"/>
      <c r="GP358" s="17"/>
      <c r="GQ358" s="17"/>
      <c r="GR358" s="17"/>
      <c r="GS358" s="17"/>
      <c r="GT358" s="17"/>
      <c r="GU358" s="17"/>
      <c r="GV358" s="17"/>
      <c r="GW358" s="17"/>
      <c r="GX358" s="17"/>
      <c r="GY358" s="17"/>
      <c r="GZ358" s="17"/>
      <c r="HA358" s="17"/>
      <c r="HB358" s="17"/>
      <c r="HC358" s="17"/>
      <c r="HD358" s="17"/>
      <c r="HE358" s="17"/>
      <c r="HF358" s="17"/>
      <c r="HG358" s="17"/>
      <c r="HH358" s="17"/>
      <c r="HI358" s="17"/>
      <c r="HJ358" s="17"/>
      <c r="HK358" s="17"/>
      <c r="HL358" s="17"/>
      <c r="HM358" s="17"/>
      <c r="HN358" s="17"/>
      <c r="HO358" s="17"/>
      <c r="HP358" s="17"/>
      <c r="HQ358" s="17"/>
      <c r="HR358" s="17"/>
      <c r="HS358" s="17"/>
      <c r="HT358" s="17"/>
      <c r="HU358" s="17"/>
      <c r="HV358" s="17"/>
      <c r="HW358" s="17"/>
      <c r="HX358" s="17"/>
      <c r="HY358" s="17"/>
      <c r="HZ358" s="17"/>
      <c r="IA358" s="17"/>
      <c r="IB358" s="17"/>
      <c r="IC358" s="17"/>
      <c r="ID358" s="17"/>
      <c r="IE358" s="17"/>
      <c r="IF358" s="17"/>
      <c r="IG358" s="17"/>
      <c r="IH358" s="17"/>
      <c r="II358" s="17"/>
      <c r="IJ358" s="17"/>
      <c r="IK358" s="17"/>
      <c r="IL358" s="17"/>
      <c r="IM358" s="17"/>
      <c r="IN358" s="17"/>
      <c r="IO358" s="17"/>
      <c r="IP358" s="17"/>
      <c r="IQ358" s="17"/>
      <c r="IR358" s="17"/>
      <c r="IS358" s="17"/>
      <c r="IT358" s="17"/>
      <c r="IU358" s="17"/>
      <c r="IV358" s="17"/>
      <c r="IW358" s="17"/>
      <c r="IX358" s="17"/>
      <c r="IY358" s="17"/>
      <c r="IZ358" s="17"/>
      <c r="JA358" s="17"/>
      <c r="JB358" s="17"/>
      <c r="JC358" s="17"/>
      <c r="JD358" s="17"/>
      <c r="JE358" s="17"/>
      <c r="JF358" s="17"/>
      <c r="JG358" s="17"/>
      <c r="JH358" s="17"/>
      <c r="JI358" s="17"/>
      <c r="JJ358" s="17"/>
      <c r="JK358" s="17"/>
      <c r="JL358" s="17"/>
      <c r="JM358" s="17"/>
      <c r="JN358" s="17"/>
      <c r="JO358" s="17"/>
      <c r="JP358" s="17"/>
      <c r="JQ358" s="17"/>
      <c r="JR358" s="17"/>
      <c r="JS358" s="17"/>
      <c r="JT358" s="17"/>
      <c r="JU358" s="17"/>
      <c r="JV358" s="17"/>
      <c r="JW358" s="17"/>
      <c r="JX358" s="17"/>
      <c r="JY358" s="17"/>
      <c r="JZ358" s="17"/>
      <c r="KA358" s="17"/>
      <c r="KB358" s="17"/>
      <c r="KC358" s="17"/>
      <c r="KD358" s="17"/>
      <c r="KE358" s="17"/>
      <c r="KF358" s="17"/>
      <c r="KG358" s="17"/>
      <c r="KH358" s="17"/>
      <c r="KI358" s="17"/>
      <c r="KJ358" s="17"/>
      <c r="KK358" s="17"/>
      <c r="KL358" s="17"/>
      <c r="KM358" s="17"/>
      <c r="KN358" s="17"/>
      <c r="KO358" s="17"/>
      <c r="KP358" s="17"/>
      <c r="KQ358" s="17"/>
      <c r="KR358" s="17"/>
      <c r="KS358" s="17"/>
      <c r="KT358" s="17"/>
      <c r="KU358" s="17"/>
      <c r="KV358" s="17"/>
      <c r="KW358" s="17"/>
      <c r="KX358" s="17"/>
      <c r="KY358" s="17"/>
    </row>
    <row r="359" spans="1:311" x14ac:dyDescent="0.25">
      <c r="A359" s="17"/>
      <c r="B359" s="17"/>
      <c r="C359" s="17"/>
      <c r="D359" s="17"/>
      <c r="E359" s="17"/>
      <c r="F359" s="17"/>
      <c r="G359" s="17"/>
      <c r="H359" s="17"/>
      <c r="I359" s="17"/>
      <c r="J359" s="17"/>
      <c r="K359" s="17"/>
      <c r="L359" s="17"/>
      <c r="M359" s="17"/>
      <c r="N359" s="17"/>
      <c r="O359" s="17"/>
      <c r="P359" s="17"/>
      <c r="Q359" s="17"/>
      <c r="R359" s="17"/>
      <c r="S359" s="17"/>
      <c r="T359" s="17"/>
      <c r="U359" s="17"/>
      <c r="V359" s="17"/>
      <c r="W359" s="17"/>
      <c r="X359" s="17"/>
      <c r="Y359" s="17"/>
      <c r="Z359" s="17"/>
      <c r="AA359" s="17"/>
      <c r="AB359" s="17"/>
      <c r="AC359" s="17"/>
      <c r="AD359" s="17"/>
      <c r="AE359" s="17"/>
      <c r="AF359" s="17"/>
      <c r="AG359" s="17"/>
      <c r="AH359" s="17"/>
      <c r="AI359" s="17"/>
      <c r="AJ359" s="17"/>
      <c r="AK359" s="17"/>
      <c r="AL359" s="17"/>
      <c r="AM359" s="17"/>
      <c r="AN359" s="17"/>
      <c r="AO359" s="17"/>
      <c r="AP359" s="17"/>
      <c r="AQ359" s="17"/>
      <c r="AR359" s="17"/>
      <c r="AS359" s="17"/>
      <c r="AT359" s="17"/>
      <c r="AU359" s="17"/>
      <c r="AV359" s="17"/>
      <c r="AW359" s="17"/>
      <c r="AX359" s="17"/>
      <c r="AY359" s="17"/>
      <c r="AZ359" s="17"/>
      <c r="BA359" s="17"/>
      <c r="BB359" s="17"/>
      <c r="BC359" s="17"/>
      <c r="BD359" s="17"/>
      <c r="BE359" s="17"/>
      <c r="BF359" s="17"/>
      <c r="BG359" s="17"/>
      <c r="BH359" s="17"/>
      <c r="BI359" s="17"/>
      <c r="BJ359" s="17"/>
      <c r="BK359" s="17"/>
      <c r="BL359" s="17"/>
      <c r="BM359" s="17"/>
      <c r="BN359" s="17"/>
      <c r="BO359" s="17"/>
      <c r="BP359" s="17"/>
      <c r="BQ359" s="17"/>
      <c r="BR359" s="17"/>
      <c r="BS359" s="17"/>
      <c r="BT359" s="17"/>
      <c r="BU359" s="17"/>
      <c r="BV359" s="17"/>
      <c r="BW359" s="17"/>
      <c r="BX359" s="17"/>
      <c r="BY359" s="17"/>
      <c r="BZ359" s="17"/>
      <c r="CA359" s="17"/>
      <c r="CB359" s="17"/>
      <c r="CC359" s="17"/>
      <c r="CD359" s="17"/>
      <c r="CE359" s="17"/>
      <c r="CF359" s="17"/>
      <c r="CG359" s="17"/>
      <c r="CH359" s="17"/>
      <c r="CI359" s="17"/>
      <c r="CJ359" s="17"/>
      <c r="CK359" s="17"/>
      <c r="CL359" s="17"/>
      <c r="CM359" s="17"/>
      <c r="CN359" s="17"/>
      <c r="CO359" s="17"/>
      <c r="CP359" s="17"/>
      <c r="CQ359" s="17"/>
      <c r="CR359" s="17"/>
      <c r="CS359" s="17"/>
      <c r="CT359" s="17"/>
      <c r="CU359" s="17"/>
      <c r="CV359" s="17"/>
      <c r="CW359" s="17"/>
      <c r="CX359" s="17"/>
      <c r="CY359" s="17"/>
      <c r="CZ359" s="17"/>
      <c r="DA359" s="17"/>
      <c r="DB359" s="17"/>
      <c r="DC359" s="17"/>
      <c r="DD359" s="17"/>
      <c r="DE359" s="17"/>
      <c r="DF359" s="17"/>
      <c r="DG359" s="17"/>
      <c r="DH359" s="17"/>
      <c r="DI359" s="17"/>
      <c r="DJ359" s="17"/>
      <c r="DK359" s="17"/>
      <c r="DL359" s="17"/>
      <c r="DM359" s="17"/>
      <c r="DN359" s="17"/>
      <c r="DO359" s="17"/>
      <c r="DP359" s="17"/>
      <c r="DQ359" s="17"/>
      <c r="DR359" s="17"/>
      <c r="DS359" s="17"/>
      <c r="DT359" s="17"/>
      <c r="DU359" s="17"/>
      <c r="DV359" s="17"/>
      <c r="DW359" s="17"/>
      <c r="DX359" s="17"/>
      <c r="DY359" s="17"/>
      <c r="DZ359" s="17"/>
      <c r="EA359" s="17"/>
      <c r="EB359" s="17"/>
      <c r="EC359" s="17"/>
      <c r="ED359" s="17"/>
      <c r="EE359" s="17"/>
      <c r="EF359" s="17"/>
      <c r="EG359" s="17"/>
      <c r="EH359" s="17"/>
      <c r="EI359" s="17"/>
      <c r="EJ359" s="17"/>
      <c r="EK359" s="17"/>
      <c r="EL359" s="17"/>
      <c r="EM359" s="17"/>
      <c r="EN359" s="17"/>
      <c r="EO359" s="17"/>
      <c r="EP359" s="17"/>
      <c r="EQ359" s="17"/>
      <c r="ER359" s="17"/>
      <c r="ES359" s="17"/>
      <c r="ET359" s="17"/>
      <c r="EU359" s="17"/>
      <c r="EV359" s="17"/>
      <c r="EW359" s="17"/>
      <c r="EX359" s="17"/>
      <c r="EY359" s="17"/>
      <c r="EZ359" s="17"/>
      <c r="FA359" s="17"/>
      <c r="FB359" s="17"/>
      <c r="FC359" s="17"/>
      <c r="FD359" s="17"/>
      <c r="FE359" s="17"/>
      <c r="FF359" s="17"/>
      <c r="FG359" s="17"/>
      <c r="FH359" s="17"/>
      <c r="FI359" s="17"/>
      <c r="FJ359" s="17"/>
      <c r="FK359" s="17"/>
      <c r="FL359" s="17"/>
      <c r="FM359" s="17"/>
      <c r="FN359" s="17"/>
      <c r="FO359" s="17"/>
      <c r="FP359" s="17"/>
      <c r="FQ359" s="17"/>
      <c r="FR359" s="17"/>
      <c r="FS359" s="17"/>
      <c r="FT359" s="17"/>
      <c r="FU359" s="17"/>
      <c r="FV359" s="17"/>
      <c r="FW359" s="17"/>
      <c r="FX359" s="17"/>
      <c r="FY359" s="17"/>
      <c r="FZ359" s="17"/>
      <c r="GA359" s="17"/>
      <c r="GB359" s="17"/>
      <c r="GC359" s="17"/>
      <c r="GD359" s="17"/>
      <c r="GE359" s="17"/>
      <c r="GF359" s="17"/>
      <c r="GG359" s="17"/>
      <c r="GH359" s="17"/>
      <c r="GI359" s="17"/>
      <c r="GJ359" s="17"/>
      <c r="GK359" s="17"/>
      <c r="GL359" s="17"/>
      <c r="GM359" s="17"/>
      <c r="GN359" s="17"/>
      <c r="GO359" s="17"/>
      <c r="GP359" s="17"/>
      <c r="GQ359" s="17"/>
      <c r="GR359" s="17"/>
      <c r="GS359" s="17"/>
      <c r="GT359" s="17"/>
      <c r="GU359" s="17"/>
      <c r="GV359" s="17"/>
      <c r="GW359" s="17"/>
      <c r="GX359" s="17"/>
      <c r="GY359" s="17"/>
      <c r="GZ359" s="17"/>
      <c r="HA359" s="17"/>
      <c r="HB359" s="17"/>
      <c r="HC359" s="17"/>
      <c r="HD359" s="17"/>
      <c r="HE359" s="17"/>
      <c r="HF359" s="17"/>
      <c r="HG359" s="17"/>
      <c r="HH359" s="17"/>
      <c r="HI359" s="17"/>
      <c r="HJ359" s="17"/>
      <c r="HK359" s="17"/>
      <c r="HL359" s="17"/>
      <c r="HM359" s="17"/>
      <c r="HN359" s="17"/>
      <c r="HO359" s="17"/>
      <c r="HP359" s="17"/>
      <c r="HQ359" s="17"/>
      <c r="HR359" s="17"/>
      <c r="HS359" s="17"/>
      <c r="HT359" s="17"/>
      <c r="HU359" s="17"/>
      <c r="HV359" s="17"/>
      <c r="HW359" s="17"/>
      <c r="HX359" s="17"/>
      <c r="HY359" s="17"/>
      <c r="HZ359" s="17"/>
      <c r="IA359" s="17"/>
      <c r="IB359" s="17"/>
      <c r="IC359" s="17"/>
      <c r="ID359" s="17"/>
      <c r="IE359" s="17"/>
      <c r="IF359" s="17"/>
      <c r="IG359" s="17"/>
      <c r="IH359" s="17"/>
      <c r="II359" s="17"/>
      <c r="IJ359" s="17"/>
      <c r="IK359" s="17"/>
      <c r="IL359" s="17"/>
      <c r="IM359" s="17"/>
      <c r="IN359" s="17"/>
      <c r="IO359" s="17"/>
      <c r="IP359" s="17"/>
      <c r="IQ359" s="17"/>
      <c r="IR359" s="17"/>
      <c r="IS359" s="17"/>
      <c r="IT359" s="17"/>
      <c r="IU359" s="17"/>
      <c r="IV359" s="17"/>
      <c r="IW359" s="17"/>
      <c r="IX359" s="17"/>
      <c r="IY359" s="17"/>
      <c r="IZ359" s="17"/>
      <c r="JA359" s="17"/>
      <c r="JB359" s="17"/>
      <c r="JC359" s="17"/>
      <c r="JD359" s="17"/>
      <c r="JE359" s="17"/>
      <c r="JF359" s="17"/>
      <c r="JG359" s="17"/>
      <c r="JH359" s="17"/>
      <c r="JI359" s="17"/>
      <c r="JJ359" s="17"/>
      <c r="JK359" s="17"/>
      <c r="JL359" s="17"/>
      <c r="JM359" s="17"/>
      <c r="JN359" s="17"/>
      <c r="JO359" s="17"/>
      <c r="JP359" s="17"/>
      <c r="JQ359" s="17"/>
      <c r="JR359" s="17"/>
      <c r="JS359" s="17"/>
      <c r="JT359" s="17"/>
      <c r="JU359" s="17"/>
      <c r="JV359" s="17"/>
      <c r="JW359" s="17"/>
      <c r="JX359" s="17"/>
      <c r="JY359" s="17"/>
      <c r="JZ359" s="17"/>
      <c r="KA359" s="17"/>
      <c r="KB359" s="17"/>
      <c r="KC359" s="17"/>
      <c r="KD359" s="17"/>
      <c r="KE359" s="17"/>
      <c r="KF359" s="17"/>
      <c r="KG359" s="17"/>
      <c r="KH359" s="17"/>
      <c r="KI359" s="17"/>
      <c r="KJ359" s="17"/>
      <c r="KK359" s="17"/>
      <c r="KL359" s="17"/>
      <c r="KM359" s="17"/>
      <c r="KN359" s="17"/>
      <c r="KO359" s="17"/>
      <c r="KP359" s="17"/>
      <c r="KQ359" s="17"/>
      <c r="KR359" s="17"/>
      <c r="KS359" s="17"/>
      <c r="KT359" s="17"/>
      <c r="KU359" s="17"/>
      <c r="KV359" s="17"/>
      <c r="KW359" s="17"/>
      <c r="KX359" s="17"/>
      <c r="KY359" s="17"/>
    </row>
    <row r="360" spans="1:311" x14ac:dyDescent="0.25">
      <c r="A360" s="17"/>
      <c r="B360" s="17"/>
      <c r="C360" s="17"/>
      <c r="D360" s="17"/>
      <c r="E360" s="17"/>
      <c r="F360" s="17"/>
      <c r="G360" s="17"/>
      <c r="H360" s="17"/>
      <c r="I360" s="17"/>
      <c r="J360" s="17"/>
      <c r="K360" s="17"/>
      <c r="L360" s="17"/>
      <c r="M360" s="17"/>
      <c r="N360" s="17"/>
      <c r="O360" s="17"/>
      <c r="P360" s="17"/>
      <c r="Q360" s="17"/>
      <c r="R360" s="17"/>
      <c r="S360" s="17"/>
      <c r="T360" s="17"/>
      <c r="U360" s="17"/>
      <c r="V360" s="17"/>
      <c r="W360" s="17"/>
      <c r="X360" s="17"/>
      <c r="Y360" s="17"/>
      <c r="Z360" s="17"/>
      <c r="AA360" s="17"/>
      <c r="AB360" s="17"/>
      <c r="AC360" s="17"/>
      <c r="AD360" s="17"/>
      <c r="AE360" s="17"/>
      <c r="AF360" s="17"/>
      <c r="AG360" s="17"/>
      <c r="AH360" s="17"/>
      <c r="AI360" s="17"/>
      <c r="AJ360" s="17"/>
      <c r="AK360" s="17"/>
      <c r="AL360" s="17"/>
      <c r="AM360" s="17"/>
      <c r="AN360" s="17"/>
      <c r="AO360" s="17"/>
      <c r="AP360" s="17"/>
      <c r="AQ360" s="17"/>
      <c r="AR360" s="17"/>
      <c r="AS360" s="17"/>
      <c r="AT360" s="17"/>
      <c r="AU360" s="17"/>
      <c r="AV360" s="17"/>
      <c r="AW360" s="17"/>
      <c r="AX360" s="17"/>
      <c r="AY360" s="17"/>
      <c r="AZ360" s="17"/>
      <c r="BA360" s="17"/>
      <c r="BB360" s="17"/>
      <c r="BC360" s="17"/>
      <c r="BD360" s="17"/>
      <c r="BE360" s="17"/>
      <c r="BF360" s="17"/>
      <c r="BG360" s="17"/>
      <c r="BH360" s="17"/>
      <c r="BI360" s="17"/>
      <c r="BJ360" s="17"/>
      <c r="BK360" s="17"/>
      <c r="BL360" s="17"/>
      <c r="BM360" s="17"/>
      <c r="BN360" s="17"/>
      <c r="BO360" s="17"/>
      <c r="BP360" s="17"/>
      <c r="BQ360" s="17"/>
      <c r="BR360" s="17"/>
      <c r="BS360" s="17"/>
      <c r="BT360" s="17"/>
      <c r="BU360" s="17"/>
      <c r="BV360" s="17"/>
      <c r="BW360" s="17"/>
      <c r="BX360" s="17"/>
      <c r="BY360" s="17"/>
      <c r="BZ360" s="17"/>
      <c r="CA360" s="17"/>
      <c r="CB360" s="17"/>
      <c r="CC360" s="17"/>
      <c r="CD360" s="17"/>
      <c r="CE360" s="17"/>
      <c r="CF360" s="17"/>
      <c r="CG360" s="17"/>
      <c r="CH360" s="17"/>
      <c r="CI360" s="17"/>
      <c r="CJ360" s="17"/>
      <c r="CK360" s="17"/>
      <c r="CL360" s="17"/>
      <c r="CM360" s="17"/>
      <c r="CN360" s="17"/>
      <c r="CO360" s="17"/>
      <c r="CP360" s="17"/>
      <c r="CQ360" s="17"/>
      <c r="CR360" s="17"/>
      <c r="CS360" s="17"/>
      <c r="CT360" s="17"/>
      <c r="CU360" s="17"/>
      <c r="CV360" s="17"/>
      <c r="CW360" s="17"/>
      <c r="CX360" s="17"/>
      <c r="CY360" s="17"/>
      <c r="CZ360" s="17"/>
      <c r="DA360" s="17"/>
      <c r="DB360" s="17"/>
      <c r="DC360" s="17"/>
      <c r="DD360" s="17"/>
      <c r="DE360" s="17"/>
      <c r="DF360" s="17"/>
      <c r="DG360" s="17"/>
      <c r="DH360" s="17"/>
      <c r="DI360" s="17"/>
      <c r="DJ360" s="17"/>
      <c r="DK360" s="17"/>
      <c r="DL360" s="17"/>
      <c r="DM360" s="17"/>
      <c r="DN360" s="17"/>
      <c r="DO360" s="17"/>
      <c r="DP360" s="17"/>
      <c r="DQ360" s="17"/>
      <c r="DR360" s="17"/>
      <c r="DS360" s="17"/>
      <c r="DT360" s="17"/>
      <c r="DU360" s="17"/>
      <c r="DV360" s="17"/>
      <c r="DW360" s="17"/>
      <c r="DX360" s="17"/>
      <c r="DY360" s="17"/>
      <c r="DZ360" s="17"/>
      <c r="EA360" s="17"/>
      <c r="EB360" s="17"/>
      <c r="EC360" s="17"/>
      <c r="ED360" s="17"/>
      <c r="EE360" s="17"/>
      <c r="EF360" s="17"/>
      <c r="EG360" s="17"/>
      <c r="EH360" s="17"/>
      <c r="EI360" s="17"/>
      <c r="EJ360" s="17"/>
      <c r="EK360" s="17"/>
      <c r="EL360" s="17"/>
      <c r="EM360" s="17"/>
      <c r="EN360" s="17"/>
      <c r="EO360" s="17"/>
      <c r="EP360" s="17"/>
      <c r="EQ360" s="17"/>
      <c r="ER360" s="17"/>
      <c r="ES360" s="17"/>
      <c r="ET360" s="17"/>
      <c r="EU360" s="17"/>
      <c r="EV360" s="17"/>
      <c r="EW360" s="17"/>
      <c r="EX360" s="17"/>
      <c r="EY360" s="17"/>
      <c r="EZ360" s="17"/>
      <c r="FA360" s="17"/>
      <c r="FB360" s="17"/>
      <c r="FC360" s="17"/>
      <c r="FD360" s="17"/>
      <c r="FE360" s="17"/>
      <c r="FF360" s="17"/>
      <c r="FG360" s="17"/>
      <c r="FH360" s="17"/>
      <c r="FI360" s="17"/>
      <c r="FJ360" s="17"/>
      <c r="FK360" s="17"/>
      <c r="FL360" s="17"/>
      <c r="FM360" s="17"/>
      <c r="FN360" s="17"/>
      <c r="FO360" s="17"/>
      <c r="FP360" s="17"/>
      <c r="FQ360" s="17"/>
      <c r="FR360" s="17"/>
      <c r="FS360" s="17"/>
      <c r="FT360" s="17"/>
      <c r="FU360" s="17"/>
      <c r="FV360" s="17"/>
      <c r="FW360" s="17"/>
      <c r="FX360" s="17"/>
      <c r="FY360" s="17"/>
      <c r="FZ360" s="17"/>
      <c r="GA360" s="17"/>
      <c r="GB360" s="17"/>
      <c r="GC360" s="17"/>
      <c r="GD360" s="17"/>
      <c r="GE360" s="17"/>
      <c r="GF360" s="17"/>
      <c r="GG360" s="17"/>
      <c r="GH360" s="17"/>
      <c r="GI360" s="17"/>
      <c r="GJ360" s="17"/>
      <c r="GK360" s="17"/>
      <c r="GL360" s="17"/>
      <c r="GM360" s="17"/>
      <c r="GN360" s="17"/>
      <c r="GO360" s="17"/>
      <c r="GP360" s="17"/>
      <c r="GQ360" s="17"/>
      <c r="GR360" s="17"/>
      <c r="GS360" s="17"/>
      <c r="GT360" s="17"/>
      <c r="GU360" s="17"/>
      <c r="GV360" s="17"/>
      <c r="GW360" s="17"/>
      <c r="GX360" s="17"/>
      <c r="GY360" s="17"/>
      <c r="GZ360" s="17"/>
      <c r="HA360" s="17"/>
      <c r="HB360" s="17"/>
      <c r="HC360" s="17"/>
      <c r="HD360" s="17"/>
      <c r="HE360" s="17"/>
      <c r="HF360" s="17"/>
      <c r="HG360" s="17"/>
      <c r="HH360" s="17"/>
      <c r="HI360" s="17"/>
      <c r="HJ360" s="17"/>
      <c r="HK360" s="17"/>
      <c r="HL360" s="17"/>
      <c r="HM360" s="17"/>
      <c r="HN360" s="17"/>
      <c r="HO360" s="17"/>
      <c r="HP360" s="17"/>
      <c r="HQ360" s="17"/>
      <c r="HR360" s="17"/>
      <c r="HS360" s="17"/>
      <c r="HT360" s="17"/>
      <c r="HU360" s="17"/>
      <c r="HV360" s="17"/>
      <c r="HW360" s="17"/>
      <c r="HX360" s="17"/>
      <c r="HY360" s="17"/>
      <c r="HZ360" s="17"/>
      <c r="IA360" s="17"/>
      <c r="IB360" s="17"/>
      <c r="IC360" s="17"/>
      <c r="ID360" s="17"/>
      <c r="IE360" s="17"/>
      <c r="IF360" s="17"/>
      <c r="IG360" s="17"/>
      <c r="IH360" s="17"/>
      <c r="II360" s="17"/>
      <c r="IJ360" s="17"/>
      <c r="IK360" s="17"/>
      <c r="IL360" s="17"/>
      <c r="IM360" s="17"/>
      <c r="IN360" s="17"/>
      <c r="IO360" s="17"/>
      <c r="IP360" s="17"/>
      <c r="IQ360" s="17"/>
      <c r="IR360" s="17"/>
      <c r="IS360" s="17"/>
      <c r="IT360" s="17"/>
      <c r="IU360" s="17"/>
      <c r="IV360" s="17"/>
      <c r="IW360" s="17"/>
      <c r="IX360" s="17"/>
      <c r="IY360" s="17"/>
      <c r="IZ360" s="17"/>
      <c r="JA360" s="17"/>
      <c r="JB360" s="17"/>
      <c r="JC360" s="17"/>
      <c r="JD360" s="17"/>
      <c r="JE360" s="17"/>
      <c r="JF360" s="17"/>
      <c r="JG360" s="17"/>
      <c r="JH360" s="17"/>
      <c r="JI360" s="17"/>
      <c r="JJ360" s="17"/>
      <c r="JK360" s="17"/>
      <c r="JL360" s="17"/>
      <c r="JM360" s="17"/>
      <c r="JN360" s="17"/>
      <c r="JO360" s="17"/>
      <c r="JP360" s="17"/>
      <c r="JQ360" s="17"/>
      <c r="JR360" s="17"/>
      <c r="JS360" s="17"/>
      <c r="JT360" s="17"/>
      <c r="JU360" s="17"/>
      <c r="JV360" s="17"/>
      <c r="JW360" s="17"/>
      <c r="JX360" s="17"/>
      <c r="JY360" s="17"/>
      <c r="JZ360" s="17"/>
      <c r="KA360" s="17"/>
      <c r="KB360" s="17"/>
      <c r="KC360" s="17"/>
      <c r="KD360" s="17"/>
      <c r="KE360" s="17"/>
      <c r="KF360" s="17"/>
      <c r="KG360" s="17"/>
      <c r="KH360" s="17"/>
      <c r="KI360" s="17"/>
      <c r="KJ360" s="17"/>
      <c r="KK360" s="17"/>
      <c r="KL360" s="17"/>
      <c r="KM360" s="17"/>
      <c r="KN360" s="17"/>
      <c r="KO360" s="17"/>
      <c r="KP360" s="17"/>
      <c r="KQ360" s="17"/>
      <c r="KR360" s="17"/>
      <c r="KS360" s="17"/>
      <c r="KT360" s="17"/>
      <c r="KU360" s="17"/>
      <c r="KV360" s="17"/>
      <c r="KW360" s="17"/>
      <c r="KX360" s="17"/>
      <c r="KY360" s="17"/>
    </row>
    <row r="361" spans="1:311" x14ac:dyDescent="0.25">
      <c r="A361" s="17"/>
      <c r="B361" s="17"/>
      <c r="C361" s="17"/>
      <c r="D361" s="17"/>
      <c r="E361" s="17"/>
      <c r="F361" s="17"/>
      <c r="G361" s="17"/>
      <c r="H361" s="17"/>
      <c r="I361" s="17"/>
      <c r="J361" s="17"/>
      <c r="K361" s="17"/>
      <c r="L361" s="17"/>
      <c r="M361" s="17"/>
      <c r="N361" s="17"/>
      <c r="O361" s="17"/>
      <c r="P361" s="17"/>
      <c r="Q361" s="17"/>
      <c r="R361" s="17"/>
      <c r="S361" s="17"/>
      <c r="T361" s="17"/>
      <c r="U361" s="17"/>
      <c r="V361" s="17"/>
      <c r="W361" s="17"/>
      <c r="X361" s="17"/>
      <c r="Y361" s="17"/>
      <c r="Z361" s="17"/>
      <c r="AA361" s="17"/>
      <c r="AB361" s="17"/>
      <c r="AC361" s="17"/>
      <c r="AD361" s="17"/>
      <c r="AE361" s="17"/>
      <c r="AF361" s="17"/>
      <c r="AG361" s="17"/>
      <c r="AH361" s="17"/>
      <c r="AI361" s="17"/>
      <c r="AJ361" s="17"/>
      <c r="AK361" s="17"/>
      <c r="AL361" s="17"/>
      <c r="AM361" s="17"/>
      <c r="AN361" s="17"/>
      <c r="AO361" s="17"/>
      <c r="AP361" s="17"/>
      <c r="AQ361" s="17"/>
      <c r="AR361" s="17"/>
      <c r="AS361" s="17"/>
      <c r="AT361" s="17"/>
      <c r="AU361" s="17"/>
      <c r="AV361" s="17"/>
      <c r="AW361" s="17"/>
      <c r="AX361" s="17"/>
      <c r="AY361" s="17"/>
      <c r="AZ361" s="17"/>
      <c r="BA361" s="17"/>
      <c r="BB361" s="17"/>
      <c r="BC361" s="17"/>
      <c r="BD361" s="17"/>
      <c r="BE361" s="17"/>
      <c r="BF361" s="17"/>
      <c r="BG361" s="17"/>
      <c r="BH361" s="17"/>
      <c r="BI361" s="17"/>
      <c r="BJ361" s="17"/>
      <c r="BK361" s="17"/>
      <c r="BL361" s="17"/>
      <c r="BM361" s="17"/>
      <c r="BN361" s="17"/>
      <c r="BO361" s="17"/>
      <c r="BP361" s="17"/>
      <c r="BQ361" s="17"/>
      <c r="BR361" s="17"/>
      <c r="BS361" s="17"/>
      <c r="BT361" s="17"/>
      <c r="BU361" s="17"/>
      <c r="BV361" s="17"/>
      <c r="BW361" s="17"/>
      <c r="BX361" s="17"/>
      <c r="BY361" s="17"/>
      <c r="BZ361" s="17"/>
      <c r="CA361" s="17"/>
      <c r="CB361" s="17"/>
      <c r="CC361" s="17"/>
      <c r="CD361" s="17"/>
      <c r="CE361" s="17"/>
      <c r="CF361" s="17"/>
      <c r="CG361" s="17"/>
      <c r="CH361" s="17"/>
      <c r="CI361" s="17"/>
      <c r="CJ361" s="17"/>
      <c r="CK361" s="17"/>
      <c r="CL361" s="17"/>
      <c r="CM361" s="17"/>
      <c r="CN361" s="17"/>
      <c r="CO361" s="17"/>
      <c r="CP361" s="17"/>
      <c r="CQ361" s="17"/>
      <c r="CR361" s="17"/>
      <c r="CS361" s="17"/>
      <c r="CT361" s="17"/>
      <c r="CU361" s="17"/>
      <c r="CV361" s="17"/>
      <c r="CW361" s="17"/>
      <c r="CX361" s="17"/>
      <c r="CY361" s="17"/>
      <c r="CZ361" s="17"/>
      <c r="DA361" s="17"/>
      <c r="DB361" s="17"/>
      <c r="DC361" s="17"/>
      <c r="DD361" s="17"/>
      <c r="DE361" s="17"/>
      <c r="DF361" s="17"/>
      <c r="DG361" s="17"/>
      <c r="DH361" s="17"/>
      <c r="DI361" s="17"/>
      <c r="DJ361" s="17"/>
      <c r="DK361" s="17"/>
      <c r="DL361" s="17"/>
      <c r="DM361" s="17"/>
      <c r="DN361" s="17"/>
      <c r="DO361" s="17"/>
      <c r="DP361" s="17"/>
      <c r="DQ361" s="17"/>
      <c r="DR361" s="17"/>
      <c r="DS361" s="17"/>
      <c r="DT361" s="17"/>
      <c r="DU361" s="17"/>
      <c r="DV361" s="17"/>
      <c r="DW361" s="17"/>
      <c r="DX361" s="17"/>
      <c r="DY361" s="17"/>
      <c r="DZ361" s="17"/>
      <c r="EA361" s="17"/>
      <c r="EB361" s="17"/>
      <c r="EC361" s="17"/>
      <c r="ED361" s="17"/>
      <c r="EE361" s="17"/>
      <c r="EF361" s="17"/>
      <c r="EG361" s="17"/>
      <c r="EH361" s="17"/>
      <c r="EI361" s="17"/>
      <c r="EJ361" s="17"/>
      <c r="EK361" s="17"/>
      <c r="EL361" s="17"/>
      <c r="EM361" s="17"/>
      <c r="EN361" s="17"/>
      <c r="EO361" s="17"/>
      <c r="EP361" s="17"/>
      <c r="EQ361" s="17"/>
      <c r="ER361" s="17"/>
      <c r="ES361" s="17"/>
      <c r="ET361" s="17"/>
      <c r="EU361" s="17"/>
      <c r="EV361" s="17"/>
      <c r="EW361" s="17"/>
      <c r="EX361" s="17"/>
      <c r="EY361" s="17"/>
      <c r="EZ361" s="17"/>
      <c r="FA361" s="17"/>
      <c r="FB361" s="17"/>
      <c r="FC361" s="17"/>
      <c r="FD361" s="17"/>
      <c r="FE361" s="17"/>
      <c r="FF361" s="17"/>
      <c r="FG361" s="17"/>
      <c r="FH361" s="17"/>
      <c r="FI361" s="17"/>
      <c r="FJ361" s="17"/>
      <c r="FK361" s="17"/>
      <c r="FL361" s="17"/>
      <c r="FM361" s="17"/>
      <c r="FN361" s="17"/>
      <c r="FO361" s="17"/>
      <c r="FP361" s="17"/>
      <c r="FQ361" s="17"/>
      <c r="FR361" s="17"/>
      <c r="FS361" s="17"/>
      <c r="FT361" s="17"/>
      <c r="FU361" s="17"/>
      <c r="FV361" s="17"/>
      <c r="FW361" s="17"/>
      <c r="FX361" s="17"/>
      <c r="FY361" s="17"/>
      <c r="FZ361" s="17"/>
      <c r="GA361" s="17"/>
      <c r="GB361" s="17"/>
      <c r="GC361" s="17"/>
      <c r="GD361" s="17"/>
      <c r="GE361" s="17"/>
      <c r="GF361" s="17"/>
      <c r="GG361" s="17"/>
      <c r="GH361" s="17"/>
      <c r="GI361" s="17"/>
      <c r="GJ361" s="17"/>
      <c r="GK361" s="17"/>
      <c r="GL361" s="17"/>
      <c r="GM361" s="17"/>
      <c r="GN361" s="17"/>
      <c r="GO361" s="17"/>
      <c r="GP361" s="17"/>
      <c r="GQ361" s="17"/>
      <c r="GR361" s="17"/>
      <c r="GS361" s="17"/>
      <c r="GT361" s="17"/>
      <c r="GU361" s="17"/>
      <c r="GV361" s="17"/>
      <c r="GW361" s="17"/>
      <c r="GX361" s="17"/>
      <c r="GY361" s="17"/>
      <c r="GZ361" s="17"/>
      <c r="HA361" s="17"/>
      <c r="HB361" s="17"/>
      <c r="HC361" s="17"/>
      <c r="HD361" s="17"/>
      <c r="HE361" s="17"/>
      <c r="HF361" s="17"/>
      <c r="HG361" s="17"/>
      <c r="HH361" s="17"/>
      <c r="HI361" s="17"/>
      <c r="HJ361" s="17"/>
      <c r="HK361" s="17"/>
      <c r="HL361" s="17"/>
      <c r="HM361" s="17"/>
      <c r="HN361" s="17"/>
      <c r="HO361" s="17"/>
      <c r="HP361" s="17"/>
      <c r="HQ361" s="17"/>
      <c r="HR361" s="17"/>
      <c r="HS361" s="17"/>
      <c r="HT361" s="17"/>
      <c r="HU361" s="17"/>
      <c r="HV361" s="17"/>
      <c r="HW361" s="17"/>
      <c r="HX361" s="17"/>
      <c r="HY361" s="17"/>
      <c r="HZ361" s="17"/>
      <c r="IA361" s="17"/>
      <c r="IB361" s="17"/>
      <c r="IC361" s="17"/>
      <c r="ID361" s="17"/>
      <c r="IE361" s="17"/>
      <c r="IF361" s="17"/>
      <c r="IG361" s="17"/>
      <c r="IH361" s="17"/>
      <c r="II361" s="17"/>
      <c r="IJ361" s="17"/>
      <c r="IK361" s="17"/>
      <c r="IL361" s="17"/>
      <c r="IM361" s="17"/>
      <c r="IN361" s="17"/>
      <c r="IO361" s="17"/>
      <c r="IP361" s="17"/>
      <c r="IQ361" s="17"/>
      <c r="IR361" s="17"/>
      <c r="IS361" s="17"/>
      <c r="IT361" s="17"/>
      <c r="IU361" s="17"/>
      <c r="IV361" s="17"/>
      <c r="IW361" s="17"/>
      <c r="IX361" s="17"/>
      <c r="IY361" s="17"/>
      <c r="IZ361" s="17"/>
      <c r="JA361" s="17"/>
      <c r="JB361" s="17"/>
      <c r="JC361" s="17"/>
      <c r="JD361" s="17"/>
      <c r="JE361" s="17"/>
      <c r="JF361" s="17"/>
      <c r="JG361" s="17"/>
      <c r="JH361" s="17"/>
      <c r="JI361" s="17"/>
      <c r="JJ361" s="17"/>
      <c r="JK361" s="17"/>
      <c r="JL361" s="17"/>
      <c r="JM361" s="17"/>
      <c r="JN361" s="17"/>
      <c r="JO361" s="17"/>
      <c r="JP361" s="17"/>
      <c r="JQ361" s="17"/>
      <c r="JR361" s="17"/>
      <c r="JS361" s="17"/>
      <c r="JT361" s="17"/>
      <c r="JU361" s="17"/>
      <c r="JV361" s="17"/>
      <c r="JW361" s="17"/>
      <c r="JX361" s="17"/>
      <c r="JY361" s="17"/>
      <c r="JZ361" s="17"/>
      <c r="KA361" s="17"/>
      <c r="KB361" s="17"/>
      <c r="KC361" s="17"/>
      <c r="KD361" s="17"/>
      <c r="KE361" s="17"/>
      <c r="KF361" s="17"/>
      <c r="KG361" s="17"/>
      <c r="KH361" s="17"/>
      <c r="KI361" s="17"/>
      <c r="KJ361" s="17"/>
      <c r="KK361" s="17"/>
      <c r="KL361" s="17"/>
      <c r="KM361" s="17"/>
      <c r="KN361" s="17"/>
      <c r="KO361" s="17"/>
      <c r="KP361" s="17"/>
      <c r="KQ361" s="17"/>
      <c r="KR361" s="17"/>
      <c r="KS361" s="17"/>
      <c r="KT361" s="17"/>
      <c r="KU361" s="17"/>
      <c r="KV361" s="17"/>
      <c r="KW361" s="17"/>
      <c r="KX361" s="17"/>
      <c r="KY361" s="17"/>
    </row>
    <row r="362" spans="1:311" x14ac:dyDescent="0.25">
      <c r="A362" s="17"/>
      <c r="B362" s="17"/>
      <c r="C362" s="17"/>
      <c r="D362" s="17"/>
      <c r="E362" s="17"/>
      <c r="F362" s="17"/>
      <c r="G362" s="17"/>
      <c r="H362" s="17"/>
      <c r="I362" s="17"/>
      <c r="J362" s="17"/>
      <c r="K362" s="17"/>
      <c r="L362" s="17"/>
      <c r="M362" s="17"/>
      <c r="N362" s="17"/>
      <c r="O362" s="17"/>
      <c r="P362" s="17"/>
      <c r="Q362" s="17"/>
      <c r="R362" s="17"/>
      <c r="S362" s="17"/>
      <c r="T362" s="17"/>
      <c r="U362" s="17"/>
      <c r="V362" s="17"/>
      <c r="W362" s="17"/>
      <c r="X362" s="17"/>
      <c r="Y362" s="17"/>
      <c r="Z362" s="17"/>
      <c r="AA362" s="17"/>
      <c r="AB362" s="17"/>
      <c r="AC362" s="17"/>
      <c r="AD362" s="17"/>
      <c r="AE362" s="17"/>
      <c r="AF362" s="17"/>
      <c r="AG362" s="17"/>
      <c r="AH362" s="17"/>
      <c r="AI362" s="17"/>
      <c r="AJ362" s="17"/>
      <c r="AK362" s="17"/>
      <c r="AL362" s="17"/>
      <c r="AM362" s="17"/>
      <c r="AN362" s="17"/>
      <c r="AO362" s="17"/>
      <c r="AP362" s="17"/>
      <c r="AQ362" s="17"/>
      <c r="AR362" s="17"/>
      <c r="AS362" s="17"/>
      <c r="AT362" s="17"/>
      <c r="AU362" s="17"/>
      <c r="AV362" s="17"/>
      <c r="AW362" s="17"/>
      <c r="AX362" s="17"/>
      <c r="AY362" s="17"/>
      <c r="AZ362" s="17"/>
      <c r="BA362" s="17"/>
      <c r="BB362" s="17"/>
      <c r="BC362" s="17"/>
      <c r="BD362" s="17"/>
      <c r="BE362" s="17"/>
      <c r="BF362" s="17"/>
      <c r="BG362" s="17"/>
      <c r="BH362" s="17"/>
      <c r="BI362" s="17"/>
      <c r="BJ362" s="17"/>
      <c r="BK362" s="17"/>
      <c r="BL362" s="17"/>
      <c r="BM362" s="17"/>
      <c r="BN362" s="17"/>
      <c r="BO362" s="17"/>
      <c r="BP362" s="17"/>
      <c r="BQ362" s="17"/>
      <c r="BR362" s="17"/>
      <c r="BS362" s="17"/>
      <c r="BT362" s="17"/>
      <c r="BU362" s="17"/>
      <c r="BV362" s="17"/>
      <c r="BW362" s="17"/>
      <c r="BX362" s="17"/>
      <c r="BY362" s="17"/>
      <c r="BZ362" s="17"/>
      <c r="CA362" s="17"/>
      <c r="CB362" s="17"/>
      <c r="CC362" s="17"/>
      <c r="CD362" s="17"/>
      <c r="CE362" s="17"/>
      <c r="CF362" s="17"/>
      <c r="CG362" s="17"/>
      <c r="CH362" s="17"/>
      <c r="CI362" s="17"/>
      <c r="CJ362" s="17"/>
      <c r="CK362" s="17"/>
      <c r="CL362" s="17"/>
      <c r="CM362" s="17"/>
      <c r="CN362" s="17"/>
      <c r="CO362" s="17"/>
      <c r="CP362" s="17"/>
      <c r="CQ362" s="17"/>
      <c r="CR362" s="17"/>
      <c r="CS362" s="17"/>
      <c r="CT362" s="17"/>
      <c r="CU362" s="17"/>
      <c r="CV362" s="17"/>
      <c r="CW362" s="17"/>
      <c r="CX362" s="17"/>
      <c r="CY362" s="17"/>
      <c r="CZ362" s="17"/>
      <c r="DA362" s="17"/>
      <c r="DB362" s="17"/>
      <c r="DC362" s="17"/>
      <c r="DD362" s="17"/>
      <c r="DE362" s="17"/>
      <c r="DF362" s="17"/>
      <c r="DG362" s="17"/>
      <c r="DH362" s="17"/>
      <c r="DI362" s="17"/>
      <c r="DJ362" s="17"/>
      <c r="DK362" s="17"/>
      <c r="DL362" s="17"/>
      <c r="DM362" s="17"/>
      <c r="DN362" s="17"/>
      <c r="DO362" s="17"/>
      <c r="DP362" s="17"/>
      <c r="DQ362" s="17"/>
      <c r="DR362" s="17"/>
      <c r="DS362" s="17"/>
      <c r="DT362" s="17"/>
      <c r="DU362" s="17"/>
      <c r="DV362" s="17"/>
      <c r="DW362" s="17"/>
      <c r="DX362" s="17"/>
      <c r="DY362" s="17"/>
      <c r="DZ362" s="17"/>
      <c r="EA362" s="17"/>
      <c r="EB362" s="17"/>
      <c r="EC362" s="17"/>
      <c r="ED362" s="17"/>
      <c r="EE362" s="17"/>
      <c r="EF362" s="17"/>
      <c r="EG362" s="17"/>
      <c r="EH362" s="17"/>
      <c r="EI362" s="17"/>
      <c r="EJ362" s="17"/>
      <c r="EK362" s="17"/>
      <c r="EL362" s="17"/>
      <c r="EM362" s="17"/>
      <c r="EN362" s="17"/>
      <c r="EO362" s="17"/>
      <c r="EP362" s="17"/>
      <c r="EQ362" s="17"/>
      <c r="ER362" s="17"/>
      <c r="ES362" s="17"/>
      <c r="ET362" s="17"/>
      <c r="EU362" s="17"/>
      <c r="EV362" s="17"/>
      <c r="EW362" s="17"/>
      <c r="EX362" s="17"/>
      <c r="EY362" s="17"/>
      <c r="EZ362" s="17"/>
      <c r="FA362" s="17"/>
      <c r="FB362" s="17"/>
      <c r="FC362" s="17"/>
      <c r="FD362" s="17"/>
      <c r="FE362" s="17"/>
      <c r="FF362" s="17"/>
      <c r="FG362" s="17"/>
      <c r="FH362" s="17"/>
      <c r="FI362" s="17"/>
      <c r="FJ362" s="17"/>
      <c r="FK362" s="17"/>
      <c r="FL362" s="17"/>
      <c r="FM362" s="17"/>
      <c r="FN362" s="17"/>
      <c r="FO362" s="17"/>
      <c r="FP362" s="17"/>
      <c r="FQ362" s="17"/>
      <c r="FR362" s="17"/>
      <c r="FS362" s="17"/>
      <c r="FT362" s="17"/>
      <c r="FU362" s="17"/>
      <c r="FV362" s="17"/>
      <c r="FW362" s="17"/>
      <c r="FX362" s="17"/>
      <c r="FY362" s="17"/>
      <c r="FZ362" s="17"/>
      <c r="GA362" s="17"/>
      <c r="GB362" s="17"/>
      <c r="GC362" s="17"/>
      <c r="GD362" s="17"/>
      <c r="GE362" s="17"/>
      <c r="GF362" s="17"/>
      <c r="GG362" s="17"/>
      <c r="GH362" s="17"/>
      <c r="GI362" s="17"/>
      <c r="GJ362" s="17"/>
      <c r="GK362" s="17"/>
      <c r="GL362" s="17"/>
      <c r="GM362" s="17"/>
      <c r="GN362" s="17"/>
      <c r="GO362" s="17"/>
      <c r="GP362" s="17"/>
      <c r="GQ362" s="17"/>
      <c r="GR362" s="17"/>
      <c r="GS362" s="17"/>
      <c r="GT362" s="17"/>
      <c r="GU362" s="17"/>
      <c r="GV362" s="17"/>
      <c r="GW362" s="17"/>
      <c r="GX362" s="17"/>
      <c r="GY362" s="17"/>
      <c r="GZ362" s="17"/>
      <c r="HA362" s="17"/>
      <c r="HB362" s="17"/>
      <c r="HC362" s="17"/>
      <c r="HD362" s="17"/>
      <c r="HE362" s="17"/>
      <c r="HF362" s="17"/>
      <c r="HG362" s="17"/>
      <c r="HH362" s="17"/>
      <c r="HI362" s="17"/>
      <c r="HJ362" s="17"/>
      <c r="HK362" s="17"/>
      <c r="HL362" s="17"/>
      <c r="HM362" s="17"/>
      <c r="HN362" s="17"/>
      <c r="HO362" s="17"/>
      <c r="HP362" s="17"/>
      <c r="HQ362" s="17"/>
      <c r="HR362" s="17"/>
      <c r="HS362" s="17"/>
      <c r="HT362" s="17"/>
      <c r="HU362" s="17"/>
      <c r="HV362" s="17"/>
      <c r="HW362" s="17"/>
      <c r="HX362" s="17"/>
      <c r="HY362" s="17"/>
      <c r="HZ362" s="17"/>
      <c r="IA362" s="17"/>
      <c r="IB362" s="17"/>
      <c r="IC362" s="17"/>
      <c r="ID362" s="17"/>
      <c r="IE362" s="17"/>
      <c r="IF362" s="17"/>
      <c r="IG362" s="17"/>
      <c r="IH362" s="17"/>
      <c r="II362" s="17"/>
      <c r="IJ362" s="17"/>
      <c r="IK362" s="17"/>
      <c r="IL362" s="17"/>
      <c r="IM362" s="17"/>
      <c r="IN362" s="17"/>
      <c r="IO362" s="17"/>
      <c r="IP362" s="17"/>
      <c r="IQ362" s="17"/>
      <c r="IR362" s="17"/>
      <c r="IS362" s="17"/>
      <c r="IT362" s="17"/>
      <c r="IU362" s="17"/>
      <c r="IV362" s="17"/>
      <c r="IW362" s="17"/>
      <c r="IX362" s="17"/>
      <c r="IY362" s="17"/>
      <c r="IZ362" s="17"/>
      <c r="JA362" s="17"/>
      <c r="JB362" s="17"/>
      <c r="JC362" s="17"/>
      <c r="JD362" s="17"/>
      <c r="JE362" s="17"/>
      <c r="JF362" s="17"/>
      <c r="JG362" s="17"/>
      <c r="JH362" s="17"/>
      <c r="JI362" s="17"/>
      <c r="JJ362" s="17"/>
      <c r="JK362" s="17"/>
      <c r="JL362" s="17"/>
      <c r="JM362" s="17"/>
      <c r="JN362" s="17"/>
      <c r="JO362" s="17"/>
      <c r="JP362" s="17"/>
      <c r="JQ362" s="17"/>
      <c r="JR362" s="17"/>
      <c r="JS362" s="17"/>
      <c r="JT362" s="17"/>
      <c r="JU362" s="17"/>
      <c r="JV362" s="17"/>
      <c r="JW362" s="17"/>
      <c r="JX362" s="17"/>
      <c r="JY362" s="17"/>
      <c r="JZ362" s="17"/>
      <c r="KA362" s="17"/>
      <c r="KB362" s="17"/>
      <c r="KC362" s="17"/>
      <c r="KD362" s="17"/>
      <c r="KE362" s="17"/>
      <c r="KF362" s="17"/>
      <c r="KG362" s="17"/>
      <c r="KH362" s="17"/>
      <c r="KI362" s="17"/>
      <c r="KJ362" s="17"/>
      <c r="KK362" s="17"/>
      <c r="KL362" s="17"/>
      <c r="KM362" s="17"/>
      <c r="KN362" s="17"/>
      <c r="KO362" s="17"/>
      <c r="KP362" s="17"/>
      <c r="KQ362" s="17"/>
      <c r="KR362" s="17"/>
      <c r="KS362" s="17"/>
      <c r="KT362" s="17"/>
      <c r="KU362" s="17"/>
      <c r="KV362" s="17"/>
      <c r="KW362" s="17"/>
      <c r="KX362" s="17"/>
      <c r="KY362" s="17"/>
    </row>
    <row r="363" spans="1:311" x14ac:dyDescent="0.25">
      <c r="A363" s="17"/>
      <c r="B363" s="17"/>
      <c r="C363" s="17"/>
      <c r="D363" s="17"/>
      <c r="E363" s="17"/>
      <c r="F363" s="17"/>
      <c r="G363" s="17"/>
      <c r="H363" s="17"/>
      <c r="I363" s="17"/>
      <c r="J363" s="17"/>
      <c r="K363" s="17"/>
      <c r="L363" s="17"/>
      <c r="M363" s="17"/>
      <c r="N363" s="17"/>
      <c r="O363" s="17"/>
      <c r="P363" s="17"/>
      <c r="Q363" s="17"/>
      <c r="R363" s="17"/>
      <c r="S363" s="17"/>
      <c r="T363" s="17"/>
      <c r="U363" s="17"/>
      <c r="V363" s="17"/>
      <c r="W363" s="17"/>
      <c r="X363" s="17"/>
      <c r="Y363" s="17"/>
      <c r="Z363" s="17"/>
      <c r="AA363" s="17"/>
      <c r="AB363" s="17"/>
      <c r="AC363" s="17"/>
      <c r="AD363" s="17"/>
      <c r="AE363" s="17"/>
      <c r="AF363" s="17"/>
      <c r="AG363" s="17"/>
      <c r="AH363" s="17"/>
      <c r="AI363" s="17"/>
      <c r="AJ363" s="17"/>
      <c r="AK363" s="17"/>
      <c r="AL363" s="17"/>
      <c r="AM363" s="17"/>
      <c r="AN363" s="17"/>
      <c r="AO363" s="17"/>
      <c r="AP363" s="17"/>
      <c r="AQ363" s="17"/>
      <c r="AR363" s="17"/>
      <c r="AS363" s="17"/>
      <c r="AT363" s="17"/>
      <c r="AU363" s="17"/>
      <c r="AV363" s="17"/>
      <c r="AW363" s="17"/>
      <c r="AX363" s="17"/>
      <c r="AY363" s="17"/>
      <c r="AZ363" s="17"/>
      <c r="BA363" s="17"/>
      <c r="BB363" s="17"/>
      <c r="BC363" s="17"/>
      <c r="BD363" s="17"/>
      <c r="BE363" s="17"/>
      <c r="BF363" s="17"/>
      <c r="BG363" s="17"/>
      <c r="BH363" s="17"/>
      <c r="BI363" s="17"/>
      <c r="BJ363" s="17"/>
      <c r="BK363" s="17"/>
      <c r="BL363" s="17"/>
      <c r="BM363" s="17"/>
      <c r="BN363" s="17"/>
      <c r="BO363" s="17"/>
      <c r="BP363" s="17"/>
      <c r="BQ363" s="17"/>
      <c r="BR363" s="17"/>
      <c r="BS363" s="17"/>
      <c r="BT363" s="17"/>
      <c r="BU363" s="17"/>
      <c r="BV363" s="17"/>
      <c r="BW363" s="17"/>
      <c r="BX363" s="17"/>
      <c r="BY363" s="17"/>
      <c r="BZ363" s="17"/>
      <c r="CA363" s="17"/>
      <c r="CB363" s="17"/>
      <c r="CC363" s="17"/>
      <c r="CD363" s="17"/>
      <c r="CE363" s="17"/>
      <c r="CF363" s="17"/>
      <c r="CG363" s="17"/>
      <c r="CH363" s="17"/>
      <c r="CI363" s="17"/>
      <c r="CJ363" s="17"/>
      <c r="CK363" s="17"/>
      <c r="CL363" s="17"/>
      <c r="CM363" s="17"/>
      <c r="CN363" s="17"/>
      <c r="CO363" s="17"/>
      <c r="CP363" s="17"/>
      <c r="CQ363" s="17"/>
      <c r="CR363" s="17"/>
      <c r="CS363" s="17"/>
      <c r="CT363" s="17"/>
      <c r="CU363" s="17"/>
      <c r="CV363" s="17"/>
      <c r="CW363" s="17"/>
      <c r="CX363" s="17"/>
      <c r="CY363" s="17"/>
      <c r="CZ363" s="17"/>
      <c r="DA363" s="17"/>
      <c r="DB363" s="17"/>
      <c r="DC363" s="17"/>
      <c r="DD363" s="17"/>
      <c r="DE363" s="17"/>
      <c r="DF363" s="17"/>
      <c r="DG363" s="17"/>
      <c r="DH363" s="17"/>
      <c r="DI363" s="17"/>
      <c r="DJ363" s="17"/>
      <c r="DK363" s="17"/>
      <c r="DL363" s="17"/>
      <c r="DM363" s="17"/>
      <c r="DN363" s="17"/>
      <c r="DO363" s="17"/>
      <c r="DP363" s="17"/>
      <c r="DQ363" s="17"/>
      <c r="DR363" s="17"/>
      <c r="DS363" s="17"/>
      <c r="DT363" s="17"/>
      <c r="DU363" s="17"/>
      <c r="DV363" s="17"/>
      <c r="DW363" s="17"/>
      <c r="DX363" s="17"/>
      <c r="DY363" s="17"/>
      <c r="DZ363" s="17"/>
      <c r="EA363" s="17"/>
      <c r="EB363" s="17"/>
      <c r="EC363" s="17"/>
      <c r="ED363" s="17"/>
      <c r="EE363" s="17"/>
      <c r="EF363" s="17"/>
      <c r="EG363" s="17"/>
      <c r="EH363" s="17"/>
      <c r="EI363" s="17"/>
      <c r="EJ363" s="17"/>
      <c r="EK363" s="17"/>
      <c r="EL363" s="17"/>
      <c r="EM363" s="17"/>
      <c r="EN363" s="17"/>
      <c r="EO363" s="17"/>
      <c r="EP363" s="17"/>
      <c r="EQ363" s="17"/>
      <c r="ER363" s="17"/>
      <c r="ES363" s="17"/>
      <c r="ET363" s="17"/>
      <c r="EU363" s="17"/>
      <c r="EV363" s="17"/>
      <c r="EW363" s="17"/>
      <c r="EX363" s="17"/>
      <c r="EY363" s="17"/>
      <c r="EZ363" s="17"/>
      <c r="FA363" s="17"/>
      <c r="FB363" s="17"/>
      <c r="FC363" s="17"/>
      <c r="FD363" s="17"/>
      <c r="FE363" s="17"/>
      <c r="FF363" s="17"/>
      <c r="FG363" s="17"/>
      <c r="FH363" s="17"/>
      <c r="FI363" s="17"/>
      <c r="FJ363" s="17"/>
      <c r="FK363" s="17"/>
      <c r="FL363" s="17"/>
      <c r="FM363" s="17"/>
      <c r="FN363" s="17"/>
      <c r="FO363" s="17"/>
      <c r="FP363" s="17"/>
      <c r="FQ363" s="17"/>
      <c r="FR363" s="17"/>
      <c r="FS363" s="17"/>
      <c r="FT363" s="17"/>
      <c r="FU363" s="17"/>
      <c r="FV363" s="17"/>
      <c r="FW363" s="17"/>
      <c r="FX363" s="17"/>
      <c r="FY363" s="17"/>
      <c r="FZ363" s="17"/>
      <c r="GA363" s="17"/>
      <c r="GB363" s="17"/>
      <c r="GC363" s="17"/>
      <c r="GD363" s="17"/>
      <c r="GE363" s="17"/>
      <c r="GF363" s="17"/>
      <c r="GG363" s="17"/>
      <c r="GH363" s="17"/>
      <c r="GI363" s="17"/>
      <c r="GJ363" s="17"/>
      <c r="GK363" s="17"/>
      <c r="GL363" s="17"/>
      <c r="GM363" s="17"/>
      <c r="GN363" s="17"/>
      <c r="GO363" s="17"/>
      <c r="GP363" s="17"/>
      <c r="GQ363" s="17"/>
      <c r="GR363" s="17"/>
      <c r="GS363" s="17"/>
      <c r="GT363" s="17"/>
      <c r="GU363" s="17"/>
      <c r="GV363" s="17"/>
      <c r="GW363" s="17"/>
      <c r="GX363" s="17"/>
      <c r="GY363" s="17"/>
      <c r="GZ363" s="17"/>
      <c r="HA363" s="17"/>
      <c r="HB363" s="17"/>
      <c r="HC363" s="17"/>
      <c r="HD363" s="17"/>
      <c r="HE363" s="17"/>
      <c r="HF363" s="17"/>
      <c r="HG363" s="17"/>
      <c r="HH363" s="17"/>
      <c r="HI363" s="17"/>
      <c r="HJ363" s="17"/>
      <c r="HK363" s="17"/>
      <c r="HL363" s="17"/>
      <c r="HM363" s="17"/>
      <c r="HN363" s="17"/>
      <c r="HO363" s="17"/>
      <c r="HP363" s="17"/>
      <c r="HQ363" s="17"/>
      <c r="HR363" s="17"/>
      <c r="HS363" s="17"/>
      <c r="HT363" s="17"/>
      <c r="HU363" s="17"/>
      <c r="HV363" s="17"/>
      <c r="HW363" s="17"/>
      <c r="HX363" s="17"/>
      <c r="HY363" s="17"/>
      <c r="HZ363" s="17"/>
      <c r="IA363" s="17"/>
      <c r="IB363" s="17"/>
      <c r="IC363" s="17"/>
      <c r="ID363" s="17"/>
      <c r="IE363" s="17"/>
      <c r="IF363" s="17"/>
      <c r="IG363" s="17"/>
      <c r="IH363" s="17"/>
      <c r="II363" s="17"/>
      <c r="IJ363" s="17"/>
      <c r="IK363" s="17"/>
      <c r="IL363" s="17"/>
      <c r="IM363" s="17"/>
      <c r="IN363" s="17"/>
      <c r="IO363" s="17"/>
      <c r="IP363" s="17"/>
      <c r="IQ363" s="17"/>
      <c r="IR363" s="17"/>
      <c r="IS363" s="17"/>
      <c r="IT363" s="17"/>
      <c r="IU363" s="17"/>
      <c r="IV363" s="17"/>
      <c r="IW363" s="17"/>
      <c r="IX363" s="17"/>
      <c r="IY363" s="17"/>
      <c r="IZ363" s="17"/>
      <c r="JA363" s="17"/>
      <c r="JB363" s="17"/>
      <c r="JC363" s="17"/>
      <c r="JD363" s="17"/>
      <c r="JE363" s="17"/>
      <c r="JF363" s="17"/>
      <c r="JG363" s="17"/>
      <c r="JH363" s="17"/>
      <c r="JI363" s="17"/>
      <c r="JJ363" s="17"/>
      <c r="JK363" s="17"/>
      <c r="JL363" s="17"/>
      <c r="JM363" s="17"/>
      <c r="JN363" s="17"/>
      <c r="JO363" s="17"/>
      <c r="JP363" s="17"/>
      <c r="JQ363" s="17"/>
      <c r="JR363" s="17"/>
      <c r="JS363" s="17"/>
      <c r="JT363" s="17"/>
      <c r="JU363" s="17"/>
      <c r="JV363" s="17"/>
      <c r="JW363" s="17"/>
      <c r="JX363" s="17"/>
      <c r="JY363" s="17"/>
      <c r="JZ363" s="17"/>
      <c r="KA363" s="17"/>
      <c r="KB363" s="17"/>
      <c r="KC363" s="17"/>
      <c r="KD363" s="17"/>
      <c r="KE363" s="17"/>
      <c r="KF363" s="17"/>
      <c r="KG363" s="17"/>
      <c r="KH363" s="17"/>
      <c r="KI363" s="17"/>
      <c r="KJ363" s="17"/>
      <c r="KK363" s="17"/>
      <c r="KL363" s="17"/>
      <c r="KM363" s="17"/>
      <c r="KN363" s="17"/>
      <c r="KO363" s="17"/>
      <c r="KP363" s="17"/>
      <c r="KQ363" s="17"/>
      <c r="KR363" s="17"/>
      <c r="KS363" s="17"/>
      <c r="KT363" s="17"/>
      <c r="KU363" s="17"/>
      <c r="KV363" s="17"/>
      <c r="KW363" s="17"/>
      <c r="KX363" s="17"/>
      <c r="KY363" s="17"/>
    </row>
    <row r="364" spans="1:311" x14ac:dyDescent="0.25">
      <c r="A364" s="17"/>
      <c r="B364" s="17"/>
      <c r="C364" s="17"/>
      <c r="D364" s="17"/>
      <c r="E364" s="17"/>
      <c r="F364" s="17"/>
      <c r="G364" s="17"/>
      <c r="H364" s="17"/>
      <c r="I364" s="17"/>
      <c r="J364" s="17"/>
      <c r="K364" s="17"/>
      <c r="L364" s="17"/>
      <c r="M364" s="17"/>
      <c r="N364" s="17"/>
      <c r="O364" s="17"/>
      <c r="P364" s="17"/>
      <c r="Q364" s="17"/>
      <c r="R364" s="17"/>
      <c r="S364" s="17"/>
      <c r="T364" s="17"/>
      <c r="U364" s="17"/>
      <c r="V364" s="17"/>
      <c r="W364" s="17"/>
      <c r="X364" s="17"/>
      <c r="Y364" s="17"/>
      <c r="Z364" s="17"/>
      <c r="AA364" s="17"/>
      <c r="AB364" s="17"/>
      <c r="AC364" s="17"/>
      <c r="AD364" s="17"/>
      <c r="AE364" s="17"/>
      <c r="AF364" s="17"/>
      <c r="AG364" s="17"/>
      <c r="AH364" s="17"/>
      <c r="AI364" s="17"/>
      <c r="AJ364" s="17"/>
      <c r="AK364" s="17"/>
      <c r="AL364" s="17"/>
      <c r="AM364" s="17"/>
      <c r="AN364" s="17"/>
      <c r="AO364" s="17"/>
      <c r="AP364" s="17"/>
      <c r="AQ364" s="17"/>
      <c r="AR364" s="17"/>
      <c r="AS364" s="17"/>
      <c r="AT364" s="17"/>
      <c r="AU364" s="17"/>
      <c r="AV364" s="17"/>
      <c r="AW364" s="17"/>
      <c r="AX364" s="17"/>
      <c r="AY364" s="17"/>
      <c r="AZ364" s="17"/>
      <c r="BA364" s="17"/>
      <c r="BB364" s="17"/>
      <c r="BC364" s="17"/>
      <c r="BD364" s="17"/>
      <c r="BE364" s="17"/>
      <c r="BF364" s="17"/>
      <c r="BG364" s="17"/>
      <c r="BH364" s="17"/>
      <c r="BI364" s="17"/>
      <c r="BJ364" s="17"/>
      <c r="BK364" s="17"/>
      <c r="BL364" s="17"/>
      <c r="BM364" s="17"/>
      <c r="BN364" s="17"/>
      <c r="BO364" s="17"/>
      <c r="BP364" s="17"/>
      <c r="BQ364" s="17"/>
      <c r="BR364" s="17"/>
      <c r="BS364" s="17"/>
      <c r="BT364" s="17"/>
      <c r="BU364" s="17"/>
      <c r="BV364" s="17"/>
      <c r="BW364" s="17"/>
      <c r="BX364" s="17"/>
      <c r="BY364" s="17"/>
      <c r="BZ364" s="17"/>
      <c r="CA364" s="17"/>
      <c r="CB364" s="17"/>
      <c r="CC364" s="17"/>
      <c r="CD364" s="17"/>
      <c r="CE364" s="17"/>
      <c r="CF364" s="17"/>
      <c r="CG364" s="17"/>
      <c r="CH364" s="17"/>
      <c r="CI364" s="17"/>
      <c r="CJ364" s="17"/>
      <c r="CK364" s="17"/>
      <c r="CL364" s="17"/>
      <c r="CM364" s="17"/>
      <c r="CN364" s="17"/>
      <c r="CO364" s="17"/>
      <c r="CP364" s="17"/>
      <c r="CQ364" s="17"/>
      <c r="CR364" s="17"/>
      <c r="CS364" s="17"/>
      <c r="CT364" s="17"/>
      <c r="CU364" s="17"/>
      <c r="CV364" s="17"/>
      <c r="CW364" s="17"/>
      <c r="CX364" s="17"/>
      <c r="CY364" s="17"/>
      <c r="CZ364" s="17"/>
      <c r="DA364" s="17"/>
      <c r="DB364" s="17"/>
      <c r="DC364" s="17"/>
      <c r="DD364" s="17"/>
      <c r="DE364" s="17"/>
      <c r="DF364" s="17"/>
      <c r="DG364" s="17"/>
      <c r="DH364" s="17"/>
      <c r="DI364" s="17"/>
      <c r="DJ364" s="17"/>
      <c r="DK364" s="17"/>
      <c r="DL364" s="17"/>
      <c r="DM364" s="17"/>
      <c r="DN364" s="17"/>
      <c r="DO364" s="17"/>
      <c r="DP364" s="17"/>
      <c r="DQ364" s="17"/>
      <c r="DR364" s="17"/>
      <c r="DS364" s="17"/>
      <c r="DT364" s="17"/>
      <c r="DU364" s="17"/>
      <c r="DV364" s="17"/>
      <c r="DW364" s="17"/>
      <c r="DX364" s="17"/>
      <c r="DY364" s="17"/>
      <c r="DZ364" s="17"/>
      <c r="EA364" s="17"/>
      <c r="EB364" s="17"/>
      <c r="EC364" s="17"/>
      <c r="ED364" s="17"/>
      <c r="EE364" s="17"/>
      <c r="EF364" s="17"/>
      <c r="EG364" s="17"/>
      <c r="EH364" s="17"/>
      <c r="EI364" s="17"/>
      <c r="EJ364" s="17"/>
      <c r="EK364" s="17"/>
      <c r="EL364" s="17"/>
      <c r="EM364" s="17"/>
      <c r="EN364" s="17"/>
      <c r="EO364" s="17"/>
      <c r="EP364" s="17"/>
      <c r="EQ364" s="17"/>
      <c r="ER364" s="17"/>
      <c r="ES364" s="17"/>
      <c r="ET364" s="17"/>
      <c r="EU364" s="17"/>
      <c r="EV364" s="17"/>
      <c r="EW364" s="17"/>
      <c r="EX364" s="17"/>
      <c r="EY364" s="17"/>
      <c r="EZ364" s="17"/>
      <c r="FA364" s="17"/>
      <c r="FB364" s="17"/>
      <c r="FC364" s="17"/>
      <c r="FD364" s="17"/>
      <c r="FE364" s="17"/>
      <c r="FF364" s="17"/>
      <c r="FG364" s="17"/>
      <c r="FH364" s="17"/>
      <c r="FI364" s="17"/>
      <c r="FJ364" s="17"/>
      <c r="FK364" s="17"/>
      <c r="FL364" s="17"/>
      <c r="FM364" s="17"/>
      <c r="FN364" s="17"/>
      <c r="FO364" s="17"/>
      <c r="FP364" s="17"/>
      <c r="FQ364" s="17"/>
      <c r="FR364" s="17"/>
      <c r="FS364" s="17"/>
      <c r="FT364" s="17"/>
      <c r="FU364" s="17"/>
      <c r="FV364" s="17"/>
      <c r="FW364" s="17"/>
      <c r="FX364" s="17"/>
      <c r="FY364" s="17"/>
      <c r="FZ364" s="17"/>
      <c r="GA364" s="17"/>
      <c r="GB364" s="17"/>
      <c r="GC364" s="17"/>
      <c r="GD364" s="17"/>
      <c r="GE364" s="17"/>
      <c r="GF364" s="17"/>
      <c r="GG364" s="17"/>
      <c r="GH364" s="17"/>
      <c r="GI364" s="17"/>
      <c r="GJ364" s="17"/>
      <c r="GK364" s="17"/>
      <c r="GL364" s="17"/>
      <c r="GM364" s="17"/>
      <c r="GN364" s="17"/>
      <c r="GO364" s="17"/>
      <c r="GP364" s="17"/>
      <c r="GQ364" s="17"/>
      <c r="GR364" s="17"/>
      <c r="GS364" s="17"/>
      <c r="GT364" s="17"/>
      <c r="GU364" s="17"/>
      <c r="GV364" s="17"/>
      <c r="GW364" s="17"/>
      <c r="GX364" s="17"/>
      <c r="GY364" s="17"/>
      <c r="GZ364" s="17"/>
      <c r="HA364" s="17"/>
      <c r="HB364" s="17"/>
      <c r="HC364" s="17"/>
      <c r="HD364" s="17"/>
      <c r="HE364" s="17"/>
      <c r="HF364" s="17"/>
      <c r="HG364" s="17"/>
      <c r="HH364" s="17"/>
      <c r="HI364" s="17"/>
      <c r="HJ364" s="17"/>
      <c r="HK364" s="17"/>
      <c r="HL364" s="17"/>
      <c r="HM364" s="17"/>
      <c r="HN364" s="17"/>
      <c r="HO364" s="17"/>
      <c r="HP364" s="17"/>
      <c r="HQ364" s="17"/>
      <c r="HR364" s="17"/>
      <c r="HS364" s="17"/>
      <c r="HT364" s="17"/>
      <c r="HU364" s="17"/>
      <c r="HV364" s="17"/>
      <c r="HW364" s="17"/>
      <c r="HX364" s="17"/>
      <c r="HY364" s="17"/>
      <c r="HZ364" s="17"/>
      <c r="IA364" s="17"/>
      <c r="IB364" s="17"/>
      <c r="IC364" s="17"/>
      <c r="ID364" s="17"/>
      <c r="IE364" s="17"/>
      <c r="IF364" s="17"/>
      <c r="IG364" s="17"/>
      <c r="IH364" s="17"/>
      <c r="II364" s="17"/>
      <c r="IJ364" s="17"/>
      <c r="IK364" s="17"/>
      <c r="IL364" s="17"/>
      <c r="IM364" s="17"/>
      <c r="IN364" s="17"/>
      <c r="IO364" s="17"/>
      <c r="IP364" s="17"/>
      <c r="IQ364" s="17"/>
      <c r="IR364" s="17"/>
      <c r="IS364" s="17"/>
      <c r="IT364" s="17"/>
      <c r="IU364" s="17"/>
      <c r="IV364" s="17"/>
      <c r="IW364" s="17"/>
      <c r="IX364" s="17"/>
      <c r="IY364" s="17"/>
      <c r="IZ364" s="17"/>
      <c r="JA364" s="17"/>
      <c r="JB364" s="17"/>
      <c r="JC364" s="17"/>
      <c r="JD364" s="17"/>
      <c r="JE364" s="17"/>
      <c r="JF364" s="17"/>
      <c r="JG364" s="17"/>
      <c r="JH364" s="17"/>
      <c r="JI364" s="17"/>
      <c r="JJ364" s="17"/>
      <c r="JK364" s="17"/>
      <c r="JL364" s="17"/>
      <c r="JM364" s="17"/>
      <c r="JN364" s="17"/>
      <c r="JO364" s="17"/>
      <c r="JP364" s="17"/>
      <c r="JQ364" s="17"/>
      <c r="JR364" s="17"/>
      <c r="JS364" s="17"/>
      <c r="JT364" s="17"/>
      <c r="JU364" s="17"/>
      <c r="JV364" s="17"/>
      <c r="JW364" s="17"/>
      <c r="JX364" s="17"/>
      <c r="JY364" s="17"/>
      <c r="JZ364" s="17"/>
      <c r="KA364" s="17"/>
      <c r="KB364" s="17"/>
      <c r="KC364" s="17"/>
      <c r="KD364" s="17"/>
      <c r="KE364" s="17"/>
      <c r="KF364" s="17"/>
      <c r="KG364" s="17"/>
      <c r="KH364" s="17"/>
      <c r="KI364" s="17"/>
      <c r="KJ364" s="17"/>
      <c r="KK364" s="17"/>
      <c r="KL364" s="17"/>
      <c r="KM364" s="17"/>
      <c r="KN364" s="17"/>
      <c r="KO364" s="17"/>
      <c r="KP364" s="17"/>
      <c r="KQ364" s="17"/>
      <c r="KR364" s="17"/>
      <c r="KS364" s="17"/>
      <c r="KT364" s="17"/>
      <c r="KU364" s="17"/>
      <c r="KV364" s="17"/>
      <c r="KW364" s="17"/>
      <c r="KX364" s="17"/>
      <c r="KY364" s="17"/>
    </row>
    <row r="365" spans="1:311" x14ac:dyDescent="0.25">
      <c r="A365" s="17"/>
      <c r="B365" s="17"/>
      <c r="C365" s="17"/>
      <c r="D365" s="17"/>
      <c r="E365" s="17"/>
      <c r="F365" s="17"/>
      <c r="G365" s="17"/>
      <c r="H365" s="17"/>
      <c r="I365" s="17"/>
      <c r="J365" s="17"/>
      <c r="K365" s="17"/>
      <c r="L365" s="17"/>
      <c r="M365" s="17"/>
      <c r="N365" s="17"/>
      <c r="O365" s="17"/>
      <c r="P365" s="17"/>
      <c r="Q365" s="17"/>
      <c r="R365" s="17"/>
      <c r="S365" s="17"/>
      <c r="T365" s="17"/>
      <c r="U365" s="17"/>
      <c r="V365" s="17"/>
      <c r="W365" s="17"/>
      <c r="X365" s="17"/>
      <c r="Y365" s="17"/>
      <c r="Z365" s="17"/>
      <c r="AA365" s="17"/>
      <c r="AB365" s="17"/>
      <c r="AC365" s="17"/>
      <c r="AD365" s="17"/>
      <c r="AE365" s="17"/>
      <c r="AF365" s="17"/>
      <c r="AG365" s="17"/>
      <c r="AH365" s="17"/>
      <c r="AI365" s="17"/>
      <c r="AJ365" s="17"/>
      <c r="AK365" s="17"/>
      <c r="AL365" s="17"/>
      <c r="AM365" s="17"/>
      <c r="AN365" s="17"/>
      <c r="AO365" s="17"/>
      <c r="AP365" s="17"/>
      <c r="AQ365" s="17"/>
      <c r="AR365" s="17"/>
      <c r="AS365" s="17"/>
      <c r="AT365" s="17"/>
      <c r="AU365" s="17"/>
      <c r="AV365" s="17"/>
      <c r="AW365" s="17"/>
      <c r="AX365" s="17"/>
      <c r="AY365" s="17"/>
      <c r="AZ365" s="17"/>
      <c r="BA365" s="17"/>
      <c r="BB365" s="17"/>
      <c r="BC365" s="17"/>
      <c r="BD365" s="17"/>
      <c r="BE365" s="17"/>
      <c r="BF365" s="17"/>
      <c r="BG365" s="17"/>
      <c r="BH365" s="17"/>
      <c r="BI365" s="17"/>
      <c r="BJ365" s="17"/>
      <c r="BK365" s="17"/>
      <c r="BL365" s="17"/>
      <c r="BM365" s="17"/>
      <c r="BN365" s="17"/>
      <c r="BO365" s="17"/>
      <c r="BP365" s="17"/>
      <c r="BQ365" s="17"/>
      <c r="BR365" s="17"/>
      <c r="BS365" s="17"/>
      <c r="BT365" s="17"/>
      <c r="BU365" s="17"/>
      <c r="BV365" s="17"/>
      <c r="BW365" s="17"/>
      <c r="BX365" s="17"/>
      <c r="BY365" s="17"/>
      <c r="BZ365" s="17"/>
      <c r="CA365" s="17"/>
      <c r="CB365" s="17"/>
      <c r="CC365" s="17"/>
      <c r="CD365" s="17"/>
      <c r="CE365" s="17"/>
      <c r="CF365" s="17"/>
      <c r="CG365" s="17"/>
      <c r="CH365" s="17"/>
      <c r="CI365" s="17"/>
      <c r="CJ365" s="17"/>
      <c r="CK365" s="17"/>
      <c r="CL365" s="17"/>
      <c r="CM365" s="17"/>
      <c r="CN365" s="17"/>
      <c r="CO365" s="17"/>
      <c r="CP365" s="17"/>
      <c r="CQ365" s="17"/>
      <c r="CR365" s="17"/>
      <c r="CS365" s="17"/>
      <c r="CT365" s="17"/>
      <c r="CU365" s="17"/>
      <c r="CV365" s="17"/>
      <c r="CW365" s="17"/>
      <c r="CX365" s="17"/>
      <c r="CY365" s="17"/>
      <c r="CZ365" s="17"/>
      <c r="DA365" s="17"/>
      <c r="DB365" s="17"/>
      <c r="DC365" s="17"/>
      <c r="DD365" s="17"/>
      <c r="DE365" s="17"/>
      <c r="DF365" s="17"/>
      <c r="DG365" s="17"/>
      <c r="DH365" s="17"/>
      <c r="DI365" s="17"/>
      <c r="DJ365" s="17"/>
      <c r="DK365" s="17"/>
      <c r="DL365" s="17"/>
      <c r="DM365" s="17"/>
      <c r="DN365" s="17"/>
      <c r="DO365" s="17"/>
      <c r="DP365" s="17"/>
      <c r="DQ365" s="17"/>
      <c r="DR365" s="17"/>
      <c r="DS365" s="17"/>
      <c r="DT365" s="17"/>
      <c r="DU365" s="17"/>
      <c r="DV365" s="17"/>
      <c r="DW365" s="17"/>
      <c r="DX365" s="17"/>
      <c r="DY365" s="17"/>
      <c r="DZ365" s="17"/>
      <c r="EA365" s="17"/>
      <c r="EB365" s="17"/>
      <c r="EC365" s="17"/>
      <c r="ED365" s="17"/>
      <c r="EE365" s="17"/>
      <c r="EF365" s="17"/>
      <c r="EG365" s="17"/>
      <c r="EH365" s="17"/>
      <c r="EI365" s="17"/>
      <c r="EJ365" s="17"/>
      <c r="EK365" s="17"/>
      <c r="EL365" s="17"/>
      <c r="EM365" s="17"/>
      <c r="EN365" s="17"/>
      <c r="EO365" s="17"/>
      <c r="EP365" s="17"/>
      <c r="EQ365" s="17"/>
      <c r="ER365" s="17"/>
      <c r="ES365" s="17"/>
      <c r="ET365" s="17"/>
      <c r="EU365" s="17"/>
      <c r="EV365" s="17"/>
      <c r="EW365" s="17"/>
      <c r="EX365" s="17"/>
      <c r="EY365" s="17"/>
      <c r="EZ365" s="17"/>
      <c r="FA365" s="17"/>
      <c r="FB365" s="17"/>
      <c r="FC365" s="17"/>
      <c r="FD365" s="17"/>
      <c r="FE365" s="17"/>
      <c r="FF365" s="17"/>
      <c r="FG365" s="17"/>
      <c r="FH365" s="17"/>
      <c r="FI365" s="17"/>
      <c r="FJ365" s="17"/>
      <c r="FK365" s="17"/>
      <c r="FL365" s="17"/>
      <c r="FM365" s="17"/>
      <c r="FN365" s="17"/>
      <c r="FO365" s="17"/>
      <c r="FP365" s="17"/>
      <c r="FQ365" s="17"/>
      <c r="FR365" s="17"/>
      <c r="FS365" s="17"/>
      <c r="FT365" s="17"/>
      <c r="FU365" s="17"/>
      <c r="FV365" s="17"/>
      <c r="FW365" s="17"/>
      <c r="FX365" s="17"/>
      <c r="FY365" s="17"/>
      <c r="FZ365" s="17"/>
      <c r="GA365" s="17"/>
      <c r="GB365" s="17"/>
      <c r="GC365" s="17"/>
      <c r="GD365" s="17"/>
      <c r="GE365" s="17"/>
      <c r="GF365" s="17"/>
      <c r="GG365" s="17"/>
      <c r="GH365" s="17"/>
      <c r="GI365" s="17"/>
      <c r="GJ365" s="17"/>
      <c r="GK365" s="17"/>
      <c r="GL365" s="17"/>
      <c r="GM365" s="17"/>
      <c r="GN365" s="17"/>
      <c r="GO365" s="17"/>
      <c r="GP365" s="17"/>
      <c r="GQ365" s="17"/>
      <c r="GR365" s="17"/>
      <c r="GS365" s="17"/>
      <c r="GT365" s="17"/>
      <c r="GU365" s="17"/>
      <c r="GV365" s="17"/>
      <c r="GW365" s="17"/>
      <c r="GX365" s="17"/>
      <c r="GY365" s="17"/>
      <c r="GZ365" s="17"/>
      <c r="HA365" s="17"/>
      <c r="HB365" s="17"/>
      <c r="HC365" s="17"/>
      <c r="HD365" s="17"/>
      <c r="HE365" s="17"/>
      <c r="HF365" s="17"/>
      <c r="HG365" s="17"/>
      <c r="HH365" s="17"/>
      <c r="HI365" s="17"/>
      <c r="HJ365" s="17"/>
      <c r="HK365" s="17"/>
      <c r="HL365" s="17"/>
      <c r="HM365" s="17"/>
      <c r="HN365" s="17"/>
      <c r="HO365" s="17"/>
      <c r="HP365" s="17"/>
      <c r="HQ365" s="17"/>
      <c r="HR365" s="17"/>
      <c r="HS365" s="17"/>
      <c r="HT365" s="17"/>
      <c r="HU365" s="17"/>
      <c r="HV365" s="17"/>
      <c r="HW365" s="17"/>
      <c r="HX365" s="17"/>
      <c r="HY365" s="17"/>
      <c r="HZ365" s="17"/>
      <c r="IA365" s="17"/>
      <c r="IB365" s="17"/>
      <c r="IC365" s="17"/>
      <c r="ID365" s="17"/>
      <c r="IE365" s="17"/>
      <c r="IF365" s="17"/>
      <c r="IG365" s="17"/>
      <c r="IH365" s="17"/>
      <c r="II365" s="17"/>
      <c r="IJ365" s="17"/>
      <c r="IK365" s="17"/>
      <c r="IL365" s="17"/>
      <c r="IM365" s="17"/>
      <c r="IN365" s="17"/>
      <c r="IO365" s="17"/>
      <c r="IP365" s="17"/>
      <c r="IQ365" s="17"/>
      <c r="IR365" s="17"/>
      <c r="IS365" s="17"/>
      <c r="IT365" s="17"/>
      <c r="IU365" s="17"/>
      <c r="IV365" s="17"/>
      <c r="IW365" s="17"/>
      <c r="IX365" s="17"/>
      <c r="IY365" s="17"/>
      <c r="IZ365" s="17"/>
      <c r="JA365" s="17"/>
      <c r="JB365" s="17"/>
      <c r="JC365" s="17"/>
      <c r="JD365" s="17"/>
      <c r="JE365" s="17"/>
      <c r="JF365" s="17"/>
      <c r="JG365" s="17"/>
      <c r="JH365" s="17"/>
      <c r="JI365" s="17"/>
      <c r="JJ365" s="17"/>
      <c r="JK365" s="17"/>
      <c r="JL365" s="17"/>
      <c r="JM365" s="17"/>
      <c r="JN365" s="17"/>
      <c r="JO365" s="17"/>
      <c r="JP365" s="17"/>
      <c r="JQ365" s="17"/>
      <c r="JR365" s="17"/>
      <c r="JS365" s="17"/>
      <c r="JT365" s="17"/>
      <c r="JU365" s="17"/>
      <c r="JV365" s="17"/>
      <c r="JW365" s="17"/>
      <c r="JX365" s="17"/>
      <c r="JY365" s="17"/>
      <c r="JZ365" s="17"/>
      <c r="KA365" s="17"/>
      <c r="KB365" s="17"/>
      <c r="KC365" s="17"/>
      <c r="KD365" s="17"/>
      <c r="KE365" s="17"/>
      <c r="KF365" s="17"/>
      <c r="KG365" s="17"/>
      <c r="KH365" s="17"/>
      <c r="KI365" s="17"/>
      <c r="KJ365" s="17"/>
      <c r="KK365" s="17"/>
      <c r="KL365" s="17"/>
      <c r="KM365" s="17"/>
      <c r="KN365" s="17"/>
      <c r="KO365" s="17"/>
      <c r="KP365" s="17"/>
      <c r="KQ365" s="17"/>
      <c r="KR365" s="17"/>
      <c r="KS365" s="17"/>
      <c r="KT365" s="17"/>
      <c r="KU365" s="17"/>
      <c r="KV365" s="17"/>
      <c r="KW365" s="17"/>
      <c r="KX365" s="17"/>
      <c r="KY365" s="17"/>
    </row>
    <row r="366" spans="1:311" x14ac:dyDescent="0.25">
      <c r="A366" s="17"/>
      <c r="B366" s="17"/>
      <c r="C366" s="17"/>
      <c r="D366" s="17"/>
      <c r="E366" s="17"/>
      <c r="F366" s="17"/>
      <c r="G366" s="17"/>
      <c r="H366" s="17"/>
      <c r="I366" s="17"/>
      <c r="J366" s="17"/>
      <c r="K366" s="17"/>
      <c r="L366" s="17"/>
      <c r="M366" s="17"/>
      <c r="N366" s="17"/>
      <c r="O366" s="17"/>
      <c r="P366" s="17"/>
      <c r="Q366" s="17"/>
      <c r="R366" s="17"/>
      <c r="S366" s="17"/>
      <c r="T366" s="17"/>
      <c r="U366" s="17"/>
      <c r="V366" s="17"/>
      <c r="W366" s="17"/>
      <c r="X366" s="17"/>
      <c r="Y366" s="17"/>
      <c r="Z366" s="17"/>
      <c r="AA366" s="17"/>
      <c r="AB366" s="17"/>
      <c r="AC366" s="17"/>
      <c r="AD366" s="17"/>
      <c r="AE366" s="17"/>
      <c r="AF366" s="17"/>
      <c r="AG366" s="17"/>
      <c r="AH366" s="17"/>
      <c r="AI366" s="17"/>
      <c r="AJ366" s="17"/>
      <c r="AK366" s="17"/>
      <c r="AL366" s="17"/>
      <c r="AM366" s="17"/>
      <c r="AN366" s="17"/>
      <c r="AO366" s="17"/>
      <c r="AP366" s="17"/>
      <c r="AQ366" s="17"/>
      <c r="AR366" s="17"/>
      <c r="AS366" s="17"/>
      <c r="AT366" s="17"/>
      <c r="AU366" s="17"/>
      <c r="AV366" s="17"/>
      <c r="AW366" s="17"/>
      <c r="AX366" s="17"/>
      <c r="AY366" s="17"/>
      <c r="AZ366" s="17"/>
      <c r="BA366" s="17"/>
      <c r="BB366" s="17"/>
      <c r="BC366" s="17"/>
      <c r="BD366" s="17"/>
      <c r="BE366" s="17"/>
      <c r="BF366" s="17"/>
      <c r="BG366" s="17"/>
      <c r="BH366" s="17"/>
      <c r="BI366" s="17"/>
      <c r="BJ366" s="17"/>
      <c r="BK366" s="17"/>
      <c r="BL366" s="17"/>
      <c r="BM366" s="17"/>
      <c r="BN366" s="17"/>
      <c r="BO366" s="17"/>
      <c r="BP366" s="17"/>
      <c r="BQ366" s="17"/>
      <c r="BR366" s="17"/>
      <c r="BS366" s="17"/>
      <c r="BT366" s="17"/>
      <c r="BU366" s="17"/>
      <c r="BV366" s="17"/>
      <c r="BW366" s="17"/>
      <c r="BX366" s="17"/>
      <c r="BY366" s="17"/>
      <c r="BZ366" s="17"/>
      <c r="CA366" s="17"/>
      <c r="CB366" s="17"/>
      <c r="CC366" s="17"/>
      <c r="CD366" s="17"/>
      <c r="CE366" s="17"/>
      <c r="CF366" s="17"/>
      <c r="CG366" s="17"/>
      <c r="CH366" s="17"/>
      <c r="CI366" s="17"/>
      <c r="CJ366" s="17"/>
      <c r="CK366" s="17"/>
      <c r="CL366" s="17"/>
      <c r="CM366" s="17"/>
      <c r="CN366" s="17"/>
      <c r="CO366" s="17"/>
      <c r="CP366" s="17"/>
      <c r="CQ366" s="17"/>
      <c r="CR366" s="17"/>
      <c r="CS366" s="17"/>
      <c r="CT366" s="17"/>
      <c r="CU366" s="17"/>
      <c r="CV366" s="17"/>
      <c r="CW366" s="17"/>
      <c r="CX366" s="17"/>
      <c r="CY366" s="17"/>
      <c r="CZ366" s="17"/>
      <c r="DA366" s="17"/>
      <c r="DB366" s="17"/>
      <c r="DC366" s="17"/>
      <c r="DD366" s="17"/>
      <c r="DE366" s="17"/>
      <c r="DF366" s="17"/>
      <c r="DG366" s="17"/>
      <c r="DH366" s="17"/>
      <c r="DI366" s="17"/>
      <c r="DJ366" s="17"/>
      <c r="DK366" s="17"/>
      <c r="DL366" s="17"/>
      <c r="DM366" s="17"/>
      <c r="DN366" s="17"/>
      <c r="DO366" s="17"/>
      <c r="DP366" s="17"/>
      <c r="DQ366" s="17"/>
      <c r="DR366" s="17"/>
      <c r="DS366" s="17"/>
      <c r="DT366" s="17"/>
      <c r="DU366" s="17"/>
      <c r="DV366" s="17"/>
      <c r="DW366" s="17"/>
      <c r="DX366" s="17"/>
      <c r="DY366" s="17"/>
      <c r="DZ366" s="17"/>
      <c r="EA366" s="17"/>
      <c r="EB366" s="17"/>
      <c r="EC366" s="17"/>
      <c r="ED366" s="17"/>
      <c r="EE366" s="17"/>
      <c r="EF366" s="17"/>
      <c r="EG366" s="17"/>
      <c r="EH366" s="17"/>
      <c r="EI366" s="17"/>
      <c r="EJ366" s="17"/>
      <c r="EK366" s="17"/>
      <c r="EL366" s="17"/>
      <c r="EM366" s="17"/>
      <c r="EN366" s="17"/>
      <c r="EO366" s="17"/>
      <c r="EP366" s="17"/>
      <c r="EQ366" s="17"/>
      <c r="ER366" s="17"/>
      <c r="ES366" s="17"/>
      <c r="ET366" s="17"/>
      <c r="EU366" s="17"/>
      <c r="EV366" s="17"/>
      <c r="EW366" s="17"/>
      <c r="EX366" s="17"/>
      <c r="EY366" s="17"/>
      <c r="EZ366" s="17"/>
      <c r="FA366" s="17"/>
      <c r="FB366" s="17"/>
      <c r="FC366" s="17"/>
      <c r="FD366" s="17"/>
      <c r="FE366" s="17"/>
      <c r="FF366" s="17"/>
      <c r="FG366" s="17"/>
      <c r="FH366" s="17"/>
      <c r="FI366" s="17"/>
      <c r="FJ366" s="17"/>
      <c r="FK366" s="17"/>
      <c r="FL366" s="17"/>
      <c r="FM366" s="17"/>
      <c r="FN366" s="17"/>
      <c r="FO366" s="17"/>
      <c r="FP366" s="17"/>
      <c r="FQ366" s="17"/>
      <c r="FR366" s="17"/>
      <c r="FS366" s="17"/>
      <c r="FT366" s="17"/>
      <c r="FU366" s="17"/>
      <c r="FV366" s="17"/>
      <c r="FW366" s="17"/>
      <c r="FX366" s="17"/>
      <c r="FY366" s="17"/>
      <c r="FZ366" s="17"/>
      <c r="GA366" s="17"/>
      <c r="GB366" s="17"/>
      <c r="GC366" s="17"/>
      <c r="GD366" s="17"/>
      <c r="GE366" s="17"/>
      <c r="GF366" s="17"/>
      <c r="GG366" s="17"/>
      <c r="GH366" s="17"/>
      <c r="GI366" s="17"/>
      <c r="GJ366" s="17"/>
      <c r="GK366" s="17"/>
      <c r="GL366" s="17"/>
      <c r="GM366" s="17"/>
      <c r="GN366" s="17"/>
      <c r="GO366" s="17"/>
      <c r="GP366" s="17"/>
      <c r="GQ366" s="17"/>
      <c r="GR366" s="17"/>
      <c r="GS366" s="17"/>
      <c r="GT366" s="17"/>
      <c r="GU366" s="17"/>
      <c r="GV366" s="17"/>
      <c r="GW366" s="17"/>
      <c r="GX366" s="17"/>
      <c r="GY366" s="17"/>
      <c r="GZ366" s="17"/>
      <c r="HA366" s="17"/>
      <c r="HB366" s="17"/>
      <c r="HC366" s="17"/>
      <c r="HD366" s="17"/>
      <c r="HE366" s="17"/>
      <c r="HF366" s="17"/>
      <c r="HG366" s="17"/>
      <c r="HH366" s="17"/>
      <c r="HI366" s="17"/>
      <c r="HJ366" s="17"/>
      <c r="HK366" s="17"/>
      <c r="HL366" s="17"/>
      <c r="HM366" s="17"/>
      <c r="HN366" s="17"/>
      <c r="HO366" s="17"/>
      <c r="HP366" s="17"/>
      <c r="HQ366" s="17"/>
      <c r="HR366" s="17"/>
      <c r="HS366" s="17"/>
      <c r="HT366" s="17"/>
      <c r="HU366" s="17"/>
      <c r="HV366" s="17"/>
      <c r="HW366" s="17"/>
      <c r="HX366" s="17"/>
      <c r="HY366" s="17"/>
      <c r="HZ366" s="17"/>
      <c r="IA366" s="17"/>
      <c r="IB366" s="17"/>
      <c r="IC366" s="17"/>
      <c r="ID366" s="17"/>
      <c r="IE366" s="17"/>
      <c r="IF366" s="17"/>
      <c r="IG366" s="17"/>
      <c r="IH366" s="17"/>
      <c r="II366" s="17"/>
      <c r="IJ366" s="17"/>
      <c r="IK366" s="17"/>
      <c r="IL366" s="17"/>
      <c r="IM366" s="17"/>
      <c r="IN366" s="17"/>
      <c r="IO366" s="17"/>
      <c r="IP366" s="17"/>
      <c r="IQ366" s="17"/>
      <c r="IR366" s="17"/>
      <c r="IS366" s="17"/>
      <c r="IT366" s="17"/>
      <c r="IU366" s="17"/>
      <c r="IV366" s="17"/>
      <c r="IW366" s="17"/>
      <c r="IX366" s="17"/>
      <c r="IY366" s="17"/>
      <c r="IZ366" s="17"/>
      <c r="JA366" s="17"/>
      <c r="JB366" s="17"/>
      <c r="JC366" s="17"/>
      <c r="JD366" s="17"/>
      <c r="JE366" s="17"/>
      <c r="JF366" s="17"/>
      <c r="JG366" s="17"/>
      <c r="JH366" s="17"/>
      <c r="JI366" s="17"/>
      <c r="JJ366" s="17"/>
      <c r="JK366" s="17"/>
      <c r="JL366" s="17"/>
      <c r="JM366" s="17"/>
      <c r="JN366" s="17"/>
      <c r="JO366" s="17"/>
      <c r="JP366" s="17"/>
      <c r="JQ366" s="17"/>
      <c r="JR366" s="17"/>
      <c r="JS366" s="17"/>
      <c r="JT366" s="17"/>
      <c r="JU366" s="17"/>
      <c r="JV366" s="17"/>
      <c r="JW366" s="17"/>
      <c r="JX366" s="17"/>
      <c r="JY366" s="17"/>
      <c r="JZ366" s="17"/>
      <c r="KA366" s="17"/>
      <c r="KB366" s="17"/>
      <c r="KC366" s="17"/>
      <c r="KD366" s="17"/>
      <c r="KE366" s="17"/>
      <c r="KF366" s="17"/>
      <c r="KG366" s="17"/>
      <c r="KH366" s="17"/>
      <c r="KI366" s="17"/>
      <c r="KJ366" s="17"/>
      <c r="KK366" s="17"/>
      <c r="KL366" s="17"/>
      <c r="KM366" s="17"/>
      <c r="KN366" s="17"/>
      <c r="KO366" s="17"/>
      <c r="KP366" s="17"/>
      <c r="KQ366" s="17"/>
      <c r="KR366" s="17"/>
      <c r="KS366" s="17"/>
      <c r="KT366" s="17"/>
      <c r="KU366" s="17"/>
      <c r="KV366" s="17"/>
      <c r="KW366" s="17"/>
      <c r="KX366" s="17"/>
      <c r="KY366" s="17"/>
    </row>
    <row r="367" spans="1:311" x14ac:dyDescent="0.25">
      <c r="A367" s="17"/>
      <c r="B367" s="17"/>
      <c r="C367" s="17"/>
      <c r="D367" s="17"/>
      <c r="E367" s="17"/>
      <c r="F367" s="17"/>
      <c r="G367" s="17"/>
      <c r="H367" s="17"/>
      <c r="I367" s="17"/>
      <c r="J367" s="17"/>
      <c r="K367" s="17"/>
      <c r="L367" s="17"/>
      <c r="M367" s="17"/>
      <c r="N367" s="17"/>
      <c r="O367" s="17"/>
      <c r="P367" s="17"/>
      <c r="Q367" s="17"/>
      <c r="R367" s="17"/>
      <c r="S367" s="17"/>
      <c r="T367" s="17"/>
      <c r="U367" s="17"/>
      <c r="V367" s="17"/>
      <c r="W367" s="17"/>
      <c r="X367" s="17"/>
      <c r="Y367" s="17"/>
      <c r="Z367" s="17"/>
      <c r="AA367" s="17"/>
      <c r="AB367" s="17"/>
      <c r="AC367" s="17"/>
      <c r="AD367" s="17"/>
      <c r="AE367" s="17"/>
      <c r="AF367" s="17"/>
      <c r="AG367" s="17"/>
      <c r="AH367" s="17"/>
      <c r="AI367" s="17"/>
      <c r="AJ367" s="17"/>
      <c r="AK367" s="17"/>
      <c r="AL367" s="17"/>
      <c r="AM367" s="17"/>
      <c r="AN367" s="17"/>
      <c r="AO367" s="17"/>
      <c r="AP367" s="17"/>
      <c r="AQ367" s="17"/>
      <c r="AR367" s="17"/>
      <c r="AS367" s="17"/>
      <c r="AT367" s="17"/>
      <c r="AU367" s="17"/>
      <c r="AV367" s="17"/>
      <c r="AW367" s="17"/>
      <c r="AX367" s="17"/>
      <c r="AY367" s="17"/>
      <c r="AZ367" s="17"/>
      <c r="BA367" s="17"/>
      <c r="BB367" s="17"/>
      <c r="BC367" s="17"/>
      <c r="BD367" s="17"/>
      <c r="BE367" s="17"/>
      <c r="BF367" s="17"/>
      <c r="BG367" s="17"/>
      <c r="BH367" s="17"/>
      <c r="BI367" s="17"/>
      <c r="BJ367" s="17"/>
      <c r="BK367" s="17"/>
      <c r="BL367" s="17"/>
      <c r="BM367" s="17"/>
      <c r="BN367" s="17"/>
      <c r="BO367" s="17"/>
      <c r="BP367" s="17"/>
      <c r="BQ367" s="17"/>
      <c r="BR367" s="17"/>
      <c r="BS367" s="17"/>
      <c r="BT367" s="17"/>
      <c r="BU367" s="17"/>
      <c r="BV367" s="17"/>
      <c r="BW367" s="17"/>
      <c r="BX367" s="17"/>
      <c r="BY367" s="17"/>
      <c r="BZ367" s="17"/>
      <c r="CA367" s="17"/>
      <c r="CB367" s="17"/>
      <c r="CC367" s="17"/>
      <c r="CD367" s="17"/>
      <c r="CE367" s="17"/>
      <c r="CF367" s="17"/>
      <c r="CG367" s="17"/>
      <c r="CH367" s="17"/>
      <c r="CI367" s="17"/>
      <c r="CJ367" s="17"/>
      <c r="CK367" s="17"/>
      <c r="CL367" s="17"/>
      <c r="CM367" s="17"/>
      <c r="CN367" s="17"/>
      <c r="CO367" s="17"/>
      <c r="CP367" s="17"/>
      <c r="CQ367" s="17"/>
      <c r="CR367" s="17"/>
      <c r="CS367" s="17"/>
      <c r="CT367" s="17"/>
      <c r="CU367" s="17"/>
      <c r="CV367" s="17"/>
      <c r="CW367" s="17"/>
      <c r="CX367" s="17"/>
      <c r="CY367" s="17"/>
      <c r="CZ367" s="17"/>
      <c r="DA367" s="17"/>
      <c r="DB367" s="17"/>
      <c r="DC367" s="17"/>
      <c r="DD367" s="17"/>
      <c r="DE367" s="17"/>
      <c r="DF367" s="17"/>
      <c r="DG367" s="17"/>
      <c r="DH367" s="17"/>
      <c r="DI367" s="17"/>
      <c r="DJ367" s="17"/>
      <c r="DK367" s="17"/>
      <c r="DL367" s="17"/>
      <c r="DM367" s="17"/>
      <c r="DN367" s="17"/>
      <c r="DO367" s="17"/>
      <c r="DP367" s="17"/>
      <c r="DQ367" s="17"/>
      <c r="DR367" s="17"/>
      <c r="DS367" s="17"/>
      <c r="DT367" s="17"/>
      <c r="DU367" s="17"/>
      <c r="DV367" s="17"/>
      <c r="DW367" s="17"/>
      <c r="DX367" s="17"/>
      <c r="DY367" s="17"/>
      <c r="DZ367" s="17"/>
      <c r="EA367" s="17"/>
      <c r="EB367" s="17"/>
      <c r="EC367" s="17"/>
      <c r="ED367" s="17"/>
      <c r="EE367" s="17"/>
      <c r="EF367" s="17"/>
      <c r="EG367" s="17"/>
      <c r="EH367" s="17"/>
      <c r="EI367" s="17"/>
      <c r="EJ367" s="17"/>
      <c r="EK367" s="17"/>
      <c r="EL367" s="17"/>
      <c r="EM367" s="17"/>
      <c r="EN367" s="17"/>
      <c r="EO367" s="17"/>
      <c r="EP367" s="17"/>
      <c r="EQ367" s="17"/>
      <c r="ER367" s="17"/>
      <c r="ES367" s="17"/>
      <c r="ET367" s="17"/>
      <c r="EU367" s="17"/>
      <c r="EV367" s="17"/>
      <c r="EW367" s="17"/>
      <c r="EX367" s="17"/>
      <c r="EY367" s="17"/>
      <c r="EZ367" s="17"/>
      <c r="FA367" s="17"/>
      <c r="FB367" s="17"/>
      <c r="FC367" s="17"/>
      <c r="FD367" s="17"/>
      <c r="FE367" s="17"/>
      <c r="FF367" s="17"/>
      <c r="FG367" s="17"/>
      <c r="FH367" s="17"/>
      <c r="FI367" s="17"/>
      <c r="FJ367" s="17"/>
      <c r="FK367" s="17"/>
      <c r="FL367" s="17"/>
      <c r="FM367" s="17"/>
      <c r="FN367" s="17"/>
      <c r="FO367" s="17"/>
      <c r="FP367" s="17"/>
      <c r="FQ367" s="17"/>
      <c r="FR367" s="17"/>
      <c r="FS367" s="17"/>
      <c r="FT367" s="17"/>
      <c r="FU367" s="17"/>
      <c r="FV367" s="17"/>
      <c r="FW367" s="17"/>
      <c r="FX367" s="17"/>
      <c r="FY367" s="17"/>
      <c r="FZ367" s="17"/>
      <c r="GA367" s="17"/>
      <c r="GB367" s="17"/>
      <c r="GC367" s="17"/>
      <c r="GD367" s="17"/>
      <c r="GE367" s="17"/>
      <c r="GF367" s="17"/>
      <c r="GG367" s="17"/>
      <c r="GH367" s="17"/>
      <c r="GI367" s="17"/>
      <c r="GJ367" s="17"/>
      <c r="GK367" s="17"/>
      <c r="GL367" s="17"/>
      <c r="GM367" s="17"/>
      <c r="GN367" s="17"/>
      <c r="GO367" s="17"/>
      <c r="GP367" s="17"/>
      <c r="GQ367" s="17"/>
      <c r="GR367" s="17"/>
      <c r="GS367" s="17"/>
      <c r="GT367" s="17"/>
      <c r="GU367" s="17"/>
      <c r="GV367" s="17"/>
      <c r="GW367" s="17"/>
      <c r="GX367" s="17"/>
      <c r="GY367" s="17"/>
      <c r="GZ367" s="17"/>
      <c r="HA367" s="17"/>
      <c r="HB367" s="17"/>
      <c r="HC367" s="17"/>
      <c r="HD367" s="17"/>
      <c r="HE367" s="17"/>
      <c r="HF367" s="17"/>
      <c r="HG367" s="17"/>
      <c r="HH367" s="17"/>
      <c r="HI367" s="17"/>
      <c r="HJ367" s="17"/>
      <c r="HK367" s="17"/>
      <c r="HL367" s="17"/>
      <c r="HM367" s="17"/>
      <c r="HN367" s="17"/>
      <c r="HO367" s="17"/>
      <c r="HP367" s="17"/>
      <c r="HQ367" s="17"/>
      <c r="HR367" s="17"/>
      <c r="HS367" s="17"/>
      <c r="HT367" s="17"/>
      <c r="HU367" s="17"/>
      <c r="HV367" s="17"/>
      <c r="HW367" s="17"/>
      <c r="HX367" s="17"/>
      <c r="HY367" s="17"/>
      <c r="HZ367" s="17"/>
      <c r="IA367" s="17"/>
      <c r="IB367" s="17"/>
      <c r="IC367" s="17"/>
      <c r="ID367" s="17"/>
      <c r="IE367" s="17"/>
      <c r="IF367" s="17"/>
      <c r="IG367" s="17"/>
      <c r="IH367" s="17"/>
      <c r="II367" s="17"/>
      <c r="IJ367" s="17"/>
      <c r="IK367" s="17"/>
      <c r="IL367" s="17"/>
      <c r="IM367" s="17"/>
      <c r="IN367" s="17"/>
      <c r="IO367" s="17"/>
      <c r="IP367" s="17"/>
      <c r="IQ367" s="17"/>
      <c r="IR367" s="17"/>
      <c r="IS367" s="17"/>
      <c r="IT367" s="17"/>
      <c r="IU367" s="17"/>
      <c r="IV367" s="17"/>
      <c r="IW367" s="17"/>
      <c r="IX367" s="17"/>
      <c r="IY367" s="17"/>
      <c r="IZ367" s="17"/>
      <c r="JA367" s="17"/>
      <c r="JB367" s="17"/>
      <c r="JC367" s="17"/>
      <c r="JD367" s="17"/>
      <c r="JE367" s="17"/>
      <c r="JF367" s="17"/>
      <c r="JG367" s="17"/>
      <c r="JH367" s="17"/>
      <c r="JI367" s="17"/>
      <c r="JJ367" s="17"/>
      <c r="JK367" s="17"/>
      <c r="JL367" s="17"/>
      <c r="JM367" s="17"/>
      <c r="JN367" s="17"/>
      <c r="JO367" s="17"/>
      <c r="JP367" s="17"/>
      <c r="JQ367" s="17"/>
      <c r="JR367" s="17"/>
      <c r="JS367" s="17"/>
      <c r="JT367" s="17"/>
      <c r="JU367" s="17"/>
      <c r="JV367" s="17"/>
      <c r="JW367" s="17"/>
      <c r="JX367" s="17"/>
      <c r="JY367" s="17"/>
      <c r="JZ367" s="17"/>
      <c r="KA367" s="17"/>
      <c r="KB367" s="17"/>
      <c r="KC367" s="17"/>
      <c r="KD367" s="17"/>
      <c r="KE367" s="17"/>
      <c r="KF367" s="17"/>
      <c r="KG367" s="17"/>
      <c r="KH367" s="17"/>
      <c r="KI367" s="17"/>
      <c r="KJ367" s="17"/>
      <c r="KK367" s="17"/>
      <c r="KL367" s="17"/>
      <c r="KM367" s="17"/>
      <c r="KN367" s="17"/>
      <c r="KO367" s="17"/>
      <c r="KP367" s="17"/>
      <c r="KQ367" s="17"/>
      <c r="KR367" s="17"/>
      <c r="KS367" s="17"/>
      <c r="KT367" s="17"/>
      <c r="KU367" s="17"/>
      <c r="KV367" s="17"/>
      <c r="KW367" s="17"/>
      <c r="KX367" s="17"/>
      <c r="KY367" s="17"/>
    </row>
    <row r="368" spans="1:311" x14ac:dyDescent="0.25">
      <c r="A368" s="17"/>
      <c r="B368" s="17"/>
      <c r="C368" s="17"/>
      <c r="D368" s="17"/>
      <c r="E368" s="17"/>
      <c r="F368" s="17"/>
      <c r="G368" s="17"/>
      <c r="H368" s="17"/>
      <c r="I368" s="17"/>
      <c r="J368" s="17"/>
      <c r="K368" s="17"/>
      <c r="L368" s="17"/>
      <c r="M368" s="17"/>
      <c r="N368" s="17"/>
      <c r="O368" s="17"/>
      <c r="P368" s="17"/>
      <c r="Q368" s="17"/>
      <c r="R368" s="17"/>
      <c r="S368" s="17"/>
      <c r="T368" s="17"/>
      <c r="U368" s="17"/>
      <c r="V368" s="17"/>
      <c r="W368" s="17"/>
      <c r="X368" s="17"/>
      <c r="Y368" s="17"/>
      <c r="Z368" s="17"/>
      <c r="AA368" s="17"/>
      <c r="AB368" s="17"/>
      <c r="AC368" s="17"/>
      <c r="AD368" s="17"/>
      <c r="AE368" s="17"/>
      <c r="AF368" s="17"/>
      <c r="AG368" s="17"/>
      <c r="AH368" s="17"/>
      <c r="AI368" s="17"/>
      <c r="AJ368" s="17"/>
      <c r="AK368" s="17"/>
      <c r="AL368" s="17"/>
      <c r="AM368" s="17"/>
      <c r="AN368" s="17"/>
      <c r="AO368" s="17"/>
      <c r="AP368" s="17"/>
      <c r="AQ368" s="17"/>
      <c r="AR368" s="17"/>
      <c r="AS368" s="17"/>
      <c r="AT368" s="17"/>
      <c r="AU368" s="17"/>
      <c r="AV368" s="17"/>
      <c r="AW368" s="17"/>
      <c r="AX368" s="17"/>
      <c r="AY368" s="17"/>
      <c r="AZ368" s="17"/>
      <c r="BA368" s="17"/>
      <c r="BB368" s="17"/>
      <c r="BC368" s="17"/>
      <c r="BD368" s="17"/>
      <c r="BE368" s="17"/>
      <c r="BF368" s="17"/>
      <c r="BG368" s="17"/>
      <c r="BH368" s="17"/>
      <c r="BI368" s="17"/>
      <c r="BJ368" s="17"/>
      <c r="BK368" s="17"/>
      <c r="BL368" s="17"/>
      <c r="BM368" s="17"/>
      <c r="BN368" s="17"/>
      <c r="BO368" s="17"/>
      <c r="BP368" s="17"/>
      <c r="BQ368" s="17"/>
      <c r="BR368" s="17"/>
      <c r="BS368" s="17"/>
      <c r="BT368" s="17"/>
      <c r="BU368" s="17"/>
      <c r="BV368" s="17"/>
      <c r="BW368" s="17"/>
      <c r="BX368" s="17"/>
      <c r="BY368" s="17"/>
      <c r="BZ368" s="17"/>
      <c r="CA368" s="17"/>
      <c r="CB368" s="17"/>
      <c r="CC368" s="17"/>
      <c r="CD368" s="17"/>
      <c r="CE368" s="17"/>
      <c r="CF368" s="17"/>
      <c r="CG368" s="17"/>
      <c r="CH368" s="17"/>
      <c r="CI368" s="17"/>
      <c r="CJ368" s="17"/>
      <c r="CK368" s="17"/>
      <c r="CL368" s="17"/>
      <c r="CM368" s="17"/>
      <c r="CN368" s="17"/>
      <c r="CO368" s="17"/>
      <c r="CP368" s="17"/>
      <c r="CQ368" s="17"/>
      <c r="CR368" s="17"/>
      <c r="CS368" s="17"/>
      <c r="CT368" s="17"/>
      <c r="CU368" s="17"/>
      <c r="CV368" s="17"/>
      <c r="CW368" s="17"/>
      <c r="CX368" s="17"/>
      <c r="CY368" s="17"/>
      <c r="CZ368" s="17"/>
      <c r="DA368" s="17"/>
      <c r="DB368" s="17"/>
      <c r="DC368" s="17"/>
      <c r="DD368" s="17"/>
      <c r="DE368" s="17"/>
      <c r="DF368" s="17"/>
      <c r="DG368" s="17"/>
      <c r="DH368" s="17"/>
      <c r="DI368" s="17"/>
      <c r="DJ368" s="17"/>
      <c r="DK368" s="17"/>
      <c r="DL368" s="17"/>
      <c r="DM368" s="17"/>
      <c r="DN368" s="17"/>
      <c r="DO368" s="17"/>
      <c r="DP368" s="17"/>
      <c r="DQ368" s="17"/>
      <c r="DR368" s="17"/>
      <c r="DS368" s="17"/>
      <c r="DT368" s="17"/>
      <c r="DU368" s="17"/>
      <c r="DV368" s="17"/>
      <c r="DW368" s="17"/>
      <c r="DX368" s="17"/>
      <c r="DY368" s="17"/>
      <c r="DZ368" s="17"/>
      <c r="EA368" s="17"/>
      <c r="EB368" s="17"/>
      <c r="EC368" s="17"/>
      <c r="ED368" s="17"/>
      <c r="EE368" s="17"/>
      <c r="EF368" s="17"/>
      <c r="EG368" s="17"/>
      <c r="EH368" s="17"/>
      <c r="EI368" s="17"/>
      <c r="EJ368" s="17"/>
      <c r="EK368" s="17"/>
      <c r="EL368" s="17"/>
      <c r="EM368" s="17"/>
      <c r="EN368" s="17"/>
      <c r="EO368" s="17"/>
      <c r="EP368" s="17"/>
      <c r="EQ368" s="17"/>
      <c r="ER368" s="17"/>
      <c r="ES368" s="17"/>
      <c r="ET368" s="17"/>
      <c r="EU368" s="17"/>
      <c r="EV368" s="17"/>
      <c r="EW368" s="17"/>
      <c r="EX368" s="17"/>
      <c r="EY368" s="17"/>
      <c r="EZ368" s="17"/>
      <c r="FA368" s="17"/>
      <c r="FB368" s="17"/>
      <c r="FC368" s="17"/>
      <c r="FD368" s="17"/>
      <c r="FE368" s="17"/>
      <c r="FF368" s="17"/>
      <c r="FG368" s="17"/>
      <c r="FH368" s="17"/>
      <c r="FI368" s="17"/>
      <c r="FJ368" s="17"/>
      <c r="FK368" s="17"/>
      <c r="FL368" s="17"/>
      <c r="FM368" s="17"/>
      <c r="FN368" s="17"/>
      <c r="FO368" s="17"/>
      <c r="FP368" s="17"/>
      <c r="FQ368" s="17"/>
      <c r="FR368" s="17"/>
      <c r="FS368" s="17"/>
      <c r="FT368" s="17"/>
      <c r="FU368" s="17"/>
      <c r="FV368" s="17"/>
      <c r="FW368" s="17"/>
      <c r="FX368" s="17"/>
      <c r="FY368" s="17"/>
      <c r="FZ368" s="17"/>
      <c r="GA368" s="17"/>
      <c r="GB368" s="17"/>
      <c r="GC368" s="17"/>
      <c r="GD368" s="17"/>
      <c r="GE368" s="17"/>
      <c r="GF368" s="17"/>
      <c r="GG368" s="17"/>
      <c r="GH368" s="17"/>
      <c r="GI368" s="17"/>
      <c r="GJ368" s="17"/>
      <c r="GK368" s="17"/>
      <c r="GL368" s="17"/>
      <c r="GM368" s="17"/>
      <c r="GN368" s="17"/>
      <c r="GO368" s="17"/>
      <c r="GP368" s="17"/>
      <c r="GQ368" s="17"/>
      <c r="GR368" s="17"/>
      <c r="GS368" s="17"/>
      <c r="GT368" s="17"/>
      <c r="GU368" s="17"/>
      <c r="GV368" s="17"/>
      <c r="GW368" s="17"/>
      <c r="GX368" s="17"/>
      <c r="GY368" s="17"/>
      <c r="GZ368" s="17"/>
      <c r="HA368" s="17"/>
      <c r="HB368" s="17"/>
      <c r="HC368" s="17"/>
      <c r="HD368" s="17"/>
      <c r="HE368" s="17"/>
      <c r="HF368" s="17"/>
      <c r="HG368" s="17"/>
      <c r="HH368" s="17"/>
      <c r="HI368" s="17"/>
      <c r="HJ368" s="17"/>
      <c r="HK368" s="17"/>
      <c r="HL368" s="17"/>
      <c r="HM368" s="17"/>
      <c r="HN368" s="17"/>
      <c r="HO368" s="17"/>
      <c r="HP368" s="17"/>
      <c r="HQ368" s="17"/>
      <c r="HR368" s="17"/>
      <c r="HS368" s="17"/>
      <c r="HT368" s="17"/>
      <c r="HU368" s="17"/>
      <c r="HV368" s="17"/>
      <c r="HW368" s="17"/>
      <c r="HX368" s="17"/>
      <c r="HY368" s="17"/>
      <c r="HZ368" s="17"/>
      <c r="IA368" s="17"/>
      <c r="IB368" s="17"/>
      <c r="IC368" s="17"/>
      <c r="ID368" s="17"/>
      <c r="IE368" s="17"/>
      <c r="IF368" s="17"/>
      <c r="IG368" s="17"/>
      <c r="IH368" s="17"/>
      <c r="II368" s="17"/>
      <c r="IJ368" s="17"/>
      <c r="IK368" s="17"/>
      <c r="IL368" s="17"/>
      <c r="IM368" s="17"/>
      <c r="IN368" s="17"/>
      <c r="IO368" s="17"/>
      <c r="IP368" s="17"/>
      <c r="IQ368" s="17"/>
      <c r="IR368" s="17"/>
      <c r="IS368" s="17"/>
      <c r="IT368" s="17"/>
      <c r="IU368" s="17"/>
      <c r="IV368" s="17"/>
      <c r="IW368" s="17"/>
      <c r="IX368" s="17"/>
      <c r="IY368" s="17"/>
      <c r="IZ368" s="17"/>
      <c r="JA368" s="17"/>
      <c r="JB368" s="17"/>
      <c r="JC368" s="17"/>
      <c r="JD368" s="17"/>
      <c r="JE368" s="17"/>
      <c r="JF368" s="17"/>
      <c r="JG368" s="17"/>
      <c r="JH368" s="17"/>
      <c r="JI368" s="17"/>
      <c r="JJ368" s="17"/>
      <c r="JK368" s="17"/>
      <c r="JL368" s="17"/>
      <c r="JM368" s="17"/>
      <c r="JN368" s="17"/>
      <c r="JO368" s="17"/>
      <c r="JP368" s="17"/>
      <c r="JQ368" s="17"/>
      <c r="JR368" s="17"/>
      <c r="JS368" s="17"/>
      <c r="JT368" s="17"/>
      <c r="JU368" s="17"/>
      <c r="JV368" s="17"/>
      <c r="JW368" s="17"/>
      <c r="JX368" s="17"/>
      <c r="JY368" s="17"/>
      <c r="JZ368" s="17"/>
      <c r="KA368" s="17"/>
      <c r="KB368" s="17"/>
      <c r="KC368" s="17"/>
      <c r="KD368" s="17"/>
      <c r="KE368" s="17"/>
      <c r="KF368" s="17"/>
      <c r="KG368" s="17"/>
      <c r="KH368" s="17"/>
      <c r="KI368" s="17"/>
      <c r="KJ368" s="17"/>
      <c r="KK368" s="17"/>
      <c r="KL368" s="17"/>
      <c r="KM368" s="17"/>
      <c r="KN368" s="17"/>
      <c r="KO368" s="17"/>
      <c r="KP368" s="17"/>
      <c r="KQ368" s="17"/>
      <c r="KR368" s="17"/>
      <c r="KS368" s="17"/>
      <c r="KT368" s="17"/>
      <c r="KU368" s="17"/>
      <c r="KV368" s="17"/>
      <c r="KW368" s="17"/>
      <c r="KX368" s="17"/>
      <c r="KY368" s="17"/>
    </row>
    <row r="369" spans="1:311" x14ac:dyDescent="0.25">
      <c r="A369" s="17"/>
      <c r="B369" s="17"/>
      <c r="C369" s="17"/>
      <c r="D369" s="17"/>
      <c r="E369" s="17"/>
      <c r="F369" s="17"/>
      <c r="G369" s="17"/>
      <c r="H369" s="17"/>
      <c r="I369" s="17"/>
      <c r="J369" s="17"/>
      <c r="K369" s="17"/>
      <c r="L369" s="17"/>
      <c r="M369" s="17"/>
      <c r="N369" s="17"/>
      <c r="O369" s="17"/>
      <c r="P369" s="17"/>
      <c r="Q369" s="17"/>
      <c r="R369" s="17"/>
      <c r="S369" s="17"/>
      <c r="T369" s="17"/>
      <c r="U369" s="17"/>
      <c r="V369" s="17"/>
      <c r="W369" s="17"/>
      <c r="X369" s="17"/>
      <c r="Y369" s="17"/>
      <c r="Z369" s="17"/>
      <c r="AA369" s="17"/>
      <c r="AB369" s="17"/>
      <c r="AC369" s="17"/>
      <c r="AD369" s="17"/>
      <c r="AE369" s="17"/>
      <c r="AF369" s="17"/>
      <c r="AG369" s="17"/>
      <c r="AH369" s="17"/>
      <c r="AI369" s="17"/>
      <c r="AJ369" s="17"/>
      <c r="AK369" s="17"/>
      <c r="AL369" s="17"/>
      <c r="AM369" s="17"/>
      <c r="AN369" s="17"/>
      <c r="AO369" s="17"/>
      <c r="AP369" s="17"/>
      <c r="AQ369" s="17"/>
      <c r="AR369" s="17"/>
      <c r="AS369" s="17"/>
      <c r="AT369" s="17"/>
      <c r="AU369" s="17"/>
      <c r="AV369" s="17"/>
      <c r="AW369" s="17"/>
      <c r="AX369" s="17"/>
      <c r="AY369" s="17"/>
      <c r="AZ369" s="17"/>
      <c r="BA369" s="17"/>
      <c r="BB369" s="17"/>
      <c r="BC369" s="17"/>
      <c r="BD369" s="17"/>
      <c r="BE369" s="17"/>
      <c r="BF369" s="17"/>
      <c r="BG369" s="17"/>
      <c r="BH369" s="17"/>
      <c r="BI369" s="17"/>
      <c r="BJ369" s="17"/>
      <c r="BK369" s="17"/>
      <c r="BL369" s="17"/>
      <c r="BM369" s="17"/>
      <c r="BN369" s="17"/>
      <c r="BO369" s="17"/>
      <c r="BP369" s="17"/>
      <c r="BQ369" s="17"/>
      <c r="BR369" s="17"/>
      <c r="BS369" s="17"/>
      <c r="BT369" s="17"/>
      <c r="BU369" s="17"/>
      <c r="BV369" s="17"/>
      <c r="BW369" s="17"/>
      <c r="BX369" s="17"/>
      <c r="BY369" s="17"/>
      <c r="BZ369" s="17"/>
      <c r="CA369" s="17"/>
      <c r="CB369" s="17"/>
      <c r="CC369" s="17"/>
      <c r="CD369" s="17"/>
      <c r="CE369" s="17"/>
      <c r="CF369" s="17"/>
      <c r="CG369" s="17"/>
      <c r="CH369" s="17"/>
      <c r="CI369" s="17"/>
      <c r="CJ369" s="17"/>
      <c r="CK369" s="17"/>
      <c r="CL369" s="17"/>
      <c r="CM369" s="17"/>
      <c r="CN369" s="17"/>
      <c r="CO369" s="17"/>
      <c r="CP369" s="17"/>
      <c r="CQ369" s="17"/>
      <c r="CR369" s="17"/>
      <c r="CS369" s="17"/>
      <c r="CT369" s="17"/>
      <c r="CU369" s="17"/>
      <c r="CV369" s="17"/>
      <c r="CW369" s="17"/>
      <c r="CX369" s="17"/>
      <c r="CY369" s="17"/>
      <c r="CZ369" s="17"/>
      <c r="DA369" s="17"/>
      <c r="DB369" s="17"/>
      <c r="DC369" s="17"/>
      <c r="DD369" s="17"/>
      <c r="DE369" s="17"/>
      <c r="DF369" s="17"/>
      <c r="DG369" s="17"/>
      <c r="DH369" s="17"/>
      <c r="DI369" s="17"/>
      <c r="DJ369" s="17"/>
      <c r="DK369" s="17"/>
      <c r="DL369" s="17"/>
      <c r="DM369" s="17"/>
      <c r="DN369" s="17"/>
      <c r="DO369" s="17"/>
      <c r="DP369" s="17"/>
      <c r="DQ369" s="17"/>
      <c r="DR369" s="17"/>
      <c r="DS369" s="17"/>
      <c r="DT369" s="17"/>
      <c r="DU369" s="17"/>
      <c r="DV369" s="17"/>
      <c r="DW369" s="17"/>
      <c r="DX369" s="17"/>
      <c r="DY369" s="17"/>
      <c r="DZ369" s="17"/>
      <c r="EA369" s="17"/>
      <c r="EB369" s="17"/>
      <c r="EC369" s="17"/>
      <c r="ED369" s="17"/>
      <c r="EE369" s="17"/>
      <c r="EF369" s="17"/>
      <c r="EG369" s="17"/>
      <c r="EH369" s="17"/>
      <c r="EI369" s="17"/>
      <c r="EJ369" s="17"/>
      <c r="EK369" s="17"/>
      <c r="EL369" s="17"/>
      <c r="EM369" s="17"/>
      <c r="EN369" s="17"/>
      <c r="EO369" s="17"/>
      <c r="EP369" s="17"/>
      <c r="EQ369" s="17"/>
      <c r="ER369" s="17"/>
      <c r="ES369" s="17"/>
      <c r="ET369" s="17"/>
      <c r="EU369" s="17"/>
      <c r="EV369" s="17"/>
      <c r="EW369" s="17"/>
      <c r="EX369" s="17"/>
      <c r="EY369" s="17"/>
      <c r="EZ369" s="17"/>
      <c r="FA369" s="17"/>
      <c r="FB369" s="17"/>
      <c r="FC369" s="17"/>
      <c r="FD369" s="17"/>
      <c r="FE369" s="17"/>
      <c r="FF369" s="17"/>
      <c r="FG369" s="17"/>
      <c r="FH369" s="17"/>
      <c r="FI369" s="17"/>
      <c r="FJ369" s="17"/>
      <c r="FK369" s="17"/>
      <c r="FL369" s="17"/>
      <c r="FM369" s="17"/>
      <c r="FN369" s="17"/>
      <c r="FO369" s="17"/>
      <c r="FP369" s="17"/>
      <c r="FQ369" s="17"/>
      <c r="FR369" s="17"/>
      <c r="FS369" s="17"/>
      <c r="FT369" s="17"/>
      <c r="FU369" s="17"/>
      <c r="FV369" s="17"/>
      <c r="FW369" s="17"/>
      <c r="FX369" s="17"/>
      <c r="FY369" s="17"/>
      <c r="FZ369" s="17"/>
      <c r="GA369" s="17"/>
      <c r="GB369" s="17"/>
      <c r="GC369" s="17"/>
      <c r="GD369" s="17"/>
      <c r="GE369" s="17"/>
      <c r="GF369" s="17"/>
      <c r="GG369" s="17"/>
      <c r="GH369" s="17"/>
      <c r="GI369" s="17"/>
      <c r="GJ369" s="17"/>
      <c r="GK369" s="17"/>
      <c r="GL369" s="17"/>
      <c r="GM369" s="17"/>
      <c r="GN369" s="17"/>
      <c r="GO369" s="17"/>
      <c r="GP369" s="17"/>
      <c r="GQ369" s="17"/>
      <c r="GR369" s="17"/>
      <c r="GS369" s="17"/>
      <c r="GT369" s="17"/>
      <c r="GU369" s="17"/>
      <c r="GV369" s="17"/>
      <c r="GW369" s="17"/>
      <c r="GX369" s="17"/>
      <c r="GY369" s="17"/>
      <c r="GZ369" s="17"/>
      <c r="HA369" s="17"/>
      <c r="HB369" s="17"/>
      <c r="HC369" s="17"/>
      <c r="HD369" s="17"/>
      <c r="HE369" s="17"/>
      <c r="HF369" s="17"/>
      <c r="HG369" s="17"/>
      <c r="HH369" s="17"/>
      <c r="HI369" s="17"/>
      <c r="HJ369" s="17"/>
      <c r="HK369" s="17"/>
      <c r="HL369" s="17"/>
      <c r="HM369" s="17"/>
      <c r="HN369" s="17"/>
      <c r="HO369" s="17"/>
      <c r="HP369" s="17"/>
      <c r="HQ369" s="17"/>
      <c r="HR369" s="17"/>
      <c r="HS369" s="17"/>
      <c r="HT369" s="17"/>
      <c r="HU369" s="17"/>
      <c r="HV369" s="17"/>
      <c r="HW369" s="17"/>
      <c r="HX369" s="17"/>
      <c r="HY369" s="17"/>
      <c r="HZ369" s="17"/>
      <c r="IA369" s="17"/>
      <c r="IB369" s="17"/>
      <c r="IC369" s="17"/>
      <c r="ID369" s="17"/>
      <c r="IE369" s="17"/>
      <c r="IF369" s="17"/>
      <c r="IG369" s="17"/>
      <c r="IH369" s="17"/>
      <c r="II369" s="17"/>
      <c r="IJ369" s="17"/>
      <c r="IK369" s="17"/>
      <c r="IL369" s="17"/>
      <c r="IM369" s="17"/>
      <c r="IN369" s="17"/>
      <c r="IO369" s="17"/>
      <c r="IP369" s="17"/>
      <c r="IQ369" s="17"/>
      <c r="IR369" s="17"/>
      <c r="IS369" s="17"/>
      <c r="IT369" s="17"/>
      <c r="IU369" s="17"/>
      <c r="IV369" s="17"/>
      <c r="IW369" s="17"/>
      <c r="IX369" s="17"/>
      <c r="IY369" s="17"/>
      <c r="IZ369" s="17"/>
      <c r="JA369" s="17"/>
      <c r="JB369" s="17"/>
      <c r="JC369" s="17"/>
      <c r="JD369" s="17"/>
      <c r="JE369" s="17"/>
      <c r="JF369" s="17"/>
      <c r="JG369" s="17"/>
      <c r="JH369" s="17"/>
      <c r="JI369" s="17"/>
      <c r="JJ369" s="17"/>
      <c r="JK369" s="17"/>
      <c r="JL369" s="17"/>
      <c r="JM369" s="17"/>
      <c r="JN369" s="17"/>
      <c r="JO369" s="17"/>
      <c r="JP369" s="17"/>
      <c r="JQ369" s="17"/>
      <c r="JR369" s="17"/>
      <c r="JS369" s="17"/>
      <c r="JT369" s="17"/>
      <c r="JU369" s="17"/>
      <c r="JV369" s="17"/>
      <c r="JW369" s="17"/>
      <c r="JX369" s="17"/>
      <c r="JY369" s="17"/>
      <c r="JZ369" s="17"/>
      <c r="KA369" s="17"/>
      <c r="KB369" s="17"/>
      <c r="KC369" s="17"/>
      <c r="KD369" s="17"/>
      <c r="KE369" s="17"/>
      <c r="KF369" s="17"/>
      <c r="KG369" s="17"/>
      <c r="KH369" s="17"/>
      <c r="KI369" s="17"/>
      <c r="KJ369" s="17"/>
      <c r="KK369" s="17"/>
      <c r="KL369" s="17"/>
      <c r="KM369" s="17"/>
      <c r="KN369" s="17"/>
      <c r="KO369" s="17"/>
      <c r="KP369" s="17"/>
      <c r="KQ369" s="17"/>
      <c r="KR369" s="17"/>
      <c r="KS369" s="17"/>
      <c r="KT369" s="17"/>
      <c r="KU369" s="17"/>
      <c r="KV369" s="17"/>
      <c r="KW369" s="17"/>
      <c r="KX369" s="17"/>
      <c r="KY369" s="17"/>
    </row>
    <row r="370" spans="1:311" x14ac:dyDescent="0.25">
      <c r="A370" s="17"/>
      <c r="B370" s="17"/>
      <c r="C370" s="17"/>
      <c r="D370" s="17"/>
      <c r="E370" s="17"/>
      <c r="F370" s="17"/>
      <c r="G370" s="17"/>
      <c r="H370" s="17"/>
      <c r="I370" s="17"/>
      <c r="J370" s="17"/>
      <c r="K370" s="17"/>
      <c r="L370" s="17"/>
      <c r="M370" s="17"/>
      <c r="N370" s="17"/>
      <c r="O370" s="17"/>
      <c r="P370" s="17"/>
      <c r="Q370" s="17"/>
      <c r="R370" s="17"/>
      <c r="S370" s="17"/>
      <c r="T370" s="17"/>
      <c r="U370" s="17"/>
      <c r="V370" s="17"/>
      <c r="W370" s="17"/>
      <c r="X370" s="17"/>
      <c r="Y370" s="17"/>
      <c r="Z370" s="17"/>
      <c r="AA370" s="17"/>
      <c r="AB370" s="17"/>
      <c r="AC370" s="17"/>
      <c r="AD370" s="17"/>
      <c r="AE370" s="17"/>
      <c r="AF370" s="17"/>
      <c r="AG370" s="17"/>
      <c r="AH370" s="17"/>
      <c r="AI370" s="17"/>
      <c r="AJ370" s="17"/>
      <c r="AK370" s="17"/>
      <c r="AL370" s="17"/>
      <c r="AM370" s="17"/>
      <c r="AN370" s="17"/>
      <c r="AO370" s="17"/>
      <c r="AP370" s="17"/>
      <c r="AQ370" s="17"/>
      <c r="AR370" s="17"/>
      <c r="AS370" s="17"/>
      <c r="AT370" s="17"/>
      <c r="AU370" s="17"/>
      <c r="AV370" s="17"/>
      <c r="AW370" s="17"/>
      <c r="AX370" s="17"/>
      <c r="AY370" s="17"/>
      <c r="AZ370" s="17"/>
      <c r="BA370" s="17"/>
      <c r="BB370" s="17"/>
      <c r="BC370" s="17"/>
      <c r="BD370" s="17"/>
      <c r="BE370" s="17"/>
      <c r="BF370" s="17"/>
      <c r="BG370" s="17"/>
      <c r="BH370" s="17"/>
      <c r="BI370" s="17"/>
      <c r="BJ370" s="17"/>
      <c r="BK370" s="17"/>
      <c r="BL370" s="17"/>
      <c r="BM370" s="17"/>
      <c r="BN370" s="17"/>
      <c r="BO370" s="17"/>
      <c r="BP370" s="17"/>
      <c r="BQ370" s="17"/>
      <c r="BR370" s="17"/>
      <c r="BS370" s="17"/>
      <c r="BT370" s="17"/>
      <c r="BU370" s="17"/>
      <c r="BV370" s="17"/>
      <c r="BW370" s="17"/>
      <c r="BX370" s="17"/>
      <c r="BY370" s="17"/>
      <c r="BZ370" s="17"/>
      <c r="CA370" s="17"/>
      <c r="CB370" s="17"/>
      <c r="CC370" s="17"/>
      <c r="CD370" s="17"/>
      <c r="CE370" s="17"/>
      <c r="CF370" s="17"/>
      <c r="CG370" s="17"/>
      <c r="CH370" s="17"/>
      <c r="CI370" s="17"/>
      <c r="CJ370" s="17"/>
      <c r="CK370" s="17"/>
      <c r="CL370" s="17"/>
      <c r="CM370" s="17"/>
      <c r="CN370" s="17"/>
      <c r="CO370" s="17"/>
      <c r="CP370" s="17"/>
      <c r="CQ370" s="17"/>
      <c r="CR370" s="17"/>
      <c r="CS370" s="17"/>
      <c r="CT370" s="17"/>
      <c r="CU370" s="17"/>
      <c r="CV370" s="17"/>
      <c r="CW370" s="17"/>
      <c r="CX370" s="17"/>
      <c r="CY370" s="17"/>
      <c r="CZ370" s="17"/>
      <c r="DA370" s="17"/>
      <c r="DB370" s="17"/>
      <c r="DC370" s="17"/>
      <c r="DD370" s="17"/>
      <c r="DE370" s="17"/>
      <c r="DF370" s="17"/>
      <c r="DG370" s="17"/>
      <c r="DH370" s="17"/>
      <c r="DI370" s="17"/>
      <c r="DJ370" s="17"/>
      <c r="DK370" s="17"/>
      <c r="DL370" s="17"/>
      <c r="DM370" s="17"/>
      <c r="DN370" s="17"/>
      <c r="DO370" s="17"/>
      <c r="DP370" s="17"/>
      <c r="DQ370" s="17"/>
      <c r="DR370" s="17"/>
      <c r="DS370" s="17"/>
      <c r="DT370" s="17"/>
      <c r="DU370" s="17"/>
      <c r="DV370" s="17"/>
      <c r="DW370" s="17"/>
      <c r="DX370" s="17"/>
      <c r="DY370" s="17"/>
      <c r="DZ370" s="17"/>
      <c r="EA370" s="17"/>
      <c r="EB370" s="17"/>
      <c r="EC370" s="17"/>
      <c r="ED370" s="17"/>
      <c r="EE370" s="17"/>
      <c r="EF370" s="17"/>
      <c r="EG370" s="17"/>
      <c r="EH370" s="17"/>
      <c r="EI370" s="17"/>
      <c r="EJ370" s="17"/>
      <c r="EK370" s="17"/>
      <c r="EL370" s="17"/>
      <c r="EM370" s="17"/>
      <c r="EN370" s="17"/>
      <c r="EO370" s="17"/>
      <c r="EP370" s="17"/>
      <c r="EQ370" s="17"/>
      <c r="ER370" s="17"/>
      <c r="ES370" s="17"/>
      <c r="ET370" s="17"/>
      <c r="EU370" s="17"/>
      <c r="EV370" s="17"/>
      <c r="EW370" s="17"/>
      <c r="EX370" s="17"/>
      <c r="EY370" s="17"/>
      <c r="EZ370" s="17"/>
      <c r="FA370" s="17"/>
      <c r="FB370" s="17"/>
      <c r="FC370" s="17"/>
      <c r="FD370" s="17"/>
      <c r="FE370" s="17"/>
      <c r="FF370" s="17"/>
      <c r="FG370" s="17"/>
      <c r="FH370" s="17"/>
      <c r="FI370" s="17"/>
      <c r="FJ370" s="17"/>
      <c r="FK370" s="17"/>
      <c r="FL370" s="17"/>
      <c r="FM370" s="17"/>
      <c r="FN370" s="17"/>
      <c r="FO370" s="17"/>
      <c r="FP370" s="17"/>
      <c r="FQ370" s="17"/>
      <c r="FR370" s="17"/>
      <c r="FS370" s="17"/>
      <c r="FT370" s="17"/>
      <c r="FU370" s="17"/>
      <c r="FV370" s="17"/>
      <c r="FW370" s="17"/>
      <c r="FX370" s="17"/>
      <c r="FY370" s="17"/>
      <c r="FZ370" s="17"/>
      <c r="GA370" s="17"/>
      <c r="GB370" s="17"/>
      <c r="GC370" s="17"/>
      <c r="GD370" s="17"/>
      <c r="GE370" s="17"/>
      <c r="GF370" s="17"/>
      <c r="GG370" s="17"/>
      <c r="GH370" s="17"/>
      <c r="GI370" s="17"/>
      <c r="GJ370" s="17"/>
      <c r="GK370" s="17"/>
      <c r="GL370" s="17"/>
      <c r="GM370" s="17"/>
      <c r="GN370" s="17"/>
      <c r="GO370" s="17"/>
      <c r="GP370" s="17"/>
      <c r="GQ370" s="17"/>
      <c r="GR370" s="17"/>
      <c r="GS370" s="17"/>
      <c r="GT370" s="17"/>
      <c r="GU370" s="17"/>
      <c r="GV370" s="17"/>
      <c r="GW370" s="17"/>
      <c r="GX370" s="17"/>
      <c r="GY370" s="17"/>
      <c r="GZ370" s="17"/>
      <c r="HA370" s="17"/>
      <c r="HB370" s="17"/>
      <c r="HC370" s="17"/>
      <c r="HD370" s="17"/>
      <c r="HE370" s="17"/>
      <c r="HF370" s="17"/>
      <c r="HG370" s="17"/>
      <c r="HH370" s="17"/>
      <c r="HI370" s="17"/>
      <c r="HJ370" s="17"/>
      <c r="HK370" s="17"/>
      <c r="HL370" s="17"/>
      <c r="HM370" s="17"/>
      <c r="HN370" s="17"/>
      <c r="HO370" s="17"/>
      <c r="HP370" s="17"/>
      <c r="HQ370" s="17"/>
      <c r="HR370" s="17"/>
      <c r="HS370" s="17"/>
      <c r="HT370" s="17"/>
      <c r="HU370" s="17"/>
      <c r="HV370" s="17"/>
      <c r="HW370" s="17"/>
      <c r="HX370" s="17"/>
      <c r="HY370" s="17"/>
      <c r="HZ370" s="17"/>
      <c r="IA370" s="17"/>
      <c r="IB370" s="17"/>
      <c r="IC370" s="17"/>
      <c r="ID370" s="17"/>
      <c r="IE370" s="17"/>
      <c r="IF370" s="17"/>
      <c r="IG370" s="17"/>
      <c r="IH370" s="17"/>
      <c r="II370" s="17"/>
      <c r="IJ370" s="17"/>
      <c r="IK370" s="17"/>
      <c r="IL370" s="17"/>
      <c r="IM370" s="17"/>
      <c r="IN370" s="17"/>
      <c r="IO370" s="17"/>
      <c r="IP370" s="17"/>
      <c r="IQ370" s="17"/>
      <c r="IR370" s="17"/>
      <c r="IS370" s="17"/>
      <c r="IT370" s="17"/>
      <c r="IU370" s="17"/>
      <c r="IV370" s="17"/>
      <c r="IW370" s="17"/>
      <c r="IX370" s="17"/>
      <c r="IY370" s="17"/>
      <c r="IZ370" s="17"/>
      <c r="JA370" s="17"/>
      <c r="JB370" s="17"/>
      <c r="JC370" s="17"/>
      <c r="JD370" s="17"/>
      <c r="JE370" s="17"/>
      <c r="JF370" s="17"/>
      <c r="JG370" s="17"/>
      <c r="JH370" s="17"/>
      <c r="JI370" s="17"/>
      <c r="JJ370" s="17"/>
      <c r="JK370" s="17"/>
      <c r="JL370" s="17"/>
      <c r="JM370" s="17"/>
      <c r="JN370" s="17"/>
      <c r="JO370" s="17"/>
      <c r="JP370" s="17"/>
      <c r="JQ370" s="17"/>
      <c r="JR370" s="17"/>
      <c r="JS370" s="17"/>
      <c r="JT370" s="17"/>
      <c r="JU370" s="17"/>
      <c r="JV370" s="17"/>
      <c r="JW370" s="17"/>
      <c r="JX370" s="17"/>
      <c r="JY370" s="17"/>
      <c r="JZ370" s="17"/>
      <c r="KA370" s="17"/>
      <c r="KB370" s="17"/>
      <c r="KC370" s="17"/>
      <c r="KD370" s="17"/>
      <c r="KE370" s="17"/>
      <c r="KF370" s="17"/>
      <c r="KG370" s="17"/>
      <c r="KH370" s="17"/>
      <c r="KI370" s="17"/>
      <c r="KJ370" s="17"/>
      <c r="KK370" s="17"/>
      <c r="KL370" s="17"/>
      <c r="KM370" s="17"/>
      <c r="KN370" s="17"/>
      <c r="KO370" s="17"/>
      <c r="KP370" s="17"/>
      <c r="KQ370" s="17"/>
      <c r="KR370" s="17"/>
      <c r="KS370" s="17"/>
      <c r="KT370" s="17"/>
      <c r="KU370" s="17"/>
      <c r="KV370" s="17"/>
      <c r="KW370" s="17"/>
      <c r="KX370" s="17"/>
      <c r="KY370" s="17"/>
    </row>
    <row r="371" spans="1:311" x14ac:dyDescent="0.25">
      <c r="A371" s="17"/>
      <c r="B371" s="17"/>
      <c r="C371" s="17"/>
      <c r="D371" s="17"/>
      <c r="E371" s="17"/>
      <c r="F371" s="17"/>
      <c r="G371" s="17"/>
      <c r="H371" s="17"/>
      <c r="I371" s="17"/>
      <c r="J371" s="17"/>
      <c r="K371" s="17"/>
      <c r="L371" s="17"/>
      <c r="M371" s="17"/>
      <c r="N371" s="17"/>
      <c r="O371" s="17"/>
      <c r="P371" s="17"/>
      <c r="Q371" s="17"/>
      <c r="R371" s="17"/>
      <c r="S371" s="17"/>
      <c r="T371" s="17"/>
      <c r="U371" s="17"/>
      <c r="V371" s="17"/>
      <c r="W371" s="17"/>
      <c r="X371" s="17"/>
      <c r="Y371" s="17"/>
      <c r="Z371" s="17"/>
      <c r="AA371" s="17"/>
      <c r="AB371" s="17"/>
      <c r="AC371" s="17"/>
      <c r="AD371" s="17"/>
      <c r="AE371" s="17"/>
      <c r="AF371" s="17"/>
      <c r="AG371" s="17"/>
      <c r="AH371" s="17"/>
      <c r="AI371" s="17"/>
      <c r="AJ371" s="17"/>
      <c r="AK371" s="17"/>
      <c r="AL371" s="17"/>
      <c r="AM371" s="17"/>
      <c r="AN371" s="17"/>
      <c r="AO371" s="17"/>
      <c r="AP371" s="17"/>
      <c r="AQ371" s="17"/>
      <c r="AR371" s="17"/>
      <c r="AS371" s="17"/>
      <c r="AT371" s="17"/>
      <c r="AU371" s="17"/>
      <c r="AV371" s="17"/>
      <c r="AW371" s="17"/>
      <c r="AX371" s="17"/>
      <c r="AY371" s="17"/>
      <c r="AZ371" s="17"/>
      <c r="BA371" s="17"/>
      <c r="BB371" s="17"/>
      <c r="BC371" s="17"/>
      <c r="BD371" s="17"/>
      <c r="BE371" s="17"/>
      <c r="BF371" s="17"/>
      <c r="BG371" s="17"/>
      <c r="BH371" s="17"/>
      <c r="BI371" s="17"/>
      <c r="BJ371" s="17"/>
      <c r="BK371" s="17"/>
      <c r="BL371" s="17"/>
      <c r="BM371" s="17"/>
      <c r="BN371" s="17"/>
      <c r="BO371" s="17"/>
      <c r="BP371" s="17"/>
      <c r="BQ371" s="17"/>
      <c r="BR371" s="17"/>
      <c r="BS371" s="17"/>
      <c r="BT371" s="17"/>
      <c r="BU371" s="17"/>
      <c r="BV371" s="17"/>
      <c r="BW371" s="17"/>
      <c r="BX371" s="17"/>
      <c r="BY371" s="17"/>
      <c r="BZ371" s="17"/>
      <c r="CA371" s="17"/>
      <c r="CB371" s="17"/>
      <c r="CC371" s="17"/>
      <c r="CD371" s="17"/>
      <c r="CE371" s="17"/>
      <c r="CF371" s="17"/>
      <c r="CG371" s="17"/>
      <c r="CH371" s="17"/>
      <c r="CI371" s="17"/>
      <c r="CJ371" s="17"/>
      <c r="CK371" s="17"/>
      <c r="CL371" s="17"/>
      <c r="CM371" s="17"/>
      <c r="CN371" s="17"/>
      <c r="CO371" s="17"/>
      <c r="CP371" s="17"/>
      <c r="CQ371" s="17"/>
      <c r="CR371" s="17"/>
      <c r="CS371" s="17"/>
      <c r="CT371" s="17"/>
      <c r="CU371" s="17"/>
      <c r="CV371" s="17"/>
      <c r="CW371" s="17"/>
      <c r="CX371" s="17"/>
      <c r="CY371" s="17"/>
      <c r="CZ371" s="17"/>
      <c r="DA371" s="17"/>
      <c r="DB371" s="17"/>
      <c r="DC371" s="17"/>
      <c r="DD371" s="17"/>
      <c r="DE371" s="17"/>
      <c r="DF371" s="17"/>
      <c r="DG371" s="17"/>
      <c r="DH371" s="17"/>
      <c r="DI371" s="17"/>
      <c r="DJ371" s="17"/>
      <c r="DK371" s="17"/>
      <c r="DL371" s="17"/>
      <c r="DM371" s="17"/>
      <c r="DN371" s="17"/>
      <c r="DO371" s="17"/>
      <c r="DP371" s="17"/>
      <c r="DQ371" s="17"/>
      <c r="DR371" s="17"/>
      <c r="DS371" s="17"/>
      <c r="DT371" s="17"/>
      <c r="DU371" s="17"/>
      <c r="DV371" s="17"/>
      <c r="DW371" s="17"/>
      <c r="DX371" s="17"/>
      <c r="DY371" s="17"/>
      <c r="DZ371" s="17"/>
      <c r="EA371" s="17"/>
      <c r="EB371" s="17"/>
      <c r="EC371" s="17"/>
      <c r="ED371" s="17"/>
      <c r="EE371" s="17"/>
      <c r="EF371" s="17"/>
      <c r="EG371" s="17"/>
      <c r="EH371" s="17"/>
      <c r="EI371" s="17"/>
      <c r="EJ371" s="17"/>
      <c r="EK371" s="17"/>
      <c r="EL371" s="17"/>
      <c r="EM371" s="17"/>
      <c r="EN371" s="17"/>
      <c r="EO371" s="17"/>
      <c r="EP371" s="17"/>
      <c r="EQ371" s="17"/>
      <c r="ER371" s="17"/>
      <c r="ES371" s="17"/>
      <c r="ET371" s="17"/>
      <c r="EU371" s="17"/>
      <c r="EV371" s="17"/>
      <c r="EW371" s="17"/>
      <c r="EX371" s="17"/>
      <c r="EY371" s="17"/>
      <c r="EZ371" s="17"/>
      <c r="FA371" s="17"/>
      <c r="FB371" s="17"/>
      <c r="FC371" s="17"/>
      <c r="FD371" s="17"/>
      <c r="FE371" s="17"/>
      <c r="FF371" s="17"/>
      <c r="FG371" s="17"/>
      <c r="FH371" s="17"/>
      <c r="FI371" s="17"/>
      <c r="FJ371" s="17"/>
      <c r="FK371" s="17"/>
      <c r="FL371" s="17"/>
      <c r="FM371" s="17"/>
      <c r="FN371" s="17"/>
      <c r="FO371" s="17"/>
      <c r="FP371" s="17"/>
      <c r="FQ371" s="17"/>
      <c r="FR371" s="17"/>
      <c r="FS371" s="17"/>
      <c r="FT371" s="17"/>
      <c r="FU371" s="17"/>
      <c r="FV371" s="17"/>
      <c r="FW371" s="17"/>
      <c r="FX371" s="17"/>
      <c r="FY371" s="17"/>
      <c r="FZ371" s="17"/>
      <c r="GA371" s="17"/>
      <c r="GB371" s="17"/>
      <c r="GC371" s="17"/>
      <c r="GD371" s="17"/>
      <c r="GE371" s="17"/>
      <c r="GF371" s="17"/>
      <c r="GG371" s="17"/>
      <c r="GH371" s="17"/>
      <c r="GI371" s="17"/>
      <c r="GJ371" s="17"/>
      <c r="GK371" s="17"/>
      <c r="GL371" s="17"/>
      <c r="GM371" s="17"/>
      <c r="GN371" s="17"/>
      <c r="GO371" s="17"/>
      <c r="GP371" s="17"/>
      <c r="GQ371" s="17"/>
      <c r="GR371" s="17"/>
      <c r="GS371" s="17"/>
      <c r="GT371" s="17"/>
      <c r="GU371" s="17"/>
      <c r="GV371" s="17"/>
      <c r="GW371" s="17"/>
      <c r="GX371" s="17"/>
      <c r="GY371" s="17"/>
      <c r="GZ371" s="17"/>
      <c r="HA371" s="17"/>
      <c r="HB371" s="17"/>
      <c r="HC371" s="17"/>
      <c r="HD371" s="17"/>
      <c r="HE371" s="17"/>
      <c r="HF371" s="17"/>
      <c r="HG371" s="17"/>
      <c r="HH371" s="17"/>
      <c r="HI371" s="17"/>
      <c r="HJ371" s="17"/>
      <c r="HK371" s="17"/>
      <c r="HL371" s="17"/>
      <c r="HM371" s="17"/>
      <c r="HN371" s="17"/>
      <c r="HO371" s="17"/>
      <c r="HP371" s="17"/>
      <c r="HQ371" s="17"/>
      <c r="HR371" s="17"/>
      <c r="HS371" s="17"/>
      <c r="HT371" s="17"/>
      <c r="HU371" s="17"/>
      <c r="HV371" s="17"/>
      <c r="HW371" s="17"/>
      <c r="HX371" s="17"/>
      <c r="HY371" s="17"/>
      <c r="HZ371" s="17"/>
      <c r="IA371" s="17"/>
      <c r="IB371" s="17"/>
      <c r="IC371" s="17"/>
      <c r="ID371" s="17"/>
      <c r="IE371" s="17"/>
      <c r="IF371" s="17"/>
      <c r="IG371" s="17"/>
      <c r="IH371" s="17"/>
      <c r="II371" s="17"/>
      <c r="IJ371" s="17"/>
      <c r="IK371" s="17"/>
      <c r="IL371" s="17"/>
      <c r="IM371" s="17"/>
      <c r="IN371" s="17"/>
      <c r="IO371" s="17"/>
      <c r="IP371" s="17"/>
      <c r="IQ371" s="17"/>
      <c r="IR371" s="17"/>
      <c r="IS371" s="17"/>
      <c r="IT371" s="17"/>
      <c r="IU371" s="17"/>
      <c r="IV371" s="17"/>
      <c r="IW371" s="17"/>
      <c r="IX371" s="17"/>
      <c r="IY371" s="17"/>
      <c r="IZ371" s="17"/>
      <c r="JA371" s="17"/>
      <c r="JB371" s="17"/>
      <c r="JC371" s="17"/>
      <c r="JD371" s="17"/>
      <c r="JE371" s="17"/>
      <c r="JF371" s="17"/>
      <c r="JG371" s="17"/>
      <c r="JH371" s="17"/>
      <c r="JI371" s="17"/>
      <c r="JJ371" s="17"/>
      <c r="JK371" s="17"/>
      <c r="JL371" s="17"/>
      <c r="JM371" s="17"/>
      <c r="JN371" s="17"/>
      <c r="JO371" s="17"/>
      <c r="JP371" s="17"/>
      <c r="JQ371" s="17"/>
      <c r="JR371" s="17"/>
      <c r="JS371" s="17"/>
      <c r="JT371" s="17"/>
      <c r="JU371" s="17"/>
      <c r="JV371" s="17"/>
      <c r="JW371" s="17"/>
      <c r="JX371" s="17"/>
      <c r="JY371" s="17"/>
      <c r="JZ371" s="17"/>
      <c r="KA371" s="17"/>
      <c r="KB371" s="17"/>
      <c r="KC371" s="17"/>
      <c r="KD371" s="17"/>
      <c r="KE371" s="17"/>
      <c r="KF371" s="17"/>
      <c r="KG371" s="17"/>
      <c r="KH371" s="17"/>
      <c r="KI371" s="17"/>
      <c r="KJ371" s="17"/>
      <c r="KK371" s="17"/>
      <c r="KL371" s="17"/>
      <c r="KM371" s="17"/>
      <c r="KN371" s="17"/>
      <c r="KO371" s="17"/>
      <c r="KP371" s="17"/>
      <c r="KQ371" s="17"/>
      <c r="KR371" s="17"/>
      <c r="KS371" s="17"/>
      <c r="KT371" s="17"/>
      <c r="KU371" s="17"/>
      <c r="KV371" s="17"/>
      <c r="KW371" s="17"/>
      <c r="KX371" s="17"/>
      <c r="KY371" s="17"/>
    </row>
    <row r="372" spans="1:311" x14ac:dyDescent="0.25">
      <c r="A372" s="17"/>
      <c r="B372" s="17"/>
      <c r="C372" s="17"/>
      <c r="D372" s="17"/>
      <c r="E372" s="17"/>
      <c r="F372" s="17"/>
      <c r="G372" s="17"/>
      <c r="H372" s="17"/>
      <c r="I372" s="17"/>
      <c r="J372" s="17"/>
      <c r="K372" s="17"/>
      <c r="L372" s="17"/>
      <c r="M372" s="17"/>
      <c r="N372" s="17"/>
      <c r="O372" s="17"/>
      <c r="P372" s="17"/>
      <c r="Q372" s="17"/>
      <c r="R372" s="17"/>
      <c r="S372" s="17"/>
      <c r="T372" s="17"/>
      <c r="U372" s="17"/>
      <c r="V372" s="17"/>
      <c r="W372" s="17"/>
      <c r="X372" s="17"/>
      <c r="Y372" s="17"/>
      <c r="Z372" s="17"/>
      <c r="AA372" s="17"/>
      <c r="AB372" s="17"/>
      <c r="AC372" s="17"/>
      <c r="AD372" s="17"/>
      <c r="AE372" s="17"/>
      <c r="AF372" s="17"/>
      <c r="AG372" s="17"/>
      <c r="AH372" s="17"/>
      <c r="AI372" s="17"/>
      <c r="AJ372" s="17"/>
      <c r="AK372" s="17"/>
      <c r="AL372" s="17"/>
      <c r="AM372" s="17"/>
      <c r="AN372" s="17"/>
      <c r="AO372" s="17"/>
      <c r="AP372" s="17"/>
      <c r="AQ372" s="17"/>
      <c r="AR372" s="17"/>
      <c r="AS372" s="17"/>
      <c r="AT372" s="17"/>
      <c r="AU372" s="17"/>
      <c r="AV372" s="17"/>
      <c r="AW372" s="17"/>
      <c r="AX372" s="17"/>
      <c r="AY372" s="17"/>
      <c r="AZ372" s="17"/>
      <c r="BA372" s="17"/>
      <c r="BB372" s="17"/>
      <c r="BC372" s="17"/>
      <c r="BD372" s="17"/>
      <c r="BE372" s="17"/>
      <c r="BF372" s="17"/>
      <c r="BG372" s="17"/>
      <c r="BH372" s="17"/>
      <c r="BI372" s="17"/>
      <c r="BJ372" s="17"/>
      <c r="BK372" s="17"/>
      <c r="BL372" s="17"/>
      <c r="BM372" s="17"/>
      <c r="BN372" s="17"/>
      <c r="BO372" s="17"/>
      <c r="BP372" s="17"/>
      <c r="BQ372" s="17"/>
      <c r="BR372" s="17"/>
      <c r="BS372" s="17"/>
      <c r="BT372" s="17"/>
      <c r="BU372" s="17"/>
      <c r="BV372" s="17"/>
      <c r="BW372" s="17"/>
      <c r="BX372" s="17"/>
      <c r="BY372" s="17"/>
      <c r="BZ372" s="17"/>
      <c r="CA372" s="17"/>
      <c r="CB372" s="17"/>
      <c r="CC372" s="17"/>
      <c r="CD372" s="17"/>
      <c r="CE372" s="17"/>
      <c r="CF372" s="17"/>
      <c r="CG372" s="17"/>
      <c r="CH372" s="17"/>
      <c r="CI372" s="17"/>
      <c r="CJ372" s="17"/>
      <c r="CK372" s="17"/>
      <c r="CL372" s="17"/>
      <c r="CM372" s="17"/>
      <c r="CN372" s="17"/>
      <c r="CO372" s="17"/>
      <c r="CP372" s="17"/>
      <c r="CQ372" s="17"/>
      <c r="CR372" s="17"/>
      <c r="CS372" s="17"/>
      <c r="CT372" s="17"/>
      <c r="CU372" s="17"/>
      <c r="CV372" s="17"/>
      <c r="CW372" s="17"/>
      <c r="CX372" s="17"/>
      <c r="CY372" s="17"/>
      <c r="CZ372" s="17"/>
      <c r="DA372" s="17"/>
      <c r="DB372" s="17"/>
      <c r="DC372" s="17"/>
      <c r="DD372" s="17"/>
      <c r="DE372" s="17"/>
      <c r="DF372" s="17"/>
      <c r="DG372" s="17"/>
      <c r="DH372" s="17"/>
      <c r="DI372" s="17"/>
      <c r="DJ372" s="17"/>
      <c r="DK372" s="17"/>
      <c r="DL372" s="17"/>
      <c r="DM372" s="17"/>
      <c r="DN372" s="17"/>
      <c r="DO372" s="17"/>
      <c r="DP372" s="17"/>
      <c r="DQ372" s="17"/>
      <c r="DR372" s="17"/>
      <c r="DS372" s="17"/>
      <c r="DT372" s="17"/>
      <c r="DU372" s="17"/>
      <c r="DV372" s="17"/>
      <c r="DW372" s="17"/>
      <c r="DX372" s="17"/>
      <c r="DY372" s="17"/>
      <c r="DZ372" s="17"/>
      <c r="EA372" s="17"/>
      <c r="EB372" s="17"/>
      <c r="EC372" s="17"/>
      <c r="ED372" s="17"/>
      <c r="EE372" s="17"/>
      <c r="EF372" s="17"/>
      <c r="EG372" s="17"/>
      <c r="EH372" s="17"/>
      <c r="EI372" s="17"/>
      <c r="EJ372" s="17"/>
      <c r="EK372" s="17"/>
      <c r="EL372" s="17"/>
      <c r="EM372" s="17"/>
      <c r="EN372" s="17"/>
      <c r="EO372" s="17"/>
      <c r="EP372" s="17"/>
      <c r="EQ372" s="17"/>
      <c r="ER372" s="17"/>
      <c r="ES372" s="17"/>
      <c r="ET372" s="17"/>
      <c r="EU372" s="17"/>
      <c r="EV372" s="17"/>
      <c r="EW372" s="17"/>
      <c r="EX372" s="17"/>
      <c r="EY372" s="17"/>
      <c r="EZ372" s="17"/>
      <c r="FA372" s="17"/>
      <c r="FB372" s="17"/>
      <c r="FC372" s="17"/>
      <c r="FD372" s="17"/>
      <c r="FE372" s="17"/>
      <c r="FF372" s="17"/>
      <c r="FG372" s="17"/>
      <c r="FH372" s="17"/>
      <c r="FI372" s="17"/>
      <c r="FJ372" s="17"/>
      <c r="FK372" s="17"/>
      <c r="FL372" s="17"/>
      <c r="FM372" s="17"/>
      <c r="FN372" s="17"/>
      <c r="FO372" s="17"/>
      <c r="FP372" s="17"/>
      <c r="FQ372" s="17"/>
      <c r="FR372" s="17"/>
      <c r="FS372" s="17"/>
      <c r="FT372" s="17"/>
      <c r="FU372" s="17"/>
      <c r="FV372" s="17"/>
      <c r="FW372" s="17"/>
      <c r="FX372" s="17"/>
      <c r="FY372" s="17"/>
      <c r="FZ372" s="17"/>
      <c r="GA372" s="17"/>
      <c r="GB372" s="17"/>
      <c r="GC372" s="17"/>
      <c r="GD372" s="17"/>
      <c r="GE372" s="17"/>
      <c r="GF372" s="17"/>
      <c r="GG372" s="17"/>
      <c r="GH372" s="17"/>
      <c r="GI372" s="17"/>
      <c r="GJ372" s="17"/>
      <c r="GK372" s="17"/>
      <c r="GL372" s="17"/>
      <c r="GM372" s="17"/>
      <c r="GN372" s="17"/>
      <c r="GO372" s="17"/>
      <c r="GP372" s="17"/>
      <c r="GQ372" s="17"/>
      <c r="GR372" s="17"/>
      <c r="GS372" s="17"/>
      <c r="GT372" s="17"/>
      <c r="GU372" s="17"/>
      <c r="GV372" s="17"/>
      <c r="GW372" s="17"/>
      <c r="GX372" s="17"/>
      <c r="GY372" s="17"/>
      <c r="GZ372" s="17"/>
      <c r="HA372" s="17"/>
      <c r="HB372" s="17"/>
      <c r="HC372" s="17"/>
      <c r="HD372" s="17"/>
      <c r="HE372" s="17"/>
      <c r="HF372" s="17"/>
      <c r="HG372" s="17"/>
      <c r="HH372" s="17"/>
      <c r="HI372" s="17"/>
      <c r="HJ372" s="17"/>
      <c r="HK372" s="17"/>
      <c r="HL372" s="17"/>
      <c r="HM372" s="17"/>
      <c r="HN372" s="17"/>
      <c r="HO372" s="17"/>
      <c r="HP372" s="17"/>
      <c r="HQ372" s="17"/>
      <c r="HR372" s="17"/>
      <c r="HS372" s="17"/>
      <c r="HT372" s="17"/>
      <c r="HU372" s="17"/>
      <c r="HV372" s="17"/>
      <c r="HW372" s="17"/>
      <c r="HX372" s="17"/>
      <c r="HY372" s="17"/>
      <c r="HZ372" s="17"/>
      <c r="IA372" s="17"/>
      <c r="IB372" s="17"/>
      <c r="IC372" s="17"/>
      <c r="ID372" s="17"/>
      <c r="IE372" s="17"/>
      <c r="IF372" s="17"/>
      <c r="IG372" s="17"/>
      <c r="IH372" s="17"/>
      <c r="II372" s="17"/>
      <c r="IJ372" s="17"/>
      <c r="IK372" s="17"/>
      <c r="IL372" s="17"/>
      <c r="IM372" s="17"/>
      <c r="IN372" s="17"/>
      <c r="IO372" s="17"/>
      <c r="IP372" s="17"/>
      <c r="IQ372" s="17"/>
      <c r="IR372" s="17"/>
      <c r="IS372" s="17"/>
      <c r="IT372" s="17"/>
      <c r="IU372" s="17"/>
      <c r="IV372" s="17"/>
      <c r="IW372" s="17"/>
      <c r="IX372" s="17"/>
      <c r="IY372" s="17"/>
      <c r="IZ372" s="17"/>
      <c r="JA372" s="17"/>
      <c r="JB372" s="17"/>
      <c r="JC372" s="17"/>
      <c r="JD372" s="17"/>
      <c r="JE372" s="17"/>
      <c r="JF372" s="17"/>
      <c r="JG372" s="17"/>
      <c r="JH372" s="17"/>
      <c r="JI372" s="17"/>
      <c r="JJ372" s="17"/>
      <c r="JK372" s="17"/>
      <c r="JL372" s="17"/>
      <c r="JM372" s="17"/>
      <c r="JN372" s="17"/>
      <c r="JO372" s="17"/>
      <c r="JP372" s="17"/>
      <c r="JQ372" s="17"/>
      <c r="JR372" s="17"/>
      <c r="JS372" s="17"/>
      <c r="JT372" s="17"/>
      <c r="JU372" s="17"/>
      <c r="JV372" s="17"/>
      <c r="JW372" s="17"/>
      <c r="JX372" s="17"/>
      <c r="JY372" s="17"/>
      <c r="JZ372" s="17"/>
      <c r="KA372" s="17"/>
      <c r="KB372" s="17"/>
      <c r="KC372" s="17"/>
      <c r="KD372" s="17"/>
      <c r="KE372" s="17"/>
      <c r="KF372" s="17"/>
      <c r="KG372" s="17"/>
      <c r="KH372" s="17"/>
      <c r="KI372" s="17"/>
      <c r="KJ372" s="17"/>
      <c r="KK372" s="17"/>
      <c r="KL372" s="17"/>
      <c r="KM372" s="17"/>
      <c r="KN372" s="17"/>
      <c r="KO372" s="17"/>
      <c r="KP372" s="17"/>
      <c r="KQ372" s="17"/>
      <c r="KR372" s="17"/>
      <c r="KS372" s="17"/>
      <c r="KT372" s="17"/>
      <c r="KU372" s="17"/>
      <c r="KV372" s="17"/>
      <c r="KW372" s="17"/>
      <c r="KX372" s="17"/>
      <c r="KY372" s="17"/>
    </row>
    <row r="373" spans="1:311" x14ac:dyDescent="0.25">
      <c r="A373" s="17"/>
      <c r="B373" s="17"/>
      <c r="C373" s="17"/>
      <c r="D373" s="17"/>
      <c r="E373" s="17"/>
      <c r="F373" s="17"/>
      <c r="G373" s="17"/>
      <c r="H373" s="17"/>
      <c r="I373" s="17"/>
      <c r="J373" s="17"/>
      <c r="K373" s="17"/>
      <c r="L373" s="17"/>
      <c r="M373" s="17"/>
      <c r="N373" s="17"/>
      <c r="O373" s="17"/>
      <c r="P373" s="17"/>
      <c r="Q373" s="17"/>
      <c r="R373" s="17"/>
      <c r="S373" s="17"/>
      <c r="T373" s="17"/>
      <c r="U373" s="17"/>
      <c r="V373" s="17"/>
      <c r="W373" s="17"/>
      <c r="X373" s="17"/>
      <c r="Y373" s="17"/>
      <c r="Z373" s="17"/>
      <c r="AA373" s="17"/>
      <c r="AB373" s="17"/>
      <c r="AC373" s="17"/>
      <c r="AD373" s="17"/>
      <c r="AE373" s="17"/>
      <c r="AF373" s="17"/>
      <c r="AG373" s="17"/>
      <c r="AH373" s="17"/>
      <c r="AI373" s="17"/>
      <c r="AJ373" s="17"/>
      <c r="AK373" s="17"/>
      <c r="AL373" s="17"/>
      <c r="AM373" s="17"/>
      <c r="AN373" s="17"/>
      <c r="AO373" s="17"/>
      <c r="AP373" s="17"/>
      <c r="AQ373" s="17"/>
      <c r="AR373" s="17"/>
      <c r="AS373" s="17"/>
      <c r="AT373" s="17"/>
      <c r="AU373" s="17"/>
      <c r="AV373" s="17"/>
      <c r="AW373" s="17"/>
      <c r="AX373" s="17"/>
      <c r="AY373" s="17"/>
      <c r="AZ373" s="17"/>
      <c r="BA373" s="17"/>
      <c r="BB373" s="17"/>
      <c r="BC373" s="17"/>
      <c r="BD373" s="17"/>
      <c r="BE373" s="17"/>
      <c r="BF373" s="17"/>
      <c r="BG373" s="17"/>
      <c r="BH373" s="17"/>
      <c r="BI373" s="17"/>
      <c r="BJ373" s="17"/>
      <c r="BK373" s="17"/>
      <c r="BL373" s="17"/>
      <c r="BM373" s="17"/>
      <c r="BN373" s="17"/>
      <c r="BO373" s="17"/>
      <c r="BP373" s="17"/>
      <c r="BQ373" s="17"/>
      <c r="BR373" s="17"/>
      <c r="BS373" s="17"/>
      <c r="BT373" s="17"/>
      <c r="BU373" s="17"/>
      <c r="BV373" s="17"/>
      <c r="BW373" s="17"/>
      <c r="BX373" s="17"/>
      <c r="BY373" s="17"/>
      <c r="BZ373" s="17"/>
      <c r="CA373" s="17"/>
      <c r="CB373" s="17"/>
      <c r="CC373" s="17"/>
      <c r="CD373" s="17"/>
      <c r="CE373" s="17"/>
      <c r="CF373" s="17"/>
      <c r="CG373" s="17"/>
      <c r="CH373" s="17"/>
      <c r="CI373" s="17"/>
      <c r="CJ373" s="17"/>
      <c r="CK373" s="17"/>
      <c r="CL373" s="17"/>
      <c r="CM373" s="17"/>
      <c r="CN373" s="17"/>
      <c r="CO373" s="17"/>
      <c r="CP373" s="17"/>
      <c r="CQ373" s="17"/>
      <c r="CR373" s="17"/>
      <c r="CS373" s="17"/>
      <c r="CT373" s="17"/>
      <c r="CU373" s="17"/>
      <c r="CV373" s="17"/>
      <c r="CW373" s="17"/>
      <c r="CX373" s="17"/>
      <c r="CY373" s="17"/>
      <c r="CZ373" s="17"/>
      <c r="DA373" s="17"/>
      <c r="DB373" s="17"/>
      <c r="DC373" s="17"/>
      <c r="DD373" s="17"/>
      <c r="DE373" s="17"/>
      <c r="DF373" s="17"/>
      <c r="DG373" s="17"/>
      <c r="DH373" s="17"/>
      <c r="DI373" s="17"/>
      <c r="DJ373" s="17"/>
      <c r="DK373" s="17"/>
      <c r="DL373" s="17"/>
      <c r="DM373" s="17"/>
      <c r="DN373" s="17"/>
      <c r="DO373" s="17"/>
      <c r="DP373" s="17"/>
      <c r="DQ373" s="17"/>
      <c r="DR373" s="17"/>
      <c r="DS373" s="17"/>
      <c r="DT373" s="17"/>
      <c r="DU373" s="17"/>
      <c r="DV373" s="17"/>
      <c r="DW373" s="17"/>
      <c r="DX373" s="17"/>
      <c r="DY373" s="17"/>
      <c r="DZ373" s="17"/>
      <c r="EA373" s="17"/>
      <c r="EB373" s="17"/>
      <c r="EC373" s="17"/>
      <c r="ED373" s="17"/>
      <c r="EE373" s="17"/>
      <c r="EF373" s="17"/>
      <c r="EG373" s="17"/>
      <c r="EH373" s="17"/>
      <c r="EI373" s="17"/>
      <c r="EJ373" s="17"/>
      <c r="EK373" s="17"/>
      <c r="EL373" s="17"/>
      <c r="EM373" s="17"/>
      <c r="EN373" s="17"/>
      <c r="EO373" s="17"/>
      <c r="EP373" s="17"/>
      <c r="EQ373" s="17"/>
      <c r="ER373" s="17"/>
      <c r="ES373" s="17"/>
      <c r="ET373" s="17"/>
      <c r="EU373" s="17"/>
      <c r="EV373" s="17"/>
      <c r="EW373" s="17"/>
      <c r="EX373" s="17"/>
      <c r="EY373" s="17"/>
      <c r="EZ373" s="17"/>
      <c r="FA373" s="17"/>
      <c r="FB373" s="17"/>
      <c r="FC373" s="17"/>
      <c r="FD373" s="17"/>
      <c r="FE373" s="17"/>
      <c r="FF373" s="17"/>
      <c r="FG373" s="17"/>
      <c r="FH373" s="17"/>
      <c r="FI373" s="17"/>
      <c r="FJ373" s="17"/>
      <c r="FK373" s="17"/>
      <c r="FL373" s="17"/>
      <c r="FM373" s="17"/>
      <c r="FN373" s="17"/>
      <c r="FO373" s="17"/>
      <c r="FP373" s="17"/>
      <c r="FQ373" s="17"/>
      <c r="FR373" s="17"/>
      <c r="FS373" s="17"/>
      <c r="FT373" s="17"/>
      <c r="FU373" s="17"/>
      <c r="FV373" s="17"/>
      <c r="FW373" s="17"/>
      <c r="FX373" s="17"/>
      <c r="FY373" s="17"/>
      <c r="FZ373" s="17"/>
      <c r="GA373" s="17"/>
      <c r="GB373" s="17"/>
      <c r="GC373" s="17"/>
      <c r="GD373" s="17"/>
      <c r="GE373" s="17"/>
      <c r="GF373" s="17"/>
      <c r="GG373" s="17"/>
      <c r="GH373" s="17"/>
      <c r="GI373" s="17"/>
      <c r="GJ373" s="17"/>
      <c r="GK373" s="17"/>
      <c r="GL373" s="17"/>
      <c r="GM373" s="17"/>
      <c r="GN373" s="17"/>
      <c r="GO373" s="17"/>
      <c r="GP373" s="17"/>
      <c r="GQ373" s="17"/>
      <c r="GR373" s="17"/>
      <c r="GS373" s="17"/>
      <c r="GT373" s="17"/>
      <c r="GU373" s="17"/>
      <c r="GV373" s="17"/>
      <c r="GW373" s="17"/>
      <c r="GX373" s="17"/>
      <c r="GY373" s="17"/>
      <c r="GZ373" s="17"/>
      <c r="HA373" s="17"/>
      <c r="HB373" s="17"/>
      <c r="HC373" s="17"/>
      <c r="HD373" s="17"/>
      <c r="HE373" s="17"/>
      <c r="HF373" s="17"/>
      <c r="HG373" s="17"/>
      <c r="HH373" s="17"/>
      <c r="HI373" s="17"/>
      <c r="HJ373" s="17"/>
      <c r="HK373" s="17"/>
      <c r="HL373" s="17"/>
      <c r="HM373" s="17"/>
      <c r="HN373" s="17"/>
      <c r="HO373" s="17"/>
      <c r="HP373" s="17"/>
      <c r="HQ373" s="17"/>
      <c r="HR373" s="17"/>
      <c r="HS373" s="17"/>
      <c r="HT373" s="17"/>
      <c r="HU373" s="17"/>
      <c r="HV373" s="17"/>
      <c r="HW373" s="17"/>
      <c r="HX373" s="17"/>
      <c r="HY373" s="17"/>
      <c r="HZ373" s="17"/>
      <c r="IA373" s="17"/>
      <c r="IB373" s="17"/>
      <c r="IC373" s="17"/>
      <c r="ID373" s="17"/>
      <c r="IE373" s="17"/>
      <c r="IF373" s="17"/>
      <c r="IG373" s="17"/>
      <c r="IH373" s="17"/>
      <c r="II373" s="17"/>
      <c r="IJ373" s="17"/>
      <c r="IK373" s="17"/>
      <c r="IL373" s="17"/>
      <c r="IM373" s="17"/>
      <c r="IN373" s="17"/>
      <c r="IO373" s="17"/>
      <c r="IP373" s="17"/>
      <c r="IQ373" s="17"/>
      <c r="IR373" s="17"/>
      <c r="IS373" s="17"/>
      <c r="IT373" s="17"/>
      <c r="IU373" s="17"/>
      <c r="IV373" s="17"/>
      <c r="IW373" s="17"/>
      <c r="IX373" s="17"/>
      <c r="IY373" s="17"/>
      <c r="IZ373" s="17"/>
      <c r="JA373" s="17"/>
      <c r="JB373" s="17"/>
      <c r="JC373" s="17"/>
      <c r="JD373" s="17"/>
      <c r="JE373" s="17"/>
      <c r="JF373" s="17"/>
      <c r="JG373" s="17"/>
      <c r="JH373" s="17"/>
      <c r="JI373" s="17"/>
      <c r="JJ373" s="17"/>
      <c r="JK373" s="17"/>
      <c r="JL373" s="17"/>
      <c r="JM373" s="17"/>
      <c r="JN373" s="17"/>
      <c r="JO373" s="17"/>
      <c r="JP373" s="17"/>
      <c r="JQ373" s="17"/>
      <c r="JR373" s="17"/>
      <c r="JS373" s="17"/>
      <c r="JT373" s="17"/>
      <c r="JU373" s="17"/>
      <c r="JV373" s="17"/>
      <c r="JW373" s="17"/>
      <c r="JX373" s="17"/>
      <c r="JY373" s="17"/>
      <c r="JZ373" s="17"/>
      <c r="KA373" s="17"/>
      <c r="KB373" s="17"/>
      <c r="KC373" s="17"/>
      <c r="KD373" s="17"/>
      <c r="KE373" s="17"/>
      <c r="KF373" s="17"/>
      <c r="KG373" s="17"/>
      <c r="KH373" s="17"/>
      <c r="KI373" s="17"/>
      <c r="KJ373" s="17"/>
      <c r="KK373" s="17"/>
      <c r="KL373" s="17"/>
      <c r="KM373" s="17"/>
      <c r="KN373" s="17"/>
      <c r="KO373" s="17"/>
      <c r="KP373" s="17"/>
      <c r="KQ373" s="17"/>
      <c r="KR373" s="17"/>
      <c r="KS373" s="17"/>
      <c r="KT373" s="17"/>
      <c r="KU373" s="17"/>
      <c r="KV373" s="17"/>
      <c r="KW373" s="17"/>
      <c r="KX373" s="17"/>
      <c r="KY373" s="17"/>
    </row>
    <row r="374" spans="1:311" x14ac:dyDescent="0.25">
      <c r="A374" s="17"/>
      <c r="B374" s="17"/>
      <c r="C374" s="17"/>
      <c r="D374" s="17"/>
      <c r="E374" s="17"/>
      <c r="F374" s="17"/>
      <c r="G374" s="17"/>
      <c r="H374" s="17"/>
      <c r="I374" s="17"/>
      <c r="J374" s="17"/>
      <c r="K374" s="17"/>
      <c r="L374" s="17"/>
      <c r="M374" s="17"/>
      <c r="N374" s="17"/>
      <c r="O374" s="17"/>
      <c r="P374" s="17"/>
      <c r="Q374" s="17"/>
      <c r="R374" s="17"/>
      <c r="S374" s="17"/>
      <c r="T374" s="17"/>
      <c r="U374" s="17"/>
      <c r="V374" s="17"/>
      <c r="W374" s="17"/>
      <c r="X374" s="17"/>
      <c r="Y374" s="17"/>
      <c r="Z374" s="17"/>
      <c r="AA374" s="17"/>
      <c r="AB374" s="17"/>
      <c r="AC374" s="17"/>
      <c r="AD374" s="17"/>
      <c r="AE374" s="17"/>
      <c r="AF374" s="17"/>
      <c r="AG374" s="17"/>
      <c r="AH374" s="17"/>
      <c r="AI374" s="17"/>
      <c r="AJ374" s="17"/>
      <c r="AK374" s="17"/>
      <c r="AL374" s="17"/>
      <c r="AM374" s="17"/>
      <c r="AN374" s="17"/>
      <c r="AO374" s="17"/>
      <c r="AP374" s="17"/>
      <c r="AQ374" s="17"/>
      <c r="AR374" s="17"/>
      <c r="AS374" s="17"/>
      <c r="AT374" s="17"/>
      <c r="AU374" s="17"/>
      <c r="AV374" s="17"/>
      <c r="AW374" s="17"/>
      <c r="AX374" s="17"/>
      <c r="AY374" s="17"/>
      <c r="AZ374" s="17"/>
      <c r="BA374" s="17"/>
      <c r="BB374" s="17"/>
      <c r="BC374" s="17"/>
      <c r="BD374" s="17"/>
      <c r="BE374" s="17"/>
      <c r="BF374" s="17"/>
      <c r="BG374" s="17"/>
      <c r="BH374" s="17"/>
      <c r="BI374" s="17"/>
      <c r="BJ374" s="17"/>
      <c r="BK374" s="17"/>
      <c r="BL374" s="17"/>
      <c r="BM374" s="17"/>
      <c r="BN374" s="17"/>
      <c r="BO374" s="17"/>
      <c r="BP374" s="17"/>
      <c r="BQ374" s="17"/>
      <c r="BR374" s="17"/>
      <c r="BS374" s="17"/>
      <c r="BT374" s="17"/>
      <c r="BU374" s="17"/>
      <c r="BV374" s="17"/>
      <c r="BW374" s="17"/>
      <c r="BX374" s="17"/>
      <c r="BY374" s="17"/>
      <c r="BZ374" s="17"/>
      <c r="CA374" s="17"/>
      <c r="CB374" s="17"/>
      <c r="CC374" s="17"/>
      <c r="CD374" s="17"/>
      <c r="CE374" s="17"/>
      <c r="CF374" s="17"/>
      <c r="CG374" s="17"/>
      <c r="CH374" s="17"/>
      <c r="CI374" s="17"/>
      <c r="CJ374" s="17"/>
      <c r="CK374" s="17"/>
      <c r="CL374" s="17"/>
      <c r="CM374" s="17"/>
      <c r="CN374" s="17"/>
      <c r="CO374" s="17"/>
      <c r="CP374" s="17"/>
      <c r="CQ374" s="17"/>
      <c r="CR374" s="17"/>
      <c r="CS374" s="17"/>
      <c r="CT374" s="17"/>
      <c r="CU374" s="17"/>
      <c r="CV374" s="17"/>
      <c r="CW374" s="17"/>
      <c r="CX374" s="17"/>
      <c r="CY374" s="17"/>
      <c r="CZ374" s="17"/>
      <c r="DA374" s="17"/>
      <c r="DB374" s="17"/>
      <c r="DC374" s="17"/>
      <c r="DD374" s="17"/>
      <c r="DE374" s="17"/>
      <c r="DF374" s="17"/>
      <c r="DG374" s="17"/>
      <c r="DH374" s="17"/>
      <c r="DI374" s="17"/>
      <c r="DJ374" s="17"/>
      <c r="DK374" s="17"/>
      <c r="DL374" s="17"/>
      <c r="DM374" s="17"/>
      <c r="DN374" s="17"/>
      <c r="DO374" s="17"/>
      <c r="DP374" s="17"/>
      <c r="DQ374" s="17"/>
      <c r="DR374" s="17"/>
      <c r="DS374" s="17"/>
      <c r="DT374" s="17"/>
      <c r="DU374" s="17"/>
      <c r="DV374" s="17"/>
      <c r="DW374" s="17"/>
      <c r="DX374" s="17"/>
      <c r="DY374" s="17"/>
      <c r="DZ374" s="17"/>
      <c r="EA374" s="17"/>
      <c r="EB374" s="17"/>
      <c r="EC374" s="17"/>
      <c r="ED374" s="17"/>
      <c r="EE374" s="17"/>
      <c r="EF374" s="17"/>
      <c r="EG374" s="17"/>
      <c r="EH374" s="17"/>
      <c r="EI374" s="17"/>
      <c r="EJ374" s="17"/>
      <c r="EK374" s="17"/>
      <c r="EL374" s="17"/>
      <c r="EM374" s="17"/>
      <c r="EN374" s="17"/>
      <c r="EO374" s="17"/>
      <c r="EP374" s="17"/>
      <c r="EQ374" s="17"/>
      <c r="ER374" s="17"/>
      <c r="ES374" s="17"/>
      <c r="ET374" s="17"/>
      <c r="EU374" s="17"/>
      <c r="EV374" s="17"/>
      <c r="EW374" s="17"/>
      <c r="EX374" s="17"/>
      <c r="EY374" s="17"/>
      <c r="EZ374" s="17"/>
      <c r="FA374" s="17"/>
      <c r="FB374" s="17"/>
      <c r="FC374" s="17"/>
      <c r="FD374" s="17"/>
      <c r="FE374" s="17"/>
      <c r="FF374" s="17"/>
      <c r="FG374" s="17"/>
      <c r="FH374" s="17"/>
      <c r="FI374" s="17"/>
      <c r="FJ374" s="17"/>
      <c r="FK374" s="17"/>
      <c r="FL374" s="17"/>
      <c r="FM374" s="17"/>
      <c r="FN374" s="17"/>
      <c r="FO374" s="17"/>
      <c r="FP374" s="17"/>
      <c r="FQ374" s="17"/>
      <c r="FR374" s="17"/>
      <c r="FS374" s="17"/>
      <c r="FT374" s="17"/>
      <c r="FU374" s="17"/>
      <c r="FV374" s="17"/>
      <c r="FW374" s="17"/>
      <c r="FX374" s="17"/>
      <c r="FY374" s="17"/>
      <c r="FZ374" s="17"/>
      <c r="GA374" s="17"/>
      <c r="GB374" s="17"/>
      <c r="GC374" s="17"/>
      <c r="GD374" s="17"/>
      <c r="GE374" s="17"/>
      <c r="GF374" s="17"/>
      <c r="GG374" s="17"/>
      <c r="GH374" s="17"/>
      <c r="GI374" s="17"/>
      <c r="GJ374" s="17"/>
      <c r="GK374" s="17"/>
      <c r="GL374" s="17"/>
      <c r="GM374" s="17"/>
      <c r="GN374" s="17"/>
      <c r="GO374" s="17"/>
      <c r="GP374" s="17"/>
      <c r="GQ374" s="17"/>
      <c r="GR374" s="17"/>
      <c r="GS374" s="17"/>
      <c r="GT374" s="17"/>
      <c r="GU374" s="17"/>
      <c r="GV374" s="17"/>
      <c r="GW374" s="17"/>
      <c r="GX374" s="17"/>
      <c r="GY374" s="17"/>
      <c r="GZ374" s="17"/>
      <c r="HA374" s="17"/>
      <c r="HB374" s="17"/>
      <c r="HC374" s="17"/>
      <c r="HD374" s="17"/>
      <c r="HE374" s="17"/>
      <c r="HF374" s="17"/>
      <c r="HG374" s="17"/>
      <c r="HH374" s="17"/>
      <c r="HI374" s="17"/>
      <c r="HJ374" s="17"/>
      <c r="HK374" s="17"/>
      <c r="HL374" s="17"/>
      <c r="HM374" s="17"/>
      <c r="HN374" s="17"/>
      <c r="HO374" s="17"/>
      <c r="HP374" s="17"/>
      <c r="HQ374" s="17"/>
      <c r="HR374" s="17"/>
      <c r="HS374" s="17"/>
      <c r="HT374" s="17"/>
      <c r="HU374" s="17"/>
      <c r="HV374" s="17"/>
      <c r="HW374" s="17"/>
      <c r="HX374" s="17"/>
      <c r="HY374" s="17"/>
      <c r="HZ374" s="17"/>
      <c r="IA374" s="17"/>
      <c r="IB374" s="17"/>
      <c r="IC374" s="17"/>
      <c r="ID374" s="17"/>
      <c r="IE374" s="17"/>
      <c r="IF374" s="17"/>
      <c r="IG374" s="17"/>
      <c r="IH374" s="17"/>
      <c r="II374" s="17"/>
      <c r="IJ374" s="17"/>
      <c r="IK374" s="17"/>
      <c r="IL374" s="17"/>
      <c r="IM374" s="17"/>
      <c r="IN374" s="17"/>
      <c r="IO374" s="17"/>
      <c r="IP374" s="17"/>
      <c r="IQ374" s="17"/>
      <c r="IR374" s="17"/>
      <c r="IS374" s="17"/>
      <c r="IT374" s="17"/>
      <c r="IU374" s="17"/>
      <c r="IV374" s="17"/>
      <c r="IW374" s="17"/>
      <c r="IX374" s="17"/>
      <c r="IY374" s="17"/>
      <c r="IZ374" s="17"/>
      <c r="JA374" s="17"/>
      <c r="JB374" s="17"/>
      <c r="JC374" s="17"/>
      <c r="JD374" s="17"/>
      <c r="JE374" s="17"/>
      <c r="JF374" s="17"/>
      <c r="JG374" s="17"/>
      <c r="JH374" s="17"/>
      <c r="JI374" s="17"/>
      <c r="JJ374" s="17"/>
      <c r="JK374" s="17"/>
      <c r="JL374" s="17"/>
      <c r="JM374" s="17"/>
      <c r="JN374" s="17"/>
      <c r="JO374" s="17"/>
      <c r="JP374" s="17"/>
      <c r="JQ374" s="17"/>
      <c r="JR374" s="17"/>
      <c r="JS374" s="17"/>
      <c r="JT374" s="17"/>
      <c r="JU374" s="17"/>
      <c r="JV374" s="17"/>
      <c r="JW374" s="17"/>
      <c r="JX374" s="17"/>
      <c r="JY374" s="17"/>
      <c r="JZ374" s="17"/>
      <c r="KA374" s="17"/>
      <c r="KB374" s="17"/>
      <c r="KC374" s="17"/>
      <c r="KD374" s="17"/>
      <c r="KE374" s="17"/>
      <c r="KF374" s="17"/>
      <c r="KG374" s="17"/>
      <c r="KH374" s="17"/>
      <c r="KI374" s="17"/>
      <c r="KJ374" s="17"/>
      <c r="KK374" s="17"/>
      <c r="KL374" s="17"/>
      <c r="KM374" s="17"/>
      <c r="KN374" s="17"/>
      <c r="KO374" s="17"/>
      <c r="KP374" s="17"/>
      <c r="KQ374" s="17"/>
      <c r="KR374" s="17"/>
      <c r="KS374" s="17"/>
      <c r="KT374" s="17"/>
      <c r="KU374" s="17"/>
      <c r="KV374" s="17"/>
      <c r="KW374" s="17"/>
      <c r="KX374" s="17"/>
      <c r="KY374" s="17"/>
    </row>
    <row r="375" spans="1:311" x14ac:dyDescent="0.25">
      <c r="A375" s="17"/>
      <c r="B375" s="17"/>
      <c r="C375" s="17"/>
      <c r="D375" s="17"/>
      <c r="E375" s="17"/>
      <c r="F375" s="17"/>
      <c r="G375" s="17"/>
      <c r="H375" s="17"/>
      <c r="I375" s="17"/>
      <c r="J375" s="17"/>
      <c r="K375" s="17"/>
      <c r="L375" s="17"/>
      <c r="M375" s="17"/>
      <c r="N375" s="17"/>
      <c r="O375" s="17"/>
      <c r="P375" s="17"/>
      <c r="Q375" s="17"/>
      <c r="R375" s="17"/>
      <c r="S375" s="17"/>
      <c r="T375" s="17"/>
      <c r="U375" s="17"/>
      <c r="V375" s="17"/>
      <c r="W375" s="17"/>
      <c r="X375" s="17"/>
      <c r="Y375" s="17"/>
      <c r="Z375" s="17"/>
      <c r="AA375" s="17"/>
      <c r="AB375" s="17"/>
      <c r="AC375" s="17"/>
      <c r="AD375" s="17"/>
      <c r="AE375" s="17"/>
      <c r="AF375" s="17"/>
      <c r="AG375" s="17"/>
      <c r="AH375" s="17"/>
      <c r="AI375" s="17"/>
      <c r="AJ375" s="17"/>
      <c r="AK375" s="17"/>
      <c r="AL375" s="17"/>
      <c r="AM375" s="17"/>
      <c r="AN375" s="17"/>
      <c r="AO375" s="17"/>
      <c r="AP375" s="17"/>
      <c r="AQ375" s="17"/>
      <c r="AR375" s="17"/>
      <c r="AS375" s="17"/>
      <c r="AT375" s="17"/>
      <c r="AU375" s="17"/>
      <c r="AV375" s="17"/>
      <c r="AW375" s="17"/>
      <c r="AX375" s="17"/>
      <c r="AY375" s="17"/>
      <c r="AZ375" s="17"/>
      <c r="BA375" s="17"/>
      <c r="BB375" s="17"/>
      <c r="BC375" s="17"/>
      <c r="BD375" s="17"/>
      <c r="BE375" s="17"/>
      <c r="BF375" s="17"/>
      <c r="BG375" s="17"/>
      <c r="BH375" s="17"/>
      <c r="BI375" s="17"/>
      <c r="BJ375" s="17"/>
      <c r="BK375" s="17"/>
      <c r="BL375" s="17"/>
      <c r="BM375" s="17"/>
      <c r="BN375" s="17"/>
      <c r="BO375" s="17"/>
      <c r="BP375" s="17"/>
      <c r="BQ375" s="17"/>
      <c r="BR375" s="17"/>
      <c r="BS375" s="17"/>
      <c r="BT375" s="17"/>
      <c r="BU375" s="17"/>
      <c r="BV375" s="17"/>
      <c r="BW375" s="17"/>
      <c r="BX375" s="17"/>
      <c r="BY375" s="17"/>
      <c r="BZ375" s="17"/>
      <c r="CA375" s="17"/>
      <c r="CB375" s="17"/>
      <c r="CC375" s="17"/>
      <c r="CD375" s="17"/>
      <c r="CE375" s="17"/>
      <c r="CF375" s="17"/>
      <c r="CG375" s="17"/>
      <c r="CH375" s="17"/>
      <c r="CI375" s="17"/>
      <c r="CJ375" s="17"/>
      <c r="CK375" s="17"/>
      <c r="CL375" s="17"/>
      <c r="CM375" s="17"/>
      <c r="CN375" s="17"/>
      <c r="CO375" s="17"/>
      <c r="CP375" s="17"/>
      <c r="CQ375" s="17"/>
      <c r="CR375" s="17"/>
      <c r="CS375" s="17"/>
      <c r="CT375" s="17"/>
      <c r="CU375" s="17"/>
      <c r="CV375" s="17"/>
      <c r="CW375" s="17"/>
      <c r="CX375" s="17"/>
      <c r="CY375" s="17"/>
      <c r="CZ375" s="17"/>
      <c r="DA375" s="17"/>
      <c r="DB375" s="17"/>
      <c r="DC375" s="17"/>
      <c r="DD375" s="17"/>
      <c r="DE375" s="17"/>
      <c r="DF375" s="17"/>
      <c r="DG375" s="17"/>
      <c r="DH375" s="17"/>
      <c r="DI375" s="17"/>
      <c r="DJ375" s="17"/>
      <c r="DK375" s="17"/>
      <c r="DL375" s="17"/>
      <c r="DM375" s="17"/>
      <c r="DN375" s="17"/>
      <c r="DO375" s="17"/>
      <c r="DP375" s="17"/>
      <c r="DQ375" s="17"/>
      <c r="DR375" s="17"/>
      <c r="DS375" s="17"/>
      <c r="DT375" s="17"/>
      <c r="DU375" s="17"/>
      <c r="DV375" s="17"/>
      <c r="DW375" s="17"/>
      <c r="DX375" s="17"/>
      <c r="DY375" s="17"/>
      <c r="DZ375" s="17"/>
      <c r="EA375" s="17"/>
      <c r="EB375" s="17"/>
      <c r="EC375" s="17"/>
      <c r="ED375" s="17"/>
      <c r="EE375" s="17"/>
      <c r="EF375" s="17"/>
      <c r="EG375" s="17"/>
      <c r="EH375" s="17"/>
      <c r="EI375" s="17"/>
      <c r="EJ375" s="17"/>
      <c r="EK375" s="17"/>
      <c r="EL375" s="17"/>
      <c r="EM375" s="17"/>
      <c r="EN375" s="17"/>
      <c r="EO375" s="17"/>
      <c r="EP375" s="17"/>
      <c r="EQ375" s="17"/>
      <c r="ER375" s="17"/>
      <c r="ES375" s="17"/>
      <c r="ET375" s="17"/>
      <c r="EU375" s="17"/>
      <c r="EV375" s="17"/>
      <c r="EW375" s="17"/>
      <c r="EX375" s="17"/>
      <c r="EY375" s="17"/>
      <c r="EZ375" s="17"/>
      <c r="FA375" s="17"/>
      <c r="FB375" s="17"/>
      <c r="FC375" s="17"/>
      <c r="FD375" s="17"/>
      <c r="FE375" s="17"/>
      <c r="FF375" s="17"/>
      <c r="FG375" s="17"/>
      <c r="FH375" s="17"/>
      <c r="FI375" s="17"/>
      <c r="FJ375" s="17"/>
      <c r="FK375" s="17"/>
      <c r="FL375" s="17"/>
      <c r="FM375" s="17"/>
      <c r="FN375" s="17"/>
      <c r="FO375" s="17"/>
      <c r="FP375" s="17"/>
      <c r="FQ375" s="17"/>
      <c r="FR375" s="17"/>
      <c r="FS375" s="17"/>
      <c r="FT375" s="17"/>
      <c r="FU375" s="17"/>
      <c r="FV375" s="17"/>
      <c r="FW375" s="17"/>
      <c r="FX375" s="17"/>
      <c r="FY375" s="17"/>
      <c r="FZ375" s="17"/>
      <c r="GA375" s="17"/>
      <c r="GB375" s="17"/>
      <c r="GC375" s="17"/>
      <c r="GD375" s="17"/>
      <c r="GE375" s="17"/>
      <c r="GF375" s="17"/>
      <c r="GG375" s="17"/>
      <c r="GH375" s="17"/>
      <c r="GI375" s="17"/>
      <c r="GJ375" s="17"/>
      <c r="GK375" s="17"/>
      <c r="GL375" s="17"/>
      <c r="GM375" s="17"/>
      <c r="GN375" s="17"/>
      <c r="GO375" s="17"/>
      <c r="GP375" s="17"/>
      <c r="GQ375" s="17"/>
      <c r="GR375" s="17"/>
      <c r="GS375" s="17"/>
      <c r="GT375" s="17"/>
      <c r="GU375" s="17"/>
      <c r="GV375" s="17"/>
      <c r="GW375" s="17"/>
      <c r="GX375" s="17"/>
      <c r="GY375" s="17"/>
      <c r="GZ375" s="17"/>
      <c r="HA375" s="17"/>
      <c r="HB375" s="17"/>
      <c r="HC375" s="17"/>
      <c r="HD375" s="17"/>
      <c r="HE375" s="17"/>
      <c r="HF375" s="17"/>
      <c r="HG375" s="17"/>
      <c r="HH375" s="17"/>
      <c r="HI375" s="17"/>
      <c r="HJ375" s="17"/>
      <c r="HK375" s="17"/>
      <c r="HL375" s="17"/>
      <c r="HM375" s="17"/>
      <c r="HN375" s="17"/>
      <c r="HO375" s="17"/>
      <c r="HP375" s="17"/>
      <c r="HQ375" s="17"/>
      <c r="HR375" s="17"/>
      <c r="HS375" s="17"/>
      <c r="HT375" s="17"/>
      <c r="HU375" s="17"/>
      <c r="HV375" s="17"/>
      <c r="HW375" s="17"/>
      <c r="HX375" s="17"/>
      <c r="HY375" s="17"/>
      <c r="HZ375" s="17"/>
      <c r="IA375" s="17"/>
      <c r="IB375" s="17"/>
      <c r="IC375" s="17"/>
      <c r="ID375" s="17"/>
      <c r="IE375" s="17"/>
      <c r="IF375" s="17"/>
      <c r="IG375" s="17"/>
      <c r="IH375" s="17"/>
      <c r="II375" s="17"/>
      <c r="IJ375" s="17"/>
      <c r="IK375" s="17"/>
      <c r="IL375" s="17"/>
      <c r="IM375" s="17"/>
      <c r="IN375" s="17"/>
      <c r="IO375" s="17"/>
      <c r="IP375" s="17"/>
      <c r="IQ375" s="17"/>
      <c r="IR375" s="17"/>
      <c r="IS375" s="17"/>
      <c r="IT375" s="17"/>
      <c r="IU375" s="17"/>
      <c r="IV375" s="17"/>
      <c r="IW375" s="17"/>
      <c r="IX375" s="17"/>
      <c r="IY375" s="17"/>
      <c r="IZ375" s="17"/>
      <c r="JA375" s="17"/>
      <c r="JB375" s="17"/>
      <c r="JC375" s="17"/>
      <c r="JD375" s="17"/>
      <c r="JE375" s="17"/>
      <c r="JF375" s="17"/>
      <c r="JG375" s="17"/>
      <c r="JH375" s="17"/>
      <c r="JI375" s="17"/>
      <c r="JJ375" s="17"/>
      <c r="JK375" s="17"/>
      <c r="JL375" s="17"/>
      <c r="JM375" s="17"/>
      <c r="JN375" s="17"/>
      <c r="JO375" s="17"/>
      <c r="JP375" s="17"/>
      <c r="JQ375" s="17"/>
      <c r="JR375" s="17"/>
      <c r="JS375" s="17"/>
      <c r="JT375" s="17"/>
      <c r="JU375" s="17"/>
      <c r="JV375" s="17"/>
      <c r="JW375" s="17"/>
      <c r="JX375" s="17"/>
      <c r="JY375" s="17"/>
      <c r="JZ375" s="17"/>
      <c r="KA375" s="17"/>
      <c r="KB375" s="17"/>
      <c r="KC375" s="17"/>
      <c r="KD375" s="17"/>
      <c r="KE375" s="17"/>
      <c r="KF375" s="17"/>
      <c r="KG375" s="17"/>
      <c r="KH375" s="17"/>
      <c r="KI375" s="17"/>
      <c r="KJ375" s="17"/>
      <c r="KK375" s="17"/>
      <c r="KL375" s="17"/>
      <c r="KM375" s="17"/>
      <c r="KN375" s="17"/>
      <c r="KO375" s="17"/>
      <c r="KP375" s="17"/>
      <c r="KQ375" s="17"/>
      <c r="KR375" s="17"/>
      <c r="KS375" s="17"/>
      <c r="KT375" s="17"/>
      <c r="KU375" s="17"/>
      <c r="KV375" s="17"/>
      <c r="KW375" s="17"/>
      <c r="KX375" s="17"/>
      <c r="KY375" s="17"/>
    </row>
    <row r="376" spans="1:311" x14ac:dyDescent="0.25">
      <c r="A376" s="17"/>
      <c r="B376" s="17"/>
      <c r="C376" s="17"/>
      <c r="D376" s="17"/>
      <c r="E376" s="17"/>
      <c r="F376" s="17"/>
      <c r="G376" s="17"/>
      <c r="H376" s="17"/>
      <c r="I376" s="17"/>
      <c r="J376" s="17"/>
      <c r="K376" s="17"/>
      <c r="L376" s="17"/>
      <c r="M376" s="17"/>
      <c r="N376" s="17"/>
      <c r="O376" s="17"/>
      <c r="P376" s="17"/>
      <c r="Q376" s="17"/>
      <c r="R376" s="17"/>
      <c r="S376" s="17"/>
      <c r="T376" s="17"/>
      <c r="U376" s="17"/>
      <c r="V376" s="17"/>
      <c r="W376" s="17"/>
      <c r="X376" s="17"/>
      <c r="Y376" s="17"/>
      <c r="Z376" s="17"/>
      <c r="AA376" s="17"/>
      <c r="AB376" s="17"/>
      <c r="AC376" s="17"/>
      <c r="AD376" s="17"/>
      <c r="AE376" s="17"/>
      <c r="AF376" s="17"/>
      <c r="AG376" s="17"/>
      <c r="AH376" s="17"/>
      <c r="AI376" s="17"/>
      <c r="AJ376" s="17"/>
      <c r="AK376" s="17"/>
      <c r="AL376" s="17"/>
      <c r="AM376" s="17"/>
      <c r="AN376" s="17"/>
      <c r="AO376" s="17"/>
      <c r="AP376" s="17"/>
      <c r="AQ376" s="17"/>
      <c r="AR376" s="17"/>
      <c r="AS376" s="17"/>
      <c r="AT376" s="17"/>
      <c r="AU376" s="17"/>
      <c r="AV376" s="17"/>
      <c r="AW376" s="17"/>
      <c r="AX376" s="17"/>
      <c r="AY376" s="17"/>
      <c r="AZ376" s="17"/>
      <c r="BA376" s="17"/>
      <c r="BB376" s="17"/>
      <c r="BC376" s="17"/>
      <c r="BD376" s="17"/>
      <c r="BE376" s="17"/>
      <c r="BF376" s="17"/>
      <c r="BG376" s="17"/>
      <c r="BH376" s="17"/>
      <c r="BI376" s="17"/>
      <c r="BJ376" s="17"/>
      <c r="BK376" s="17"/>
      <c r="BL376" s="17"/>
      <c r="BM376" s="17"/>
      <c r="BN376" s="17"/>
      <c r="BO376" s="17"/>
      <c r="BP376" s="17"/>
      <c r="BQ376" s="17"/>
      <c r="BR376" s="17"/>
      <c r="BS376" s="17"/>
      <c r="BT376" s="17"/>
      <c r="BU376" s="17"/>
      <c r="BV376" s="17"/>
      <c r="BW376" s="17"/>
      <c r="BX376" s="17"/>
      <c r="BY376" s="17"/>
      <c r="BZ376" s="17"/>
      <c r="CA376" s="17"/>
      <c r="CB376" s="17"/>
      <c r="CC376" s="17"/>
      <c r="CD376" s="17"/>
      <c r="CE376" s="17"/>
      <c r="CF376" s="17"/>
      <c r="CG376" s="17"/>
      <c r="CH376" s="17"/>
      <c r="CI376" s="17"/>
      <c r="CJ376" s="17"/>
      <c r="CK376" s="17"/>
      <c r="CL376" s="17"/>
      <c r="CM376" s="17"/>
      <c r="CN376" s="17"/>
      <c r="CO376" s="17"/>
      <c r="CP376" s="17"/>
      <c r="CQ376" s="17"/>
      <c r="CR376" s="17"/>
      <c r="CS376" s="17"/>
      <c r="CT376" s="17"/>
      <c r="CU376" s="17"/>
      <c r="CV376" s="17"/>
      <c r="CW376" s="17"/>
      <c r="CX376" s="17"/>
      <c r="CY376" s="17"/>
      <c r="CZ376" s="17"/>
      <c r="DA376" s="17"/>
      <c r="DB376" s="17"/>
      <c r="DC376" s="17"/>
      <c r="DD376" s="17"/>
      <c r="DE376" s="17"/>
      <c r="DF376" s="17"/>
      <c r="DG376" s="17"/>
      <c r="DH376" s="17"/>
      <c r="DI376" s="17"/>
      <c r="DJ376" s="17"/>
      <c r="DK376" s="17"/>
      <c r="DL376" s="17"/>
      <c r="DM376" s="17"/>
      <c r="DN376" s="17"/>
      <c r="DO376" s="17"/>
      <c r="DP376" s="17"/>
      <c r="DQ376" s="17"/>
      <c r="DR376" s="17"/>
      <c r="DS376" s="17"/>
      <c r="DT376" s="17"/>
      <c r="DU376" s="17"/>
      <c r="DV376" s="17"/>
      <c r="DW376" s="17"/>
      <c r="DX376" s="17"/>
      <c r="DY376" s="17"/>
      <c r="DZ376" s="17"/>
      <c r="EA376" s="17"/>
      <c r="EB376" s="17"/>
      <c r="EC376" s="17"/>
      <c r="ED376" s="17"/>
      <c r="EE376" s="17"/>
      <c r="EF376" s="17"/>
      <c r="EG376" s="17"/>
      <c r="EH376" s="17"/>
      <c r="EI376" s="17"/>
      <c r="EJ376" s="17"/>
      <c r="EK376" s="17"/>
      <c r="EL376" s="17"/>
      <c r="EM376" s="17"/>
      <c r="EN376" s="17"/>
      <c r="EO376" s="17"/>
      <c r="EP376" s="17"/>
      <c r="EQ376" s="17"/>
      <c r="ER376" s="17"/>
      <c r="ES376" s="17"/>
      <c r="ET376" s="17"/>
      <c r="EU376" s="17"/>
      <c r="EV376" s="17"/>
      <c r="EW376" s="17"/>
      <c r="EX376" s="17"/>
      <c r="EY376" s="17"/>
      <c r="EZ376" s="17"/>
      <c r="FA376" s="17"/>
      <c r="FB376" s="17"/>
      <c r="FC376" s="17"/>
      <c r="FD376" s="17"/>
      <c r="FE376" s="17"/>
      <c r="FF376" s="17"/>
      <c r="FG376" s="17"/>
      <c r="FH376" s="17"/>
      <c r="FI376" s="17"/>
      <c r="FJ376" s="17"/>
      <c r="FK376" s="17"/>
      <c r="FL376" s="17"/>
      <c r="FM376" s="17"/>
      <c r="FN376" s="17"/>
      <c r="FO376" s="17"/>
      <c r="FP376" s="17"/>
      <c r="FQ376" s="17"/>
      <c r="FR376" s="17"/>
      <c r="FS376" s="17"/>
      <c r="FT376" s="17"/>
      <c r="FU376" s="17"/>
      <c r="FV376" s="17"/>
      <c r="FW376" s="17"/>
      <c r="FX376" s="17"/>
      <c r="FY376" s="17"/>
      <c r="FZ376" s="17"/>
      <c r="GA376" s="17"/>
      <c r="GB376" s="17"/>
      <c r="GC376" s="17"/>
      <c r="GD376" s="17"/>
      <c r="GE376" s="17"/>
      <c r="GF376" s="17"/>
      <c r="GG376" s="17"/>
      <c r="GH376" s="17"/>
      <c r="GI376" s="17"/>
      <c r="GJ376" s="17"/>
      <c r="GK376" s="17"/>
      <c r="GL376" s="17"/>
      <c r="GM376" s="17"/>
      <c r="GN376" s="17"/>
      <c r="GO376" s="17"/>
      <c r="GP376" s="17"/>
      <c r="GQ376" s="17"/>
      <c r="GR376" s="17"/>
      <c r="GS376" s="17"/>
      <c r="GT376" s="17"/>
      <c r="GU376" s="17"/>
      <c r="GV376" s="17"/>
      <c r="GW376" s="17"/>
      <c r="GX376" s="17"/>
      <c r="GY376" s="17"/>
      <c r="GZ376" s="17"/>
      <c r="HA376" s="17"/>
      <c r="HB376" s="17"/>
      <c r="HC376" s="17"/>
      <c r="HD376" s="17"/>
      <c r="HE376" s="17"/>
      <c r="HF376" s="17"/>
      <c r="HG376" s="17"/>
      <c r="HH376" s="17"/>
      <c r="HI376" s="17"/>
      <c r="HJ376" s="17"/>
      <c r="HK376" s="17"/>
      <c r="HL376" s="17"/>
      <c r="HM376" s="17"/>
      <c r="HN376" s="17"/>
      <c r="HO376" s="17"/>
      <c r="HP376" s="17"/>
      <c r="HQ376" s="17"/>
      <c r="HR376" s="17"/>
      <c r="HS376" s="17"/>
      <c r="HT376" s="17"/>
      <c r="HU376" s="17"/>
      <c r="HV376" s="17"/>
      <c r="HW376" s="17"/>
      <c r="HX376" s="17"/>
      <c r="HY376" s="17"/>
      <c r="HZ376" s="17"/>
      <c r="IA376" s="17"/>
      <c r="IB376" s="17"/>
      <c r="IC376" s="17"/>
      <c r="ID376" s="17"/>
      <c r="IE376" s="17"/>
      <c r="IF376" s="17"/>
      <c r="IG376" s="17"/>
      <c r="IH376" s="17"/>
      <c r="II376" s="17"/>
      <c r="IJ376" s="17"/>
      <c r="IK376" s="17"/>
      <c r="IL376" s="17"/>
      <c r="IM376" s="17"/>
      <c r="IN376" s="17"/>
      <c r="IO376" s="17"/>
      <c r="IP376" s="17"/>
      <c r="IQ376" s="17"/>
      <c r="IR376" s="17"/>
      <c r="IS376" s="17"/>
      <c r="IT376" s="17"/>
      <c r="IU376" s="17"/>
      <c r="IV376" s="17"/>
      <c r="IW376" s="17"/>
      <c r="IX376" s="17"/>
      <c r="IY376" s="17"/>
      <c r="IZ376" s="17"/>
      <c r="JA376" s="17"/>
      <c r="JB376" s="17"/>
      <c r="JC376" s="17"/>
      <c r="JD376" s="17"/>
      <c r="JE376" s="17"/>
      <c r="JF376" s="17"/>
      <c r="JG376" s="17"/>
      <c r="JH376" s="17"/>
      <c r="JI376" s="17"/>
      <c r="JJ376" s="17"/>
      <c r="JK376" s="17"/>
      <c r="JL376" s="17"/>
      <c r="JM376" s="17"/>
      <c r="JN376" s="17"/>
      <c r="JO376" s="17"/>
      <c r="JP376" s="17"/>
      <c r="JQ376" s="17"/>
      <c r="JR376" s="17"/>
      <c r="JS376" s="17"/>
      <c r="JT376" s="17"/>
      <c r="JU376" s="17"/>
      <c r="JV376" s="17"/>
      <c r="JW376" s="17"/>
      <c r="JX376" s="17"/>
      <c r="JY376" s="17"/>
      <c r="JZ376" s="17"/>
      <c r="KA376" s="17"/>
      <c r="KB376" s="17"/>
      <c r="KC376" s="17"/>
      <c r="KD376" s="17"/>
      <c r="KE376" s="17"/>
      <c r="KF376" s="17"/>
      <c r="KG376" s="17"/>
      <c r="KH376" s="17"/>
      <c r="KI376" s="17"/>
      <c r="KJ376" s="17"/>
      <c r="KK376" s="17"/>
      <c r="KL376" s="17"/>
      <c r="KM376" s="17"/>
      <c r="KN376" s="17"/>
      <c r="KO376" s="17"/>
      <c r="KP376" s="17"/>
      <c r="KQ376" s="17"/>
      <c r="KR376" s="17"/>
      <c r="KS376" s="17"/>
      <c r="KT376" s="17"/>
      <c r="KU376" s="17"/>
      <c r="KV376" s="17"/>
      <c r="KW376" s="17"/>
      <c r="KX376" s="17"/>
      <c r="KY376" s="17"/>
    </row>
    <row r="377" spans="1:311" x14ac:dyDescent="0.25">
      <c r="A377" s="17"/>
      <c r="B377" s="17"/>
      <c r="C377" s="17"/>
      <c r="D377" s="17"/>
      <c r="E377" s="17"/>
      <c r="F377" s="17"/>
      <c r="G377" s="17"/>
      <c r="H377" s="17"/>
      <c r="I377" s="17"/>
      <c r="J377" s="17"/>
      <c r="K377" s="17"/>
      <c r="L377" s="17"/>
      <c r="M377" s="17"/>
      <c r="N377" s="17"/>
      <c r="O377" s="17"/>
      <c r="P377" s="17"/>
      <c r="Q377" s="17"/>
      <c r="R377" s="17"/>
      <c r="S377" s="17"/>
      <c r="T377" s="17"/>
      <c r="U377" s="17"/>
      <c r="V377" s="17"/>
      <c r="W377" s="17"/>
      <c r="X377" s="17"/>
      <c r="Y377" s="17"/>
      <c r="Z377" s="17"/>
      <c r="AA377" s="17"/>
      <c r="AB377" s="17"/>
      <c r="AC377" s="17"/>
      <c r="AD377" s="17"/>
      <c r="AE377" s="17"/>
      <c r="AF377" s="17"/>
      <c r="AG377" s="17"/>
      <c r="AH377" s="17"/>
      <c r="AI377" s="17"/>
      <c r="AJ377" s="17"/>
      <c r="AK377" s="17"/>
      <c r="AL377" s="17"/>
      <c r="AM377" s="17"/>
      <c r="AN377" s="17"/>
      <c r="AO377" s="17"/>
      <c r="AP377" s="17"/>
      <c r="AQ377" s="17"/>
      <c r="AR377" s="17"/>
      <c r="AS377" s="17"/>
      <c r="AT377" s="17"/>
      <c r="AU377" s="17"/>
      <c r="AV377" s="17"/>
      <c r="AW377" s="17"/>
      <c r="AX377" s="17"/>
      <c r="AY377" s="17"/>
      <c r="AZ377" s="17"/>
      <c r="BA377" s="17"/>
      <c r="BB377" s="17"/>
      <c r="BC377" s="17"/>
      <c r="BD377" s="17"/>
      <c r="BE377" s="17"/>
      <c r="BF377" s="17"/>
      <c r="BG377" s="17"/>
      <c r="BH377" s="17"/>
      <c r="BI377" s="17"/>
      <c r="BJ377" s="17"/>
      <c r="BK377" s="17"/>
      <c r="BL377" s="17"/>
      <c r="BM377" s="17"/>
      <c r="BN377" s="17"/>
      <c r="BO377" s="17"/>
      <c r="BP377" s="17"/>
      <c r="BQ377" s="17"/>
      <c r="BR377" s="17"/>
      <c r="BS377" s="17"/>
      <c r="BT377" s="17"/>
      <c r="BU377" s="17"/>
      <c r="BV377" s="17"/>
      <c r="BW377" s="17"/>
      <c r="BX377" s="17"/>
      <c r="BY377" s="17"/>
      <c r="BZ377" s="17"/>
      <c r="CA377" s="17"/>
      <c r="CB377" s="17"/>
      <c r="CC377" s="17"/>
      <c r="CD377" s="17"/>
      <c r="CE377" s="17"/>
      <c r="CF377" s="17"/>
      <c r="CG377" s="17"/>
      <c r="CH377" s="17"/>
      <c r="CI377" s="17"/>
      <c r="CJ377" s="17"/>
      <c r="CK377" s="17"/>
      <c r="CL377" s="17"/>
      <c r="CM377" s="17"/>
      <c r="CN377" s="17"/>
      <c r="CO377" s="17"/>
      <c r="CP377" s="17"/>
      <c r="CQ377" s="17"/>
      <c r="CR377" s="17"/>
      <c r="CS377" s="17"/>
      <c r="CT377" s="17"/>
      <c r="CU377" s="17"/>
      <c r="CV377" s="17"/>
      <c r="CW377" s="17"/>
      <c r="CX377" s="17"/>
      <c r="CY377" s="17"/>
      <c r="CZ377" s="17"/>
      <c r="DA377" s="17"/>
      <c r="DB377" s="17"/>
      <c r="DC377" s="17"/>
      <c r="DD377" s="17"/>
      <c r="DE377" s="17"/>
      <c r="DF377" s="17"/>
      <c r="DG377" s="17"/>
      <c r="DH377" s="17"/>
      <c r="DI377" s="17"/>
      <c r="DJ377" s="17"/>
      <c r="DK377" s="17"/>
      <c r="DL377" s="17"/>
      <c r="DM377" s="17"/>
      <c r="DN377" s="17"/>
      <c r="DO377" s="17"/>
      <c r="DP377" s="17"/>
      <c r="DQ377" s="17"/>
      <c r="DR377" s="17"/>
      <c r="DS377" s="17"/>
      <c r="DT377" s="17"/>
      <c r="DU377" s="17"/>
      <c r="DV377" s="17"/>
      <c r="DW377" s="17"/>
      <c r="DX377" s="17"/>
      <c r="DY377" s="17"/>
      <c r="DZ377" s="17"/>
      <c r="EA377" s="17"/>
      <c r="EB377" s="17"/>
      <c r="EC377" s="17"/>
      <c r="ED377" s="17"/>
      <c r="EE377" s="17"/>
      <c r="EF377" s="17"/>
      <c r="EG377" s="17"/>
      <c r="EH377" s="17"/>
      <c r="EI377" s="17"/>
      <c r="EJ377" s="17"/>
      <c r="EK377" s="17"/>
      <c r="EL377" s="17"/>
      <c r="EM377" s="17"/>
      <c r="EN377" s="17"/>
      <c r="EO377" s="17"/>
      <c r="EP377" s="17"/>
      <c r="EQ377" s="17"/>
      <c r="ER377" s="17"/>
      <c r="ES377" s="17"/>
      <c r="ET377" s="17"/>
      <c r="EU377" s="17"/>
      <c r="EV377" s="17"/>
      <c r="EW377" s="17"/>
      <c r="EX377" s="17"/>
      <c r="EY377" s="17"/>
      <c r="EZ377" s="17"/>
      <c r="FA377" s="17"/>
      <c r="FB377" s="17"/>
      <c r="FC377" s="17"/>
      <c r="FD377" s="17"/>
      <c r="FE377" s="17"/>
      <c r="FF377" s="17"/>
      <c r="FG377" s="17"/>
      <c r="FH377" s="17"/>
      <c r="FI377" s="17"/>
      <c r="FJ377" s="17"/>
      <c r="FK377" s="17"/>
      <c r="FL377" s="17"/>
      <c r="FM377" s="17"/>
      <c r="FN377" s="17"/>
      <c r="FO377" s="17"/>
      <c r="FP377" s="17"/>
      <c r="FQ377" s="17"/>
      <c r="FR377" s="17"/>
      <c r="FS377" s="17"/>
      <c r="FT377" s="17"/>
      <c r="FU377" s="17"/>
      <c r="FV377" s="17"/>
      <c r="FW377" s="17"/>
      <c r="FX377" s="17"/>
      <c r="FY377" s="17"/>
      <c r="FZ377" s="17"/>
      <c r="GA377" s="17"/>
      <c r="GB377" s="17"/>
      <c r="GC377" s="17"/>
      <c r="GD377" s="17"/>
      <c r="GE377" s="17"/>
      <c r="GF377" s="17"/>
      <c r="GG377" s="17"/>
      <c r="GH377" s="17"/>
      <c r="GI377" s="17"/>
      <c r="GJ377" s="17"/>
      <c r="GK377" s="17"/>
      <c r="GL377" s="17"/>
      <c r="GM377" s="17"/>
      <c r="GN377" s="17"/>
      <c r="GO377" s="17"/>
      <c r="GP377" s="17"/>
      <c r="GQ377" s="17"/>
      <c r="GR377" s="17"/>
      <c r="GS377" s="17"/>
      <c r="GT377" s="17"/>
      <c r="GU377" s="17"/>
      <c r="GV377" s="17"/>
      <c r="GW377" s="17"/>
      <c r="GX377" s="17"/>
      <c r="GY377" s="17"/>
      <c r="GZ377" s="17"/>
      <c r="HA377" s="17"/>
      <c r="HB377" s="17"/>
      <c r="HC377" s="17"/>
      <c r="HD377" s="17"/>
      <c r="HE377" s="17"/>
      <c r="HF377" s="17"/>
      <c r="HG377" s="17"/>
      <c r="HH377" s="17"/>
      <c r="HI377" s="17"/>
      <c r="HJ377" s="17"/>
      <c r="HK377" s="17"/>
      <c r="HL377" s="17"/>
      <c r="HM377" s="17"/>
      <c r="HN377" s="17"/>
      <c r="HO377" s="17"/>
      <c r="HP377" s="17"/>
      <c r="HQ377" s="17"/>
      <c r="HR377" s="17"/>
      <c r="HS377" s="17"/>
      <c r="HT377" s="17"/>
      <c r="HU377" s="17"/>
      <c r="HV377" s="17"/>
      <c r="HW377" s="17"/>
      <c r="HX377" s="17"/>
      <c r="HY377" s="17"/>
      <c r="HZ377" s="17"/>
      <c r="IA377" s="17"/>
      <c r="IB377" s="17"/>
      <c r="IC377" s="17"/>
      <c r="ID377" s="17"/>
      <c r="IE377" s="17"/>
      <c r="IF377" s="17"/>
      <c r="IG377" s="17"/>
      <c r="IH377" s="17"/>
      <c r="II377" s="17"/>
      <c r="IJ377" s="17"/>
      <c r="IK377" s="17"/>
      <c r="IL377" s="17"/>
      <c r="IM377" s="17"/>
      <c r="IN377" s="17"/>
      <c r="IO377" s="17"/>
      <c r="IP377" s="17"/>
      <c r="IQ377" s="17"/>
      <c r="IR377" s="17"/>
      <c r="IS377" s="17"/>
      <c r="IT377" s="17"/>
      <c r="IU377" s="17"/>
      <c r="IV377" s="17"/>
      <c r="IW377" s="17"/>
      <c r="IX377" s="17"/>
      <c r="IY377" s="17"/>
      <c r="IZ377" s="17"/>
      <c r="JA377" s="17"/>
      <c r="JB377" s="17"/>
      <c r="JC377" s="17"/>
      <c r="JD377" s="17"/>
      <c r="JE377" s="17"/>
      <c r="JF377" s="17"/>
      <c r="JG377" s="17"/>
      <c r="JH377" s="17"/>
      <c r="JI377" s="17"/>
      <c r="JJ377" s="17"/>
      <c r="JK377" s="17"/>
      <c r="JL377" s="17"/>
      <c r="JM377" s="17"/>
      <c r="JN377" s="17"/>
      <c r="JO377" s="17"/>
      <c r="JP377" s="17"/>
      <c r="JQ377" s="17"/>
      <c r="JR377" s="17"/>
      <c r="JS377" s="17"/>
      <c r="JT377" s="17"/>
      <c r="JU377" s="17"/>
      <c r="JV377" s="17"/>
      <c r="JW377" s="17"/>
      <c r="JX377" s="17"/>
      <c r="JY377" s="17"/>
      <c r="JZ377" s="17"/>
      <c r="KA377" s="17"/>
      <c r="KB377" s="17"/>
      <c r="KC377" s="17"/>
      <c r="KD377" s="17"/>
      <c r="KE377" s="17"/>
      <c r="KF377" s="17"/>
      <c r="KG377" s="17"/>
      <c r="KH377" s="17"/>
      <c r="KI377" s="17"/>
      <c r="KJ377" s="17"/>
      <c r="KK377" s="17"/>
      <c r="KL377" s="17"/>
      <c r="KM377" s="17"/>
      <c r="KN377" s="17"/>
      <c r="KO377" s="17"/>
      <c r="KP377" s="17"/>
      <c r="KQ377" s="17"/>
      <c r="KR377" s="17"/>
      <c r="KS377" s="17"/>
      <c r="KT377" s="17"/>
      <c r="KU377" s="17"/>
      <c r="KV377" s="17"/>
      <c r="KW377" s="17"/>
      <c r="KX377" s="17"/>
      <c r="KY377" s="17"/>
    </row>
    <row r="378" spans="1:311" x14ac:dyDescent="0.25">
      <c r="A378" s="17"/>
      <c r="B378" s="17"/>
      <c r="C378" s="17"/>
      <c r="D378" s="17"/>
      <c r="E378" s="17"/>
      <c r="F378" s="17"/>
      <c r="G378" s="17"/>
      <c r="H378" s="17"/>
      <c r="I378" s="17"/>
      <c r="J378" s="17"/>
      <c r="K378" s="17"/>
      <c r="L378" s="17"/>
      <c r="M378" s="17"/>
      <c r="N378" s="17"/>
      <c r="O378" s="17"/>
      <c r="P378" s="17"/>
      <c r="Q378" s="17"/>
      <c r="R378" s="17"/>
      <c r="S378" s="17"/>
      <c r="T378" s="17"/>
      <c r="U378" s="17"/>
      <c r="V378" s="17"/>
      <c r="W378" s="17"/>
      <c r="X378" s="17"/>
      <c r="Y378" s="17"/>
      <c r="Z378" s="17"/>
      <c r="AA378" s="17"/>
      <c r="AB378" s="17"/>
      <c r="AC378" s="17"/>
      <c r="AD378" s="17"/>
      <c r="AE378" s="17"/>
      <c r="AF378" s="17"/>
      <c r="AG378" s="17"/>
      <c r="AH378" s="17"/>
      <c r="AI378" s="17"/>
      <c r="AJ378" s="17"/>
      <c r="AK378" s="17"/>
      <c r="AL378" s="17"/>
      <c r="AM378" s="17"/>
      <c r="AN378" s="17"/>
      <c r="AO378" s="17"/>
      <c r="AP378" s="17"/>
      <c r="AQ378" s="17"/>
      <c r="AR378" s="17"/>
      <c r="AS378" s="17"/>
      <c r="AT378" s="17"/>
      <c r="AU378" s="17"/>
      <c r="AV378" s="17"/>
      <c r="AW378" s="17"/>
      <c r="AX378" s="17"/>
      <c r="AY378" s="17"/>
      <c r="AZ378" s="17"/>
      <c r="BA378" s="17"/>
      <c r="BB378" s="17"/>
      <c r="BC378" s="17"/>
      <c r="BD378" s="17"/>
      <c r="BE378" s="17"/>
      <c r="BF378" s="17"/>
      <c r="BG378" s="17"/>
      <c r="BH378" s="17"/>
      <c r="BI378" s="17"/>
      <c r="BJ378" s="17"/>
      <c r="BK378" s="17"/>
      <c r="BL378" s="17"/>
      <c r="BM378" s="17"/>
      <c r="BN378" s="17"/>
      <c r="BO378" s="17"/>
      <c r="BP378" s="17"/>
      <c r="BQ378" s="17"/>
      <c r="BR378" s="17"/>
      <c r="BS378" s="17"/>
      <c r="BT378" s="17"/>
      <c r="BU378" s="17"/>
      <c r="BV378" s="17"/>
      <c r="BW378" s="17"/>
      <c r="BX378" s="17"/>
      <c r="BY378" s="17"/>
      <c r="BZ378" s="17"/>
      <c r="CA378" s="17"/>
      <c r="CB378" s="17"/>
      <c r="CC378" s="17"/>
      <c r="CD378" s="17"/>
      <c r="CE378" s="17"/>
      <c r="CF378" s="17"/>
      <c r="CG378" s="17"/>
      <c r="CH378" s="17"/>
      <c r="CI378" s="17"/>
      <c r="CJ378" s="17"/>
      <c r="CK378" s="17"/>
      <c r="CL378" s="17"/>
      <c r="CM378" s="17"/>
      <c r="CN378" s="17"/>
      <c r="CO378" s="17"/>
      <c r="CP378" s="17"/>
      <c r="CQ378" s="17"/>
      <c r="CR378" s="17"/>
      <c r="CS378" s="17"/>
      <c r="CT378" s="17"/>
      <c r="CU378" s="17"/>
      <c r="CV378" s="17"/>
      <c r="CW378" s="17"/>
      <c r="CX378" s="17"/>
      <c r="CY378" s="17"/>
      <c r="CZ378" s="17"/>
      <c r="DA378" s="17"/>
      <c r="DB378" s="17"/>
      <c r="DC378" s="17"/>
      <c r="DD378" s="17"/>
      <c r="DE378" s="17"/>
      <c r="DF378" s="17"/>
      <c r="DG378" s="17"/>
      <c r="DH378" s="17"/>
      <c r="DI378" s="17"/>
      <c r="DJ378" s="17"/>
      <c r="DK378" s="17"/>
      <c r="DL378" s="17"/>
      <c r="DM378" s="17"/>
      <c r="DN378" s="17"/>
      <c r="DO378" s="17"/>
      <c r="DP378" s="17"/>
      <c r="DQ378" s="17"/>
      <c r="DR378" s="17"/>
      <c r="DS378" s="17"/>
      <c r="DT378" s="17"/>
      <c r="DU378" s="17"/>
      <c r="DV378" s="17"/>
      <c r="DW378" s="17"/>
      <c r="DX378" s="17"/>
      <c r="DY378" s="17"/>
      <c r="DZ378" s="17"/>
      <c r="EA378" s="17"/>
      <c r="EB378" s="17"/>
      <c r="EC378" s="17"/>
      <c r="ED378" s="17"/>
      <c r="EE378" s="17"/>
      <c r="EF378" s="17"/>
      <c r="EG378" s="17"/>
      <c r="EH378" s="17"/>
      <c r="EI378" s="17"/>
      <c r="EJ378" s="17"/>
      <c r="EK378" s="17"/>
      <c r="EL378" s="17"/>
      <c r="EM378" s="17"/>
      <c r="EN378" s="17"/>
      <c r="EO378" s="17"/>
      <c r="EP378" s="17"/>
      <c r="EQ378" s="17"/>
      <c r="ER378" s="17"/>
      <c r="ES378" s="17"/>
      <c r="ET378" s="17"/>
      <c r="EU378" s="17"/>
      <c r="EV378" s="17"/>
      <c r="EW378" s="17"/>
      <c r="EX378" s="17"/>
      <c r="EY378" s="17"/>
      <c r="EZ378" s="17"/>
      <c r="FA378" s="17"/>
      <c r="FB378" s="17"/>
      <c r="FC378" s="17"/>
      <c r="FD378" s="17"/>
      <c r="FE378" s="17"/>
      <c r="FF378" s="17"/>
      <c r="FG378" s="17"/>
      <c r="FH378" s="17"/>
      <c r="FI378" s="17"/>
      <c r="FJ378" s="17"/>
      <c r="FK378" s="17"/>
      <c r="FL378" s="17"/>
      <c r="FM378" s="17"/>
      <c r="FN378" s="17"/>
      <c r="FO378" s="17"/>
      <c r="FP378" s="17"/>
      <c r="FQ378" s="17"/>
      <c r="FR378" s="17"/>
      <c r="FS378" s="17"/>
      <c r="FT378" s="17"/>
      <c r="FU378" s="17"/>
      <c r="FV378" s="17"/>
      <c r="FW378" s="17"/>
      <c r="FX378" s="17"/>
      <c r="FY378" s="17"/>
      <c r="FZ378" s="17"/>
      <c r="GA378" s="17"/>
      <c r="GB378" s="17"/>
      <c r="GC378" s="17"/>
      <c r="GD378" s="17"/>
      <c r="GE378" s="17"/>
      <c r="GF378" s="17"/>
      <c r="GG378" s="17"/>
      <c r="GH378" s="17"/>
      <c r="GI378" s="17"/>
      <c r="GJ378" s="17"/>
      <c r="GK378" s="17"/>
      <c r="GL378" s="17"/>
      <c r="GM378" s="17"/>
      <c r="GN378" s="17"/>
      <c r="GO378" s="17"/>
      <c r="GP378" s="17"/>
      <c r="GQ378" s="17"/>
      <c r="GR378" s="17"/>
      <c r="GS378" s="17"/>
      <c r="GT378" s="17"/>
      <c r="GU378" s="17"/>
      <c r="GV378" s="17"/>
      <c r="GW378" s="17"/>
      <c r="GX378" s="17"/>
      <c r="GY378" s="17"/>
      <c r="GZ378" s="17"/>
      <c r="HA378" s="17"/>
      <c r="HB378" s="17"/>
      <c r="HC378" s="17"/>
      <c r="HD378" s="17"/>
      <c r="HE378" s="17"/>
      <c r="HF378" s="17"/>
      <c r="HG378" s="17"/>
      <c r="HH378" s="17"/>
      <c r="HI378" s="17"/>
      <c r="HJ378" s="17"/>
      <c r="HK378" s="17"/>
      <c r="HL378" s="17"/>
      <c r="HM378" s="17"/>
      <c r="HN378" s="17"/>
      <c r="HO378" s="17"/>
      <c r="HP378" s="17"/>
      <c r="HQ378" s="17"/>
      <c r="HR378" s="17"/>
      <c r="HS378" s="17"/>
      <c r="HT378" s="17"/>
      <c r="HU378" s="17"/>
      <c r="HV378" s="17"/>
      <c r="HW378" s="17"/>
      <c r="HX378" s="17"/>
      <c r="HY378" s="17"/>
      <c r="HZ378" s="17"/>
      <c r="IA378" s="17"/>
      <c r="IB378" s="17"/>
      <c r="IC378" s="17"/>
      <c r="ID378" s="17"/>
      <c r="IE378" s="17"/>
      <c r="IF378" s="17"/>
      <c r="IG378" s="17"/>
      <c r="IH378" s="17"/>
      <c r="II378" s="17"/>
      <c r="IJ378" s="17"/>
      <c r="IK378" s="17"/>
      <c r="IL378" s="17"/>
      <c r="IM378" s="17"/>
      <c r="IN378" s="17"/>
      <c r="IO378" s="17"/>
      <c r="IP378" s="17"/>
      <c r="IQ378" s="17"/>
      <c r="IR378" s="17"/>
      <c r="IS378" s="17"/>
      <c r="IT378" s="17"/>
      <c r="IU378" s="17"/>
      <c r="IV378" s="17"/>
      <c r="IW378" s="17"/>
      <c r="IX378" s="17"/>
      <c r="IY378" s="17"/>
      <c r="IZ378" s="17"/>
      <c r="JA378" s="17"/>
      <c r="JB378" s="17"/>
      <c r="JC378" s="17"/>
      <c r="JD378" s="17"/>
      <c r="JE378" s="17"/>
      <c r="JF378" s="17"/>
      <c r="JG378" s="17"/>
      <c r="JH378" s="17"/>
      <c r="JI378" s="17"/>
      <c r="JJ378" s="17"/>
      <c r="JK378" s="17"/>
      <c r="JL378" s="17"/>
      <c r="JM378" s="17"/>
      <c r="JN378" s="17"/>
      <c r="JO378" s="17"/>
      <c r="JP378" s="17"/>
      <c r="JQ378" s="17"/>
      <c r="JR378" s="17"/>
      <c r="JS378" s="17"/>
      <c r="JT378" s="17"/>
      <c r="JU378" s="17"/>
      <c r="JV378" s="17"/>
      <c r="JW378" s="17"/>
      <c r="JX378" s="17"/>
      <c r="JY378" s="17"/>
      <c r="JZ378" s="17"/>
      <c r="KA378" s="17"/>
      <c r="KB378" s="17"/>
      <c r="KC378" s="17"/>
      <c r="KD378" s="17"/>
      <c r="KE378" s="17"/>
      <c r="KF378" s="17"/>
      <c r="KG378" s="17"/>
      <c r="KH378" s="17"/>
      <c r="KI378" s="17"/>
      <c r="KJ378" s="17"/>
      <c r="KK378" s="17"/>
      <c r="KL378" s="17"/>
      <c r="KM378" s="17"/>
      <c r="KN378" s="17"/>
      <c r="KO378" s="17"/>
      <c r="KP378" s="17"/>
      <c r="KQ378" s="17"/>
      <c r="KR378" s="17"/>
      <c r="KS378" s="17"/>
      <c r="KT378" s="17"/>
      <c r="KU378" s="17"/>
      <c r="KV378" s="17"/>
      <c r="KW378" s="17"/>
      <c r="KX378" s="17"/>
      <c r="KY378" s="17"/>
    </row>
    <row r="379" spans="1:311" x14ac:dyDescent="0.25">
      <c r="A379" s="17"/>
      <c r="B379" s="17"/>
      <c r="C379" s="17"/>
      <c r="D379" s="17"/>
      <c r="E379" s="17"/>
      <c r="F379" s="17"/>
      <c r="G379" s="17"/>
      <c r="H379" s="17"/>
      <c r="I379" s="17"/>
      <c r="J379" s="17"/>
      <c r="K379" s="17"/>
      <c r="L379" s="17"/>
      <c r="M379" s="17"/>
      <c r="N379" s="17"/>
      <c r="O379" s="17"/>
      <c r="P379" s="17"/>
      <c r="Q379" s="17"/>
      <c r="R379" s="17"/>
      <c r="S379" s="17"/>
      <c r="T379" s="17"/>
      <c r="U379" s="17"/>
      <c r="V379" s="17"/>
      <c r="W379" s="17"/>
      <c r="X379" s="17"/>
      <c r="Y379" s="17"/>
      <c r="Z379" s="17"/>
      <c r="AA379" s="17"/>
      <c r="AB379" s="17"/>
      <c r="AC379" s="17"/>
      <c r="AD379" s="17"/>
      <c r="AE379" s="17"/>
      <c r="AF379" s="17"/>
      <c r="AG379" s="17"/>
      <c r="AH379" s="17"/>
      <c r="AI379" s="17"/>
      <c r="AJ379" s="17"/>
      <c r="AK379" s="17"/>
      <c r="AL379" s="17"/>
      <c r="AM379" s="17"/>
      <c r="AN379" s="17"/>
      <c r="AO379" s="17"/>
      <c r="AP379" s="17"/>
      <c r="AQ379" s="17"/>
      <c r="AR379" s="17"/>
      <c r="AS379" s="17"/>
      <c r="AT379" s="17"/>
      <c r="AU379" s="17"/>
      <c r="AV379" s="17"/>
      <c r="AW379" s="17"/>
      <c r="AX379" s="17"/>
      <c r="AY379" s="17"/>
      <c r="AZ379" s="17"/>
      <c r="BA379" s="17"/>
      <c r="BB379" s="17"/>
      <c r="BC379" s="17"/>
      <c r="BD379" s="17"/>
      <c r="BE379" s="17"/>
      <c r="BF379" s="17"/>
      <c r="BG379" s="17"/>
      <c r="BH379" s="17"/>
      <c r="BI379" s="17"/>
      <c r="BJ379" s="17"/>
      <c r="BK379" s="17"/>
      <c r="BL379" s="17"/>
      <c r="BM379" s="17"/>
      <c r="BN379" s="17"/>
      <c r="BO379" s="17"/>
      <c r="BP379" s="17"/>
      <c r="BQ379" s="17"/>
      <c r="BR379" s="17"/>
      <c r="BS379" s="17"/>
      <c r="BT379" s="17"/>
      <c r="BU379" s="17"/>
      <c r="BV379" s="17"/>
      <c r="BW379" s="17"/>
      <c r="BX379" s="17"/>
      <c r="BY379" s="17"/>
      <c r="BZ379" s="17"/>
      <c r="CA379" s="17"/>
      <c r="CB379" s="17"/>
      <c r="CC379" s="17"/>
      <c r="CD379" s="17"/>
      <c r="CE379" s="17"/>
      <c r="CF379" s="17"/>
      <c r="CG379" s="17"/>
      <c r="CH379" s="17"/>
      <c r="CI379" s="17"/>
      <c r="CJ379" s="17"/>
      <c r="CK379" s="17"/>
      <c r="CL379" s="17"/>
      <c r="CM379" s="17"/>
      <c r="CN379" s="17"/>
      <c r="CO379" s="17"/>
      <c r="CP379" s="17"/>
      <c r="CQ379" s="17"/>
      <c r="CR379" s="17"/>
      <c r="CS379" s="17"/>
      <c r="CT379" s="17"/>
      <c r="CU379" s="17"/>
      <c r="CV379" s="17"/>
      <c r="CW379" s="17"/>
      <c r="CX379" s="17"/>
      <c r="CY379" s="17"/>
      <c r="CZ379" s="17"/>
      <c r="DA379" s="17"/>
      <c r="DB379" s="17"/>
      <c r="DC379" s="17"/>
      <c r="DD379" s="17"/>
      <c r="DE379" s="17"/>
      <c r="DF379" s="17"/>
      <c r="DG379" s="17"/>
      <c r="DH379" s="17"/>
      <c r="DI379" s="17"/>
      <c r="DJ379" s="17"/>
      <c r="DK379" s="17"/>
      <c r="DL379" s="17"/>
      <c r="DM379" s="17"/>
      <c r="DN379" s="17"/>
      <c r="DO379" s="17"/>
      <c r="DP379" s="17"/>
      <c r="DQ379" s="17"/>
      <c r="DR379" s="17"/>
      <c r="DS379" s="17"/>
      <c r="DT379" s="17"/>
      <c r="DU379" s="17"/>
      <c r="DV379" s="17"/>
      <c r="DW379" s="17"/>
      <c r="DX379" s="17"/>
      <c r="DY379" s="17"/>
      <c r="DZ379" s="17"/>
      <c r="EA379" s="17"/>
      <c r="EB379" s="17"/>
      <c r="EC379" s="17"/>
      <c r="ED379" s="17"/>
      <c r="EE379" s="17"/>
      <c r="EF379" s="17"/>
      <c r="EG379" s="17"/>
      <c r="EH379" s="17"/>
      <c r="EI379" s="17"/>
      <c r="EJ379" s="17"/>
      <c r="EK379" s="17"/>
      <c r="EL379" s="17"/>
      <c r="EM379" s="17"/>
      <c r="EN379" s="17"/>
      <c r="EO379" s="17"/>
      <c r="EP379" s="17"/>
      <c r="EQ379" s="17"/>
      <c r="ER379" s="17"/>
      <c r="ES379" s="17"/>
      <c r="ET379" s="17"/>
      <c r="EU379" s="17"/>
      <c r="EV379" s="17"/>
      <c r="EW379" s="17"/>
      <c r="EX379" s="17"/>
      <c r="EY379" s="17"/>
      <c r="EZ379" s="17"/>
      <c r="FA379" s="17"/>
      <c r="FB379" s="17"/>
      <c r="FC379" s="17"/>
      <c r="FD379" s="17"/>
      <c r="FE379" s="17"/>
      <c r="FF379" s="17"/>
      <c r="FG379" s="17"/>
      <c r="FH379" s="17"/>
      <c r="FI379" s="17"/>
      <c r="FJ379" s="17"/>
      <c r="FK379" s="17"/>
      <c r="FL379" s="17"/>
      <c r="FM379" s="17"/>
      <c r="FN379" s="17"/>
      <c r="FO379" s="17"/>
      <c r="FP379" s="17"/>
      <c r="FQ379" s="17"/>
      <c r="FR379" s="17"/>
      <c r="FS379" s="17"/>
      <c r="FT379" s="17"/>
      <c r="FU379" s="17"/>
      <c r="FV379" s="17"/>
      <c r="FW379" s="17"/>
      <c r="FX379" s="17"/>
      <c r="FY379" s="17"/>
      <c r="FZ379" s="17"/>
      <c r="GA379" s="17"/>
      <c r="GB379" s="17"/>
      <c r="GC379" s="17"/>
      <c r="GD379" s="17"/>
      <c r="GE379" s="17"/>
      <c r="GF379" s="17"/>
      <c r="GG379" s="17"/>
      <c r="GH379" s="17"/>
      <c r="GI379" s="17"/>
      <c r="GJ379" s="17"/>
      <c r="GK379" s="17"/>
      <c r="GL379" s="17"/>
      <c r="GM379" s="17"/>
      <c r="GN379" s="17"/>
      <c r="GO379" s="17"/>
      <c r="GP379" s="17"/>
      <c r="GQ379" s="17"/>
      <c r="GR379" s="17"/>
      <c r="GS379" s="17"/>
      <c r="GT379" s="17"/>
      <c r="GU379" s="17"/>
      <c r="GV379" s="17"/>
      <c r="GW379" s="17"/>
      <c r="GX379" s="17"/>
      <c r="GY379" s="17"/>
      <c r="GZ379" s="17"/>
      <c r="HA379" s="17"/>
      <c r="HB379" s="17"/>
      <c r="HC379" s="17"/>
      <c r="HD379" s="17"/>
      <c r="HE379" s="17"/>
      <c r="HF379" s="17"/>
      <c r="HG379" s="17"/>
      <c r="HH379" s="17"/>
      <c r="HI379" s="17"/>
      <c r="HJ379" s="17"/>
      <c r="HK379" s="17"/>
      <c r="HL379" s="17"/>
      <c r="HM379" s="17"/>
      <c r="HN379" s="17"/>
      <c r="HO379" s="17"/>
      <c r="HP379" s="17"/>
      <c r="HQ379" s="17"/>
      <c r="HR379" s="17"/>
      <c r="HS379" s="17"/>
      <c r="HT379" s="17"/>
      <c r="HU379" s="17"/>
      <c r="HV379" s="17"/>
      <c r="HW379" s="17"/>
      <c r="HX379" s="17"/>
      <c r="HY379" s="17"/>
      <c r="HZ379" s="17"/>
      <c r="IA379" s="17"/>
      <c r="IB379" s="17"/>
      <c r="IC379" s="17"/>
      <c r="ID379" s="17"/>
      <c r="IE379" s="17"/>
      <c r="IF379" s="17"/>
      <c r="IG379" s="17"/>
      <c r="IH379" s="17"/>
      <c r="II379" s="17"/>
      <c r="IJ379" s="17"/>
      <c r="IK379" s="17"/>
      <c r="IL379" s="17"/>
      <c r="IM379" s="17"/>
      <c r="IN379" s="17"/>
      <c r="IO379" s="17"/>
      <c r="IP379" s="17"/>
      <c r="IQ379" s="17"/>
      <c r="IR379" s="17"/>
      <c r="IS379" s="17"/>
      <c r="IT379" s="17"/>
      <c r="IU379" s="17"/>
      <c r="IV379" s="17"/>
      <c r="IW379" s="17"/>
      <c r="IX379" s="17"/>
      <c r="IY379" s="17"/>
      <c r="IZ379" s="17"/>
      <c r="JA379" s="17"/>
      <c r="JB379" s="17"/>
      <c r="JC379" s="17"/>
      <c r="JD379" s="17"/>
      <c r="JE379" s="17"/>
      <c r="JF379" s="17"/>
      <c r="JG379" s="17"/>
      <c r="JH379" s="17"/>
      <c r="JI379" s="17"/>
      <c r="JJ379" s="17"/>
      <c r="JK379" s="17"/>
      <c r="JL379" s="17"/>
      <c r="JM379" s="17"/>
      <c r="JN379" s="17"/>
      <c r="JO379" s="17"/>
      <c r="JP379" s="17"/>
      <c r="JQ379" s="17"/>
      <c r="JR379" s="17"/>
      <c r="JS379" s="17"/>
      <c r="JT379" s="17"/>
      <c r="JU379" s="17"/>
      <c r="JV379" s="17"/>
      <c r="JW379" s="17"/>
      <c r="JX379" s="17"/>
      <c r="JY379" s="17"/>
      <c r="JZ379" s="17"/>
      <c r="KA379" s="17"/>
      <c r="KB379" s="17"/>
      <c r="KC379" s="17"/>
      <c r="KD379" s="17"/>
      <c r="KE379" s="17"/>
      <c r="KF379" s="17"/>
      <c r="KG379" s="17"/>
      <c r="KH379" s="17"/>
      <c r="KI379" s="17"/>
      <c r="KJ379" s="17"/>
      <c r="KK379" s="17"/>
      <c r="KL379" s="17"/>
      <c r="KM379" s="17"/>
      <c r="KN379" s="17"/>
      <c r="KO379" s="17"/>
      <c r="KP379" s="17"/>
      <c r="KQ379" s="17"/>
      <c r="KR379" s="17"/>
      <c r="KS379" s="17"/>
      <c r="KT379" s="17"/>
      <c r="KU379" s="17"/>
      <c r="KV379" s="17"/>
      <c r="KW379" s="17"/>
      <c r="KX379" s="17"/>
      <c r="KY379" s="17"/>
    </row>
    <row r="380" spans="1:311" x14ac:dyDescent="0.25">
      <c r="A380" s="17"/>
      <c r="B380" s="17"/>
      <c r="C380" s="17"/>
      <c r="D380" s="17"/>
      <c r="E380" s="17"/>
      <c r="F380" s="17"/>
      <c r="G380" s="17"/>
      <c r="H380" s="17"/>
      <c r="I380" s="17"/>
      <c r="J380" s="17"/>
      <c r="K380" s="17"/>
      <c r="L380" s="17"/>
      <c r="M380" s="17"/>
      <c r="N380" s="17"/>
      <c r="O380" s="17"/>
      <c r="P380" s="17"/>
      <c r="Q380" s="17"/>
      <c r="R380" s="17"/>
      <c r="S380" s="17"/>
      <c r="T380" s="17"/>
      <c r="U380" s="17"/>
      <c r="V380" s="17"/>
      <c r="W380" s="17"/>
      <c r="X380" s="17"/>
      <c r="Y380" s="17"/>
      <c r="Z380" s="17"/>
      <c r="AA380" s="17"/>
      <c r="AB380" s="17"/>
      <c r="AC380" s="17"/>
      <c r="AD380" s="17"/>
      <c r="AE380" s="17"/>
      <c r="AF380" s="17"/>
      <c r="AG380" s="17"/>
      <c r="AH380" s="17"/>
      <c r="AI380" s="17"/>
      <c r="AJ380" s="17"/>
      <c r="AK380" s="17"/>
      <c r="AL380" s="17"/>
      <c r="AM380" s="17"/>
      <c r="AN380" s="17"/>
      <c r="AO380" s="17"/>
      <c r="AP380" s="17"/>
      <c r="AQ380" s="17"/>
      <c r="AR380" s="17"/>
      <c r="AS380" s="17"/>
      <c r="AT380" s="17"/>
      <c r="AU380" s="17"/>
      <c r="AV380" s="17"/>
      <c r="AW380" s="17"/>
      <c r="AX380" s="17"/>
      <c r="AY380" s="17"/>
      <c r="AZ380" s="17"/>
      <c r="BA380" s="17"/>
      <c r="BB380" s="17"/>
      <c r="BC380" s="17"/>
      <c r="BD380" s="17"/>
      <c r="BE380" s="17"/>
      <c r="BF380" s="17"/>
      <c r="BG380" s="17"/>
      <c r="BH380" s="17"/>
      <c r="BI380" s="17"/>
      <c r="BJ380" s="17"/>
      <c r="BK380" s="17"/>
      <c r="BL380" s="17"/>
      <c r="BM380" s="17"/>
      <c r="BN380" s="17"/>
      <c r="BO380" s="17"/>
      <c r="BP380" s="17"/>
      <c r="BQ380" s="17"/>
      <c r="BR380" s="17"/>
      <c r="BS380" s="17"/>
      <c r="BT380" s="17"/>
      <c r="BU380" s="17"/>
      <c r="BV380" s="17"/>
      <c r="BW380" s="17"/>
      <c r="BX380" s="17"/>
      <c r="BY380" s="17"/>
      <c r="BZ380" s="17"/>
      <c r="CA380" s="17"/>
      <c r="CB380" s="17"/>
      <c r="CC380" s="17"/>
      <c r="CD380" s="17"/>
      <c r="CE380" s="17"/>
      <c r="CF380" s="17"/>
      <c r="CG380" s="17"/>
      <c r="CH380" s="17"/>
      <c r="CI380" s="17"/>
      <c r="CJ380" s="17"/>
      <c r="CK380" s="17"/>
      <c r="CL380" s="17"/>
      <c r="CM380" s="17"/>
      <c r="CN380" s="17"/>
      <c r="CO380" s="17"/>
      <c r="CP380" s="17"/>
      <c r="CQ380" s="17"/>
      <c r="CR380" s="17"/>
      <c r="CS380" s="17"/>
      <c r="CT380" s="17"/>
      <c r="CU380" s="17"/>
      <c r="CV380" s="17"/>
      <c r="CW380" s="17"/>
      <c r="CX380" s="17"/>
      <c r="CY380" s="17"/>
      <c r="CZ380" s="17"/>
      <c r="DA380" s="17"/>
      <c r="DB380" s="17"/>
      <c r="DC380" s="17"/>
      <c r="DD380" s="17"/>
      <c r="DE380" s="17"/>
      <c r="DF380" s="17"/>
      <c r="DG380" s="17"/>
      <c r="DH380" s="17"/>
      <c r="DI380" s="17"/>
      <c r="DJ380" s="17"/>
      <c r="DK380" s="17"/>
      <c r="DL380" s="17"/>
      <c r="DM380" s="17"/>
      <c r="DN380" s="17"/>
      <c r="DO380" s="17"/>
      <c r="DP380" s="17"/>
      <c r="DQ380" s="17"/>
      <c r="DR380" s="17"/>
      <c r="DS380" s="17"/>
      <c r="DT380" s="17"/>
      <c r="DU380" s="17"/>
      <c r="DV380" s="17"/>
      <c r="DW380" s="17"/>
      <c r="DX380" s="17"/>
      <c r="DY380" s="17"/>
      <c r="DZ380" s="17"/>
      <c r="EA380" s="17"/>
      <c r="EB380" s="17"/>
      <c r="EC380" s="17"/>
      <c r="ED380" s="17"/>
      <c r="EE380" s="17"/>
      <c r="EF380" s="17"/>
      <c r="EG380" s="17"/>
      <c r="EH380" s="17"/>
      <c r="EI380" s="17"/>
      <c r="EJ380" s="17"/>
      <c r="EK380" s="17"/>
      <c r="EL380" s="17"/>
      <c r="EM380" s="17"/>
      <c r="EN380" s="17"/>
      <c r="EO380" s="17"/>
      <c r="EP380" s="17"/>
      <c r="EQ380" s="17"/>
      <c r="ER380" s="17"/>
      <c r="ES380" s="17"/>
      <c r="ET380" s="17"/>
      <c r="EU380" s="17"/>
      <c r="EV380" s="17"/>
      <c r="EW380" s="17"/>
      <c r="EX380" s="17"/>
      <c r="EY380" s="17"/>
      <c r="EZ380" s="17"/>
      <c r="FA380" s="17"/>
      <c r="FB380" s="17"/>
      <c r="FC380" s="17"/>
      <c r="FD380" s="17"/>
      <c r="FE380" s="17"/>
      <c r="FF380" s="17"/>
      <c r="FG380" s="17"/>
      <c r="FH380" s="17"/>
      <c r="FI380" s="17"/>
      <c r="FJ380" s="17"/>
      <c r="FK380" s="17"/>
      <c r="FL380" s="17"/>
      <c r="FM380" s="17"/>
      <c r="FN380" s="17"/>
      <c r="FO380" s="17"/>
      <c r="FP380" s="17"/>
      <c r="FQ380" s="17"/>
      <c r="FR380" s="17"/>
      <c r="FS380" s="17"/>
      <c r="FT380" s="17"/>
      <c r="FU380" s="17"/>
      <c r="FV380" s="17"/>
      <c r="FW380" s="17"/>
      <c r="FX380" s="17"/>
      <c r="FY380" s="17"/>
      <c r="FZ380" s="17"/>
      <c r="GA380" s="17"/>
      <c r="GB380" s="17"/>
      <c r="GC380" s="17"/>
      <c r="GD380" s="17"/>
      <c r="GE380" s="17"/>
      <c r="GF380" s="17"/>
      <c r="GG380" s="17"/>
      <c r="GH380" s="17"/>
      <c r="GI380" s="17"/>
      <c r="GJ380" s="17"/>
      <c r="GK380" s="17"/>
      <c r="GL380" s="17"/>
      <c r="GM380" s="17"/>
      <c r="GN380" s="17"/>
      <c r="GO380" s="17"/>
      <c r="GP380" s="17"/>
      <c r="GQ380" s="17"/>
      <c r="GR380" s="17"/>
      <c r="GS380" s="17"/>
      <c r="GT380" s="17"/>
      <c r="GU380" s="17"/>
      <c r="GV380" s="17"/>
      <c r="GW380" s="17"/>
      <c r="GX380" s="17"/>
      <c r="GY380" s="17"/>
      <c r="GZ380" s="17"/>
      <c r="HA380" s="17"/>
      <c r="HB380" s="17"/>
      <c r="HC380" s="17"/>
      <c r="HD380" s="17"/>
      <c r="HE380" s="17"/>
      <c r="HF380" s="17"/>
      <c r="HG380" s="17"/>
      <c r="HH380" s="17"/>
      <c r="HI380" s="17"/>
      <c r="HJ380" s="17"/>
      <c r="HK380" s="17"/>
      <c r="HL380" s="17"/>
      <c r="HM380" s="17"/>
      <c r="HN380" s="17"/>
      <c r="HO380" s="17"/>
      <c r="HP380" s="17"/>
      <c r="HQ380" s="17"/>
      <c r="HR380" s="17"/>
      <c r="HS380" s="17"/>
      <c r="HT380" s="17"/>
      <c r="HU380" s="17"/>
      <c r="HV380" s="17"/>
      <c r="HW380" s="17"/>
      <c r="HX380" s="17"/>
      <c r="HY380" s="17"/>
      <c r="HZ380" s="17"/>
      <c r="IA380" s="17"/>
      <c r="IB380" s="17"/>
      <c r="IC380" s="17"/>
      <c r="ID380" s="17"/>
      <c r="IE380" s="17"/>
      <c r="IF380" s="17"/>
      <c r="IG380" s="17"/>
      <c r="IH380" s="17"/>
      <c r="II380" s="17"/>
      <c r="IJ380" s="17"/>
      <c r="IK380" s="17"/>
      <c r="IL380" s="17"/>
      <c r="IM380" s="17"/>
      <c r="IN380" s="17"/>
      <c r="IO380" s="17"/>
      <c r="IP380" s="17"/>
      <c r="IQ380" s="17"/>
      <c r="IR380" s="17"/>
      <c r="IS380" s="17"/>
      <c r="IT380" s="17"/>
      <c r="IU380" s="17"/>
      <c r="IV380" s="17"/>
      <c r="IW380" s="17"/>
      <c r="IX380" s="17"/>
      <c r="IY380" s="17"/>
      <c r="IZ380" s="17"/>
      <c r="JA380" s="17"/>
      <c r="JB380" s="17"/>
      <c r="JC380" s="17"/>
      <c r="JD380" s="17"/>
      <c r="JE380" s="17"/>
      <c r="JF380" s="17"/>
      <c r="JG380" s="17"/>
      <c r="JH380" s="17"/>
      <c r="JI380" s="17"/>
      <c r="JJ380" s="17"/>
      <c r="JK380" s="17"/>
      <c r="JL380" s="17"/>
      <c r="JM380" s="17"/>
      <c r="JN380" s="17"/>
      <c r="JO380" s="17"/>
      <c r="JP380" s="17"/>
      <c r="JQ380" s="17"/>
      <c r="JR380" s="17"/>
      <c r="JS380" s="17"/>
      <c r="JT380" s="17"/>
      <c r="JU380" s="17"/>
      <c r="JV380" s="17"/>
      <c r="JW380" s="17"/>
      <c r="JX380" s="17"/>
      <c r="JY380" s="17"/>
      <c r="JZ380" s="17"/>
      <c r="KA380" s="17"/>
      <c r="KB380" s="17"/>
      <c r="KC380" s="17"/>
      <c r="KD380" s="17"/>
      <c r="KE380" s="17"/>
      <c r="KF380" s="17"/>
      <c r="KG380" s="17"/>
      <c r="KH380" s="17"/>
      <c r="KI380" s="17"/>
      <c r="KJ380" s="17"/>
      <c r="KK380" s="17"/>
      <c r="KL380" s="17"/>
      <c r="KM380" s="17"/>
      <c r="KN380" s="17"/>
      <c r="KO380" s="17"/>
      <c r="KP380" s="17"/>
      <c r="KQ380" s="17"/>
      <c r="KR380" s="17"/>
      <c r="KS380" s="17"/>
      <c r="KT380" s="17"/>
      <c r="KU380" s="17"/>
      <c r="KV380" s="17"/>
      <c r="KW380" s="17"/>
      <c r="KX380" s="17"/>
      <c r="KY380" s="17"/>
    </row>
    <row r="381" spans="1:311" x14ac:dyDescent="0.25">
      <c r="A381" s="17"/>
      <c r="B381" s="17"/>
      <c r="C381" s="17"/>
      <c r="D381" s="17"/>
      <c r="E381" s="17"/>
      <c r="F381" s="17"/>
      <c r="G381" s="17"/>
      <c r="H381" s="17"/>
      <c r="I381" s="17"/>
      <c r="J381" s="17"/>
      <c r="K381" s="17"/>
      <c r="L381" s="17"/>
      <c r="M381" s="17"/>
      <c r="N381" s="17"/>
      <c r="O381" s="17"/>
      <c r="P381" s="17"/>
      <c r="Q381" s="17"/>
      <c r="R381" s="17"/>
      <c r="S381" s="17"/>
      <c r="T381" s="17"/>
      <c r="U381" s="17"/>
      <c r="V381" s="17"/>
      <c r="W381" s="17"/>
      <c r="X381" s="17"/>
      <c r="Y381" s="17"/>
      <c r="Z381" s="17"/>
      <c r="AA381" s="17"/>
      <c r="AB381" s="17"/>
      <c r="AC381" s="17"/>
      <c r="AD381" s="17"/>
      <c r="AE381" s="17"/>
      <c r="AF381" s="17"/>
      <c r="AG381" s="17"/>
      <c r="AH381" s="17"/>
      <c r="AI381" s="17"/>
      <c r="AJ381" s="17"/>
      <c r="AK381" s="17"/>
      <c r="AL381" s="17"/>
      <c r="AM381" s="17"/>
      <c r="AN381" s="17"/>
      <c r="AO381" s="17"/>
      <c r="AP381" s="17"/>
      <c r="AQ381" s="17"/>
      <c r="AR381" s="17"/>
      <c r="AS381" s="17"/>
      <c r="AT381" s="17"/>
      <c r="AU381" s="17"/>
      <c r="AV381" s="17"/>
      <c r="AW381" s="17"/>
      <c r="AX381" s="17"/>
      <c r="AY381" s="17"/>
      <c r="AZ381" s="17"/>
      <c r="BA381" s="17"/>
      <c r="BB381" s="17"/>
      <c r="BC381" s="17"/>
      <c r="BD381" s="17"/>
      <c r="BE381" s="17"/>
      <c r="BF381" s="17"/>
      <c r="BG381" s="17"/>
      <c r="BH381" s="17"/>
      <c r="BI381" s="17"/>
      <c r="BJ381" s="17"/>
      <c r="BK381" s="17"/>
      <c r="BL381" s="17"/>
      <c r="BM381" s="17"/>
      <c r="BN381" s="17"/>
      <c r="BO381" s="17"/>
      <c r="BP381" s="17"/>
      <c r="BQ381" s="17"/>
      <c r="BR381" s="17"/>
      <c r="BS381" s="17"/>
      <c r="BT381" s="17"/>
      <c r="BU381" s="17"/>
      <c r="BV381" s="17"/>
      <c r="BW381" s="17"/>
      <c r="BX381" s="17"/>
      <c r="BY381" s="17"/>
      <c r="BZ381" s="17"/>
      <c r="CA381" s="17"/>
      <c r="CB381" s="17"/>
      <c r="CC381" s="17"/>
      <c r="CD381" s="17"/>
      <c r="CE381" s="17"/>
      <c r="CF381" s="17"/>
      <c r="CG381" s="17"/>
      <c r="CH381" s="17"/>
      <c r="CI381" s="17"/>
      <c r="CJ381" s="17"/>
      <c r="CK381" s="17"/>
      <c r="CL381" s="17"/>
      <c r="CM381" s="17"/>
      <c r="CN381" s="17"/>
      <c r="CO381" s="17"/>
      <c r="CP381" s="17"/>
      <c r="CQ381" s="17"/>
      <c r="CR381" s="17"/>
      <c r="CS381" s="17"/>
      <c r="CT381" s="17"/>
      <c r="CU381" s="17"/>
      <c r="CV381" s="17"/>
      <c r="CW381" s="17"/>
      <c r="CX381" s="17"/>
      <c r="CY381" s="17"/>
      <c r="CZ381" s="17"/>
      <c r="DA381" s="17"/>
      <c r="DB381" s="17"/>
      <c r="DC381" s="17"/>
      <c r="DD381" s="17"/>
      <c r="DE381" s="17"/>
      <c r="DF381" s="17"/>
      <c r="DG381" s="17"/>
      <c r="DH381" s="17"/>
      <c r="DI381" s="17"/>
      <c r="DJ381" s="17"/>
      <c r="DK381" s="17"/>
      <c r="DL381" s="17"/>
      <c r="DM381" s="17"/>
      <c r="DN381" s="17"/>
      <c r="DO381" s="17"/>
      <c r="DP381" s="17"/>
      <c r="DQ381" s="17"/>
      <c r="DR381" s="17"/>
      <c r="DS381" s="17"/>
      <c r="DT381" s="17"/>
      <c r="DU381" s="17"/>
      <c r="DV381" s="17"/>
      <c r="DW381" s="17"/>
      <c r="DX381" s="17"/>
      <c r="DY381" s="17"/>
      <c r="DZ381" s="17"/>
      <c r="EA381" s="17"/>
      <c r="EB381" s="17"/>
      <c r="EC381" s="17"/>
      <c r="ED381" s="17"/>
      <c r="EE381" s="17"/>
      <c r="EF381" s="17"/>
      <c r="EG381" s="17"/>
      <c r="EH381" s="17"/>
      <c r="EI381" s="17"/>
      <c r="EJ381" s="17"/>
      <c r="EK381" s="17"/>
      <c r="EL381" s="17"/>
      <c r="EM381" s="17"/>
      <c r="EN381" s="17"/>
      <c r="EO381" s="17"/>
      <c r="EP381" s="17"/>
      <c r="EQ381" s="17"/>
      <c r="ER381" s="17"/>
      <c r="ES381" s="17"/>
      <c r="ET381" s="17"/>
      <c r="EU381" s="17"/>
      <c r="EV381" s="17"/>
      <c r="EW381" s="17"/>
      <c r="EX381" s="17"/>
      <c r="EY381" s="17"/>
      <c r="EZ381" s="17"/>
      <c r="FA381" s="17"/>
      <c r="FB381" s="17"/>
      <c r="FC381" s="17"/>
      <c r="FD381" s="17"/>
      <c r="FE381" s="17"/>
      <c r="FF381" s="17"/>
      <c r="FG381" s="17"/>
      <c r="FH381" s="17"/>
      <c r="FI381" s="17"/>
      <c r="FJ381" s="17"/>
      <c r="FK381" s="17"/>
      <c r="FL381" s="17"/>
      <c r="FM381" s="17"/>
      <c r="FN381" s="17"/>
      <c r="FO381" s="17"/>
      <c r="FP381" s="17"/>
      <c r="FQ381" s="17"/>
      <c r="FR381" s="17"/>
      <c r="FS381" s="17"/>
      <c r="FT381" s="17"/>
      <c r="FU381" s="17"/>
      <c r="FV381" s="17"/>
      <c r="FW381" s="17"/>
      <c r="FX381" s="17"/>
      <c r="FY381" s="17"/>
      <c r="FZ381" s="17"/>
      <c r="GA381" s="17"/>
      <c r="GB381" s="17"/>
      <c r="GC381" s="17"/>
      <c r="GD381" s="17"/>
      <c r="GE381" s="17"/>
      <c r="GF381" s="17"/>
      <c r="GG381" s="17"/>
      <c r="GH381" s="17"/>
      <c r="GI381" s="17"/>
      <c r="GJ381" s="17"/>
      <c r="GK381" s="17"/>
      <c r="GL381" s="17"/>
      <c r="GM381" s="17"/>
      <c r="GN381" s="17"/>
      <c r="GO381" s="17"/>
      <c r="GP381" s="17"/>
      <c r="GQ381" s="17"/>
      <c r="GR381" s="17"/>
      <c r="GS381" s="17"/>
      <c r="GT381" s="17"/>
      <c r="GU381" s="17"/>
      <c r="GV381" s="17"/>
      <c r="GW381" s="17"/>
      <c r="GX381" s="17"/>
      <c r="GY381" s="17"/>
      <c r="GZ381" s="17"/>
      <c r="HA381" s="17"/>
      <c r="HB381" s="17"/>
      <c r="HC381" s="17"/>
      <c r="HD381" s="17"/>
      <c r="HE381" s="17"/>
      <c r="HF381" s="17"/>
      <c r="HG381" s="17"/>
      <c r="HH381" s="17"/>
      <c r="HI381" s="17"/>
      <c r="HJ381" s="17"/>
      <c r="HK381" s="17"/>
      <c r="HL381" s="17"/>
      <c r="HM381" s="17"/>
      <c r="HN381" s="17"/>
      <c r="HO381" s="17"/>
      <c r="HP381" s="17"/>
      <c r="HQ381" s="17"/>
      <c r="HR381" s="17"/>
      <c r="HS381" s="17"/>
      <c r="HT381" s="17"/>
      <c r="HU381" s="17"/>
      <c r="HV381" s="17"/>
      <c r="HW381" s="17"/>
      <c r="HX381" s="17"/>
      <c r="HY381" s="17"/>
      <c r="HZ381" s="17"/>
      <c r="IA381" s="17"/>
      <c r="IB381" s="17"/>
      <c r="IC381" s="17"/>
      <c r="ID381" s="17"/>
      <c r="IE381" s="17"/>
      <c r="IF381" s="17"/>
      <c r="IG381" s="17"/>
      <c r="IH381" s="17"/>
      <c r="II381" s="17"/>
      <c r="IJ381" s="17"/>
      <c r="IK381" s="17"/>
      <c r="IL381" s="17"/>
      <c r="IM381" s="17"/>
      <c r="IN381" s="17"/>
      <c r="IO381" s="17"/>
      <c r="IP381" s="17"/>
      <c r="IQ381" s="17"/>
      <c r="IR381" s="17"/>
      <c r="IS381" s="17"/>
      <c r="IT381" s="17"/>
      <c r="IU381" s="17"/>
      <c r="IV381" s="17"/>
      <c r="IW381" s="17"/>
      <c r="IX381" s="17"/>
      <c r="IY381" s="17"/>
      <c r="IZ381" s="17"/>
      <c r="JA381" s="17"/>
      <c r="JB381" s="17"/>
      <c r="JC381" s="17"/>
      <c r="JD381" s="17"/>
      <c r="JE381" s="17"/>
      <c r="JF381" s="17"/>
      <c r="JG381" s="17"/>
      <c r="JH381" s="17"/>
      <c r="JI381" s="17"/>
      <c r="JJ381" s="17"/>
      <c r="JK381" s="17"/>
      <c r="JL381" s="17"/>
      <c r="JM381" s="17"/>
      <c r="JN381" s="17"/>
      <c r="JO381" s="17"/>
      <c r="JP381" s="17"/>
      <c r="JQ381" s="17"/>
      <c r="JR381" s="17"/>
      <c r="JS381" s="17"/>
      <c r="JT381" s="17"/>
      <c r="JU381" s="17"/>
      <c r="JV381" s="17"/>
      <c r="JW381" s="17"/>
      <c r="JX381" s="17"/>
      <c r="JY381" s="17"/>
      <c r="JZ381" s="17"/>
      <c r="KA381" s="17"/>
      <c r="KB381" s="17"/>
      <c r="KC381" s="17"/>
      <c r="KD381" s="17"/>
      <c r="KE381" s="17"/>
      <c r="KF381" s="17"/>
      <c r="KG381" s="17"/>
      <c r="KH381" s="17"/>
      <c r="KI381" s="17"/>
      <c r="KJ381" s="17"/>
      <c r="KK381" s="17"/>
      <c r="KL381" s="17"/>
      <c r="KM381" s="17"/>
      <c r="KN381" s="17"/>
      <c r="KO381" s="17"/>
      <c r="KP381" s="17"/>
      <c r="KQ381" s="17"/>
      <c r="KR381" s="17"/>
      <c r="KS381" s="17"/>
      <c r="KT381" s="17"/>
      <c r="KU381" s="17"/>
      <c r="KV381" s="17"/>
      <c r="KW381" s="17"/>
      <c r="KX381" s="17"/>
      <c r="KY381" s="17"/>
    </row>
    <row r="382" spans="1:311" x14ac:dyDescent="0.25">
      <c r="A382" s="17"/>
      <c r="B382" s="17"/>
      <c r="C382" s="17"/>
      <c r="D382" s="17"/>
      <c r="E382" s="17"/>
      <c r="F382" s="17"/>
      <c r="G382" s="17"/>
      <c r="H382" s="17"/>
      <c r="I382" s="17"/>
      <c r="J382" s="17"/>
      <c r="K382" s="17"/>
      <c r="L382" s="17"/>
      <c r="M382" s="17"/>
      <c r="N382" s="17"/>
      <c r="O382" s="17"/>
      <c r="P382" s="17"/>
      <c r="Q382" s="17"/>
      <c r="R382" s="17"/>
      <c r="S382" s="17"/>
      <c r="T382" s="17"/>
      <c r="U382" s="17"/>
      <c r="V382" s="17"/>
      <c r="W382" s="17"/>
      <c r="X382" s="17"/>
      <c r="Y382" s="17"/>
      <c r="Z382" s="17"/>
      <c r="AA382" s="17"/>
      <c r="AB382" s="17"/>
      <c r="AC382" s="17"/>
      <c r="AD382" s="17"/>
      <c r="AE382" s="17"/>
      <c r="AF382" s="17"/>
      <c r="AG382" s="17"/>
      <c r="AH382" s="17"/>
      <c r="AI382" s="17"/>
      <c r="AJ382" s="17"/>
      <c r="AK382" s="17"/>
      <c r="AL382" s="17"/>
      <c r="AM382" s="17"/>
      <c r="AN382" s="17"/>
      <c r="AO382" s="17"/>
      <c r="AP382" s="17"/>
      <c r="AQ382" s="17"/>
      <c r="AR382" s="17"/>
      <c r="AS382" s="17"/>
      <c r="AT382" s="17"/>
      <c r="AU382" s="17"/>
      <c r="AV382" s="17"/>
      <c r="AW382" s="17"/>
      <c r="AX382" s="17"/>
      <c r="AY382" s="17"/>
      <c r="AZ382" s="17"/>
      <c r="BA382" s="17"/>
      <c r="BB382" s="17"/>
      <c r="BC382" s="17"/>
      <c r="BD382" s="17"/>
      <c r="BE382" s="17"/>
      <c r="BF382" s="17"/>
      <c r="BG382" s="17"/>
      <c r="BH382" s="17"/>
      <c r="BI382" s="17"/>
      <c r="BJ382" s="17"/>
      <c r="BK382" s="17"/>
      <c r="BL382" s="17"/>
      <c r="BM382" s="17"/>
      <c r="BN382" s="17"/>
      <c r="BO382" s="17"/>
      <c r="BP382" s="17"/>
      <c r="BQ382" s="17"/>
      <c r="BR382" s="17"/>
      <c r="BS382" s="17"/>
      <c r="BT382" s="17"/>
      <c r="BU382" s="17"/>
      <c r="BV382" s="17"/>
      <c r="BW382" s="17"/>
      <c r="BX382" s="17"/>
      <c r="BY382" s="17"/>
      <c r="BZ382" s="17"/>
      <c r="CA382" s="17"/>
      <c r="CB382" s="17"/>
      <c r="CC382" s="17"/>
      <c r="CD382" s="17"/>
      <c r="CE382" s="17"/>
      <c r="CF382" s="17"/>
      <c r="CG382" s="17"/>
      <c r="CH382" s="17"/>
      <c r="CI382" s="17"/>
      <c r="CJ382" s="17"/>
      <c r="CK382" s="17"/>
      <c r="CL382" s="17"/>
      <c r="CM382" s="17"/>
      <c r="CN382" s="17"/>
      <c r="CO382" s="17"/>
      <c r="CP382" s="17"/>
      <c r="CQ382" s="17"/>
      <c r="CR382" s="17"/>
      <c r="CS382" s="17"/>
      <c r="CT382" s="17"/>
      <c r="CU382" s="17"/>
      <c r="CV382" s="17"/>
      <c r="CW382" s="17"/>
      <c r="CX382" s="17"/>
      <c r="CY382" s="17"/>
      <c r="CZ382" s="17"/>
      <c r="DA382" s="17"/>
      <c r="DB382" s="17"/>
      <c r="DC382" s="17"/>
      <c r="DD382" s="17"/>
      <c r="DE382" s="17"/>
      <c r="DF382" s="17"/>
      <c r="DG382" s="17"/>
      <c r="DH382" s="17"/>
      <c r="DI382" s="17"/>
      <c r="DJ382" s="17"/>
      <c r="DK382" s="17"/>
      <c r="DL382" s="17"/>
      <c r="DM382" s="17"/>
      <c r="DN382" s="17"/>
      <c r="DO382" s="17"/>
      <c r="DP382" s="17"/>
      <c r="DQ382" s="17"/>
      <c r="DR382" s="17"/>
      <c r="DS382" s="17"/>
      <c r="DT382" s="17"/>
      <c r="DU382" s="17"/>
      <c r="DV382" s="17"/>
      <c r="DW382" s="17"/>
      <c r="DX382" s="17"/>
      <c r="DY382" s="17"/>
      <c r="DZ382" s="17"/>
      <c r="EA382" s="17"/>
      <c r="EB382" s="17"/>
      <c r="EC382" s="17"/>
      <c r="ED382" s="17"/>
      <c r="EE382" s="17"/>
      <c r="EF382" s="17"/>
      <c r="EG382" s="17"/>
      <c r="EH382" s="17"/>
      <c r="EI382" s="17"/>
      <c r="EJ382" s="17"/>
      <c r="EK382" s="17"/>
      <c r="EL382" s="17"/>
      <c r="EM382" s="17"/>
      <c r="EN382" s="17"/>
      <c r="EO382" s="17"/>
      <c r="EP382" s="17"/>
      <c r="EQ382" s="17"/>
      <c r="ER382" s="17"/>
      <c r="ES382" s="17"/>
      <c r="ET382" s="17"/>
      <c r="EU382" s="17"/>
      <c r="EV382" s="17"/>
      <c r="EW382" s="17"/>
      <c r="EX382" s="17"/>
      <c r="EY382" s="17"/>
      <c r="EZ382" s="17"/>
      <c r="FA382" s="17"/>
      <c r="FB382" s="17"/>
      <c r="FC382" s="17"/>
      <c r="FD382" s="17"/>
      <c r="FE382" s="17"/>
      <c r="FF382" s="17"/>
      <c r="FG382" s="17"/>
      <c r="FH382" s="17"/>
      <c r="FI382" s="17"/>
      <c r="FJ382" s="17"/>
      <c r="FK382" s="17"/>
      <c r="FL382" s="17"/>
      <c r="FM382" s="17"/>
      <c r="FN382" s="17"/>
      <c r="FO382" s="17"/>
      <c r="FP382" s="17"/>
      <c r="FQ382" s="17"/>
      <c r="FR382" s="17"/>
      <c r="FS382" s="17"/>
      <c r="FT382" s="17"/>
      <c r="FU382" s="17"/>
      <c r="FV382" s="17"/>
      <c r="FW382" s="17"/>
      <c r="FX382" s="17"/>
      <c r="FY382" s="17"/>
      <c r="FZ382" s="17"/>
      <c r="GA382" s="17"/>
      <c r="GB382" s="17"/>
      <c r="GC382" s="17"/>
      <c r="GD382" s="17"/>
      <c r="GE382" s="17"/>
      <c r="GF382" s="17"/>
      <c r="GG382" s="17"/>
      <c r="GH382" s="17"/>
      <c r="GI382" s="17"/>
      <c r="GJ382" s="17"/>
      <c r="GK382" s="17"/>
      <c r="GL382" s="17"/>
      <c r="GM382" s="17"/>
      <c r="GN382" s="17"/>
      <c r="GO382" s="17"/>
      <c r="GP382" s="17"/>
      <c r="GQ382" s="17"/>
      <c r="GR382" s="17"/>
      <c r="GS382" s="17"/>
      <c r="GT382" s="17"/>
      <c r="GU382" s="17"/>
      <c r="GV382" s="17"/>
      <c r="GW382" s="17"/>
      <c r="GX382" s="17"/>
      <c r="GY382" s="17"/>
      <c r="GZ382" s="17"/>
      <c r="HA382" s="17"/>
      <c r="HB382" s="17"/>
      <c r="HC382" s="17"/>
      <c r="HD382" s="17"/>
      <c r="HE382" s="17"/>
      <c r="HF382" s="17"/>
      <c r="HG382" s="17"/>
      <c r="HH382" s="17"/>
      <c r="HI382" s="17"/>
      <c r="HJ382" s="17"/>
      <c r="HK382" s="17"/>
      <c r="HL382" s="17"/>
      <c r="HM382" s="17"/>
      <c r="HN382" s="17"/>
      <c r="HO382" s="17"/>
      <c r="HP382" s="17"/>
      <c r="HQ382" s="17"/>
      <c r="HR382" s="17"/>
      <c r="HS382" s="17"/>
      <c r="HT382" s="17"/>
      <c r="HU382" s="17"/>
      <c r="HV382" s="17"/>
      <c r="HW382" s="17"/>
      <c r="HX382" s="17"/>
      <c r="HY382" s="17"/>
      <c r="HZ382" s="17"/>
      <c r="IA382" s="17"/>
      <c r="IB382" s="17"/>
      <c r="IC382" s="17"/>
      <c r="ID382" s="17"/>
      <c r="IE382" s="17"/>
      <c r="IF382" s="17"/>
      <c r="IG382" s="17"/>
      <c r="IH382" s="17"/>
      <c r="II382" s="17"/>
      <c r="IJ382" s="17"/>
      <c r="IK382" s="17"/>
      <c r="IL382" s="17"/>
      <c r="IM382" s="17"/>
      <c r="IN382" s="17"/>
      <c r="IO382" s="17"/>
      <c r="IP382" s="17"/>
      <c r="IQ382" s="17"/>
      <c r="IR382" s="17"/>
      <c r="IS382" s="17"/>
      <c r="IT382" s="17"/>
      <c r="IU382" s="17"/>
      <c r="IV382" s="17"/>
      <c r="IW382" s="17"/>
      <c r="IX382" s="17"/>
      <c r="IY382" s="17"/>
      <c r="IZ382" s="17"/>
      <c r="JA382" s="17"/>
      <c r="JB382" s="17"/>
      <c r="JC382" s="17"/>
      <c r="JD382" s="17"/>
      <c r="JE382" s="17"/>
      <c r="JF382" s="17"/>
      <c r="JG382" s="17"/>
      <c r="JH382" s="17"/>
      <c r="JI382" s="17"/>
      <c r="JJ382" s="17"/>
      <c r="JK382" s="17"/>
      <c r="JL382" s="17"/>
      <c r="JM382" s="17"/>
      <c r="JN382" s="17"/>
      <c r="JO382" s="17"/>
      <c r="JP382" s="17"/>
      <c r="JQ382" s="17"/>
      <c r="JR382" s="17"/>
      <c r="JS382" s="17"/>
      <c r="JT382" s="17"/>
      <c r="JU382" s="17"/>
      <c r="JV382" s="17"/>
      <c r="JW382" s="17"/>
      <c r="JX382" s="17"/>
      <c r="JY382" s="17"/>
      <c r="JZ382" s="17"/>
      <c r="KA382" s="17"/>
      <c r="KB382" s="17"/>
      <c r="KC382" s="17"/>
      <c r="KD382" s="17"/>
      <c r="KE382" s="17"/>
      <c r="KF382" s="17"/>
      <c r="KG382" s="17"/>
      <c r="KH382" s="17"/>
      <c r="KI382" s="17"/>
      <c r="KJ382" s="17"/>
      <c r="KK382" s="17"/>
      <c r="KL382" s="17"/>
      <c r="KM382" s="17"/>
      <c r="KN382" s="17"/>
      <c r="KO382" s="17"/>
      <c r="KP382" s="17"/>
      <c r="KQ382" s="17"/>
      <c r="KR382" s="17"/>
      <c r="KS382" s="17"/>
      <c r="KT382" s="17"/>
      <c r="KU382" s="17"/>
      <c r="KV382" s="17"/>
      <c r="KW382" s="17"/>
      <c r="KX382" s="17"/>
      <c r="KY382" s="17"/>
    </row>
    <row r="383" spans="1:311" x14ac:dyDescent="0.25">
      <c r="A383" s="17"/>
      <c r="B383" s="17"/>
      <c r="C383" s="17"/>
      <c r="D383" s="17"/>
      <c r="E383" s="17"/>
      <c r="F383" s="17"/>
      <c r="G383" s="17"/>
      <c r="H383" s="17"/>
      <c r="I383" s="17"/>
      <c r="J383" s="17"/>
      <c r="K383" s="17"/>
      <c r="L383" s="17"/>
      <c r="M383" s="17"/>
      <c r="N383" s="17"/>
      <c r="O383" s="17"/>
      <c r="P383" s="17"/>
      <c r="Q383" s="17"/>
      <c r="R383" s="17"/>
      <c r="S383" s="17"/>
      <c r="T383" s="17"/>
      <c r="U383" s="17"/>
      <c r="V383" s="17"/>
      <c r="W383" s="17"/>
      <c r="X383" s="17"/>
      <c r="Y383" s="17"/>
      <c r="Z383" s="17"/>
      <c r="AA383" s="17"/>
      <c r="AB383" s="17"/>
      <c r="AC383" s="17"/>
      <c r="AD383" s="17"/>
      <c r="AE383" s="17"/>
      <c r="AF383" s="17"/>
      <c r="AG383" s="17"/>
      <c r="AH383" s="17"/>
      <c r="AI383" s="17"/>
      <c r="AJ383" s="17"/>
      <c r="AK383" s="17"/>
      <c r="AL383" s="17"/>
      <c r="AM383" s="17"/>
      <c r="AN383" s="17"/>
      <c r="AO383" s="17"/>
      <c r="AP383" s="17"/>
      <c r="AQ383" s="17"/>
      <c r="AR383" s="17"/>
      <c r="AS383" s="17"/>
      <c r="AT383" s="17"/>
      <c r="AU383" s="17"/>
      <c r="AV383" s="17"/>
      <c r="AW383" s="17"/>
      <c r="AX383" s="17"/>
      <c r="AY383" s="17"/>
      <c r="AZ383" s="17"/>
      <c r="BA383" s="17"/>
      <c r="BB383" s="17"/>
      <c r="BC383" s="17"/>
      <c r="BD383" s="17"/>
      <c r="BE383" s="17"/>
      <c r="BF383" s="17"/>
      <c r="BG383" s="17"/>
      <c r="BH383" s="17"/>
      <c r="BI383" s="17"/>
      <c r="BJ383" s="17"/>
      <c r="BK383" s="17"/>
      <c r="BL383" s="17"/>
      <c r="BM383" s="17"/>
      <c r="BN383" s="17"/>
      <c r="BO383" s="17"/>
      <c r="BP383" s="17"/>
      <c r="BQ383" s="17"/>
      <c r="BR383" s="17"/>
      <c r="BS383" s="17"/>
      <c r="BT383" s="17"/>
      <c r="BU383" s="17"/>
      <c r="BV383" s="17"/>
      <c r="BW383" s="17"/>
      <c r="BX383" s="17"/>
      <c r="BY383" s="17"/>
      <c r="BZ383" s="17"/>
      <c r="CA383" s="17"/>
      <c r="CB383" s="17"/>
      <c r="CC383" s="17"/>
      <c r="CD383" s="17"/>
      <c r="CE383" s="17"/>
      <c r="CF383" s="17"/>
      <c r="CG383" s="17"/>
      <c r="CH383" s="17"/>
      <c r="CI383" s="17"/>
      <c r="CJ383" s="17"/>
      <c r="CK383" s="17"/>
      <c r="CL383" s="17"/>
      <c r="CM383" s="17"/>
      <c r="CN383" s="17"/>
      <c r="CO383" s="17"/>
      <c r="CP383" s="17"/>
      <c r="CQ383" s="17"/>
      <c r="CR383" s="17"/>
      <c r="CS383" s="17"/>
      <c r="CT383" s="17"/>
      <c r="CU383" s="17"/>
      <c r="CV383" s="17"/>
      <c r="CW383" s="17"/>
      <c r="CX383" s="17"/>
      <c r="CY383" s="17"/>
      <c r="CZ383" s="17"/>
      <c r="DA383" s="17"/>
      <c r="DB383" s="17"/>
      <c r="DC383" s="17"/>
      <c r="DD383" s="17"/>
      <c r="DE383" s="17"/>
      <c r="DF383" s="17"/>
      <c r="DG383" s="17"/>
      <c r="DH383" s="17"/>
      <c r="DI383" s="17"/>
      <c r="DJ383" s="17"/>
      <c r="DK383" s="17"/>
      <c r="DL383" s="17"/>
      <c r="DM383" s="17"/>
      <c r="DN383" s="17"/>
      <c r="DO383" s="17"/>
      <c r="DP383" s="17"/>
      <c r="DQ383" s="17"/>
      <c r="DR383" s="17"/>
      <c r="DS383" s="17"/>
      <c r="DT383" s="17"/>
      <c r="DU383" s="17"/>
      <c r="DV383" s="17"/>
      <c r="DW383" s="17"/>
      <c r="DX383" s="17"/>
      <c r="DY383" s="17"/>
      <c r="DZ383" s="17"/>
      <c r="EA383" s="17"/>
      <c r="EB383" s="17"/>
      <c r="EC383" s="17"/>
      <c r="ED383" s="17"/>
      <c r="EE383" s="17"/>
      <c r="EF383" s="17"/>
      <c r="EG383" s="17"/>
      <c r="EH383" s="17"/>
      <c r="EI383" s="17"/>
      <c r="EJ383" s="17"/>
      <c r="EK383" s="17"/>
      <c r="EL383" s="17"/>
      <c r="EM383" s="17"/>
      <c r="EN383" s="17"/>
      <c r="EO383" s="17"/>
      <c r="EP383" s="17"/>
      <c r="EQ383" s="17"/>
      <c r="ER383" s="17"/>
      <c r="ES383" s="17"/>
      <c r="ET383" s="17"/>
      <c r="EU383" s="17"/>
      <c r="EV383" s="17"/>
      <c r="EW383" s="17"/>
      <c r="EX383" s="17"/>
      <c r="EY383" s="17"/>
      <c r="EZ383" s="17"/>
      <c r="FA383" s="17"/>
      <c r="FB383" s="17"/>
      <c r="FC383" s="17"/>
      <c r="FD383" s="17"/>
      <c r="FE383" s="17"/>
      <c r="FF383" s="17"/>
      <c r="FG383" s="17"/>
      <c r="FH383" s="17"/>
      <c r="FI383" s="17"/>
      <c r="FJ383" s="17"/>
      <c r="FK383" s="17"/>
      <c r="FL383" s="17"/>
      <c r="FM383" s="17"/>
      <c r="FN383" s="17"/>
      <c r="FO383" s="17"/>
      <c r="FP383" s="17"/>
      <c r="FQ383" s="17"/>
      <c r="FR383" s="17"/>
      <c r="FS383" s="17"/>
      <c r="FT383" s="17"/>
      <c r="FU383" s="17"/>
      <c r="FV383" s="17"/>
      <c r="FW383" s="17"/>
      <c r="FX383" s="17"/>
      <c r="FY383" s="17"/>
      <c r="FZ383" s="17"/>
      <c r="GA383" s="17"/>
      <c r="GB383" s="17"/>
      <c r="GC383" s="17"/>
      <c r="GD383" s="17"/>
      <c r="GE383" s="17"/>
      <c r="GF383" s="17"/>
      <c r="GG383" s="17"/>
      <c r="GH383" s="17"/>
      <c r="GI383" s="17"/>
      <c r="GJ383" s="17"/>
      <c r="GK383" s="17"/>
      <c r="GL383" s="17"/>
      <c r="GM383" s="17"/>
      <c r="GN383" s="17"/>
      <c r="GO383" s="17"/>
      <c r="GP383" s="17"/>
      <c r="GQ383" s="17"/>
      <c r="GR383" s="17"/>
      <c r="GS383" s="17"/>
      <c r="GT383" s="17"/>
      <c r="GU383" s="17"/>
      <c r="GV383" s="17"/>
      <c r="GW383" s="17"/>
      <c r="GX383" s="17"/>
      <c r="GY383" s="17"/>
      <c r="GZ383" s="17"/>
      <c r="HA383" s="17"/>
      <c r="HB383" s="17"/>
      <c r="HC383" s="17"/>
      <c r="HD383" s="17"/>
      <c r="HE383" s="17"/>
      <c r="HF383" s="17"/>
      <c r="HG383" s="17"/>
      <c r="HH383" s="17"/>
      <c r="HI383" s="17"/>
      <c r="HJ383" s="17"/>
      <c r="HK383" s="17"/>
      <c r="HL383" s="17"/>
      <c r="HM383" s="17"/>
      <c r="HN383" s="17"/>
      <c r="HO383" s="17"/>
      <c r="HP383" s="17"/>
      <c r="HQ383" s="17"/>
      <c r="HR383" s="17"/>
      <c r="HS383" s="17"/>
      <c r="HT383" s="17"/>
      <c r="HU383" s="17"/>
      <c r="HV383" s="17"/>
      <c r="HW383" s="17"/>
      <c r="HX383" s="17"/>
      <c r="HY383" s="17"/>
      <c r="HZ383" s="17"/>
      <c r="IA383" s="17"/>
      <c r="IB383" s="17"/>
      <c r="IC383" s="17"/>
      <c r="ID383" s="17"/>
      <c r="IE383" s="17"/>
      <c r="IF383" s="17"/>
      <c r="IG383" s="17"/>
      <c r="IH383" s="17"/>
      <c r="II383" s="17"/>
      <c r="IJ383" s="17"/>
      <c r="IK383" s="17"/>
      <c r="IL383" s="17"/>
      <c r="IM383" s="17"/>
      <c r="IN383" s="17"/>
      <c r="IO383" s="17"/>
      <c r="IP383" s="17"/>
      <c r="IQ383" s="17"/>
      <c r="IR383" s="17"/>
      <c r="IS383" s="17"/>
      <c r="IT383" s="17"/>
      <c r="IU383" s="17"/>
      <c r="IV383" s="17"/>
      <c r="IW383" s="17"/>
      <c r="IX383" s="17"/>
      <c r="IY383" s="17"/>
      <c r="IZ383" s="17"/>
      <c r="JA383" s="17"/>
      <c r="JB383" s="17"/>
      <c r="JC383" s="17"/>
      <c r="JD383" s="17"/>
      <c r="JE383" s="17"/>
      <c r="JF383" s="17"/>
      <c r="JG383" s="17"/>
      <c r="JH383" s="17"/>
      <c r="JI383" s="17"/>
      <c r="JJ383" s="17"/>
      <c r="JK383" s="17"/>
      <c r="JL383" s="17"/>
      <c r="JM383" s="17"/>
      <c r="JN383" s="17"/>
      <c r="JO383" s="17"/>
      <c r="JP383" s="17"/>
      <c r="JQ383" s="17"/>
      <c r="JR383" s="17"/>
      <c r="JS383" s="17"/>
      <c r="JT383" s="17"/>
      <c r="JU383" s="17"/>
      <c r="JV383" s="17"/>
      <c r="JW383" s="17"/>
      <c r="JX383" s="17"/>
      <c r="JY383" s="17"/>
      <c r="JZ383" s="17"/>
      <c r="KA383" s="17"/>
      <c r="KB383" s="17"/>
      <c r="KC383" s="17"/>
      <c r="KD383" s="17"/>
      <c r="KE383" s="17"/>
      <c r="KF383" s="17"/>
      <c r="KG383" s="17"/>
      <c r="KH383" s="17"/>
      <c r="KI383" s="17"/>
      <c r="KJ383" s="17"/>
      <c r="KK383" s="17"/>
      <c r="KL383" s="17"/>
      <c r="KM383" s="17"/>
      <c r="KN383" s="17"/>
      <c r="KO383" s="17"/>
      <c r="KP383" s="17"/>
      <c r="KQ383" s="17"/>
      <c r="KR383" s="17"/>
      <c r="KS383" s="17"/>
      <c r="KT383" s="17"/>
      <c r="KU383" s="17"/>
      <c r="KV383" s="17"/>
      <c r="KW383" s="17"/>
      <c r="KX383" s="17"/>
      <c r="KY383" s="17"/>
    </row>
    <row r="384" spans="1:311" x14ac:dyDescent="0.25">
      <c r="A384" s="17"/>
      <c r="B384" s="17"/>
      <c r="C384" s="17"/>
      <c r="D384" s="17"/>
      <c r="E384" s="17"/>
      <c r="F384" s="17"/>
      <c r="G384" s="17"/>
      <c r="H384" s="17"/>
      <c r="I384" s="17"/>
      <c r="J384" s="17"/>
      <c r="K384" s="17"/>
      <c r="L384" s="17"/>
      <c r="M384" s="17"/>
      <c r="N384" s="17"/>
      <c r="O384" s="17"/>
      <c r="P384" s="17"/>
      <c r="Q384" s="17"/>
      <c r="R384" s="17"/>
      <c r="S384" s="17"/>
      <c r="T384" s="17"/>
      <c r="U384" s="17"/>
      <c r="V384" s="17"/>
      <c r="W384" s="17"/>
      <c r="X384" s="17"/>
      <c r="Y384" s="17"/>
      <c r="Z384" s="17"/>
      <c r="AA384" s="17"/>
      <c r="AB384" s="17"/>
      <c r="AC384" s="17"/>
      <c r="AD384" s="17"/>
      <c r="AE384" s="17"/>
      <c r="AF384" s="17"/>
      <c r="AG384" s="17"/>
      <c r="AH384" s="17"/>
      <c r="AI384" s="17"/>
      <c r="AJ384" s="17"/>
      <c r="AK384" s="17"/>
      <c r="AL384" s="17"/>
      <c r="AM384" s="17"/>
      <c r="AN384" s="17"/>
      <c r="AO384" s="17"/>
      <c r="AP384" s="17"/>
      <c r="AQ384" s="17"/>
      <c r="AR384" s="17"/>
      <c r="AS384" s="17"/>
      <c r="AT384" s="17"/>
      <c r="AU384" s="17"/>
      <c r="AV384" s="17"/>
      <c r="AW384" s="17"/>
      <c r="AX384" s="17"/>
      <c r="AY384" s="17"/>
      <c r="AZ384" s="17"/>
      <c r="BA384" s="17"/>
      <c r="BB384" s="17"/>
      <c r="BC384" s="17"/>
      <c r="BD384" s="17"/>
      <c r="BE384" s="17"/>
      <c r="BF384" s="17"/>
      <c r="BG384" s="17"/>
      <c r="BH384" s="17"/>
      <c r="BI384" s="17"/>
      <c r="BJ384" s="17"/>
      <c r="BK384" s="17"/>
      <c r="BL384" s="17"/>
      <c r="BM384" s="17"/>
      <c r="BN384" s="17"/>
      <c r="BO384" s="17"/>
      <c r="BP384" s="17"/>
      <c r="BQ384" s="17"/>
      <c r="BR384" s="17"/>
      <c r="BS384" s="17"/>
      <c r="BT384" s="17"/>
      <c r="BU384" s="17"/>
      <c r="BV384" s="17"/>
      <c r="BW384" s="17"/>
      <c r="BX384" s="17"/>
      <c r="BY384" s="17"/>
      <c r="BZ384" s="17"/>
      <c r="CA384" s="17"/>
      <c r="CB384" s="17"/>
      <c r="CC384" s="17"/>
      <c r="CD384" s="17"/>
      <c r="CE384" s="17"/>
      <c r="CF384" s="17"/>
      <c r="CG384" s="17"/>
      <c r="CH384" s="17"/>
      <c r="CI384" s="17"/>
      <c r="CJ384" s="17"/>
      <c r="CK384" s="17"/>
      <c r="CL384" s="17"/>
      <c r="CM384" s="17"/>
      <c r="CN384" s="17"/>
      <c r="CO384" s="17"/>
      <c r="CP384" s="17"/>
      <c r="CQ384" s="17"/>
      <c r="CR384" s="17"/>
      <c r="CS384" s="17"/>
      <c r="CT384" s="17"/>
      <c r="CU384" s="17"/>
      <c r="CV384" s="17"/>
      <c r="CW384" s="17"/>
      <c r="CX384" s="17"/>
      <c r="CY384" s="17"/>
      <c r="CZ384" s="17"/>
      <c r="DA384" s="17"/>
      <c r="DB384" s="17"/>
      <c r="DC384" s="17"/>
      <c r="DD384" s="17"/>
      <c r="DE384" s="17"/>
      <c r="DF384" s="17"/>
      <c r="DG384" s="17"/>
      <c r="DH384" s="17"/>
      <c r="DI384" s="17"/>
      <c r="DJ384" s="17"/>
      <c r="DK384" s="17"/>
      <c r="DL384" s="17"/>
      <c r="DM384" s="17"/>
      <c r="DN384" s="17"/>
      <c r="DO384" s="17"/>
      <c r="DP384" s="17"/>
      <c r="DQ384" s="17"/>
      <c r="DR384" s="17"/>
      <c r="DS384" s="17"/>
      <c r="DT384" s="17"/>
      <c r="DU384" s="17"/>
      <c r="DV384" s="17"/>
      <c r="DW384" s="17"/>
      <c r="DX384" s="17"/>
      <c r="DY384" s="17"/>
      <c r="DZ384" s="17"/>
      <c r="EA384" s="17"/>
      <c r="EB384" s="17"/>
      <c r="EC384" s="17"/>
      <c r="ED384" s="17"/>
      <c r="EE384" s="17"/>
      <c r="EF384" s="17"/>
      <c r="EG384" s="17"/>
      <c r="EH384" s="17"/>
      <c r="EI384" s="17"/>
      <c r="EJ384" s="17"/>
      <c r="EK384" s="17"/>
      <c r="EL384" s="17"/>
      <c r="EM384" s="17"/>
      <c r="EN384" s="17"/>
      <c r="EO384" s="17"/>
      <c r="EP384" s="17"/>
      <c r="EQ384" s="17"/>
      <c r="ER384" s="17"/>
      <c r="ES384" s="17"/>
      <c r="ET384" s="17"/>
      <c r="EU384" s="17"/>
      <c r="EV384" s="17"/>
      <c r="EW384" s="17"/>
      <c r="EX384" s="17"/>
      <c r="EY384" s="17"/>
      <c r="EZ384" s="17"/>
      <c r="FA384" s="17"/>
      <c r="FB384" s="17"/>
      <c r="FC384" s="17"/>
      <c r="FD384" s="17"/>
      <c r="FE384" s="17"/>
      <c r="FF384" s="17"/>
      <c r="FG384" s="17"/>
      <c r="FH384" s="17"/>
      <c r="FI384" s="17"/>
      <c r="FJ384" s="17"/>
      <c r="FK384" s="17"/>
      <c r="FL384" s="17"/>
      <c r="FM384" s="17"/>
      <c r="FN384" s="17"/>
      <c r="FO384" s="17"/>
      <c r="FP384" s="17"/>
      <c r="FQ384" s="17"/>
      <c r="FR384" s="17"/>
      <c r="FS384" s="17"/>
      <c r="FT384" s="17"/>
      <c r="FU384" s="17"/>
      <c r="FV384" s="17"/>
      <c r="FW384" s="17"/>
      <c r="FX384" s="17"/>
      <c r="FY384" s="17"/>
      <c r="FZ384" s="17"/>
      <c r="GA384" s="17"/>
      <c r="GB384" s="17"/>
      <c r="GC384" s="17"/>
      <c r="GD384" s="17"/>
      <c r="GE384" s="17"/>
      <c r="GF384" s="17"/>
      <c r="GG384" s="17"/>
      <c r="GH384" s="17"/>
      <c r="GI384" s="17"/>
      <c r="GJ384" s="17"/>
      <c r="GK384" s="17"/>
      <c r="GL384" s="17"/>
      <c r="GM384" s="17"/>
      <c r="GN384" s="17"/>
      <c r="GO384" s="17"/>
      <c r="GP384" s="17"/>
      <c r="GQ384" s="17"/>
      <c r="GR384" s="17"/>
      <c r="GS384" s="17"/>
      <c r="GT384" s="17"/>
      <c r="GU384" s="17"/>
      <c r="GV384" s="17"/>
      <c r="GW384" s="17"/>
      <c r="GX384" s="17"/>
      <c r="GY384" s="17"/>
      <c r="GZ384" s="17"/>
      <c r="HA384" s="17"/>
      <c r="HB384" s="17"/>
      <c r="HC384" s="17"/>
      <c r="HD384" s="17"/>
      <c r="HE384" s="17"/>
      <c r="HF384" s="17"/>
      <c r="HG384" s="17"/>
      <c r="HH384" s="17"/>
      <c r="HI384" s="17"/>
      <c r="HJ384" s="17"/>
      <c r="HK384" s="17"/>
      <c r="HL384" s="17"/>
      <c r="HM384" s="17"/>
      <c r="HN384" s="17"/>
      <c r="HO384" s="17"/>
      <c r="HP384" s="17"/>
      <c r="HQ384" s="17"/>
      <c r="HR384" s="17"/>
      <c r="HS384" s="17"/>
      <c r="HT384" s="17"/>
      <c r="HU384" s="17"/>
      <c r="HV384" s="17"/>
      <c r="HW384" s="17"/>
      <c r="HX384" s="17"/>
      <c r="HY384" s="17"/>
      <c r="HZ384" s="17"/>
      <c r="IA384" s="17"/>
      <c r="IB384" s="17"/>
      <c r="IC384" s="17"/>
      <c r="ID384" s="17"/>
      <c r="IE384" s="17"/>
      <c r="IF384" s="17"/>
      <c r="IG384" s="17"/>
      <c r="IH384" s="17"/>
      <c r="II384" s="17"/>
      <c r="IJ384" s="17"/>
      <c r="IK384" s="17"/>
      <c r="IL384" s="17"/>
      <c r="IM384" s="17"/>
      <c r="IN384" s="17"/>
      <c r="IO384" s="17"/>
      <c r="IP384" s="17"/>
      <c r="IQ384" s="17"/>
      <c r="IR384" s="17"/>
      <c r="IS384" s="17"/>
      <c r="IT384" s="17"/>
      <c r="IU384" s="17"/>
      <c r="IV384" s="17"/>
      <c r="IW384" s="17"/>
      <c r="IX384" s="17"/>
      <c r="IY384" s="17"/>
      <c r="IZ384" s="17"/>
      <c r="JA384" s="17"/>
      <c r="JB384" s="17"/>
      <c r="JC384" s="17"/>
      <c r="JD384" s="17"/>
      <c r="JE384" s="17"/>
      <c r="JF384" s="17"/>
      <c r="JG384" s="17"/>
      <c r="JH384" s="17"/>
      <c r="JI384" s="17"/>
      <c r="JJ384" s="17"/>
      <c r="JK384" s="17"/>
      <c r="JL384" s="17"/>
      <c r="JM384" s="17"/>
      <c r="JN384" s="17"/>
      <c r="JO384" s="17"/>
      <c r="JP384" s="17"/>
      <c r="JQ384" s="17"/>
      <c r="JR384" s="17"/>
      <c r="JS384" s="17"/>
      <c r="JT384" s="17"/>
      <c r="JU384" s="17"/>
      <c r="JV384" s="17"/>
      <c r="JW384" s="17"/>
      <c r="JX384" s="17"/>
      <c r="JY384" s="17"/>
      <c r="JZ384" s="17"/>
      <c r="KA384" s="17"/>
      <c r="KB384" s="17"/>
      <c r="KC384" s="17"/>
      <c r="KD384" s="17"/>
      <c r="KE384" s="17"/>
      <c r="KF384" s="17"/>
      <c r="KG384" s="17"/>
      <c r="KH384" s="17"/>
      <c r="KI384" s="17"/>
      <c r="KJ384" s="17"/>
      <c r="KK384" s="17"/>
      <c r="KL384" s="17"/>
      <c r="KM384" s="17"/>
      <c r="KN384" s="17"/>
      <c r="KO384" s="17"/>
      <c r="KP384" s="17"/>
      <c r="KQ384" s="17"/>
      <c r="KR384" s="17"/>
      <c r="KS384" s="17"/>
      <c r="KT384" s="17"/>
      <c r="KU384" s="17"/>
      <c r="KV384" s="17"/>
      <c r="KW384" s="17"/>
      <c r="KX384" s="17"/>
      <c r="KY384" s="17"/>
    </row>
    <row r="385" spans="1:311" x14ac:dyDescent="0.25">
      <c r="A385" s="17"/>
      <c r="B385" s="17"/>
      <c r="C385" s="17"/>
      <c r="D385" s="17"/>
      <c r="E385" s="17"/>
      <c r="F385" s="17"/>
      <c r="G385" s="17"/>
      <c r="H385" s="17"/>
      <c r="I385" s="17"/>
      <c r="J385" s="17"/>
      <c r="K385" s="17"/>
      <c r="L385" s="17"/>
      <c r="M385" s="17"/>
      <c r="N385" s="17"/>
      <c r="O385" s="17"/>
      <c r="P385" s="17"/>
      <c r="Q385" s="17"/>
      <c r="R385" s="17"/>
      <c r="S385" s="17"/>
      <c r="T385" s="17"/>
      <c r="U385" s="17"/>
      <c r="V385" s="17"/>
      <c r="W385" s="17"/>
      <c r="X385" s="17"/>
      <c r="Y385" s="17"/>
      <c r="Z385" s="17"/>
      <c r="AA385" s="17"/>
      <c r="AB385" s="17"/>
      <c r="AC385" s="17"/>
      <c r="AD385" s="17"/>
      <c r="AE385" s="17"/>
      <c r="AF385" s="17"/>
      <c r="AG385" s="17"/>
      <c r="AH385" s="17"/>
      <c r="AI385" s="17"/>
      <c r="AJ385" s="17"/>
      <c r="AK385" s="17"/>
      <c r="AL385" s="17"/>
      <c r="AM385" s="17"/>
      <c r="AN385" s="17"/>
      <c r="AO385" s="17"/>
      <c r="AP385" s="17"/>
      <c r="AQ385" s="17"/>
      <c r="AR385" s="17"/>
      <c r="AS385" s="17"/>
      <c r="AT385" s="17"/>
      <c r="AU385" s="17"/>
      <c r="AV385" s="17"/>
      <c r="AW385" s="17"/>
      <c r="AX385" s="17"/>
      <c r="AY385" s="17"/>
      <c r="AZ385" s="17"/>
      <c r="BA385" s="17"/>
      <c r="BB385" s="17"/>
      <c r="BC385" s="17"/>
      <c r="BD385" s="17"/>
      <c r="BE385" s="17"/>
      <c r="BF385" s="17"/>
      <c r="BG385" s="17"/>
      <c r="BH385" s="17"/>
      <c r="BI385" s="17"/>
      <c r="BJ385" s="17"/>
      <c r="BK385" s="17"/>
      <c r="BL385" s="17"/>
      <c r="BM385" s="17"/>
      <c r="BN385" s="17"/>
      <c r="BO385" s="17"/>
      <c r="BP385" s="17"/>
      <c r="BQ385" s="17"/>
      <c r="BR385" s="17"/>
      <c r="BS385" s="17"/>
      <c r="BT385" s="17"/>
      <c r="BU385" s="17"/>
      <c r="BV385" s="17"/>
      <c r="BW385" s="17"/>
      <c r="BX385" s="17"/>
      <c r="BY385" s="17"/>
      <c r="BZ385" s="17"/>
      <c r="CA385" s="17"/>
      <c r="CB385" s="17"/>
      <c r="CC385" s="17"/>
      <c r="CD385" s="17"/>
      <c r="CE385" s="17"/>
      <c r="CF385" s="17"/>
      <c r="CG385" s="17"/>
      <c r="CH385" s="17"/>
      <c r="CI385" s="17"/>
      <c r="CJ385" s="17"/>
      <c r="CK385" s="17"/>
      <c r="CL385" s="17"/>
      <c r="CM385" s="17"/>
      <c r="CN385" s="17"/>
      <c r="CO385" s="17"/>
      <c r="CP385" s="17"/>
      <c r="CQ385" s="17"/>
      <c r="CR385" s="17"/>
      <c r="CS385" s="17"/>
      <c r="CT385" s="17"/>
      <c r="CU385" s="17"/>
      <c r="CV385" s="17"/>
      <c r="CW385" s="17"/>
      <c r="CX385" s="17"/>
      <c r="CY385" s="17"/>
      <c r="CZ385" s="17"/>
      <c r="DA385" s="17"/>
      <c r="DB385" s="17"/>
      <c r="DC385" s="17"/>
      <c r="DD385" s="17"/>
      <c r="DE385" s="17"/>
      <c r="DF385" s="17"/>
      <c r="DG385" s="17"/>
      <c r="DH385" s="17"/>
      <c r="DI385" s="17"/>
      <c r="DJ385" s="17"/>
      <c r="DK385" s="17"/>
      <c r="DL385" s="17"/>
      <c r="DM385" s="17"/>
      <c r="DN385" s="17"/>
      <c r="DO385" s="17"/>
      <c r="DP385" s="17"/>
      <c r="DQ385" s="17"/>
      <c r="DR385" s="17"/>
      <c r="DS385" s="17"/>
      <c r="DT385" s="17"/>
      <c r="DU385" s="17"/>
      <c r="DV385" s="17"/>
      <c r="DW385" s="17"/>
      <c r="DX385" s="17"/>
      <c r="DY385" s="17"/>
      <c r="DZ385" s="17"/>
      <c r="EA385" s="17"/>
      <c r="EB385" s="17"/>
      <c r="EC385" s="17"/>
      <c r="ED385" s="17"/>
      <c r="EE385" s="17"/>
      <c r="EF385" s="17"/>
      <c r="EG385" s="17"/>
      <c r="EH385" s="17"/>
      <c r="EI385" s="17"/>
      <c r="EJ385" s="17"/>
      <c r="EK385" s="17"/>
      <c r="EL385" s="17"/>
      <c r="EM385" s="17"/>
      <c r="EN385" s="17"/>
      <c r="EO385" s="17"/>
      <c r="EP385" s="17"/>
      <c r="EQ385" s="17"/>
      <c r="ER385" s="17"/>
      <c r="ES385" s="17"/>
      <c r="ET385" s="17"/>
      <c r="EU385" s="17"/>
      <c r="EV385" s="17"/>
      <c r="EW385" s="17"/>
      <c r="EX385" s="17"/>
      <c r="EY385" s="17"/>
      <c r="EZ385" s="17"/>
      <c r="FA385" s="17"/>
      <c r="FB385" s="17"/>
      <c r="FC385" s="17"/>
      <c r="FD385" s="17"/>
      <c r="FE385" s="17"/>
      <c r="FF385" s="17"/>
      <c r="FG385" s="17"/>
      <c r="FH385" s="17"/>
      <c r="FI385" s="17"/>
      <c r="FJ385" s="17"/>
      <c r="FK385" s="17"/>
      <c r="FL385" s="17"/>
      <c r="FM385" s="17"/>
      <c r="FN385" s="17"/>
      <c r="FO385" s="17"/>
      <c r="FP385" s="17"/>
      <c r="FQ385" s="17"/>
      <c r="FR385" s="17"/>
      <c r="FS385" s="17"/>
      <c r="FT385" s="17"/>
      <c r="FU385" s="17"/>
      <c r="FV385" s="17"/>
      <c r="FW385" s="17"/>
      <c r="FX385" s="17"/>
      <c r="FY385" s="17"/>
      <c r="FZ385" s="17"/>
      <c r="GA385" s="17"/>
      <c r="GB385" s="17"/>
      <c r="GC385" s="17"/>
      <c r="GD385" s="17"/>
      <c r="GE385" s="17"/>
      <c r="GF385" s="17"/>
      <c r="GG385" s="17"/>
      <c r="GH385" s="17"/>
      <c r="GI385" s="17"/>
      <c r="GJ385" s="17"/>
      <c r="GK385" s="17"/>
      <c r="GL385" s="17"/>
      <c r="GM385" s="17"/>
      <c r="GN385" s="17"/>
      <c r="GO385" s="17"/>
      <c r="GP385" s="17"/>
      <c r="GQ385" s="17"/>
      <c r="GR385" s="17"/>
      <c r="GS385" s="17"/>
      <c r="GT385" s="17"/>
      <c r="GU385" s="17"/>
      <c r="GV385" s="17"/>
      <c r="GW385" s="17"/>
      <c r="GX385" s="17"/>
      <c r="GY385" s="17"/>
      <c r="GZ385" s="17"/>
      <c r="HA385" s="17"/>
      <c r="HB385" s="17"/>
      <c r="HC385" s="17"/>
      <c r="HD385" s="17"/>
      <c r="HE385" s="17"/>
      <c r="HF385" s="17"/>
      <c r="HG385" s="17"/>
      <c r="HH385" s="17"/>
      <c r="HI385" s="17"/>
      <c r="HJ385" s="17"/>
      <c r="HK385" s="17"/>
      <c r="HL385" s="17"/>
      <c r="HM385" s="17"/>
      <c r="HN385" s="17"/>
      <c r="HO385" s="17"/>
      <c r="HP385" s="17"/>
      <c r="HQ385" s="17"/>
      <c r="HR385" s="17"/>
      <c r="HS385" s="17"/>
      <c r="HT385" s="17"/>
      <c r="HU385" s="17"/>
      <c r="HV385" s="17"/>
      <c r="HW385" s="17"/>
      <c r="HX385" s="17"/>
      <c r="HY385" s="17"/>
      <c r="HZ385" s="17"/>
      <c r="IA385" s="17"/>
      <c r="IB385" s="17"/>
      <c r="IC385" s="17"/>
      <c r="ID385" s="17"/>
      <c r="IE385" s="17"/>
      <c r="IF385" s="17"/>
      <c r="IG385" s="17"/>
      <c r="IH385" s="17"/>
      <c r="II385" s="17"/>
      <c r="IJ385" s="17"/>
      <c r="IK385" s="17"/>
      <c r="IL385" s="17"/>
      <c r="IM385" s="17"/>
      <c r="IN385" s="17"/>
      <c r="IO385" s="17"/>
      <c r="IP385" s="17"/>
      <c r="IQ385" s="17"/>
      <c r="IR385" s="17"/>
      <c r="IS385" s="17"/>
      <c r="IT385" s="17"/>
      <c r="IU385" s="17"/>
      <c r="IV385" s="17"/>
      <c r="IW385" s="17"/>
      <c r="IX385" s="17"/>
      <c r="IY385" s="17"/>
      <c r="IZ385" s="17"/>
      <c r="JA385" s="17"/>
      <c r="JB385" s="17"/>
      <c r="JC385" s="17"/>
      <c r="JD385" s="17"/>
      <c r="JE385" s="17"/>
      <c r="JF385" s="17"/>
      <c r="JG385" s="17"/>
      <c r="JH385" s="17"/>
      <c r="JI385" s="17"/>
      <c r="JJ385" s="17"/>
      <c r="JK385" s="17"/>
      <c r="JL385" s="17"/>
      <c r="JM385" s="17"/>
      <c r="JN385" s="17"/>
      <c r="JO385" s="17"/>
      <c r="JP385" s="17"/>
      <c r="JQ385" s="17"/>
      <c r="JR385" s="17"/>
      <c r="JS385" s="17"/>
      <c r="JT385" s="17"/>
      <c r="JU385" s="17"/>
      <c r="JV385" s="17"/>
      <c r="JW385" s="17"/>
      <c r="JX385" s="17"/>
      <c r="JY385" s="17"/>
      <c r="JZ385" s="17"/>
      <c r="KA385" s="17"/>
      <c r="KB385" s="17"/>
      <c r="KC385" s="17"/>
      <c r="KD385" s="17"/>
      <c r="KE385" s="17"/>
      <c r="KF385" s="17"/>
      <c r="KG385" s="17"/>
      <c r="KH385" s="17"/>
      <c r="KI385" s="17"/>
      <c r="KJ385" s="17"/>
      <c r="KK385" s="17"/>
      <c r="KL385" s="17"/>
      <c r="KM385" s="17"/>
      <c r="KN385" s="17"/>
      <c r="KO385" s="17"/>
      <c r="KP385" s="17"/>
      <c r="KQ385" s="17"/>
      <c r="KR385" s="17"/>
      <c r="KS385" s="17"/>
      <c r="KT385" s="17"/>
      <c r="KU385" s="17"/>
      <c r="KV385" s="17"/>
      <c r="KW385" s="17"/>
      <c r="KX385" s="17"/>
      <c r="KY385" s="17"/>
    </row>
    <row r="386" spans="1:311" x14ac:dyDescent="0.25">
      <c r="A386" s="17"/>
      <c r="B386" s="17"/>
      <c r="C386" s="17"/>
      <c r="D386" s="17"/>
      <c r="E386" s="17"/>
      <c r="F386" s="17"/>
      <c r="G386" s="17"/>
      <c r="H386" s="17"/>
      <c r="I386" s="17"/>
      <c r="J386" s="17"/>
      <c r="K386" s="17"/>
      <c r="L386" s="17"/>
      <c r="M386" s="17"/>
      <c r="N386" s="17"/>
      <c r="O386" s="17"/>
      <c r="P386" s="17"/>
      <c r="Q386" s="17"/>
      <c r="R386" s="17"/>
      <c r="S386" s="17"/>
      <c r="T386" s="17"/>
      <c r="U386" s="17"/>
      <c r="V386" s="17"/>
      <c r="W386" s="17"/>
      <c r="X386" s="17"/>
      <c r="Y386" s="17"/>
      <c r="Z386" s="17"/>
      <c r="AA386" s="17"/>
      <c r="AB386" s="17"/>
      <c r="AC386" s="17"/>
      <c r="AD386" s="17"/>
      <c r="AE386" s="17"/>
      <c r="AF386" s="17"/>
      <c r="AG386" s="17"/>
      <c r="AH386" s="17"/>
      <c r="AI386" s="17"/>
      <c r="AJ386" s="17"/>
      <c r="AK386" s="17"/>
      <c r="AL386" s="17"/>
      <c r="AM386" s="17"/>
      <c r="AN386" s="17"/>
      <c r="AO386" s="17"/>
      <c r="AP386" s="17"/>
      <c r="AQ386" s="17"/>
      <c r="AR386" s="17"/>
      <c r="AS386" s="17"/>
      <c r="AT386" s="17"/>
      <c r="AU386" s="17"/>
      <c r="AV386" s="17"/>
      <c r="AW386" s="17"/>
      <c r="AX386" s="17"/>
      <c r="AY386" s="17"/>
      <c r="AZ386" s="17"/>
      <c r="BA386" s="17"/>
      <c r="BB386" s="17"/>
      <c r="BC386" s="17"/>
      <c r="BD386" s="17"/>
      <c r="BE386" s="17"/>
      <c r="BF386" s="17"/>
      <c r="BG386" s="17"/>
      <c r="BH386" s="17"/>
      <c r="BI386" s="17"/>
      <c r="BJ386" s="17"/>
      <c r="BK386" s="17"/>
      <c r="BL386" s="17"/>
      <c r="BM386" s="17"/>
      <c r="BN386" s="17"/>
      <c r="BO386" s="17"/>
      <c r="BP386" s="17"/>
      <c r="BQ386" s="17"/>
      <c r="BR386" s="17"/>
      <c r="BS386" s="17"/>
      <c r="BT386" s="17"/>
      <c r="BU386" s="17"/>
      <c r="BV386" s="17"/>
      <c r="BW386" s="17"/>
      <c r="BX386" s="17"/>
      <c r="BY386" s="17"/>
      <c r="BZ386" s="17"/>
      <c r="CA386" s="17"/>
      <c r="CB386" s="17"/>
      <c r="CC386" s="17"/>
      <c r="CD386" s="17"/>
      <c r="CE386" s="17"/>
      <c r="CF386" s="17"/>
      <c r="CG386" s="17"/>
      <c r="CH386" s="17"/>
      <c r="CI386" s="17"/>
      <c r="CJ386" s="17"/>
      <c r="CK386" s="17"/>
      <c r="CL386" s="17"/>
      <c r="CM386" s="17"/>
      <c r="CN386" s="17"/>
      <c r="CO386" s="17"/>
      <c r="CP386" s="17"/>
      <c r="CQ386" s="17"/>
      <c r="CR386" s="17"/>
      <c r="CS386" s="17"/>
      <c r="CT386" s="17"/>
      <c r="CU386" s="17"/>
      <c r="CV386" s="17"/>
      <c r="CW386" s="17"/>
      <c r="CX386" s="17"/>
      <c r="CY386" s="17"/>
      <c r="CZ386" s="17"/>
      <c r="DA386" s="17"/>
      <c r="DB386" s="17"/>
      <c r="DC386" s="17"/>
      <c r="DD386" s="17"/>
      <c r="DE386" s="17"/>
      <c r="DF386" s="17"/>
      <c r="DG386" s="17"/>
      <c r="DH386" s="17"/>
      <c r="DI386" s="17"/>
      <c r="DJ386" s="17"/>
      <c r="DK386" s="17"/>
      <c r="DL386" s="17"/>
      <c r="DM386" s="17"/>
      <c r="DN386" s="17"/>
      <c r="DO386" s="17"/>
      <c r="DP386" s="17"/>
      <c r="DQ386" s="17"/>
      <c r="DR386" s="17"/>
      <c r="DS386" s="17"/>
      <c r="DT386" s="17"/>
      <c r="DU386" s="17"/>
      <c r="DV386" s="17"/>
      <c r="DW386" s="17"/>
      <c r="DX386" s="17"/>
      <c r="DY386" s="17"/>
      <c r="DZ386" s="17"/>
      <c r="EA386" s="17"/>
      <c r="EB386" s="17"/>
      <c r="EC386" s="17"/>
      <c r="ED386" s="17"/>
      <c r="EE386" s="17"/>
      <c r="EF386" s="17"/>
      <c r="EG386" s="17"/>
      <c r="EH386" s="17"/>
      <c r="EI386" s="17"/>
      <c r="EJ386" s="17"/>
      <c r="EK386" s="17"/>
      <c r="EL386" s="17"/>
      <c r="EM386" s="17"/>
      <c r="EN386" s="17"/>
      <c r="EO386" s="17"/>
      <c r="EP386" s="17"/>
      <c r="EQ386" s="17"/>
      <c r="ER386" s="17"/>
      <c r="ES386" s="17"/>
      <c r="ET386" s="17"/>
      <c r="EU386" s="17"/>
      <c r="EV386" s="17"/>
      <c r="EW386" s="17"/>
      <c r="EX386" s="17"/>
      <c r="EY386" s="17"/>
      <c r="EZ386" s="17"/>
      <c r="FA386" s="17"/>
      <c r="FB386" s="17"/>
      <c r="FC386" s="17"/>
      <c r="FD386" s="17"/>
      <c r="FE386" s="17"/>
      <c r="FF386" s="17"/>
      <c r="FG386" s="17"/>
      <c r="FH386" s="17"/>
      <c r="FI386" s="17"/>
      <c r="FJ386" s="17"/>
      <c r="FK386" s="17"/>
      <c r="FL386" s="17"/>
      <c r="FM386" s="17"/>
      <c r="FN386" s="17"/>
      <c r="FO386" s="17"/>
      <c r="FP386" s="17"/>
      <c r="FQ386" s="17"/>
      <c r="FR386" s="17"/>
      <c r="FS386" s="17"/>
      <c r="FT386" s="17"/>
      <c r="FU386" s="17"/>
      <c r="FV386" s="17"/>
      <c r="FW386" s="17"/>
      <c r="FX386" s="17"/>
      <c r="FY386" s="17"/>
      <c r="FZ386" s="17"/>
      <c r="GA386" s="17"/>
      <c r="GB386" s="17"/>
      <c r="GC386" s="17"/>
      <c r="GD386" s="17"/>
      <c r="GE386" s="17"/>
      <c r="GF386" s="17"/>
      <c r="GG386" s="17"/>
      <c r="GH386" s="17"/>
      <c r="GI386" s="17"/>
      <c r="GJ386" s="17"/>
      <c r="GK386" s="17"/>
      <c r="GL386" s="17"/>
      <c r="GM386" s="17"/>
      <c r="GN386" s="17"/>
      <c r="GO386" s="17"/>
      <c r="GP386" s="17"/>
      <c r="GQ386" s="17"/>
      <c r="GR386" s="17"/>
      <c r="GS386" s="17"/>
      <c r="GT386" s="17"/>
      <c r="GU386" s="17"/>
      <c r="GV386" s="17"/>
      <c r="GW386" s="17"/>
      <c r="GX386" s="17"/>
      <c r="GY386" s="17"/>
      <c r="GZ386" s="17"/>
      <c r="HA386" s="17"/>
      <c r="HB386" s="17"/>
      <c r="HC386" s="17"/>
      <c r="HD386" s="17"/>
      <c r="HE386" s="17"/>
      <c r="HF386" s="17"/>
      <c r="HG386" s="17"/>
      <c r="HH386" s="17"/>
      <c r="HI386" s="17"/>
      <c r="HJ386" s="17"/>
      <c r="HK386" s="17"/>
      <c r="HL386" s="17"/>
      <c r="HM386" s="17"/>
      <c r="HN386" s="17"/>
      <c r="HO386" s="17"/>
      <c r="HP386" s="17"/>
      <c r="HQ386" s="17"/>
      <c r="HR386" s="17"/>
      <c r="HS386" s="17"/>
      <c r="HT386" s="17"/>
      <c r="HU386" s="17"/>
      <c r="HV386" s="17"/>
      <c r="HW386" s="17"/>
      <c r="HX386" s="17"/>
      <c r="HY386" s="17"/>
      <c r="HZ386" s="17"/>
      <c r="IA386" s="17"/>
      <c r="IB386" s="17"/>
      <c r="IC386" s="17"/>
      <c r="ID386" s="17"/>
      <c r="IE386" s="17"/>
      <c r="IF386" s="17"/>
      <c r="IG386" s="17"/>
      <c r="IH386" s="17"/>
      <c r="II386" s="17"/>
      <c r="IJ386" s="17"/>
      <c r="IK386" s="17"/>
      <c r="IL386" s="17"/>
      <c r="IM386" s="17"/>
      <c r="IN386" s="17"/>
      <c r="IO386" s="17"/>
      <c r="IP386" s="17"/>
      <c r="IQ386" s="17"/>
      <c r="IR386" s="17"/>
      <c r="IS386" s="17"/>
      <c r="IT386" s="17"/>
      <c r="IU386" s="17"/>
      <c r="IV386" s="17"/>
      <c r="IW386" s="17"/>
      <c r="IX386" s="17"/>
      <c r="IY386" s="17"/>
      <c r="IZ386" s="17"/>
      <c r="JA386" s="17"/>
      <c r="JB386" s="17"/>
      <c r="JC386" s="17"/>
      <c r="JD386" s="17"/>
      <c r="JE386" s="17"/>
      <c r="JF386" s="17"/>
      <c r="JG386" s="17"/>
      <c r="JH386" s="17"/>
      <c r="JI386" s="17"/>
      <c r="JJ386" s="17"/>
      <c r="JK386" s="17"/>
      <c r="JL386" s="17"/>
      <c r="JM386" s="17"/>
      <c r="JN386" s="17"/>
      <c r="JO386" s="17"/>
      <c r="JP386" s="17"/>
      <c r="JQ386" s="17"/>
      <c r="JR386" s="17"/>
      <c r="JS386" s="17"/>
      <c r="JT386" s="17"/>
      <c r="JU386" s="17"/>
      <c r="JV386" s="17"/>
      <c r="JW386" s="17"/>
      <c r="JX386" s="17"/>
      <c r="JY386" s="17"/>
      <c r="JZ386" s="17"/>
      <c r="KA386" s="17"/>
      <c r="KB386" s="17"/>
      <c r="KC386" s="17"/>
      <c r="KD386" s="17"/>
      <c r="KE386" s="17"/>
      <c r="KF386" s="17"/>
      <c r="KG386" s="17"/>
      <c r="KH386" s="17"/>
      <c r="KI386" s="17"/>
      <c r="KJ386" s="17"/>
      <c r="KK386" s="17"/>
      <c r="KL386" s="17"/>
      <c r="KM386" s="17"/>
      <c r="KN386" s="17"/>
      <c r="KO386" s="17"/>
      <c r="KP386" s="17"/>
      <c r="KQ386" s="17"/>
      <c r="KR386" s="17"/>
      <c r="KS386" s="17"/>
      <c r="KT386" s="17"/>
      <c r="KU386" s="17"/>
      <c r="KV386" s="17"/>
      <c r="KW386" s="17"/>
      <c r="KX386" s="17"/>
      <c r="KY386" s="17"/>
    </row>
    <row r="387" spans="1:311" x14ac:dyDescent="0.25">
      <c r="A387" s="17"/>
      <c r="B387" s="17"/>
      <c r="C387" s="17"/>
      <c r="D387" s="17"/>
      <c r="E387" s="17"/>
      <c r="F387" s="17"/>
      <c r="G387" s="17"/>
      <c r="H387" s="17"/>
      <c r="I387" s="17"/>
      <c r="J387" s="17"/>
      <c r="K387" s="17"/>
      <c r="L387" s="17"/>
      <c r="M387" s="17"/>
      <c r="N387" s="17"/>
      <c r="O387" s="17"/>
      <c r="P387" s="17"/>
      <c r="Q387" s="17"/>
      <c r="R387" s="17"/>
      <c r="S387" s="17"/>
      <c r="T387" s="17"/>
      <c r="U387" s="17"/>
      <c r="V387" s="17"/>
      <c r="W387" s="17"/>
      <c r="X387" s="17"/>
      <c r="Y387" s="17"/>
      <c r="Z387" s="17"/>
      <c r="AA387" s="17"/>
      <c r="AB387" s="17"/>
      <c r="AC387" s="17"/>
      <c r="AD387" s="17"/>
      <c r="AE387" s="17"/>
      <c r="AF387" s="17"/>
      <c r="AG387" s="17"/>
      <c r="AH387" s="17"/>
      <c r="AI387" s="17"/>
      <c r="AJ387" s="17"/>
      <c r="AK387" s="17"/>
      <c r="AL387" s="17"/>
      <c r="AM387" s="17"/>
      <c r="AN387" s="17"/>
      <c r="AO387" s="17"/>
      <c r="AP387" s="17"/>
      <c r="AQ387" s="17"/>
      <c r="AR387" s="17"/>
      <c r="AS387" s="17"/>
      <c r="AT387" s="17"/>
      <c r="AU387" s="17"/>
      <c r="AV387" s="17"/>
      <c r="AW387" s="17"/>
      <c r="AX387" s="17"/>
      <c r="AY387" s="17"/>
      <c r="AZ387" s="17"/>
      <c r="BA387" s="17"/>
      <c r="BB387" s="17"/>
      <c r="BC387" s="17"/>
      <c r="BD387" s="17"/>
      <c r="BE387" s="17"/>
      <c r="BF387" s="17"/>
      <c r="BG387" s="17"/>
      <c r="BH387" s="17"/>
      <c r="BI387" s="17"/>
      <c r="BJ387" s="17"/>
      <c r="BK387" s="17"/>
      <c r="BL387" s="17"/>
      <c r="BM387" s="17"/>
      <c r="BN387" s="17"/>
      <c r="BO387" s="17"/>
      <c r="BP387" s="17"/>
      <c r="BQ387" s="17"/>
      <c r="BR387" s="17"/>
      <c r="BS387" s="17"/>
      <c r="BT387" s="17"/>
      <c r="BU387" s="17"/>
      <c r="BV387" s="17"/>
      <c r="BW387" s="17"/>
      <c r="BX387" s="17"/>
      <c r="BY387" s="17"/>
      <c r="BZ387" s="17"/>
      <c r="CA387" s="17"/>
      <c r="CB387" s="17"/>
      <c r="CC387" s="17"/>
      <c r="CD387" s="17"/>
      <c r="CE387" s="17"/>
      <c r="CF387" s="17"/>
      <c r="CG387" s="17"/>
      <c r="CH387" s="17"/>
      <c r="CI387" s="17"/>
      <c r="CJ387" s="17"/>
      <c r="CK387" s="17"/>
      <c r="CL387" s="17"/>
      <c r="CM387" s="17"/>
      <c r="CN387" s="17"/>
      <c r="CO387" s="17"/>
      <c r="CP387" s="17"/>
      <c r="CQ387" s="17"/>
      <c r="CR387" s="17"/>
      <c r="CS387" s="17"/>
      <c r="CT387" s="17"/>
      <c r="CU387" s="17"/>
      <c r="CV387" s="17"/>
      <c r="CW387" s="17"/>
      <c r="CX387" s="17"/>
      <c r="CY387" s="17"/>
      <c r="CZ387" s="17"/>
      <c r="DA387" s="17"/>
      <c r="DB387" s="17"/>
      <c r="DC387" s="17"/>
      <c r="DD387" s="17"/>
      <c r="DE387" s="17"/>
      <c r="DF387" s="17"/>
      <c r="DG387" s="17"/>
      <c r="DH387" s="17"/>
      <c r="DI387" s="17"/>
      <c r="DJ387" s="17"/>
      <c r="DK387" s="17"/>
      <c r="DL387" s="17"/>
      <c r="DM387" s="17"/>
      <c r="DN387" s="17"/>
      <c r="DO387" s="17"/>
      <c r="DP387" s="17"/>
      <c r="DQ387" s="17"/>
      <c r="DR387" s="17"/>
      <c r="DS387" s="17"/>
      <c r="DT387" s="17"/>
      <c r="DU387" s="17"/>
      <c r="DV387" s="17"/>
      <c r="DW387" s="17"/>
      <c r="DX387" s="17"/>
      <c r="DY387" s="17"/>
      <c r="DZ387" s="17"/>
      <c r="EA387" s="17"/>
      <c r="EB387" s="17"/>
      <c r="EC387" s="17"/>
      <c r="ED387" s="17"/>
      <c r="EE387" s="17"/>
      <c r="EF387" s="17"/>
      <c r="EG387" s="17"/>
      <c r="EH387" s="17"/>
      <c r="EI387" s="17"/>
      <c r="EJ387" s="17"/>
      <c r="EK387" s="17"/>
      <c r="EL387" s="17"/>
      <c r="EM387" s="17"/>
      <c r="EN387" s="17"/>
      <c r="EO387" s="17"/>
      <c r="EP387" s="17"/>
      <c r="EQ387" s="17"/>
      <c r="ER387" s="17"/>
      <c r="ES387" s="17"/>
      <c r="ET387" s="17"/>
      <c r="EU387" s="17"/>
      <c r="EV387" s="17"/>
      <c r="EW387" s="17"/>
      <c r="EX387" s="17"/>
      <c r="EY387" s="17"/>
      <c r="EZ387" s="17"/>
      <c r="FA387" s="17"/>
      <c r="FB387" s="17"/>
      <c r="FC387" s="17"/>
      <c r="FD387" s="17"/>
      <c r="FE387" s="17"/>
      <c r="FF387" s="17"/>
      <c r="FG387" s="17"/>
      <c r="FH387" s="17"/>
      <c r="FI387" s="17"/>
      <c r="FJ387" s="17"/>
      <c r="FK387" s="17"/>
      <c r="FL387" s="17"/>
      <c r="FM387" s="17"/>
      <c r="FN387" s="17"/>
      <c r="FO387" s="17"/>
      <c r="FP387" s="17"/>
      <c r="FQ387" s="17"/>
      <c r="FR387" s="17"/>
      <c r="FS387" s="17"/>
      <c r="FT387" s="17"/>
      <c r="FU387" s="17"/>
      <c r="FV387" s="17"/>
      <c r="FW387" s="17"/>
      <c r="FX387" s="17"/>
      <c r="FY387" s="17"/>
      <c r="FZ387" s="17"/>
      <c r="GA387" s="17"/>
      <c r="GB387" s="17"/>
      <c r="GC387" s="17"/>
      <c r="GD387" s="17"/>
      <c r="GE387" s="17"/>
      <c r="GF387" s="17"/>
      <c r="GG387" s="17"/>
      <c r="GH387" s="17"/>
      <c r="GI387" s="17"/>
      <c r="GJ387" s="17"/>
      <c r="GK387" s="17"/>
      <c r="GL387" s="17"/>
      <c r="GM387" s="17"/>
      <c r="GN387" s="17"/>
      <c r="GO387" s="17"/>
      <c r="GP387" s="17"/>
      <c r="GQ387" s="17"/>
      <c r="GR387" s="17"/>
      <c r="GS387" s="17"/>
      <c r="GT387" s="17"/>
      <c r="GU387" s="17"/>
      <c r="GV387" s="17"/>
      <c r="GW387" s="17"/>
      <c r="GX387" s="17"/>
      <c r="GY387" s="17"/>
      <c r="GZ387" s="17"/>
      <c r="HA387" s="17"/>
      <c r="HB387" s="17"/>
      <c r="HC387" s="17"/>
      <c r="HD387" s="17"/>
      <c r="HE387" s="17"/>
      <c r="HF387" s="17"/>
      <c r="HG387" s="17"/>
      <c r="HH387" s="17"/>
      <c r="HI387" s="17"/>
      <c r="HJ387" s="17"/>
      <c r="HK387" s="17"/>
      <c r="HL387" s="17"/>
      <c r="HM387" s="17"/>
      <c r="HN387" s="17"/>
      <c r="HO387" s="17"/>
      <c r="HP387" s="17"/>
      <c r="HQ387" s="17"/>
      <c r="HR387" s="17"/>
      <c r="HS387" s="17"/>
      <c r="HT387" s="17"/>
      <c r="HU387" s="17"/>
      <c r="HV387" s="17"/>
      <c r="HW387" s="17"/>
      <c r="HX387" s="17"/>
      <c r="HY387" s="17"/>
      <c r="HZ387" s="17"/>
      <c r="IA387" s="17"/>
      <c r="IB387" s="17"/>
      <c r="IC387" s="17"/>
      <c r="ID387" s="17"/>
      <c r="IE387" s="17"/>
      <c r="IF387" s="17"/>
      <c r="IG387" s="17"/>
      <c r="IH387" s="17"/>
      <c r="II387" s="17"/>
      <c r="IJ387" s="17"/>
      <c r="IK387" s="17"/>
      <c r="IL387" s="17"/>
      <c r="IM387" s="17"/>
      <c r="IN387" s="17"/>
      <c r="IO387" s="17"/>
      <c r="IP387" s="17"/>
      <c r="IQ387" s="17"/>
      <c r="IR387" s="17"/>
      <c r="IS387" s="17"/>
      <c r="IT387" s="17"/>
      <c r="IU387" s="17"/>
      <c r="IV387" s="17"/>
      <c r="IW387" s="17"/>
      <c r="IX387" s="17"/>
      <c r="IY387" s="17"/>
      <c r="IZ387" s="17"/>
      <c r="JA387" s="17"/>
      <c r="JB387" s="17"/>
      <c r="JC387" s="17"/>
      <c r="JD387" s="17"/>
      <c r="JE387" s="17"/>
      <c r="JF387" s="17"/>
      <c r="JG387" s="17"/>
      <c r="JH387" s="17"/>
      <c r="JI387" s="17"/>
      <c r="JJ387" s="17"/>
      <c r="JK387" s="17"/>
      <c r="JL387" s="17"/>
      <c r="JM387" s="17"/>
      <c r="JN387" s="17"/>
      <c r="JO387" s="17"/>
      <c r="JP387" s="17"/>
      <c r="JQ387" s="17"/>
      <c r="JR387" s="17"/>
      <c r="JS387" s="17"/>
      <c r="JT387" s="17"/>
      <c r="JU387" s="17"/>
      <c r="JV387" s="17"/>
      <c r="JW387" s="17"/>
      <c r="JX387" s="17"/>
      <c r="JY387" s="17"/>
      <c r="JZ387" s="17"/>
      <c r="KA387" s="17"/>
      <c r="KB387" s="17"/>
      <c r="KC387" s="17"/>
      <c r="KD387" s="17"/>
      <c r="KE387" s="17"/>
      <c r="KF387" s="17"/>
      <c r="KG387" s="17"/>
      <c r="KH387" s="17"/>
      <c r="KI387" s="17"/>
      <c r="KJ387" s="17"/>
      <c r="KK387" s="17"/>
      <c r="KL387" s="17"/>
      <c r="KM387" s="17"/>
      <c r="KN387" s="17"/>
      <c r="KO387" s="17"/>
      <c r="KP387" s="17"/>
      <c r="KQ387" s="17"/>
      <c r="KR387" s="17"/>
      <c r="KS387" s="17"/>
      <c r="KT387" s="17"/>
      <c r="KU387" s="17"/>
      <c r="KV387" s="17"/>
      <c r="KW387" s="17"/>
      <c r="KX387" s="17"/>
      <c r="KY387" s="17"/>
    </row>
    <row r="388" spans="1:311" x14ac:dyDescent="0.25">
      <c r="A388" s="17"/>
      <c r="B388" s="17"/>
      <c r="C388" s="17"/>
      <c r="D388" s="17"/>
      <c r="E388" s="17"/>
      <c r="F388" s="17"/>
      <c r="G388" s="17"/>
      <c r="H388" s="17"/>
      <c r="I388" s="17"/>
      <c r="J388" s="17"/>
      <c r="K388" s="17"/>
      <c r="L388" s="17"/>
      <c r="M388" s="17"/>
      <c r="N388" s="17"/>
      <c r="O388" s="17"/>
      <c r="P388" s="17"/>
      <c r="Q388" s="17"/>
      <c r="R388" s="17"/>
      <c r="S388" s="17"/>
      <c r="T388" s="17"/>
      <c r="U388" s="17"/>
      <c r="V388" s="17"/>
      <c r="W388" s="17"/>
      <c r="X388" s="17"/>
      <c r="Y388" s="17"/>
      <c r="Z388" s="17"/>
      <c r="AA388" s="17"/>
      <c r="AB388" s="17"/>
      <c r="AC388" s="17"/>
      <c r="AD388" s="17"/>
      <c r="AE388" s="17"/>
      <c r="AF388" s="17"/>
      <c r="AG388" s="17"/>
      <c r="AH388" s="17"/>
      <c r="AI388" s="17"/>
      <c r="AJ388" s="17"/>
      <c r="AK388" s="17"/>
      <c r="AL388" s="17"/>
      <c r="AM388" s="17"/>
      <c r="AN388" s="17"/>
      <c r="AO388" s="17"/>
      <c r="AP388" s="17"/>
      <c r="AQ388" s="17"/>
      <c r="AR388" s="17"/>
      <c r="AS388" s="17"/>
      <c r="AT388" s="17"/>
      <c r="AU388" s="17"/>
      <c r="AV388" s="17"/>
      <c r="AW388" s="17"/>
      <c r="AX388" s="17"/>
      <c r="AY388" s="17"/>
      <c r="AZ388" s="17"/>
      <c r="BA388" s="17"/>
      <c r="BB388" s="17"/>
      <c r="BC388" s="17"/>
      <c r="BD388" s="17"/>
      <c r="BE388" s="17"/>
      <c r="BF388" s="17"/>
      <c r="BG388" s="17"/>
      <c r="BH388" s="17"/>
      <c r="BI388" s="17"/>
      <c r="BJ388" s="17"/>
      <c r="BK388" s="17"/>
      <c r="BL388" s="17"/>
      <c r="BM388" s="17"/>
      <c r="BN388" s="17"/>
      <c r="BO388" s="17"/>
      <c r="BP388" s="17"/>
      <c r="BQ388" s="17"/>
      <c r="BR388" s="17"/>
      <c r="BS388" s="17"/>
      <c r="BT388" s="17"/>
      <c r="BU388" s="17"/>
      <c r="BV388" s="17"/>
      <c r="BW388" s="17"/>
      <c r="BX388" s="17"/>
      <c r="BY388" s="17"/>
      <c r="BZ388" s="17"/>
      <c r="CA388" s="17"/>
      <c r="CB388" s="17"/>
      <c r="CC388" s="17"/>
      <c r="CD388" s="17"/>
      <c r="CE388" s="17"/>
      <c r="CF388" s="17"/>
      <c r="CG388" s="17"/>
      <c r="CH388" s="17"/>
      <c r="CI388" s="17"/>
      <c r="CJ388" s="17"/>
      <c r="CK388" s="17"/>
      <c r="CL388" s="17"/>
      <c r="CM388" s="17"/>
      <c r="CN388" s="17"/>
      <c r="CO388" s="17"/>
      <c r="CP388" s="17"/>
      <c r="CQ388" s="17"/>
      <c r="CR388" s="17"/>
      <c r="CS388" s="17"/>
      <c r="CT388" s="17"/>
      <c r="CU388" s="17"/>
      <c r="CV388" s="17"/>
      <c r="CW388" s="17"/>
      <c r="CX388" s="17"/>
      <c r="CY388" s="17"/>
      <c r="CZ388" s="17"/>
      <c r="DA388" s="17"/>
      <c r="DB388" s="17"/>
      <c r="DC388" s="17"/>
      <c r="DD388" s="17"/>
      <c r="DE388" s="17"/>
      <c r="DF388" s="17"/>
      <c r="DG388" s="17"/>
      <c r="DH388" s="17"/>
      <c r="DI388" s="17"/>
      <c r="DJ388" s="17"/>
      <c r="DK388" s="17"/>
      <c r="DL388" s="17"/>
      <c r="DM388" s="17"/>
      <c r="DN388" s="17"/>
      <c r="DO388" s="17"/>
      <c r="DP388" s="17"/>
      <c r="DQ388" s="17"/>
      <c r="DR388" s="17"/>
      <c r="DS388" s="17"/>
      <c r="DT388" s="17"/>
      <c r="DU388" s="17"/>
      <c r="DV388" s="17"/>
      <c r="DW388" s="17"/>
      <c r="DX388" s="17"/>
      <c r="DY388" s="17"/>
      <c r="DZ388" s="17"/>
      <c r="EA388" s="17"/>
      <c r="EB388" s="17"/>
      <c r="EC388" s="17"/>
      <c r="ED388" s="17"/>
      <c r="EE388" s="17"/>
      <c r="EF388" s="17"/>
      <c r="EG388" s="17"/>
      <c r="EH388" s="17"/>
      <c r="EI388" s="17"/>
      <c r="EJ388" s="17"/>
      <c r="EK388" s="17"/>
      <c r="EL388" s="17"/>
      <c r="EM388" s="17"/>
      <c r="EN388" s="17"/>
      <c r="EO388" s="17"/>
      <c r="EP388" s="17"/>
      <c r="EQ388" s="17"/>
      <c r="ER388" s="17"/>
      <c r="ES388" s="17"/>
      <c r="ET388" s="17"/>
      <c r="EU388" s="17"/>
      <c r="EV388" s="17"/>
      <c r="EW388" s="17"/>
      <c r="EX388" s="17"/>
      <c r="EY388" s="17"/>
      <c r="EZ388" s="17"/>
      <c r="FA388" s="17"/>
      <c r="FB388" s="17"/>
      <c r="FC388" s="17"/>
      <c r="FD388" s="17"/>
      <c r="FE388" s="17"/>
      <c r="FF388" s="17"/>
      <c r="FG388" s="17"/>
      <c r="FH388" s="17"/>
      <c r="FI388" s="17"/>
      <c r="FJ388" s="17"/>
      <c r="FK388" s="17"/>
      <c r="FL388" s="17"/>
      <c r="FM388" s="17"/>
      <c r="FN388" s="17"/>
      <c r="FO388" s="17"/>
      <c r="FP388" s="17"/>
      <c r="FQ388" s="17"/>
      <c r="FR388" s="17"/>
      <c r="FS388" s="17"/>
      <c r="FT388" s="17"/>
      <c r="FU388" s="17"/>
      <c r="FV388" s="17"/>
      <c r="FW388" s="17"/>
      <c r="FX388" s="17"/>
      <c r="FY388" s="17"/>
      <c r="FZ388" s="17"/>
      <c r="GA388" s="17"/>
      <c r="GB388" s="17"/>
      <c r="GC388" s="17"/>
      <c r="GD388" s="17"/>
      <c r="GE388" s="17"/>
      <c r="GF388" s="17"/>
      <c r="GG388" s="17"/>
      <c r="GH388" s="17"/>
      <c r="GI388" s="17"/>
      <c r="GJ388" s="17"/>
      <c r="GK388" s="17"/>
      <c r="GL388" s="17"/>
      <c r="GM388" s="17"/>
      <c r="GN388" s="17"/>
      <c r="GO388" s="17"/>
      <c r="GP388" s="17"/>
      <c r="GQ388" s="17"/>
      <c r="GR388" s="17"/>
      <c r="GS388" s="17"/>
      <c r="GT388" s="17"/>
      <c r="GU388" s="17"/>
      <c r="GV388" s="17"/>
      <c r="GW388" s="17"/>
      <c r="GX388" s="17"/>
      <c r="GY388" s="17"/>
      <c r="GZ388" s="17"/>
      <c r="HA388" s="17"/>
      <c r="HB388" s="17"/>
      <c r="HC388" s="17"/>
      <c r="HD388" s="17"/>
      <c r="HE388" s="17"/>
      <c r="HF388" s="17"/>
      <c r="HG388" s="17"/>
      <c r="HH388" s="17"/>
      <c r="HI388" s="17"/>
      <c r="HJ388" s="17"/>
      <c r="HK388" s="17"/>
      <c r="HL388" s="17"/>
      <c r="HM388" s="17"/>
      <c r="HN388" s="17"/>
      <c r="HO388" s="17"/>
      <c r="HP388" s="17"/>
      <c r="HQ388" s="17"/>
      <c r="HR388" s="17"/>
      <c r="HS388" s="17"/>
      <c r="HT388" s="17"/>
      <c r="HU388" s="17"/>
      <c r="HV388" s="17"/>
      <c r="HW388" s="17"/>
      <c r="HX388" s="17"/>
      <c r="HY388" s="17"/>
      <c r="HZ388" s="17"/>
      <c r="IA388" s="17"/>
      <c r="IB388" s="17"/>
      <c r="IC388" s="17"/>
      <c r="ID388" s="17"/>
      <c r="IE388" s="17"/>
      <c r="IF388" s="17"/>
      <c r="IG388" s="17"/>
      <c r="IH388" s="17"/>
      <c r="II388" s="17"/>
      <c r="IJ388" s="17"/>
      <c r="IK388" s="17"/>
      <c r="IL388" s="17"/>
      <c r="IM388" s="17"/>
      <c r="IN388" s="17"/>
      <c r="IO388" s="17"/>
      <c r="IP388" s="17"/>
      <c r="IQ388" s="17"/>
      <c r="IR388" s="17"/>
      <c r="IS388" s="17"/>
      <c r="IT388" s="17"/>
      <c r="IU388" s="17"/>
      <c r="IV388" s="17"/>
      <c r="IW388" s="17"/>
      <c r="IX388" s="17"/>
      <c r="IY388" s="17"/>
      <c r="IZ388" s="17"/>
      <c r="JA388" s="17"/>
      <c r="JB388" s="17"/>
      <c r="JC388" s="17"/>
      <c r="JD388" s="17"/>
      <c r="JE388" s="17"/>
      <c r="JF388" s="17"/>
      <c r="JG388" s="17"/>
      <c r="JH388" s="17"/>
      <c r="JI388" s="17"/>
      <c r="JJ388" s="17"/>
      <c r="JK388" s="17"/>
      <c r="JL388" s="17"/>
      <c r="JM388" s="17"/>
      <c r="JN388" s="17"/>
      <c r="JO388" s="17"/>
      <c r="JP388" s="17"/>
      <c r="JQ388" s="17"/>
      <c r="JR388" s="17"/>
      <c r="JS388" s="17"/>
      <c r="JT388" s="17"/>
      <c r="JU388" s="17"/>
      <c r="JV388" s="17"/>
      <c r="JW388" s="17"/>
      <c r="JX388" s="17"/>
      <c r="JY388" s="17"/>
      <c r="JZ388" s="17"/>
      <c r="KA388" s="17"/>
      <c r="KB388" s="17"/>
      <c r="KC388" s="17"/>
      <c r="KD388" s="17"/>
      <c r="KE388" s="17"/>
      <c r="KF388" s="17"/>
      <c r="KG388" s="17"/>
      <c r="KH388" s="17"/>
      <c r="KI388" s="17"/>
      <c r="KJ388" s="17"/>
      <c r="KK388" s="17"/>
      <c r="KL388" s="17"/>
      <c r="KM388" s="17"/>
      <c r="KN388" s="17"/>
      <c r="KO388" s="17"/>
      <c r="KP388" s="17"/>
      <c r="KQ388" s="17"/>
      <c r="KR388" s="17"/>
      <c r="KS388" s="17"/>
      <c r="KT388" s="17"/>
      <c r="KU388" s="17"/>
      <c r="KV388" s="17"/>
      <c r="KW388" s="17"/>
      <c r="KX388" s="17"/>
      <c r="KY388" s="17"/>
    </row>
    <row r="389" spans="1:311" x14ac:dyDescent="0.25">
      <c r="A389" s="17"/>
      <c r="B389" s="17"/>
      <c r="C389" s="17"/>
      <c r="D389" s="17"/>
      <c r="E389" s="17"/>
      <c r="F389" s="17"/>
      <c r="G389" s="17"/>
      <c r="H389" s="17"/>
      <c r="I389" s="17"/>
      <c r="J389" s="17"/>
      <c r="K389" s="17"/>
      <c r="L389" s="17"/>
      <c r="M389" s="17"/>
      <c r="N389" s="17"/>
      <c r="O389" s="17"/>
      <c r="P389" s="17"/>
      <c r="Q389" s="17"/>
      <c r="R389" s="17"/>
      <c r="S389" s="17"/>
      <c r="T389" s="17"/>
      <c r="U389" s="17"/>
      <c r="V389" s="17"/>
      <c r="W389" s="17"/>
      <c r="X389" s="17"/>
      <c r="Y389" s="17"/>
      <c r="Z389" s="17"/>
      <c r="AA389" s="17"/>
      <c r="AB389" s="17"/>
      <c r="AC389" s="17"/>
      <c r="AD389" s="17"/>
      <c r="AE389" s="17"/>
      <c r="AF389" s="17"/>
      <c r="AG389" s="17"/>
      <c r="AH389" s="17"/>
      <c r="AI389" s="17"/>
      <c r="AJ389" s="17"/>
      <c r="AK389" s="17"/>
      <c r="AL389" s="17"/>
      <c r="AM389" s="17"/>
      <c r="AN389" s="17"/>
      <c r="AO389" s="17"/>
      <c r="AP389" s="17"/>
      <c r="AQ389" s="17"/>
      <c r="AR389" s="17"/>
      <c r="AS389" s="17"/>
      <c r="AT389" s="17"/>
      <c r="AU389" s="17"/>
      <c r="AV389" s="17"/>
      <c r="AW389" s="17"/>
      <c r="AX389" s="17"/>
      <c r="AY389" s="17"/>
      <c r="AZ389" s="17"/>
      <c r="BA389" s="17"/>
      <c r="BB389" s="17"/>
      <c r="BC389" s="17"/>
      <c r="BD389" s="17"/>
      <c r="BE389" s="17"/>
      <c r="BF389" s="17"/>
      <c r="BG389" s="17"/>
      <c r="BH389" s="17"/>
      <c r="BI389" s="17"/>
      <c r="BJ389" s="17"/>
      <c r="BK389" s="17"/>
      <c r="BL389" s="17"/>
      <c r="BM389" s="17"/>
      <c r="BN389" s="17"/>
      <c r="BO389" s="17"/>
      <c r="BP389" s="17"/>
      <c r="BQ389" s="17"/>
      <c r="BR389" s="17"/>
      <c r="BS389" s="17"/>
      <c r="BT389" s="17"/>
      <c r="BU389" s="17"/>
      <c r="BV389" s="17"/>
      <c r="BW389" s="17"/>
      <c r="BX389" s="17"/>
      <c r="BY389" s="17"/>
      <c r="BZ389" s="17"/>
      <c r="CA389" s="17"/>
      <c r="CB389" s="17"/>
      <c r="CC389" s="17"/>
      <c r="CD389" s="17"/>
      <c r="CE389" s="17"/>
      <c r="CF389" s="17"/>
      <c r="CG389" s="17"/>
      <c r="CH389" s="17"/>
      <c r="CI389" s="17"/>
      <c r="CJ389" s="17"/>
      <c r="CK389" s="17"/>
      <c r="CL389" s="17"/>
      <c r="CM389" s="17"/>
      <c r="CN389" s="17"/>
      <c r="CO389" s="17"/>
      <c r="CP389" s="17"/>
      <c r="CQ389" s="17"/>
      <c r="CR389" s="17"/>
      <c r="CS389" s="17"/>
      <c r="CT389" s="17"/>
      <c r="CU389" s="17"/>
      <c r="CV389" s="17"/>
      <c r="CW389" s="17"/>
      <c r="CX389" s="17"/>
      <c r="CY389" s="17"/>
      <c r="CZ389" s="17"/>
      <c r="DA389" s="17"/>
      <c r="DB389" s="17"/>
      <c r="DC389" s="17"/>
      <c r="DD389" s="17"/>
      <c r="DE389" s="17"/>
      <c r="DF389" s="17"/>
      <c r="DG389" s="17"/>
      <c r="DH389" s="17"/>
      <c r="DI389" s="17"/>
      <c r="DJ389" s="17"/>
      <c r="DK389" s="17"/>
      <c r="DL389" s="17"/>
      <c r="DM389" s="17"/>
      <c r="DN389" s="17"/>
      <c r="DO389" s="17"/>
      <c r="DP389" s="17"/>
      <c r="DQ389" s="17"/>
      <c r="DR389" s="17"/>
      <c r="DS389" s="17"/>
      <c r="DT389" s="17"/>
      <c r="DU389" s="17"/>
      <c r="DV389" s="17"/>
      <c r="DW389" s="17"/>
      <c r="DX389" s="17"/>
      <c r="DY389" s="17"/>
      <c r="DZ389" s="17"/>
      <c r="EA389" s="17"/>
      <c r="EB389" s="17"/>
      <c r="EC389" s="17"/>
      <c r="ED389" s="17"/>
      <c r="EE389" s="17"/>
      <c r="EF389" s="17"/>
      <c r="EG389" s="17"/>
      <c r="EH389" s="17"/>
      <c r="EI389" s="17"/>
      <c r="EJ389" s="17"/>
      <c r="EK389" s="17"/>
      <c r="EL389" s="17"/>
      <c r="EM389" s="17"/>
      <c r="EN389" s="17"/>
      <c r="EO389" s="17"/>
      <c r="EP389" s="17"/>
      <c r="EQ389" s="17"/>
      <c r="ER389" s="17"/>
      <c r="ES389" s="17"/>
      <c r="ET389" s="17"/>
      <c r="EU389" s="17"/>
      <c r="EV389" s="17"/>
      <c r="EW389" s="17"/>
      <c r="EX389" s="17"/>
      <c r="EY389" s="17"/>
      <c r="EZ389" s="17"/>
      <c r="FA389" s="17"/>
      <c r="FB389" s="17"/>
      <c r="FC389" s="17"/>
      <c r="FD389" s="17"/>
      <c r="FE389" s="17"/>
      <c r="FF389" s="17"/>
      <c r="FG389" s="17"/>
      <c r="FH389" s="17"/>
      <c r="FI389" s="17"/>
      <c r="FJ389" s="17"/>
      <c r="FK389" s="17"/>
      <c r="FL389" s="17"/>
      <c r="FM389" s="17"/>
      <c r="FN389" s="17"/>
      <c r="FO389" s="17"/>
      <c r="FP389" s="17"/>
      <c r="FQ389" s="17"/>
      <c r="FR389" s="17"/>
      <c r="FS389" s="17"/>
      <c r="FT389" s="17"/>
      <c r="FU389" s="17"/>
      <c r="FV389" s="17"/>
      <c r="FW389" s="17"/>
      <c r="FX389" s="17"/>
      <c r="FY389" s="17"/>
      <c r="FZ389" s="17"/>
      <c r="GA389" s="17"/>
      <c r="GB389" s="17"/>
      <c r="GC389" s="17"/>
      <c r="GD389" s="17"/>
      <c r="GE389" s="17"/>
      <c r="GF389" s="17"/>
      <c r="GG389" s="17"/>
      <c r="GH389" s="17"/>
      <c r="GI389" s="17"/>
      <c r="GJ389" s="17"/>
      <c r="GK389" s="17"/>
      <c r="GL389" s="17"/>
      <c r="GM389" s="17"/>
      <c r="GN389" s="17"/>
      <c r="GO389" s="17"/>
      <c r="GP389" s="17"/>
      <c r="GQ389" s="17"/>
      <c r="GR389" s="17"/>
      <c r="GS389" s="17"/>
      <c r="GT389" s="17"/>
      <c r="GU389" s="17"/>
      <c r="GV389" s="17"/>
      <c r="GW389" s="17"/>
      <c r="GX389" s="17"/>
      <c r="GY389" s="17"/>
      <c r="GZ389" s="17"/>
      <c r="HA389" s="17"/>
      <c r="HB389" s="17"/>
      <c r="HC389" s="17"/>
      <c r="HD389" s="17"/>
      <c r="HE389" s="17"/>
      <c r="HF389" s="17"/>
      <c r="HG389" s="17"/>
      <c r="HH389" s="17"/>
      <c r="HI389" s="17"/>
      <c r="HJ389" s="17"/>
      <c r="HK389" s="17"/>
      <c r="HL389" s="17"/>
      <c r="HM389" s="17"/>
      <c r="HN389" s="17"/>
      <c r="HO389" s="17"/>
      <c r="HP389" s="17"/>
      <c r="HQ389" s="17"/>
      <c r="HR389" s="17"/>
      <c r="HS389" s="17"/>
      <c r="HT389" s="17"/>
      <c r="HU389" s="17"/>
      <c r="HV389" s="17"/>
      <c r="HW389" s="17"/>
      <c r="HX389" s="17"/>
      <c r="HY389" s="17"/>
      <c r="HZ389" s="17"/>
      <c r="IA389" s="17"/>
      <c r="IB389" s="17"/>
      <c r="IC389" s="17"/>
      <c r="ID389" s="17"/>
      <c r="IE389" s="17"/>
      <c r="IF389" s="17"/>
      <c r="IG389" s="17"/>
      <c r="IH389" s="17"/>
      <c r="II389" s="17"/>
      <c r="IJ389" s="17"/>
      <c r="IK389" s="17"/>
      <c r="IL389" s="17"/>
      <c r="IM389" s="17"/>
      <c r="IN389" s="17"/>
      <c r="IO389" s="17"/>
      <c r="IP389" s="17"/>
      <c r="IQ389" s="17"/>
      <c r="IR389" s="17"/>
      <c r="IS389" s="17"/>
      <c r="IT389" s="17"/>
      <c r="IU389" s="17"/>
      <c r="IV389" s="17"/>
      <c r="IW389" s="17"/>
      <c r="IX389" s="17"/>
      <c r="IY389" s="17"/>
      <c r="IZ389" s="17"/>
      <c r="JA389" s="17"/>
      <c r="JB389" s="17"/>
      <c r="JC389" s="17"/>
      <c r="JD389" s="17"/>
      <c r="JE389" s="17"/>
      <c r="JF389" s="17"/>
      <c r="JG389" s="17"/>
      <c r="JH389" s="17"/>
      <c r="JI389" s="17"/>
      <c r="JJ389" s="17"/>
      <c r="JK389" s="17"/>
      <c r="JL389" s="17"/>
      <c r="JM389" s="17"/>
      <c r="JN389" s="17"/>
      <c r="JO389" s="17"/>
      <c r="JP389" s="17"/>
      <c r="JQ389" s="17"/>
      <c r="JR389" s="17"/>
      <c r="JS389" s="17"/>
      <c r="JT389" s="17"/>
      <c r="JU389" s="17"/>
      <c r="JV389" s="17"/>
      <c r="JW389" s="17"/>
      <c r="JX389" s="17"/>
      <c r="JY389" s="17"/>
      <c r="JZ389" s="17"/>
      <c r="KA389" s="17"/>
      <c r="KB389" s="17"/>
      <c r="KC389" s="17"/>
      <c r="KD389" s="17"/>
      <c r="KE389" s="17"/>
      <c r="KF389" s="17"/>
      <c r="KG389" s="17"/>
      <c r="KH389" s="17"/>
      <c r="KI389" s="17"/>
      <c r="KJ389" s="17"/>
      <c r="KK389" s="17"/>
      <c r="KL389" s="17"/>
      <c r="KM389" s="17"/>
      <c r="KN389" s="17"/>
      <c r="KO389" s="17"/>
      <c r="KP389" s="17"/>
      <c r="KQ389" s="17"/>
      <c r="KR389" s="17"/>
      <c r="KS389" s="17"/>
      <c r="KT389" s="17"/>
      <c r="KU389" s="17"/>
      <c r="KV389" s="17"/>
      <c r="KW389" s="17"/>
      <c r="KX389" s="17"/>
      <c r="KY389" s="17"/>
    </row>
    <row r="390" spans="1:311" x14ac:dyDescent="0.25">
      <c r="A390" s="17"/>
      <c r="B390" s="17"/>
      <c r="C390" s="17"/>
      <c r="D390" s="17"/>
      <c r="E390" s="17"/>
      <c r="F390" s="17"/>
      <c r="G390" s="17"/>
      <c r="H390" s="17"/>
      <c r="I390" s="17"/>
      <c r="J390" s="17"/>
      <c r="K390" s="17"/>
      <c r="L390" s="17"/>
      <c r="M390" s="17"/>
      <c r="N390" s="17"/>
      <c r="O390" s="17"/>
      <c r="P390" s="17"/>
      <c r="Q390" s="17"/>
      <c r="R390" s="17"/>
      <c r="S390" s="17"/>
      <c r="T390" s="17"/>
      <c r="U390" s="17"/>
      <c r="V390" s="17"/>
      <c r="W390" s="17"/>
      <c r="X390" s="17"/>
      <c r="Y390" s="17"/>
      <c r="Z390" s="17"/>
      <c r="AA390" s="17"/>
      <c r="AB390" s="17"/>
      <c r="AC390" s="17"/>
      <c r="AD390" s="17"/>
      <c r="AE390" s="17"/>
      <c r="AF390" s="17"/>
      <c r="AG390" s="17"/>
      <c r="AH390" s="17"/>
      <c r="AI390" s="17"/>
      <c r="AJ390" s="17"/>
      <c r="AK390" s="17"/>
      <c r="AL390" s="17"/>
      <c r="AM390" s="17"/>
      <c r="AN390" s="17"/>
      <c r="AO390" s="17"/>
      <c r="AP390" s="17"/>
      <c r="AQ390" s="17"/>
      <c r="AR390" s="17"/>
      <c r="AS390" s="17"/>
      <c r="AT390" s="17"/>
      <c r="AU390" s="17"/>
      <c r="AV390" s="17"/>
      <c r="AW390" s="17"/>
      <c r="AX390" s="17"/>
      <c r="AY390" s="17"/>
      <c r="AZ390" s="17"/>
      <c r="BA390" s="17"/>
      <c r="BB390" s="17"/>
      <c r="BC390" s="17"/>
      <c r="BD390" s="17"/>
      <c r="BE390" s="17"/>
      <c r="BF390" s="17"/>
      <c r="BG390" s="17"/>
      <c r="BH390" s="17"/>
      <c r="BI390" s="17"/>
      <c r="BJ390" s="17"/>
      <c r="BK390" s="17"/>
      <c r="BL390" s="17"/>
      <c r="BM390" s="17"/>
      <c r="BN390" s="17"/>
      <c r="BO390" s="17"/>
      <c r="BP390" s="17"/>
      <c r="BQ390" s="17"/>
      <c r="BR390" s="17"/>
      <c r="BS390" s="17"/>
      <c r="BT390" s="17"/>
      <c r="BU390" s="17"/>
      <c r="BV390" s="17"/>
      <c r="BW390" s="17"/>
      <c r="BX390" s="17"/>
      <c r="BY390" s="17"/>
      <c r="BZ390" s="17"/>
      <c r="CA390" s="17"/>
      <c r="CB390" s="17"/>
      <c r="CC390" s="17"/>
      <c r="CD390" s="17"/>
      <c r="CE390" s="17"/>
      <c r="CF390" s="17"/>
      <c r="CG390" s="17"/>
      <c r="CH390" s="17"/>
      <c r="CI390" s="17"/>
      <c r="CJ390" s="17"/>
      <c r="CK390" s="17"/>
      <c r="CL390" s="17"/>
      <c r="CM390" s="17"/>
      <c r="CN390" s="17"/>
      <c r="CO390" s="17"/>
      <c r="CP390" s="17"/>
      <c r="CQ390" s="17"/>
      <c r="CR390" s="17"/>
      <c r="CS390" s="17"/>
      <c r="CT390" s="17"/>
      <c r="CU390" s="17"/>
      <c r="CV390" s="17"/>
      <c r="CW390" s="17"/>
      <c r="CX390" s="17"/>
      <c r="CY390" s="17"/>
      <c r="CZ390" s="17"/>
      <c r="DA390" s="17"/>
      <c r="DB390" s="17"/>
      <c r="DC390" s="17"/>
      <c r="DD390" s="17"/>
      <c r="DE390" s="17"/>
      <c r="DF390" s="17"/>
      <c r="DG390" s="17"/>
      <c r="DH390" s="17"/>
      <c r="DI390" s="17"/>
      <c r="DJ390" s="17"/>
      <c r="DK390" s="17"/>
      <c r="DL390" s="17"/>
      <c r="DM390" s="17"/>
      <c r="DN390" s="17"/>
      <c r="DO390" s="17"/>
      <c r="DP390" s="17"/>
      <c r="DQ390" s="17"/>
      <c r="DR390" s="17"/>
      <c r="DS390" s="17"/>
      <c r="DT390" s="17"/>
      <c r="DU390" s="17"/>
      <c r="DV390" s="17"/>
      <c r="DW390" s="17"/>
      <c r="DX390" s="17"/>
      <c r="DY390" s="17"/>
      <c r="DZ390" s="17"/>
      <c r="EA390" s="17"/>
      <c r="EB390" s="17"/>
      <c r="EC390" s="17"/>
      <c r="ED390" s="17"/>
      <c r="EE390" s="17"/>
      <c r="EF390" s="17"/>
      <c r="EG390" s="17"/>
      <c r="EH390" s="17"/>
      <c r="EI390" s="17"/>
      <c r="EJ390" s="17"/>
      <c r="EK390" s="17"/>
      <c r="EL390" s="17"/>
      <c r="EM390" s="17"/>
      <c r="EN390" s="17"/>
      <c r="EO390" s="17"/>
      <c r="EP390" s="17"/>
      <c r="EQ390" s="17"/>
      <c r="ER390" s="17"/>
      <c r="ES390" s="17"/>
      <c r="ET390" s="17"/>
      <c r="EU390" s="17"/>
      <c r="EV390" s="17"/>
      <c r="EW390" s="17"/>
      <c r="EX390" s="17"/>
      <c r="EY390" s="17"/>
      <c r="EZ390" s="17"/>
      <c r="FA390" s="17"/>
      <c r="FB390" s="17"/>
      <c r="FC390" s="17"/>
      <c r="FD390" s="17"/>
      <c r="FE390" s="17"/>
      <c r="FF390" s="17"/>
      <c r="FG390" s="17"/>
      <c r="FH390" s="17"/>
      <c r="FI390" s="17"/>
      <c r="FJ390" s="17"/>
      <c r="FK390" s="17"/>
      <c r="FL390" s="17"/>
      <c r="FM390" s="17"/>
      <c r="FN390" s="17"/>
      <c r="FO390" s="17"/>
      <c r="FP390" s="17"/>
      <c r="FQ390" s="17"/>
      <c r="FR390" s="17"/>
      <c r="FS390" s="17"/>
      <c r="FT390" s="17"/>
      <c r="FU390" s="17"/>
      <c r="FV390" s="17"/>
      <c r="FW390" s="17"/>
      <c r="FX390" s="17"/>
      <c r="FY390" s="17"/>
      <c r="FZ390" s="17"/>
      <c r="GA390" s="17"/>
      <c r="GB390" s="17"/>
      <c r="GC390" s="17"/>
      <c r="GD390" s="17"/>
      <c r="GE390" s="17"/>
      <c r="GF390" s="17"/>
      <c r="GG390" s="17"/>
      <c r="GH390" s="17"/>
      <c r="GI390" s="17"/>
      <c r="GJ390" s="17"/>
      <c r="GK390" s="17"/>
      <c r="GL390" s="17"/>
      <c r="GM390" s="17"/>
      <c r="GN390" s="17"/>
      <c r="GO390" s="17"/>
      <c r="GP390" s="17"/>
      <c r="GQ390" s="17"/>
      <c r="GR390" s="17"/>
      <c r="GS390" s="17"/>
      <c r="GT390" s="17"/>
      <c r="GU390" s="17"/>
      <c r="GV390" s="17"/>
      <c r="GW390" s="17"/>
      <c r="GX390" s="17"/>
      <c r="GY390" s="17"/>
      <c r="GZ390" s="17"/>
      <c r="HA390" s="17"/>
      <c r="HB390" s="17"/>
      <c r="HC390" s="17"/>
      <c r="HD390" s="17"/>
      <c r="HE390" s="17"/>
      <c r="HF390" s="17"/>
      <c r="HG390" s="17"/>
      <c r="HH390" s="17"/>
      <c r="HI390" s="17"/>
      <c r="HJ390" s="17"/>
      <c r="HK390" s="17"/>
      <c r="HL390" s="17"/>
      <c r="HM390" s="17"/>
      <c r="HN390" s="17"/>
      <c r="HO390" s="17"/>
      <c r="HP390" s="17"/>
      <c r="HQ390" s="17"/>
      <c r="HR390" s="17"/>
      <c r="HS390" s="17"/>
      <c r="HT390" s="17"/>
      <c r="HU390" s="17"/>
      <c r="HV390" s="17"/>
      <c r="HW390" s="17"/>
      <c r="HX390" s="17"/>
      <c r="HY390" s="17"/>
      <c r="HZ390" s="17"/>
      <c r="IA390" s="17"/>
      <c r="IB390" s="17"/>
      <c r="IC390" s="17"/>
      <c r="ID390" s="17"/>
      <c r="IE390" s="17"/>
      <c r="IF390" s="17"/>
      <c r="IG390" s="17"/>
      <c r="IH390" s="17"/>
      <c r="II390" s="17"/>
      <c r="IJ390" s="17"/>
      <c r="IK390" s="17"/>
      <c r="IL390" s="17"/>
      <c r="IM390" s="17"/>
      <c r="IN390" s="17"/>
      <c r="IO390" s="17"/>
      <c r="IP390" s="17"/>
      <c r="IQ390" s="17"/>
      <c r="IR390" s="17"/>
      <c r="IS390" s="17"/>
      <c r="IT390" s="17"/>
      <c r="IU390" s="17"/>
      <c r="IV390" s="17"/>
      <c r="IW390" s="17"/>
      <c r="IX390" s="17"/>
      <c r="IY390" s="17"/>
      <c r="IZ390" s="17"/>
      <c r="JA390" s="17"/>
      <c r="JB390" s="17"/>
      <c r="JC390" s="17"/>
      <c r="JD390" s="17"/>
      <c r="JE390" s="17"/>
      <c r="JF390" s="17"/>
      <c r="JG390" s="17"/>
      <c r="JH390" s="17"/>
      <c r="JI390" s="17"/>
      <c r="JJ390" s="17"/>
      <c r="JK390" s="17"/>
      <c r="JL390" s="17"/>
      <c r="JM390" s="17"/>
      <c r="JN390" s="17"/>
      <c r="JO390" s="17"/>
      <c r="JP390" s="17"/>
      <c r="JQ390" s="17"/>
      <c r="JR390" s="17"/>
      <c r="JS390" s="17"/>
      <c r="JT390" s="17"/>
      <c r="JU390" s="17"/>
      <c r="JV390" s="17"/>
      <c r="JW390" s="17"/>
      <c r="JX390" s="17"/>
      <c r="JY390" s="17"/>
      <c r="JZ390" s="17"/>
      <c r="KA390" s="17"/>
      <c r="KB390" s="17"/>
      <c r="KC390" s="17"/>
      <c r="KD390" s="17"/>
      <c r="KE390" s="17"/>
      <c r="KF390" s="17"/>
      <c r="KG390" s="17"/>
      <c r="KH390" s="17"/>
      <c r="KI390" s="17"/>
      <c r="KJ390" s="17"/>
      <c r="KK390" s="17"/>
      <c r="KL390" s="17"/>
      <c r="KM390" s="17"/>
      <c r="KN390" s="17"/>
      <c r="KO390" s="17"/>
      <c r="KP390" s="17"/>
      <c r="KQ390" s="17"/>
      <c r="KR390" s="17"/>
      <c r="KS390" s="17"/>
      <c r="KT390" s="17"/>
      <c r="KU390" s="17"/>
      <c r="KV390" s="17"/>
      <c r="KW390" s="17"/>
      <c r="KX390" s="17"/>
      <c r="KY390" s="17"/>
    </row>
    <row r="391" spans="1:311" x14ac:dyDescent="0.25">
      <c r="A391" s="17"/>
      <c r="B391" s="17"/>
      <c r="C391" s="17"/>
      <c r="D391" s="17"/>
      <c r="E391" s="17"/>
      <c r="F391" s="17"/>
      <c r="G391" s="17"/>
      <c r="H391" s="17"/>
      <c r="I391" s="17"/>
      <c r="J391" s="17"/>
      <c r="K391" s="17"/>
      <c r="L391" s="17"/>
      <c r="M391" s="17"/>
      <c r="N391" s="17"/>
      <c r="O391" s="17"/>
      <c r="P391" s="17"/>
      <c r="Q391" s="17"/>
      <c r="R391" s="17"/>
      <c r="S391" s="17"/>
      <c r="T391" s="17"/>
      <c r="U391" s="17"/>
      <c r="V391" s="17"/>
      <c r="W391" s="17"/>
      <c r="X391" s="17"/>
      <c r="Y391" s="17"/>
      <c r="Z391" s="17"/>
      <c r="AA391" s="17"/>
      <c r="AB391" s="17"/>
      <c r="AC391" s="17"/>
      <c r="AD391" s="17"/>
      <c r="AE391" s="17"/>
      <c r="AF391" s="17"/>
      <c r="AG391" s="17"/>
      <c r="AH391" s="17"/>
      <c r="AI391" s="17"/>
      <c r="AJ391" s="17"/>
      <c r="AK391" s="17"/>
      <c r="AL391" s="17"/>
      <c r="AM391" s="17"/>
      <c r="AN391" s="17"/>
      <c r="AO391" s="17"/>
      <c r="AP391" s="17"/>
      <c r="AQ391" s="17"/>
      <c r="AR391" s="17"/>
      <c r="AS391" s="17"/>
      <c r="AT391" s="17"/>
      <c r="AU391" s="17"/>
      <c r="AV391" s="17"/>
      <c r="AW391" s="17"/>
      <c r="AX391" s="17"/>
      <c r="AY391" s="17"/>
      <c r="AZ391" s="17"/>
      <c r="BA391" s="17"/>
      <c r="BB391" s="17"/>
      <c r="BC391" s="17"/>
      <c r="BD391" s="17"/>
      <c r="BE391" s="17"/>
      <c r="BF391" s="17"/>
      <c r="BG391" s="17"/>
      <c r="BH391" s="17"/>
      <c r="BI391" s="17"/>
      <c r="BJ391" s="17"/>
      <c r="BK391" s="17"/>
      <c r="BL391" s="17"/>
      <c r="BM391" s="17"/>
      <c r="BN391" s="17"/>
      <c r="BO391" s="17"/>
      <c r="BP391" s="17"/>
      <c r="BQ391" s="17"/>
      <c r="BR391" s="17"/>
      <c r="BS391" s="17"/>
      <c r="BT391" s="17"/>
      <c r="BU391" s="17"/>
      <c r="BV391" s="17"/>
      <c r="BW391" s="17"/>
      <c r="BX391" s="17"/>
      <c r="BY391" s="17"/>
      <c r="BZ391" s="17"/>
      <c r="CA391" s="17"/>
      <c r="CB391" s="17"/>
      <c r="CC391" s="17"/>
      <c r="CD391" s="17"/>
      <c r="CE391" s="17"/>
      <c r="CF391" s="17"/>
      <c r="CG391" s="17"/>
      <c r="CH391" s="17"/>
      <c r="CI391" s="17"/>
      <c r="CJ391" s="17"/>
      <c r="CK391" s="17"/>
      <c r="CL391" s="17"/>
      <c r="CM391" s="17"/>
      <c r="CN391" s="17"/>
      <c r="CO391" s="17"/>
      <c r="CP391" s="17"/>
      <c r="CQ391" s="17"/>
      <c r="CR391" s="17"/>
      <c r="CS391" s="17"/>
      <c r="CT391" s="17"/>
      <c r="CU391" s="17"/>
      <c r="CV391" s="17"/>
      <c r="CW391" s="17"/>
      <c r="CX391" s="17"/>
      <c r="CY391" s="17"/>
      <c r="CZ391" s="17"/>
      <c r="DA391" s="17"/>
      <c r="DB391" s="17"/>
      <c r="DC391" s="17"/>
      <c r="DD391" s="17"/>
      <c r="DE391" s="17"/>
      <c r="DF391" s="17"/>
      <c r="DG391" s="17"/>
      <c r="DH391" s="17"/>
      <c r="DI391" s="17"/>
      <c r="DJ391" s="17"/>
      <c r="DK391" s="17"/>
      <c r="DL391" s="17"/>
      <c r="DM391" s="17"/>
      <c r="DN391" s="17"/>
      <c r="DO391" s="17"/>
      <c r="DP391" s="17"/>
      <c r="DQ391" s="17"/>
      <c r="DR391" s="17"/>
      <c r="DS391" s="17"/>
      <c r="DT391" s="17"/>
      <c r="DU391" s="17"/>
      <c r="DV391" s="17"/>
      <c r="DW391" s="17"/>
      <c r="DX391" s="17"/>
      <c r="DY391" s="17"/>
      <c r="DZ391" s="17"/>
      <c r="EA391" s="17"/>
      <c r="EB391" s="17"/>
      <c r="EC391" s="17"/>
      <c r="ED391" s="17"/>
      <c r="EE391" s="17"/>
      <c r="EF391" s="17"/>
      <c r="EG391" s="17"/>
      <c r="EH391" s="17"/>
      <c r="EI391" s="17"/>
      <c r="EJ391" s="17"/>
      <c r="EK391" s="17"/>
      <c r="EL391" s="17"/>
      <c r="EM391" s="17"/>
      <c r="EN391" s="17"/>
      <c r="EO391" s="17"/>
      <c r="EP391" s="17"/>
      <c r="EQ391" s="17"/>
      <c r="ER391" s="17"/>
      <c r="ES391" s="17"/>
      <c r="ET391" s="17"/>
      <c r="EU391" s="17"/>
      <c r="EV391" s="17"/>
      <c r="EW391" s="17"/>
      <c r="EX391" s="17"/>
      <c r="EY391" s="17"/>
      <c r="EZ391" s="17"/>
      <c r="FA391" s="17"/>
      <c r="FB391" s="17"/>
      <c r="FC391" s="17"/>
      <c r="FD391" s="17"/>
      <c r="FE391" s="17"/>
      <c r="FF391" s="17"/>
      <c r="FG391" s="17"/>
      <c r="FH391" s="17"/>
      <c r="FI391" s="17"/>
      <c r="FJ391" s="17"/>
      <c r="FK391" s="17"/>
      <c r="FL391" s="17"/>
      <c r="FM391" s="17"/>
      <c r="FN391" s="17"/>
      <c r="FO391" s="17"/>
      <c r="FP391" s="17"/>
      <c r="FQ391" s="17"/>
      <c r="FR391" s="17"/>
      <c r="FS391" s="17"/>
      <c r="FT391" s="17"/>
      <c r="FU391" s="17"/>
      <c r="FV391" s="17"/>
      <c r="FW391" s="17"/>
      <c r="FX391" s="17"/>
      <c r="FY391" s="17"/>
      <c r="FZ391" s="17"/>
      <c r="GA391" s="17"/>
      <c r="GB391" s="17"/>
      <c r="GC391" s="17"/>
      <c r="GD391" s="17"/>
      <c r="GE391" s="17"/>
      <c r="GF391" s="17"/>
      <c r="GG391" s="17"/>
      <c r="GH391" s="17"/>
      <c r="GI391" s="17"/>
      <c r="GJ391" s="17"/>
      <c r="GK391" s="17"/>
      <c r="GL391" s="17"/>
      <c r="GM391" s="17"/>
      <c r="GN391" s="17"/>
      <c r="GO391" s="17"/>
      <c r="GP391" s="17"/>
      <c r="GQ391" s="17"/>
      <c r="GR391" s="17"/>
      <c r="GS391" s="17"/>
      <c r="GT391" s="17"/>
      <c r="GU391" s="17"/>
      <c r="GV391" s="17"/>
      <c r="GW391" s="17"/>
      <c r="GX391" s="17"/>
      <c r="GY391" s="17"/>
      <c r="GZ391" s="17"/>
      <c r="HA391" s="17"/>
      <c r="HB391" s="17"/>
      <c r="HC391" s="17"/>
      <c r="HD391" s="17"/>
      <c r="HE391" s="17"/>
      <c r="HF391" s="17"/>
      <c r="HG391" s="17"/>
      <c r="HH391" s="17"/>
      <c r="HI391" s="17"/>
      <c r="HJ391" s="17"/>
      <c r="HK391" s="17"/>
      <c r="HL391" s="17"/>
      <c r="HM391" s="17"/>
      <c r="HN391" s="17"/>
      <c r="HO391" s="17"/>
      <c r="HP391" s="17"/>
      <c r="HQ391" s="17"/>
      <c r="HR391" s="17"/>
      <c r="HS391" s="17"/>
      <c r="HT391" s="17"/>
      <c r="HU391" s="17"/>
      <c r="HV391" s="17"/>
      <c r="HW391" s="17"/>
      <c r="HX391" s="17"/>
      <c r="HY391" s="17"/>
      <c r="HZ391" s="17"/>
      <c r="IA391" s="17"/>
      <c r="IB391" s="17"/>
      <c r="IC391" s="17"/>
      <c r="ID391" s="17"/>
      <c r="IE391" s="17"/>
      <c r="IF391" s="17"/>
      <c r="IG391" s="17"/>
      <c r="IH391" s="17"/>
      <c r="II391" s="17"/>
      <c r="IJ391" s="17"/>
      <c r="IK391" s="17"/>
      <c r="IL391" s="17"/>
      <c r="IM391" s="17"/>
      <c r="IN391" s="17"/>
      <c r="IO391" s="17"/>
      <c r="IP391" s="17"/>
      <c r="IQ391" s="17"/>
      <c r="IR391" s="17"/>
      <c r="IS391" s="17"/>
      <c r="IT391" s="17"/>
      <c r="IU391" s="17"/>
      <c r="IV391" s="17"/>
      <c r="IW391" s="17"/>
      <c r="IX391" s="17"/>
      <c r="IY391" s="17"/>
      <c r="IZ391" s="17"/>
      <c r="JA391" s="17"/>
      <c r="JB391" s="17"/>
      <c r="JC391" s="17"/>
      <c r="JD391" s="17"/>
      <c r="JE391" s="17"/>
      <c r="JF391" s="17"/>
      <c r="JG391" s="17"/>
      <c r="JH391" s="17"/>
      <c r="JI391" s="17"/>
      <c r="JJ391" s="17"/>
      <c r="JK391" s="17"/>
      <c r="JL391" s="17"/>
      <c r="JM391" s="17"/>
      <c r="JN391" s="17"/>
      <c r="JO391" s="17"/>
      <c r="JP391" s="17"/>
      <c r="JQ391" s="17"/>
      <c r="JR391" s="17"/>
      <c r="JS391" s="17"/>
      <c r="JT391" s="17"/>
      <c r="JU391" s="17"/>
      <c r="JV391" s="17"/>
      <c r="JW391" s="17"/>
      <c r="JX391" s="17"/>
      <c r="JY391" s="17"/>
      <c r="JZ391" s="17"/>
      <c r="KA391" s="17"/>
      <c r="KB391" s="17"/>
      <c r="KC391" s="17"/>
      <c r="KD391" s="17"/>
      <c r="KE391" s="17"/>
      <c r="KF391" s="17"/>
      <c r="KG391" s="17"/>
      <c r="KH391" s="17"/>
      <c r="KI391" s="17"/>
      <c r="KJ391" s="17"/>
      <c r="KK391" s="17"/>
      <c r="KL391" s="17"/>
      <c r="KM391" s="17"/>
      <c r="KN391" s="17"/>
      <c r="KO391" s="17"/>
      <c r="KP391" s="17"/>
      <c r="KQ391" s="17"/>
      <c r="KR391" s="17"/>
      <c r="KS391" s="17"/>
      <c r="KT391" s="17"/>
      <c r="KU391" s="17"/>
      <c r="KV391" s="17"/>
      <c r="KW391" s="17"/>
      <c r="KX391" s="17"/>
      <c r="KY391" s="17"/>
    </row>
    <row r="392" spans="1:311" x14ac:dyDescent="0.25">
      <c r="A392" s="17"/>
      <c r="B392" s="17"/>
      <c r="C392" s="17"/>
      <c r="D392" s="17"/>
      <c r="E392" s="17"/>
      <c r="F392" s="17"/>
      <c r="G392" s="17"/>
      <c r="H392" s="17"/>
      <c r="I392" s="17"/>
      <c r="J392" s="17"/>
      <c r="K392" s="17"/>
      <c r="L392" s="17"/>
      <c r="M392" s="17"/>
      <c r="N392" s="17"/>
      <c r="O392" s="17"/>
      <c r="P392" s="17"/>
      <c r="Q392" s="17"/>
      <c r="R392" s="17"/>
      <c r="S392" s="17"/>
      <c r="T392" s="17"/>
      <c r="U392" s="17"/>
      <c r="V392" s="17"/>
      <c r="W392" s="17"/>
      <c r="X392" s="17"/>
      <c r="Y392" s="17"/>
      <c r="Z392" s="17"/>
      <c r="AA392" s="17"/>
      <c r="AB392" s="17"/>
      <c r="AC392" s="17"/>
      <c r="AD392" s="17"/>
      <c r="AE392" s="17"/>
      <c r="AF392" s="17"/>
      <c r="AG392" s="17"/>
      <c r="AH392" s="17"/>
      <c r="AI392" s="17"/>
      <c r="AJ392" s="17"/>
      <c r="AK392" s="17"/>
      <c r="AL392" s="17"/>
      <c r="AM392" s="17"/>
      <c r="AN392" s="17"/>
      <c r="AO392" s="17"/>
      <c r="AP392" s="17"/>
      <c r="AQ392" s="17"/>
      <c r="AR392" s="17"/>
      <c r="AS392" s="17"/>
      <c r="AT392" s="17"/>
      <c r="AU392" s="17"/>
      <c r="AV392" s="17"/>
      <c r="AW392" s="17"/>
      <c r="AX392" s="17"/>
      <c r="AY392" s="17"/>
      <c r="AZ392" s="17"/>
      <c r="BA392" s="17"/>
      <c r="BB392" s="17"/>
      <c r="BC392" s="17"/>
      <c r="BD392" s="17"/>
      <c r="BE392" s="17"/>
      <c r="BF392" s="17"/>
      <c r="BG392" s="17"/>
      <c r="BH392" s="17"/>
      <c r="BI392" s="17"/>
      <c r="BJ392" s="17"/>
      <c r="BK392" s="17"/>
      <c r="BL392" s="17"/>
      <c r="BM392" s="17"/>
      <c r="BN392" s="17"/>
      <c r="BO392" s="17"/>
      <c r="BP392" s="17"/>
      <c r="BQ392" s="17"/>
      <c r="BR392" s="17"/>
      <c r="BS392" s="17"/>
      <c r="BT392" s="17"/>
      <c r="BU392" s="17"/>
      <c r="BV392" s="17"/>
      <c r="BW392" s="17"/>
      <c r="BX392" s="17"/>
      <c r="BY392" s="17"/>
      <c r="BZ392" s="17"/>
      <c r="CA392" s="17"/>
      <c r="CB392" s="17"/>
      <c r="CC392" s="17"/>
      <c r="CD392" s="17"/>
      <c r="CE392" s="17"/>
      <c r="CF392" s="17"/>
      <c r="CG392" s="17"/>
      <c r="CH392" s="17"/>
      <c r="CI392" s="17"/>
      <c r="CJ392" s="17"/>
      <c r="CK392" s="17"/>
      <c r="CL392" s="17"/>
      <c r="CM392" s="17"/>
      <c r="CN392" s="17"/>
      <c r="CO392" s="17"/>
      <c r="CP392" s="17"/>
      <c r="CQ392" s="17"/>
      <c r="CR392" s="17"/>
      <c r="CS392" s="17"/>
      <c r="CT392" s="17"/>
      <c r="CU392" s="17"/>
      <c r="CV392" s="17"/>
      <c r="CW392" s="17"/>
      <c r="CX392" s="17"/>
      <c r="CY392" s="17"/>
      <c r="CZ392" s="17"/>
      <c r="DA392" s="17"/>
      <c r="DB392" s="17"/>
      <c r="DC392" s="17"/>
      <c r="DD392" s="17"/>
      <c r="DE392" s="17"/>
      <c r="DF392" s="17"/>
      <c r="DG392" s="17"/>
      <c r="DH392" s="17"/>
      <c r="DI392" s="17"/>
      <c r="DJ392" s="17"/>
      <c r="DK392" s="17"/>
      <c r="DL392" s="17"/>
      <c r="DM392" s="17"/>
      <c r="DN392" s="17"/>
      <c r="DO392" s="17"/>
      <c r="DP392" s="17"/>
      <c r="DQ392" s="17"/>
      <c r="DR392" s="17"/>
      <c r="DS392" s="17"/>
      <c r="DT392" s="17"/>
      <c r="DU392" s="17"/>
      <c r="DV392" s="17"/>
      <c r="DW392" s="17"/>
      <c r="DX392" s="17"/>
      <c r="DY392" s="17"/>
      <c r="DZ392" s="17"/>
      <c r="EA392" s="17"/>
      <c r="EB392" s="17"/>
      <c r="EC392" s="17"/>
      <c r="ED392" s="17"/>
      <c r="EE392" s="17"/>
      <c r="EF392" s="17"/>
      <c r="EG392" s="17"/>
      <c r="EH392" s="17"/>
      <c r="EI392" s="17"/>
      <c r="EJ392" s="17"/>
      <c r="EK392" s="17"/>
      <c r="EL392" s="17"/>
      <c r="EM392" s="17"/>
      <c r="EN392" s="17"/>
      <c r="EO392" s="17"/>
      <c r="EP392" s="17"/>
      <c r="EQ392" s="17"/>
      <c r="ER392" s="17"/>
      <c r="ES392" s="17"/>
      <c r="ET392" s="17"/>
      <c r="EU392" s="17"/>
      <c r="EV392" s="17"/>
      <c r="EW392" s="17"/>
      <c r="EX392" s="17"/>
      <c r="EY392" s="17"/>
      <c r="EZ392" s="17"/>
      <c r="FA392" s="17"/>
      <c r="FB392" s="17"/>
      <c r="FC392" s="17"/>
      <c r="FD392" s="17"/>
      <c r="FE392" s="17"/>
      <c r="FF392" s="17"/>
      <c r="FG392" s="17"/>
      <c r="FH392" s="17"/>
      <c r="FI392" s="17"/>
      <c r="FJ392" s="17"/>
      <c r="FK392" s="17"/>
      <c r="FL392" s="17"/>
      <c r="FM392" s="17"/>
      <c r="FN392" s="17"/>
      <c r="FO392" s="17"/>
      <c r="FP392" s="17"/>
      <c r="FQ392" s="17"/>
      <c r="FR392" s="17"/>
      <c r="FS392" s="17"/>
      <c r="FT392" s="17"/>
      <c r="FU392" s="17"/>
      <c r="FV392" s="17"/>
      <c r="FW392" s="17"/>
      <c r="FX392" s="17"/>
      <c r="FY392" s="17"/>
      <c r="FZ392" s="17"/>
      <c r="GA392" s="17"/>
      <c r="GB392" s="17"/>
      <c r="GC392" s="17"/>
      <c r="GD392" s="17"/>
      <c r="GE392" s="17"/>
      <c r="GF392" s="17"/>
      <c r="GG392" s="17"/>
      <c r="GH392" s="17"/>
      <c r="GI392" s="17"/>
      <c r="GJ392" s="17"/>
      <c r="GK392" s="17"/>
      <c r="GL392" s="17"/>
      <c r="GM392" s="17"/>
      <c r="GN392" s="17"/>
      <c r="GO392" s="17"/>
      <c r="GP392" s="17"/>
      <c r="GQ392" s="17"/>
      <c r="GR392" s="17"/>
      <c r="GS392" s="17"/>
      <c r="GT392" s="17"/>
      <c r="GU392" s="17"/>
      <c r="GV392" s="17"/>
      <c r="GW392" s="17"/>
      <c r="GX392" s="17"/>
      <c r="GY392" s="17"/>
      <c r="GZ392" s="17"/>
      <c r="HA392" s="17"/>
      <c r="HB392" s="17"/>
      <c r="HC392" s="17"/>
      <c r="HD392" s="17"/>
      <c r="HE392" s="17"/>
      <c r="HF392" s="17"/>
      <c r="HG392" s="17"/>
      <c r="HH392" s="17"/>
      <c r="HI392" s="17"/>
      <c r="HJ392" s="17"/>
      <c r="HK392" s="17"/>
      <c r="HL392" s="17"/>
      <c r="HM392" s="17"/>
      <c r="HN392" s="17"/>
      <c r="HO392" s="17"/>
      <c r="HP392" s="17"/>
      <c r="HQ392" s="17"/>
      <c r="HR392" s="17"/>
      <c r="HS392" s="17"/>
      <c r="HT392" s="17"/>
      <c r="HU392" s="17"/>
      <c r="HV392" s="17"/>
      <c r="HW392" s="17"/>
      <c r="HX392" s="17"/>
      <c r="HY392" s="17"/>
      <c r="HZ392" s="17"/>
      <c r="IA392" s="17"/>
      <c r="IB392" s="17"/>
      <c r="IC392" s="17"/>
      <c r="ID392" s="17"/>
      <c r="IE392" s="17"/>
      <c r="IF392" s="17"/>
      <c r="IG392" s="17"/>
      <c r="IH392" s="17"/>
      <c r="II392" s="17"/>
      <c r="IJ392" s="17"/>
      <c r="IK392" s="17"/>
      <c r="IL392" s="17"/>
      <c r="IM392" s="17"/>
      <c r="IN392" s="17"/>
      <c r="IO392" s="17"/>
      <c r="IP392" s="17"/>
      <c r="IQ392" s="17"/>
      <c r="IR392" s="17"/>
      <c r="IS392" s="17"/>
      <c r="IT392" s="17"/>
      <c r="IU392" s="17"/>
      <c r="IV392" s="17"/>
      <c r="IW392" s="17"/>
      <c r="IX392" s="17"/>
      <c r="IY392" s="17"/>
      <c r="IZ392" s="17"/>
      <c r="JA392" s="17"/>
      <c r="JB392" s="17"/>
      <c r="JC392" s="17"/>
      <c r="JD392" s="17"/>
      <c r="JE392" s="17"/>
      <c r="JF392" s="17"/>
      <c r="JG392" s="17"/>
      <c r="JH392" s="17"/>
      <c r="JI392" s="17"/>
      <c r="JJ392" s="17"/>
      <c r="JK392" s="17"/>
      <c r="JL392" s="17"/>
      <c r="JM392" s="17"/>
      <c r="JN392" s="17"/>
      <c r="JO392" s="17"/>
      <c r="JP392" s="17"/>
      <c r="JQ392" s="17"/>
      <c r="JR392" s="17"/>
      <c r="JS392" s="17"/>
      <c r="JT392" s="17"/>
      <c r="JU392" s="17"/>
      <c r="JV392" s="17"/>
      <c r="JW392" s="17"/>
      <c r="JX392" s="17"/>
      <c r="JY392" s="17"/>
      <c r="JZ392" s="17"/>
      <c r="KA392" s="17"/>
      <c r="KB392" s="17"/>
      <c r="KC392" s="17"/>
      <c r="KD392" s="17"/>
      <c r="KE392" s="17"/>
      <c r="KF392" s="17"/>
      <c r="KG392" s="17"/>
      <c r="KH392" s="17"/>
      <c r="KI392" s="17"/>
      <c r="KJ392" s="17"/>
      <c r="KK392" s="17"/>
      <c r="KL392" s="17"/>
      <c r="KM392" s="17"/>
      <c r="KN392" s="17"/>
      <c r="KO392" s="17"/>
      <c r="KP392" s="17"/>
      <c r="KQ392" s="17"/>
      <c r="KR392" s="17"/>
      <c r="KS392" s="17"/>
      <c r="KT392" s="17"/>
      <c r="KU392" s="17"/>
      <c r="KV392" s="17"/>
      <c r="KW392" s="17"/>
      <c r="KX392" s="17"/>
      <c r="KY392" s="17"/>
    </row>
    <row r="393" spans="1:311" x14ac:dyDescent="0.25">
      <c r="A393" s="17"/>
      <c r="B393" s="17"/>
      <c r="C393" s="17"/>
      <c r="D393" s="17"/>
      <c r="E393" s="17"/>
      <c r="F393" s="17"/>
      <c r="G393" s="17"/>
      <c r="H393" s="17"/>
      <c r="I393" s="17"/>
      <c r="J393" s="17"/>
      <c r="K393" s="17"/>
      <c r="L393" s="17"/>
      <c r="M393" s="17"/>
      <c r="N393" s="17"/>
      <c r="O393" s="17"/>
      <c r="P393" s="17"/>
      <c r="Q393" s="17"/>
      <c r="R393" s="17"/>
      <c r="S393" s="17"/>
      <c r="T393" s="17"/>
      <c r="U393" s="17"/>
      <c r="V393" s="17"/>
      <c r="W393" s="17"/>
      <c r="X393" s="17"/>
      <c r="Y393" s="17"/>
      <c r="Z393" s="17"/>
      <c r="AA393" s="17"/>
      <c r="AB393" s="17"/>
      <c r="AC393" s="17"/>
      <c r="AD393" s="17"/>
      <c r="AE393" s="17"/>
      <c r="AF393" s="17"/>
      <c r="AG393" s="17"/>
      <c r="AH393" s="17"/>
      <c r="AI393" s="17"/>
      <c r="AJ393" s="17"/>
      <c r="AK393" s="17"/>
      <c r="AL393" s="17"/>
      <c r="AM393" s="17"/>
      <c r="AN393" s="17"/>
      <c r="AO393" s="17"/>
      <c r="AP393" s="17"/>
      <c r="AQ393" s="17"/>
      <c r="AR393" s="17"/>
      <c r="AS393" s="17"/>
      <c r="AT393" s="17"/>
      <c r="AU393" s="17"/>
      <c r="AV393" s="17"/>
      <c r="AW393" s="17"/>
      <c r="AX393" s="17"/>
      <c r="AY393" s="17"/>
      <c r="AZ393" s="17"/>
      <c r="BA393" s="17"/>
      <c r="BB393" s="17"/>
      <c r="BC393" s="17"/>
      <c r="BD393" s="17"/>
      <c r="BE393" s="17"/>
      <c r="BF393" s="17"/>
      <c r="BG393" s="17"/>
      <c r="BH393" s="17"/>
      <c r="BI393" s="17"/>
      <c r="BJ393" s="17"/>
      <c r="BK393" s="17"/>
      <c r="BL393" s="17"/>
      <c r="BM393" s="17"/>
      <c r="BN393" s="17"/>
      <c r="BO393" s="17"/>
      <c r="BP393" s="17"/>
      <c r="BQ393" s="17"/>
      <c r="BR393" s="17"/>
      <c r="BS393" s="17"/>
      <c r="BT393" s="17"/>
      <c r="BU393" s="17"/>
      <c r="BV393" s="17"/>
      <c r="BW393" s="17"/>
      <c r="BX393" s="17"/>
      <c r="BY393" s="17"/>
      <c r="BZ393" s="17"/>
      <c r="CA393" s="17"/>
      <c r="CB393" s="17"/>
      <c r="CC393" s="17"/>
      <c r="CD393" s="17"/>
      <c r="CE393" s="17"/>
      <c r="CF393" s="17"/>
      <c r="CG393" s="17"/>
      <c r="CH393" s="17"/>
      <c r="CI393" s="17"/>
      <c r="CJ393" s="17"/>
      <c r="CK393" s="17"/>
      <c r="CL393" s="17"/>
      <c r="CM393" s="17"/>
      <c r="CN393" s="17"/>
      <c r="CO393" s="17"/>
      <c r="CP393" s="17"/>
      <c r="CQ393" s="17"/>
      <c r="CR393" s="17"/>
      <c r="CS393" s="17"/>
      <c r="CT393" s="17"/>
      <c r="CU393" s="17"/>
      <c r="CV393" s="17"/>
      <c r="CW393" s="17"/>
      <c r="CX393" s="17"/>
      <c r="CY393" s="17"/>
      <c r="CZ393" s="17"/>
      <c r="DA393" s="17"/>
      <c r="DB393" s="17"/>
      <c r="DC393" s="17"/>
      <c r="DD393" s="17"/>
      <c r="DE393" s="17"/>
      <c r="DF393" s="17"/>
      <c r="DG393" s="17"/>
      <c r="DH393" s="17"/>
      <c r="DI393" s="17"/>
      <c r="DJ393" s="17"/>
      <c r="DK393" s="17"/>
      <c r="DL393" s="17"/>
      <c r="DM393" s="17"/>
      <c r="DN393" s="17"/>
      <c r="DO393" s="17"/>
      <c r="DP393" s="17"/>
      <c r="DQ393" s="17"/>
      <c r="DR393" s="17"/>
      <c r="DS393" s="17"/>
      <c r="DT393" s="17"/>
      <c r="DU393" s="17"/>
      <c r="DV393" s="17"/>
      <c r="DW393" s="17"/>
      <c r="DX393" s="17"/>
      <c r="DY393" s="17"/>
      <c r="DZ393" s="17"/>
      <c r="EA393" s="17"/>
      <c r="EB393" s="17"/>
      <c r="EC393" s="17"/>
      <c r="ED393" s="17"/>
      <c r="EE393" s="17"/>
      <c r="EF393" s="17"/>
      <c r="EG393" s="17"/>
      <c r="EH393" s="17"/>
      <c r="EI393" s="17"/>
      <c r="EJ393" s="17"/>
      <c r="EK393" s="17"/>
      <c r="EL393" s="17"/>
      <c r="EM393" s="17"/>
      <c r="EN393" s="17"/>
      <c r="EO393" s="17"/>
      <c r="EP393" s="17"/>
      <c r="EQ393" s="17"/>
      <c r="ER393" s="17"/>
      <c r="ES393" s="17"/>
      <c r="ET393" s="17"/>
      <c r="EU393" s="17"/>
      <c r="EV393" s="17"/>
      <c r="EW393" s="17"/>
      <c r="EX393" s="17"/>
      <c r="EY393" s="17"/>
      <c r="EZ393" s="17"/>
      <c r="FA393" s="17"/>
      <c r="FB393" s="17"/>
      <c r="FC393" s="17"/>
      <c r="FD393" s="17"/>
      <c r="FE393" s="17"/>
      <c r="FF393" s="17"/>
      <c r="FG393" s="17"/>
      <c r="FH393" s="17"/>
      <c r="FI393" s="17"/>
      <c r="FJ393" s="17"/>
      <c r="FK393" s="17"/>
      <c r="FL393" s="17"/>
      <c r="FM393" s="17"/>
      <c r="FN393" s="17"/>
      <c r="FO393" s="17"/>
      <c r="FP393" s="17"/>
      <c r="FQ393" s="17"/>
      <c r="FR393" s="17"/>
      <c r="FS393" s="17"/>
      <c r="FT393" s="17"/>
      <c r="FU393" s="17"/>
      <c r="FV393" s="17"/>
      <c r="FW393" s="17"/>
      <c r="FX393" s="17"/>
      <c r="FY393" s="17"/>
      <c r="FZ393" s="17"/>
      <c r="GA393" s="17"/>
      <c r="GB393" s="17"/>
      <c r="GC393" s="17"/>
      <c r="GD393" s="17"/>
      <c r="GE393" s="17"/>
      <c r="GF393" s="17"/>
      <c r="GG393" s="17"/>
      <c r="GH393" s="17"/>
      <c r="GI393" s="17"/>
      <c r="GJ393" s="17"/>
      <c r="GK393" s="17"/>
      <c r="GL393" s="17"/>
      <c r="GM393" s="17"/>
      <c r="GN393" s="17"/>
      <c r="GO393" s="17"/>
      <c r="GP393" s="17"/>
      <c r="GQ393" s="17"/>
      <c r="GR393" s="17"/>
      <c r="GS393" s="17"/>
      <c r="GT393" s="17"/>
      <c r="GU393" s="17"/>
      <c r="GV393" s="17"/>
      <c r="GW393" s="17"/>
      <c r="GX393" s="17"/>
      <c r="GY393" s="17"/>
      <c r="GZ393" s="17"/>
      <c r="HA393" s="17"/>
      <c r="HB393" s="17"/>
      <c r="HC393" s="17"/>
      <c r="HD393" s="17"/>
      <c r="HE393" s="17"/>
      <c r="HF393" s="17"/>
      <c r="HG393" s="17"/>
      <c r="HH393" s="17"/>
      <c r="HI393" s="17"/>
      <c r="HJ393" s="17"/>
      <c r="HK393" s="17"/>
      <c r="HL393" s="17"/>
      <c r="HM393" s="17"/>
      <c r="HN393" s="17"/>
      <c r="HO393" s="17"/>
      <c r="HP393" s="17"/>
      <c r="HQ393" s="17"/>
      <c r="HR393" s="17"/>
      <c r="HS393" s="17"/>
      <c r="HT393" s="17"/>
      <c r="HU393" s="17"/>
      <c r="HV393" s="17"/>
      <c r="HW393" s="17"/>
      <c r="HX393" s="17"/>
      <c r="HY393" s="17"/>
      <c r="HZ393" s="17"/>
      <c r="IA393" s="17"/>
      <c r="IB393" s="17"/>
      <c r="IC393" s="17"/>
      <c r="ID393" s="17"/>
      <c r="IE393" s="17"/>
      <c r="IF393" s="17"/>
      <c r="IG393" s="17"/>
      <c r="IH393" s="17"/>
      <c r="II393" s="17"/>
      <c r="IJ393" s="17"/>
      <c r="IK393" s="17"/>
      <c r="IL393" s="17"/>
      <c r="IM393" s="17"/>
      <c r="IN393" s="17"/>
      <c r="IO393" s="17"/>
      <c r="IP393" s="17"/>
      <c r="IQ393" s="17"/>
      <c r="IR393" s="17"/>
      <c r="IS393" s="17"/>
      <c r="IT393" s="17"/>
      <c r="IU393" s="17"/>
      <c r="IV393" s="17"/>
      <c r="IW393" s="17"/>
      <c r="IX393" s="17"/>
      <c r="IY393" s="17"/>
      <c r="IZ393" s="17"/>
      <c r="JA393" s="17"/>
      <c r="JB393" s="17"/>
      <c r="JC393" s="17"/>
      <c r="JD393" s="17"/>
      <c r="JE393" s="17"/>
      <c r="JF393" s="17"/>
      <c r="JG393" s="17"/>
      <c r="JH393" s="17"/>
      <c r="JI393" s="17"/>
      <c r="JJ393" s="17"/>
      <c r="JK393" s="17"/>
      <c r="JL393" s="17"/>
      <c r="JM393" s="17"/>
      <c r="JN393" s="17"/>
      <c r="JO393" s="17"/>
      <c r="JP393" s="17"/>
      <c r="JQ393" s="17"/>
      <c r="JR393" s="17"/>
      <c r="JS393" s="17"/>
      <c r="JT393" s="17"/>
      <c r="JU393" s="17"/>
      <c r="JV393" s="17"/>
      <c r="JW393" s="17"/>
      <c r="JX393" s="17"/>
      <c r="JY393" s="17"/>
      <c r="JZ393" s="17"/>
      <c r="KA393" s="17"/>
      <c r="KB393" s="17"/>
      <c r="KC393" s="17"/>
      <c r="KD393" s="17"/>
      <c r="KE393" s="17"/>
      <c r="KF393" s="17"/>
      <c r="KG393" s="17"/>
      <c r="KH393" s="17"/>
      <c r="KI393" s="17"/>
      <c r="KJ393" s="17"/>
      <c r="KK393" s="17"/>
      <c r="KL393" s="17"/>
      <c r="KM393" s="17"/>
      <c r="KN393" s="17"/>
      <c r="KO393" s="17"/>
      <c r="KP393" s="17"/>
      <c r="KQ393" s="17"/>
      <c r="KR393" s="17"/>
      <c r="KS393" s="17"/>
      <c r="KT393" s="17"/>
      <c r="KU393" s="17"/>
      <c r="KV393" s="17"/>
      <c r="KW393" s="17"/>
      <c r="KX393" s="17"/>
      <c r="KY393" s="17"/>
    </row>
    <row r="394" spans="1:311" x14ac:dyDescent="0.25">
      <c r="A394" s="17"/>
      <c r="B394" s="17"/>
      <c r="C394" s="17"/>
      <c r="D394" s="17"/>
      <c r="E394" s="17"/>
      <c r="F394" s="17"/>
      <c r="G394" s="17"/>
      <c r="H394" s="17"/>
      <c r="I394" s="17"/>
      <c r="J394" s="17"/>
      <c r="K394" s="17"/>
      <c r="L394" s="17"/>
      <c r="M394" s="17"/>
      <c r="N394" s="17"/>
      <c r="O394" s="17"/>
      <c r="P394" s="17"/>
      <c r="Q394" s="17"/>
      <c r="R394" s="17"/>
      <c r="S394" s="17"/>
      <c r="T394" s="17"/>
      <c r="U394" s="17"/>
      <c r="V394" s="17"/>
      <c r="W394" s="17"/>
      <c r="X394" s="17"/>
      <c r="Y394" s="17"/>
      <c r="Z394" s="17"/>
      <c r="AA394" s="17"/>
      <c r="AB394" s="17"/>
      <c r="AC394" s="17"/>
      <c r="AD394" s="17"/>
      <c r="AE394" s="17"/>
      <c r="AF394" s="17"/>
      <c r="AG394" s="17"/>
      <c r="AH394" s="17"/>
      <c r="AI394" s="17"/>
      <c r="AJ394" s="17"/>
      <c r="AK394" s="17"/>
      <c r="AL394" s="17"/>
      <c r="AM394" s="17"/>
      <c r="AN394" s="17"/>
      <c r="AO394" s="17"/>
      <c r="AP394" s="17"/>
      <c r="AQ394" s="17"/>
      <c r="AR394" s="17"/>
      <c r="AS394" s="17"/>
      <c r="AT394" s="17"/>
      <c r="AU394" s="17"/>
      <c r="AV394" s="17"/>
      <c r="AW394" s="17"/>
      <c r="AX394" s="17"/>
      <c r="AY394" s="17"/>
      <c r="AZ394" s="17"/>
      <c r="BA394" s="17"/>
      <c r="BB394" s="17"/>
      <c r="BC394" s="17"/>
      <c r="BD394" s="17"/>
      <c r="BE394" s="17"/>
      <c r="BF394" s="17"/>
      <c r="BG394" s="17"/>
      <c r="BH394" s="17"/>
      <c r="BI394" s="17"/>
      <c r="BJ394" s="17"/>
      <c r="BK394" s="17"/>
      <c r="BL394" s="17"/>
      <c r="BM394" s="17"/>
      <c r="BN394" s="17"/>
      <c r="BO394" s="17"/>
      <c r="BP394" s="17"/>
      <c r="BQ394" s="17"/>
      <c r="BR394" s="17"/>
      <c r="BS394" s="17"/>
      <c r="BT394" s="17"/>
      <c r="BU394" s="17"/>
      <c r="BV394" s="17"/>
      <c r="BW394" s="17"/>
      <c r="BX394" s="17"/>
      <c r="BY394" s="17"/>
      <c r="BZ394" s="17"/>
      <c r="CA394" s="17"/>
      <c r="CB394" s="17"/>
      <c r="CC394" s="17"/>
      <c r="CD394" s="17"/>
      <c r="CE394" s="17"/>
      <c r="CF394" s="17"/>
      <c r="CG394" s="17"/>
      <c r="CH394" s="17"/>
      <c r="CI394" s="17"/>
      <c r="CJ394" s="17"/>
      <c r="CK394" s="17"/>
      <c r="CL394" s="17"/>
      <c r="CM394" s="17"/>
      <c r="CN394" s="17"/>
      <c r="CO394" s="17"/>
      <c r="CP394" s="17"/>
      <c r="CQ394" s="17"/>
      <c r="CR394" s="17"/>
      <c r="CS394" s="17"/>
      <c r="CT394" s="17"/>
      <c r="CU394" s="17"/>
      <c r="CV394" s="17"/>
      <c r="CW394" s="17"/>
      <c r="CX394" s="17"/>
      <c r="CY394" s="17"/>
      <c r="CZ394" s="17"/>
      <c r="DA394" s="17"/>
      <c r="DB394" s="17"/>
      <c r="DC394" s="17"/>
      <c r="DD394" s="17"/>
      <c r="DE394" s="17"/>
      <c r="DF394" s="17"/>
      <c r="DG394" s="17"/>
      <c r="DH394" s="17"/>
      <c r="DI394" s="17"/>
      <c r="DJ394" s="17"/>
      <c r="DK394" s="17"/>
      <c r="DL394" s="17"/>
      <c r="DM394" s="17"/>
      <c r="DN394" s="17"/>
      <c r="DO394" s="17"/>
      <c r="DP394" s="17"/>
      <c r="DQ394" s="17"/>
      <c r="DR394" s="17"/>
      <c r="DS394" s="17"/>
      <c r="DT394" s="17"/>
      <c r="DU394" s="17"/>
      <c r="DV394" s="17"/>
      <c r="DW394" s="17"/>
      <c r="DX394" s="17"/>
      <c r="DY394" s="17"/>
      <c r="DZ394" s="17"/>
      <c r="EA394" s="17"/>
      <c r="EB394" s="17"/>
      <c r="EC394" s="17"/>
      <c r="ED394" s="17"/>
      <c r="EE394" s="17"/>
      <c r="EF394" s="17"/>
      <c r="EG394" s="17"/>
      <c r="EH394" s="17"/>
      <c r="EI394" s="17"/>
      <c r="EJ394" s="17"/>
      <c r="EK394" s="17"/>
      <c r="EL394" s="17"/>
      <c r="EM394" s="17"/>
      <c r="EN394" s="17"/>
      <c r="EO394" s="17"/>
      <c r="EP394" s="17"/>
      <c r="EQ394" s="17"/>
      <c r="ER394" s="17"/>
      <c r="ES394" s="17"/>
      <c r="ET394" s="17"/>
      <c r="EU394" s="17"/>
      <c r="EV394" s="17"/>
      <c r="EW394" s="17"/>
      <c r="EX394" s="17"/>
      <c r="EY394" s="17"/>
      <c r="EZ394" s="17"/>
      <c r="FA394" s="17"/>
      <c r="FB394" s="17"/>
      <c r="FC394" s="17"/>
      <c r="FD394" s="17"/>
      <c r="FE394" s="17"/>
      <c r="FF394" s="17"/>
      <c r="FG394" s="17"/>
      <c r="FH394" s="17"/>
      <c r="FI394" s="17"/>
      <c r="FJ394" s="17"/>
      <c r="FK394" s="17"/>
      <c r="FL394" s="17"/>
      <c r="FM394" s="17"/>
      <c r="FN394" s="17"/>
      <c r="FO394" s="17"/>
      <c r="FP394" s="17"/>
      <c r="FQ394" s="17"/>
      <c r="FR394" s="17"/>
      <c r="FS394" s="17"/>
      <c r="FT394" s="17"/>
      <c r="FU394" s="17"/>
      <c r="FV394" s="17"/>
      <c r="FW394" s="17"/>
      <c r="FX394" s="17"/>
      <c r="FY394" s="17"/>
      <c r="FZ394" s="17"/>
      <c r="GA394" s="17"/>
      <c r="GB394" s="17"/>
      <c r="GC394" s="17"/>
      <c r="GD394" s="17"/>
      <c r="GE394" s="17"/>
      <c r="GF394" s="17"/>
      <c r="GG394" s="17"/>
      <c r="GH394" s="17"/>
      <c r="GI394" s="17"/>
      <c r="GJ394" s="17"/>
      <c r="GK394" s="17"/>
      <c r="GL394" s="17"/>
      <c r="GM394" s="17"/>
      <c r="GN394" s="17"/>
      <c r="GO394" s="17"/>
      <c r="GP394" s="17"/>
      <c r="GQ394" s="17"/>
      <c r="GR394" s="17"/>
      <c r="GS394" s="17"/>
      <c r="GT394" s="17"/>
      <c r="GU394" s="17"/>
      <c r="GV394" s="17"/>
      <c r="GW394" s="17"/>
      <c r="GX394" s="17"/>
      <c r="GY394" s="17"/>
      <c r="GZ394" s="17"/>
      <c r="HA394" s="17"/>
      <c r="HB394" s="17"/>
      <c r="HC394" s="17"/>
      <c r="HD394" s="17"/>
      <c r="HE394" s="17"/>
      <c r="HF394" s="17"/>
      <c r="HG394" s="17"/>
      <c r="HH394" s="17"/>
      <c r="HI394" s="17"/>
      <c r="HJ394" s="17"/>
      <c r="HK394" s="17"/>
      <c r="HL394" s="17"/>
      <c r="HM394" s="17"/>
      <c r="HN394" s="17"/>
      <c r="HO394" s="17"/>
      <c r="HP394" s="17"/>
      <c r="HQ394" s="17"/>
      <c r="HR394" s="17"/>
      <c r="HS394" s="17"/>
      <c r="HT394" s="17"/>
      <c r="HU394" s="17"/>
      <c r="HV394" s="17"/>
      <c r="HW394" s="17"/>
      <c r="HX394" s="17"/>
      <c r="HY394" s="17"/>
      <c r="HZ394" s="17"/>
      <c r="IA394" s="17"/>
      <c r="IB394" s="17"/>
      <c r="IC394" s="17"/>
      <c r="ID394" s="17"/>
      <c r="IE394" s="17"/>
      <c r="IF394" s="17"/>
      <c r="IG394" s="17"/>
      <c r="IH394" s="17"/>
      <c r="II394" s="17"/>
      <c r="IJ394" s="17"/>
      <c r="IK394" s="17"/>
      <c r="IL394" s="17"/>
      <c r="IM394" s="17"/>
      <c r="IN394" s="17"/>
      <c r="IO394" s="17"/>
      <c r="IP394" s="17"/>
      <c r="IQ394" s="17"/>
      <c r="IR394" s="17"/>
      <c r="IS394" s="17"/>
      <c r="IT394" s="17"/>
      <c r="IU394" s="17"/>
      <c r="IV394" s="17"/>
      <c r="IW394" s="17"/>
      <c r="IX394" s="17"/>
      <c r="IY394" s="17"/>
      <c r="IZ394" s="17"/>
      <c r="JA394" s="17"/>
      <c r="JB394" s="17"/>
      <c r="JC394" s="17"/>
      <c r="JD394" s="17"/>
      <c r="JE394" s="17"/>
      <c r="JF394" s="17"/>
      <c r="JG394" s="17"/>
      <c r="JH394" s="17"/>
      <c r="JI394" s="17"/>
      <c r="JJ394" s="17"/>
      <c r="JK394" s="17"/>
      <c r="JL394" s="17"/>
      <c r="JM394" s="17"/>
      <c r="JN394" s="17"/>
      <c r="JO394" s="17"/>
      <c r="JP394" s="17"/>
      <c r="JQ394" s="17"/>
      <c r="JR394" s="17"/>
      <c r="JS394" s="17"/>
      <c r="JT394" s="17"/>
      <c r="JU394" s="17"/>
      <c r="JV394" s="17"/>
      <c r="JW394" s="17"/>
      <c r="JX394" s="17"/>
      <c r="JY394" s="17"/>
      <c r="JZ394" s="17"/>
      <c r="KA394" s="17"/>
      <c r="KB394" s="17"/>
      <c r="KC394" s="17"/>
      <c r="KD394" s="17"/>
      <c r="KE394" s="17"/>
      <c r="KF394" s="17"/>
      <c r="KG394" s="17"/>
      <c r="KH394" s="17"/>
      <c r="KI394" s="17"/>
      <c r="KJ394" s="17"/>
      <c r="KK394" s="17"/>
      <c r="KL394" s="17"/>
      <c r="KM394" s="17"/>
      <c r="KN394" s="17"/>
      <c r="KO394" s="17"/>
      <c r="KP394" s="17"/>
      <c r="KQ394" s="17"/>
      <c r="KR394" s="17"/>
      <c r="KS394" s="17"/>
      <c r="KT394" s="17"/>
      <c r="KU394" s="17"/>
      <c r="KV394" s="17"/>
      <c r="KW394" s="17"/>
      <c r="KX394" s="17"/>
      <c r="KY394" s="17"/>
    </row>
    <row r="395" spans="1:311" x14ac:dyDescent="0.25">
      <c r="A395" s="17"/>
      <c r="B395" s="17"/>
      <c r="C395" s="17"/>
      <c r="D395" s="17"/>
      <c r="E395" s="17"/>
      <c r="F395" s="17"/>
      <c r="G395" s="17"/>
      <c r="H395" s="17"/>
      <c r="I395" s="17"/>
      <c r="J395" s="17"/>
      <c r="K395" s="17"/>
      <c r="L395" s="17"/>
      <c r="M395" s="17"/>
      <c r="N395" s="17"/>
      <c r="O395" s="17"/>
      <c r="P395" s="17"/>
      <c r="Q395" s="17"/>
      <c r="R395" s="17"/>
      <c r="S395" s="17"/>
      <c r="T395" s="17"/>
      <c r="U395" s="17"/>
      <c r="V395" s="17"/>
      <c r="W395" s="17"/>
      <c r="X395" s="17"/>
      <c r="Y395" s="17"/>
      <c r="Z395" s="17"/>
      <c r="AA395" s="17"/>
      <c r="AB395" s="17"/>
      <c r="AC395" s="17"/>
      <c r="AD395" s="17"/>
      <c r="AE395" s="17"/>
      <c r="AF395" s="17"/>
      <c r="AG395" s="17"/>
      <c r="AH395" s="17"/>
      <c r="AI395" s="17"/>
      <c r="AJ395" s="17"/>
      <c r="AK395" s="17"/>
      <c r="AL395" s="17"/>
      <c r="AM395" s="17"/>
      <c r="AN395" s="17"/>
      <c r="AO395" s="17"/>
      <c r="AP395" s="17"/>
      <c r="AQ395" s="17"/>
      <c r="AR395" s="17"/>
      <c r="AS395" s="17"/>
      <c r="AT395" s="17"/>
      <c r="AU395" s="17"/>
      <c r="AV395" s="17"/>
      <c r="AW395" s="17"/>
      <c r="AX395" s="17"/>
      <c r="AY395" s="17"/>
      <c r="AZ395" s="17"/>
      <c r="BA395" s="17"/>
      <c r="BB395" s="17"/>
      <c r="BC395" s="17"/>
      <c r="BD395" s="17"/>
      <c r="BE395" s="17"/>
      <c r="BF395" s="17"/>
      <c r="BG395" s="17"/>
      <c r="BH395" s="17"/>
      <c r="BI395" s="17"/>
      <c r="BJ395" s="17"/>
      <c r="BK395" s="17"/>
      <c r="BL395" s="17"/>
      <c r="BM395" s="17"/>
      <c r="BN395" s="17"/>
      <c r="BO395" s="17"/>
      <c r="BP395" s="17"/>
      <c r="BQ395" s="17"/>
      <c r="BR395" s="17"/>
      <c r="BS395" s="17"/>
      <c r="BT395" s="17"/>
      <c r="BU395" s="17"/>
      <c r="BV395" s="17"/>
      <c r="BW395" s="17"/>
      <c r="BX395" s="17"/>
      <c r="BY395" s="17"/>
      <c r="BZ395" s="17"/>
      <c r="CA395" s="17"/>
      <c r="CB395" s="17"/>
      <c r="CC395" s="17"/>
      <c r="CD395" s="17"/>
      <c r="CE395" s="17"/>
      <c r="CF395" s="17"/>
      <c r="CG395" s="17"/>
      <c r="CH395" s="17"/>
      <c r="CI395" s="17"/>
      <c r="CJ395" s="17"/>
      <c r="CK395" s="17"/>
      <c r="CL395" s="17"/>
      <c r="CM395" s="17"/>
      <c r="CN395" s="17"/>
      <c r="CO395" s="17"/>
      <c r="CP395" s="17"/>
      <c r="CQ395" s="17"/>
      <c r="CR395" s="17"/>
      <c r="CS395" s="17"/>
      <c r="CT395" s="17"/>
      <c r="CU395" s="17"/>
      <c r="CV395" s="17"/>
      <c r="CW395" s="17"/>
      <c r="CX395" s="17"/>
      <c r="CY395" s="17"/>
      <c r="CZ395" s="17"/>
      <c r="DA395" s="17"/>
      <c r="DB395" s="17"/>
      <c r="DC395" s="17"/>
      <c r="DD395" s="17"/>
      <c r="DE395" s="17"/>
      <c r="DF395" s="17"/>
      <c r="DG395" s="17"/>
      <c r="DH395" s="17"/>
      <c r="DI395" s="17"/>
      <c r="DJ395" s="17"/>
      <c r="DK395" s="17"/>
      <c r="DL395" s="17"/>
      <c r="DM395" s="17"/>
      <c r="DN395" s="17"/>
      <c r="DO395" s="17"/>
      <c r="DP395" s="17"/>
      <c r="DQ395" s="17"/>
      <c r="DR395" s="17"/>
      <c r="DS395" s="17"/>
      <c r="DT395" s="17"/>
      <c r="DU395" s="17"/>
      <c r="DV395" s="17"/>
      <c r="DW395" s="17"/>
      <c r="DX395" s="17"/>
      <c r="DY395" s="17"/>
      <c r="DZ395" s="17"/>
      <c r="EA395" s="17"/>
      <c r="EB395" s="17"/>
      <c r="EC395" s="17"/>
      <c r="ED395" s="17"/>
      <c r="EE395" s="17"/>
      <c r="EF395" s="17"/>
      <c r="EG395" s="17"/>
      <c r="EH395" s="17"/>
      <c r="EI395" s="17"/>
      <c r="EJ395" s="17"/>
      <c r="EK395" s="17"/>
      <c r="EL395" s="17"/>
      <c r="EM395" s="17"/>
      <c r="EN395" s="17"/>
      <c r="EO395" s="17"/>
      <c r="EP395" s="17"/>
      <c r="EQ395" s="17"/>
      <c r="ER395" s="17"/>
      <c r="ES395" s="17"/>
      <c r="ET395" s="17"/>
      <c r="EU395" s="17"/>
      <c r="EV395" s="17"/>
      <c r="EW395" s="17"/>
      <c r="EX395" s="17"/>
      <c r="EY395" s="17"/>
      <c r="EZ395" s="17"/>
      <c r="FA395" s="17"/>
      <c r="FB395" s="17"/>
      <c r="FC395" s="17"/>
      <c r="FD395" s="17"/>
      <c r="FE395" s="17"/>
      <c r="FF395" s="17"/>
      <c r="FG395" s="17"/>
      <c r="FH395" s="17"/>
      <c r="FI395" s="17"/>
      <c r="FJ395" s="17"/>
      <c r="FK395" s="17"/>
      <c r="FL395" s="17"/>
      <c r="FM395" s="17"/>
      <c r="FN395" s="17"/>
      <c r="FO395" s="17"/>
      <c r="FP395" s="17"/>
      <c r="FQ395" s="17"/>
      <c r="FR395" s="17"/>
      <c r="FS395" s="17"/>
      <c r="FT395" s="17"/>
      <c r="FU395" s="17"/>
      <c r="FV395" s="17"/>
      <c r="FW395" s="17"/>
      <c r="FX395" s="17"/>
      <c r="FY395" s="17"/>
      <c r="FZ395" s="17"/>
      <c r="GA395" s="17"/>
      <c r="GB395" s="17"/>
      <c r="GC395" s="17"/>
      <c r="GD395" s="17"/>
      <c r="GE395" s="17"/>
      <c r="GF395" s="17"/>
      <c r="GG395" s="17"/>
      <c r="GH395" s="17"/>
      <c r="GI395" s="17"/>
      <c r="GJ395" s="17"/>
      <c r="GK395" s="17"/>
      <c r="GL395" s="17"/>
      <c r="GM395" s="17"/>
      <c r="GN395" s="17"/>
      <c r="GO395" s="17"/>
      <c r="GP395" s="17"/>
      <c r="GQ395" s="17"/>
      <c r="GR395" s="17"/>
      <c r="GS395" s="17"/>
      <c r="GT395" s="17"/>
      <c r="GU395" s="17"/>
      <c r="GV395" s="17"/>
      <c r="GW395" s="17"/>
      <c r="GX395" s="17"/>
      <c r="GY395" s="17"/>
      <c r="GZ395" s="17"/>
      <c r="HA395" s="17"/>
      <c r="HB395" s="17"/>
      <c r="HC395" s="17"/>
      <c r="HD395" s="17"/>
      <c r="HE395" s="17"/>
      <c r="HF395" s="17"/>
      <c r="HG395" s="17"/>
      <c r="HH395" s="17"/>
      <c r="HI395" s="17"/>
      <c r="HJ395" s="17"/>
      <c r="HK395" s="17"/>
      <c r="HL395" s="17"/>
      <c r="HM395" s="17"/>
      <c r="HN395" s="17"/>
      <c r="HO395" s="17"/>
      <c r="HP395" s="17"/>
      <c r="HQ395" s="17"/>
      <c r="HR395" s="17"/>
      <c r="HS395" s="17"/>
      <c r="HT395" s="17"/>
      <c r="HU395" s="17"/>
      <c r="HV395" s="17"/>
      <c r="HW395" s="17"/>
      <c r="HX395" s="17"/>
      <c r="HY395" s="17"/>
      <c r="HZ395" s="17"/>
      <c r="IA395" s="17"/>
      <c r="IB395" s="17"/>
      <c r="IC395" s="17"/>
      <c r="ID395" s="17"/>
      <c r="IE395" s="17"/>
      <c r="IF395" s="17"/>
      <c r="IG395" s="17"/>
      <c r="IH395" s="17"/>
      <c r="II395" s="17"/>
      <c r="IJ395" s="17"/>
      <c r="IK395" s="17"/>
      <c r="IL395" s="17"/>
      <c r="IM395" s="17"/>
      <c r="IN395" s="17"/>
      <c r="IO395" s="17"/>
      <c r="IP395" s="17"/>
      <c r="IQ395" s="17"/>
      <c r="IR395" s="17"/>
      <c r="IS395" s="17"/>
      <c r="IT395" s="17"/>
      <c r="IU395" s="17"/>
      <c r="IV395" s="17"/>
      <c r="IW395" s="17"/>
      <c r="IX395" s="17"/>
      <c r="IY395" s="17"/>
      <c r="IZ395" s="17"/>
      <c r="JA395" s="17"/>
      <c r="JB395" s="17"/>
      <c r="JC395" s="17"/>
      <c r="JD395" s="17"/>
      <c r="JE395" s="17"/>
      <c r="JF395" s="17"/>
      <c r="JG395" s="17"/>
      <c r="JH395" s="17"/>
      <c r="JI395" s="17"/>
      <c r="JJ395" s="17"/>
      <c r="JK395" s="17"/>
      <c r="JL395" s="17"/>
      <c r="JM395" s="17"/>
      <c r="JN395" s="17"/>
      <c r="JO395" s="17"/>
      <c r="JP395" s="17"/>
      <c r="JQ395" s="17"/>
      <c r="JR395" s="17"/>
      <c r="JS395" s="17"/>
      <c r="JT395" s="17"/>
      <c r="JU395" s="17"/>
      <c r="JV395" s="17"/>
      <c r="JW395" s="17"/>
      <c r="JX395" s="17"/>
      <c r="JY395" s="17"/>
      <c r="JZ395" s="17"/>
      <c r="KA395" s="17"/>
      <c r="KB395" s="17"/>
      <c r="KC395" s="17"/>
      <c r="KD395" s="17"/>
      <c r="KE395" s="17"/>
      <c r="KF395" s="17"/>
      <c r="KG395" s="17"/>
      <c r="KH395" s="17"/>
      <c r="KI395" s="17"/>
      <c r="KJ395" s="17"/>
      <c r="KK395" s="17"/>
      <c r="KL395" s="17"/>
      <c r="KM395" s="17"/>
      <c r="KN395" s="17"/>
      <c r="KO395" s="17"/>
      <c r="KP395" s="17"/>
      <c r="KQ395" s="17"/>
      <c r="KR395" s="17"/>
      <c r="KS395" s="17"/>
      <c r="KT395" s="17"/>
      <c r="KU395" s="17"/>
      <c r="KV395" s="17"/>
      <c r="KW395" s="17"/>
      <c r="KX395" s="17"/>
      <c r="KY395" s="17"/>
    </row>
    <row r="396" spans="1:311" x14ac:dyDescent="0.25">
      <c r="A396" s="17"/>
      <c r="B396" s="17"/>
      <c r="C396" s="17"/>
      <c r="D396" s="17"/>
      <c r="E396" s="17"/>
      <c r="F396" s="17"/>
      <c r="G396" s="17"/>
      <c r="H396" s="17"/>
      <c r="I396" s="17"/>
      <c r="J396" s="17"/>
      <c r="K396" s="17"/>
      <c r="L396" s="17"/>
      <c r="M396" s="17"/>
      <c r="N396" s="17"/>
      <c r="O396" s="17"/>
      <c r="P396" s="17"/>
      <c r="Q396" s="17"/>
      <c r="R396" s="17"/>
      <c r="S396" s="17"/>
      <c r="T396" s="17"/>
      <c r="U396" s="17"/>
      <c r="V396" s="17"/>
      <c r="W396" s="17"/>
      <c r="X396" s="17"/>
      <c r="Y396" s="17"/>
      <c r="Z396" s="17"/>
      <c r="AA396" s="17"/>
      <c r="AB396" s="17"/>
      <c r="AC396" s="17"/>
      <c r="AD396" s="17"/>
      <c r="AE396" s="17"/>
      <c r="AF396" s="17"/>
      <c r="AG396" s="17"/>
      <c r="AH396" s="17"/>
      <c r="AI396" s="17"/>
      <c r="AJ396" s="17"/>
      <c r="AK396" s="17"/>
      <c r="AL396" s="17"/>
      <c r="AM396" s="17"/>
      <c r="AN396" s="17"/>
      <c r="AO396" s="17"/>
      <c r="AP396" s="17"/>
      <c r="AQ396" s="17"/>
      <c r="AR396" s="17"/>
      <c r="AS396" s="17"/>
      <c r="AT396" s="17"/>
      <c r="AU396" s="17"/>
      <c r="AV396" s="17"/>
      <c r="AW396" s="17"/>
      <c r="AX396" s="17"/>
      <c r="AY396" s="17"/>
      <c r="AZ396" s="17"/>
      <c r="BA396" s="17"/>
      <c r="BB396" s="17"/>
      <c r="BC396" s="17"/>
      <c r="BD396" s="17"/>
      <c r="BE396" s="17"/>
      <c r="BF396" s="17"/>
      <c r="BG396" s="17"/>
      <c r="BH396" s="17"/>
      <c r="BI396" s="17"/>
      <c r="BJ396" s="17"/>
      <c r="BK396" s="17"/>
      <c r="BL396" s="17"/>
      <c r="BM396" s="17"/>
      <c r="BN396" s="17"/>
      <c r="BO396" s="17"/>
      <c r="BP396" s="17"/>
      <c r="BQ396" s="17"/>
      <c r="BR396" s="17"/>
      <c r="BS396" s="17"/>
      <c r="BT396" s="17"/>
      <c r="BU396" s="17"/>
      <c r="BV396" s="17"/>
      <c r="BW396" s="17"/>
      <c r="BX396" s="17"/>
      <c r="BY396" s="17"/>
      <c r="BZ396" s="17"/>
      <c r="CA396" s="17"/>
      <c r="CB396" s="17"/>
      <c r="CC396" s="17"/>
      <c r="CD396" s="17"/>
      <c r="CE396" s="17"/>
      <c r="CF396" s="17"/>
      <c r="CG396" s="17"/>
      <c r="CH396" s="17"/>
      <c r="CI396" s="17"/>
      <c r="CJ396" s="17"/>
      <c r="CK396" s="17"/>
      <c r="CL396" s="17"/>
      <c r="CM396" s="17"/>
      <c r="CN396" s="17"/>
      <c r="CO396" s="17"/>
      <c r="CP396" s="17"/>
      <c r="CQ396" s="17"/>
      <c r="CR396" s="17"/>
      <c r="CS396" s="17"/>
      <c r="CT396" s="17"/>
      <c r="CU396" s="17"/>
      <c r="CV396" s="17"/>
      <c r="CW396" s="17"/>
      <c r="CX396" s="17"/>
      <c r="CY396" s="17"/>
      <c r="CZ396" s="17"/>
      <c r="DA396" s="17"/>
      <c r="DB396" s="17"/>
      <c r="DC396" s="17"/>
      <c r="DD396" s="17"/>
      <c r="DE396" s="17"/>
      <c r="DF396" s="17"/>
      <c r="DG396" s="17"/>
      <c r="DH396" s="17"/>
      <c r="DI396" s="17"/>
      <c r="DJ396" s="17"/>
      <c r="DK396" s="17"/>
      <c r="DL396" s="17"/>
      <c r="DM396" s="17"/>
      <c r="DN396" s="17"/>
      <c r="DO396" s="17"/>
      <c r="DP396" s="17"/>
      <c r="DQ396" s="17"/>
      <c r="DR396" s="17"/>
      <c r="DS396" s="17"/>
      <c r="DT396" s="17"/>
      <c r="DU396" s="17"/>
      <c r="DV396" s="17"/>
      <c r="DW396" s="17"/>
      <c r="DX396" s="17"/>
      <c r="DY396" s="17"/>
      <c r="DZ396" s="17"/>
      <c r="EA396" s="17"/>
      <c r="EB396" s="17"/>
      <c r="EC396" s="17"/>
      <c r="ED396" s="17"/>
      <c r="EE396" s="17"/>
      <c r="EF396" s="17"/>
      <c r="EG396" s="17"/>
      <c r="EH396" s="17"/>
      <c r="EI396" s="17"/>
      <c r="EJ396" s="17"/>
      <c r="EK396" s="17"/>
      <c r="EL396" s="17"/>
      <c r="EM396" s="17"/>
      <c r="EN396" s="17"/>
      <c r="EO396" s="17"/>
      <c r="EP396" s="17"/>
      <c r="EQ396" s="17"/>
      <c r="ER396" s="17"/>
      <c r="ES396" s="17"/>
      <c r="ET396" s="17"/>
      <c r="EU396" s="17"/>
      <c r="EV396" s="17"/>
      <c r="EW396" s="17"/>
      <c r="EX396" s="17"/>
      <c r="EY396" s="17"/>
      <c r="EZ396" s="17"/>
      <c r="FA396" s="17"/>
      <c r="FB396" s="17"/>
      <c r="FC396" s="17"/>
      <c r="FD396" s="17"/>
      <c r="FE396" s="17"/>
      <c r="FF396" s="17"/>
      <c r="FG396" s="17"/>
      <c r="FH396" s="17"/>
      <c r="FI396" s="17"/>
      <c r="FJ396" s="17"/>
      <c r="FK396" s="17"/>
      <c r="FL396" s="17"/>
      <c r="FM396" s="17"/>
      <c r="FN396" s="17"/>
      <c r="FO396" s="17"/>
      <c r="FP396" s="17"/>
      <c r="FQ396" s="17"/>
      <c r="FR396" s="17"/>
      <c r="FS396" s="17"/>
      <c r="FT396" s="17"/>
      <c r="FU396" s="17"/>
      <c r="FV396" s="17"/>
      <c r="FW396" s="17"/>
      <c r="FX396" s="17"/>
      <c r="FY396" s="17"/>
      <c r="FZ396" s="17"/>
      <c r="GA396" s="17"/>
      <c r="GB396" s="17"/>
      <c r="GC396" s="17"/>
      <c r="GD396" s="17"/>
      <c r="GE396" s="17"/>
      <c r="GF396" s="17"/>
      <c r="GG396" s="17"/>
      <c r="GH396" s="17"/>
      <c r="GI396" s="17"/>
      <c r="GJ396" s="17"/>
      <c r="GK396" s="17"/>
      <c r="GL396" s="17"/>
      <c r="GM396" s="17"/>
      <c r="GN396" s="17"/>
      <c r="GO396" s="17"/>
      <c r="GP396" s="17"/>
      <c r="GQ396" s="17"/>
      <c r="GR396" s="17"/>
      <c r="GS396" s="17"/>
      <c r="GT396" s="17"/>
      <c r="GU396" s="17"/>
      <c r="GV396" s="17"/>
      <c r="GW396" s="17"/>
      <c r="GX396" s="17"/>
      <c r="GY396" s="17"/>
      <c r="GZ396" s="17"/>
      <c r="HA396" s="17"/>
      <c r="HB396" s="17"/>
      <c r="HC396" s="17"/>
      <c r="HD396" s="17"/>
      <c r="HE396" s="17"/>
      <c r="HF396" s="17"/>
      <c r="HG396" s="17"/>
      <c r="HH396" s="17"/>
      <c r="HI396" s="17"/>
      <c r="HJ396" s="17"/>
      <c r="HK396" s="17"/>
      <c r="HL396" s="17"/>
      <c r="HM396" s="17"/>
      <c r="HN396" s="17"/>
      <c r="HO396" s="17"/>
      <c r="HP396" s="17"/>
      <c r="HQ396" s="17"/>
      <c r="HR396" s="17"/>
      <c r="HS396" s="17"/>
      <c r="HT396" s="17"/>
      <c r="HU396" s="17"/>
      <c r="HV396" s="17"/>
      <c r="HW396" s="17"/>
      <c r="HX396" s="17"/>
      <c r="HY396" s="17"/>
      <c r="HZ396" s="17"/>
      <c r="IA396" s="17"/>
      <c r="IB396" s="17"/>
      <c r="IC396" s="17"/>
      <c r="ID396" s="17"/>
      <c r="IE396" s="17"/>
      <c r="IF396" s="17"/>
      <c r="IG396" s="17"/>
      <c r="IH396" s="17"/>
      <c r="II396" s="17"/>
      <c r="IJ396" s="17"/>
      <c r="IK396" s="17"/>
      <c r="IL396" s="17"/>
      <c r="IM396" s="17"/>
      <c r="IN396" s="17"/>
      <c r="IO396" s="17"/>
      <c r="IP396" s="17"/>
      <c r="IQ396" s="17"/>
      <c r="IR396" s="17"/>
      <c r="IS396" s="17"/>
      <c r="IT396" s="17"/>
      <c r="IU396" s="17"/>
      <c r="IV396" s="17"/>
      <c r="IW396" s="17"/>
      <c r="IX396" s="17"/>
      <c r="IY396" s="17"/>
      <c r="IZ396" s="17"/>
      <c r="JA396" s="17"/>
      <c r="JB396" s="17"/>
      <c r="JC396" s="17"/>
      <c r="JD396" s="17"/>
      <c r="JE396" s="17"/>
      <c r="JF396" s="17"/>
      <c r="JG396" s="17"/>
      <c r="JH396" s="17"/>
      <c r="JI396" s="17"/>
      <c r="JJ396" s="17"/>
      <c r="JK396" s="17"/>
      <c r="JL396" s="17"/>
      <c r="JM396" s="17"/>
      <c r="JN396" s="17"/>
      <c r="JO396" s="17"/>
      <c r="JP396" s="17"/>
      <c r="JQ396" s="17"/>
      <c r="JR396" s="17"/>
      <c r="JS396" s="17"/>
      <c r="JT396" s="17"/>
      <c r="JU396" s="17"/>
      <c r="JV396" s="17"/>
      <c r="JW396" s="17"/>
      <c r="JX396" s="17"/>
      <c r="JY396" s="17"/>
      <c r="JZ396" s="17"/>
      <c r="KA396" s="17"/>
      <c r="KB396" s="17"/>
      <c r="KC396" s="17"/>
      <c r="KD396" s="17"/>
      <c r="KE396" s="17"/>
      <c r="KF396" s="17"/>
      <c r="KG396" s="17"/>
      <c r="KH396" s="17"/>
      <c r="KI396" s="17"/>
      <c r="KJ396" s="17"/>
      <c r="KK396" s="17"/>
      <c r="KL396" s="17"/>
      <c r="KM396" s="17"/>
      <c r="KN396" s="17"/>
      <c r="KO396" s="17"/>
      <c r="KP396" s="17"/>
      <c r="KQ396" s="17"/>
      <c r="KR396" s="17"/>
      <c r="KS396" s="17"/>
      <c r="KT396" s="17"/>
      <c r="KU396" s="17"/>
      <c r="KV396" s="17"/>
      <c r="KW396" s="17"/>
      <c r="KX396" s="17"/>
      <c r="KY396" s="17"/>
    </row>
    <row r="397" spans="1:311" x14ac:dyDescent="0.25">
      <c r="A397" s="17"/>
      <c r="B397" s="17"/>
      <c r="C397" s="17"/>
      <c r="D397" s="17"/>
      <c r="E397" s="17"/>
      <c r="F397" s="17"/>
      <c r="G397" s="17"/>
      <c r="H397" s="17"/>
      <c r="I397" s="17"/>
      <c r="J397" s="17"/>
      <c r="K397" s="17"/>
      <c r="L397" s="17"/>
      <c r="M397" s="17"/>
      <c r="N397" s="17"/>
      <c r="O397" s="17"/>
      <c r="P397" s="17"/>
      <c r="Q397" s="17"/>
      <c r="R397" s="17"/>
      <c r="S397" s="17"/>
      <c r="T397" s="17"/>
      <c r="U397" s="17"/>
      <c r="V397" s="17"/>
      <c r="W397" s="17"/>
      <c r="X397" s="17"/>
      <c r="Y397" s="17"/>
      <c r="Z397" s="17"/>
      <c r="AA397" s="17"/>
      <c r="AB397" s="17"/>
      <c r="AC397" s="17"/>
      <c r="AD397" s="17"/>
      <c r="AE397" s="17"/>
      <c r="AF397" s="17"/>
      <c r="AG397" s="17"/>
      <c r="AH397" s="17"/>
      <c r="AI397" s="17"/>
      <c r="AJ397" s="17"/>
      <c r="AK397" s="17"/>
      <c r="AL397" s="17"/>
      <c r="AM397" s="17"/>
      <c r="AN397" s="17"/>
      <c r="AO397" s="17"/>
      <c r="AP397" s="17"/>
      <c r="AQ397" s="17"/>
      <c r="AR397" s="17"/>
      <c r="AS397" s="17"/>
      <c r="AT397" s="17"/>
      <c r="AU397" s="17"/>
      <c r="AV397" s="17"/>
      <c r="AW397" s="17"/>
      <c r="AX397" s="17"/>
      <c r="AY397" s="17"/>
      <c r="AZ397" s="17"/>
      <c r="BA397" s="17"/>
      <c r="BB397" s="17"/>
      <c r="BC397" s="17"/>
      <c r="BD397" s="17"/>
      <c r="BE397" s="17"/>
      <c r="BF397" s="17"/>
      <c r="BG397" s="17"/>
      <c r="BH397" s="17"/>
      <c r="BI397" s="17"/>
      <c r="BJ397" s="17"/>
      <c r="BK397" s="17"/>
      <c r="BL397" s="17"/>
      <c r="BM397" s="17"/>
      <c r="BN397" s="17"/>
      <c r="BO397" s="17"/>
      <c r="BP397" s="17"/>
      <c r="BQ397" s="17"/>
      <c r="BR397" s="17"/>
      <c r="BS397" s="17"/>
      <c r="BT397" s="17"/>
      <c r="BU397" s="17"/>
      <c r="BV397" s="17"/>
      <c r="BW397" s="17"/>
      <c r="BX397" s="17"/>
      <c r="BY397" s="17"/>
      <c r="BZ397" s="17"/>
      <c r="CA397" s="17"/>
      <c r="CB397" s="17"/>
      <c r="CC397" s="17"/>
      <c r="CD397" s="17"/>
      <c r="CE397" s="17"/>
      <c r="CF397" s="17"/>
      <c r="CG397" s="17"/>
      <c r="CH397" s="17"/>
      <c r="CI397" s="17"/>
      <c r="CJ397" s="17"/>
      <c r="CK397" s="17"/>
      <c r="CL397" s="17"/>
      <c r="CM397" s="17"/>
      <c r="CN397" s="17"/>
      <c r="CO397" s="17"/>
      <c r="CP397" s="17"/>
      <c r="CQ397" s="17"/>
      <c r="CR397" s="17"/>
      <c r="CS397" s="17"/>
      <c r="CT397" s="17"/>
      <c r="CU397" s="17"/>
      <c r="CV397" s="17"/>
      <c r="CW397" s="17"/>
      <c r="CX397" s="17"/>
      <c r="CY397" s="17"/>
      <c r="CZ397" s="17"/>
      <c r="DA397" s="17"/>
      <c r="DB397" s="17"/>
      <c r="DC397" s="17"/>
      <c r="DD397" s="17"/>
      <c r="DE397" s="17"/>
      <c r="DF397" s="17"/>
      <c r="DG397" s="17"/>
      <c r="DH397" s="17"/>
      <c r="DI397" s="17"/>
      <c r="DJ397" s="17"/>
      <c r="DK397" s="17"/>
      <c r="DL397" s="17"/>
      <c r="DM397" s="17"/>
      <c r="DN397" s="17"/>
      <c r="DO397" s="17"/>
      <c r="DP397" s="17"/>
      <c r="DQ397" s="17"/>
      <c r="DR397" s="17"/>
      <c r="DS397" s="17"/>
      <c r="DT397" s="17"/>
      <c r="DU397" s="17"/>
      <c r="DV397" s="17"/>
      <c r="DW397" s="17"/>
      <c r="DX397" s="17"/>
      <c r="DY397" s="17"/>
      <c r="DZ397" s="17"/>
      <c r="EA397" s="17"/>
      <c r="EB397" s="17"/>
      <c r="EC397" s="17"/>
      <c r="ED397" s="17"/>
      <c r="EE397" s="17"/>
      <c r="EF397" s="17"/>
      <c r="EG397" s="17"/>
      <c r="EH397" s="17"/>
      <c r="EI397" s="17"/>
      <c r="EJ397" s="17"/>
      <c r="EK397" s="17"/>
      <c r="EL397" s="17"/>
      <c r="EM397" s="17"/>
      <c r="EN397" s="17"/>
      <c r="EO397" s="17"/>
      <c r="EP397" s="17"/>
      <c r="EQ397" s="17"/>
      <c r="ER397" s="17"/>
      <c r="ES397" s="17"/>
      <c r="ET397" s="17"/>
      <c r="EU397" s="17"/>
      <c r="EV397" s="17"/>
      <c r="EW397" s="17"/>
      <c r="EX397" s="17"/>
      <c r="EY397" s="17"/>
      <c r="EZ397" s="17"/>
      <c r="FA397" s="17"/>
      <c r="FB397" s="17"/>
      <c r="FC397" s="17"/>
      <c r="FD397" s="17"/>
      <c r="FE397" s="17"/>
      <c r="FF397" s="17"/>
      <c r="FG397" s="17"/>
      <c r="FH397" s="17"/>
      <c r="FI397" s="17"/>
      <c r="FJ397" s="17"/>
      <c r="FK397" s="17"/>
      <c r="FL397" s="17"/>
      <c r="FM397" s="17"/>
      <c r="FN397" s="17"/>
      <c r="FO397" s="17"/>
      <c r="FP397" s="17"/>
      <c r="FQ397" s="17"/>
      <c r="FR397" s="17"/>
      <c r="FS397" s="17"/>
      <c r="FT397" s="17"/>
      <c r="FU397" s="17"/>
      <c r="FV397" s="17"/>
      <c r="FW397" s="17"/>
      <c r="FX397" s="17"/>
      <c r="FY397" s="17"/>
      <c r="FZ397" s="17"/>
      <c r="GA397" s="17"/>
      <c r="GB397" s="17"/>
      <c r="GC397" s="17"/>
      <c r="GD397" s="17"/>
      <c r="GE397" s="17"/>
      <c r="GF397" s="17"/>
      <c r="GG397" s="17"/>
      <c r="GH397" s="17"/>
      <c r="GI397" s="17"/>
      <c r="GJ397" s="17"/>
      <c r="GK397" s="17"/>
      <c r="GL397" s="17"/>
      <c r="GM397" s="17"/>
      <c r="GN397" s="17"/>
      <c r="GO397" s="17"/>
      <c r="GP397" s="17"/>
      <c r="GQ397" s="17"/>
      <c r="GR397" s="17"/>
      <c r="GS397" s="17"/>
      <c r="GT397" s="17"/>
      <c r="GU397" s="17"/>
      <c r="GV397" s="17"/>
      <c r="GW397" s="17"/>
      <c r="GX397" s="17"/>
      <c r="GY397" s="17"/>
      <c r="GZ397" s="17"/>
      <c r="HA397" s="17"/>
      <c r="HB397" s="17"/>
      <c r="HC397" s="17"/>
      <c r="HD397" s="17"/>
      <c r="HE397" s="17"/>
      <c r="HF397" s="17"/>
      <c r="HG397" s="17"/>
      <c r="HH397" s="17"/>
      <c r="HI397" s="17"/>
      <c r="HJ397" s="17"/>
      <c r="HK397" s="17"/>
      <c r="HL397" s="17"/>
      <c r="HM397" s="17"/>
      <c r="HN397" s="17"/>
      <c r="HO397" s="17"/>
      <c r="HP397" s="17"/>
      <c r="HQ397" s="17"/>
      <c r="HR397" s="17"/>
      <c r="HS397" s="17"/>
      <c r="HT397" s="17"/>
      <c r="HU397" s="17"/>
      <c r="HV397" s="17"/>
      <c r="HW397" s="17"/>
      <c r="HX397" s="17"/>
      <c r="HY397" s="17"/>
      <c r="HZ397" s="17"/>
      <c r="IA397" s="17"/>
      <c r="IB397" s="17"/>
      <c r="IC397" s="17"/>
      <c r="ID397" s="17"/>
      <c r="IE397" s="17"/>
      <c r="IF397" s="17"/>
      <c r="IG397" s="17"/>
      <c r="IH397" s="17"/>
      <c r="II397" s="17"/>
      <c r="IJ397" s="17"/>
      <c r="IK397" s="17"/>
      <c r="IL397" s="17"/>
      <c r="IM397" s="17"/>
      <c r="IN397" s="17"/>
      <c r="IO397" s="17"/>
      <c r="IP397" s="17"/>
      <c r="IQ397" s="17"/>
      <c r="IR397" s="17"/>
      <c r="IS397" s="17"/>
      <c r="IT397" s="17"/>
      <c r="IU397" s="17"/>
      <c r="IV397" s="17"/>
      <c r="IW397" s="17"/>
      <c r="IX397" s="17"/>
      <c r="IY397" s="17"/>
      <c r="IZ397" s="17"/>
      <c r="JA397" s="17"/>
      <c r="JB397" s="17"/>
      <c r="JC397" s="17"/>
      <c r="JD397" s="17"/>
      <c r="JE397" s="17"/>
      <c r="JF397" s="17"/>
      <c r="JG397" s="17"/>
      <c r="JH397" s="17"/>
      <c r="JI397" s="17"/>
      <c r="JJ397" s="17"/>
      <c r="JK397" s="17"/>
      <c r="JL397" s="17"/>
      <c r="JM397" s="17"/>
      <c r="JN397" s="17"/>
      <c r="JO397" s="17"/>
      <c r="JP397" s="17"/>
      <c r="JQ397" s="17"/>
      <c r="JR397" s="17"/>
      <c r="JS397" s="17"/>
      <c r="JT397" s="17"/>
      <c r="JU397" s="17"/>
      <c r="JV397" s="17"/>
      <c r="JW397" s="17"/>
      <c r="JX397" s="17"/>
      <c r="JY397" s="17"/>
      <c r="JZ397" s="17"/>
      <c r="KA397" s="17"/>
      <c r="KB397" s="17"/>
      <c r="KC397" s="17"/>
      <c r="KD397" s="17"/>
      <c r="KE397" s="17"/>
      <c r="KF397" s="17"/>
      <c r="KG397" s="17"/>
      <c r="KH397" s="17"/>
      <c r="KI397" s="17"/>
      <c r="KJ397" s="17"/>
      <c r="KK397" s="17"/>
      <c r="KL397" s="17"/>
      <c r="KM397" s="17"/>
      <c r="KN397" s="17"/>
      <c r="KO397" s="17"/>
      <c r="KP397" s="17"/>
      <c r="KQ397" s="17"/>
      <c r="KR397" s="17"/>
      <c r="KS397" s="17"/>
      <c r="KT397" s="17"/>
      <c r="KU397" s="17"/>
      <c r="KV397" s="17"/>
      <c r="KW397" s="17"/>
      <c r="KX397" s="17"/>
      <c r="KY397" s="17"/>
    </row>
    <row r="398" spans="1:311" x14ac:dyDescent="0.25">
      <c r="A398" s="17"/>
      <c r="B398" s="17"/>
      <c r="C398" s="17"/>
      <c r="D398" s="17"/>
      <c r="E398" s="17"/>
      <c r="F398" s="17"/>
      <c r="G398" s="17"/>
      <c r="H398" s="17"/>
      <c r="I398" s="17"/>
      <c r="J398" s="17"/>
      <c r="K398" s="17"/>
      <c r="L398" s="17"/>
      <c r="M398" s="17"/>
      <c r="N398" s="17"/>
      <c r="O398" s="17"/>
      <c r="P398" s="17"/>
      <c r="Q398" s="17"/>
      <c r="R398" s="17"/>
      <c r="S398" s="17"/>
      <c r="T398" s="17"/>
      <c r="U398" s="17"/>
      <c r="V398" s="17"/>
      <c r="W398" s="17"/>
      <c r="X398" s="17"/>
      <c r="Y398" s="17"/>
      <c r="Z398" s="17"/>
      <c r="AA398" s="17"/>
      <c r="AB398" s="17"/>
      <c r="AC398" s="17"/>
      <c r="AD398" s="17"/>
      <c r="AE398" s="17"/>
      <c r="AF398" s="17"/>
      <c r="AG398" s="17"/>
      <c r="AH398" s="17"/>
      <c r="AI398" s="17"/>
      <c r="AJ398" s="17"/>
      <c r="AK398" s="17"/>
      <c r="AL398" s="17"/>
      <c r="AM398" s="17"/>
      <c r="AN398" s="17"/>
      <c r="AO398" s="17"/>
      <c r="AP398" s="17"/>
      <c r="AQ398" s="17"/>
      <c r="AR398" s="17"/>
      <c r="AS398" s="17"/>
      <c r="AT398" s="17"/>
      <c r="AU398" s="17"/>
      <c r="AV398" s="17"/>
      <c r="AW398" s="17"/>
      <c r="AX398" s="17"/>
      <c r="AY398" s="17"/>
      <c r="AZ398" s="17"/>
      <c r="BA398" s="17"/>
      <c r="BB398" s="17"/>
      <c r="BC398" s="17"/>
      <c r="BD398" s="17"/>
      <c r="BE398" s="17"/>
      <c r="BF398" s="17"/>
      <c r="BG398" s="17"/>
      <c r="BH398" s="17"/>
      <c r="BI398" s="17"/>
      <c r="BJ398" s="17"/>
      <c r="BK398" s="17"/>
      <c r="BL398" s="17"/>
      <c r="BM398" s="17"/>
      <c r="BN398" s="17"/>
      <c r="BO398" s="17"/>
      <c r="BP398" s="17"/>
      <c r="BQ398" s="17"/>
      <c r="BR398" s="17"/>
      <c r="BS398" s="17"/>
      <c r="BT398" s="17"/>
      <c r="BU398" s="17"/>
      <c r="BV398" s="17"/>
      <c r="BW398" s="17"/>
      <c r="BX398" s="17"/>
      <c r="BY398" s="17"/>
      <c r="BZ398" s="17"/>
      <c r="CA398" s="17"/>
      <c r="CB398" s="17"/>
      <c r="CC398" s="17"/>
      <c r="CD398" s="17"/>
      <c r="CE398" s="17"/>
      <c r="CF398" s="17"/>
      <c r="CG398" s="17"/>
      <c r="CH398" s="17"/>
      <c r="CI398" s="17"/>
      <c r="CJ398" s="17"/>
      <c r="CK398" s="17"/>
      <c r="CL398" s="17"/>
      <c r="CM398" s="17"/>
      <c r="CN398" s="17"/>
      <c r="CO398" s="17"/>
      <c r="CP398" s="17"/>
      <c r="CQ398" s="17"/>
      <c r="CR398" s="17"/>
      <c r="CS398" s="17"/>
      <c r="CT398" s="17"/>
      <c r="CU398" s="17"/>
      <c r="CV398" s="17"/>
      <c r="CW398" s="17"/>
      <c r="CX398" s="17"/>
      <c r="CY398" s="17"/>
      <c r="CZ398" s="17"/>
      <c r="DA398" s="17"/>
      <c r="DB398" s="17"/>
      <c r="DC398" s="17"/>
      <c r="DD398" s="17"/>
      <c r="DE398" s="17"/>
      <c r="DF398" s="17"/>
      <c r="DG398" s="17"/>
      <c r="DH398" s="17"/>
      <c r="DI398" s="17"/>
      <c r="DJ398" s="17"/>
      <c r="DK398" s="17"/>
      <c r="DL398" s="17"/>
      <c r="DM398" s="17"/>
      <c r="DN398" s="17"/>
      <c r="DO398" s="17"/>
      <c r="DP398" s="17"/>
      <c r="DQ398" s="17"/>
      <c r="DR398" s="17"/>
      <c r="DS398" s="17"/>
      <c r="DT398" s="17"/>
      <c r="DU398" s="17"/>
      <c r="DV398" s="17"/>
      <c r="DW398" s="17"/>
      <c r="DX398" s="17"/>
      <c r="DY398" s="17"/>
      <c r="DZ398" s="17"/>
      <c r="EA398" s="17"/>
      <c r="EB398" s="17"/>
      <c r="EC398" s="17"/>
      <c r="ED398" s="17"/>
      <c r="EE398" s="17"/>
      <c r="EF398" s="17"/>
      <c r="EG398" s="17"/>
      <c r="EH398" s="17"/>
      <c r="EI398" s="17"/>
      <c r="EJ398" s="17"/>
      <c r="EK398" s="17"/>
      <c r="EL398" s="17"/>
      <c r="EM398" s="17"/>
      <c r="EN398" s="17"/>
      <c r="EO398" s="17"/>
      <c r="EP398" s="17"/>
      <c r="EQ398" s="17"/>
      <c r="ER398" s="17"/>
      <c r="ES398" s="17"/>
      <c r="ET398" s="17"/>
      <c r="EU398" s="17"/>
      <c r="EV398" s="17"/>
      <c r="EW398" s="17"/>
      <c r="EX398" s="17"/>
      <c r="EY398" s="17"/>
      <c r="EZ398" s="17"/>
      <c r="FA398" s="17"/>
      <c r="FB398" s="17"/>
      <c r="FC398" s="17"/>
      <c r="FD398" s="17"/>
      <c r="FE398" s="17"/>
      <c r="FF398" s="17"/>
      <c r="FG398" s="17"/>
      <c r="FH398" s="17"/>
      <c r="FI398" s="17"/>
      <c r="FJ398" s="17"/>
      <c r="FK398" s="17"/>
      <c r="FL398" s="17"/>
      <c r="FM398" s="17"/>
      <c r="FN398" s="17"/>
      <c r="FO398" s="17"/>
      <c r="FP398" s="17"/>
      <c r="FQ398" s="17"/>
      <c r="FR398" s="17"/>
      <c r="FS398" s="17"/>
      <c r="FT398" s="17"/>
      <c r="FU398" s="17"/>
      <c r="FV398" s="17"/>
      <c r="FW398" s="17"/>
      <c r="FX398" s="17"/>
      <c r="FY398" s="17"/>
      <c r="FZ398" s="17"/>
      <c r="GA398" s="17"/>
      <c r="GB398" s="17"/>
      <c r="GC398" s="17"/>
      <c r="GD398" s="17"/>
      <c r="GE398" s="17"/>
      <c r="GF398" s="17"/>
      <c r="GG398" s="17"/>
      <c r="GH398" s="17"/>
      <c r="GI398" s="17"/>
      <c r="GJ398" s="17"/>
      <c r="GK398" s="17"/>
      <c r="GL398" s="17"/>
      <c r="GM398" s="17"/>
      <c r="GN398" s="17"/>
      <c r="GO398" s="17"/>
      <c r="GP398" s="17"/>
      <c r="GQ398" s="17"/>
      <c r="GR398" s="17"/>
      <c r="GS398" s="17"/>
      <c r="GT398" s="17"/>
      <c r="GU398" s="17"/>
      <c r="GV398" s="17"/>
      <c r="GW398" s="17"/>
      <c r="GX398" s="17"/>
      <c r="GY398" s="17"/>
      <c r="GZ398" s="17"/>
      <c r="HA398" s="17"/>
      <c r="HB398" s="17"/>
      <c r="HC398" s="17"/>
      <c r="HD398" s="17"/>
      <c r="HE398" s="17"/>
      <c r="HF398" s="17"/>
      <c r="HG398" s="17"/>
      <c r="HH398" s="17"/>
      <c r="HI398" s="17"/>
      <c r="HJ398" s="17"/>
      <c r="HK398" s="17"/>
      <c r="HL398" s="17"/>
      <c r="HM398" s="17"/>
      <c r="HN398" s="17"/>
      <c r="HO398" s="17"/>
      <c r="HP398" s="17"/>
      <c r="HQ398" s="17"/>
      <c r="HR398" s="17"/>
      <c r="HS398" s="17"/>
      <c r="HT398" s="17"/>
      <c r="HU398" s="17"/>
      <c r="HV398" s="17"/>
      <c r="HW398" s="17"/>
      <c r="HX398" s="17"/>
      <c r="HY398" s="17"/>
      <c r="HZ398" s="17"/>
      <c r="IA398" s="17"/>
      <c r="IB398" s="17"/>
      <c r="IC398" s="17"/>
      <c r="ID398" s="17"/>
      <c r="IE398" s="17"/>
      <c r="IF398" s="17"/>
      <c r="IG398" s="17"/>
      <c r="IH398" s="17"/>
      <c r="II398" s="17"/>
      <c r="IJ398" s="17"/>
      <c r="IK398" s="17"/>
      <c r="IL398" s="17"/>
      <c r="IM398" s="17"/>
      <c r="IN398" s="17"/>
      <c r="IO398" s="17"/>
      <c r="IP398" s="17"/>
      <c r="IQ398" s="17"/>
      <c r="IR398" s="17"/>
      <c r="IS398" s="17"/>
      <c r="IT398" s="17"/>
      <c r="IU398" s="17"/>
      <c r="IV398" s="17"/>
      <c r="IW398" s="17"/>
      <c r="IX398" s="17"/>
      <c r="IY398" s="17"/>
      <c r="IZ398" s="17"/>
      <c r="JA398" s="17"/>
      <c r="JB398" s="17"/>
      <c r="JC398" s="17"/>
      <c r="JD398" s="17"/>
      <c r="JE398" s="17"/>
      <c r="JF398" s="17"/>
      <c r="JG398" s="17"/>
      <c r="JH398" s="17"/>
      <c r="JI398" s="17"/>
      <c r="JJ398" s="17"/>
      <c r="JK398" s="17"/>
      <c r="JL398" s="17"/>
      <c r="JM398" s="17"/>
      <c r="JN398" s="17"/>
      <c r="JO398" s="17"/>
      <c r="JP398" s="17"/>
      <c r="JQ398" s="17"/>
      <c r="JR398" s="17"/>
      <c r="JS398" s="17"/>
      <c r="JT398" s="17"/>
      <c r="JU398" s="17"/>
      <c r="JV398" s="17"/>
      <c r="JW398" s="17"/>
      <c r="JX398" s="17"/>
      <c r="JY398" s="17"/>
      <c r="JZ398" s="17"/>
      <c r="KA398" s="17"/>
      <c r="KB398" s="17"/>
      <c r="KC398" s="17"/>
      <c r="KD398" s="17"/>
      <c r="KE398" s="17"/>
      <c r="KF398" s="17"/>
      <c r="KG398" s="17"/>
      <c r="KH398" s="17"/>
      <c r="KI398" s="17"/>
      <c r="KJ398" s="17"/>
      <c r="KK398" s="17"/>
      <c r="KL398" s="17"/>
      <c r="KM398" s="17"/>
      <c r="KN398" s="17"/>
      <c r="KO398" s="17"/>
      <c r="KP398" s="17"/>
      <c r="KQ398" s="17"/>
      <c r="KR398" s="17"/>
      <c r="KS398" s="17"/>
      <c r="KT398" s="17"/>
      <c r="KU398" s="17"/>
      <c r="KV398" s="17"/>
      <c r="KW398" s="17"/>
      <c r="KX398" s="17"/>
      <c r="KY398" s="17"/>
    </row>
    <row r="399" spans="1:311" x14ac:dyDescent="0.25">
      <c r="A399" s="17"/>
      <c r="B399" s="17"/>
      <c r="C399" s="17"/>
      <c r="D399" s="17"/>
      <c r="E399" s="17"/>
      <c r="F399" s="17"/>
      <c r="G399" s="17"/>
      <c r="H399" s="17"/>
      <c r="I399" s="17"/>
      <c r="J399" s="17"/>
      <c r="K399" s="17"/>
      <c r="L399" s="17"/>
      <c r="M399" s="17"/>
      <c r="N399" s="17"/>
      <c r="O399" s="17"/>
      <c r="P399" s="17"/>
      <c r="Q399" s="17"/>
      <c r="R399" s="17"/>
      <c r="S399" s="17"/>
      <c r="T399" s="17"/>
      <c r="U399" s="17"/>
      <c r="V399" s="17"/>
      <c r="W399" s="17"/>
      <c r="X399" s="17"/>
      <c r="Y399" s="17"/>
      <c r="Z399" s="17"/>
      <c r="AA399" s="17"/>
      <c r="AB399" s="17"/>
      <c r="AC399" s="17"/>
      <c r="AD399" s="17"/>
      <c r="AE399" s="17"/>
      <c r="AF399" s="17"/>
      <c r="AG399" s="17"/>
      <c r="AH399" s="17"/>
      <c r="AI399" s="17"/>
      <c r="AJ399" s="17"/>
      <c r="AK399" s="17"/>
      <c r="AL399" s="17"/>
      <c r="AM399" s="17"/>
      <c r="AN399" s="17"/>
      <c r="AO399" s="17"/>
      <c r="AP399" s="17"/>
      <c r="AQ399" s="17"/>
      <c r="AR399" s="17"/>
      <c r="AS399" s="17"/>
      <c r="AT399" s="17"/>
      <c r="AU399" s="17"/>
      <c r="AV399" s="17"/>
      <c r="AW399" s="17"/>
      <c r="AX399" s="17"/>
      <c r="AY399" s="17"/>
      <c r="AZ399" s="17"/>
      <c r="BA399" s="17"/>
      <c r="BB399" s="17"/>
      <c r="BC399" s="17"/>
      <c r="BD399" s="17"/>
      <c r="BE399" s="17"/>
      <c r="BF399" s="17"/>
      <c r="BG399" s="17"/>
      <c r="BH399" s="17"/>
      <c r="BI399" s="17"/>
      <c r="BJ399" s="17"/>
      <c r="BK399" s="17"/>
      <c r="BL399" s="17"/>
      <c r="BM399" s="17"/>
      <c r="BN399" s="17"/>
      <c r="BO399" s="17"/>
      <c r="BP399" s="17"/>
      <c r="BQ399" s="17"/>
      <c r="BR399" s="17"/>
      <c r="BS399" s="17"/>
      <c r="BT399" s="17"/>
      <c r="BU399" s="17"/>
      <c r="BV399" s="17"/>
      <c r="BW399" s="17"/>
      <c r="BX399" s="17"/>
      <c r="BY399" s="17"/>
      <c r="BZ399" s="17"/>
      <c r="CA399" s="17"/>
      <c r="CB399" s="17"/>
      <c r="CC399" s="17"/>
      <c r="CD399" s="17"/>
      <c r="CE399" s="17"/>
      <c r="CF399" s="17"/>
      <c r="CG399" s="17"/>
      <c r="CH399" s="17"/>
      <c r="CI399" s="17"/>
      <c r="CJ399" s="17"/>
      <c r="CK399" s="17"/>
      <c r="CL399" s="17"/>
      <c r="CM399" s="17"/>
      <c r="CN399" s="17"/>
      <c r="CO399" s="17"/>
      <c r="CP399" s="17"/>
      <c r="CQ399" s="17"/>
      <c r="CR399" s="17"/>
      <c r="CS399" s="17"/>
      <c r="CT399" s="17"/>
      <c r="CU399" s="17"/>
      <c r="CV399" s="17"/>
      <c r="CW399" s="17"/>
      <c r="CX399" s="17"/>
      <c r="CY399" s="17"/>
      <c r="CZ399" s="17"/>
      <c r="DA399" s="17"/>
      <c r="DB399" s="17"/>
      <c r="DC399" s="17"/>
      <c r="DD399" s="17"/>
      <c r="DE399" s="17"/>
      <c r="DF399" s="17"/>
      <c r="DG399" s="17"/>
      <c r="DH399" s="17"/>
      <c r="DI399" s="17"/>
      <c r="DJ399" s="17"/>
      <c r="DK399" s="17"/>
      <c r="DL399" s="17"/>
      <c r="DM399" s="17"/>
      <c r="DN399" s="17"/>
      <c r="DO399" s="17"/>
      <c r="DP399" s="17"/>
      <c r="DQ399" s="17"/>
      <c r="DR399" s="17"/>
      <c r="DS399" s="17"/>
      <c r="DT399" s="17"/>
      <c r="DU399" s="17"/>
      <c r="DV399" s="17"/>
      <c r="DW399" s="17"/>
      <c r="DX399" s="17"/>
      <c r="DY399" s="17"/>
      <c r="DZ399" s="17"/>
      <c r="EA399" s="17"/>
      <c r="EB399" s="17"/>
      <c r="EC399" s="17"/>
      <c r="ED399" s="17"/>
      <c r="EE399" s="17"/>
      <c r="EF399" s="17"/>
      <c r="EG399" s="17"/>
      <c r="EH399" s="17"/>
      <c r="EI399" s="17"/>
      <c r="EJ399" s="17"/>
      <c r="EK399" s="17"/>
      <c r="EL399" s="17"/>
      <c r="EM399" s="17"/>
      <c r="EN399" s="17"/>
      <c r="EO399" s="17"/>
      <c r="EP399" s="17"/>
      <c r="EQ399" s="17"/>
      <c r="ER399" s="17"/>
      <c r="ES399" s="17"/>
      <c r="ET399" s="17"/>
      <c r="EU399" s="17"/>
      <c r="EV399" s="17"/>
      <c r="EW399" s="17"/>
      <c r="EX399" s="17"/>
      <c r="EY399" s="17"/>
      <c r="EZ399" s="17"/>
      <c r="FA399" s="17"/>
      <c r="FB399" s="17"/>
      <c r="FC399" s="17"/>
      <c r="FD399" s="17"/>
      <c r="FE399" s="17"/>
      <c r="FF399" s="17"/>
      <c r="FG399" s="17"/>
      <c r="FH399" s="17"/>
      <c r="FI399" s="17"/>
      <c r="FJ399" s="17"/>
      <c r="FK399" s="17"/>
      <c r="FL399" s="17"/>
      <c r="FM399" s="17"/>
      <c r="FN399" s="17"/>
      <c r="FO399" s="17"/>
      <c r="FP399" s="17"/>
      <c r="FQ399" s="17"/>
      <c r="FR399" s="17"/>
      <c r="FS399" s="17"/>
      <c r="FT399" s="17"/>
      <c r="FU399" s="17"/>
      <c r="FV399" s="17"/>
      <c r="FW399" s="17"/>
      <c r="FX399" s="17"/>
      <c r="FY399" s="17"/>
      <c r="FZ399" s="17"/>
      <c r="GA399" s="17"/>
      <c r="GB399" s="17"/>
      <c r="GC399" s="17"/>
      <c r="GD399" s="17"/>
      <c r="GE399" s="17"/>
      <c r="GF399" s="17"/>
      <c r="GG399" s="17"/>
      <c r="GH399" s="17"/>
      <c r="GI399" s="17"/>
      <c r="GJ399" s="17"/>
      <c r="GK399" s="17"/>
      <c r="GL399" s="17"/>
      <c r="GM399" s="17"/>
      <c r="GN399" s="17"/>
      <c r="GO399" s="17"/>
      <c r="GP399" s="17"/>
      <c r="GQ399" s="17"/>
      <c r="GR399" s="17"/>
      <c r="GS399" s="17"/>
      <c r="GT399" s="17"/>
      <c r="GU399" s="17"/>
      <c r="GV399" s="17"/>
      <c r="GW399" s="17"/>
      <c r="GX399" s="17"/>
      <c r="GY399" s="17"/>
      <c r="GZ399" s="17"/>
      <c r="HA399" s="17"/>
      <c r="HB399" s="17"/>
      <c r="HC399" s="17"/>
      <c r="HD399" s="17"/>
      <c r="HE399" s="17"/>
      <c r="HF399" s="17"/>
      <c r="HG399" s="17"/>
      <c r="HH399" s="17"/>
      <c r="HI399" s="17"/>
      <c r="HJ399" s="17"/>
      <c r="HK399" s="17"/>
      <c r="HL399" s="17"/>
      <c r="HM399" s="17"/>
      <c r="HN399" s="17"/>
      <c r="HO399" s="17"/>
      <c r="HP399" s="17"/>
      <c r="HQ399" s="17"/>
      <c r="HR399" s="17"/>
      <c r="HS399" s="17"/>
      <c r="HT399" s="17"/>
      <c r="HU399" s="17"/>
      <c r="HV399" s="17"/>
      <c r="HW399" s="17"/>
      <c r="HX399" s="17"/>
      <c r="HY399" s="17"/>
      <c r="HZ399" s="17"/>
      <c r="IA399" s="17"/>
      <c r="IB399" s="17"/>
      <c r="IC399" s="17"/>
      <c r="ID399" s="17"/>
      <c r="IE399" s="17"/>
      <c r="IF399" s="17"/>
      <c r="IG399" s="17"/>
      <c r="IH399" s="17"/>
      <c r="II399" s="17"/>
      <c r="IJ399" s="17"/>
      <c r="IK399" s="17"/>
      <c r="IL399" s="17"/>
      <c r="IM399" s="17"/>
      <c r="IN399" s="17"/>
      <c r="IO399" s="17"/>
      <c r="IP399" s="17"/>
      <c r="IQ399" s="17"/>
      <c r="IR399" s="17"/>
      <c r="IS399" s="17"/>
      <c r="IT399" s="17"/>
      <c r="IU399" s="17"/>
      <c r="IV399" s="17"/>
      <c r="IW399" s="17"/>
      <c r="IX399" s="17"/>
      <c r="IY399" s="17"/>
      <c r="IZ399" s="17"/>
      <c r="JA399" s="17"/>
      <c r="JB399" s="17"/>
      <c r="JC399" s="17"/>
      <c r="JD399" s="17"/>
      <c r="JE399" s="17"/>
      <c r="JF399" s="17"/>
      <c r="JG399" s="17"/>
      <c r="JH399" s="17"/>
      <c r="JI399" s="17"/>
      <c r="JJ399" s="17"/>
      <c r="JK399" s="17"/>
      <c r="JL399" s="17"/>
      <c r="JM399" s="17"/>
      <c r="JN399" s="17"/>
      <c r="JO399" s="17"/>
      <c r="JP399" s="17"/>
      <c r="JQ399" s="17"/>
      <c r="JR399" s="17"/>
      <c r="JS399" s="17"/>
      <c r="JT399" s="17"/>
      <c r="JU399" s="17"/>
      <c r="JV399" s="17"/>
      <c r="JW399" s="17"/>
      <c r="JX399" s="17"/>
      <c r="JY399" s="17"/>
      <c r="JZ399" s="17"/>
      <c r="KA399" s="17"/>
      <c r="KB399" s="17"/>
      <c r="KC399" s="17"/>
      <c r="KD399" s="17"/>
      <c r="KE399" s="17"/>
      <c r="KF399" s="17"/>
      <c r="KG399" s="17"/>
      <c r="KH399" s="17"/>
      <c r="KI399" s="17"/>
      <c r="KJ399" s="17"/>
      <c r="KK399" s="17"/>
      <c r="KL399" s="17"/>
      <c r="KM399" s="17"/>
      <c r="KN399" s="17"/>
      <c r="KO399" s="17"/>
      <c r="KP399" s="17"/>
      <c r="KQ399" s="17"/>
      <c r="KR399" s="17"/>
      <c r="KS399" s="17"/>
      <c r="KT399" s="17"/>
      <c r="KU399" s="17"/>
      <c r="KV399" s="17"/>
      <c r="KW399" s="17"/>
      <c r="KX399" s="17"/>
      <c r="KY399" s="17"/>
    </row>
    <row r="400" spans="1:311" x14ac:dyDescent="0.25">
      <c r="A400" s="17"/>
      <c r="B400" s="17"/>
      <c r="C400" s="17"/>
      <c r="D400" s="17"/>
      <c r="E400" s="17"/>
      <c r="F400" s="17"/>
      <c r="G400" s="17"/>
      <c r="H400" s="17"/>
      <c r="I400" s="17"/>
      <c r="J400" s="17"/>
      <c r="K400" s="17"/>
      <c r="L400" s="17"/>
      <c r="M400" s="17"/>
      <c r="N400" s="17"/>
      <c r="O400" s="17"/>
      <c r="P400" s="17"/>
      <c r="Q400" s="17"/>
      <c r="R400" s="17"/>
      <c r="S400" s="17"/>
      <c r="T400" s="17"/>
      <c r="U400" s="17"/>
      <c r="V400" s="17"/>
      <c r="W400" s="17"/>
      <c r="X400" s="17"/>
      <c r="Y400" s="17"/>
      <c r="Z400" s="17"/>
      <c r="AA400" s="17"/>
      <c r="AB400" s="17"/>
      <c r="AC400" s="17"/>
      <c r="AD400" s="17"/>
      <c r="AE400" s="17"/>
      <c r="AF400" s="17"/>
      <c r="AG400" s="17"/>
      <c r="AH400" s="17"/>
      <c r="AI400" s="17"/>
      <c r="AJ400" s="17"/>
      <c r="AK400" s="17"/>
      <c r="AL400" s="17"/>
      <c r="AM400" s="17"/>
      <c r="AN400" s="17"/>
      <c r="AO400" s="17"/>
      <c r="AP400" s="17"/>
      <c r="AQ400" s="17"/>
      <c r="AR400" s="17"/>
      <c r="AS400" s="17"/>
      <c r="AT400" s="17"/>
      <c r="AU400" s="17"/>
      <c r="AV400" s="17"/>
      <c r="AW400" s="17"/>
      <c r="AX400" s="17"/>
      <c r="AY400" s="17"/>
      <c r="AZ400" s="17"/>
      <c r="BA400" s="17"/>
      <c r="BB400" s="17"/>
      <c r="BC400" s="17"/>
      <c r="BD400" s="17"/>
      <c r="BE400" s="17"/>
      <c r="BF400" s="17"/>
      <c r="BG400" s="17"/>
      <c r="BH400" s="17"/>
      <c r="BI400" s="17"/>
      <c r="BJ400" s="17"/>
      <c r="BK400" s="17"/>
      <c r="BL400" s="17"/>
      <c r="BM400" s="17"/>
      <c r="BN400" s="17"/>
      <c r="BO400" s="17"/>
      <c r="BP400" s="17"/>
      <c r="BQ400" s="17"/>
      <c r="BR400" s="17"/>
      <c r="BS400" s="17"/>
      <c r="BT400" s="17"/>
      <c r="BU400" s="17"/>
      <c r="BV400" s="17"/>
      <c r="BW400" s="17"/>
      <c r="BX400" s="17"/>
      <c r="BY400" s="17"/>
      <c r="BZ400" s="17"/>
      <c r="CA400" s="17"/>
      <c r="CB400" s="17"/>
      <c r="CC400" s="17"/>
      <c r="CD400" s="17"/>
      <c r="CE400" s="17"/>
      <c r="CF400" s="17"/>
      <c r="CG400" s="17"/>
      <c r="CH400" s="17"/>
      <c r="CI400" s="17"/>
      <c r="CJ400" s="17"/>
      <c r="CK400" s="17"/>
      <c r="CL400" s="17"/>
      <c r="CM400" s="17"/>
      <c r="CN400" s="17"/>
      <c r="CO400" s="17"/>
      <c r="CP400" s="17"/>
      <c r="CQ400" s="17"/>
      <c r="CR400" s="17"/>
      <c r="CS400" s="17"/>
      <c r="CT400" s="17"/>
      <c r="CU400" s="17"/>
      <c r="CV400" s="17"/>
      <c r="CW400" s="17"/>
      <c r="CX400" s="17"/>
      <c r="CY400" s="17"/>
      <c r="CZ400" s="17"/>
      <c r="DA400" s="17"/>
      <c r="DB400" s="17"/>
      <c r="DC400" s="17"/>
      <c r="DD400" s="17"/>
      <c r="DE400" s="17"/>
      <c r="DF400" s="17"/>
      <c r="DG400" s="17"/>
      <c r="DH400" s="17"/>
      <c r="DI400" s="17"/>
      <c r="DJ400" s="17"/>
      <c r="DK400" s="17"/>
      <c r="DL400" s="17"/>
      <c r="DM400" s="17"/>
      <c r="DN400" s="17"/>
      <c r="DO400" s="17"/>
      <c r="DP400" s="17"/>
      <c r="DQ400" s="17"/>
      <c r="DR400" s="17"/>
      <c r="DS400" s="17"/>
      <c r="DT400" s="17"/>
      <c r="DU400" s="17"/>
      <c r="DV400" s="17"/>
      <c r="DW400" s="17"/>
      <c r="DX400" s="17"/>
      <c r="DY400" s="17"/>
      <c r="DZ400" s="17"/>
      <c r="EA400" s="17"/>
      <c r="EB400" s="17"/>
      <c r="EC400" s="17"/>
      <c r="ED400" s="17"/>
      <c r="EE400" s="17"/>
      <c r="EF400" s="17"/>
      <c r="EG400" s="17"/>
      <c r="EH400" s="17"/>
      <c r="EI400" s="17"/>
      <c r="EJ400" s="17"/>
      <c r="EK400" s="17"/>
      <c r="EL400" s="17"/>
      <c r="EM400" s="17"/>
      <c r="EN400" s="17"/>
      <c r="EO400" s="17"/>
      <c r="EP400" s="17"/>
      <c r="EQ400" s="17"/>
      <c r="ER400" s="17"/>
      <c r="ES400" s="17"/>
      <c r="ET400" s="17"/>
      <c r="EU400" s="17"/>
      <c r="EV400" s="17"/>
      <c r="EW400" s="17"/>
      <c r="EX400" s="17"/>
      <c r="EY400" s="17"/>
      <c r="EZ400" s="17"/>
      <c r="FA400" s="17"/>
      <c r="FB400" s="17"/>
      <c r="FC400" s="17"/>
      <c r="FD400" s="17"/>
      <c r="FE400" s="17"/>
      <c r="FF400" s="17"/>
      <c r="FG400" s="17"/>
      <c r="FH400" s="17"/>
      <c r="FI400" s="17"/>
      <c r="FJ400" s="17"/>
      <c r="FK400" s="17"/>
      <c r="FL400" s="17"/>
      <c r="FM400" s="17"/>
      <c r="FN400" s="17"/>
      <c r="FO400" s="17"/>
      <c r="FP400" s="17"/>
      <c r="FQ400" s="17"/>
      <c r="FR400" s="17"/>
      <c r="FS400" s="17"/>
      <c r="FT400" s="17"/>
      <c r="FU400" s="17"/>
      <c r="FV400" s="17"/>
      <c r="FW400" s="17"/>
      <c r="FX400" s="17"/>
      <c r="FY400" s="17"/>
      <c r="FZ400" s="17"/>
      <c r="GA400" s="17"/>
      <c r="GB400" s="17"/>
      <c r="GC400" s="17"/>
      <c r="GD400" s="17"/>
      <c r="GE400" s="17"/>
      <c r="GF400" s="17"/>
      <c r="GG400" s="17"/>
      <c r="GH400" s="17"/>
      <c r="GI400" s="17"/>
      <c r="GJ400" s="17"/>
      <c r="GK400" s="17"/>
      <c r="GL400" s="17"/>
      <c r="GM400" s="17"/>
      <c r="GN400" s="17"/>
      <c r="GO400" s="17"/>
      <c r="GP400" s="17"/>
      <c r="GQ400" s="17"/>
      <c r="GR400" s="17"/>
      <c r="GS400" s="17"/>
      <c r="GT400" s="17"/>
      <c r="GU400" s="17"/>
      <c r="GV400" s="17"/>
      <c r="GW400" s="17"/>
      <c r="GX400" s="17"/>
      <c r="GY400" s="17"/>
      <c r="GZ400" s="17"/>
      <c r="HA400" s="17"/>
      <c r="HB400" s="17"/>
      <c r="HC400" s="17"/>
      <c r="HD400" s="17"/>
      <c r="HE400" s="17"/>
      <c r="HF400" s="17"/>
      <c r="HG400" s="17"/>
      <c r="HH400" s="17"/>
      <c r="HI400" s="17"/>
      <c r="HJ400" s="17"/>
      <c r="HK400" s="17"/>
      <c r="HL400" s="17"/>
      <c r="HM400" s="17"/>
      <c r="HN400" s="17"/>
      <c r="HO400" s="17"/>
      <c r="HP400" s="17"/>
      <c r="HQ400" s="17"/>
      <c r="HR400" s="17"/>
      <c r="HS400" s="17"/>
      <c r="HT400" s="17"/>
      <c r="HU400" s="17"/>
      <c r="HV400" s="17"/>
      <c r="HW400" s="17"/>
      <c r="HX400" s="17"/>
      <c r="HY400" s="17"/>
      <c r="HZ400" s="17"/>
      <c r="IA400" s="17"/>
      <c r="IB400" s="17"/>
      <c r="IC400" s="17"/>
      <c r="ID400" s="17"/>
      <c r="IE400" s="17"/>
      <c r="IF400" s="17"/>
      <c r="IG400" s="17"/>
      <c r="IH400" s="17"/>
      <c r="II400" s="17"/>
      <c r="IJ400" s="17"/>
      <c r="IK400" s="17"/>
      <c r="IL400" s="17"/>
      <c r="IM400" s="17"/>
      <c r="IN400" s="17"/>
      <c r="IO400" s="17"/>
      <c r="IP400" s="17"/>
      <c r="IQ400" s="17"/>
      <c r="IR400" s="17"/>
      <c r="IS400" s="17"/>
      <c r="IT400" s="17"/>
      <c r="IU400" s="17"/>
      <c r="IV400" s="17"/>
      <c r="IW400" s="17"/>
      <c r="IX400" s="17"/>
      <c r="IY400" s="17"/>
      <c r="IZ400" s="17"/>
      <c r="JA400" s="17"/>
      <c r="JB400" s="17"/>
      <c r="JC400" s="17"/>
      <c r="JD400" s="17"/>
      <c r="JE400" s="17"/>
      <c r="JF400" s="17"/>
      <c r="JG400" s="17"/>
      <c r="JH400" s="17"/>
      <c r="JI400" s="17"/>
      <c r="JJ400" s="17"/>
      <c r="JK400" s="17"/>
      <c r="JL400" s="17"/>
      <c r="JM400" s="17"/>
      <c r="JN400" s="17"/>
      <c r="JO400" s="17"/>
      <c r="JP400" s="17"/>
      <c r="JQ400" s="17"/>
      <c r="JR400" s="17"/>
      <c r="JS400" s="17"/>
      <c r="JT400" s="17"/>
      <c r="JU400" s="17"/>
      <c r="JV400" s="17"/>
      <c r="JW400" s="17"/>
      <c r="JX400" s="17"/>
      <c r="JY400" s="17"/>
      <c r="JZ400" s="17"/>
      <c r="KA400" s="17"/>
      <c r="KB400" s="17"/>
      <c r="KC400" s="17"/>
      <c r="KD400" s="17"/>
      <c r="KE400" s="17"/>
      <c r="KF400" s="17"/>
      <c r="KG400" s="17"/>
      <c r="KH400" s="17"/>
      <c r="KI400" s="17"/>
      <c r="KJ400" s="17"/>
      <c r="KK400" s="17"/>
      <c r="KL400" s="17"/>
      <c r="KM400" s="17"/>
      <c r="KN400" s="17"/>
      <c r="KO400" s="17"/>
      <c r="KP400" s="17"/>
      <c r="KQ400" s="17"/>
      <c r="KR400" s="17"/>
      <c r="KS400" s="17"/>
      <c r="KT400" s="17"/>
      <c r="KU400" s="17"/>
      <c r="KV400" s="17"/>
      <c r="KW400" s="17"/>
      <c r="KX400" s="17"/>
      <c r="KY400" s="17"/>
    </row>
    <row r="401" spans="1:311" x14ac:dyDescent="0.25">
      <c r="A401" s="17"/>
      <c r="B401" s="17"/>
      <c r="C401" s="17"/>
      <c r="D401" s="17"/>
      <c r="E401" s="17"/>
      <c r="F401" s="17"/>
      <c r="G401" s="17"/>
      <c r="H401" s="17"/>
      <c r="I401" s="17"/>
      <c r="J401" s="17"/>
      <c r="K401" s="17"/>
      <c r="L401" s="17"/>
      <c r="M401" s="17"/>
      <c r="N401" s="17"/>
      <c r="O401" s="17"/>
      <c r="P401" s="17"/>
      <c r="Q401" s="17"/>
      <c r="R401" s="17"/>
      <c r="S401" s="17"/>
      <c r="T401" s="17"/>
      <c r="U401" s="17"/>
      <c r="V401" s="17"/>
      <c r="W401" s="17"/>
      <c r="X401" s="17"/>
      <c r="Y401" s="17"/>
      <c r="Z401" s="17"/>
      <c r="AA401" s="17"/>
      <c r="AB401" s="17"/>
      <c r="AC401" s="17"/>
      <c r="AD401" s="17"/>
      <c r="AE401" s="17"/>
      <c r="AF401" s="17"/>
      <c r="AG401" s="17"/>
      <c r="AH401" s="17"/>
      <c r="AI401" s="17"/>
      <c r="AJ401" s="17"/>
      <c r="AK401" s="17"/>
      <c r="AL401" s="17"/>
      <c r="AM401" s="17"/>
      <c r="AN401" s="17"/>
      <c r="AO401" s="17"/>
      <c r="AP401" s="17"/>
      <c r="AQ401" s="17"/>
      <c r="AR401" s="17"/>
      <c r="AS401" s="17"/>
      <c r="AT401" s="17"/>
      <c r="AU401" s="17"/>
      <c r="AV401" s="17"/>
      <c r="AW401" s="17"/>
      <c r="AX401" s="17"/>
      <c r="AY401" s="17"/>
      <c r="AZ401" s="17"/>
      <c r="BA401" s="17"/>
      <c r="BB401" s="17"/>
      <c r="BC401" s="17"/>
      <c r="BD401" s="17"/>
      <c r="BE401" s="17"/>
      <c r="BF401" s="17"/>
      <c r="BG401" s="17"/>
      <c r="BH401" s="17"/>
      <c r="BI401" s="17"/>
      <c r="BJ401" s="17"/>
      <c r="BK401" s="17"/>
      <c r="BL401" s="17"/>
      <c r="BM401" s="17"/>
      <c r="BN401" s="17"/>
      <c r="BO401" s="17"/>
      <c r="BP401" s="17"/>
      <c r="BQ401" s="17"/>
      <c r="BR401" s="17"/>
      <c r="BS401" s="17"/>
      <c r="BT401" s="17"/>
      <c r="BU401" s="17"/>
      <c r="BV401" s="17"/>
      <c r="BW401" s="17"/>
      <c r="BX401" s="17"/>
      <c r="BY401" s="17"/>
      <c r="BZ401" s="17"/>
      <c r="CA401" s="17"/>
      <c r="CB401" s="17"/>
      <c r="CC401" s="17"/>
      <c r="CD401" s="17"/>
      <c r="CE401" s="17"/>
      <c r="CF401" s="17"/>
      <c r="CG401" s="17"/>
      <c r="CH401" s="17"/>
      <c r="CI401" s="17"/>
      <c r="CJ401" s="17"/>
      <c r="CK401" s="17"/>
      <c r="CL401" s="17"/>
      <c r="CM401" s="17"/>
      <c r="CN401" s="17"/>
      <c r="CO401" s="17"/>
      <c r="CP401" s="17"/>
      <c r="CQ401" s="17"/>
      <c r="CR401" s="17"/>
      <c r="CS401" s="17"/>
      <c r="CT401" s="17"/>
      <c r="CU401" s="17"/>
      <c r="CV401" s="17"/>
      <c r="CW401" s="17"/>
      <c r="CX401" s="17"/>
      <c r="CY401" s="17"/>
      <c r="CZ401" s="17"/>
      <c r="DA401" s="17"/>
      <c r="DB401" s="17"/>
      <c r="DC401" s="17"/>
      <c r="DD401" s="17"/>
      <c r="DE401" s="17"/>
      <c r="DF401" s="17"/>
      <c r="DG401" s="17"/>
      <c r="DH401" s="17"/>
      <c r="DI401" s="17"/>
      <c r="DJ401" s="17"/>
      <c r="DK401" s="17"/>
      <c r="DL401" s="17"/>
      <c r="DM401" s="17"/>
      <c r="DN401" s="17"/>
      <c r="DO401" s="17"/>
      <c r="DP401" s="17"/>
      <c r="DQ401" s="17"/>
      <c r="DR401" s="17"/>
      <c r="DS401" s="17"/>
      <c r="DT401" s="17"/>
      <c r="DU401" s="17"/>
      <c r="DV401" s="17"/>
      <c r="DW401" s="17"/>
      <c r="DX401" s="17"/>
      <c r="DY401" s="17"/>
      <c r="DZ401" s="17"/>
      <c r="EA401" s="17"/>
      <c r="EB401" s="17"/>
      <c r="EC401" s="17"/>
      <c r="ED401" s="17"/>
      <c r="EE401" s="17"/>
      <c r="EF401" s="17"/>
      <c r="EG401" s="17"/>
      <c r="EH401" s="17"/>
      <c r="EI401" s="17"/>
      <c r="EJ401" s="17"/>
      <c r="EK401" s="17"/>
      <c r="EL401" s="17"/>
      <c r="EM401" s="17"/>
      <c r="EN401" s="17"/>
      <c r="EO401" s="17"/>
      <c r="EP401" s="17"/>
      <c r="EQ401" s="17"/>
      <c r="ER401" s="17"/>
      <c r="ES401" s="17"/>
      <c r="ET401" s="17"/>
      <c r="EU401" s="17"/>
      <c r="EV401" s="17"/>
      <c r="EW401" s="17"/>
      <c r="EX401" s="17"/>
      <c r="EY401" s="17"/>
      <c r="EZ401" s="17"/>
      <c r="FA401" s="17"/>
      <c r="FB401" s="17"/>
      <c r="FC401" s="17"/>
      <c r="FD401" s="17"/>
      <c r="FE401" s="17"/>
      <c r="FF401" s="17"/>
      <c r="FG401" s="17"/>
      <c r="FH401" s="17"/>
      <c r="FI401" s="17"/>
      <c r="FJ401" s="17"/>
      <c r="FK401" s="17"/>
      <c r="FL401" s="17"/>
      <c r="FM401" s="17"/>
      <c r="FN401" s="17"/>
      <c r="FO401" s="17"/>
      <c r="FP401" s="17"/>
      <c r="FQ401" s="17"/>
      <c r="FR401" s="17"/>
      <c r="FS401" s="17"/>
      <c r="FT401" s="17"/>
      <c r="FU401" s="17"/>
      <c r="FV401" s="17"/>
      <c r="FW401" s="17"/>
      <c r="FX401" s="17"/>
      <c r="FY401" s="17"/>
      <c r="FZ401" s="17"/>
      <c r="GA401" s="17"/>
      <c r="GB401" s="17"/>
      <c r="GC401" s="17"/>
      <c r="GD401" s="17"/>
      <c r="GE401" s="17"/>
      <c r="GF401" s="17"/>
      <c r="GG401" s="17"/>
      <c r="GH401" s="17"/>
      <c r="GI401" s="17"/>
      <c r="GJ401" s="17"/>
      <c r="GK401" s="17"/>
      <c r="GL401" s="17"/>
      <c r="GM401" s="17"/>
      <c r="GN401" s="17"/>
      <c r="GO401" s="17"/>
      <c r="GP401" s="17"/>
      <c r="GQ401" s="17"/>
      <c r="GR401" s="17"/>
      <c r="GS401" s="17"/>
      <c r="GT401" s="17"/>
      <c r="GU401" s="17"/>
      <c r="GV401" s="17"/>
      <c r="GW401" s="17"/>
      <c r="GX401" s="17"/>
      <c r="GY401" s="17"/>
      <c r="GZ401" s="17"/>
      <c r="HA401" s="17"/>
      <c r="HB401" s="17"/>
      <c r="HC401" s="17"/>
      <c r="HD401" s="17"/>
      <c r="HE401" s="17"/>
      <c r="HF401" s="17"/>
      <c r="HG401" s="17"/>
      <c r="HH401" s="17"/>
      <c r="HI401" s="17"/>
      <c r="HJ401" s="17"/>
      <c r="HK401" s="17"/>
      <c r="HL401" s="17"/>
      <c r="HM401" s="17"/>
      <c r="HN401" s="17"/>
      <c r="HO401" s="17"/>
      <c r="HP401" s="17"/>
      <c r="HQ401" s="17"/>
      <c r="HR401" s="17"/>
      <c r="HS401" s="17"/>
      <c r="HT401" s="17"/>
      <c r="HU401" s="17"/>
      <c r="HV401" s="17"/>
      <c r="HW401" s="17"/>
      <c r="HX401" s="17"/>
      <c r="HY401" s="17"/>
      <c r="HZ401" s="17"/>
      <c r="IA401" s="17"/>
      <c r="IB401" s="17"/>
      <c r="IC401" s="17"/>
      <c r="ID401" s="17"/>
      <c r="IE401" s="17"/>
      <c r="IF401" s="17"/>
      <c r="IG401" s="17"/>
      <c r="IH401" s="17"/>
      <c r="II401" s="17"/>
      <c r="IJ401" s="17"/>
      <c r="IK401" s="17"/>
      <c r="IL401" s="17"/>
      <c r="IM401" s="17"/>
      <c r="IN401" s="17"/>
      <c r="IO401" s="17"/>
      <c r="IP401" s="17"/>
      <c r="IQ401" s="17"/>
      <c r="IR401" s="17"/>
      <c r="IS401" s="17"/>
      <c r="IT401" s="17"/>
      <c r="IU401" s="17"/>
      <c r="IV401" s="17"/>
      <c r="IW401" s="17"/>
      <c r="IX401" s="17"/>
      <c r="IY401" s="17"/>
      <c r="IZ401" s="17"/>
      <c r="JA401" s="17"/>
      <c r="JB401" s="17"/>
      <c r="JC401" s="17"/>
      <c r="JD401" s="17"/>
      <c r="JE401" s="17"/>
      <c r="JF401" s="17"/>
      <c r="JG401" s="17"/>
      <c r="JH401" s="17"/>
      <c r="JI401" s="17"/>
      <c r="JJ401" s="17"/>
      <c r="JK401" s="17"/>
      <c r="JL401" s="17"/>
      <c r="JM401" s="17"/>
      <c r="JN401" s="17"/>
      <c r="JO401" s="17"/>
      <c r="JP401" s="17"/>
      <c r="JQ401" s="17"/>
      <c r="JR401" s="17"/>
      <c r="JS401" s="17"/>
      <c r="JT401" s="17"/>
      <c r="JU401" s="17"/>
      <c r="JV401" s="17"/>
      <c r="JW401" s="17"/>
      <c r="JX401" s="17"/>
      <c r="JY401" s="17"/>
      <c r="JZ401" s="17"/>
      <c r="KA401" s="17"/>
      <c r="KB401" s="17"/>
      <c r="KC401" s="17"/>
      <c r="KD401" s="17"/>
      <c r="KE401" s="17"/>
      <c r="KF401" s="17"/>
      <c r="KG401" s="17"/>
      <c r="KH401" s="17"/>
      <c r="KI401" s="17"/>
      <c r="KJ401" s="17"/>
      <c r="KK401" s="17"/>
      <c r="KL401" s="17"/>
      <c r="KM401" s="17"/>
      <c r="KN401" s="17"/>
      <c r="KO401" s="17"/>
      <c r="KP401" s="17"/>
      <c r="KQ401" s="17"/>
      <c r="KR401" s="17"/>
      <c r="KS401" s="17"/>
      <c r="KT401" s="17"/>
      <c r="KU401" s="17"/>
      <c r="KV401" s="17"/>
      <c r="KW401" s="17"/>
      <c r="KX401" s="17"/>
      <c r="KY401" s="17"/>
    </row>
    <row r="402" spans="1:311" x14ac:dyDescent="0.25">
      <c r="A402" s="17"/>
      <c r="B402" s="17"/>
      <c r="C402" s="17"/>
      <c r="D402" s="17"/>
      <c r="E402" s="17"/>
      <c r="F402" s="17"/>
      <c r="G402" s="17"/>
      <c r="H402" s="17"/>
      <c r="I402" s="17"/>
      <c r="J402" s="17"/>
      <c r="K402" s="17"/>
      <c r="L402" s="17"/>
      <c r="M402" s="17"/>
      <c r="N402" s="17"/>
      <c r="O402" s="17"/>
      <c r="P402" s="17"/>
      <c r="Q402" s="17"/>
      <c r="R402" s="17"/>
      <c r="S402" s="17"/>
      <c r="T402" s="17"/>
      <c r="U402" s="17"/>
      <c r="V402" s="17"/>
      <c r="W402" s="17"/>
      <c r="X402" s="17"/>
      <c r="Y402" s="17"/>
      <c r="Z402" s="17"/>
      <c r="AA402" s="17"/>
      <c r="AB402" s="17"/>
      <c r="AC402" s="17"/>
      <c r="AD402" s="17"/>
      <c r="AE402" s="17"/>
      <c r="AF402" s="17"/>
      <c r="AG402" s="17"/>
      <c r="AH402" s="17"/>
      <c r="AI402" s="17"/>
      <c r="AJ402" s="17"/>
      <c r="AK402" s="17"/>
      <c r="AL402" s="17"/>
      <c r="AM402" s="17"/>
      <c r="AN402" s="17"/>
      <c r="AO402" s="17"/>
      <c r="AP402" s="17"/>
      <c r="AQ402" s="17"/>
      <c r="AR402" s="17"/>
      <c r="AS402" s="17"/>
      <c r="AT402" s="17"/>
      <c r="AU402" s="17"/>
      <c r="AV402" s="17"/>
      <c r="AW402" s="17"/>
      <c r="AX402" s="17"/>
      <c r="AY402" s="17"/>
      <c r="AZ402" s="17"/>
      <c r="BA402" s="17"/>
      <c r="BB402" s="17"/>
      <c r="BC402" s="17"/>
      <c r="BD402" s="17"/>
      <c r="BE402" s="17"/>
      <c r="BF402" s="17"/>
      <c r="BG402" s="17"/>
      <c r="BH402" s="17"/>
      <c r="BI402" s="17"/>
      <c r="BJ402" s="17"/>
      <c r="BK402" s="17"/>
      <c r="BL402" s="17"/>
      <c r="BM402" s="17"/>
      <c r="BN402" s="17"/>
      <c r="BO402" s="17"/>
      <c r="BP402" s="17"/>
      <c r="BQ402" s="17"/>
      <c r="BR402" s="17"/>
      <c r="BS402" s="17"/>
      <c r="BT402" s="17"/>
      <c r="BU402" s="17"/>
      <c r="BV402" s="17"/>
      <c r="BW402" s="17"/>
      <c r="BX402" s="17"/>
      <c r="BY402" s="17"/>
      <c r="BZ402" s="17"/>
      <c r="CA402" s="17"/>
      <c r="CB402" s="17"/>
      <c r="CC402" s="17"/>
      <c r="CD402" s="17"/>
      <c r="CE402" s="17"/>
      <c r="CF402" s="17"/>
      <c r="CG402" s="17"/>
      <c r="CH402" s="17"/>
      <c r="CI402" s="17"/>
      <c r="CJ402" s="17"/>
      <c r="CK402" s="17"/>
      <c r="CL402" s="17"/>
      <c r="CM402" s="17"/>
      <c r="CN402" s="17"/>
      <c r="CO402" s="17"/>
      <c r="CP402" s="17"/>
      <c r="CQ402" s="17"/>
      <c r="CR402" s="17"/>
      <c r="CS402" s="17"/>
      <c r="CT402" s="17"/>
      <c r="CU402" s="17"/>
      <c r="CV402" s="17"/>
      <c r="CW402" s="17"/>
      <c r="CX402" s="17"/>
      <c r="CY402" s="17"/>
      <c r="CZ402" s="17"/>
      <c r="DA402" s="17"/>
      <c r="DB402" s="17"/>
      <c r="DC402" s="17"/>
      <c r="DD402" s="17"/>
      <c r="DE402" s="17"/>
      <c r="DF402" s="17"/>
      <c r="DG402" s="17"/>
      <c r="DH402" s="17"/>
      <c r="DI402" s="17"/>
      <c r="DJ402" s="17"/>
      <c r="DK402" s="17"/>
      <c r="DL402" s="17"/>
      <c r="DM402" s="17"/>
      <c r="DN402" s="17"/>
      <c r="DO402" s="17"/>
      <c r="DP402" s="17"/>
      <c r="DQ402" s="17"/>
      <c r="DR402" s="17"/>
      <c r="DS402" s="17"/>
      <c r="DT402" s="17"/>
      <c r="DU402" s="17"/>
      <c r="DV402" s="17"/>
      <c r="DW402" s="17"/>
      <c r="DX402" s="17"/>
      <c r="DY402" s="17"/>
      <c r="DZ402" s="17"/>
      <c r="EA402" s="17"/>
      <c r="EB402" s="17"/>
      <c r="EC402" s="17"/>
      <c r="ED402" s="17"/>
      <c r="EE402" s="17"/>
      <c r="EF402" s="17"/>
      <c r="EG402" s="17"/>
      <c r="EH402" s="17"/>
      <c r="EI402" s="17"/>
      <c r="EJ402" s="17"/>
      <c r="EK402" s="17"/>
      <c r="EL402" s="17"/>
      <c r="EM402" s="17"/>
      <c r="EN402" s="17"/>
      <c r="EO402" s="17"/>
      <c r="EP402" s="17"/>
      <c r="EQ402" s="17"/>
      <c r="ER402" s="17"/>
      <c r="ES402" s="17"/>
      <c r="ET402" s="17"/>
      <c r="EU402" s="17"/>
      <c r="EV402" s="17"/>
      <c r="EW402" s="17"/>
      <c r="EX402" s="17"/>
      <c r="EY402" s="17"/>
      <c r="EZ402" s="17"/>
      <c r="FA402" s="17"/>
      <c r="FB402" s="17"/>
      <c r="FC402" s="17"/>
      <c r="FD402" s="17"/>
      <c r="FE402" s="17"/>
      <c r="FF402" s="17"/>
      <c r="FG402" s="17"/>
      <c r="FH402" s="17"/>
      <c r="FI402" s="17"/>
      <c r="FJ402" s="17"/>
      <c r="FK402" s="17"/>
      <c r="FL402" s="17"/>
      <c r="FM402" s="17"/>
      <c r="FN402" s="17"/>
      <c r="FO402" s="17"/>
      <c r="FP402" s="17"/>
      <c r="FQ402" s="17"/>
      <c r="FR402" s="17"/>
      <c r="FS402" s="17"/>
      <c r="FT402" s="17"/>
      <c r="FU402" s="17"/>
      <c r="FV402" s="17"/>
      <c r="FW402" s="17"/>
      <c r="FX402" s="17"/>
      <c r="FY402" s="17"/>
      <c r="FZ402" s="17"/>
      <c r="GA402" s="17"/>
      <c r="GB402" s="17"/>
      <c r="GC402" s="17"/>
      <c r="GD402" s="17"/>
      <c r="GE402" s="17"/>
      <c r="GF402" s="17"/>
      <c r="GG402" s="17"/>
      <c r="GH402" s="17"/>
      <c r="GI402" s="17"/>
      <c r="GJ402" s="17"/>
      <c r="GK402" s="17"/>
      <c r="GL402" s="17"/>
      <c r="GM402" s="17"/>
      <c r="GN402" s="17"/>
      <c r="GO402" s="17"/>
      <c r="GP402" s="17"/>
      <c r="GQ402" s="17"/>
      <c r="GR402" s="17"/>
      <c r="GS402" s="17"/>
      <c r="GT402" s="17"/>
      <c r="GU402" s="17"/>
      <c r="GV402" s="17"/>
      <c r="GW402" s="17"/>
      <c r="GX402" s="17"/>
      <c r="GY402" s="17"/>
      <c r="GZ402" s="17"/>
      <c r="HA402" s="17"/>
      <c r="HB402" s="17"/>
      <c r="HC402" s="17"/>
      <c r="HD402" s="17"/>
      <c r="HE402" s="17"/>
      <c r="HF402" s="17"/>
      <c r="HG402" s="17"/>
      <c r="HH402" s="17"/>
      <c r="HI402" s="17"/>
      <c r="HJ402" s="17"/>
      <c r="HK402" s="17"/>
      <c r="HL402" s="17"/>
      <c r="HM402" s="17"/>
      <c r="HN402" s="17"/>
      <c r="HO402" s="17"/>
      <c r="HP402" s="17"/>
      <c r="HQ402" s="17"/>
      <c r="HR402" s="17"/>
      <c r="HS402" s="17"/>
      <c r="HT402" s="17"/>
      <c r="HU402" s="17"/>
      <c r="HV402" s="17"/>
      <c r="HW402" s="17"/>
      <c r="HX402" s="17"/>
      <c r="HY402" s="17"/>
      <c r="HZ402" s="17"/>
      <c r="IA402" s="17"/>
      <c r="IB402" s="17"/>
      <c r="IC402" s="17"/>
      <c r="ID402" s="17"/>
      <c r="IE402" s="17"/>
      <c r="IF402" s="17"/>
      <c r="IG402" s="17"/>
      <c r="IH402" s="17"/>
      <c r="II402" s="17"/>
      <c r="IJ402" s="17"/>
      <c r="IK402" s="17"/>
      <c r="IL402" s="17"/>
      <c r="IM402" s="17"/>
      <c r="IN402" s="17"/>
      <c r="IO402" s="17"/>
      <c r="IP402" s="17"/>
      <c r="IQ402" s="17"/>
      <c r="IR402" s="17"/>
      <c r="IS402" s="17"/>
      <c r="IT402" s="17"/>
      <c r="IU402" s="17"/>
      <c r="IV402" s="17"/>
      <c r="IW402" s="17"/>
      <c r="IX402" s="17"/>
      <c r="IY402" s="17"/>
      <c r="IZ402" s="17"/>
      <c r="JA402" s="17"/>
      <c r="JB402" s="17"/>
      <c r="JC402" s="17"/>
      <c r="JD402" s="17"/>
      <c r="JE402" s="17"/>
      <c r="JF402" s="17"/>
      <c r="JG402" s="17"/>
      <c r="JH402" s="17"/>
      <c r="JI402" s="17"/>
      <c r="JJ402" s="17"/>
      <c r="JK402" s="17"/>
      <c r="JL402" s="17"/>
      <c r="JM402" s="17"/>
      <c r="JN402" s="17"/>
      <c r="JO402" s="17"/>
      <c r="JP402" s="17"/>
      <c r="JQ402" s="17"/>
      <c r="JR402" s="17"/>
      <c r="JS402" s="17"/>
      <c r="JT402" s="17"/>
      <c r="JU402" s="17"/>
      <c r="JV402" s="17"/>
      <c r="JW402" s="17"/>
      <c r="JX402" s="17"/>
      <c r="JY402" s="17"/>
      <c r="JZ402" s="17"/>
      <c r="KA402" s="17"/>
      <c r="KB402" s="17"/>
      <c r="KC402" s="17"/>
      <c r="KD402" s="17"/>
      <c r="KE402" s="17"/>
      <c r="KF402" s="17"/>
      <c r="KG402" s="17"/>
      <c r="KH402" s="17"/>
      <c r="KI402" s="17"/>
      <c r="KJ402" s="17"/>
      <c r="KK402" s="17"/>
      <c r="KL402" s="17"/>
      <c r="KM402" s="17"/>
      <c r="KN402" s="17"/>
      <c r="KO402" s="17"/>
      <c r="KP402" s="17"/>
      <c r="KQ402" s="17"/>
      <c r="KR402" s="17"/>
      <c r="KS402" s="17"/>
      <c r="KT402" s="17"/>
      <c r="KU402" s="17"/>
      <c r="KV402" s="17"/>
      <c r="KW402" s="17"/>
      <c r="KX402" s="17"/>
      <c r="KY402" s="17"/>
    </row>
    <row r="403" spans="1:311" x14ac:dyDescent="0.25">
      <c r="A403" s="17"/>
      <c r="B403" s="17"/>
      <c r="C403" s="17"/>
      <c r="D403" s="17"/>
      <c r="E403" s="17"/>
      <c r="F403" s="17"/>
      <c r="G403" s="17"/>
      <c r="H403" s="17"/>
      <c r="I403" s="17"/>
      <c r="J403" s="17"/>
      <c r="K403" s="17"/>
      <c r="L403" s="17"/>
      <c r="M403" s="17"/>
      <c r="N403" s="17"/>
      <c r="O403" s="17"/>
      <c r="P403" s="17"/>
      <c r="Q403" s="17"/>
      <c r="R403" s="17"/>
      <c r="S403" s="17"/>
      <c r="T403" s="17"/>
      <c r="U403" s="17"/>
      <c r="V403" s="17"/>
      <c r="W403" s="17"/>
      <c r="X403" s="17"/>
      <c r="Y403" s="17"/>
      <c r="Z403" s="17"/>
      <c r="AA403" s="17"/>
      <c r="AB403" s="17"/>
      <c r="AC403" s="17"/>
      <c r="AD403" s="17"/>
      <c r="AE403" s="17"/>
      <c r="AF403" s="17"/>
      <c r="AG403" s="17"/>
      <c r="AH403" s="17"/>
      <c r="AI403" s="17"/>
      <c r="AJ403" s="17"/>
      <c r="AK403" s="17"/>
      <c r="AL403" s="17"/>
      <c r="AM403" s="17"/>
      <c r="AN403" s="17"/>
      <c r="AO403" s="17"/>
      <c r="AP403" s="17"/>
      <c r="AQ403" s="17"/>
      <c r="AR403" s="17"/>
      <c r="AS403" s="17"/>
      <c r="AT403" s="17"/>
      <c r="AU403" s="17"/>
      <c r="AV403" s="17"/>
      <c r="AW403" s="17"/>
      <c r="AX403" s="17"/>
      <c r="AY403" s="17"/>
      <c r="AZ403" s="17"/>
      <c r="BA403" s="17"/>
      <c r="BB403" s="17"/>
      <c r="BC403" s="17"/>
      <c r="BD403" s="17"/>
      <c r="BE403" s="17"/>
      <c r="BF403" s="17"/>
      <c r="BG403" s="17"/>
      <c r="BH403" s="17"/>
      <c r="BI403" s="17"/>
      <c r="BJ403" s="17"/>
      <c r="BK403" s="17"/>
      <c r="BL403" s="17"/>
      <c r="BM403" s="17"/>
      <c r="BN403" s="17"/>
      <c r="BO403" s="17"/>
      <c r="BP403" s="17"/>
      <c r="BQ403" s="17"/>
      <c r="BR403" s="17"/>
      <c r="BS403" s="17"/>
      <c r="BT403" s="17"/>
      <c r="BU403" s="17"/>
      <c r="BV403" s="17"/>
      <c r="BW403" s="17"/>
      <c r="BX403" s="17"/>
      <c r="BY403" s="17"/>
      <c r="BZ403" s="17"/>
      <c r="CA403" s="17"/>
      <c r="CB403" s="17"/>
      <c r="CC403" s="17"/>
      <c r="CD403" s="17"/>
      <c r="CE403" s="17"/>
      <c r="CF403" s="17"/>
      <c r="CG403" s="17"/>
      <c r="CH403" s="17"/>
      <c r="CI403" s="17"/>
      <c r="CJ403" s="17"/>
      <c r="CK403" s="17"/>
      <c r="CL403" s="17"/>
      <c r="CM403" s="17"/>
      <c r="CN403" s="17"/>
      <c r="CO403" s="17"/>
      <c r="CP403" s="17"/>
      <c r="CQ403" s="17"/>
      <c r="CR403" s="17"/>
      <c r="CS403" s="17"/>
      <c r="CT403" s="17"/>
      <c r="CU403" s="17"/>
      <c r="CV403" s="17"/>
      <c r="CW403" s="17"/>
      <c r="CX403" s="17"/>
      <c r="CY403" s="17"/>
      <c r="CZ403" s="17"/>
      <c r="DA403" s="17"/>
      <c r="DB403" s="17"/>
      <c r="DC403" s="17"/>
      <c r="DD403" s="17"/>
      <c r="DE403" s="17"/>
      <c r="DF403" s="17"/>
      <c r="DG403" s="17"/>
      <c r="DH403" s="17"/>
      <c r="DI403" s="17"/>
      <c r="DJ403" s="17"/>
      <c r="DK403" s="17"/>
      <c r="DL403" s="17"/>
      <c r="DM403" s="17"/>
      <c r="DN403" s="17"/>
      <c r="DO403" s="17"/>
      <c r="DP403" s="17"/>
      <c r="DQ403" s="17"/>
      <c r="DR403" s="17"/>
      <c r="DS403" s="17"/>
      <c r="DT403" s="17"/>
      <c r="DU403" s="17"/>
      <c r="DV403" s="17"/>
      <c r="DW403" s="17"/>
      <c r="DX403" s="17"/>
      <c r="DY403" s="17"/>
      <c r="DZ403" s="17"/>
      <c r="EA403" s="17"/>
      <c r="EB403" s="17"/>
      <c r="EC403" s="17"/>
      <c r="ED403" s="17"/>
      <c r="EE403" s="17"/>
      <c r="EF403" s="17"/>
      <c r="EG403" s="17"/>
      <c r="EH403" s="17"/>
      <c r="EI403" s="17"/>
      <c r="EJ403" s="17"/>
      <c r="EK403" s="17"/>
      <c r="EL403" s="17"/>
      <c r="EM403" s="17"/>
      <c r="EN403" s="17"/>
      <c r="EO403" s="17"/>
      <c r="EP403" s="17"/>
      <c r="EQ403" s="17"/>
      <c r="ER403" s="17"/>
      <c r="ES403" s="17"/>
      <c r="ET403" s="17"/>
      <c r="EU403" s="17"/>
      <c r="EV403" s="17"/>
      <c r="EW403" s="17"/>
      <c r="EX403" s="17"/>
      <c r="EY403" s="17"/>
      <c r="EZ403" s="17"/>
      <c r="FA403" s="17"/>
      <c r="FB403" s="17"/>
      <c r="FC403" s="17"/>
      <c r="FD403" s="17"/>
      <c r="FE403" s="17"/>
      <c r="FF403" s="17"/>
      <c r="FG403" s="17"/>
      <c r="FH403" s="17"/>
      <c r="FI403" s="17"/>
      <c r="FJ403" s="17"/>
      <c r="FK403" s="17"/>
      <c r="FL403" s="17"/>
      <c r="FM403" s="17"/>
      <c r="FN403" s="17"/>
      <c r="FO403" s="17"/>
      <c r="FP403" s="17"/>
      <c r="FQ403" s="17"/>
      <c r="FR403" s="17"/>
      <c r="FS403" s="17"/>
      <c r="FT403" s="17"/>
      <c r="FU403" s="17"/>
      <c r="FV403" s="17"/>
      <c r="FW403" s="17"/>
      <c r="FX403" s="17"/>
      <c r="FY403" s="17"/>
      <c r="FZ403" s="17"/>
      <c r="GA403" s="17"/>
      <c r="GB403" s="17"/>
      <c r="GC403" s="17"/>
      <c r="GD403" s="17"/>
      <c r="GE403" s="17"/>
      <c r="GF403" s="17"/>
      <c r="GG403" s="17"/>
      <c r="GH403" s="17"/>
      <c r="GI403" s="17"/>
      <c r="GJ403" s="17"/>
      <c r="GK403" s="17"/>
      <c r="GL403" s="17"/>
      <c r="GM403" s="17"/>
      <c r="GN403" s="17"/>
      <c r="GO403" s="17"/>
      <c r="GP403" s="17"/>
      <c r="GQ403" s="17"/>
      <c r="GR403" s="17"/>
      <c r="GS403" s="17"/>
      <c r="GT403" s="17"/>
      <c r="GU403" s="17"/>
      <c r="GV403" s="17"/>
      <c r="GW403" s="17"/>
      <c r="GX403" s="17"/>
      <c r="GY403" s="17"/>
      <c r="GZ403" s="17"/>
      <c r="HA403" s="17"/>
      <c r="HB403" s="17"/>
      <c r="HC403" s="17"/>
      <c r="HD403" s="17"/>
      <c r="HE403" s="17"/>
      <c r="HF403" s="17"/>
      <c r="HG403" s="17"/>
      <c r="HH403" s="17"/>
      <c r="HI403" s="17"/>
      <c r="HJ403" s="17"/>
      <c r="HK403" s="17"/>
      <c r="HL403" s="17"/>
      <c r="HM403" s="17"/>
      <c r="HN403" s="17"/>
      <c r="HO403" s="17"/>
      <c r="HP403" s="17"/>
      <c r="HQ403" s="17"/>
      <c r="HR403" s="17"/>
      <c r="HS403" s="17"/>
      <c r="HT403" s="17"/>
      <c r="HU403" s="17"/>
      <c r="HV403" s="17"/>
      <c r="HW403" s="17"/>
      <c r="HX403" s="17"/>
      <c r="HY403" s="17"/>
      <c r="HZ403" s="17"/>
      <c r="IA403" s="17"/>
      <c r="IB403" s="17"/>
      <c r="IC403" s="17"/>
      <c r="ID403" s="17"/>
      <c r="IE403" s="17"/>
      <c r="IF403" s="17"/>
      <c r="IG403" s="17"/>
      <c r="IH403" s="17"/>
      <c r="II403" s="17"/>
      <c r="IJ403" s="17"/>
      <c r="IK403" s="17"/>
      <c r="IL403" s="17"/>
      <c r="IM403" s="17"/>
      <c r="IN403" s="17"/>
      <c r="IO403" s="17"/>
      <c r="IP403" s="17"/>
      <c r="IQ403" s="17"/>
      <c r="IR403" s="17"/>
      <c r="IS403" s="17"/>
      <c r="IT403" s="17"/>
      <c r="IU403" s="17"/>
      <c r="IV403" s="17"/>
      <c r="IW403" s="17"/>
      <c r="IX403" s="17"/>
      <c r="IY403" s="17"/>
      <c r="IZ403" s="17"/>
      <c r="JA403" s="17"/>
      <c r="JB403" s="17"/>
      <c r="JC403" s="17"/>
      <c r="JD403" s="17"/>
      <c r="JE403" s="17"/>
      <c r="JF403" s="17"/>
      <c r="JG403" s="17"/>
      <c r="JH403" s="17"/>
      <c r="JI403" s="17"/>
      <c r="JJ403" s="17"/>
      <c r="JK403" s="17"/>
      <c r="JL403" s="17"/>
      <c r="JM403" s="17"/>
      <c r="JN403" s="17"/>
      <c r="JO403" s="17"/>
      <c r="JP403" s="17"/>
      <c r="JQ403" s="17"/>
      <c r="JR403" s="17"/>
      <c r="JS403" s="17"/>
      <c r="JT403" s="17"/>
      <c r="JU403" s="17"/>
      <c r="JV403" s="17"/>
      <c r="JW403" s="17"/>
      <c r="JX403" s="17"/>
      <c r="JY403" s="17"/>
      <c r="JZ403" s="17"/>
      <c r="KA403" s="17"/>
      <c r="KB403" s="17"/>
      <c r="KC403" s="17"/>
      <c r="KD403" s="17"/>
      <c r="KE403" s="17"/>
      <c r="KF403" s="17"/>
      <c r="KG403" s="17"/>
      <c r="KH403" s="17"/>
      <c r="KI403" s="17"/>
      <c r="KJ403" s="17"/>
      <c r="KK403" s="17"/>
      <c r="KL403" s="17"/>
      <c r="KM403" s="17"/>
      <c r="KN403" s="17"/>
      <c r="KO403" s="17"/>
      <c r="KP403" s="17"/>
      <c r="KQ403" s="17"/>
      <c r="KR403" s="17"/>
      <c r="KS403" s="17"/>
      <c r="KT403" s="17"/>
      <c r="KU403" s="17"/>
      <c r="KV403" s="17"/>
      <c r="KW403" s="17"/>
      <c r="KX403" s="17"/>
      <c r="KY403" s="17"/>
    </row>
    <row r="404" spans="1:311" x14ac:dyDescent="0.25">
      <c r="A404" s="17"/>
      <c r="B404" s="17"/>
      <c r="C404" s="17"/>
      <c r="D404" s="17"/>
      <c r="E404" s="17"/>
      <c r="F404" s="17"/>
      <c r="G404" s="17"/>
      <c r="H404" s="17"/>
      <c r="I404" s="17"/>
      <c r="J404" s="17"/>
      <c r="K404" s="17"/>
      <c r="L404" s="17"/>
      <c r="M404" s="17"/>
      <c r="N404" s="17"/>
      <c r="O404" s="17"/>
      <c r="P404" s="17"/>
      <c r="Q404" s="17"/>
      <c r="R404" s="17"/>
      <c r="S404" s="17"/>
      <c r="T404" s="17"/>
      <c r="U404" s="17"/>
      <c r="V404" s="17"/>
      <c r="W404" s="17"/>
      <c r="X404" s="17"/>
      <c r="Y404" s="17"/>
      <c r="Z404" s="17"/>
      <c r="AA404" s="17"/>
      <c r="AB404" s="17"/>
      <c r="AC404" s="17"/>
      <c r="AD404" s="17"/>
      <c r="AE404" s="17"/>
      <c r="AF404" s="17"/>
      <c r="AG404" s="17"/>
      <c r="AH404" s="17"/>
      <c r="AI404" s="17"/>
      <c r="AJ404" s="17"/>
      <c r="AK404" s="17"/>
      <c r="AL404" s="17"/>
      <c r="AM404" s="17"/>
      <c r="AN404" s="17"/>
      <c r="AO404" s="17"/>
      <c r="AP404" s="17"/>
      <c r="AQ404" s="17"/>
      <c r="AR404" s="17"/>
      <c r="AS404" s="17"/>
      <c r="AT404" s="17"/>
      <c r="AU404" s="17"/>
      <c r="AV404" s="17"/>
      <c r="AW404" s="17"/>
      <c r="AX404" s="17"/>
      <c r="AY404" s="17"/>
      <c r="AZ404" s="17"/>
      <c r="BA404" s="17"/>
      <c r="BB404" s="17"/>
      <c r="BC404" s="17"/>
      <c r="BD404" s="17"/>
      <c r="BE404" s="17"/>
      <c r="BF404" s="17"/>
      <c r="BG404" s="17"/>
      <c r="BH404" s="17"/>
      <c r="BI404" s="17"/>
      <c r="BJ404" s="17"/>
      <c r="BK404" s="17"/>
      <c r="BL404" s="17"/>
      <c r="BM404" s="17"/>
      <c r="BN404" s="17"/>
      <c r="BO404" s="17"/>
      <c r="BP404" s="17"/>
      <c r="BQ404" s="17"/>
      <c r="BR404" s="17"/>
      <c r="BS404" s="17"/>
      <c r="BT404" s="17"/>
      <c r="BU404" s="17"/>
      <c r="BV404" s="17"/>
      <c r="BW404" s="17"/>
      <c r="BX404" s="17"/>
      <c r="BY404" s="17"/>
      <c r="BZ404" s="17"/>
      <c r="CA404" s="17"/>
      <c r="CB404" s="17"/>
      <c r="CC404" s="17"/>
      <c r="CD404" s="17"/>
      <c r="CE404" s="17"/>
      <c r="CF404" s="17"/>
      <c r="CG404" s="17"/>
      <c r="CH404" s="17"/>
      <c r="CI404" s="17"/>
      <c r="CJ404" s="17"/>
      <c r="CK404" s="17"/>
      <c r="CL404" s="17"/>
      <c r="CM404" s="17"/>
      <c r="CN404" s="17"/>
      <c r="CO404" s="17"/>
      <c r="CP404" s="17"/>
      <c r="CQ404" s="17"/>
      <c r="CR404" s="17"/>
      <c r="CS404" s="17"/>
      <c r="CT404" s="17"/>
      <c r="CU404" s="17"/>
      <c r="CV404" s="17"/>
      <c r="CW404" s="17"/>
      <c r="CX404" s="17"/>
      <c r="CY404" s="17"/>
      <c r="CZ404" s="17"/>
      <c r="DA404" s="17"/>
      <c r="DB404" s="17"/>
      <c r="DC404" s="17"/>
      <c r="DD404" s="17"/>
      <c r="DE404" s="17"/>
      <c r="DF404" s="17"/>
      <c r="DG404" s="17"/>
      <c r="DH404" s="17"/>
      <c r="DI404" s="17"/>
      <c r="DJ404" s="17"/>
      <c r="DK404" s="17"/>
      <c r="DL404" s="17"/>
      <c r="DM404" s="17"/>
      <c r="DN404" s="17"/>
      <c r="DO404" s="17"/>
      <c r="DP404" s="17"/>
      <c r="DQ404" s="17"/>
      <c r="DR404" s="17"/>
      <c r="DS404" s="17"/>
      <c r="DT404" s="17"/>
      <c r="DU404" s="17"/>
      <c r="DV404" s="17"/>
      <c r="DW404" s="17"/>
      <c r="DX404" s="17"/>
      <c r="DY404" s="17"/>
      <c r="DZ404" s="17"/>
      <c r="EA404" s="17"/>
      <c r="EB404" s="17"/>
      <c r="EC404" s="17"/>
      <c r="ED404" s="17"/>
      <c r="EE404" s="17"/>
      <c r="EF404" s="17"/>
      <c r="EG404" s="17"/>
      <c r="EH404" s="17"/>
      <c r="EI404" s="17"/>
      <c r="EJ404" s="17"/>
      <c r="EK404" s="17"/>
      <c r="EL404" s="17"/>
      <c r="EM404" s="17"/>
      <c r="EN404" s="17"/>
      <c r="EO404" s="17"/>
      <c r="EP404" s="17"/>
      <c r="EQ404" s="17"/>
      <c r="ER404" s="17"/>
      <c r="ES404" s="17"/>
      <c r="ET404" s="17"/>
      <c r="EU404" s="17"/>
      <c r="EV404" s="17"/>
      <c r="EW404" s="17"/>
      <c r="EX404" s="17"/>
      <c r="EY404" s="17"/>
      <c r="EZ404" s="17"/>
      <c r="FA404" s="17"/>
      <c r="FB404" s="17"/>
      <c r="FC404" s="17"/>
      <c r="FD404" s="17"/>
      <c r="FE404" s="17"/>
      <c r="FF404" s="17"/>
      <c r="FG404" s="17"/>
      <c r="FH404" s="17"/>
      <c r="FI404" s="17"/>
      <c r="FJ404" s="17"/>
      <c r="FK404" s="17"/>
      <c r="FL404" s="17"/>
      <c r="FM404" s="17"/>
      <c r="FN404" s="17"/>
      <c r="FO404" s="17"/>
      <c r="FP404" s="17"/>
      <c r="FQ404" s="17"/>
      <c r="FR404" s="17"/>
      <c r="FS404" s="17"/>
      <c r="FT404" s="17"/>
      <c r="FU404" s="17"/>
      <c r="FV404" s="17"/>
      <c r="FW404" s="17"/>
      <c r="FX404" s="17"/>
      <c r="FY404" s="17"/>
      <c r="FZ404" s="17"/>
      <c r="GA404" s="17"/>
      <c r="GB404" s="17"/>
      <c r="GC404" s="17"/>
      <c r="GD404" s="17"/>
      <c r="GE404" s="17"/>
      <c r="GF404" s="17"/>
      <c r="GG404" s="17"/>
      <c r="GH404" s="17"/>
      <c r="GI404" s="17"/>
      <c r="GJ404" s="17"/>
      <c r="GK404" s="17"/>
      <c r="GL404" s="17"/>
      <c r="GM404" s="17"/>
      <c r="GN404" s="17"/>
      <c r="GO404" s="17"/>
      <c r="GP404" s="17"/>
      <c r="GQ404" s="17"/>
      <c r="GR404" s="17"/>
      <c r="GS404" s="17"/>
      <c r="GT404" s="17"/>
      <c r="GU404" s="17"/>
      <c r="GV404" s="17"/>
      <c r="GW404" s="17"/>
      <c r="GX404" s="17"/>
      <c r="GY404" s="17"/>
      <c r="GZ404" s="17"/>
      <c r="HA404" s="17"/>
      <c r="HB404" s="17"/>
      <c r="HC404" s="17"/>
      <c r="HD404" s="17"/>
      <c r="HE404" s="17"/>
      <c r="HF404" s="17"/>
      <c r="HG404" s="17"/>
      <c r="HH404" s="17"/>
      <c r="HI404" s="17"/>
      <c r="HJ404" s="17"/>
      <c r="HK404" s="17"/>
      <c r="HL404" s="17"/>
      <c r="HM404" s="17"/>
      <c r="HN404" s="17"/>
      <c r="HO404" s="17"/>
      <c r="HP404" s="17"/>
      <c r="HQ404" s="17"/>
      <c r="HR404" s="17"/>
      <c r="HS404" s="17"/>
      <c r="HT404" s="17"/>
      <c r="HU404" s="17"/>
      <c r="HV404" s="17"/>
      <c r="HW404" s="17"/>
      <c r="HX404" s="17"/>
      <c r="HY404" s="17"/>
      <c r="HZ404" s="17"/>
      <c r="IA404" s="17"/>
      <c r="IB404" s="17"/>
      <c r="IC404" s="17"/>
      <c r="ID404" s="17"/>
      <c r="IE404" s="17"/>
      <c r="IF404" s="17"/>
      <c r="IG404" s="17"/>
      <c r="IH404" s="17"/>
      <c r="II404" s="17"/>
      <c r="IJ404" s="17"/>
      <c r="IK404" s="17"/>
      <c r="IL404" s="17"/>
      <c r="IM404" s="17"/>
      <c r="IN404" s="17"/>
      <c r="IO404" s="17"/>
      <c r="IP404" s="17"/>
      <c r="IQ404" s="17"/>
      <c r="IR404" s="17"/>
      <c r="IS404" s="17"/>
      <c r="IT404" s="17"/>
      <c r="IU404" s="17"/>
      <c r="IV404" s="17"/>
      <c r="IW404" s="17"/>
      <c r="IX404" s="17"/>
      <c r="IY404" s="17"/>
      <c r="IZ404" s="17"/>
      <c r="JA404" s="17"/>
      <c r="JB404" s="17"/>
      <c r="JC404" s="17"/>
      <c r="JD404" s="17"/>
      <c r="JE404" s="17"/>
      <c r="JF404" s="17"/>
      <c r="JG404" s="17"/>
      <c r="JH404" s="17"/>
      <c r="JI404" s="17"/>
      <c r="JJ404" s="17"/>
      <c r="JK404" s="17"/>
      <c r="JL404" s="17"/>
      <c r="JM404" s="17"/>
      <c r="JN404" s="17"/>
      <c r="JO404" s="17"/>
      <c r="JP404" s="17"/>
      <c r="JQ404" s="17"/>
      <c r="JR404" s="17"/>
      <c r="JS404" s="17"/>
      <c r="JT404" s="17"/>
      <c r="JU404" s="17"/>
      <c r="JV404" s="17"/>
      <c r="JW404" s="17"/>
      <c r="JX404" s="17"/>
      <c r="JY404" s="17"/>
      <c r="JZ404" s="17"/>
      <c r="KA404" s="17"/>
      <c r="KB404" s="17"/>
      <c r="KC404" s="17"/>
      <c r="KD404" s="17"/>
      <c r="KE404" s="17"/>
      <c r="KF404" s="17"/>
      <c r="KG404" s="17"/>
      <c r="KH404" s="17"/>
      <c r="KI404" s="17"/>
      <c r="KJ404" s="17"/>
      <c r="KK404" s="17"/>
      <c r="KL404" s="17"/>
      <c r="KM404" s="17"/>
      <c r="KN404" s="17"/>
      <c r="KO404" s="17"/>
      <c r="KP404" s="17"/>
      <c r="KQ404" s="17"/>
      <c r="KR404" s="17"/>
      <c r="KS404" s="17"/>
      <c r="KT404" s="17"/>
      <c r="KU404" s="17"/>
      <c r="KV404" s="17"/>
      <c r="KW404" s="17"/>
      <c r="KX404" s="17"/>
      <c r="KY404" s="17"/>
    </row>
    <row r="405" spans="1:311" x14ac:dyDescent="0.25">
      <c r="A405" s="17"/>
      <c r="B405" s="17"/>
      <c r="C405" s="17"/>
      <c r="D405" s="17"/>
      <c r="E405" s="17"/>
      <c r="F405" s="17"/>
      <c r="G405" s="17"/>
      <c r="H405" s="17"/>
      <c r="I405" s="17"/>
      <c r="J405" s="17"/>
      <c r="K405" s="17"/>
      <c r="L405" s="17"/>
      <c r="M405" s="17"/>
      <c r="N405" s="17"/>
      <c r="O405" s="17"/>
      <c r="P405" s="17"/>
      <c r="Q405" s="17"/>
      <c r="R405" s="17"/>
      <c r="S405" s="17"/>
      <c r="T405" s="17"/>
      <c r="U405" s="17"/>
      <c r="V405" s="17"/>
      <c r="W405" s="17"/>
      <c r="X405" s="17"/>
      <c r="Y405" s="17"/>
      <c r="Z405" s="17"/>
      <c r="AA405" s="17"/>
      <c r="AB405" s="17"/>
      <c r="AC405" s="17"/>
      <c r="AD405" s="17"/>
      <c r="AE405" s="17"/>
      <c r="AF405" s="17"/>
      <c r="AG405" s="17"/>
      <c r="AH405" s="17"/>
      <c r="AI405" s="17"/>
      <c r="AJ405" s="17"/>
      <c r="AK405" s="17"/>
      <c r="AL405" s="17"/>
      <c r="AM405" s="17"/>
      <c r="AN405" s="17"/>
      <c r="AO405" s="17"/>
      <c r="AP405" s="17"/>
      <c r="AQ405" s="17"/>
      <c r="AR405" s="17"/>
      <c r="AS405" s="17"/>
      <c r="AT405" s="17"/>
      <c r="AU405" s="17"/>
      <c r="AV405" s="17"/>
      <c r="AW405" s="17"/>
      <c r="AX405" s="17"/>
      <c r="AY405" s="17"/>
      <c r="AZ405" s="17"/>
      <c r="BA405" s="17"/>
      <c r="BB405" s="17"/>
      <c r="BC405" s="17"/>
      <c r="BD405" s="17"/>
      <c r="BE405" s="17"/>
      <c r="BF405" s="17"/>
      <c r="BG405" s="17"/>
      <c r="BH405" s="17"/>
      <c r="BI405" s="17"/>
      <c r="BJ405" s="17"/>
      <c r="BK405" s="17"/>
      <c r="BL405" s="17"/>
      <c r="BM405" s="17"/>
      <c r="BN405" s="17"/>
      <c r="BO405" s="17"/>
      <c r="BP405" s="17"/>
      <c r="BQ405" s="17"/>
      <c r="BR405" s="17"/>
      <c r="BS405" s="17"/>
      <c r="BT405" s="17"/>
      <c r="BU405" s="17"/>
      <c r="BV405" s="17"/>
      <c r="BW405" s="17"/>
      <c r="BX405" s="17"/>
      <c r="BY405" s="17"/>
      <c r="BZ405" s="17"/>
      <c r="CA405" s="17"/>
      <c r="CB405" s="17"/>
      <c r="CC405" s="17"/>
      <c r="CD405" s="17"/>
      <c r="CE405" s="17"/>
      <c r="CF405" s="17"/>
      <c r="CG405" s="17"/>
      <c r="CH405" s="17"/>
      <c r="CI405" s="17"/>
      <c r="CJ405" s="17"/>
      <c r="CK405" s="17"/>
      <c r="CL405" s="17"/>
      <c r="CM405" s="17"/>
      <c r="CN405" s="17"/>
      <c r="CO405" s="17"/>
      <c r="CP405" s="17"/>
      <c r="CQ405" s="17"/>
      <c r="CR405" s="17"/>
      <c r="CS405" s="17"/>
      <c r="CT405" s="17"/>
      <c r="CU405" s="17"/>
      <c r="CV405" s="17"/>
      <c r="CW405" s="17"/>
      <c r="CX405" s="17"/>
      <c r="CY405" s="17"/>
      <c r="CZ405" s="17"/>
      <c r="DA405" s="17"/>
      <c r="DB405" s="17"/>
      <c r="DC405" s="17"/>
      <c r="DD405" s="17"/>
      <c r="DE405" s="17"/>
      <c r="DF405" s="17"/>
      <c r="DG405" s="17"/>
      <c r="DH405" s="17"/>
      <c r="DI405" s="17"/>
      <c r="DJ405" s="17"/>
      <c r="DK405" s="17"/>
      <c r="DL405" s="17"/>
      <c r="DM405" s="17"/>
      <c r="DN405" s="17"/>
      <c r="DO405" s="17"/>
      <c r="DP405" s="17"/>
      <c r="DQ405" s="17"/>
      <c r="DR405" s="17"/>
      <c r="DS405" s="17"/>
      <c r="DT405" s="17"/>
      <c r="DU405" s="17"/>
      <c r="DV405" s="17"/>
      <c r="DW405" s="17"/>
      <c r="DX405" s="17"/>
      <c r="DY405" s="17"/>
      <c r="DZ405" s="17"/>
      <c r="EA405" s="17"/>
      <c r="EB405" s="17"/>
      <c r="EC405" s="17"/>
      <c r="ED405" s="17"/>
      <c r="EE405" s="17"/>
      <c r="EF405" s="17"/>
      <c r="EG405" s="17"/>
      <c r="EH405" s="17"/>
      <c r="EI405" s="17"/>
      <c r="EJ405" s="17"/>
      <c r="EK405" s="17"/>
      <c r="EL405" s="17"/>
      <c r="EM405" s="17"/>
      <c r="EN405" s="17"/>
      <c r="EO405" s="17"/>
      <c r="EP405" s="17"/>
      <c r="EQ405" s="17"/>
      <c r="ER405" s="17"/>
      <c r="ES405" s="17"/>
      <c r="ET405" s="17"/>
      <c r="EU405" s="17"/>
      <c r="EV405" s="17"/>
      <c r="EW405" s="17"/>
      <c r="EX405" s="17"/>
      <c r="EY405" s="17"/>
      <c r="EZ405" s="17"/>
      <c r="FA405" s="17"/>
      <c r="FB405" s="17"/>
      <c r="FC405" s="17"/>
      <c r="FD405" s="17"/>
      <c r="FE405" s="17"/>
      <c r="FF405" s="17"/>
      <c r="FG405" s="17"/>
      <c r="FH405" s="17"/>
      <c r="FI405" s="17"/>
      <c r="FJ405" s="17"/>
      <c r="FK405" s="17"/>
      <c r="FL405" s="17"/>
      <c r="FM405" s="17"/>
      <c r="FN405" s="17"/>
      <c r="FO405" s="17"/>
      <c r="FP405" s="17"/>
      <c r="FQ405" s="17"/>
      <c r="FR405" s="17"/>
      <c r="FS405" s="17"/>
      <c r="FT405" s="17"/>
      <c r="FU405" s="17"/>
      <c r="FV405" s="17"/>
      <c r="FW405" s="17"/>
      <c r="FX405" s="17"/>
      <c r="FY405" s="17"/>
      <c r="FZ405" s="17"/>
      <c r="GA405" s="17"/>
      <c r="GB405" s="17"/>
      <c r="GC405" s="17"/>
      <c r="GD405" s="17"/>
      <c r="GE405" s="17"/>
      <c r="GF405" s="17"/>
      <c r="GG405" s="17"/>
      <c r="GH405" s="17"/>
      <c r="GI405" s="17"/>
      <c r="GJ405" s="17"/>
      <c r="GK405" s="17"/>
      <c r="GL405" s="17"/>
      <c r="GM405" s="17"/>
      <c r="GN405" s="17"/>
      <c r="GO405" s="17"/>
      <c r="GP405" s="17"/>
      <c r="GQ405" s="17"/>
      <c r="GR405" s="17"/>
      <c r="GS405" s="17"/>
      <c r="GT405" s="17"/>
      <c r="GU405" s="17"/>
      <c r="GV405" s="17"/>
      <c r="GW405" s="17"/>
      <c r="GX405" s="17"/>
      <c r="GY405" s="17"/>
      <c r="GZ405" s="17"/>
      <c r="HA405" s="17"/>
      <c r="HB405" s="17"/>
      <c r="HC405" s="17"/>
      <c r="HD405" s="17"/>
      <c r="HE405" s="17"/>
      <c r="HF405" s="17"/>
      <c r="HG405" s="17"/>
      <c r="HH405" s="17"/>
      <c r="HI405" s="17"/>
      <c r="HJ405" s="17"/>
      <c r="HK405" s="17"/>
      <c r="HL405" s="17"/>
      <c r="HM405" s="17"/>
      <c r="HN405" s="17"/>
      <c r="HO405" s="17"/>
      <c r="HP405" s="17"/>
      <c r="HQ405" s="17"/>
      <c r="HR405" s="17"/>
      <c r="HS405" s="17"/>
      <c r="HT405" s="17"/>
      <c r="HU405" s="17"/>
      <c r="HV405" s="17"/>
      <c r="HW405" s="17"/>
      <c r="HX405" s="17"/>
      <c r="HY405" s="17"/>
      <c r="HZ405" s="17"/>
      <c r="IA405" s="17"/>
      <c r="IB405" s="17"/>
      <c r="IC405" s="17"/>
      <c r="ID405" s="17"/>
      <c r="IE405" s="17"/>
      <c r="IF405" s="17"/>
      <c r="IG405" s="17"/>
      <c r="IH405" s="17"/>
      <c r="II405" s="17"/>
      <c r="IJ405" s="17"/>
      <c r="IK405" s="17"/>
      <c r="IL405" s="17"/>
      <c r="IM405" s="17"/>
      <c r="IN405" s="17"/>
      <c r="IO405" s="17"/>
      <c r="IP405" s="17"/>
      <c r="IQ405" s="17"/>
      <c r="IR405" s="17"/>
      <c r="IS405" s="17"/>
      <c r="IT405" s="17"/>
      <c r="IU405" s="17"/>
      <c r="IV405" s="17"/>
      <c r="IW405" s="17"/>
      <c r="IX405" s="17"/>
      <c r="IY405" s="17"/>
      <c r="IZ405" s="17"/>
      <c r="JA405" s="17"/>
      <c r="JB405" s="17"/>
      <c r="JC405" s="17"/>
      <c r="JD405" s="17"/>
      <c r="JE405" s="17"/>
      <c r="JF405" s="17"/>
      <c r="JG405" s="17"/>
      <c r="JH405" s="17"/>
      <c r="JI405" s="17"/>
      <c r="JJ405" s="17"/>
      <c r="JK405" s="17"/>
      <c r="JL405" s="17"/>
      <c r="JM405" s="17"/>
      <c r="JN405" s="17"/>
      <c r="JO405" s="17"/>
      <c r="JP405" s="17"/>
      <c r="JQ405" s="17"/>
      <c r="JR405" s="17"/>
      <c r="JS405" s="17"/>
      <c r="JT405" s="17"/>
      <c r="JU405" s="17"/>
      <c r="JV405" s="17"/>
      <c r="JW405" s="17"/>
      <c r="JX405" s="17"/>
      <c r="JY405" s="17"/>
      <c r="JZ405" s="17"/>
      <c r="KA405" s="17"/>
      <c r="KB405" s="17"/>
      <c r="KC405" s="17"/>
      <c r="KD405" s="17"/>
      <c r="KE405" s="17"/>
      <c r="KF405" s="17"/>
      <c r="KG405" s="17"/>
      <c r="KH405" s="17"/>
      <c r="KI405" s="17"/>
      <c r="KJ405" s="17"/>
      <c r="KK405" s="17"/>
      <c r="KL405" s="17"/>
      <c r="KM405" s="17"/>
      <c r="KN405" s="17"/>
      <c r="KO405" s="17"/>
      <c r="KP405" s="17"/>
      <c r="KQ405" s="17"/>
      <c r="KR405" s="17"/>
      <c r="KS405" s="17"/>
      <c r="KT405" s="17"/>
      <c r="KU405" s="17"/>
      <c r="KV405" s="17"/>
      <c r="KW405" s="17"/>
      <c r="KX405" s="17"/>
      <c r="KY405" s="17"/>
    </row>
    <row r="406" spans="1:311" x14ac:dyDescent="0.25">
      <c r="A406" s="17"/>
      <c r="B406" s="17"/>
      <c r="C406" s="17"/>
      <c r="D406" s="17"/>
      <c r="E406" s="17"/>
      <c r="F406" s="17"/>
      <c r="G406" s="17"/>
      <c r="H406" s="17"/>
      <c r="I406" s="17"/>
      <c r="J406" s="17"/>
      <c r="K406" s="17"/>
      <c r="L406" s="17"/>
      <c r="M406" s="17"/>
      <c r="N406" s="17"/>
      <c r="O406" s="17"/>
      <c r="P406" s="17"/>
      <c r="Q406" s="17"/>
      <c r="R406" s="17"/>
      <c r="S406" s="17"/>
      <c r="T406" s="17"/>
      <c r="U406" s="17"/>
      <c r="V406" s="17"/>
      <c r="W406" s="17"/>
      <c r="X406" s="17"/>
      <c r="Y406" s="17"/>
      <c r="Z406" s="17"/>
      <c r="AA406" s="17"/>
      <c r="AB406" s="17"/>
      <c r="AC406" s="17"/>
      <c r="AD406" s="17"/>
      <c r="AE406" s="17"/>
      <c r="AF406" s="17"/>
      <c r="AG406" s="17"/>
      <c r="AH406" s="17"/>
      <c r="AI406" s="17"/>
      <c r="AJ406" s="17"/>
      <c r="AK406" s="17"/>
      <c r="AL406" s="17"/>
      <c r="AM406" s="17"/>
      <c r="AN406" s="17"/>
      <c r="AO406" s="17"/>
      <c r="AP406" s="17"/>
      <c r="AQ406" s="17"/>
      <c r="AR406" s="17"/>
      <c r="AS406" s="17"/>
      <c r="AT406" s="17"/>
      <c r="AU406" s="17"/>
      <c r="AV406" s="17"/>
      <c r="AW406" s="17"/>
      <c r="AX406" s="17"/>
      <c r="AY406" s="17"/>
      <c r="AZ406" s="17"/>
      <c r="BA406" s="17"/>
      <c r="BB406" s="17"/>
      <c r="BC406" s="17"/>
      <c r="BD406" s="17"/>
      <c r="BE406" s="17"/>
      <c r="BF406" s="17"/>
      <c r="BG406" s="17"/>
      <c r="BH406" s="17"/>
      <c r="BI406" s="17"/>
      <c r="BJ406" s="17"/>
      <c r="BK406" s="17"/>
      <c r="BL406" s="17"/>
      <c r="BM406" s="17"/>
      <c r="BN406" s="17"/>
      <c r="BO406" s="17"/>
      <c r="BP406" s="17"/>
      <c r="BQ406" s="17"/>
      <c r="BR406" s="17"/>
      <c r="BS406" s="17"/>
      <c r="BT406" s="17"/>
      <c r="BU406" s="17"/>
      <c r="BV406" s="17"/>
      <c r="BW406" s="17"/>
      <c r="BX406" s="17"/>
      <c r="BY406" s="17"/>
      <c r="BZ406" s="17"/>
      <c r="CA406" s="17"/>
      <c r="CB406" s="17"/>
      <c r="CC406" s="17"/>
      <c r="CD406" s="17"/>
      <c r="CE406" s="17"/>
      <c r="CF406" s="17"/>
      <c r="CG406" s="17"/>
      <c r="CH406" s="17"/>
      <c r="CI406" s="17"/>
      <c r="CJ406" s="17"/>
      <c r="CK406" s="17"/>
      <c r="CL406" s="17"/>
      <c r="CM406" s="17"/>
      <c r="CN406" s="17"/>
      <c r="CO406" s="17"/>
      <c r="CP406" s="17"/>
      <c r="CQ406" s="17"/>
      <c r="CR406" s="17"/>
      <c r="CS406" s="17"/>
      <c r="CT406" s="17"/>
      <c r="CU406" s="17"/>
      <c r="CV406" s="17"/>
      <c r="CW406" s="17"/>
      <c r="CX406" s="17"/>
      <c r="CY406" s="17"/>
      <c r="CZ406" s="17"/>
      <c r="DA406" s="17"/>
      <c r="DB406" s="17"/>
      <c r="DC406" s="17"/>
      <c r="DD406" s="17"/>
      <c r="DE406" s="17"/>
      <c r="DF406" s="17"/>
      <c r="DG406" s="17"/>
      <c r="DH406" s="17"/>
      <c r="DI406" s="17"/>
      <c r="DJ406" s="17"/>
      <c r="DK406" s="17"/>
      <c r="DL406" s="17"/>
      <c r="DM406" s="17"/>
      <c r="DN406" s="17"/>
      <c r="DO406" s="17"/>
      <c r="DP406" s="17"/>
      <c r="DQ406" s="17"/>
      <c r="DR406" s="17"/>
      <c r="DS406" s="17"/>
      <c r="DT406" s="17"/>
      <c r="DU406" s="17"/>
      <c r="DV406" s="17"/>
      <c r="DW406" s="17"/>
      <c r="DX406" s="17"/>
      <c r="DY406" s="17"/>
      <c r="DZ406" s="17"/>
      <c r="EA406" s="17"/>
      <c r="EB406" s="17"/>
      <c r="EC406" s="17"/>
      <c r="ED406" s="17"/>
      <c r="EE406" s="17"/>
      <c r="EF406" s="17"/>
      <c r="EG406" s="17"/>
      <c r="EH406" s="17"/>
      <c r="EI406" s="17"/>
      <c r="EJ406" s="17"/>
      <c r="EK406" s="17"/>
      <c r="EL406" s="17"/>
      <c r="EM406" s="17"/>
      <c r="EN406" s="17"/>
      <c r="EO406" s="17"/>
      <c r="EP406" s="17"/>
      <c r="EQ406" s="17"/>
      <c r="ER406" s="17"/>
      <c r="ES406" s="17"/>
      <c r="ET406" s="17"/>
      <c r="EU406" s="17"/>
      <c r="EV406" s="17"/>
      <c r="EW406" s="17"/>
      <c r="EX406" s="17"/>
      <c r="EY406" s="17"/>
      <c r="EZ406" s="17"/>
      <c r="FA406" s="17"/>
      <c r="FB406" s="17"/>
      <c r="FC406" s="17"/>
      <c r="FD406" s="17"/>
      <c r="FE406" s="17"/>
      <c r="FF406" s="17"/>
      <c r="FG406" s="17"/>
      <c r="FH406" s="17"/>
      <c r="FI406" s="17"/>
      <c r="FJ406" s="17"/>
      <c r="FK406" s="17"/>
      <c r="FL406" s="17"/>
      <c r="FM406" s="17"/>
      <c r="FN406" s="17"/>
      <c r="FO406" s="17"/>
      <c r="FP406" s="17"/>
      <c r="FQ406" s="17"/>
      <c r="FR406" s="17"/>
      <c r="FS406" s="17"/>
      <c r="FT406" s="17"/>
      <c r="FU406" s="17"/>
      <c r="FV406" s="17"/>
      <c r="FW406" s="17"/>
      <c r="FX406" s="17"/>
      <c r="FY406" s="17"/>
      <c r="FZ406" s="17"/>
      <c r="GA406" s="17"/>
      <c r="GB406" s="17"/>
      <c r="GC406" s="17"/>
      <c r="GD406" s="17"/>
      <c r="GE406" s="17"/>
      <c r="GF406" s="17"/>
      <c r="GG406" s="17"/>
      <c r="GH406" s="17"/>
      <c r="GI406" s="17"/>
      <c r="GJ406" s="17"/>
      <c r="GK406" s="17"/>
      <c r="GL406" s="17"/>
      <c r="GM406" s="17"/>
      <c r="GN406" s="17"/>
      <c r="GO406" s="17"/>
      <c r="GP406" s="17"/>
      <c r="GQ406" s="17"/>
      <c r="GR406" s="17"/>
      <c r="GS406" s="17"/>
      <c r="GT406" s="17"/>
      <c r="GU406" s="17"/>
      <c r="GV406" s="17"/>
      <c r="GW406" s="17"/>
      <c r="GX406" s="17"/>
      <c r="GY406" s="17"/>
      <c r="GZ406" s="17"/>
      <c r="HA406" s="17"/>
      <c r="HB406" s="17"/>
      <c r="HC406" s="17"/>
      <c r="HD406" s="17"/>
      <c r="HE406" s="17"/>
      <c r="HF406" s="17"/>
      <c r="HG406" s="17"/>
      <c r="HH406" s="17"/>
      <c r="HI406" s="17"/>
      <c r="HJ406" s="17"/>
      <c r="HK406" s="17"/>
      <c r="HL406" s="17"/>
      <c r="HM406" s="17"/>
      <c r="HN406" s="17"/>
      <c r="HO406" s="17"/>
      <c r="HP406" s="17"/>
      <c r="HQ406" s="17"/>
      <c r="HR406" s="17"/>
      <c r="HS406" s="17"/>
      <c r="HT406" s="17"/>
      <c r="HU406" s="17"/>
      <c r="HV406" s="17"/>
      <c r="HW406" s="17"/>
      <c r="HX406" s="17"/>
      <c r="HY406" s="17"/>
      <c r="HZ406" s="17"/>
      <c r="IA406" s="17"/>
      <c r="IB406" s="17"/>
      <c r="IC406" s="17"/>
      <c r="ID406" s="17"/>
      <c r="IE406" s="17"/>
      <c r="IF406" s="17"/>
      <c r="IG406" s="17"/>
      <c r="IH406" s="17"/>
      <c r="II406" s="17"/>
      <c r="IJ406" s="17"/>
      <c r="IK406" s="17"/>
      <c r="IL406" s="17"/>
      <c r="IM406" s="17"/>
      <c r="IN406" s="17"/>
      <c r="IO406" s="17"/>
      <c r="IP406" s="17"/>
      <c r="IQ406" s="17"/>
      <c r="IR406" s="17"/>
      <c r="IS406" s="17"/>
      <c r="IT406" s="17"/>
      <c r="IU406" s="17"/>
      <c r="IV406" s="17"/>
      <c r="IW406" s="17"/>
      <c r="IX406" s="17"/>
      <c r="IY406" s="17"/>
      <c r="IZ406" s="17"/>
      <c r="JA406" s="17"/>
      <c r="JB406" s="17"/>
      <c r="JC406" s="17"/>
      <c r="JD406" s="17"/>
      <c r="JE406" s="17"/>
      <c r="JF406" s="17"/>
      <c r="JG406" s="17"/>
      <c r="JH406" s="17"/>
      <c r="JI406" s="17"/>
      <c r="JJ406" s="17"/>
      <c r="JK406" s="17"/>
      <c r="JL406" s="17"/>
      <c r="JM406" s="17"/>
      <c r="JN406" s="17"/>
      <c r="JO406" s="17"/>
      <c r="JP406" s="17"/>
      <c r="JQ406" s="17"/>
      <c r="JR406" s="17"/>
      <c r="JS406" s="17"/>
      <c r="JT406" s="17"/>
      <c r="JU406" s="17"/>
      <c r="JV406" s="17"/>
      <c r="JW406" s="17"/>
      <c r="JX406" s="17"/>
      <c r="JY406" s="17"/>
      <c r="JZ406" s="17"/>
      <c r="KA406" s="17"/>
      <c r="KB406" s="17"/>
      <c r="KC406" s="17"/>
      <c r="KD406" s="17"/>
      <c r="KE406" s="17"/>
      <c r="KF406" s="17"/>
      <c r="KG406" s="17"/>
      <c r="KH406" s="17"/>
      <c r="KI406" s="17"/>
      <c r="KJ406" s="17"/>
      <c r="KK406" s="17"/>
      <c r="KL406" s="17"/>
      <c r="KM406" s="17"/>
      <c r="KN406" s="17"/>
      <c r="KO406" s="17"/>
      <c r="KP406" s="17"/>
      <c r="KQ406" s="17"/>
      <c r="KR406" s="17"/>
      <c r="KS406" s="17"/>
      <c r="KT406" s="17"/>
      <c r="KU406" s="17"/>
      <c r="KV406" s="17"/>
      <c r="KW406" s="17"/>
      <c r="KX406" s="17"/>
      <c r="KY406" s="17"/>
    </row>
    <row r="407" spans="1:311" x14ac:dyDescent="0.25">
      <c r="A407" s="17"/>
      <c r="B407" s="17"/>
      <c r="C407" s="17"/>
      <c r="D407" s="17"/>
      <c r="E407" s="17"/>
      <c r="F407" s="17"/>
      <c r="G407" s="17"/>
      <c r="H407" s="17"/>
      <c r="I407" s="17"/>
      <c r="J407" s="17"/>
      <c r="K407" s="17"/>
      <c r="L407" s="17"/>
      <c r="M407" s="17"/>
      <c r="N407" s="17"/>
      <c r="O407" s="17"/>
      <c r="P407" s="17"/>
      <c r="Q407" s="17"/>
      <c r="R407" s="17"/>
      <c r="S407" s="17"/>
      <c r="T407" s="17"/>
      <c r="U407" s="17"/>
      <c r="V407" s="17"/>
      <c r="W407" s="17"/>
      <c r="X407" s="17"/>
      <c r="Y407" s="17"/>
      <c r="Z407" s="17"/>
      <c r="AA407" s="17"/>
      <c r="AB407" s="17"/>
      <c r="AC407" s="17"/>
      <c r="AD407" s="17"/>
      <c r="AE407" s="17"/>
      <c r="AF407" s="17"/>
      <c r="AG407" s="17"/>
      <c r="AH407" s="17"/>
      <c r="AI407" s="17"/>
      <c r="AJ407" s="17"/>
      <c r="AK407" s="17"/>
      <c r="AL407" s="17"/>
      <c r="AM407" s="17"/>
      <c r="AN407" s="17"/>
      <c r="AO407" s="17"/>
      <c r="AP407" s="17"/>
      <c r="AQ407" s="17"/>
      <c r="AR407" s="17"/>
      <c r="AS407" s="17"/>
      <c r="AT407" s="17"/>
      <c r="AU407" s="17"/>
      <c r="AV407" s="17"/>
      <c r="AW407" s="17"/>
      <c r="AX407" s="17"/>
      <c r="AY407" s="17"/>
      <c r="AZ407" s="17"/>
      <c r="BA407" s="17"/>
      <c r="BB407" s="17"/>
      <c r="BC407" s="17"/>
      <c r="BD407" s="17"/>
      <c r="BE407" s="17"/>
      <c r="BF407" s="17"/>
      <c r="BG407" s="17"/>
      <c r="BH407" s="17"/>
      <c r="BI407" s="17"/>
      <c r="BJ407" s="17"/>
      <c r="BK407" s="17"/>
      <c r="BL407" s="17"/>
      <c r="BM407" s="17"/>
      <c r="BN407" s="17"/>
      <c r="BO407" s="17"/>
      <c r="BP407" s="17"/>
      <c r="BQ407" s="17"/>
      <c r="BR407" s="17"/>
      <c r="BS407" s="17"/>
      <c r="BT407" s="17"/>
      <c r="BU407" s="17"/>
      <c r="BV407" s="17"/>
      <c r="BW407" s="17"/>
      <c r="BX407" s="17"/>
      <c r="BY407" s="17"/>
      <c r="BZ407" s="17"/>
      <c r="CA407" s="17"/>
      <c r="CB407" s="17"/>
      <c r="CC407" s="17"/>
      <c r="CD407" s="17"/>
      <c r="CE407" s="17"/>
      <c r="CF407" s="17"/>
      <c r="CG407" s="17"/>
      <c r="CH407" s="17"/>
      <c r="CI407" s="17"/>
      <c r="CJ407" s="17"/>
      <c r="CK407" s="17"/>
      <c r="CL407" s="17"/>
      <c r="CM407" s="17"/>
      <c r="CN407" s="17"/>
      <c r="CO407" s="17"/>
      <c r="CP407" s="17"/>
      <c r="CQ407" s="17"/>
      <c r="CR407" s="17"/>
      <c r="CS407" s="17"/>
      <c r="CT407" s="17"/>
      <c r="CU407" s="17"/>
      <c r="CV407" s="17"/>
      <c r="CW407" s="17"/>
      <c r="CX407" s="17"/>
      <c r="CY407" s="17"/>
      <c r="CZ407" s="17"/>
      <c r="DA407" s="17"/>
      <c r="DB407" s="17"/>
      <c r="DC407" s="17"/>
      <c r="DD407" s="17"/>
      <c r="DE407" s="17"/>
      <c r="DF407" s="17"/>
      <c r="DG407" s="17"/>
      <c r="DH407" s="17"/>
      <c r="DI407" s="17"/>
      <c r="DJ407" s="17"/>
      <c r="DK407" s="17"/>
      <c r="DL407" s="17"/>
      <c r="DM407" s="17"/>
      <c r="DN407" s="17"/>
      <c r="DO407" s="17"/>
      <c r="DP407" s="17"/>
      <c r="DQ407" s="17"/>
      <c r="DR407" s="17"/>
      <c r="DS407" s="17"/>
      <c r="DT407" s="17"/>
      <c r="DU407" s="17"/>
      <c r="DV407" s="17"/>
      <c r="DW407" s="17"/>
      <c r="DX407" s="17"/>
      <c r="DY407" s="17"/>
      <c r="DZ407" s="17"/>
      <c r="EA407" s="17"/>
      <c r="EB407" s="17"/>
      <c r="EC407" s="17"/>
      <c r="ED407" s="17"/>
      <c r="EE407" s="17"/>
      <c r="EF407" s="17"/>
      <c r="EG407" s="17"/>
      <c r="EH407" s="17"/>
      <c r="EI407" s="17"/>
      <c r="EJ407" s="17"/>
      <c r="EK407" s="17"/>
      <c r="EL407" s="17"/>
      <c r="EM407" s="17"/>
      <c r="EN407" s="17"/>
      <c r="EO407" s="17"/>
      <c r="EP407" s="17"/>
      <c r="EQ407" s="17"/>
      <c r="ER407" s="17"/>
      <c r="ES407" s="17"/>
      <c r="ET407" s="17"/>
      <c r="EU407" s="17"/>
      <c r="EV407" s="17"/>
      <c r="EW407" s="17"/>
      <c r="EX407" s="17"/>
      <c r="EY407" s="17"/>
      <c r="EZ407" s="17"/>
      <c r="FA407" s="17"/>
      <c r="FB407" s="17"/>
      <c r="FC407" s="17"/>
      <c r="FD407" s="17"/>
      <c r="FE407" s="17"/>
      <c r="FF407" s="17"/>
      <c r="FG407" s="17"/>
      <c r="FH407" s="17"/>
      <c r="FI407" s="17"/>
      <c r="FJ407" s="17"/>
      <c r="FK407" s="17"/>
      <c r="FL407" s="17"/>
      <c r="FM407" s="17"/>
      <c r="FN407" s="17"/>
      <c r="FO407" s="17"/>
      <c r="FP407" s="17"/>
      <c r="FQ407" s="17"/>
      <c r="FR407" s="17"/>
      <c r="FS407" s="17"/>
      <c r="FT407" s="17"/>
      <c r="FU407" s="17"/>
      <c r="FV407" s="17"/>
      <c r="FW407" s="17"/>
      <c r="FX407" s="17"/>
      <c r="FY407" s="17"/>
      <c r="FZ407" s="17"/>
      <c r="GA407" s="17"/>
      <c r="GB407" s="17"/>
      <c r="GC407" s="17"/>
      <c r="GD407" s="17"/>
      <c r="GE407" s="17"/>
      <c r="GF407" s="17"/>
      <c r="GG407" s="17"/>
      <c r="GH407" s="17"/>
      <c r="GI407" s="17"/>
      <c r="GJ407" s="17"/>
      <c r="GK407" s="17"/>
      <c r="GL407" s="17"/>
      <c r="GM407" s="17"/>
      <c r="GN407" s="17"/>
      <c r="GO407" s="17"/>
      <c r="GP407" s="17"/>
      <c r="GQ407" s="17"/>
      <c r="GR407" s="17"/>
      <c r="GS407" s="17"/>
      <c r="GT407" s="17"/>
      <c r="GU407" s="17"/>
      <c r="GV407" s="17"/>
      <c r="GW407" s="17"/>
      <c r="GX407" s="17"/>
      <c r="GY407" s="17"/>
      <c r="GZ407" s="17"/>
      <c r="HA407" s="17"/>
      <c r="HB407" s="17"/>
      <c r="HC407" s="17"/>
      <c r="HD407" s="17"/>
      <c r="HE407" s="17"/>
      <c r="HF407" s="17"/>
      <c r="HG407" s="17"/>
      <c r="HH407" s="17"/>
      <c r="HI407" s="17"/>
      <c r="HJ407" s="17"/>
      <c r="HK407" s="17"/>
      <c r="HL407" s="17"/>
      <c r="HM407" s="17"/>
      <c r="HN407" s="17"/>
      <c r="HO407" s="17"/>
      <c r="HP407" s="17"/>
      <c r="HQ407" s="17"/>
      <c r="HR407" s="17"/>
      <c r="HS407" s="17"/>
      <c r="HT407" s="17"/>
      <c r="HU407" s="17"/>
      <c r="HV407" s="17"/>
      <c r="HW407" s="17"/>
      <c r="HX407" s="17"/>
      <c r="HY407" s="17"/>
      <c r="HZ407" s="17"/>
      <c r="IA407" s="17"/>
      <c r="IB407" s="17"/>
      <c r="IC407" s="17"/>
      <c r="ID407" s="17"/>
      <c r="IE407" s="17"/>
      <c r="IF407" s="17"/>
      <c r="IG407" s="17"/>
      <c r="IH407" s="17"/>
      <c r="II407" s="17"/>
      <c r="IJ407" s="17"/>
      <c r="IK407" s="17"/>
      <c r="IL407" s="17"/>
      <c r="IM407" s="17"/>
      <c r="IN407" s="17"/>
      <c r="IO407" s="17"/>
      <c r="IP407" s="17"/>
      <c r="IQ407" s="17"/>
      <c r="IR407" s="17"/>
      <c r="IS407" s="17"/>
      <c r="IT407" s="17"/>
      <c r="IU407" s="17"/>
      <c r="IV407" s="17"/>
      <c r="IW407" s="17"/>
      <c r="IX407" s="17"/>
      <c r="IY407" s="17"/>
      <c r="IZ407" s="17"/>
      <c r="JA407" s="17"/>
      <c r="JB407" s="17"/>
      <c r="JC407" s="17"/>
      <c r="JD407" s="17"/>
      <c r="JE407" s="17"/>
      <c r="JF407" s="17"/>
      <c r="JG407" s="17"/>
      <c r="JH407" s="17"/>
      <c r="JI407" s="17"/>
      <c r="JJ407" s="17"/>
      <c r="JK407" s="17"/>
      <c r="JL407" s="17"/>
      <c r="JM407" s="17"/>
      <c r="JN407" s="17"/>
      <c r="JO407" s="17"/>
      <c r="JP407" s="17"/>
      <c r="JQ407" s="17"/>
      <c r="JR407" s="17"/>
      <c r="JS407" s="17"/>
      <c r="JT407" s="17"/>
      <c r="JU407" s="17"/>
      <c r="JV407" s="17"/>
      <c r="JW407" s="17"/>
      <c r="JX407" s="17"/>
      <c r="JY407" s="17"/>
      <c r="JZ407" s="17"/>
      <c r="KA407" s="17"/>
      <c r="KB407" s="17"/>
      <c r="KC407" s="17"/>
      <c r="KD407" s="17"/>
      <c r="KE407" s="17"/>
      <c r="KF407" s="17"/>
      <c r="KG407" s="17"/>
      <c r="KH407" s="17"/>
      <c r="KI407" s="17"/>
      <c r="KJ407" s="17"/>
      <c r="KK407" s="17"/>
      <c r="KL407" s="17"/>
      <c r="KM407" s="17"/>
      <c r="KN407" s="17"/>
      <c r="KO407" s="17"/>
      <c r="KP407" s="17"/>
      <c r="KQ407" s="17"/>
      <c r="KR407" s="17"/>
      <c r="KS407" s="17"/>
      <c r="KT407" s="17"/>
      <c r="KU407" s="17"/>
      <c r="KV407" s="17"/>
      <c r="KW407" s="17"/>
      <c r="KX407" s="17"/>
      <c r="KY407" s="17"/>
    </row>
    <row r="408" spans="1:311" x14ac:dyDescent="0.25">
      <c r="A408" s="17"/>
      <c r="B408" s="17"/>
      <c r="C408" s="17"/>
      <c r="D408" s="17"/>
      <c r="E408" s="17"/>
      <c r="F408" s="17"/>
      <c r="G408" s="17"/>
      <c r="H408" s="17"/>
      <c r="I408" s="17"/>
      <c r="J408" s="17"/>
      <c r="K408" s="17"/>
      <c r="L408" s="17"/>
      <c r="M408" s="17"/>
      <c r="N408" s="17"/>
      <c r="O408" s="17"/>
      <c r="P408" s="17"/>
      <c r="Q408" s="17"/>
      <c r="R408" s="17"/>
      <c r="S408" s="17"/>
      <c r="T408" s="17"/>
      <c r="U408" s="17"/>
      <c r="V408" s="17"/>
      <c r="W408" s="17"/>
      <c r="X408" s="17"/>
      <c r="Y408" s="17"/>
      <c r="Z408" s="17"/>
      <c r="AA408" s="17"/>
      <c r="AB408" s="17"/>
      <c r="AC408" s="17"/>
      <c r="AD408" s="17"/>
      <c r="AE408" s="17"/>
      <c r="AF408" s="17"/>
      <c r="AG408" s="17"/>
      <c r="AH408" s="17"/>
      <c r="AI408" s="17"/>
      <c r="AJ408" s="17"/>
      <c r="AK408" s="17"/>
      <c r="AL408" s="17"/>
      <c r="AM408" s="17"/>
      <c r="AN408" s="17"/>
      <c r="AO408" s="17"/>
      <c r="AP408" s="17"/>
      <c r="AQ408" s="17"/>
      <c r="AR408" s="17"/>
      <c r="AS408" s="17"/>
      <c r="AT408" s="17"/>
      <c r="AU408" s="17"/>
      <c r="AV408" s="17"/>
      <c r="AW408" s="17"/>
      <c r="AX408" s="17"/>
      <c r="AY408" s="17"/>
      <c r="AZ408" s="17"/>
      <c r="BA408" s="17"/>
      <c r="BB408" s="17"/>
      <c r="BC408" s="17"/>
      <c r="BD408" s="17"/>
      <c r="BE408" s="17"/>
      <c r="BF408" s="17"/>
      <c r="BG408" s="17"/>
      <c r="BH408" s="17"/>
      <c r="BI408" s="17"/>
      <c r="BJ408" s="17"/>
      <c r="BK408" s="17"/>
      <c r="BL408" s="17"/>
      <c r="BM408" s="17"/>
      <c r="BN408" s="17"/>
      <c r="BO408" s="17"/>
      <c r="BP408" s="17"/>
      <c r="BQ408" s="17"/>
      <c r="BR408" s="17"/>
      <c r="BS408" s="17"/>
      <c r="BT408" s="17"/>
      <c r="BU408" s="17"/>
      <c r="BV408" s="17"/>
      <c r="BW408" s="17"/>
      <c r="BX408" s="17"/>
      <c r="BY408" s="17"/>
      <c r="BZ408" s="17"/>
      <c r="CA408" s="17"/>
      <c r="CB408" s="17"/>
      <c r="CC408" s="17"/>
      <c r="CD408" s="17"/>
      <c r="CE408" s="17"/>
      <c r="CF408" s="17"/>
      <c r="CG408" s="17"/>
      <c r="CH408" s="17"/>
      <c r="CI408" s="17"/>
      <c r="CJ408" s="17"/>
      <c r="CK408" s="17"/>
      <c r="CL408" s="17"/>
      <c r="CM408" s="17"/>
      <c r="CN408" s="17"/>
      <c r="CO408" s="17"/>
      <c r="CP408" s="17"/>
      <c r="CQ408" s="17"/>
      <c r="CR408" s="17"/>
      <c r="CS408" s="17"/>
      <c r="CT408" s="17"/>
      <c r="CU408" s="17"/>
      <c r="CV408" s="17"/>
      <c r="CW408" s="17"/>
      <c r="CX408" s="17"/>
      <c r="CY408" s="17"/>
      <c r="CZ408" s="17"/>
      <c r="DA408" s="17"/>
      <c r="DB408" s="17"/>
      <c r="DC408" s="17"/>
      <c r="DD408" s="17"/>
      <c r="DE408" s="17"/>
      <c r="DF408" s="17"/>
      <c r="DG408" s="17"/>
      <c r="DH408" s="17"/>
      <c r="DI408" s="17"/>
      <c r="DJ408" s="17"/>
      <c r="DK408" s="17"/>
      <c r="DL408" s="17"/>
      <c r="DM408" s="17"/>
      <c r="DN408" s="17"/>
      <c r="DO408" s="17"/>
      <c r="DP408" s="17"/>
      <c r="DQ408" s="17"/>
      <c r="DR408" s="17"/>
      <c r="DS408" s="17"/>
      <c r="DT408" s="17"/>
      <c r="DU408" s="17"/>
      <c r="DV408" s="17"/>
      <c r="DW408" s="17"/>
      <c r="DX408" s="17"/>
      <c r="DY408" s="17"/>
      <c r="DZ408" s="17"/>
      <c r="EA408" s="17"/>
      <c r="EB408" s="17"/>
      <c r="EC408" s="17"/>
      <c r="ED408" s="17"/>
      <c r="EE408" s="17"/>
      <c r="EF408" s="17"/>
      <c r="EG408" s="17"/>
      <c r="EH408" s="17"/>
      <c r="EI408" s="17"/>
      <c r="EJ408" s="17"/>
      <c r="EK408" s="17"/>
      <c r="EL408" s="17"/>
      <c r="EM408" s="17"/>
      <c r="EN408" s="17"/>
      <c r="EO408" s="17"/>
      <c r="EP408" s="17"/>
      <c r="EQ408" s="17"/>
      <c r="ER408" s="17"/>
      <c r="ES408" s="17"/>
      <c r="ET408" s="17"/>
      <c r="EU408" s="17"/>
      <c r="EV408" s="17"/>
      <c r="EW408" s="17"/>
      <c r="EX408" s="17"/>
      <c r="EY408" s="17"/>
      <c r="EZ408" s="17"/>
      <c r="FA408" s="17"/>
      <c r="FB408" s="17"/>
      <c r="FC408" s="17"/>
      <c r="FD408" s="17"/>
      <c r="FE408" s="17"/>
      <c r="FF408" s="17"/>
      <c r="FG408" s="17"/>
      <c r="FH408" s="17"/>
      <c r="FI408" s="17"/>
      <c r="FJ408" s="17"/>
      <c r="FK408" s="17"/>
      <c r="FL408" s="17"/>
      <c r="FM408" s="17"/>
      <c r="FN408" s="17"/>
      <c r="FO408" s="17"/>
      <c r="FP408" s="17"/>
      <c r="FQ408" s="17"/>
      <c r="FR408" s="17"/>
      <c r="FS408" s="17"/>
      <c r="FT408" s="17"/>
      <c r="FU408" s="17"/>
      <c r="FV408" s="17"/>
      <c r="FW408" s="17"/>
      <c r="FX408" s="17"/>
      <c r="FY408" s="17"/>
      <c r="FZ408" s="17"/>
      <c r="GA408" s="17"/>
      <c r="GB408" s="17"/>
      <c r="GC408" s="17"/>
      <c r="GD408" s="17"/>
      <c r="GE408" s="17"/>
      <c r="GF408" s="17"/>
      <c r="GG408" s="17"/>
      <c r="GH408" s="17"/>
      <c r="GI408" s="17"/>
      <c r="GJ408" s="17"/>
      <c r="GK408" s="17"/>
      <c r="GL408" s="17"/>
      <c r="GM408" s="17"/>
      <c r="GN408" s="17"/>
      <c r="GO408" s="17"/>
      <c r="GP408" s="17"/>
      <c r="GQ408" s="17"/>
      <c r="GR408" s="17"/>
      <c r="GS408" s="17"/>
      <c r="GT408" s="17"/>
      <c r="GU408" s="17"/>
      <c r="GV408" s="17"/>
      <c r="GW408" s="17"/>
      <c r="GX408" s="17"/>
      <c r="GY408" s="17"/>
      <c r="GZ408" s="17"/>
      <c r="HA408" s="17"/>
      <c r="HB408" s="17"/>
      <c r="HC408" s="17"/>
      <c r="HD408" s="17"/>
      <c r="HE408" s="17"/>
      <c r="HF408" s="17"/>
      <c r="HG408" s="17"/>
      <c r="HH408" s="17"/>
      <c r="HI408" s="17"/>
      <c r="HJ408" s="17"/>
      <c r="HK408" s="17"/>
      <c r="HL408" s="17"/>
      <c r="HM408" s="17"/>
      <c r="HN408" s="17"/>
      <c r="HO408" s="17"/>
      <c r="HP408" s="17"/>
      <c r="HQ408" s="17"/>
      <c r="HR408" s="17"/>
      <c r="HS408" s="17"/>
      <c r="HT408" s="17"/>
      <c r="HU408" s="17"/>
      <c r="HV408" s="17"/>
      <c r="HW408" s="17"/>
      <c r="HX408" s="17"/>
      <c r="HY408" s="17"/>
      <c r="HZ408" s="17"/>
      <c r="IA408" s="17"/>
      <c r="IB408" s="17"/>
      <c r="IC408" s="17"/>
      <c r="ID408" s="17"/>
      <c r="IE408" s="17"/>
      <c r="IF408" s="17"/>
      <c r="IG408" s="17"/>
      <c r="IH408" s="17"/>
      <c r="II408" s="17"/>
      <c r="IJ408" s="17"/>
      <c r="IK408" s="17"/>
      <c r="IL408" s="17"/>
      <c r="IM408" s="17"/>
      <c r="IN408" s="17"/>
      <c r="IO408" s="17"/>
      <c r="IP408" s="17"/>
      <c r="IQ408" s="17"/>
      <c r="IR408" s="17"/>
      <c r="IS408" s="17"/>
      <c r="IT408" s="17"/>
      <c r="IU408" s="17"/>
      <c r="IV408" s="17"/>
      <c r="IW408" s="17"/>
      <c r="IX408" s="17"/>
      <c r="IY408" s="17"/>
      <c r="IZ408" s="17"/>
      <c r="JA408" s="17"/>
      <c r="JB408" s="17"/>
      <c r="JC408" s="17"/>
      <c r="JD408" s="17"/>
      <c r="JE408" s="17"/>
      <c r="JF408" s="17"/>
      <c r="JG408" s="17"/>
      <c r="JH408" s="17"/>
      <c r="JI408" s="17"/>
      <c r="JJ408" s="17"/>
      <c r="JK408" s="17"/>
      <c r="JL408" s="17"/>
      <c r="JM408" s="17"/>
      <c r="JN408" s="17"/>
      <c r="JO408" s="17"/>
      <c r="JP408" s="17"/>
      <c r="JQ408" s="17"/>
      <c r="JR408" s="17"/>
      <c r="JS408" s="17"/>
      <c r="JT408" s="17"/>
      <c r="JU408" s="17"/>
      <c r="JV408" s="17"/>
      <c r="JW408" s="17"/>
      <c r="JX408" s="17"/>
      <c r="JY408" s="17"/>
      <c r="JZ408" s="17"/>
      <c r="KA408" s="17"/>
      <c r="KB408" s="17"/>
      <c r="KC408" s="17"/>
      <c r="KD408" s="17"/>
      <c r="KE408" s="17"/>
      <c r="KF408" s="17"/>
      <c r="KG408" s="17"/>
      <c r="KH408" s="17"/>
      <c r="KI408" s="17"/>
      <c r="KJ408" s="17"/>
      <c r="KK408" s="17"/>
      <c r="KL408" s="17"/>
      <c r="KM408" s="17"/>
      <c r="KN408" s="17"/>
      <c r="KO408" s="17"/>
      <c r="KP408" s="17"/>
      <c r="KQ408" s="17"/>
      <c r="KR408" s="17"/>
      <c r="KS408" s="17"/>
      <c r="KT408" s="17"/>
      <c r="KU408" s="17"/>
      <c r="KV408" s="17"/>
      <c r="KW408" s="17"/>
      <c r="KX408" s="17"/>
      <c r="KY408" s="17"/>
    </row>
    <row r="409" spans="1:311" x14ac:dyDescent="0.25">
      <c r="A409" s="17"/>
      <c r="B409" s="17"/>
      <c r="C409" s="17"/>
      <c r="D409" s="17"/>
      <c r="E409" s="17"/>
      <c r="F409" s="17"/>
      <c r="G409" s="17"/>
      <c r="H409" s="17"/>
      <c r="I409" s="17"/>
      <c r="J409" s="17"/>
      <c r="K409" s="17"/>
      <c r="L409" s="17"/>
      <c r="M409" s="17"/>
      <c r="N409" s="17"/>
      <c r="O409" s="17"/>
      <c r="P409" s="17"/>
      <c r="Q409" s="17"/>
      <c r="R409" s="17"/>
      <c r="S409" s="17"/>
      <c r="T409" s="17"/>
      <c r="U409" s="17"/>
      <c r="V409" s="17"/>
      <c r="W409" s="17"/>
      <c r="X409" s="17"/>
      <c r="Y409" s="17"/>
      <c r="Z409" s="17"/>
      <c r="AA409" s="17"/>
      <c r="AB409" s="17"/>
      <c r="AC409" s="17"/>
      <c r="AD409" s="17"/>
      <c r="AE409" s="17"/>
      <c r="AF409" s="17"/>
      <c r="AG409" s="17"/>
      <c r="AH409" s="17"/>
      <c r="AI409" s="17"/>
      <c r="AJ409" s="17"/>
      <c r="AK409" s="17"/>
      <c r="AL409" s="17"/>
      <c r="AM409" s="17"/>
      <c r="AN409" s="17"/>
      <c r="AO409" s="17"/>
      <c r="AP409" s="17"/>
      <c r="AQ409" s="17"/>
      <c r="AR409" s="17"/>
      <c r="AS409" s="17"/>
      <c r="AT409" s="17"/>
      <c r="AU409" s="17"/>
      <c r="AV409" s="17"/>
      <c r="AW409" s="17"/>
      <c r="AX409" s="17"/>
      <c r="AY409" s="17"/>
      <c r="AZ409" s="17"/>
      <c r="BA409" s="17"/>
      <c r="BB409" s="17"/>
      <c r="BC409" s="17"/>
      <c r="BD409" s="17"/>
      <c r="BE409" s="17"/>
      <c r="BF409" s="17"/>
      <c r="BG409" s="17"/>
      <c r="BH409" s="17"/>
      <c r="BI409" s="17"/>
      <c r="BJ409" s="17"/>
      <c r="BK409" s="17"/>
      <c r="BL409" s="17"/>
      <c r="BM409" s="17"/>
      <c r="BN409" s="17"/>
      <c r="BO409" s="17"/>
      <c r="BP409" s="17"/>
      <c r="BQ409" s="17"/>
      <c r="BR409" s="17"/>
      <c r="BS409" s="17"/>
      <c r="BT409" s="17"/>
      <c r="BU409" s="17"/>
      <c r="BV409" s="17"/>
      <c r="BW409" s="17"/>
      <c r="BX409" s="17"/>
      <c r="BY409" s="17"/>
      <c r="BZ409" s="17"/>
      <c r="CA409" s="17"/>
      <c r="CB409" s="17"/>
      <c r="CC409" s="17"/>
      <c r="CD409" s="17"/>
      <c r="CE409" s="17"/>
      <c r="CF409" s="17"/>
      <c r="CG409" s="17"/>
      <c r="CH409" s="17"/>
      <c r="CI409" s="17"/>
      <c r="CJ409" s="17"/>
      <c r="CK409" s="17"/>
      <c r="CL409" s="17"/>
      <c r="CM409" s="17"/>
      <c r="CN409" s="17"/>
      <c r="CO409" s="17"/>
      <c r="CP409" s="17"/>
      <c r="CQ409" s="17"/>
      <c r="CR409" s="17"/>
      <c r="CS409" s="17"/>
      <c r="CT409" s="17"/>
      <c r="CU409" s="17"/>
      <c r="CV409" s="17"/>
      <c r="CW409" s="17"/>
      <c r="CX409" s="17"/>
      <c r="CY409" s="17"/>
      <c r="CZ409" s="17"/>
      <c r="DA409" s="17"/>
      <c r="DB409" s="17"/>
      <c r="DC409" s="17"/>
      <c r="DD409" s="17"/>
      <c r="DE409" s="17"/>
      <c r="DF409" s="17"/>
      <c r="DG409" s="17"/>
      <c r="DH409" s="17"/>
      <c r="DI409" s="17"/>
      <c r="DJ409" s="17"/>
      <c r="DK409" s="17"/>
      <c r="DL409" s="17"/>
      <c r="DM409" s="17"/>
      <c r="DN409" s="17"/>
      <c r="DO409" s="17"/>
      <c r="DP409" s="17"/>
      <c r="DQ409" s="17"/>
      <c r="DR409" s="17"/>
      <c r="DS409" s="17"/>
      <c r="DT409" s="17"/>
      <c r="DU409" s="17"/>
      <c r="DV409" s="17"/>
      <c r="DW409" s="17"/>
      <c r="DX409" s="17"/>
      <c r="DY409" s="17"/>
      <c r="DZ409" s="17"/>
      <c r="EA409" s="17"/>
      <c r="EB409" s="17"/>
      <c r="EC409" s="17"/>
      <c r="ED409" s="17"/>
      <c r="EE409" s="17"/>
      <c r="EF409" s="17"/>
      <c r="EG409" s="17"/>
      <c r="EH409" s="17"/>
      <c r="EI409" s="17"/>
      <c r="EJ409" s="17"/>
      <c r="EK409" s="17"/>
      <c r="EL409" s="17"/>
      <c r="EM409" s="17"/>
      <c r="EN409" s="17"/>
      <c r="EO409" s="17"/>
      <c r="EP409" s="17"/>
      <c r="EQ409" s="17"/>
      <c r="ER409" s="17"/>
      <c r="ES409" s="17"/>
      <c r="ET409" s="17"/>
      <c r="EU409" s="17"/>
      <c r="EV409" s="17"/>
      <c r="EW409" s="17"/>
      <c r="EX409" s="17"/>
      <c r="EY409" s="17"/>
      <c r="EZ409" s="17"/>
      <c r="FA409" s="17"/>
      <c r="FB409" s="17"/>
      <c r="FC409" s="17"/>
      <c r="FD409" s="17"/>
      <c r="FE409" s="17"/>
      <c r="FF409" s="17"/>
      <c r="FG409" s="17"/>
      <c r="FH409" s="17"/>
      <c r="FI409" s="17"/>
      <c r="FJ409" s="17"/>
      <c r="FK409" s="17"/>
      <c r="FL409" s="17"/>
      <c r="FM409" s="17"/>
      <c r="FN409" s="17"/>
      <c r="FO409" s="17"/>
      <c r="FP409" s="17"/>
      <c r="FQ409" s="17"/>
      <c r="FR409" s="17"/>
      <c r="FS409" s="17"/>
      <c r="FT409" s="17"/>
      <c r="FU409" s="17"/>
      <c r="FV409" s="17"/>
      <c r="FW409" s="17"/>
      <c r="FX409" s="17"/>
      <c r="FY409" s="17"/>
      <c r="FZ409" s="17"/>
      <c r="GA409" s="17"/>
      <c r="GB409" s="17"/>
      <c r="GC409" s="17"/>
      <c r="GD409" s="17"/>
      <c r="GE409" s="17"/>
      <c r="GF409" s="17"/>
      <c r="GG409" s="17"/>
      <c r="GH409" s="17"/>
      <c r="GI409" s="17"/>
      <c r="GJ409" s="17"/>
      <c r="GK409" s="17"/>
      <c r="GL409" s="17"/>
      <c r="GM409" s="17"/>
      <c r="GN409" s="17"/>
      <c r="GO409" s="17"/>
      <c r="GP409" s="17"/>
      <c r="GQ409" s="17"/>
      <c r="GR409" s="17"/>
      <c r="GS409" s="17"/>
      <c r="GT409" s="17"/>
      <c r="GU409" s="17"/>
      <c r="GV409" s="17"/>
      <c r="GW409" s="17"/>
      <c r="GX409" s="17"/>
      <c r="GY409" s="17"/>
      <c r="GZ409" s="17"/>
      <c r="HA409" s="17"/>
      <c r="HB409" s="17"/>
      <c r="HC409" s="17"/>
      <c r="HD409" s="17"/>
      <c r="HE409" s="17"/>
      <c r="HF409" s="17"/>
      <c r="HG409" s="17"/>
      <c r="HH409" s="17"/>
      <c r="HI409" s="17"/>
      <c r="HJ409" s="17"/>
      <c r="HK409" s="17"/>
      <c r="HL409" s="17"/>
      <c r="HM409" s="17"/>
      <c r="HN409" s="17"/>
      <c r="HO409" s="17"/>
      <c r="HP409" s="17"/>
      <c r="HQ409" s="17"/>
      <c r="HR409" s="17"/>
      <c r="HS409" s="17"/>
      <c r="HT409" s="17"/>
      <c r="HU409" s="17"/>
      <c r="HV409" s="17"/>
      <c r="HW409" s="17"/>
      <c r="HX409" s="17"/>
      <c r="HY409" s="17"/>
      <c r="HZ409" s="17"/>
      <c r="IA409" s="17"/>
      <c r="IB409" s="17"/>
      <c r="IC409" s="17"/>
      <c r="ID409" s="17"/>
      <c r="IE409" s="17"/>
      <c r="IF409" s="17"/>
      <c r="IG409" s="17"/>
      <c r="IH409" s="17"/>
      <c r="II409" s="17"/>
      <c r="IJ409" s="17"/>
      <c r="IK409" s="17"/>
      <c r="IL409" s="17"/>
      <c r="IM409" s="17"/>
      <c r="IN409" s="17"/>
      <c r="IO409" s="17"/>
      <c r="IP409" s="17"/>
      <c r="IQ409" s="17"/>
      <c r="IR409" s="17"/>
      <c r="IS409" s="17"/>
      <c r="IT409" s="17"/>
      <c r="IU409" s="17"/>
      <c r="IV409" s="17"/>
      <c r="IW409" s="17"/>
      <c r="IX409" s="17"/>
      <c r="IY409" s="17"/>
      <c r="IZ409" s="17"/>
      <c r="JA409" s="17"/>
      <c r="JB409" s="17"/>
      <c r="JC409" s="17"/>
      <c r="JD409" s="17"/>
      <c r="JE409" s="17"/>
      <c r="JF409" s="17"/>
      <c r="JG409" s="17"/>
      <c r="JH409" s="17"/>
      <c r="JI409" s="17"/>
      <c r="JJ409" s="17"/>
      <c r="JK409" s="17"/>
      <c r="JL409" s="17"/>
      <c r="JM409" s="17"/>
      <c r="JN409" s="17"/>
      <c r="JO409" s="17"/>
      <c r="JP409" s="17"/>
      <c r="JQ409" s="17"/>
      <c r="JR409" s="17"/>
      <c r="JS409" s="17"/>
      <c r="JT409" s="17"/>
      <c r="JU409" s="17"/>
      <c r="JV409" s="17"/>
      <c r="JW409" s="17"/>
      <c r="JX409" s="17"/>
      <c r="JY409" s="17"/>
      <c r="JZ409" s="17"/>
      <c r="KA409" s="17"/>
      <c r="KB409" s="17"/>
      <c r="KC409" s="17"/>
      <c r="KD409" s="17"/>
      <c r="KE409" s="17"/>
      <c r="KF409" s="17"/>
      <c r="KG409" s="17"/>
      <c r="KH409" s="17"/>
      <c r="KI409" s="17"/>
      <c r="KJ409" s="17"/>
      <c r="KK409" s="17"/>
      <c r="KL409" s="17"/>
      <c r="KM409" s="17"/>
      <c r="KN409" s="17"/>
      <c r="KO409" s="17"/>
      <c r="KP409" s="17"/>
      <c r="KQ409" s="17"/>
      <c r="KR409" s="17"/>
      <c r="KS409" s="17"/>
      <c r="KT409" s="17"/>
      <c r="KU409" s="17"/>
      <c r="KV409" s="17"/>
      <c r="KW409" s="17"/>
      <c r="KX409" s="17"/>
      <c r="KY409" s="17"/>
    </row>
  </sheetData>
  <mergeCells count="22">
    <mergeCell ref="A1:N4"/>
    <mergeCell ref="A14:H14"/>
    <mergeCell ref="A19:N21"/>
    <mergeCell ref="I5:N16"/>
    <mergeCell ref="E9:H9"/>
    <mergeCell ref="E10:H10"/>
    <mergeCell ref="E11:H11"/>
    <mergeCell ref="E13:H13"/>
    <mergeCell ref="C9:D9"/>
    <mergeCell ref="C10:D10"/>
    <mergeCell ref="C11:D11"/>
    <mergeCell ref="C12:D12"/>
    <mergeCell ref="A16:H16"/>
    <mergeCell ref="A8:H8"/>
    <mergeCell ref="A17:N17"/>
    <mergeCell ref="A18:N18"/>
    <mergeCell ref="A6:H6"/>
    <mergeCell ref="A7:H7"/>
    <mergeCell ref="A5:H5"/>
    <mergeCell ref="C13:D13"/>
    <mergeCell ref="A15:H15"/>
    <mergeCell ref="E12:H12"/>
  </mergeCells>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26BE8-A283-4E34-B180-4451135018A6}">
  <dimension ref="A1:Y97"/>
  <sheetViews>
    <sheetView topLeftCell="B1" zoomScale="89" zoomScaleNormal="89" workbookViewId="0">
      <selection activeCell="B81" sqref="B81"/>
    </sheetView>
  </sheetViews>
  <sheetFormatPr defaultRowHeight="15" x14ac:dyDescent="0.25"/>
  <cols>
    <col min="1" max="1" width="13.42578125" customWidth="1"/>
    <col min="2" max="2" width="86.42578125" customWidth="1"/>
    <col min="3" max="3" width="34.7109375" customWidth="1"/>
    <col min="4" max="4" width="35.5703125" customWidth="1"/>
    <col min="5" max="5" width="29.42578125" customWidth="1"/>
    <col min="6" max="6" width="38.85546875" customWidth="1"/>
    <col min="7" max="7" width="30.28515625" customWidth="1"/>
    <col min="8" max="8" width="30.140625" customWidth="1"/>
    <col min="9" max="9" width="28.42578125" customWidth="1"/>
    <col min="10" max="10" width="20.5703125" customWidth="1"/>
    <col min="11" max="11" width="30.28515625" customWidth="1"/>
    <col min="12" max="12" width="24.85546875" customWidth="1"/>
    <col min="13" max="13" width="23.5703125" customWidth="1"/>
    <col min="14" max="14" width="25.42578125" customWidth="1"/>
    <col min="15" max="15" width="18.7109375" customWidth="1"/>
    <col min="16" max="17" width="23.42578125" customWidth="1"/>
    <col min="18" max="18" width="14.5703125" customWidth="1"/>
    <col min="19" max="19" width="21.140625" customWidth="1"/>
    <col min="20" max="20" width="22.85546875" customWidth="1"/>
    <col min="21" max="21" width="20" customWidth="1"/>
    <col min="22" max="22" width="15.140625" customWidth="1"/>
    <col min="23" max="23" width="13.42578125" customWidth="1"/>
    <col min="24" max="24" width="20.42578125" customWidth="1"/>
    <col min="25" max="25" width="14.5703125" customWidth="1"/>
  </cols>
  <sheetData>
    <row r="1" spans="1:22" ht="15.75" thickBot="1" x14ac:dyDescent="0.3"/>
    <row r="2" spans="1:22" ht="51" customHeight="1" thickBot="1" x14ac:dyDescent="0.3">
      <c r="A2" s="230"/>
      <c r="B2" s="2511" t="s">
        <v>1178</v>
      </c>
      <c r="C2" s="2512"/>
      <c r="D2" s="2512"/>
      <c r="E2" s="2512"/>
      <c r="F2" s="2512"/>
      <c r="G2" s="2513"/>
      <c r="H2" s="230"/>
      <c r="I2" s="230"/>
      <c r="J2" s="230"/>
      <c r="K2" s="230"/>
      <c r="L2" s="230"/>
      <c r="M2" s="230"/>
      <c r="N2" s="230"/>
      <c r="O2" s="230"/>
      <c r="P2" s="230"/>
      <c r="Q2" s="230"/>
      <c r="R2" s="230"/>
      <c r="S2" s="230"/>
      <c r="T2" s="230"/>
      <c r="U2" s="230"/>
      <c r="V2" s="230"/>
    </row>
    <row r="3" spans="1:22" ht="15.75" thickBot="1" x14ac:dyDescent="0.3">
      <c r="A3" s="230"/>
      <c r="B3" s="230"/>
      <c r="C3" s="230"/>
      <c r="D3" s="230"/>
      <c r="E3" s="230"/>
      <c r="F3" s="230"/>
      <c r="G3" s="230"/>
      <c r="H3" s="230"/>
      <c r="I3" s="230"/>
      <c r="J3" s="230"/>
      <c r="K3" s="230"/>
      <c r="L3" s="230"/>
      <c r="M3" s="230"/>
      <c r="N3" s="230"/>
      <c r="O3" s="230"/>
      <c r="P3" s="230"/>
      <c r="Q3" s="230"/>
      <c r="R3" s="230"/>
      <c r="S3" s="230"/>
      <c r="T3" s="230"/>
      <c r="U3" s="230"/>
      <c r="V3" s="230"/>
    </row>
    <row r="4" spans="1:22" ht="117.75" customHeight="1" thickBot="1" x14ac:dyDescent="0.3">
      <c r="A4" s="230"/>
      <c r="B4" s="2514" t="s">
        <v>1138</v>
      </c>
      <c r="C4" s="2515"/>
      <c r="D4" s="2515"/>
      <c r="E4" s="2516"/>
      <c r="F4" s="1360" t="s">
        <v>1139</v>
      </c>
      <c r="G4" s="1360" t="s">
        <v>1140</v>
      </c>
      <c r="H4" s="246"/>
      <c r="I4" s="230"/>
      <c r="J4" s="230"/>
      <c r="K4" s="230"/>
      <c r="L4" s="230"/>
      <c r="M4" s="230"/>
      <c r="N4" s="230"/>
      <c r="O4" s="230"/>
      <c r="P4" s="230"/>
      <c r="Q4" s="230"/>
      <c r="R4" s="230"/>
      <c r="S4" s="230"/>
      <c r="T4" s="230"/>
      <c r="U4" s="230"/>
      <c r="V4" s="230"/>
    </row>
    <row r="5" spans="1:22" ht="21.75" thickBot="1" x14ac:dyDescent="0.3">
      <c r="A5" s="230"/>
      <c r="B5" s="939" t="s">
        <v>13</v>
      </c>
      <c r="C5" s="940" t="s">
        <v>0</v>
      </c>
      <c r="D5" s="940" t="s">
        <v>10</v>
      </c>
      <c r="E5" s="941" t="s">
        <v>1292</v>
      </c>
      <c r="F5" s="487" t="s">
        <v>14</v>
      </c>
      <c r="G5" s="1423" t="s">
        <v>1398</v>
      </c>
      <c r="H5" s="1294"/>
      <c r="I5" s="3"/>
      <c r="J5" s="230"/>
      <c r="K5" s="230"/>
      <c r="L5" s="230"/>
      <c r="M5" s="230"/>
      <c r="N5" s="230"/>
      <c r="O5" s="230"/>
      <c r="P5" s="230"/>
      <c r="Q5" s="230"/>
      <c r="R5" s="230"/>
      <c r="S5" s="230"/>
      <c r="T5" s="230"/>
      <c r="U5" s="230"/>
      <c r="V5" s="230"/>
    </row>
    <row r="6" spans="1:22" ht="18.75" x14ac:dyDescent="0.3">
      <c r="A6" s="230"/>
      <c r="B6" s="477" t="s">
        <v>729</v>
      </c>
      <c r="C6" s="475"/>
      <c r="D6" s="475"/>
      <c r="E6" s="476"/>
      <c r="F6" s="423"/>
      <c r="G6" s="476"/>
      <c r="H6" s="1295"/>
      <c r="I6" s="3"/>
      <c r="J6" s="230"/>
      <c r="K6" s="230"/>
      <c r="L6" s="230"/>
      <c r="M6" s="230"/>
      <c r="N6" s="230"/>
      <c r="O6" s="230"/>
      <c r="P6" s="230"/>
      <c r="Q6" s="230"/>
      <c r="R6" s="230"/>
      <c r="S6" s="230"/>
      <c r="T6" s="230"/>
      <c r="U6" s="230"/>
      <c r="V6" s="230"/>
    </row>
    <row r="7" spans="1:22" ht="18.75" x14ac:dyDescent="0.3">
      <c r="A7" s="230"/>
      <c r="B7" s="319" t="s">
        <v>1534</v>
      </c>
      <c r="C7" s="1292" t="s">
        <v>74</v>
      </c>
      <c r="D7" s="466">
        <f>(0.0411/0.0411)*0.5</f>
        <v>0.5</v>
      </c>
      <c r="E7" s="2357">
        <f>D7*D8*0.5</f>
        <v>75872.146118721474</v>
      </c>
      <c r="F7" s="2500">
        <f>(D8*365*D7*911*0.5)/(0.3047*0.3047*0.3047)</f>
        <v>891818028272.08032</v>
      </c>
      <c r="G7" s="2490">
        <f>(F7*0.2925)/3412</f>
        <v>76452747.148178041</v>
      </c>
      <c r="H7" s="496"/>
      <c r="I7" s="3"/>
      <c r="J7" s="230"/>
      <c r="K7" s="230"/>
      <c r="L7" s="230"/>
      <c r="M7" s="230"/>
      <c r="N7" s="230"/>
      <c r="O7" s="230"/>
      <c r="P7" s="230"/>
      <c r="Q7" s="230"/>
      <c r="R7" s="230"/>
      <c r="S7" s="230"/>
      <c r="T7" s="230"/>
      <c r="U7" s="230"/>
      <c r="V7" s="230"/>
    </row>
    <row r="8" spans="1:22" ht="19.5" thickBot="1" x14ac:dyDescent="0.35">
      <c r="A8" s="230"/>
      <c r="B8" s="960" t="s">
        <v>9</v>
      </c>
      <c r="C8" s="1002" t="s">
        <v>11</v>
      </c>
      <c r="D8" s="468">
        <f>('Waste Mass Calculations'!I8*2000)/(365)</f>
        <v>303488.58447488589</v>
      </c>
      <c r="E8" s="2508"/>
      <c r="F8" s="2501"/>
      <c r="G8" s="2491"/>
      <c r="H8" s="348"/>
      <c r="I8" s="3"/>
      <c r="J8" s="230"/>
      <c r="K8" s="230"/>
      <c r="L8" s="230"/>
      <c r="M8" s="230"/>
      <c r="N8" s="230"/>
      <c r="O8" s="230"/>
      <c r="P8" s="230"/>
      <c r="Q8" s="230"/>
      <c r="R8" s="230"/>
      <c r="S8" s="230"/>
      <c r="T8" s="230"/>
      <c r="U8" s="230"/>
      <c r="V8" s="230"/>
    </row>
    <row r="9" spans="1:22" ht="54.75" customHeight="1" x14ac:dyDescent="0.3">
      <c r="A9" s="230"/>
      <c r="B9" s="478" t="s">
        <v>493</v>
      </c>
      <c r="C9" s="475"/>
      <c r="D9" s="467"/>
      <c r="E9" s="484"/>
      <c r="F9" s="413"/>
      <c r="G9" s="489"/>
      <c r="H9" s="486"/>
      <c r="I9" s="3"/>
      <c r="J9" s="230"/>
      <c r="K9" s="230"/>
      <c r="L9" s="230"/>
      <c r="M9" s="230"/>
      <c r="N9" s="230"/>
      <c r="O9" s="230"/>
      <c r="P9" s="230"/>
      <c r="Q9" s="230"/>
      <c r="R9" s="230"/>
      <c r="S9" s="230"/>
      <c r="T9" s="230"/>
      <c r="U9" s="230"/>
      <c r="V9" s="230"/>
    </row>
    <row r="10" spans="1:22" ht="18.75" x14ac:dyDescent="0.3">
      <c r="A10" s="230"/>
      <c r="B10" s="319" t="s">
        <v>1534</v>
      </c>
      <c r="C10" s="1292" t="s">
        <v>74</v>
      </c>
      <c r="D10" s="466">
        <f>(0.0411/0.0411)*0.5</f>
        <v>0.5</v>
      </c>
      <c r="E10" s="2479">
        <f>D10*D11*0.5</f>
        <v>0</v>
      </c>
      <c r="F10" s="2502">
        <f>(D11*365*911*D10*0.5)/(0.3047*0.3047*0.3047)</f>
        <v>0</v>
      </c>
      <c r="G10" s="2490">
        <f>(F10*0.2925)/3412</f>
        <v>0</v>
      </c>
      <c r="H10" s="496"/>
      <c r="I10" s="3"/>
      <c r="J10" s="230"/>
      <c r="K10" s="230"/>
      <c r="L10" s="230"/>
      <c r="M10" s="230"/>
      <c r="N10" s="230"/>
      <c r="O10" s="230"/>
      <c r="P10" s="230"/>
      <c r="Q10" s="230"/>
      <c r="R10" s="230"/>
      <c r="S10" s="230"/>
      <c r="T10" s="230"/>
      <c r="U10" s="230"/>
      <c r="V10" s="230"/>
    </row>
    <row r="11" spans="1:22" ht="19.5" thickBot="1" x14ac:dyDescent="0.35">
      <c r="A11" s="230"/>
      <c r="B11" s="960" t="s">
        <v>9</v>
      </c>
      <c r="C11" s="1002" t="s">
        <v>11</v>
      </c>
      <c r="D11" s="468">
        <f>'Waste Mass Calculations'!D12*(2000/1)*(1/365)</f>
        <v>0</v>
      </c>
      <c r="E11" s="2480"/>
      <c r="F11" s="2503"/>
      <c r="G11" s="2491"/>
      <c r="H11" s="348"/>
      <c r="I11" s="3"/>
      <c r="J11" s="230"/>
      <c r="K11" s="230"/>
      <c r="L11" s="230"/>
      <c r="M11" s="230"/>
      <c r="N11" s="230"/>
      <c r="O11" s="230"/>
      <c r="P11" s="230"/>
      <c r="Q11" s="230"/>
      <c r="R11" s="230"/>
      <c r="S11" s="230"/>
      <c r="T11" s="230"/>
      <c r="U11" s="230"/>
      <c r="V11" s="230"/>
    </row>
    <row r="12" spans="1:22" ht="60.75" customHeight="1" x14ac:dyDescent="0.3">
      <c r="A12" s="230"/>
      <c r="B12" s="478" t="s">
        <v>494</v>
      </c>
      <c r="C12" s="475"/>
      <c r="D12" s="467"/>
      <c r="E12" s="189"/>
      <c r="F12" s="413"/>
      <c r="G12" s="489"/>
      <c r="H12" s="1297"/>
      <c r="I12" s="3"/>
      <c r="J12" s="230"/>
      <c r="K12" s="230"/>
      <c r="L12" s="230"/>
      <c r="M12" s="230"/>
      <c r="N12" s="230"/>
      <c r="O12" s="230"/>
      <c r="P12" s="230"/>
      <c r="Q12" s="230"/>
      <c r="R12" s="230"/>
      <c r="S12" s="230"/>
      <c r="T12" s="230"/>
      <c r="U12" s="230"/>
      <c r="V12" s="230"/>
    </row>
    <row r="13" spans="1:22" ht="18.75" x14ac:dyDescent="0.3">
      <c r="A13" s="230"/>
      <c r="B13" s="319" t="s">
        <v>1534</v>
      </c>
      <c r="C13" s="1292" t="s">
        <v>74</v>
      </c>
      <c r="D13" s="466">
        <f>(0.0411/0.0411)*0.5</f>
        <v>0.5</v>
      </c>
      <c r="E13" s="2498">
        <f>D13*D14*0.5</f>
        <v>0</v>
      </c>
      <c r="F13" s="2504">
        <f>(D14*D13*365*911*0.5)/(0.3047*0.3047*0.3047)</f>
        <v>0</v>
      </c>
      <c r="G13" s="2490">
        <f>(F13*0.2925)/3412</f>
        <v>0</v>
      </c>
      <c r="H13" s="496"/>
      <c r="I13" s="3"/>
      <c r="J13" s="230"/>
      <c r="K13" s="230"/>
      <c r="L13" s="230"/>
      <c r="M13" s="230"/>
      <c r="N13" s="230"/>
      <c r="O13" s="230"/>
      <c r="P13" s="230"/>
      <c r="Q13" s="230"/>
      <c r="R13" s="230"/>
      <c r="S13" s="230"/>
      <c r="T13" s="230"/>
      <c r="U13" s="230"/>
      <c r="V13" s="230"/>
    </row>
    <row r="14" spans="1:22" ht="19.5" thickBot="1" x14ac:dyDescent="0.35">
      <c r="A14" s="230"/>
      <c r="B14" s="960" t="s">
        <v>9</v>
      </c>
      <c r="C14" s="1002" t="s">
        <v>11</v>
      </c>
      <c r="D14" s="468">
        <f>'Waste Mass Calculations'!D14*(2000/1)*(1/365)</f>
        <v>0</v>
      </c>
      <c r="E14" s="2499"/>
      <c r="F14" s="2487"/>
      <c r="G14" s="2491"/>
      <c r="H14" s="348"/>
      <c r="I14" s="3"/>
      <c r="J14" s="230"/>
      <c r="K14" s="230"/>
      <c r="L14" s="230"/>
      <c r="M14" s="230"/>
      <c r="N14" s="230"/>
      <c r="O14" s="230"/>
      <c r="P14" s="230"/>
      <c r="Q14" s="230"/>
      <c r="R14" s="230"/>
      <c r="S14" s="230"/>
      <c r="T14" s="230"/>
      <c r="U14" s="230"/>
      <c r="V14" s="230"/>
    </row>
    <row r="15" spans="1:22" ht="51" customHeight="1" x14ac:dyDescent="0.3">
      <c r="A15" s="230"/>
      <c r="B15" s="478" t="s">
        <v>495</v>
      </c>
      <c r="C15" s="475"/>
      <c r="D15" s="467"/>
      <c r="E15" s="1298"/>
      <c r="F15" s="488"/>
      <c r="G15" s="489"/>
      <c r="H15" s="1297"/>
      <c r="I15" s="3"/>
      <c r="J15" s="230"/>
      <c r="K15" s="230"/>
      <c r="L15" s="230"/>
      <c r="M15" s="230"/>
      <c r="N15" s="230"/>
      <c r="O15" s="230"/>
      <c r="P15" s="230"/>
      <c r="Q15" s="230"/>
      <c r="R15" s="230"/>
      <c r="S15" s="230"/>
      <c r="T15" s="230"/>
      <c r="U15" s="230"/>
      <c r="V15" s="230"/>
    </row>
    <row r="16" spans="1:22" ht="18.75" x14ac:dyDescent="0.3">
      <c r="A16" s="230"/>
      <c r="B16" s="319" t="s">
        <v>1534</v>
      </c>
      <c r="C16" s="1292" t="s">
        <v>74</v>
      </c>
      <c r="D16" s="466">
        <f>(0.0411/0.0411)*0.5</f>
        <v>0.5</v>
      </c>
      <c r="E16" s="2498">
        <f>D16*D17*0.5</f>
        <v>0</v>
      </c>
      <c r="F16" s="2504">
        <f>(E16*365*D16*911*0.5)/(0.3047*0.3047*0.3047)</f>
        <v>0</v>
      </c>
      <c r="G16" s="2490">
        <f>(F16*0.2925)/3412</f>
        <v>0</v>
      </c>
      <c r="H16" s="1297"/>
      <c r="I16" s="3"/>
      <c r="J16" s="230"/>
      <c r="K16" s="230"/>
      <c r="L16" s="230"/>
      <c r="M16" s="230"/>
      <c r="N16" s="230"/>
      <c r="O16" s="230"/>
      <c r="P16" s="230"/>
      <c r="Q16" s="230"/>
      <c r="R16" s="230"/>
      <c r="S16" s="230"/>
      <c r="T16" s="230"/>
      <c r="U16" s="230"/>
      <c r="V16" s="230"/>
    </row>
    <row r="17" spans="1:22" ht="19.5" thickBot="1" x14ac:dyDescent="0.35">
      <c r="A17" s="230"/>
      <c r="B17" s="960" t="s">
        <v>9</v>
      </c>
      <c r="C17" s="1002" t="s">
        <v>11</v>
      </c>
      <c r="D17" s="468">
        <f>'Waste Mass Calculations'!D16*(2000/1)*(1/365)</f>
        <v>0</v>
      </c>
      <c r="E17" s="2499"/>
      <c r="F17" s="2487"/>
      <c r="G17" s="2491"/>
      <c r="H17" s="486"/>
      <c r="I17" s="3"/>
      <c r="J17" s="230"/>
      <c r="K17" s="230"/>
      <c r="L17" s="230"/>
      <c r="M17" s="230"/>
      <c r="N17" s="230"/>
      <c r="O17" s="230"/>
      <c r="P17" s="230"/>
      <c r="Q17" s="230"/>
      <c r="R17" s="230"/>
      <c r="S17" s="230"/>
      <c r="T17" s="230"/>
      <c r="U17" s="230"/>
      <c r="V17" s="230"/>
    </row>
    <row r="18" spans="1:22" s="230" customFormat="1" ht="18.75" x14ac:dyDescent="0.3">
      <c r="B18" s="1652" t="s">
        <v>1594</v>
      </c>
      <c r="C18" s="1653"/>
      <c r="D18" s="1654"/>
      <c r="E18" s="1607"/>
      <c r="F18" s="1605"/>
      <c r="G18" s="1604"/>
      <c r="H18" s="486"/>
      <c r="I18" s="3"/>
    </row>
    <row r="19" spans="1:22" s="230" customFormat="1" ht="18.75" x14ac:dyDescent="0.3">
      <c r="B19" s="319" t="s">
        <v>1534</v>
      </c>
      <c r="C19" s="1598" t="s">
        <v>74</v>
      </c>
      <c r="D19" s="466">
        <f>(0.0411/0.0411)*0.5</f>
        <v>0.5</v>
      </c>
      <c r="E19" s="2479">
        <f>D19*D20</f>
        <v>0</v>
      </c>
      <c r="F19" s="2481">
        <f>(E19*365*D19*911)/(0.3047*0.3047*0.3047)</f>
        <v>0</v>
      </c>
      <c r="G19" s="2483">
        <f>(F19*0.2925)/3412</f>
        <v>0</v>
      </c>
      <c r="H19" s="486"/>
      <c r="I19" s="3"/>
    </row>
    <row r="20" spans="1:22" s="230" customFormat="1" ht="19.5" thickBot="1" x14ac:dyDescent="0.35">
      <c r="B20" s="960" t="s">
        <v>9</v>
      </c>
      <c r="C20" s="1002" t="s">
        <v>11</v>
      </c>
      <c r="D20" s="468">
        <f>'Waste Mass Calculations'!D17*(2000/1)*(1/365)</f>
        <v>0</v>
      </c>
      <c r="E20" s="2480"/>
      <c r="F20" s="2482"/>
      <c r="G20" s="2484"/>
      <c r="H20" s="486"/>
      <c r="I20" s="3"/>
    </row>
    <row r="21" spans="1:22" ht="66" customHeight="1" x14ac:dyDescent="0.3">
      <c r="A21" s="230"/>
      <c r="B21" s="478" t="s">
        <v>1595</v>
      </c>
      <c r="C21" s="475"/>
      <c r="D21" s="467"/>
      <c r="E21" s="1298"/>
      <c r="F21" s="488"/>
      <c r="G21" s="489"/>
      <c r="H21" s="1297"/>
      <c r="I21" s="3"/>
      <c r="J21" s="230"/>
      <c r="K21" s="230"/>
      <c r="L21" s="230"/>
      <c r="M21" s="230"/>
      <c r="N21" s="230"/>
      <c r="O21" s="230"/>
      <c r="P21" s="230"/>
      <c r="Q21" s="230"/>
      <c r="R21" s="230"/>
      <c r="S21" s="230"/>
      <c r="T21" s="230"/>
      <c r="U21" s="230"/>
      <c r="V21" s="230"/>
    </row>
    <row r="22" spans="1:22" ht="18.75" x14ac:dyDescent="0.3">
      <c r="A22" s="230"/>
      <c r="B22" s="319" t="s">
        <v>1535</v>
      </c>
      <c r="C22" s="1292" t="s">
        <v>74</v>
      </c>
      <c r="D22" s="466">
        <f>(0.0411/0.0411)*0.5</f>
        <v>0.5</v>
      </c>
      <c r="E22" s="2498">
        <f>D22*D23*0.5</f>
        <v>0</v>
      </c>
      <c r="F22" s="2504">
        <f>(D23*365*911*D22*0.5)/(0.3047*0.3047*0.3047)</f>
        <v>0</v>
      </c>
      <c r="G22" s="2490">
        <f>(F22*0.2925)/3412</f>
        <v>0</v>
      </c>
      <c r="H22" s="1297"/>
      <c r="I22" s="3"/>
      <c r="J22" s="230"/>
      <c r="K22" s="230"/>
      <c r="L22" s="230"/>
      <c r="M22" s="230"/>
      <c r="N22" s="230"/>
      <c r="O22" s="230"/>
      <c r="P22" s="230"/>
      <c r="Q22" s="230"/>
      <c r="R22" s="230"/>
      <c r="S22" s="230"/>
      <c r="T22" s="230"/>
      <c r="U22" s="230"/>
      <c r="V22" s="230"/>
    </row>
    <row r="23" spans="1:22" ht="19.5" thickBot="1" x14ac:dyDescent="0.35">
      <c r="A23" s="230"/>
      <c r="B23" s="960" t="s">
        <v>9</v>
      </c>
      <c r="C23" s="1002" t="s">
        <v>11</v>
      </c>
      <c r="D23" s="468">
        <f>'Waste Mass Calculations'!D21*(2000/1)*(1/365)</f>
        <v>0</v>
      </c>
      <c r="E23" s="2499"/>
      <c r="F23" s="2487"/>
      <c r="G23" s="2491"/>
      <c r="H23" s="486"/>
      <c r="I23" s="3"/>
      <c r="J23" s="230"/>
      <c r="K23" s="230"/>
      <c r="L23" s="230"/>
      <c r="M23" s="230"/>
      <c r="N23" s="230"/>
      <c r="O23" s="230"/>
      <c r="P23" s="230"/>
      <c r="Q23" s="230"/>
      <c r="R23" s="230"/>
      <c r="S23" s="230"/>
      <c r="T23" s="230"/>
      <c r="U23" s="230"/>
      <c r="V23" s="230"/>
    </row>
    <row r="24" spans="1:22" ht="57" customHeight="1" x14ac:dyDescent="0.3">
      <c r="A24" s="230"/>
      <c r="B24" s="478" t="s">
        <v>1596</v>
      </c>
      <c r="C24" s="475"/>
      <c r="D24" s="467"/>
      <c r="E24" s="1298"/>
      <c r="F24" s="488"/>
      <c r="G24" s="489"/>
      <c r="H24" s="1297"/>
      <c r="I24" s="3"/>
      <c r="J24" s="230"/>
      <c r="K24" s="230"/>
      <c r="L24" s="230"/>
      <c r="M24" s="230"/>
      <c r="N24" s="230"/>
      <c r="O24" s="230"/>
      <c r="P24" s="230"/>
      <c r="Q24" s="230"/>
      <c r="R24" s="230"/>
      <c r="S24" s="230"/>
      <c r="T24" s="230"/>
      <c r="U24" s="230"/>
      <c r="V24" s="230"/>
    </row>
    <row r="25" spans="1:22" ht="18.75" x14ac:dyDescent="0.3">
      <c r="A25" s="230"/>
      <c r="B25" s="319" t="s">
        <v>1534</v>
      </c>
      <c r="C25" s="1292" t="s">
        <v>74</v>
      </c>
      <c r="D25" s="466">
        <f>(0.0411/0.0411)*0.5</f>
        <v>0.5</v>
      </c>
      <c r="E25" s="2498">
        <f>D25*D26*0.5</f>
        <v>0</v>
      </c>
      <c r="F25" s="2504">
        <f>(D26*365*911*D25*0.5)/(0.3047*0.3047*0.3047)</f>
        <v>0</v>
      </c>
      <c r="G25" s="2490">
        <f>(F25*0.2925)/3412</f>
        <v>0</v>
      </c>
      <c r="H25" s="348"/>
      <c r="I25" s="3"/>
      <c r="J25" s="230"/>
      <c r="K25" s="230"/>
      <c r="L25" s="230"/>
      <c r="M25" s="230"/>
      <c r="N25" s="230"/>
      <c r="O25" s="230"/>
      <c r="P25" s="230"/>
      <c r="Q25" s="230"/>
      <c r="R25" s="230"/>
      <c r="S25" s="230"/>
      <c r="T25" s="230"/>
      <c r="U25" s="230"/>
      <c r="V25" s="230"/>
    </row>
    <row r="26" spans="1:22" ht="19.5" thickBot="1" x14ac:dyDescent="0.35">
      <c r="A26" s="230"/>
      <c r="B26" s="960" t="s">
        <v>9</v>
      </c>
      <c r="C26" s="1002" t="s">
        <v>11</v>
      </c>
      <c r="D26" s="468">
        <f>'Waste Mass Calculations'!D23*(2000/1)*(1/365)</f>
        <v>0</v>
      </c>
      <c r="E26" s="2499"/>
      <c r="F26" s="2487"/>
      <c r="G26" s="2491"/>
      <c r="H26" s="348"/>
      <c r="I26" s="3"/>
      <c r="J26" s="230"/>
      <c r="K26" s="230"/>
      <c r="L26" s="230"/>
      <c r="M26" s="230"/>
      <c r="N26" s="230"/>
      <c r="O26" s="230"/>
      <c r="P26" s="230"/>
      <c r="Q26" s="230"/>
      <c r="R26" s="230"/>
      <c r="S26" s="230"/>
      <c r="T26" s="230"/>
      <c r="U26" s="230"/>
      <c r="V26" s="230"/>
    </row>
    <row r="27" spans="1:22" s="230" customFormat="1" ht="18.75" x14ac:dyDescent="0.3">
      <c r="B27" s="1652" t="s">
        <v>1598</v>
      </c>
      <c r="C27" s="1653"/>
      <c r="D27" s="1654"/>
      <c r="E27" s="1607"/>
      <c r="F27" s="1605"/>
      <c r="G27" s="1604"/>
      <c r="H27" s="348"/>
      <c r="I27" s="3"/>
    </row>
    <row r="28" spans="1:22" s="230" customFormat="1" ht="18.75" x14ac:dyDescent="0.3">
      <c r="B28" s="319" t="s">
        <v>1534</v>
      </c>
      <c r="C28" s="1598" t="s">
        <v>74</v>
      </c>
      <c r="D28" s="466">
        <f>(0.0411/0.0411)*0.5</f>
        <v>0.5</v>
      </c>
      <c r="E28" s="2479">
        <f>D28*D29</f>
        <v>0</v>
      </c>
      <c r="F28" s="2481">
        <f>(E28*365*D28*911)/(0.3047*0.3047*0.3047)</f>
        <v>0</v>
      </c>
      <c r="G28" s="2483">
        <f>(F28*0.2925)/3412</f>
        <v>0</v>
      </c>
      <c r="H28" s="348"/>
      <c r="I28" s="3"/>
    </row>
    <row r="29" spans="1:22" s="230" customFormat="1" ht="19.5" thickBot="1" x14ac:dyDescent="0.35">
      <c r="B29" s="960" t="s">
        <v>9</v>
      </c>
      <c r="C29" s="1002" t="s">
        <v>11</v>
      </c>
      <c r="D29" s="468">
        <f>'Waste Mass Calculations'!D24*(2000/1)*(1/365)</f>
        <v>0</v>
      </c>
      <c r="E29" s="2480"/>
      <c r="F29" s="2482"/>
      <c r="G29" s="2484"/>
      <c r="H29" s="348"/>
      <c r="I29" s="3"/>
    </row>
    <row r="30" spans="1:22" ht="40.5" customHeight="1" x14ac:dyDescent="0.3">
      <c r="A30" s="230"/>
      <c r="B30" s="478" t="s">
        <v>1597</v>
      </c>
      <c r="C30" s="475"/>
      <c r="D30" s="467"/>
      <c r="E30" s="1298"/>
      <c r="F30" s="488"/>
      <c r="G30" s="489"/>
      <c r="H30" s="486"/>
      <c r="I30" s="3"/>
      <c r="J30" s="230"/>
      <c r="K30" s="230"/>
      <c r="L30" s="230"/>
      <c r="M30" s="230"/>
      <c r="N30" s="230"/>
      <c r="O30" s="230"/>
      <c r="P30" s="230"/>
      <c r="Q30" s="230"/>
      <c r="R30" s="230"/>
      <c r="S30" s="230"/>
      <c r="T30" s="230"/>
      <c r="U30" s="230"/>
      <c r="V30" s="230"/>
    </row>
    <row r="31" spans="1:22" ht="18.75" x14ac:dyDescent="0.3">
      <c r="A31" s="230"/>
      <c r="B31" s="319" t="s">
        <v>1534</v>
      </c>
      <c r="C31" s="1292" t="s">
        <v>74</v>
      </c>
      <c r="D31" s="466">
        <f>(0.0411/0.0411)*0.5</f>
        <v>0.5</v>
      </c>
      <c r="E31" s="2498">
        <f>D31*D32*0.5</f>
        <v>0</v>
      </c>
      <c r="F31" s="2504">
        <f>(D32*365*911*D31*0.5)/(0.3047*0.3047*0.3047)</f>
        <v>0</v>
      </c>
      <c r="G31" s="2490">
        <f>(F31*0.2925)/3412</f>
        <v>0</v>
      </c>
      <c r="H31" s="348"/>
      <c r="I31" s="3"/>
      <c r="J31" s="230"/>
      <c r="K31" s="230"/>
      <c r="L31" s="230"/>
      <c r="M31" s="230"/>
      <c r="N31" s="230"/>
      <c r="O31" s="230"/>
      <c r="P31" s="230"/>
      <c r="Q31" s="230"/>
      <c r="R31" s="230"/>
      <c r="S31" s="230"/>
      <c r="T31" s="230"/>
      <c r="U31" s="230"/>
      <c r="V31" s="230"/>
    </row>
    <row r="32" spans="1:22" ht="19.5" thickBot="1" x14ac:dyDescent="0.35">
      <c r="A32" s="230"/>
      <c r="B32" s="960" t="s">
        <v>9</v>
      </c>
      <c r="C32" s="1002" t="s">
        <v>11</v>
      </c>
      <c r="D32" s="468">
        <f>'Waste Mass Calculations'!A28*(2000/1)*(1/365)</f>
        <v>0</v>
      </c>
      <c r="E32" s="2499"/>
      <c r="F32" s="2487"/>
      <c r="G32" s="2491"/>
      <c r="H32" s="348"/>
      <c r="I32" s="3"/>
      <c r="J32" s="230"/>
      <c r="K32" s="230"/>
      <c r="L32" s="230"/>
      <c r="M32" s="230"/>
      <c r="N32" s="230"/>
      <c r="O32" s="230"/>
      <c r="P32" s="230"/>
      <c r="Q32" s="230"/>
      <c r="R32" s="230"/>
      <c r="S32" s="230"/>
      <c r="T32" s="230"/>
      <c r="U32" s="230"/>
      <c r="V32" s="230"/>
    </row>
    <row r="33" spans="1:22" ht="18.75" x14ac:dyDescent="0.3">
      <c r="A33" s="230"/>
      <c r="B33" s="477" t="s">
        <v>730</v>
      </c>
      <c r="C33" s="475"/>
      <c r="D33" s="467"/>
      <c r="E33" s="475"/>
      <c r="F33" s="425"/>
      <c r="G33" s="237"/>
      <c r="H33" s="247"/>
      <c r="I33" s="3"/>
      <c r="J33" s="230"/>
      <c r="K33" s="230"/>
      <c r="L33" s="230"/>
      <c r="M33" s="230"/>
      <c r="N33" s="230"/>
      <c r="O33" s="230"/>
      <c r="P33" s="230"/>
      <c r="Q33" s="230"/>
      <c r="R33" s="230"/>
      <c r="S33" s="230"/>
      <c r="T33" s="230"/>
      <c r="U33" s="230"/>
      <c r="V33" s="230"/>
    </row>
    <row r="34" spans="1:22" ht="18.75" x14ac:dyDescent="0.3">
      <c r="A34" s="230"/>
      <c r="B34" s="319" t="s">
        <v>1536</v>
      </c>
      <c r="C34" s="1292" t="s">
        <v>74</v>
      </c>
      <c r="D34" s="466">
        <f>(0.0494/0.0494)*0.5</f>
        <v>0.5</v>
      </c>
      <c r="E34" s="2479">
        <f>D34*D35*0.5</f>
        <v>19148.232876712329</v>
      </c>
      <c r="F34" s="2500">
        <f>(D35*365*911*D34*0.5)/(0.347*0.347*0.347)</f>
        <v>152388262622.57007</v>
      </c>
      <c r="G34" s="2490">
        <f>(F34*0.2925)/(3412)</f>
        <v>13063765.186723841</v>
      </c>
      <c r="H34" s="348"/>
      <c r="I34" s="3"/>
      <c r="J34" s="230"/>
      <c r="K34" s="230"/>
      <c r="L34" s="230"/>
      <c r="M34" s="230"/>
      <c r="N34" s="230"/>
      <c r="O34" s="230"/>
      <c r="P34" s="230"/>
      <c r="Q34" s="230"/>
      <c r="R34" s="230"/>
      <c r="S34" s="230"/>
      <c r="T34" s="230"/>
      <c r="U34" s="230"/>
      <c r="V34" s="230"/>
    </row>
    <row r="35" spans="1:22" ht="19.5" thickBot="1" x14ac:dyDescent="0.35">
      <c r="A35" s="230"/>
      <c r="B35" s="960" t="s">
        <v>9</v>
      </c>
      <c r="C35" s="1002" t="s">
        <v>11</v>
      </c>
      <c r="D35" s="468">
        <f>('Waste Mass Calculations'!F35*2000)/(365)</f>
        <v>76592.931506849316</v>
      </c>
      <c r="E35" s="2480"/>
      <c r="F35" s="2501"/>
      <c r="G35" s="2491"/>
      <c r="H35" s="348"/>
      <c r="I35" s="3"/>
      <c r="J35" s="230"/>
      <c r="K35" s="230"/>
      <c r="L35" s="230"/>
      <c r="M35" s="230"/>
      <c r="N35" s="230"/>
      <c r="O35" s="230"/>
      <c r="P35" s="230"/>
      <c r="Q35" s="230"/>
      <c r="R35" s="230"/>
      <c r="S35" s="230"/>
      <c r="T35" s="230"/>
      <c r="U35" s="230"/>
      <c r="V35" s="230"/>
    </row>
    <row r="36" spans="1:22" ht="55.5" customHeight="1" x14ac:dyDescent="0.3">
      <c r="A36" s="230"/>
      <c r="B36" s="478" t="s">
        <v>497</v>
      </c>
      <c r="C36" s="475"/>
      <c r="D36" s="467"/>
      <c r="E36" s="411"/>
      <c r="F36" s="488"/>
      <c r="G36" s="489"/>
      <c r="H36" s="486"/>
      <c r="I36" s="3"/>
      <c r="J36" s="230"/>
      <c r="K36" s="230"/>
      <c r="L36" s="230"/>
      <c r="M36" s="230"/>
      <c r="N36" s="230"/>
      <c r="O36" s="230"/>
      <c r="P36" s="230"/>
      <c r="Q36" s="230"/>
      <c r="R36" s="230"/>
      <c r="S36" s="230"/>
      <c r="T36" s="230"/>
      <c r="U36" s="230"/>
      <c r="V36" s="230"/>
    </row>
    <row r="37" spans="1:22" ht="18.75" x14ac:dyDescent="0.3">
      <c r="A37" s="230"/>
      <c r="B37" s="319" t="s">
        <v>1536</v>
      </c>
      <c r="C37" s="1292" t="s">
        <v>74</v>
      </c>
      <c r="D37" s="466">
        <f>(0.0494/0.0494)*0.5</f>
        <v>0.5</v>
      </c>
      <c r="E37" s="2498">
        <f>D37*D38*0.5</f>
        <v>0</v>
      </c>
      <c r="F37" s="2504">
        <f>(D38*365*D37*911*0.5)/(0.3047*0.3047*0.3047)</f>
        <v>0</v>
      </c>
      <c r="G37" s="2490">
        <f>(F37*0.2925)/(3412)</f>
        <v>0</v>
      </c>
      <c r="H37" s="486"/>
      <c r="I37" s="3"/>
      <c r="J37" s="230"/>
      <c r="K37" s="230"/>
      <c r="L37" s="230"/>
      <c r="M37" s="230"/>
      <c r="N37" s="230"/>
      <c r="O37" s="230"/>
      <c r="P37" s="230"/>
      <c r="Q37" s="230"/>
      <c r="R37" s="230"/>
      <c r="S37" s="230"/>
      <c r="T37" s="230"/>
      <c r="U37" s="230"/>
      <c r="V37" s="230"/>
    </row>
    <row r="38" spans="1:22" ht="19.5" thickBot="1" x14ac:dyDescent="0.35">
      <c r="A38" s="230"/>
      <c r="B38" s="960" t="s">
        <v>9</v>
      </c>
      <c r="C38" s="1002" t="s">
        <v>11</v>
      </c>
      <c r="D38" s="468">
        <f>'Waste Mass Calculations'!D39*(2000/1)*(1/365)</f>
        <v>0</v>
      </c>
      <c r="E38" s="2499"/>
      <c r="F38" s="2487"/>
      <c r="G38" s="2491"/>
      <c r="H38" s="486"/>
      <c r="I38" s="3"/>
      <c r="J38" s="230"/>
      <c r="K38" s="230"/>
      <c r="L38" s="230"/>
      <c r="M38" s="230"/>
      <c r="N38" s="230"/>
      <c r="O38" s="230"/>
      <c r="P38" s="230"/>
      <c r="Q38" s="230"/>
      <c r="R38" s="230"/>
      <c r="S38" s="230"/>
      <c r="T38" s="230"/>
      <c r="U38" s="230"/>
      <c r="V38" s="230"/>
    </row>
    <row r="39" spans="1:22" s="230" customFormat="1" ht="18.75" x14ac:dyDescent="0.3">
      <c r="B39" s="1652" t="s">
        <v>1599</v>
      </c>
      <c r="C39" s="1653"/>
      <c r="D39" s="1654"/>
      <c r="E39" s="1607"/>
      <c r="F39" s="1605"/>
      <c r="G39" s="1604"/>
      <c r="H39" s="486"/>
      <c r="I39" s="3"/>
    </row>
    <row r="40" spans="1:22" s="230" customFormat="1" ht="18.75" x14ac:dyDescent="0.3">
      <c r="B40" s="319" t="s">
        <v>1536</v>
      </c>
      <c r="C40" s="1598" t="s">
        <v>74</v>
      </c>
      <c r="D40" s="466">
        <v>4.9399999999999999E-2</v>
      </c>
      <c r="E40" s="2479">
        <f>D40*D41</f>
        <v>0</v>
      </c>
      <c r="F40" s="2481">
        <f>(E40*365*D40*911)/(0.3047*0.3047*0.3047)</f>
        <v>0</v>
      </c>
      <c r="G40" s="2483">
        <f>(F40*0.2925)/3412</f>
        <v>0</v>
      </c>
      <c r="H40" s="486"/>
      <c r="I40" s="3"/>
    </row>
    <row r="41" spans="1:22" s="230" customFormat="1" ht="19.5" thickBot="1" x14ac:dyDescent="0.35">
      <c r="B41" s="960" t="s">
        <v>9</v>
      </c>
      <c r="C41" s="1002" t="s">
        <v>11</v>
      </c>
      <c r="D41" s="468">
        <f>'Waste Mass Calculations'!D40*(2000/1)*(1/365)</f>
        <v>0</v>
      </c>
      <c r="E41" s="2480"/>
      <c r="F41" s="2482"/>
      <c r="G41" s="2484"/>
      <c r="H41" s="486"/>
      <c r="I41" s="3"/>
    </row>
    <row r="42" spans="1:22" ht="60" customHeight="1" x14ac:dyDescent="0.3">
      <c r="A42" s="230"/>
      <c r="B42" s="478" t="s">
        <v>1600</v>
      </c>
      <c r="C42" s="475"/>
      <c r="D42" s="467"/>
      <c r="E42" s="1340"/>
      <c r="F42" s="488"/>
      <c r="G42" s="489"/>
      <c r="H42" s="486"/>
      <c r="I42" s="3"/>
      <c r="J42" s="230"/>
      <c r="K42" s="230"/>
      <c r="L42" s="230"/>
      <c r="M42" s="230"/>
      <c r="N42" s="230"/>
      <c r="O42" s="230"/>
      <c r="P42" s="230"/>
      <c r="Q42" s="230"/>
      <c r="R42" s="230"/>
      <c r="S42" s="230"/>
      <c r="T42" s="230"/>
      <c r="U42" s="230"/>
      <c r="V42" s="230"/>
    </row>
    <row r="43" spans="1:22" ht="18.75" x14ac:dyDescent="0.3">
      <c r="A43" s="230"/>
      <c r="B43" s="319" t="s">
        <v>1536</v>
      </c>
      <c r="C43" s="1334" t="s">
        <v>74</v>
      </c>
      <c r="D43" s="466">
        <f>(0.0494/0.0494)*0.5</f>
        <v>0.5</v>
      </c>
      <c r="E43" s="2498">
        <f>D43*D44*0.5</f>
        <v>0</v>
      </c>
      <c r="F43" s="2504">
        <f>(D44*365*D43*0.5*911)/(0.3047*0.3047*0.3047)</f>
        <v>0</v>
      </c>
      <c r="G43" s="2483">
        <f>(F43*0.2925)/(3412)</f>
        <v>0</v>
      </c>
      <c r="H43" s="348"/>
      <c r="I43" s="3"/>
      <c r="J43" s="230"/>
      <c r="K43" s="230"/>
      <c r="L43" s="230"/>
      <c r="M43" s="230"/>
      <c r="N43" s="230"/>
      <c r="O43" s="230"/>
      <c r="P43" s="230"/>
      <c r="Q43" s="230"/>
      <c r="R43" s="230"/>
      <c r="S43" s="230"/>
      <c r="T43" s="230"/>
      <c r="U43" s="230"/>
      <c r="V43" s="230"/>
    </row>
    <row r="44" spans="1:22" ht="19.5" thickBot="1" x14ac:dyDescent="0.35">
      <c r="A44" s="230"/>
      <c r="B44" s="960" t="s">
        <v>9</v>
      </c>
      <c r="C44" s="1002" t="s">
        <v>11</v>
      </c>
      <c r="D44" s="468">
        <f>'Waste Mass Calculations'!D44*(2000/1)*(1/365)</f>
        <v>0</v>
      </c>
      <c r="E44" s="2499"/>
      <c r="F44" s="2487"/>
      <c r="G44" s="2484"/>
      <c r="H44" s="348"/>
      <c r="I44" s="3"/>
      <c r="J44" s="230"/>
      <c r="K44" s="230"/>
      <c r="L44" s="230"/>
      <c r="M44" s="230"/>
      <c r="N44" s="230"/>
      <c r="O44" s="230"/>
      <c r="P44" s="230"/>
      <c r="Q44" s="230"/>
      <c r="R44" s="230"/>
      <c r="S44" s="230"/>
      <c r="T44" s="230"/>
      <c r="U44" s="230"/>
      <c r="V44" s="230"/>
    </row>
    <row r="45" spans="1:22" ht="46.5" customHeight="1" x14ac:dyDescent="0.3">
      <c r="A45" s="230"/>
      <c r="B45" s="1348" t="s">
        <v>1601</v>
      </c>
      <c r="C45" s="307"/>
      <c r="D45" s="469"/>
      <c r="E45" s="1408"/>
      <c r="F45" s="1409"/>
      <c r="G45" s="313"/>
      <c r="H45" s="486"/>
      <c r="I45" s="3"/>
      <c r="J45" s="230"/>
      <c r="K45" s="230"/>
      <c r="L45" s="230"/>
      <c r="M45" s="230"/>
      <c r="N45" s="230"/>
      <c r="O45" s="230"/>
      <c r="P45" s="230"/>
      <c r="Q45" s="230"/>
      <c r="R45" s="230"/>
      <c r="S45" s="230"/>
      <c r="T45" s="230"/>
      <c r="U45" s="230"/>
      <c r="V45" s="230"/>
    </row>
    <row r="46" spans="1:22" ht="18.75" x14ac:dyDescent="0.3">
      <c r="A46" s="230"/>
      <c r="B46" s="319" t="s">
        <v>1536</v>
      </c>
      <c r="C46" s="1292" t="s">
        <v>74</v>
      </c>
      <c r="D46" s="466">
        <f>(0.0494/0.0494)*0.5</f>
        <v>0.5</v>
      </c>
      <c r="E46" s="2498">
        <f>D46*D47*0.5</f>
        <v>0</v>
      </c>
      <c r="F46" s="2488">
        <f>(D47*365*911*D46*0.5)/(0.3047*0.3047*0.3047)</f>
        <v>0</v>
      </c>
      <c r="G46" s="2493">
        <f>(F46*0.2925)/(3412)</f>
        <v>0</v>
      </c>
      <c r="H46" s="486"/>
      <c r="I46" s="3"/>
      <c r="J46" s="230"/>
      <c r="K46" s="230"/>
      <c r="L46" s="230"/>
      <c r="M46" s="230"/>
      <c r="N46" s="230"/>
      <c r="O46" s="230"/>
      <c r="P46" s="230"/>
      <c r="Q46" s="230"/>
      <c r="R46" s="230"/>
      <c r="S46" s="230"/>
      <c r="T46" s="230"/>
      <c r="U46" s="230"/>
      <c r="V46" s="230"/>
    </row>
    <row r="47" spans="1:22" ht="19.5" thickBot="1" x14ac:dyDescent="0.35">
      <c r="A47" s="230"/>
      <c r="B47" s="960" t="s">
        <v>9</v>
      </c>
      <c r="C47" s="1002" t="s">
        <v>11</v>
      </c>
      <c r="D47" s="468">
        <f>'Waste Mass Calculations'!D46*(2000/1)*(1/365)</f>
        <v>0</v>
      </c>
      <c r="E47" s="2499"/>
      <c r="F47" s="2489"/>
      <c r="G47" s="2491"/>
      <c r="H47" s="486"/>
      <c r="I47" s="3"/>
      <c r="J47" s="230"/>
      <c r="K47" s="230"/>
      <c r="L47" s="230"/>
      <c r="M47" s="230"/>
      <c r="N47" s="230"/>
      <c r="O47" s="230"/>
      <c r="P47" s="230"/>
      <c r="Q47" s="230"/>
      <c r="R47" s="230"/>
      <c r="S47" s="230"/>
      <c r="T47" s="230"/>
      <c r="U47" s="230"/>
      <c r="V47" s="230"/>
    </row>
    <row r="48" spans="1:22" ht="56.25" customHeight="1" x14ac:dyDescent="0.3">
      <c r="A48" s="230"/>
      <c r="B48" s="478" t="s">
        <v>1602</v>
      </c>
      <c r="C48" s="161"/>
      <c r="D48" s="467"/>
      <c r="E48" s="1298"/>
      <c r="F48" s="423"/>
      <c r="G48" s="1296"/>
      <c r="H48" s="486"/>
      <c r="I48" s="3"/>
      <c r="J48" s="230"/>
      <c r="K48" s="230"/>
      <c r="L48" s="230"/>
      <c r="M48" s="230"/>
      <c r="N48" s="230"/>
      <c r="O48" s="230"/>
      <c r="P48" s="230"/>
      <c r="Q48" s="230"/>
      <c r="R48" s="230"/>
      <c r="S48" s="230"/>
      <c r="T48" s="230"/>
      <c r="U48" s="230"/>
      <c r="V48" s="230"/>
    </row>
    <row r="49" spans="1:22" ht="18.75" x14ac:dyDescent="0.3">
      <c r="A49" s="230"/>
      <c r="B49" s="319" t="s">
        <v>1536</v>
      </c>
      <c r="C49" s="1292" t="s">
        <v>74</v>
      </c>
      <c r="D49" s="466">
        <f>(0.0494/0.0494)*0.5</f>
        <v>0.5</v>
      </c>
      <c r="E49" s="2498">
        <f>D49*D50*0.5</f>
        <v>0</v>
      </c>
      <c r="F49" s="2488">
        <f>(D50*365*911*D49*0.5)/(0.3047*0.3047*0.3047)</f>
        <v>0</v>
      </c>
      <c r="G49" s="2493">
        <f>(F49*0.2925)/(3412)</f>
        <v>0</v>
      </c>
      <c r="H49" s="348"/>
      <c r="I49" s="3"/>
      <c r="J49" s="230"/>
      <c r="K49" s="230"/>
      <c r="L49" s="230"/>
      <c r="M49" s="230"/>
      <c r="N49" s="230"/>
      <c r="O49" s="230"/>
      <c r="P49" s="230"/>
      <c r="Q49" s="230"/>
      <c r="R49" s="230"/>
      <c r="S49" s="230"/>
      <c r="T49" s="230"/>
      <c r="U49" s="230"/>
      <c r="V49" s="230"/>
    </row>
    <row r="50" spans="1:22" ht="19.5" thickBot="1" x14ac:dyDescent="0.35">
      <c r="A50" s="230"/>
      <c r="B50" s="960" t="s">
        <v>9</v>
      </c>
      <c r="C50" s="1002" t="s">
        <v>11</v>
      </c>
      <c r="D50" s="468">
        <f>'Waste Mass Calculations'!D48*(2000/1)*(1/365)</f>
        <v>0</v>
      </c>
      <c r="E50" s="2499"/>
      <c r="F50" s="2489"/>
      <c r="G50" s="2491"/>
      <c r="H50" s="348"/>
      <c r="I50" s="3"/>
      <c r="J50" s="230"/>
      <c r="K50" s="230"/>
      <c r="L50" s="230"/>
      <c r="M50" s="230"/>
      <c r="N50" s="230"/>
      <c r="O50" s="230"/>
      <c r="P50" s="230"/>
      <c r="Q50" s="230"/>
      <c r="R50" s="230"/>
      <c r="S50" s="230"/>
      <c r="T50" s="230"/>
      <c r="U50" s="230"/>
      <c r="V50" s="230"/>
    </row>
    <row r="51" spans="1:22" s="230" customFormat="1" ht="18.75" x14ac:dyDescent="0.3">
      <c r="B51" s="1652" t="s">
        <v>1603</v>
      </c>
      <c r="C51" s="1653"/>
      <c r="D51" s="1654"/>
      <c r="E51" s="1607"/>
      <c r="F51" s="1605"/>
      <c r="G51" s="1604"/>
      <c r="H51" s="348"/>
      <c r="I51" s="3"/>
    </row>
    <row r="52" spans="1:22" s="230" customFormat="1" ht="18.75" x14ac:dyDescent="0.3">
      <c r="B52" s="319" t="s">
        <v>1536</v>
      </c>
      <c r="C52" s="1598" t="s">
        <v>74</v>
      </c>
      <c r="D52" s="466">
        <v>4.9399999999999999E-2</v>
      </c>
      <c r="E52" s="2479">
        <f>D52*D53</f>
        <v>0</v>
      </c>
      <c r="F52" s="2481">
        <f>(E52*365*D52*911)/(0.3047*0.3047*0.3047)</f>
        <v>0</v>
      </c>
      <c r="G52" s="2483">
        <f>(F52*0.2925)/3412</f>
        <v>0</v>
      </c>
      <c r="H52" s="348"/>
      <c r="I52" s="3"/>
    </row>
    <row r="53" spans="1:22" s="230" customFormat="1" ht="19.5" thickBot="1" x14ac:dyDescent="0.35">
      <c r="B53" s="960" t="s">
        <v>9</v>
      </c>
      <c r="C53" s="1002" t="s">
        <v>11</v>
      </c>
      <c r="D53" s="468">
        <f>'Waste Mass Calculations'!D49*(2000/1)*(1/365)</f>
        <v>0</v>
      </c>
      <c r="E53" s="2480"/>
      <c r="F53" s="2482"/>
      <c r="G53" s="2484"/>
      <c r="H53" s="348"/>
      <c r="I53" s="3"/>
    </row>
    <row r="54" spans="1:22" ht="57.75" customHeight="1" x14ac:dyDescent="0.3">
      <c r="A54" s="230"/>
      <c r="B54" s="478" t="s">
        <v>1604</v>
      </c>
      <c r="C54" s="475"/>
      <c r="D54" s="467"/>
      <c r="E54" s="1298"/>
      <c r="F54" s="423"/>
      <c r="G54" s="489"/>
      <c r="H54" s="486"/>
      <c r="I54" s="3"/>
      <c r="J54" s="230"/>
      <c r="K54" s="230"/>
      <c r="L54" s="230"/>
      <c r="M54" s="230"/>
      <c r="N54" s="230"/>
      <c r="O54" s="230"/>
      <c r="P54" s="230"/>
      <c r="Q54" s="230"/>
      <c r="R54" s="230"/>
      <c r="S54" s="230"/>
      <c r="T54" s="230"/>
      <c r="U54" s="230"/>
      <c r="V54" s="230"/>
    </row>
    <row r="55" spans="1:22" ht="18.75" x14ac:dyDescent="0.3">
      <c r="A55" s="230"/>
      <c r="B55" s="319" t="s">
        <v>1536</v>
      </c>
      <c r="C55" s="1292" t="s">
        <v>74</v>
      </c>
      <c r="D55" s="466">
        <f>(0.0494/0.0494)*0.5</f>
        <v>0.5</v>
      </c>
      <c r="E55" s="2498">
        <f>D55*D56*0.5</f>
        <v>0</v>
      </c>
      <c r="F55" s="2488">
        <f>(D56*365*911*D55*0.5)/(0.3047*0.3047*0.3047)</f>
        <v>0</v>
      </c>
      <c r="G55" s="2490">
        <f>(F55*0.2925)/3412</f>
        <v>0</v>
      </c>
      <c r="H55" s="348"/>
      <c r="I55" s="3"/>
      <c r="J55" s="230"/>
      <c r="K55" s="230"/>
      <c r="L55" s="230"/>
      <c r="M55" s="230"/>
      <c r="N55" s="230"/>
      <c r="O55" s="230"/>
      <c r="P55" s="230"/>
      <c r="Q55" s="230"/>
      <c r="R55" s="230"/>
      <c r="S55" s="230"/>
      <c r="T55" s="230"/>
      <c r="U55" s="230"/>
      <c r="V55" s="230"/>
    </row>
    <row r="56" spans="1:22" ht="19.5" thickBot="1" x14ac:dyDescent="0.35">
      <c r="A56" s="230"/>
      <c r="B56" s="960" t="s">
        <v>9</v>
      </c>
      <c r="C56" s="1002" t="s">
        <v>11</v>
      </c>
      <c r="D56" s="468">
        <f>'Waste Mass Calculations'!A53*(2000/1)*(1/365)</f>
        <v>0</v>
      </c>
      <c r="E56" s="2499"/>
      <c r="F56" s="2489"/>
      <c r="G56" s="2491"/>
      <c r="H56" s="348"/>
      <c r="I56" s="3"/>
      <c r="J56" s="230"/>
      <c r="K56" s="230"/>
      <c r="L56" s="230"/>
      <c r="M56" s="230"/>
      <c r="N56" s="230"/>
      <c r="O56" s="230"/>
      <c r="P56" s="230"/>
      <c r="Q56" s="230"/>
      <c r="R56" s="230"/>
      <c r="S56" s="230"/>
      <c r="T56" s="230"/>
      <c r="U56" s="230"/>
      <c r="V56" s="230"/>
    </row>
    <row r="57" spans="1:22" ht="18.75" x14ac:dyDescent="0.3">
      <c r="A57" s="230"/>
      <c r="B57" s="477" t="s">
        <v>498</v>
      </c>
      <c r="C57" s="475"/>
      <c r="D57" s="467"/>
      <c r="E57" s="2497">
        <f>D58*D60*0.5</f>
        <v>2087500</v>
      </c>
      <c r="F57" s="2485">
        <f>(D60*365*911*D58*0.5)/(0.3047*0.3047*0.3047)</f>
        <v>24536937852066.371</v>
      </c>
      <c r="G57" s="2492">
        <f>(F57*0.2925)/(3412)</f>
        <v>2103474302.9687612</v>
      </c>
      <c r="H57" s="348"/>
      <c r="I57" s="3"/>
      <c r="J57" s="230"/>
      <c r="K57" s="230"/>
      <c r="L57" s="230"/>
      <c r="M57" s="230"/>
      <c r="N57" s="230"/>
      <c r="O57" s="230"/>
      <c r="P57" s="230"/>
      <c r="Q57" s="230"/>
      <c r="R57" s="230"/>
      <c r="S57" s="230"/>
      <c r="T57" s="230"/>
      <c r="U57" s="230"/>
      <c r="V57" s="230"/>
    </row>
    <row r="58" spans="1:22" ht="18.75" x14ac:dyDescent="0.3">
      <c r="A58" s="230"/>
      <c r="B58" s="319" t="s">
        <v>1537</v>
      </c>
      <c r="C58" s="1292" t="s">
        <v>74</v>
      </c>
      <c r="D58" s="466">
        <f>(0.009/0.009)*0.5</f>
        <v>0.5</v>
      </c>
      <c r="E58" s="2498"/>
      <c r="F58" s="2486"/>
      <c r="G58" s="2493"/>
      <c r="H58" s="348"/>
      <c r="I58" s="3"/>
      <c r="J58" s="230"/>
      <c r="K58" s="230"/>
      <c r="L58" s="230"/>
      <c r="M58" s="230"/>
      <c r="N58" s="230"/>
      <c r="O58" s="230"/>
      <c r="P58" s="230"/>
      <c r="Q58" s="230"/>
      <c r="R58" s="230"/>
      <c r="S58" s="230"/>
      <c r="T58" s="230"/>
      <c r="U58" s="230"/>
      <c r="V58" s="230"/>
    </row>
    <row r="59" spans="1:22" ht="18.75" x14ac:dyDescent="0.3">
      <c r="A59" s="230"/>
      <c r="B59" s="319" t="s">
        <v>22</v>
      </c>
      <c r="C59" s="1292" t="s">
        <v>15</v>
      </c>
      <c r="D59" s="466">
        <v>1</v>
      </c>
      <c r="E59" s="2498"/>
      <c r="F59" s="2486"/>
      <c r="G59" s="2493"/>
      <c r="H59" s="486"/>
      <c r="I59" s="3"/>
      <c r="J59" s="230"/>
      <c r="K59" s="230"/>
      <c r="L59" s="230"/>
      <c r="M59" s="230"/>
      <c r="N59" s="230"/>
      <c r="O59" s="230"/>
      <c r="P59" s="230"/>
      <c r="Q59" s="230"/>
      <c r="R59" s="230"/>
      <c r="S59" s="230"/>
      <c r="T59" s="230"/>
      <c r="U59" s="230"/>
      <c r="V59" s="230"/>
    </row>
    <row r="60" spans="1:22" ht="18.75" x14ac:dyDescent="0.3">
      <c r="A60" s="230"/>
      <c r="B60" s="319" t="s">
        <v>23</v>
      </c>
      <c r="C60" s="1292" t="s">
        <v>11</v>
      </c>
      <c r="D60" s="466">
        <f>D59*1000000*8.35</f>
        <v>8350000</v>
      </c>
      <c r="E60" s="2498"/>
      <c r="F60" s="2486"/>
      <c r="G60" s="2493"/>
      <c r="H60" s="486"/>
      <c r="I60" s="230"/>
      <c r="J60" s="230"/>
      <c r="K60" s="230"/>
      <c r="L60" s="230"/>
      <c r="M60" s="230"/>
      <c r="N60" s="230"/>
      <c r="O60" s="230"/>
      <c r="P60" s="230"/>
      <c r="Q60" s="230"/>
      <c r="R60" s="230"/>
      <c r="S60" s="230"/>
      <c r="T60" s="230"/>
      <c r="U60" s="230"/>
      <c r="V60" s="230"/>
    </row>
    <row r="61" spans="1:22" ht="18.75" x14ac:dyDescent="0.3">
      <c r="A61" s="230"/>
      <c r="B61" s="319" t="s">
        <v>731</v>
      </c>
      <c r="C61" s="1292"/>
      <c r="D61" s="466">
        <v>0.05</v>
      </c>
      <c r="E61" s="2498"/>
      <c r="F61" s="2486"/>
      <c r="G61" s="2493"/>
      <c r="H61" s="486"/>
      <c r="I61" s="230"/>
      <c r="J61" s="230"/>
      <c r="K61" s="230"/>
      <c r="L61" s="230"/>
      <c r="M61" s="230"/>
      <c r="N61" s="230"/>
      <c r="O61" s="230"/>
      <c r="P61" s="230"/>
      <c r="Q61" s="230"/>
      <c r="R61" s="230"/>
      <c r="S61" s="230"/>
      <c r="T61" s="230"/>
      <c r="U61" s="230"/>
      <c r="V61" s="230"/>
    </row>
    <row r="62" spans="1:22" ht="19.5" thickBot="1" x14ac:dyDescent="0.35">
      <c r="A62" s="230"/>
      <c r="B62" s="960" t="s">
        <v>732</v>
      </c>
      <c r="C62" s="1002"/>
      <c r="D62" s="468">
        <v>0.68</v>
      </c>
      <c r="E62" s="2499"/>
      <c r="F62" s="2487"/>
      <c r="G62" s="2491"/>
      <c r="H62" s="486"/>
      <c r="I62" s="230"/>
      <c r="J62" s="230"/>
      <c r="K62" s="230"/>
      <c r="L62" s="230"/>
      <c r="M62" s="230"/>
      <c r="N62" s="230"/>
      <c r="O62" s="230"/>
      <c r="P62" s="230"/>
      <c r="Q62" s="230"/>
      <c r="R62" s="230"/>
      <c r="S62" s="230"/>
      <c r="T62" s="230"/>
      <c r="U62" s="230"/>
      <c r="V62" s="230"/>
    </row>
    <row r="63" spans="1:22" ht="18.75" x14ac:dyDescent="0.3">
      <c r="A63" s="230"/>
      <c r="B63" s="477" t="s">
        <v>733</v>
      </c>
      <c r="C63" s="475"/>
      <c r="D63" s="467"/>
      <c r="E63" s="2494">
        <f>((D64*D67)+(D65*D68)+(D66*D69))*0.5</f>
        <v>0</v>
      </c>
      <c r="F63" s="2485">
        <f>(E63*365*911*0.5)/(0.3047*0.3047*0.3047)</f>
        <v>0</v>
      </c>
      <c r="G63" s="2492">
        <f>(F63*0.2925)/(3412)</f>
        <v>0</v>
      </c>
      <c r="H63" s="348"/>
      <c r="I63" s="230"/>
      <c r="J63" s="230"/>
      <c r="K63" s="230"/>
      <c r="L63" s="230"/>
      <c r="M63" s="230"/>
      <c r="N63" s="230"/>
      <c r="O63" s="230"/>
      <c r="P63" s="230"/>
      <c r="Q63" s="230"/>
      <c r="R63" s="230"/>
      <c r="S63" s="230"/>
      <c r="T63" s="230"/>
      <c r="U63" s="230"/>
      <c r="V63" s="230"/>
    </row>
    <row r="64" spans="1:22" ht="18.75" x14ac:dyDescent="0.3">
      <c r="A64" s="230"/>
      <c r="B64" s="319" t="s">
        <v>1538</v>
      </c>
      <c r="C64" s="1292" t="s">
        <v>74</v>
      </c>
      <c r="D64" s="469">
        <f>(0.01/0.01)*0.5</f>
        <v>0.5</v>
      </c>
      <c r="E64" s="2495"/>
      <c r="F64" s="2486"/>
      <c r="G64" s="2493"/>
      <c r="H64" s="348"/>
      <c r="I64" s="3"/>
      <c r="J64" s="230"/>
      <c r="K64" s="230"/>
      <c r="L64" s="230"/>
      <c r="M64" s="230"/>
      <c r="N64" s="230"/>
      <c r="O64" s="230"/>
      <c r="P64" s="230"/>
      <c r="Q64" s="230"/>
      <c r="R64" s="230"/>
      <c r="S64" s="230"/>
      <c r="T64" s="230"/>
      <c r="U64" s="230"/>
      <c r="V64" s="230"/>
    </row>
    <row r="65" spans="1:25" ht="18.75" x14ac:dyDescent="0.3">
      <c r="A65" s="230"/>
      <c r="B65" s="319" t="s">
        <v>1539</v>
      </c>
      <c r="C65" s="1292" t="s">
        <v>74</v>
      </c>
      <c r="D65" s="466">
        <f>(0.0156/0.0156)*0.5</f>
        <v>0.5</v>
      </c>
      <c r="E65" s="2495"/>
      <c r="F65" s="2486"/>
      <c r="G65" s="2493"/>
      <c r="H65" s="486"/>
      <c r="I65" s="230"/>
      <c r="J65" s="230"/>
      <c r="K65" s="230"/>
      <c r="L65" s="230"/>
      <c r="M65" s="230"/>
      <c r="N65" s="230"/>
      <c r="O65" s="230"/>
      <c r="P65" s="230"/>
      <c r="Q65" s="230"/>
      <c r="R65" s="230"/>
      <c r="S65" s="230"/>
      <c r="T65" s="230"/>
      <c r="U65" s="230"/>
      <c r="V65" s="230"/>
    </row>
    <row r="66" spans="1:25" ht="18.75" x14ac:dyDescent="0.3">
      <c r="A66" s="230"/>
      <c r="B66" s="319" t="s">
        <v>1540</v>
      </c>
      <c r="C66" s="1292" t="s">
        <v>74</v>
      </c>
      <c r="D66" s="466">
        <f>(0.0342/0.0342)*0.5</f>
        <v>0.5</v>
      </c>
      <c r="E66" s="2495"/>
      <c r="F66" s="2486"/>
      <c r="G66" s="2493"/>
      <c r="H66" s="486"/>
      <c r="I66" s="230"/>
      <c r="J66" s="230"/>
      <c r="K66" s="230"/>
      <c r="L66" s="230"/>
      <c r="M66" s="230"/>
      <c r="N66" s="230"/>
      <c r="O66" s="230"/>
      <c r="P66" s="230"/>
      <c r="Q66" s="230"/>
      <c r="R66" s="230"/>
      <c r="S66" s="230"/>
      <c r="T66" s="230"/>
      <c r="U66" s="230"/>
      <c r="V66" s="230"/>
    </row>
    <row r="67" spans="1:25" ht="18.75" x14ac:dyDescent="0.3">
      <c r="A67" s="230"/>
      <c r="B67" s="319" t="s">
        <v>877</v>
      </c>
      <c r="C67" s="1292" t="s">
        <v>11</v>
      </c>
      <c r="D67" s="466">
        <f>'Waste Mass Calculations'!E68*(2000/1)*(1/365)</f>
        <v>0</v>
      </c>
      <c r="E67" s="2495"/>
      <c r="F67" s="2486"/>
      <c r="G67" s="2493"/>
      <c r="H67" s="486"/>
      <c r="I67" s="230"/>
      <c r="J67" s="230"/>
      <c r="K67" s="230"/>
      <c r="L67" s="230"/>
      <c r="M67" s="230"/>
      <c r="N67" s="230"/>
      <c r="O67" s="230"/>
      <c r="P67" s="230"/>
      <c r="Q67" s="230"/>
      <c r="R67" s="230"/>
      <c r="S67" s="230"/>
      <c r="T67" s="230"/>
      <c r="U67" s="230"/>
      <c r="V67" s="230"/>
    </row>
    <row r="68" spans="1:25" ht="18.75" x14ac:dyDescent="0.3">
      <c r="A68" s="230"/>
      <c r="B68" s="319" t="s">
        <v>878</v>
      </c>
      <c r="C68" s="1292" t="s">
        <v>11</v>
      </c>
      <c r="D68" s="466">
        <f>'Waste Mass Calculations'!E69*(2000/1)*(1/365)</f>
        <v>0</v>
      </c>
      <c r="E68" s="2495"/>
      <c r="F68" s="2486"/>
      <c r="G68" s="2493"/>
      <c r="H68" s="486"/>
      <c r="I68" s="230"/>
      <c r="J68" s="230"/>
      <c r="K68" s="230"/>
      <c r="L68" s="230"/>
      <c r="M68" s="230"/>
      <c r="N68" s="230"/>
      <c r="O68" s="230"/>
      <c r="P68" s="230"/>
      <c r="Q68" s="230"/>
      <c r="R68" s="230"/>
      <c r="S68" s="230"/>
      <c r="T68" s="230"/>
      <c r="U68" s="230"/>
      <c r="V68" s="230"/>
    </row>
    <row r="69" spans="1:25" ht="19.5" thickBot="1" x14ac:dyDescent="0.35">
      <c r="A69" s="230"/>
      <c r="B69" s="960" t="s">
        <v>879</v>
      </c>
      <c r="C69" s="1002" t="s">
        <v>11</v>
      </c>
      <c r="D69" s="468">
        <f>'Waste Mass Calculations'!E70*(2000/1)*(1/365)</f>
        <v>0</v>
      </c>
      <c r="E69" s="2496"/>
      <c r="F69" s="2487"/>
      <c r="G69" s="2491"/>
      <c r="H69" s="486"/>
      <c r="I69" s="230"/>
      <c r="J69" s="230"/>
      <c r="K69" s="230"/>
      <c r="L69" s="230"/>
      <c r="M69" s="230"/>
      <c r="N69" s="230"/>
      <c r="O69" s="230"/>
      <c r="P69" s="230"/>
      <c r="Q69" s="230"/>
      <c r="R69" s="230"/>
      <c r="S69" s="230"/>
      <c r="T69" s="230"/>
      <c r="U69" s="230"/>
      <c r="V69" s="230"/>
    </row>
    <row r="70" spans="1:25" ht="18.75" x14ac:dyDescent="0.3">
      <c r="A70" s="230"/>
      <c r="B70" s="477" t="s">
        <v>695</v>
      </c>
      <c r="C70" s="475"/>
      <c r="D70" s="467"/>
      <c r="E70" s="2494">
        <f>D71*D72*0.5</f>
        <v>0</v>
      </c>
      <c r="F70" s="2485">
        <f>(D72*365*D71*911*0.5)/(0.3047*0.3047*0.3047)</f>
        <v>0</v>
      </c>
      <c r="G70" s="2492">
        <f>(F70*0.2925)/(3412)</f>
        <v>0</v>
      </c>
      <c r="H70" s="348"/>
      <c r="I70" s="3"/>
      <c r="J70" s="230"/>
      <c r="K70" s="230"/>
      <c r="L70" s="230"/>
      <c r="M70" s="230"/>
      <c r="N70" s="230"/>
      <c r="O70" s="230"/>
      <c r="P70" s="230"/>
      <c r="Q70" s="230"/>
      <c r="R70" s="230"/>
      <c r="S70" s="230"/>
      <c r="T70" s="230"/>
      <c r="U70" s="230"/>
      <c r="V70" s="230"/>
    </row>
    <row r="71" spans="1:25" ht="18.75" x14ac:dyDescent="0.3">
      <c r="A71" s="230"/>
      <c r="B71" s="319" t="s">
        <v>1541</v>
      </c>
      <c r="C71" s="1292" t="s">
        <v>74</v>
      </c>
      <c r="D71" s="466">
        <f>(0.0944/0.0944)*0.5</f>
        <v>0.5</v>
      </c>
      <c r="E71" s="2495"/>
      <c r="F71" s="2486"/>
      <c r="G71" s="2493"/>
      <c r="H71" s="348"/>
      <c r="I71" s="3"/>
      <c r="J71" s="230"/>
      <c r="K71" s="230"/>
      <c r="L71" s="230"/>
      <c r="M71" s="230"/>
      <c r="N71" s="230"/>
      <c r="O71" s="230"/>
      <c r="P71" s="230"/>
      <c r="Q71" s="230"/>
      <c r="R71" s="230"/>
      <c r="S71" s="230"/>
      <c r="T71" s="230"/>
      <c r="U71" s="230"/>
      <c r="V71" s="230"/>
    </row>
    <row r="72" spans="1:25" ht="19.5" thickBot="1" x14ac:dyDescent="0.35">
      <c r="A72" s="230"/>
      <c r="B72" s="960" t="s">
        <v>696</v>
      </c>
      <c r="C72" s="1002" t="s">
        <v>11</v>
      </c>
      <c r="D72" s="468">
        <f>'Waste Mass Calculations'!E63*(2000/1)*(1/365)</f>
        <v>0</v>
      </c>
      <c r="E72" s="2496"/>
      <c r="F72" s="2487"/>
      <c r="G72" s="2491"/>
      <c r="H72" s="486"/>
      <c r="I72" s="230"/>
      <c r="J72" s="230"/>
      <c r="K72" s="230"/>
      <c r="L72" s="230"/>
      <c r="M72" s="230"/>
      <c r="N72" s="230"/>
      <c r="O72" s="230"/>
      <c r="P72" s="230"/>
      <c r="Q72" s="230"/>
      <c r="R72" s="230"/>
      <c r="S72" s="230"/>
      <c r="T72" s="230"/>
      <c r="U72" s="230"/>
      <c r="V72" s="230"/>
    </row>
    <row r="73" spans="1:25" ht="18.75" x14ac:dyDescent="0.3">
      <c r="A73" s="230"/>
      <c r="B73" s="477" t="s">
        <v>694</v>
      </c>
      <c r="C73" s="475"/>
      <c r="D73" s="467"/>
      <c r="E73" s="2497">
        <f>D75*D74*0.5</f>
        <v>0</v>
      </c>
      <c r="F73" s="2485">
        <f>(D75*365*D74*911*0.5)/(0.3047*0.3047*0.3047)</f>
        <v>0</v>
      </c>
      <c r="G73" s="2492">
        <f>(F73*0.2925)/3412</f>
        <v>0</v>
      </c>
      <c r="H73" s="348"/>
      <c r="I73" s="3"/>
      <c r="J73" s="230"/>
      <c r="K73" s="230"/>
      <c r="L73" s="230"/>
      <c r="M73" s="230"/>
      <c r="N73" s="230"/>
      <c r="O73" s="230"/>
      <c r="P73" s="230"/>
      <c r="Q73" s="230"/>
      <c r="R73" s="230"/>
      <c r="S73" s="230"/>
      <c r="T73" s="230"/>
      <c r="U73" s="230"/>
      <c r="V73" s="230"/>
    </row>
    <row r="74" spans="1:25" ht="18.75" x14ac:dyDescent="0.3">
      <c r="A74" s="230"/>
      <c r="B74" s="319" t="s">
        <v>1542</v>
      </c>
      <c r="C74" s="1292" t="s">
        <v>74</v>
      </c>
      <c r="D74" s="466">
        <f>(0.349/0.349)*0.5</f>
        <v>0.5</v>
      </c>
      <c r="E74" s="2498"/>
      <c r="F74" s="2486"/>
      <c r="G74" s="2493"/>
      <c r="H74" s="348"/>
      <c r="I74" s="3"/>
      <c r="J74" s="230"/>
      <c r="K74" s="230"/>
      <c r="L74" s="230"/>
      <c r="M74" s="230"/>
      <c r="N74" s="230"/>
      <c r="O74" s="230"/>
      <c r="P74" s="230"/>
      <c r="Q74" s="230"/>
      <c r="R74" s="230"/>
      <c r="S74" s="230"/>
      <c r="T74" s="230"/>
      <c r="U74" s="230"/>
      <c r="V74" s="230"/>
    </row>
    <row r="75" spans="1:25" ht="19.5" thickBot="1" x14ac:dyDescent="0.35">
      <c r="A75" s="230"/>
      <c r="B75" s="960" t="s">
        <v>492</v>
      </c>
      <c r="C75" s="1002" t="s">
        <v>11</v>
      </c>
      <c r="D75" s="468">
        <f>'Waste Mass Calculations'!D58*(2000/1)*(1/365)</f>
        <v>0</v>
      </c>
      <c r="E75" s="2499"/>
      <c r="F75" s="2487"/>
      <c r="G75" s="2491"/>
      <c r="H75" s="486"/>
      <c r="I75" s="230"/>
      <c r="J75" s="230"/>
      <c r="K75" s="230"/>
      <c r="L75" s="230"/>
      <c r="M75" s="230"/>
      <c r="N75" s="230"/>
      <c r="O75" s="230"/>
      <c r="P75" s="230"/>
      <c r="Q75" s="230"/>
      <c r="R75" s="230"/>
      <c r="S75" s="230"/>
      <c r="T75" s="230"/>
      <c r="U75" s="230"/>
      <c r="V75" s="230"/>
    </row>
    <row r="76" spans="1:25" ht="19.5" thickBot="1" x14ac:dyDescent="0.3">
      <c r="A76" s="230"/>
      <c r="B76" s="350" t="s">
        <v>935</v>
      </c>
      <c r="C76" s="491"/>
      <c r="D76" s="492"/>
      <c r="E76" s="351">
        <f>' QUICK OVERVIEW- Inputs&amp;Outputs'!W10*0.5</f>
        <v>1891.8454082191781</v>
      </c>
      <c r="F76" s="493">
        <f>' QUICK OVERVIEW- Inputs&amp;Outputs'!W12*0.5</f>
        <v>15055960347.109924</v>
      </c>
      <c r="G76" s="494">
        <f>' QUICK OVERVIEW- Inputs&amp;Outputs'!$W$14*0.5</f>
        <v>1290700.0004483156</v>
      </c>
      <c r="H76" s="348"/>
      <c r="I76" s="3"/>
      <c r="J76" s="230"/>
      <c r="K76" s="230"/>
      <c r="L76" s="230"/>
      <c r="M76" s="230"/>
      <c r="N76" s="230"/>
      <c r="O76" s="230"/>
      <c r="P76" s="230"/>
      <c r="Q76" s="230"/>
      <c r="R76" s="230"/>
      <c r="S76" s="230"/>
      <c r="T76" s="230"/>
      <c r="U76" s="230"/>
      <c r="V76" s="230"/>
    </row>
    <row r="77" spans="1:25" ht="15.75" thickBot="1" x14ac:dyDescent="0.3">
      <c r="A77" s="230"/>
      <c r="B77" s="230"/>
      <c r="C77" s="230"/>
      <c r="D77" s="230"/>
      <c r="E77" s="230"/>
      <c r="F77" s="230"/>
      <c r="G77" s="230"/>
      <c r="H77" s="230"/>
      <c r="I77" s="230"/>
      <c r="J77" s="230"/>
      <c r="K77" s="230"/>
      <c r="L77" s="230"/>
      <c r="M77" s="230"/>
      <c r="N77" s="230"/>
      <c r="O77" s="230"/>
      <c r="P77" s="230"/>
      <c r="Q77" s="230"/>
      <c r="R77" s="230"/>
      <c r="S77" s="230"/>
      <c r="T77" s="230"/>
      <c r="U77" s="230"/>
      <c r="V77" s="230"/>
    </row>
    <row r="78" spans="1:25" ht="36" customHeight="1" thickBot="1" x14ac:dyDescent="0.3">
      <c r="A78" s="2278" t="s">
        <v>491</v>
      </c>
      <c r="B78" s="2509"/>
      <c r="C78" s="2509"/>
      <c r="D78" s="2509"/>
      <c r="E78" s="2509"/>
      <c r="F78" s="2509"/>
      <c r="G78" s="2509"/>
      <c r="H78" s="2509"/>
      <c r="I78" s="2509"/>
      <c r="J78" s="2509"/>
      <c r="K78" s="2509"/>
      <c r="L78" s="2509"/>
      <c r="M78" s="2509"/>
      <c r="N78" s="2509"/>
      <c r="O78" s="2509"/>
      <c r="P78" s="2509"/>
      <c r="Q78" s="2509"/>
      <c r="R78" s="2509"/>
      <c r="S78" s="2509"/>
      <c r="T78" s="2509"/>
      <c r="U78" s="2509"/>
      <c r="V78" s="2509"/>
      <c r="W78" s="2509"/>
      <c r="X78" s="2509"/>
      <c r="Y78" s="2510"/>
    </row>
    <row r="79" spans="1:25" ht="99.75" customHeight="1" thickBot="1" x14ac:dyDescent="0.3">
      <c r="A79" s="350" t="s">
        <v>28</v>
      </c>
      <c r="B79" s="492" t="s">
        <v>247</v>
      </c>
      <c r="C79" s="492" t="s">
        <v>245</v>
      </c>
      <c r="D79" s="1412" t="s">
        <v>499</v>
      </c>
      <c r="E79" s="1412" t="s">
        <v>500</v>
      </c>
      <c r="F79" s="1412" t="s">
        <v>518</v>
      </c>
      <c r="G79" s="1413" t="s">
        <v>1608</v>
      </c>
      <c r="H79" s="1412" t="s">
        <v>517</v>
      </c>
      <c r="I79" s="1412" t="s">
        <v>503</v>
      </c>
      <c r="J79" s="1413" t="s">
        <v>1591</v>
      </c>
      <c r="K79" s="1413" t="s">
        <v>520</v>
      </c>
      <c r="L79" s="492" t="s">
        <v>42</v>
      </c>
      <c r="M79" s="1412" t="s">
        <v>504</v>
      </c>
      <c r="N79" s="1413" t="s">
        <v>1607</v>
      </c>
      <c r="O79" s="1412" t="s">
        <v>525</v>
      </c>
      <c r="P79" s="1412" t="s">
        <v>511</v>
      </c>
      <c r="Q79" s="1412" t="s">
        <v>524</v>
      </c>
      <c r="R79" s="1413" t="s">
        <v>1593</v>
      </c>
      <c r="S79" s="1413" t="s">
        <v>520</v>
      </c>
      <c r="T79" s="492" t="s">
        <v>246</v>
      </c>
      <c r="U79" s="1413" t="s">
        <v>697</v>
      </c>
      <c r="V79" s="1413" t="s">
        <v>698</v>
      </c>
      <c r="W79" s="492" t="s">
        <v>490</v>
      </c>
      <c r="X79" s="1412" t="s">
        <v>1142</v>
      </c>
      <c r="Y79" s="1414" t="s">
        <v>489</v>
      </c>
    </row>
    <row r="80" spans="1:25" ht="18.75" x14ac:dyDescent="0.3">
      <c r="A80" s="1356" t="s">
        <v>167</v>
      </c>
      <c r="B80" s="1666" t="s">
        <v>165</v>
      </c>
      <c r="C80" s="1667">
        <f>(G7*'Fleet Information'!D5)/33.7</f>
        <v>163341180.85070679</v>
      </c>
      <c r="D80" s="1667">
        <f>(G10*'Fleet Information'!D5)/33.7</f>
        <v>0</v>
      </c>
      <c r="E80" s="1667">
        <f>(G13*'Fleet Information'!D5)/33.7</f>
        <v>0</v>
      </c>
      <c r="F80" s="1667">
        <f>(G16*'Fleet Information'!D5)/33.7</f>
        <v>0</v>
      </c>
      <c r="G80" s="1668">
        <f>(G19*'Fleet Information'!D5)/33.7</f>
        <v>0</v>
      </c>
      <c r="H80" s="1667">
        <f>(G22*'Fleet Information'!D5)/33.7</f>
        <v>0</v>
      </c>
      <c r="I80" s="1667">
        <f>(G25*'Fleet Information'!D5)/33.7</f>
        <v>0</v>
      </c>
      <c r="J80" s="1668">
        <f>(G28*'Fleet Information'!D5)/33.7</f>
        <v>0</v>
      </c>
      <c r="K80" s="1667">
        <f>(G31*'Fleet Information'!D5)/33.7</f>
        <v>0</v>
      </c>
      <c r="L80" s="1667">
        <f>(G34*'Fleet Information'!D5)/33.7</f>
        <v>27910714.938994557</v>
      </c>
      <c r="M80" s="1667">
        <f>(G37*'Fleet Information'!D5)/33.7</f>
        <v>0</v>
      </c>
      <c r="N80" s="1668">
        <f>(G40*'Fleet Information'!D5)/33.7</f>
        <v>0</v>
      </c>
      <c r="O80" s="1667">
        <f>(G43*'Fleet Information'!D5)/33.7</f>
        <v>0</v>
      </c>
      <c r="P80" s="1667">
        <f>(G46*'Fleet Information'!D5)/33.7</f>
        <v>0</v>
      </c>
      <c r="Q80" s="1667">
        <f>(G49*'Fleet Information'!D5)/33.7</f>
        <v>0</v>
      </c>
      <c r="R80" s="1668">
        <f>(G52*'Fleet Information'!D5)/33.7</f>
        <v>0</v>
      </c>
      <c r="S80" s="1667">
        <f>(G55*'Fleet Information'!D5)/33.7</f>
        <v>0</v>
      </c>
      <c r="T80" s="1667">
        <f>(G57*'Fleet Information'!D5)/33.7</f>
        <v>4494069727.4110022</v>
      </c>
      <c r="U80" s="1667">
        <f>(G63*'Fleet Information'!D5)/33.7</f>
        <v>0</v>
      </c>
      <c r="V80" s="1667">
        <f>(G70*'Fleet Information'!D5)/33.7</f>
        <v>0</v>
      </c>
      <c r="W80" s="1667">
        <f>(G73*'Fleet Information'!D5)/33.7</f>
        <v>0</v>
      </c>
      <c r="X80" s="1667">
        <f>(G76*'Fleet Information'!D5)/33.7</f>
        <v>2757578.6359726624</v>
      </c>
      <c r="Y80" s="1669">
        <f>C80+G80+J80+L80+N80+R80+S80+K80+T80+U80+V80+W80</f>
        <v>4685321623.2007036</v>
      </c>
    </row>
    <row r="81" spans="1:25" ht="18.75" x14ac:dyDescent="0.3">
      <c r="A81" s="1612" t="s">
        <v>168</v>
      </c>
      <c r="B81" s="1615" t="s">
        <v>1727</v>
      </c>
      <c r="C81" s="1606">
        <f>(F7*'Fleet Information'!D6)/115000</f>
        <v>193097990.46934605</v>
      </c>
      <c r="D81" s="1606">
        <f>(F10*'Fleet Information'!D6)/115000</f>
        <v>0</v>
      </c>
      <c r="E81" s="1606">
        <f>(F13*'Fleet Information'!D6)/115000</f>
        <v>0</v>
      </c>
      <c r="F81" s="1606">
        <f>(F16*'Fleet Information'!D6)/115000</f>
        <v>0</v>
      </c>
      <c r="G81" s="1655">
        <f>(F19*'Fleet Information'!D6)/115000</f>
        <v>0</v>
      </c>
      <c r="H81" s="1606">
        <f>(F22*'Fleet Information'!D6)/115000</f>
        <v>0</v>
      </c>
      <c r="I81" s="1606">
        <f>(F25*'Fleet Information'!D6)/115000</f>
        <v>0</v>
      </c>
      <c r="J81" s="1655">
        <f>(F28*'Fleet Information'!D6)/115000</f>
        <v>0</v>
      </c>
      <c r="K81" s="1606">
        <f>(F31*'Fleet Information'!D6)/115000</f>
        <v>0</v>
      </c>
      <c r="L81" s="1606">
        <f>(F34*'Fleet Information'!D6)/115000</f>
        <v>32995371.646104302</v>
      </c>
      <c r="M81" s="1606">
        <f>(F37*'Fleet Information'!D6)/115000</f>
        <v>0</v>
      </c>
      <c r="N81" s="1655">
        <f>(F40*'Fleet Information'!D6)/115000</f>
        <v>0</v>
      </c>
      <c r="O81" s="1606">
        <f>(F43*'Fleet Information'!D6)/115000</f>
        <v>0</v>
      </c>
      <c r="P81" s="1606">
        <f>(F46*'Fleet Information'!D6)/115000</f>
        <v>0</v>
      </c>
      <c r="Q81" s="1606">
        <f>(F49*'Fleet Information'!D6)/115000</f>
        <v>0</v>
      </c>
      <c r="R81" s="1655">
        <f>(F52*'Fleet Information'!D6)/115000</f>
        <v>0</v>
      </c>
      <c r="S81" s="1606">
        <f>(F55*'Fleet Information'!D6)/115000</f>
        <v>0</v>
      </c>
      <c r="T81" s="1606">
        <f>(F57*'Fleet Information'!D6)/115000</f>
        <v>5312780456.6648054</v>
      </c>
      <c r="U81" s="1606">
        <f>(F63*'Fleet Information'!D6)/115000</f>
        <v>0</v>
      </c>
      <c r="V81" s="1606">
        <f>(F70*'Fleet Information'!D6)/115000</f>
        <v>0</v>
      </c>
      <c r="W81" s="1606">
        <f>(F73*'Fleet Information'!D6)/115000</f>
        <v>0</v>
      </c>
      <c r="X81" s="1606">
        <f>(F76*'Fleet Information'!D6)/115000</f>
        <v>3259942.7186351055</v>
      </c>
      <c r="Y81" s="260">
        <f>C81+G81+J81+L81+N81+R81+S81+K81+T81+U81+V81+W81</f>
        <v>5538873818.7802553</v>
      </c>
    </row>
    <row r="82" spans="1:25" ht="18.75" x14ac:dyDescent="0.3">
      <c r="A82" s="1612" t="s">
        <v>169</v>
      </c>
      <c r="B82" s="1615" t="s">
        <v>243</v>
      </c>
      <c r="C82" s="1606">
        <f>(G7*'Fleet Information'!D8)/40.7</f>
        <v>8265161.8538570851</v>
      </c>
      <c r="D82" s="1606">
        <f>(G10*'Fleet Information'!D8)/40.7</f>
        <v>0</v>
      </c>
      <c r="E82" s="1606">
        <f>(G13*'Fleet Information'!D8)/40.7</f>
        <v>0</v>
      </c>
      <c r="F82" s="1606">
        <f>(G16*'Fleet Information'!D8)/40.7</f>
        <v>0</v>
      </c>
      <c r="G82" s="1655">
        <f>(G19*'Fleet Information'!D8)/40.7</f>
        <v>0</v>
      </c>
      <c r="H82" s="1606">
        <f>(G22*'Fleet Information'!D8)/40.7</f>
        <v>0</v>
      </c>
      <c r="I82" s="1606">
        <f>(G25*'Fleet Information'!D8)/40.7</f>
        <v>0</v>
      </c>
      <c r="J82" s="1655">
        <f>(G28*'Fleet Information'!D8)/40.7</f>
        <v>0</v>
      </c>
      <c r="K82" s="1606">
        <f>(G31*'Fleet Information'!D8)/40.7</f>
        <v>0</v>
      </c>
      <c r="L82" s="1606">
        <f>(G34*'Fleet Information'!D8)/40.7</f>
        <v>1412298.9391052802</v>
      </c>
      <c r="M82" s="1606">
        <f>(G37*'Fleet Information'!D8)/40.7</f>
        <v>0</v>
      </c>
      <c r="N82" s="1655">
        <f>(G40*'Fleet Information'!D8)/40.7</f>
        <v>0</v>
      </c>
      <c r="O82" s="1606">
        <f>(G43*'Fleet Information'!D8)/40.7</f>
        <v>0</v>
      </c>
      <c r="P82" s="1606">
        <f>(G46*'Fleet Information'!D8)/40.7</f>
        <v>0</v>
      </c>
      <c r="Q82" s="1606">
        <f>(G49*'Fleet Information'!D8)/40.7</f>
        <v>0</v>
      </c>
      <c r="R82" s="1655">
        <f>(G52*'Fleet Information'!D8)/40.7</f>
        <v>0</v>
      </c>
      <c r="S82" s="1606">
        <f>(G55*'Fleet Information'!D8)/40.7</f>
        <v>0</v>
      </c>
      <c r="T82" s="1606">
        <f>(G57*'Fleet Information'!D8)/40.7</f>
        <v>227402627.34797418</v>
      </c>
      <c r="U82" s="1606">
        <f>(G63*'Fleet Information'!D8)/40.7</f>
        <v>0</v>
      </c>
      <c r="V82" s="1606">
        <f>(G70*'Fleet Information'!D8)/40.7</f>
        <v>0</v>
      </c>
      <c r="W82" s="1606">
        <f>(G73*'Fleet Information'!D8)/40.7</f>
        <v>0</v>
      </c>
      <c r="X82" s="1606">
        <f>(G76*'Fleet Information'!D8)/40.7</f>
        <v>139535.1351836017</v>
      </c>
      <c r="Y82" s="260">
        <f t="shared" ref="Y82:Y86" si="0">C82+G82+J82+L82+N82+R82+S82+K82+T82+U82+V82+W82</f>
        <v>237080088.14093655</v>
      </c>
    </row>
    <row r="83" spans="1:25" ht="18.75" x14ac:dyDescent="0.3">
      <c r="A83" s="1612" t="s">
        <v>251</v>
      </c>
      <c r="B83" s="1615" t="s">
        <v>1728</v>
      </c>
      <c r="C83" s="1606">
        <f>(F7*'Fleet Information'!D9)/139000</f>
        <v>9623935.5568929538</v>
      </c>
      <c r="D83" s="1606">
        <f>(F10*'Fleet Information'!D9)/139000</f>
        <v>0</v>
      </c>
      <c r="E83" s="1606">
        <f>(F13*'Fleet Information'!D9)/139000</f>
        <v>0</v>
      </c>
      <c r="F83" s="1606">
        <f>(F16*'Fleet Information'!D9)/139000</f>
        <v>0</v>
      </c>
      <c r="G83" s="1655">
        <f>(F19*'Fleet Information'!D9)/139000</f>
        <v>0</v>
      </c>
      <c r="H83" s="1606">
        <f>(F22*'Fleet Information'!D9)/139000</f>
        <v>0</v>
      </c>
      <c r="I83" s="1606">
        <f>(F25*'Fleet Information'!D9)/139000</f>
        <v>0</v>
      </c>
      <c r="J83" s="1655">
        <f>(F28*'Fleet Information'!D9)/139000</f>
        <v>0</v>
      </c>
      <c r="K83" s="1606">
        <f>(F31*'Fleet Information'!D9)/139000</f>
        <v>0</v>
      </c>
      <c r="L83" s="1606">
        <f>(F34*'Fleet Information'!D9)/139000</f>
        <v>1644477.6542003965</v>
      </c>
      <c r="M83" s="1606">
        <f>(F37*'Fleet Information'!D9)/139000</f>
        <v>0</v>
      </c>
      <c r="N83" s="1655">
        <f>(F40*'Fleet Information'!D9)/139000</f>
        <v>0</v>
      </c>
      <c r="O83" s="1606">
        <f>(F43*'Fleet Information'!D9)/139000</f>
        <v>0</v>
      </c>
      <c r="P83" s="1606">
        <f>(F46*'Fleet Information'!D9)/139000</f>
        <v>0</v>
      </c>
      <c r="Q83" s="1606">
        <f>(F49*'Fleet Information'!D9)/139000</f>
        <v>0</v>
      </c>
      <c r="R83" s="1655">
        <f>(F52*'Fleet Information'!D9)/139000</f>
        <v>0</v>
      </c>
      <c r="S83" s="1606">
        <f>(F55*'Fleet Information'!D9)/139000</f>
        <v>0</v>
      </c>
      <c r="T83" s="1606">
        <f>(F57*'Fleet Information'!D9)/139000</f>
        <v>264787099.12301838</v>
      </c>
      <c r="U83" s="1606">
        <f>(F63*'Fleet Information'!D9)/139000</f>
        <v>0</v>
      </c>
      <c r="V83" s="1606">
        <f>(F70*'Fleet Information'!D9)/139000</f>
        <v>0</v>
      </c>
      <c r="W83" s="1606">
        <f>(F73*'Fleet Information'!D9)/139000</f>
        <v>0</v>
      </c>
      <c r="X83" s="1606">
        <f>(F76*'Fleet Information'!D9)/139000</f>
        <v>162474.39223499919</v>
      </c>
      <c r="Y83" s="260">
        <f t="shared" si="0"/>
        <v>276055512.33411175</v>
      </c>
    </row>
    <row r="84" spans="1:25" ht="18.75" x14ac:dyDescent="0.3">
      <c r="A84" s="1612" t="s">
        <v>252</v>
      </c>
      <c r="B84" s="1615" t="s">
        <v>244</v>
      </c>
      <c r="C84" s="1606">
        <f>(G7*'Fleet Information'!D12)/33.7</f>
        <v>100500198.77342097</v>
      </c>
      <c r="D84" s="1606">
        <f>(G10*'Fleet Information'!D12)/33.7</f>
        <v>0</v>
      </c>
      <c r="E84" s="1606">
        <f>(G13*'Fleet Information'!D12)/33.7</f>
        <v>0</v>
      </c>
      <c r="F84" s="1606">
        <f>(G16*'Fleet Information'!D12)/33.7</f>
        <v>0</v>
      </c>
      <c r="G84" s="1655">
        <f>(G19*'Fleet Information'!D12)/33.7</f>
        <v>0</v>
      </c>
      <c r="H84" s="1606">
        <f>(G22*'Fleet Information'!D12)/33.7</f>
        <v>0</v>
      </c>
      <c r="I84" s="1606">
        <f>(G25*'Fleet Information'!D12)/33.7</f>
        <v>0</v>
      </c>
      <c r="J84" s="1655">
        <f>(G28*'Fleet Information'!D12)/33.7</f>
        <v>0</v>
      </c>
      <c r="K84" s="1606">
        <f>(G31*'Fleet Information'!D12)/33.7</f>
        <v>0</v>
      </c>
      <c r="L84" s="1606">
        <f>(G34*'Fleet Information'!D12)/33.7</f>
        <v>17172842.663853593</v>
      </c>
      <c r="M84" s="1606">
        <f>(G37*'Fleet Information'!D12)/33.7</f>
        <v>0</v>
      </c>
      <c r="N84" s="1655">
        <f>(G40*'Fleet Information'!D12)/33.7</f>
        <v>0</v>
      </c>
      <c r="O84" s="1606">
        <f>(G43*'Fleet Information'!D12)/33.7</f>
        <v>0</v>
      </c>
      <c r="P84" s="1606">
        <f>(G46*'Fleet Information'!D12)/33.7</f>
        <v>0</v>
      </c>
      <c r="Q84" s="1606">
        <f>(G49*'Fleet Information'!D12)/33.7</f>
        <v>0</v>
      </c>
      <c r="R84" s="1655">
        <f>(G52*'Fleet Information'!D12)/33.7</f>
        <v>0</v>
      </c>
      <c r="S84" s="1606">
        <f>(G55*'Fleet Information'!D12)/33.7</f>
        <v>0</v>
      </c>
      <c r="T84" s="1606">
        <f>(G57*'Fleet Information'!D12)/33.7</f>
        <v>2765101235.0598249</v>
      </c>
      <c r="U84" s="1606">
        <f>(G63*'Fleet Information'!D12)/33.7</f>
        <v>0</v>
      </c>
      <c r="V84" s="1606">
        <f>(G70*'Fleet Information'!D12)/33.7</f>
        <v>0</v>
      </c>
      <c r="W84" s="1606">
        <f>(G73*'Fleet Information'!D12)/33.7</f>
        <v>0</v>
      </c>
      <c r="X84" s="1606">
        <f>(G76*'Fleet Information'!D12)/33.7</f>
        <v>1696676.8551887351</v>
      </c>
      <c r="Y84" s="260">
        <f t="shared" si="0"/>
        <v>2882774276.4970994</v>
      </c>
    </row>
    <row r="85" spans="1:25" ht="18.75" x14ac:dyDescent="0.3">
      <c r="A85" s="1612" t="s">
        <v>253</v>
      </c>
      <c r="B85" s="1615" t="s">
        <v>1729</v>
      </c>
      <c r="C85" s="245">
        <f>(F7*'Fleet Information'!D13)/115000</f>
        <v>120977054.26995176</v>
      </c>
      <c r="D85" s="245">
        <f>(F10*'Fleet Information'!D13)/115000</f>
        <v>0</v>
      </c>
      <c r="E85" s="245">
        <f>(F13*'Fleet Information'!D13)/115000</f>
        <v>0</v>
      </c>
      <c r="F85" s="245">
        <f>(F16*'Fleet Information'!D13)/115000</f>
        <v>0</v>
      </c>
      <c r="G85" s="1606">
        <f>(F19*'Fleet Information'!D13)/115000</f>
        <v>0</v>
      </c>
      <c r="H85" s="245">
        <f>(F22*'Fleet Information'!D13)/115000</f>
        <v>0</v>
      </c>
      <c r="I85" s="245">
        <f>(F25*'Fleet Information'!D13)/115000</f>
        <v>0</v>
      </c>
      <c r="J85" s="1655">
        <f>(F28*'Fleet Information'!D13)/115000</f>
        <v>0</v>
      </c>
      <c r="K85" s="245">
        <f>(F31*'Fleet Information'!D13)/115000</f>
        <v>0</v>
      </c>
      <c r="L85" s="1606">
        <f>(F34*'Fleet Information'!D13)/115000</f>
        <v>20671799.103583414</v>
      </c>
      <c r="M85" s="1606">
        <f>(F37*'Fleet Information'!D13)/115000</f>
        <v>0</v>
      </c>
      <c r="N85" s="1606">
        <f>(F40*'Fleet Information'!D13)/115000</f>
        <v>0</v>
      </c>
      <c r="O85" s="1606">
        <f>(F43*'Fleet Information'!D13)/115000</f>
        <v>0</v>
      </c>
      <c r="P85" s="1606">
        <f>(F46*'Fleet Information'!D13)/115000</f>
        <v>0</v>
      </c>
      <c r="Q85" s="1606">
        <f>(F49*'Fleet Information'!D13)/115000</f>
        <v>0</v>
      </c>
      <c r="R85" s="1655">
        <f>(F52*'Fleet Information'!D13)/115000</f>
        <v>0</v>
      </c>
      <c r="S85" s="1606">
        <f>(F55*'Fleet Information'!D13)/115000</f>
        <v>0</v>
      </c>
      <c r="T85" s="1606">
        <f>(F57*'Fleet Information'!D13)/115000</f>
        <v>3328488960.8020468</v>
      </c>
      <c r="U85" s="1606">
        <f>(F63*'Fleet Information'!D13)/115000</f>
        <v>0</v>
      </c>
      <c r="V85" s="1606">
        <f>(F70*'Fleet Information'!D13)/115000</f>
        <v>0</v>
      </c>
      <c r="W85" s="1606">
        <f>(F73*'Fleet Information'!D13)/115000</f>
        <v>0</v>
      </c>
      <c r="X85" s="1606">
        <f>(F76*'Fleet Information'!D13)/115000</f>
        <v>2042373.7514340419</v>
      </c>
      <c r="Y85" s="260">
        <f t="shared" si="0"/>
        <v>3470137814.1755819</v>
      </c>
    </row>
    <row r="86" spans="1:25" ht="18.75" x14ac:dyDescent="0.3">
      <c r="A86" s="1612" t="s">
        <v>254</v>
      </c>
      <c r="B86" s="1615" t="s">
        <v>166</v>
      </c>
      <c r="C86" s="1606">
        <f>(G7*'Fleet Information'!D16)/33.7</f>
        <v>76452747.148178041</v>
      </c>
      <c r="D86" s="1606">
        <f>(G10*'Fleet Information'!D16)/33.7</f>
        <v>0</v>
      </c>
      <c r="E86" s="1606">
        <f>(G13*'Fleet Information'!D16)/33.7</f>
        <v>0</v>
      </c>
      <c r="F86" s="1606">
        <f>(G16*'Fleet Information'!D16)/33.7</f>
        <v>0</v>
      </c>
      <c r="G86" s="1655">
        <f>(G19*'Fleet Information'!D16)/33.7</f>
        <v>0</v>
      </c>
      <c r="H86" s="1606">
        <f>(G22*'Fleet Information'!D16)/33.7</f>
        <v>0</v>
      </c>
      <c r="I86" s="1606">
        <f>(G25*'Fleet Information'!D16)/33.7</f>
        <v>0</v>
      </c>
      <c r="J86" s="1655">
        <f>(G28*'Fleet Information'!D16)/33.7</f>
        <v>0</v>
      </c>
      <c r="K86" s="1606">
        <f>(G31*'Fleet Information'!D16)/33.7</f>
        <v>0</v>
      </c>
      <c r="L86" s="1606">
        <f>(G34*'Fleet Information'!D16)/33.7</f>
        <v>13063765.186723841</v>
      </c>
      <c r="M86" s="1606">
        <f>(G37*'Fleet Information'!D16)/33.7</f>
        <v>0</v>
      </c>
      <c r="N86" s="1655">
        <f>(G40*'Fleet Information'!D16)/33.7</f>
        <v>0</v>
      </c>
      <c r="O86" s="1606">
        <f>(G43*'Fleet Information'!D16)/33.7</f>
        <v>0</v>
      </c>
      <c r="P86" s="1606">
        <f>(G46*'Fleet Information'!D16)/33.7</f>
        <v>0</v>
      </c>
      <c r="Q86" s="1606">
        <f>(G49*'Fleet Information'!D16)/33.7</f>
        <v>0</v>
      </c>
      <c r="R86" s="1655">
        <f>(G52*'Fleet Information'!D16)/33.7</f>
        <v>0</v>
      </c>
      <c r="S86" s="1606">
        <f>(G49*'Fleet Information'!D16)/33.7</f>
        <v>0</v>
      </c>
      <c r="T86" s="1606">
        <f>(G57*'Fleet Information'!D16)/33.7</f>
        <v>2103474302.9687612</v>
      </c>
      <c r="U86" s="1606">
        <f>(G63*'Fleet Information'!D16)/33.7</f>
        <v>0</v>
      </c>
      <c r="V86" s="1606">
        <f>(G70*'Fleet Information'!D16)/33.7</f>
        <v>0</v>
      </c>
      <c r="W86" s="1606">
        <f>(G73*'Fleet Information'!D16)/33.7</f>
        <v>0</v>
      </c>
      <c r="X86" s="1606">
        <f>(G76*'Fleet Information'!D16)/33.7</f>
        <v>1290700.0004483156</v>
      </c>
      <c r="Y86" s="260">
        <f t="shared" si="0"/>
        <v>2192990815.3036633</v>
      </c>
    </row>
    <row r="87" spans="1:25" ht="19.5" thickBot="1" x14ac:dyDescent="0.35">
      <c r="A87" s="1613" t="s">
        <v>255</v>
      </c>
      <c r="B87" s="95" t="s">
        <v>1730</v>
      </c>
      <c r="C87" s="1662">
        <f>(F7*'Fleet Information'!D17)/115000</f>
        <v>95385754.328231201</v>
      </c>
      <c r="D87" s="1662">
        <f>(F10*'Fleet Information'!D17)/115000</f>
        <v>0</v>
      </c>
      <c r="E87" s="1662">
        <f>(F13*'Fleet Information'!D17)/115000</f>
        <v>0</v>
      </c>
      <c r="F87" s="1662">
        <f>(F16*'Fleet Information'!D17)/115000</f>
        <v>0</v>
      </c>
      <c r="G87" s="1670">
        <f>(F19*'Fleet Information'!D17)/115000</f>
        <v>0</v>
      </c>
      <c r="H87" s="1662">
        <f>(F22*'Fleet Information'!D17)/115000</f>
        <v>0</v>
      </c>
      <c r="I87" s="1662">
        <f>(F25*'Fleet Information'!D17)/115000</f>
        <v>0</v>
      </c>
      <c r="J87" s="1670">
        <f>(F28*'Fleet Information'!D17)/115000</f>
        <v>0</v>
      </c>
      <c r="K87" s="1662">
        <f>(F31*'Fleet Information'!D17)/115000</f>
        <v>0</v>
      </c>
      <c r="L87" s="1662">
        <f>(F34*'Fleet Information'!D17)/115000</f>
        <v>16298918.523979235</v>
      </c>
      <c r="M87" s="1662">
        <f>(F37*'Fleet Information'!D17)/115000</f>
        <v>0</v>
      </c>
      <c r="N87" s="1670">
        <f>(F40*'Fleet Information'!D17)/115000</f>
        <v>0</v>
      </c>
      <c r="O87" s="1662">
        <f>(F43*'Fleet Information'!D17)/115000</f>
        <v>0</v>
      </c>
      <c r="P87" s="1662">
        <f>(F46*'Fleet Information'!D17)/115000</f>
        <v>0</v>
      </c>
      <c r="Q87" s="1662">
        <f>(F49*'Fleet Information'!D17)/115000</f>
        <v>0</v>
      </c>
      <c r="R87" s="1670">
        <f>(F52*'Fleet Information'!D17)/115000</f>
        <v>0</v>
      </c>
      <c r="S87" s="1662">
        <f>(F55*'Fleet Information'!D17)/115000</f>
        <v>0</v>
      </c>
      <c r="T87" s="1662">
        <f>(F57*'Fleet Information'!D17)/115000</f>
        <v>2624385526.7862291</v>
      </c>
      <c r="U87" s="1662">
        <f>(F63*'Fleet Information'!D17)/115000</f>
        <v>0</v>
      </c>
      <c r="V87" s="1662">
        <f>(F70*'Fleet Information'!D17)/115000</f>
        <v>0</v>
      </c>
      <c r="W87" s="1662">
        <f>(F73*'Fleet Information'!D17)/115000</f>
        <v>0</v>
      </c>
      <c r="X87" s="1662">
        <f>(F76*'Fleet Information'!D17)/115000</f>
        <v>1610333.1501691486</v>
      </c>
      <c r="Y87" s="1671">
        <f>C87+G87+J87+L87+N87+R87+S87+K87+T87+U87+V87+W87</f>
        <v>2736070199.6384397</v>
      </c>
    </row>
    <row r="88" spans="1:25" ht="97.5" customHeight="1" thickBot="1" x14ac:dyDescent="0.3">
      <c r="A88" s="1672" t="s">
        <v>28</v>
      </c>
      <c r="B88" s="1663" t="s">
        <v>250</v>
      </c>
      <c r="C88" s="1673" t="s">
        <v>245</v>
      </c>
      <c r="D88" s="1663" t="s">
        <v>499</v>
      </c>
      <c r="E88" s="1663" t="s">
        <v>500</v>
      </c>
      <c r="F88" s="1663" t="s">
        <v>501</v>
      </c>
      <c r="G88" s="1657" t="s">
        <v>1608</v>
      </c>
      <c r="H88" s="1663" t="s">
        <v>502</v>
      </c>
      <c r="I88" s="1663" t="s">
        <v>503</v>
      </c>
      <c r="J88" s="1657" t="s">
        <v>1591</v>
      </c>
      <c r="K88" s="1657" t="s">
        <v>520</v>
      </c>
      <c r="L88" s="1673" t="s">
        <v>42</v>
      </c>
      <c r="M88" s="1663" t="s">
        <v>504</v>
      </c>
      <c r="N88" s="1657" t="s">
        <v>1607</v>
      </c>
      <c r="O88" s="1663" t="s">
        <v>510</v>
      </c>
      <c r="P88" s="1663" t="s">
        <v>511</v>
      </c>
      <c r="Q88" s="1663" t="s">
        <v>512</v>
      </c>
      <c r="R88" s="1657" t="s">
        <v>1593</v>
      </c>
      <c r="S88" s="1657" t="s">
        <v>520</v>
      </c>
      <c r="T88" s="1673" t="s">
        <v>246</v>
      </c>
      <c r="U88" s="1657" t="s">
        <v>697</v>
      </c>
      <c r="V88" s="1657" t="s">
        <v>698</v>
      </c>
      <c r="W88" s="1674" t="s">
        <v>490</v>
      </c>
      <c r="X88" s="1675" t="s">
        <v>459</v>
      </c>
      <c r="Y88" s="1674" t="s">
        <v>489</v>
      </c>
    </row>
    <row r="89" spans="1:25" ht="18.75" x14ac:dyDescent="0.3">
      <c r="A89" s="1356" t="s">
        <v>179</v>
      </c>
      <c r="B89" s="1666" t="s">
        <v>248</v>
      </c>
      <c r="C89" s="1457">
        <f>C80/'Fleet Information'!G3</f>
        <v>13172.675875056999</v>
      </c>
      <c r="D89" s="1457">
        <f>D80/'Fleet Information'!G3</f>
        <v>0</v>
      </c>
      <c r="E89" s="1457">
        <f>E80/'Fleet Information'!G3</f>
        <v>0</v>
      </c>
      <c r="F89" s="1457">
        <f>F80/'Fleet Information'!G3</f>
        <v>0</v>
      </c>
      <c r="G89" s="1676">
        <f>G80/'Fleet Information'!G3</f>
        <v>0</v>
      </c>
      <c r="H89" s="1457">
        <f>H80/'Fleet Information'!G3</f>
        <v>0</v>
      </c>
      <c r="I89" s="1457">
        <f>I80/'Fleet Information'!G3</f>
        <v>0</v>
      </c>
      <c r="J89" s="1676">
        <f>J80/'Fleet Information'!G3</f>
        <v>0</v>
      </c>
      <c r="K89" s="1457">
        <f>K80/'Fleet Information'!G3</f>
        <v>0</v>
      </c>
      <c r="L89" s="1457">
        <f>L80/'Fleet Information'!G3</f>
        <v>2250.8641079834319</v>
      </c>
      <c r="M89" s="1457">
        <f>M80/'Fleet Information'!G3</f>
        <v>0</v>
      </c>
      <c r="N89" s="1676">
        <f>N80/'Fleet Information'!G3</f>
        <v>0</v>
      </c>
      <c r="O89" s="1457">
        <f>O80/'Fleet Information'!G3</f>
        <v>0</v>
      </c>
      <c r="P89" s="1457">
        <f>P80/'Fleet Information'!G3</f>
        <v>0</v>
      </c>
      <c r="Q89" s="1457">
        <f>Q80/'Fleet Information'!G3</f>
        <v>0</v>
      </c>
      <c r="R89" s="756">
        <f>R80/'Fleet Information'!G3</f>
        <v>0</v>
      </c>
      <c r="S89" s="1457">
        <f>S80/'Fleet Information'!G3</f>
        <v>0</v>
      </c>
      <c r="T89" s="1457">
        <f>T80/'Fleet Information'!G3</f>
        <v>362424.97801701631</v>
      </c>
      <c r="U89" s="1457">
        <f>U80/'Fleet Information'!G3</f>
        <v>0</v>
      </c>
      <c r="V89" s="1457">
        <f>V80/'Fleet Information'!G3</f>
        <v>0</v>
      </c>
      <c r="W89" s="1457">
        <f>W80/'Fleet Information'!G3</f>
        <v>0</v>
      </c>
      <c r="X89" s="1457">
        <f>X80/'Fleet Information'!G3</f>
        <v>222.38537386876308</v>
      </c>
      <c r="Y89" s="1677">
        <f>C89+G89+J89+L89+N89+R89+S89+K89+T89+U89+V89+W89</f>
        <v>377848.51800005673</v>
      </c>
    </row>
    <row r="90" spans="1:25" ht="18.75" x14ac:dyDescent="0.3">
      <c r="A90" s="1612" t="s">
        <v>180</v>
      </c>
      <c r="B90" s="1615" t="s">
        <v>1731</v>
      </c>
      <c r="C90" s="1608">
        <f>C81/'Fleet Information'!G3</f>
        <v>15572.418586237585</v>
      </c>
      <c r="D90" s="1608">
        <f>D81/'Fleet Information'!G3</f>
        <v>0</v>
      </c>
      <c r="E90" s="1608">
        <f>E81/'Fleet Information'!G3</f>
        <v>0</v>
      </c>
      <c r="F90" s="1608">
        <f>F81/'Fleet Information'!G3</f>
        <v>0</v>
      </c>
      <c r="G90" s="1656">
        <f>G81/'Fleet Information'!G3</f>
        <v>0</v>
      </c>
      <c r="H90" s="1608">
        <f>H81/'Fleet Information'!G3</f>
        <v>0</v>
      </c>
      <c r="I90" s="1608">
        <f>I81/'Fleet Information'!G3</f>
        <v>0</v>
      </c>
      <c r="J90" s="1656">
        <f>J81/'Fleet Information'!G3</f>
        <v>0</v>
      </c>
      <c r="K90" s="1608">
        <f>K81/'Fleet Information'!G3</f>
        <v>0</v>
      </c>
      <c r="L90" s="1608">
        <f>L81/'Fleet Information'!G3</f>
        <v>2660.9170682342178</v>
      </c>
      <c r="M90" s="1608">
        <f>M81/'Fleet Information'!G3</f>
        <v>0</v>
      </c>
      <c r="N90" s="1656">
        <f>N81/'Fleet Information'!G3</f>
        <v>0</v>
      </c>
      <c r="O90" s="1608">
        <f>O81/'Fleet Information'!G3</f>
        <v>0</v>
      </c>
      <c r="P90" s="1608">
        <f>P81/'Fleet Information'!G3</f>
        <v>0</v>
      </c>
      <c r="Q90" s="1608">
        <f>Q81/'Fleet Information'!G3</f>
        <v>0</v>
      </c>
      <c r="R90" s="862">
        <f>R81/'Fleet Information'!G3</f>
        <v>0</v>
      </c>
      <c r="S90" s="1608">
        <f>S81/'Fleet Information'!G3</f>
        <v>0</v>
      </c>
      <c r="T90" s="1608">
        <f>T81/'Fleet Information'!G3</f>
        <v>428450.03682780691</v>
      </c>
      <c r="U90" s="1608">
        <f>U81/'Fleet Information'!G3</f>
        <v>0</v>
      </c>
      <c r="V90" s="1608">
        <f>V81/'Fleet Information'!G3</f>
        <v>0</v>
      </c>
      <c r="W90" s="1608">
        <f>W81/'Fleet Information'!G3</f>
        <v>0</v>
      </c>
      <c r="X90" s="1608">
        <f>X81/'Fleet Information'!G3</f>
        <v>262.89860634154076</v>
      </c>
      <c r="Y90" s="187">
        <f>C90+G90+J90+L90+N90+R90+S90+K90+T90+U90+V90+W90</f>
        <v>446683.37248227873</v>
      </c>
    </row>
    <row r="91" spans="1:25" ht="18.75" x14ac:dyDescent="0.3">
      <c r="A91" s="1612" t="s">
        <v>181</v>
      </c>
      <c r="B91" s="1615" t="s">
        <v>84</v>
      </c>
      <c r="C91" s="1608">
        <f>C82/'Fleet Information'!G7</f>
        <v>353.21204503662756</v>
      </c>
      <c r="D91" s="1608">
        <f>D82/'Fleet Information'!G7</f>
        <v>0</v>
      </c>
      <c r="E91" s="1608">
        <f>E82/'Fleet Information'!G7</f>
        <v>0</v>
      </c>
      <c r="F91" s="1608">
        <f>F82/'Fleet Information'!G7</f>
        <v>0</v>
      </c>
      <c r="G91" s="1656">
        <f>G82/'Fleet Information'!G7</f>
        <v>0</v>
      </c>
      <c r="H91" s="1608">
        <f>H82/'Fleet Information'!G7</f>
        <v>0</v>
      </c>
      <c r="I91" s="1608">
        <f>I82/'Fleet Information'!G7</f>
        <v>0</v>
      </c>
      <c r="J91" s="1656">
        <f>J82/'Fleet Information'!G7</f>
        <v>0</v>
      </c>
      <c r="K91" s="1608">
        <f>K82/'Fleet Information'!G7</f>
        <v>0</v>
      </c>
      <c r="L91" s="1608">
        <f>L82/'Fleet Information'!G7</f>
        <v>60.354655517319664</v>
      </c>
      <c r="M91" s="1608">
        <f>M82/'Fleet Information'!G7</f>
        <v>0</v>
      </c>
      <c r="N91" s="1656">
        <f>N82/'Fleet Information'!G7</f>
        <v>0</v>
      </c>
      <c r="O91" s="1608">
        <f>O82/'Fleet Information'!G7</f>
        <v>0</v>
      </c>
      <c r="P91" s="1608">
        <f>P82/'Fleet Information'!G7</f>
        <v>0</v>
      </c>
      <c r="Q91" s="1608">
        <f>Q82/'Fleet Information'!G7</f>
        <v>0</v>
      </c>
      <c r="R91" s="862">
        <f>R82/'Fleet Information'!G7</f>
        <v>0</v>
      </c>
      <c r="S91" s="1608">
        <f>S82/'Fleet Information'!G7</f>
        <v>0</v>
      </c>
      <c r="T91" s="1608">
        <f>T82/'Fleet Information'!G7</f>
        <v>9718.0609977766744</v>
      </c>
      <c r="U91" s="1608">
        <f>U82/'Fleet Information'!G7</f>
        <v>0</v>
      </c>
      <c r="V91" s="1608">
        <f>V82/'Fleet Information'!G7</f>
        <v>0</v>
      </c>
      <c r="W91" s="1608">
        <f>W82/'Fleet Information'!G7</f>
        <v>0</v>
      </c>
      <c r="X91" s="1608">
        <f>X82/'Fleet Information'!G7</f>
        <v>5.9630399651111841</v>
      </c>
      <c r="Y91" s="187">
        <f t="shared" ref="Y91:Y96" si="1">C91+G91+J91+L91+N91+R91+S91+K91+T91+U91+V91+W91</f>
        <v>10131.627698330622</v>
      </c>
    </row>
    <row r="92" spans="1:25" ht="18.75" x14ac:dyDescent="0.3">
      <c r="A92" s="1612" t="s">
        <v>221</v>
      </c>
      <c r="B92" s="1615" t="s">
        <v>1732</v>
      </c>
      <c r="C92" s="1608">
        <f>C83/'Fleet Information'!G7</f>
        <v>411.27929730311769</v>
      </c>
      <c r="D92" s="1608">
        <f>D83/'Fleet Information'!G7</f>
        <v>0</v>
      </c>
      <c r="E92" s="1608">
        <f>E83/'Fleet Information'!G7</f>
        <v>0</v>
      </c>
      <c r="F92" s="1608">
        <f>F83/'Fleet Information'!G7</f>
        <v>0</v>
      </c>
      <c r="G92" s="1656">
        <f>G83/'Fleet Information'!G7</f>
        <v>0</v>
      </c>
      <c r="H92" s="1608">
        <f>H83/'Fleet Information'!G7</f>
        <v>0</v>
      </c>
      <c r="I92" s="1608">
        <f>I83/'Fleet Information'!G7</f>
        <v>0</v>
      </c>
      <c r="J92" s="1656">
        <f>J83/'Fleet Information'!G7</f>
        <v>0</v>
      </c>
      <c r="K92" s="1608">
        <f>K83/'Fleet Information'!G7</f>
        <v>0</v>
      </c>
      <c r="L92" s="1608">
        <f>L83/'Fleet Information'!G7</f>
        <v>70.276822829076778</v>
      </c>
      <c r="M92" s="1608">
        <f>M83/'Fleet Information'!G7</f>
        <v>0</v>
      </c>
      <c r="N92" s="1656">
        <f>N83/'Fleet Information'!G7</f>
        <v>0</v>
      </c>
      <c r="O92" s="1608">
        <f>O83/'Fleet Information'!G7</f>
        <v>0</v>
      </c>
      <c r="P92" s="1608">
        <f>P83/'Fleet Information'!G7</f>
        <v>0</v>
      </c>
      <c r="Q92" s="1608">
        <f>Q83/'Fleet Information'!G7</f>
        <v>0</v>
      </c>
      <c r="R92" s="862">
        <f>R83/'Fleet Information'!G7</f>
        <v>0</v>
      </c>
      <c r="S92" s="1608">
        <f>S83/'Fleet Information'!G7</f>
        <v>0</v>
      </c>
      <c r="T92" s="1608">
        <f>T83/'Fleet Information'!G7</f>
        <v>11315.687996710187</v>
      </c>
      <c r="U92" s="1608">
        <f>U83/'Fleet Information'!G7</f>
        <v>0</v>
      </c>
      <c r="V92" s="1608">
        <f>V83/'Fleet Information'!G7</f>
        <v>0</v>
      </c>
      <c r="W92" s="1608">
        <f>W83/'Fleet Information'!G7</f>
        <v>0</v>
      </c>
      <c r="X92" s="1608">
        <f>X83/'Fleet Information'!G7</f>
        <v>6.9433500955127858</v>
      </c>
      <c r="Y92" s="187">
        <f t="shared" si="1"/>
        <v>11797.244116842381</v>
      </c>
    </row>
    <row r="93" spans="1:25" ht="18.75" x14ac:dyDescent="0.3">
      <c r="A93" s="1612" t="s">
        <v>256</v>
      </c>
      <c r="B93" s="1615" t="s">
        <v>249</v>
      </c>
      <c r="C93" s="1608">
        <f>C84/'Fleet Information'!G10</f>
        <v>8815.8069099492077</v>
      </c>
      <c r="D93" s="1608">
        <f>D84/'Fleet Information'!G10</f>
        <v>0</v>
      </c>
      <c r="E93" s="1608">
        <f>E84/'Fleet Information'!G10</f>
        <v>0</v>
      </c>
      <c r="F93" s="1608">
        <f>F84/'Fleet Information'!G10</f>
        <v>0</v>
      </c>
      <c r="G93" s="1656">
        <f>G84/'Fleet Information'!G10</f>
        <v>0</v>
      </c>
      <c r="H93" s="1608">
        <f>H84/'Fleet Information'!G10</f>
        <v>0</v>
      </c>
      <c r="I93" s="1608">
        <f>I84/'Fleet Information'!G10</f>
        <v>0</v>
      </c>
      <c r="J93" s="1656">
        <f>J84/'Fleet Information'!G10</f>
        <v>0</v>
      </c>
      <c r="K93" s="1608">
        <f>K84/'Fleet Information'!G10</f>
        <v>0</v>
      </c>
      <c r="L93" s="1608">
        <f>L84/'Fleet Information'!G10</f>
        <v>1506.3897073555784</v>
      </c>
      <c r="M93" s="1608">
        <f>M84/'Fleet Information'!G10</f>
        <v>0</v>
      </c>
      <c r="N93" s="1656">
        <f>N84/'Fleet Information'!G10</f>
        <v>0</v>
      </c>
      <c r="O93" s="1608">
        <f>O84/'Fleet Information'!G10</f>
        <v>0</v>
      </c>
      <c r="P93" s="1608">
        <f>P84/'Fleet Information'!G10</f>
        <v>0</v>
      </c>
      <c r="Q93" s="1608">
        <f>Q84/'Fleet Information'!G10</f>
        <v>0</v>
      </c>
      <c r="R93" s="862">
        <f>R84/'Fleet Information'!G10</f>
        <v>0</v>
      </c>
      <c r="S93" s="1608">
        <f>S84/'Fleet Information'!G10</f>
        <v>0</v>
      </c>
      <c r="T93" s="1608">
        <f>T84/'Fleet Information'!G10</f>
        <v>242552.7399175285</v>
      </c>
      <c r="U93" s="1608">
        <f>U84/'Fleet Information'!G10</f>
        <v>0</v>
      </c>
      <c r="V93" s="1608">
        <f>V84/'Fleet Information'!G10</f>
        <v>0</v>
      </c>
      <c r="W93" s="1608">
        <f>W84/'Fleet Information'!G10</f>
        <v>0</v>
      </c>
      <c r="X93" s="1608">
        <f>X84/'Fleet Information'!G10</f>
        <v>148.83130308673114</v>
      </c>
      <c r="Y93" s="187">
        <f t="shared" si="1"/>
        <v>252874.93653483328</v>
      </c>
    </row>
    <row r="94" spans="1:25" ht="18.75" x14ac:dyDescent="0.3">
      <c r="A94" s="1612" t="s">
        <v>257</v>
      </c>
      <c r="B94" s="1615" t="s">
        <v>1733</v>
      </c>
      <c r="C94" s="1608">
        <f>C85/'Fleet Information'!G10</f>
        <v>10612.022304381733</v>
      </c>
      <c r="D94" s="1608">
        <f>D85/'Fleet Information'!G10</f>
        <v>0</v>
      </c>
      <c r="E94" s="1608">
        <f>E85/'Fleet Information'!G10</f>
        <v>0</v>
      </c>
      <c r="F94" s="1608">
        <f>F85/'Fleet Information'!G10</f>
        <v>0</v>
      </c>
      <c r="G94" s="1656">
        <f>G85/'Fleet Information'!G10</f>
        <v>0</v>
      </c>
      <c r="H94" s="1608">
        <f>H85/'Fleet Information'!G10</f>
        <v>0</v>
      </c>
      <c r="I94" s="1608">
        <f>I85/'Fleet Information'!G10</f>
        <v>0</v>
      </c>
      <c r="J94" s="1656">
        <f>J85/'Fleet Information'!G10</f>
        <v>0</v>
      </c>
      <c r="K94" s="1608">
        <f>K85/'Fleet Information'!G10</f>
        <v>0</v>
      </c>
      <c r="L94" s="1608">
        <f>L85/'Fleet Information'!G10</f>
        <v>1813.3157108406504</v>
      </c>
      <c r="M94" s="1608">
        <f>M85/'Fleet Information'!G10</f>
        <v>0</v>
      </c>
      <c r="N94" s="1656">
        <f>N85/'Fleet Information'!G10</f>
        <v>0</v>
      </c>
      <c r="O94" s="1608">
        <f>O85/'Fleet Information'!G10</f>
        <v>0</v>
      </c>
      <c r="P94" s="1608">
        <f>P85/'Fleet Information'!G10</f>
        <v>0</v>
      </c>
      <c r="Q94" s="1608">
        <f>Q85/'Fleet Information'!G10</f>
        <v>0</v>
      </c>
      <c r="R94" s="862">
        <f>R85/'Fleet Information'!G10</f>
        <v>0</v>
      </c>
      <c r="S94" s="1608">
        <f>S85/'Fleet Information'!G10</f>
        <v>0</v>
      </c>
      <c r="T94" s="1608">
        <f>T85/'Fleet Information'!G10</f>
        <v>291972.71585982869</v>
      </c>
      <c r="U94" s="1608">
        <f>U85/'Fleet Information'!G10</f>
        <v>0</v>
      </c>
      <c r="V94" s="1608">
        <f>V85/'Fleet Information'!G10</f>
        <v>0</v>
      </c>
      <c r="W94" s="1608">
        <f>W85/'Fleet Information'!G10</f>
        <v>0</v>
      </c>
      <c r="X94" s="1608">
        <f>X85/'Fleet Information'!G10</f>
        <v>179.15559223105632</v>
      </c>
      <c r="Y94" s="187">
        <f t="shared" si="1"/>
        <v>304398.05387505109</v>
      </c>
    </row>
    <row r="95" spans="1:25" ht="18.75" x14ac:dyDescent="0.3">
      <c r="A95" s="1612" t="s">
        <v>258</v>
      </c>
      <c r="B95" s="1615" t="s">
        <v>225</v>
      </c>
      <c r="C95" s="1608">
        <f>C86/'Fleet Information'!G14</f>
        <v>3185.5311311740852</v>
      </c>
      <c r="D95" s="1608">
        <f>D86/'Fleet Information'!G14</f>
        <v>0</v>
      </c>
      <c r="E95" s="1608">
        <f>E86/'Fleet Information'!G14</f>
        <v>0</v>
      </c>
      <c r="F95" s="1608">
        <f>F86/'Fleet Information'!G14</f>
        <v>0</v>
      </c>
      <c r="G95" s="1656">
        <f>G86/'Fleet Information'!G14</f>
        <v>0</v>
      </c>
      <c r="H95" s="1608">
        <f>H86/'Fleet Information'!G14</f>
        <v>0</v>
      </c>
      <c r="I95" s="1608">
        <f>I86/'Fleet Information'!G14</f>
        <v>0</v>
      </c>
      <c r="J95" s="1656">
        <f>J86/'Fleet Information'!G14</f>
        <v>0</v>
      </c>
      <c r="K95" s="1608">
        <f>K86/'Fleet Information'!G14</f>
        <v>0</v>
      </c>
      <c r="L95" s="1608">
        <f>L86/'Fleet Information'!G14</f>
        <v>544.32354944682675</v>
      </c>
      <c r="M95" s="1608">
        <f>M86/'Fleet Information'!G14</f>
        <v>0</v>
      </c>
      <c r="N95" s="1656">
        <f>N86/'Fleet Information'!G14</f>
        <v>0</v>
      </c>
      <c r="O95" s="1608">
        <f>O86/'Fleet Information'!G14</f>
        <v>0</v>
      </c>
      <c r="P95" s="1608">
        <f>P86/'Fleet Information'!G14</f>
        <v>0</v>
      </c>
      <c r="Q95" s="1608">
        <f>Q86/'Fleet Information'!G14</f>
        <v>0</v>
      </c>
      <c r="R95" s="862">
        <f>R86/'Fleet Information'!G14</f>
        <v>0</v>
      </c>
      <c r="S95" s="1608">
        <f>S86/'Fleet Information'!G14</f>
        <v>0</v>
      </c>
      <c r="T95" s="1608">
        <f>T86/'Fleet Information'!G14</f>
        <v>87644.762623698378</v>
      </c>
      <c r="U95" s="1608">
        <f>U86/'Fleet Information'!G14</f>
        <v>0</v>
      </c>
      <c r="V95" s="1608">
        <f>V86/'Fleet Information'!G14</f>
        <v>0</v>
      </c>
      <c r="W95" s="1608">
        <f>W86/'Fleet Information'!G14</f>
        <v>0</v>
      </c>
      <c r="X95" s="1608">
        <f>X86/'Fleet Information'!G14</f>
        <v>53.779166685346482</v>
      </c>
      <c r="Y95" s="187">
        <f t="shared" si="1"/>
        <v>91374.617304319283</v>
      </c>
    </row>
    <row r="96" spans="1:25" ht="19.5" thickBot="1" x14ac:dyDescent="0.35">
      <c r="A96" s="1613" t="s">
        <v>259</v>
      </c>
      <c r="B96" s="95" t="s">
        <v>1734</v>
      </c>
      <c r="C96" s="1609">
        <f>C87/'Fleet Information'!G14</f>
        <v>3974.4064303429668</v>
      </c>
      <c r="D96" s="1609">
        <f>D87/'Fleet Information'!G14</f>
        <v>0</v>
      </c>
      <c r="E96" s="1609">
        <f>E87/'Fleet Information'!G14</f>
        <v>0</v>
      </c>
      <c r="F96" s="1609">
        <f>F87/'Fleet Information'!G14</f>
        <v>0</v>
      </c>
      <c r="G96" s="1661">
        <f>G87/'Fleet Information'!G14</f>
        <v>0</v>
      </c>
      <c r="H96" s="1609">
        <f>H87/'Fleet Information'!G14</f>
        <v>0</v>
      </c>
      <c r="I96" s="1609">
        <f>I87/'Fleet Information'!G14</f>
        <v>0</v>
      </c>
      <c r="J96" s="1661">
        <f>J87/'Fleet Information'!G14</f>
        <v>0</v>
      </c>
      <c r="K96" s="1609">
        <f>K87/'Fleet Information'!G14</f>
        <v>0</v>
      </c>
      <c r="L96" s="1609">
        <f>L87/'Fleet Information'!G14</f>
        <v>679.1216051658015</v>
      </c>
      <c r="M96" s="1609">
        <f>M87/'Fleet Information'!G14</f>
        <v>0</v>
      </c>
      <c r="N96" s="1661">
        <f>N87/'Fleet Information'!G14</f>
        <v>0</v>
      </c>
      <c r="O96" s="1609">
        <f>O87/'Fleet Information'!G14</f>
        <v>0</v>
      </c>
      <c r="P96" s="1609">
        <f>P87/'Fleet Information'!G14</f>
        <v>0</v>
      </c>
      <c r="Q96" s="1609">
        <f>Q87/'Fleet Information'!G14</f>
        <v>0</v>
      </c>
      <c r="R96" s="524">
        <f>R87/'Fleet Information'!G14</f>
        <v>0</v>
      </c>
      <c r="S96" s="1609">
        <f>S87/'Fleet Information'!G14</f>
        <v>0</v>
      </c>
      <c r="T96" s="1609">
        <f>T87/'Fleet Information'!G14</f>
        <v>109349.39694942621</v>
      </c>
      <c r="U96" s="1609">
        <f>U87/'Fleet Information'!G14</f>
        <v>0</v>
      </c>
      <c r="V96" s="1609">
        <f>V87/'Fleet Information'!G14</f>
        <v>0</v>
      </c>
      <c r="W96" s="1609">
        <f>W87/'Fleet Information'!G14</f>
        <v>0</v>
      </c>
      <c r="X96" s="1609">
        <f>X87/'Fleet Information'!G14</f>
        <v>67.097214590381185</v>
      </c>
      <c r="Y96" s="227">
        <f t="shared" si="1"/>
        <v>114002.92498493499</v>
      </c>
    </row>
    <row r="97" spans="1:22" x14ac:dyDescent="0.25">
      <c r="A97" s="230"/>
      <c r="B97" s="230"/>
      <c r="C97" s="244"/>
      <c r="D97" s="244"/>
      <c r="E97" s="243"/>
      <c r="F97" s="230"/>
      <c r="G97" s="230"/>
      <c r="H97" s="230"/>
      <c r="I97" s="230"/>
      <c r="J97" s="230"/>
      <c r="K97" s="230"/>
      <c r="L97" s="230"/>
      <c r="M97" s="230"/>
      <c r="N97" s="230"/>
      <c r="O97" s="230"/>
      <c r="P97" s="230"/>
      <c r="Q97" s="230"/>
      <c r="R97" s="230"/>
      <c r="S97" s="230"/>
      <c r="T97" s="230"/>
      <c r="U97" s="230"/>
      <c r="V97" s="230"/>
    </row>
  </sheetData>
  <mergeCells count="66">
    <mergeCell ref="E10:E11"/>
    <mergeCell ref="F10:F11"/>
    <mergeCell ref="G10:G11"/>
    <mergeCell ref="B2:G2"/>
    <mergeCell ref="B4:E4"/>
    <mergeCell ref="E7:E8"/>
    <mergeCell ref="F7:F8"/>
    <mergeCell ref="G7:G8"/>
    <mergeCell ref="E13:E14"/>
    <mergeCell ref="F13:F14"/>
    <mergeCell ref="G13:G14"/>
    <mergeCell ref="E16:E17"/>
    <mergeCell ref="F16:F17"/>
    <mergeCell ref="G16:G17"/>
    <mergeCell ref="F22:F23"/>
    <mergeCell ref="G22:G23"/>
    <mergeCell ref="E25:E26"/>
    <mergeCell ref="F25:F26"/>
    <mergeCell ref="G25:G26"/>
    <mergeCell ref="A78:Y78"/>
    <mergeCell ref="E55:E56"/>
    <mergeCell ref="F55:F56"/>
    <mergeCell ref="G55:G56"/>
    <mergeCell ref="E57:E62"/>
    <mergeCell ref="F57:F62"/>
    <mergeCell ref="G57:G62"/>
    <mergeCell ref="E73:E75"/>
    <mergeCell ref="F73:F75"/>
    <mergeCell ref="G73:G75"/>
    <mergeCell ref="E63:E69"/>
    <mergeCell ref="F63:F69"/>
    <mergeCell ref="G63:G69"/>
    <mergeCell ref="E70:E72"/>
    <mergeCell ref="F70:F72"/>
    <mergeCell ref="G70:G72"/>
    <mergeCell ref="E19:E20"/>
    <mergeCell ref="F19:F20"/>
    <mergeCell ref="G19:G20"/>
    <mergeCell ref="E40:E41"/>
    <mergeCell ref="F40:F41"/>
    <mergeCell ref="G40:G41"/>
    <mergeCell ref="E37:E38"/>
    <mergeCell ref="F37:F38"/>
    <mergeCell ref="G37:G38"/>
    <mergeCell ref="E31:E32"/>
    <mergeCell ref="F31:F32"/>
    <mergeCell ref="G31:G32"/>
    <mergeCell ref="E34:E35"/>
    <mergeCell ref="F34:F35"/>
    <mergeCell ref="G34:G35"/>
    <mergeCell ref="E22:E23"/>
    <mergeCell ref="E52:E53"/>
    <mergeCell ref="F52:F53"/>
    <mergeCell ref="G52:G53"/>
    <mergeCell ref="E28:E29"/>
    <mergeCell ref="F28:F29"/>
    <mergeCell ref="G28:G29"/>
    <mergeCell ref="E46:E47"/>
    <mergeCell ref="F46:F47"/>
    <mergeCell ref="G46:G47"/>
    <mergeCell ref="E49:E50"/>
    <mergeCell ref="F49:F50"/>
    <mergeCell ref="G49:G50"/>
    <mergeCell ref="E43:E44"/>
    <mergeCell ref="F43:F44"/>
    <mergeCell ref="G43:G44"/>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2"/>
  <dimension ref="A1:AW273"/>
  <sheetViews>
    <sheetView tabSelected="1" topLeftCell="C146" zoomScale="69" zoomScaleNormal="69" workbookViewId="0">
      <selection activeCell="E155" sqref="E155"/>
    </sheetView>
  </sheetViews>
  <sheetFormatPr defaultRowHeight="15" x14ac:dyDescent="0.25"/>
  <cols>
    <col min="1" max="1" width="106.28515625" customWidth="1"/>
    <col min="2" max="2" width="129.140625" customWidth="1"/>
    <col min="3" max="3" width="73.140625" customWidth="1"/>
    <col min="4" max="4" width="75.5703125" customWidth="1"/>
    <col min="5" max="5" width="55" customWidth="1"/>
    <col min="6" max="6" width="77.7109375" customWidth="1"/>
    <col min="7" max="7" width="70" customWidth="1"/>
    <col min="8" max="8" width="69.85546875" customWidth="1"/>
    <col min="9" max="9" width="54" customWidth="1"/>
    <col min="10" max="10" width="44.140625" customWidth="1"/>
    <col min="11" max="11" width="58.28515625" customWidth="1"/>
    <col min="12" max="12" width="65.85546875" customWidth="1"/>
    <col min="13" max="13" width="51.140625" bestFit="1" customWidth="1"/>
    <col min="14" max="14" width="58.28515625" customWidth="1"/>
    <col min="15" max="15" width="59" customWidth="1"/>
    <col min="16" max="16" width="93.42578125" customWidth="1"/>
    <col min="17" max="17" width="61.42578125" customWidth="1"/>
    <col min="18" max="18" width="88.42578125" customWidth="1"/>
    <col min="19" max="19" width="54.140625" customWidth="1"/>
    <col min="20" max="20" width="36.140625" customWidth="1"/>
    <col min="21" max="21" width="47.140625" customWidth="1"/>
    <col min="22" max="22" width="47.42578125" customWidth="1"/>
    <col min="23" max="23" width="55.85546875" customWidth="1"/>
    <col min="24" max="24" width="56.140625" bestFit="1" customWidth="1"/>
    <col min="25" max="25" width="48.140625" customWidth="1"/>
    <col min="26" max="26" width="70.7109375" customWidth="1"/>
    <col min="27" max="27" width="26.7109375" customWidth="1"/>
    <col min="28" max="28" width="30.140625" customWidth="1"/>
    <col min="29" max="29" width="21.140625" customWidth="1"/>
    <col min="30" max="30" width="14.5703125" customWidth="1"/>
    <col min="31" max="31" width="17.140625" customWidth="1"/>
    <col min="32" max="32" width="14.42578125" customWidth="1"/>
    <col min="33" max="33" width="30.42578125" customWidth="1"/>
    <col min="34" max="34" width="28.28515625" customWidth="1"/>
    <col min="35" max="35" width="24.5703125" customWidth="1"/>
    <col min="36" max="36" width="16.42578125" customWidth="1"/>
    <col min="37" max="37" width="31" customWidth="1"/>
    <col min="38" max="38" width="33.140625" customWidth="1"/>
    <col min="39" max="39" width="15.140625" customWidth="1"/>
    <col min="40" max="40" width="15" customWidth="1"/>
    <col min="41" max="41" width="13.5703125" customWidth="1"/>
    <col min="42" max="42" width="18.5703125" customWidth="1"/>
    <col min="43" max="43" width="14.28515625" customWidth="1"/>
    <col min="44" max="44" width="13.140625" customWidth="1"/>
    <col min="45" max="45" width="14.140625" customWidth="1"/>
  </cols>
  <sheetData>
    <row r="1" spans="1:29" ht="93" customHeight="1" thickBot="1" x14ac:dyDescent="0.3">
      <c r="A1" s="2619" t="s">
        <v>309</v>
      </c>
      <c r="B1" s="2620"/>
      <c r="C1" s="2620"/>
      <c r="D1" s="2620"/>
      <c r="E1" s="2620"/>
      <c r="F1" s="2620"/>
      <c r="G1" s="2620"/>
      <c r="H1" s="2620"/>
      <c r="I1" s="2621"/>
      <c r="J1" s="101"/>
      <c r="K1" s="101"/>
      <c r="L1" s="101"/>
      <c r="M1" s="101"/>
      <c r="N1" s="101"/>
      <c r="O1" s="2602"/>
      <c r="P1" s="2602"/>
      <c r="Q1" s="2602"/>
      <c r="R1" s="2602"/>
      <c r="S1" s="2602"/>
      <c r="T1" s="2602"/>
      <c r="U1" s="2602"/>
      <c r="V1" s="2602"/>
      <c r="W1" s="2602"/>
      <c r="X1" s="101"/>
      <c r="Y1" s="101"/>
      <c r="Z1" s="101"/>
      <c r="AA1" s="101"/>
      <c r="AB1" s="101"/>
    </row>
    <row r="2" spans="1:29" ht="19.5" customHeight="1" thickBot="1" x14ac:dyDescent="0.3">
      <c r="M2" s="100"/>
      <c r="N2" s="100"/>
      <c r="O2" s="2609"/>
      <c r="P2" s="2609"/>
      <c r="Q2" s="2609"/>
      <c r="R2" s="2609"/>
      <c r="S2" s="2609"/>
      <c r="T2" s="2609"/>
      <c r="U2" s="2609"/>
      <c r="V2" s="2609"/>
      <c r="W2" s="2609"/>
      <c r="X2" s="56"/>
    </row>
    <row r="3" spans="1:29" ht="42.75" customHeight="1" thickBot="1" x14ac:dyDescent="0.3">
      <c r="A3" s="2584" t="s">
        <v>24</v>
      </c>
      <c r="B3" s="2585"/>
      <c r="C3" s="2585"/>
      <c r="D3" s="2585"/>
      <c r="E3" s="2585"/>
      <c r="F3" s="2585"/>
      <c r="G3" s="2585"/>
      <c r="H3" s="2586"/>
      <c r="I3" s="145"/>
      <c r="J3" s="97"/>
      <c r="K3" s="97"/>
      <c r="L3" s="97"/>
      <c r="M3" s="2406" t="s">
        <v>310</v>
      </c>
      <c r="N3" s="2407"/>
      <c r="O3" s="2407"/>
      <c r="P3" s="2407"/>
      <c r="Q3" s="2407"/>
      <c r="R3" s="2407"/>
      <c r="S3" s="2407"/>
      <c r="T3" s="2407"/>
      <c r="U3" s="2407"/>
      <c r="V3" s="2407"/>
      <c r="W3" s="2407"/>
      <c r="X3" s="2407"/>
      <c r="Y3" s="2407"/>
      <c r="Z3" s="2408"/>
    </row>
    <row r="4" spans="1:29" ht="84" customHeight="1" thickBot="1" x14ac:dyDescent="0.3">
      <c r="A4" s="2422" t="s">
        <v>1735</v>
      </c>
      <c r="B4" s="2423"/>
      <c r="C4" s="2423"/>
      <c r="D4" s="2423"/>
      <c r="E4" s="2423"/>
      <c r="F4" s="2423"/>
      <c r="G4" s="2423"/>
      <c r="H4" s="2424"/>
      <c r="I4" s="121"/>
      <c r="J4" s="96"/>
      <c r="K4" s="96"/>
      <c r="L4" s="96"/>
      <c r="M4" s="2406" t="s">
        <v>310</v>
      </c>
      <c r="N4" s="2407"/>
      <c r="O4" s="2407"/>
      <c r="P4" s="2407"/>
      <c r="Q4" s="2407"/>
      <c r="R4" s="2407"/>
      <c r="S4" s="2407"/>
      <c r="T4" s="2407"/>
      <c r="U4" s="2407"/>
      <c r="V4" s="2407"/>
      <c r="W4" s="2407"/>
      <c r="X4" s="2407"/>
      <c r="Y4" s="2407"/>
      <c r="Z4" s="2408"/>
    </row>
    <row r="5" spans="1:29" s="642" customFormat="1" ht="47.25" customHeight="1" x14ac:dyDescent="0.25">
      <c r="A5" s="2604" t="s">
        <v>28</v>
      </c>
      <c r="B5" s="2607" t="s">
        <v>120</v>
      </c>
      <c r="C5" s="2610" t="s">
        <v>230</v>
      </c>
      <c r="D5" s="2610" t="s">
        <v>381</v>
      </c>
      <c r="E5" s="2607" t="s">
        <v>122</v>
      </c>
      <c r="F5" s="2610" t="s">
        <v>296</v>
      </c>
      <c r="G5" s="2610" t="s">
        <v>231</v>
      </c>
      <c r="H5" s="2613" t="s">
        <v>232</v>
      </c>
      <c r="I5" s="98"/>
      <c r="M5" s="650" t="s">
        <v>936</v>
      </c>
      <c r="N5" s="651" t="s">
        <v>16</v>
      </c>
      <c r="O5" s="652" t="s">
        <v>937</v>
      </c>
      <c r="P5" s="653" t="s">
        <v>160</v>
      </c>
      <c r="Q5" s="652" t="s">
        <v>161</v>
      </c>
      <c r="R5" s="652" t="s">
        <v>951</v>
      </c>
      <c r="S5" s="652" t="s">
        <v>938</v>
      </c>
      <c r="T5" s="652" t="s">
        <v>939</v>
      </c>
      <c r="U5" s="652" t="s">
        <v>940</v>
      </c>
      <c r="V5" s="652" t="s">
        <v>941</v>
      </c>
      <c r="W5" s="652" t="s">
        <v>942</v>
      </c>
      <c r="X5" s="654" t="s">
        <v>1235</v>
      </c>
      <c r="Y5" s="652" t="s">
        <v>952</v>
      </c>
      <c r="Z5" s="636" t="s">
        <v>311</v>
      </c>
    </row>
    <row r="6" spans="1:29" ht="15" customHeight="1" x14ac:dyDescent="0.25">
      <c r="A6" s="2605"/>
      <c r="B6" s="2460"/>
      <c r="C6" s="2611"/>
      <c r="D6" s="2611"/>
      <c r="E6" s="2460"/>
      <c r="F6" s="2611"/>
      <c r="G6" s="2611"/>
      <c r="H6" s="2614"/>
      <c r="I6" s="2477"/>
      <c r="M6" s="2624" t="s">
        <v>943</v>
      </c>
      <c r="N6" s="2592" t="s">
        <v>73</v>
      </c>
      <c r="O6" s="2555">
        <v>12</v>
      </c>
      <c r="P6" s="655" t="s">
        <v>92</v>
      </c>
      <c r="Q6" s="655" t="s">
        <v>162</v>
      </c>
      <c r="R6" s="656">
        <v>2.92</v>
      </c>
      <c r="S6" s="657">
        <v>1.7</v>
      </c>
      <c r="T6" s="2555" t="s">
        <v>944</v>
      </c>
      <c r="U6" s="2587">
        <v>20</v>
      </c>
      <c r="V6" s="2616">
        <v>10.4</v>
      </c>
      <c r="W6" s="2555">
        <f>' QUICK OVERVIEW- Inputs&amp;Outputs'!$C$35</f>
        <v>0</v>
      </c>
      <c r="X6" s="1427">
        <f>(' QUICK OVERVIEW- Inputs&amp;Outputs'!C32) * ('Waste Mass Calculations'!D17+'Waste Mass Calculations'!D40)/('Cost-Benefit Tab_Digester'!O6) * 2</f>
        <v>0</v>
      </c>
      <c r="Y6" s="617" t="e">
        <f>(' QUICK OVERVIEW- Inputs&amp;Outputs'!C32) * ('Waste Mass Calculations'!D17+'Waste Mass Calculations'!D40)/('Cost-Benefit Tab_Digester'!O6) * 2 * (('Cost-Benefit Tab_Digester'!R6)/('Cost-Benefit Tab_Digester'!S6) + (('Cost-Benefit Tab_Digester'!U6) + ('Cost-Benefit Tab_Digester'!V6))/('Cost-Benefit Tab_Digester'!W6))</f>
        <v>#DIV/0!</v>
      </c>
      <c r="Z6" s="658" t="e">
        <f t="shared" ref="Z6:Z10" si="0">Y6*31.4236</f>
        <v>#DIV/0!</v>
      </c>
    </row>
    <row r="7" spans="1:29" ht="15" customHeight="1" x14ac:dyDescent="0.25">
      <c r="A7" s="2606"/>
      <c r="B7" s="2461"/>
      <c r="C7" s="2612"/>
      <c r="D7" s="2612"/>
      <c r="E7" s="2461"/>
      <c r="F7" s="2612"/>
      <c r="G7" s="2612"/>
      <c r="H7" s="2615"/>
      <c r="I7" s="2477"/>
      <c r="M7" s="2625"/>
      <c r="N7" s="2593"/>
      <c r="O7" s="2556"/>
      <c r="P7" s="655" t="s">
        <v>93</v>
      </c>
      <c r="Q7" s="655" t="s">
        <v>371</v>
      </c>
      <c r="R7" s="656">
        <v>0.11</v>
      </c>
      <c r="S7" s="657">
        <v>4.4000000000000004</v>
      </c>
      <c r="T7" s="2556"/>
      <c r="U7" s="2588"/>
      <c r="V7" s="2617"/>
      <c r="W7" s="2556"/>
      <c r="X7" s="1427">
        <f>(' QUICK OVERVIEW- Inputs&amp;Outputs'!C32) * ('Waste Mass Calculations'!D17+'Waste Mass Calculations'!D40)/('Cost-Benefit Tab_Digester'!O6) * 2</f>
        <v>0</v>
      </c>
      <c r="Y7" s="617" t="e">
        <f>(' QUICK OVERVIEW- Inputs&amp;Outputs'!C32)* ('Waste Mass Calculations'!D17+'Waste Mass Calculations'!D40)/('Cost-Benefit Tab_Digester'!O6) * 2 * (('Cost-Benefit Tab_Digester'!R7)/('Cost-Benefit Tab_Digester'!S7) + (('Cost-Benefit Tab_Digester'!U6) + ('Cost-Benefit Tab_Digester'!V6))/('Cost-Benefit Tab_Digester'!W6))</f>
        <v>#DIV/0!</v>
      </c>
      <c r="Z7" s="658" t="e">
        <f t="shared" si="0"/>
        <v>#DIV/0!</v>
      </c>
    </row>
    <row r="8" spans="1:29" ht="15" customHeight="1" x14ac:dyDescent="0.25">
      <c r="A8" s="2525" t="s">
        <v>167</v>
      </c>
      <c r="B8" s="171" t="s">
        <v>235</v>
      </c>
      <c r="C8" s="191">
        <v>30</v>
      </c>
      <c r="D8" s="194">
        <f>'Digester Methane Calculation'!$X$91</f>
        <v>11.926079930222368</v>
      </c>
      <c r="E8" s="195">
        <f>605000*D8</f>
        <v>7215278.3577845329</v>
      </c>
      <c r="F8" s="195">
        <f>E8*(1+0.773+0.5976+0.4619)</f>
        <v>20437275.948424689</v>
      </c>
      <c r="G8" s="2529">
        <f>F8-F9</f>
        <v>13343345.453930169</v>
      </c>
      <c r="H8" s="2533" t="s">
        <v>233</v>
      </c>
      <c r="I8" s="2572"/>
      <c r="M8" s="2626"/>
      <c r="N8" s="2594"/>
      <c r="O8" s="2557"/>
      <c r="P8" s="655" t="s">
        <v>1722</v>
      </c>
      <c r="Q8" s="655" t="s">
        <v>164</v>
      </c>
      <c r="R8" s="656">
        <v>1.82</v>
      </c>
      <c r="S8" s="657">
        <v>1.5</v>
      </c>
      <c r="T8" s="2557"/>
      <c r="U8" s="2589"/>
      <c r="V8" s="2618"/>
      <c r="W8" s="2557"/>
      <c r="X8" s="1427">
        <f>(' QUICK OVERVIEW- Inputs&amp;Outputs'!C32) * ('Waste Mass Calculations'!D17+'Waste Mass Calculations'!D40)/('Cost-Benefit Tab_Digester'!O6) * 2</f>
        <v>0</v>
      </c>
      <c r="Y8" s="617" t="e">
        <f>(' QUICK OVERVIEW- Inputs&amp;Outputs'!C32)* ('Waste Mass Calculations'!D17+'Waste Mass Calculations'!D40)/('Cost-Benefit Tab_Digester'!O6) * 2 * (('Cost-Benefit Tab_Digester'!R8)/('Cost-Benefit Tab_Digester'!S8) + (('Cost-Benefit Tab_Digester'!U6) + ('Cost-Benefit Tab_Digester'!V6))/('Cost-Benefit Tab_Digester'!W6))</f>
        <v>#DIV/0!</v>
      </c>
      <c r="Z8" s="658" t="e">
        <f t="shared" si="0"/>
        <v>#DIV/0!</v>
      </c>
    </row>
    <row r="9" spans="1:29" ht="22.5" customHeight="1" x14ac:dyDescent="0.25">
      <c r="A9" s="2623"/>
      <c r="B9" s="171" t="s">
        <v>236</v>
      </c>
      <c r="C9" s="191">
        <v>30</v>
      </c>
      <c r="D9" s="194">
        <f>'Digester Methane Calculation'!$X$91</f>
        <v>11.926079930222368</v>
      </c>
      <c r="E9" s="195">
        <f>210000*D9</f>
        <v>2504476.7853466971</v>
      </c>
      <c r="F9" s="195">
        <f>E9*(1+0.773+0.5976+0.4619)</f>
        <v>7093930.4944945192</v>
      </c>
      <c r="G9" s="2531"/>
      <c r="H9" s="2603"/>
      <c r="I9" s="2572"/>
      <c r="M9" s="659" t="s">
        <v>945</v>
      </c>
      <c r="N9" s="660" t="s">
        <v>946</v>
      </c>
      <c r="O9" s="657">
        <v>4.25</v>
      </c>
      <c r="P9" s="655" t="s">
        <v>92</v>
      </c>
      <c r="Q9" s="655" t="s">
        <v>162</v>
      </c>
      <c r="R9" s="656">
        <v>2.92</v>
      </c>
      <c r="S9" s="657">
        <v>4.4400000000000004</v>
      </c>
      <c r="T9" s="657" t="s">
        <v>947</v>
      </c>
      <c r="U9" s="661">
        <v>20</v>
      </c>
      <c r="V9" s="662">
        <v>10.4</v>
      </c>
      <c r="W9" s="657">
        <f>' QUICK OVERVIEW- Inputs&amp;Outputs'!$C$35</f>
        <v>0</v>
      </c>
      <c r="X9" s="1427">
        <f>(' QUICK OVERVIEW- Inputs&amp;Outputs'!C32)* ('Waste Mass Calculations'!D24+'Waste Mass Calculations'!D58)/('Cost-Benefit Tab_Digester'!O9) * 2</f>
        <v>0</v>
      </c>
      <c r="Y9" s="617" t="e">
        <f>(' QUICK OVERVIEW- Inputs&amp;Outputs'!C32)* ('Waste Mass Calculations'!D24+'Waste Mass Calculations'!D58)/('Cost-Benefit Tab_Digester'!O9) * 2 * (('Cost-Benefit Tab_Digester'!R9)/('Cost-Benefit Tab_Digester'!S9) + ((U9))/(W9))</f>
        <v>#DIV/0!</v>
      </c>
      <c r="Z9" s="658" t="e">
        <f t="shared" si="0"/>
        <v>#DIV/0!</v>
      </c>
    </row>
    <row r="10" spans="1:29" ht="23.25" customHeight="1" x14ac:dyDescent="0.25">
      <c r="A10" s="2525" t="s">
        <v>168</v>
      </c>
      <c r="B10" s="171" t="s">
        <v>1736</v>
      </c>
      <c r="C10" s="191">
        <v>40</v>
      </c>
      <c r="D10" s="194">
        <f>'Digester Methane Calculation'!$X$92</f>
        <v>13.886700191025572</v>
      </c>
      <c r="E10" s="195">
        <f>290000*D10</f>
        <v>4027143.055397416</v>
      </c>
      <c r="F10" s="195">
        <f>E10*(1+0.773+0.5976+0.4619)</f>
        <v>11406882.704413181</v>
      </c>
      <c r="G10" s="2608">
        <f>F10-F11</f>
        <v>2360044.6974647976</v>
      </c>
      <c r="H10" s="2533" t="s">
        <v>1737</v>
      </c>
      <c r="I10" s="144"/>
      <c r="M10" s="659" t="s">
        <v>948</v>
      </c>
      <c r="N10" s="660" t="s">
        <v>949</v>
      </c>
      <c r="O10" s="657">
        <v>2.58</v>
      </c>
      <c r="P10" s="655" t="s">
        <v>92</v>
      </c>
      <c r="Q10" s="655" t="s">
        <v>162</v>
      </c>
      <c r="R10" s="656">
        <v>2.92</v>
      </c>
      <c r="S10" s="657">
        <v>14.5</v>
      </c>
      <c r="T10" s="657" t="s">
        <v>944</v>
      </c>
      <c r="U10" s="661">
        <v>10</v>
      </c>
      <c r="V10" s="661">
        <v>10</v>
      </c>
      <c r="W10" s="657">
        <f>' QUICK OVERVIEW- Inputs&amp;Outputs'!$C$35</f>
        <v>0</v>
      </c>
      <c r="X10" s="1427">
        <f>(' QUICK OVERVIEW- Inputs&amp;Outputs'!C32) * ('Waste Mass Calculations'!D49)/('Cost-Benefit Tab_Digester'!O10) * 2</f>
        <v>0</v>
      </c>
      <c r="Y10" s="617" t="e">
        <f>(' QUICK OVERVIEW- Inputs&amp;Outputs'!C32) * ('Waste Mass Calculations'!D49)/('Cost-Benefit Tab_Digester'!O10) * 2 * (('Cost-Benefit Tab_Digester'!R10)/('Cost-Benefit Tab_Digester'!S10) + (('Cost-Benefit Tab_Digester'!U10) + ('Cost-Benefit Tab_Digester'!V10))/('Cost-Benefit Tab_Digester'!W10))</f>
        <v>#DIV/0!</v>
      </c>
      <c r="Z10" s="658" t="e">
        <f t="shared" si="0"/>
        <v>#DIV/0!</v>
      </c>
    </row>
    <row r="11" spans="1:29" ht="20.25" customHeight="1" thickBot="1" x14ac:dyDescent="0.3">
      <c r="A11" s="2526"/>
      <c r="B11" s="170" t="s">
        <v>322</v>
      </c>
      <c r="C11" s="193"/>
      <c r="D11" s="196">
        <f>'Digester Methane Calculation'!$X$92</f>
        <v>13.886700191025572</v>
      </c>
      <c r="E11" s="173">
        <f>230000*D11</f>
        <v>3193941.0439358815</v>
      </c>
      <c r="F11" s="173">
        <f>E11*(1+0.773+0.5976+0.4619)</f>
        <v>9046838.0069483835</v>
      </c>
      <c r="G11" s="2292"/>
      <c r="H11" s="2622"/>
      <c r="I11" s="144"/>
      <c r="M11" s="663" t="s">
        <v>950</v>
      </c>
      <c r="N11" s="664" t="s">
        <v>946</v>
      </c>
      <c r="O11" s="665">
        <v>12</v>
      </c>
      <c r="P11" s="666" t="s">
        <v>92</v>
      </c>
      <c r="Q11" s="666" t="s">
        <v>162</v>
      </c>
      <c r="R11" s="1428">
        <v>2.92</v>
      </c>
      <c r="S11" s="665">
        <v>1.7</v>
      </c>
      <c r="T11" s="665" t="s">
        <v>944</v>
      </c>
      <c r="U11" s="1431">
        <f>$U$6</f>
        <v>20</v>
      </c>
      <c r="V11" s="1430">
        <f>$V$6</f>
        <v>10.4</v>
      </c>
      <c r="W11" s="665">
        <f>' QUICK OVERVIEW- Inputs&amp;Outputs'!$C$35</f>
        <v>0</v>
      </c>
      <c r="X11" s="160">
        <f>(' QUICK OVERVIEW- Inputs&amp;Outputs'!C32) * ('Waste Mass Calculations'!E63+'Waste Mass Calculations'!E68+'Waste Mass Calculations'!E69+'Waste Mass Calculations'!E70)/('Cost-Benefit Tab_Digester'!O11)*2</f>
        <v>0</v>
      </c>
      <c r="Y11" s="671" t="e">
        <f>(' QUICK OVERVIEW- Inputs&amp;Outputs'!C32)* ('Waste Mass Calculations'!E63+'Waste Mass Calculations'!E68+'Waste Mass Calculations'!E69+'Waste Mass Calculations'!E70)/('Cost-Benefit Tab_Digester'!O11)*2* (('Cost-Benefit Tab_Digester'!R11)/('Cost-Benefit Tab_Digester'!S11) + (('Cost-Benefit Tab_Digester'!U11) + ('Cost-Benefit Tab_Digester'!V11))/('Cost-Benefit Tab_Digester'!W11))</f>
        <v>#DIV/0!</v>
      </c>
      <c r="Z11" s="672" t="e">
        <f>Y11*31.4236</f>
        <v>#DIV/0!</v>
      </c>
    </row>
    <row r="12" spans="1:29" ht="30.75" customHeight="1" thickBot="1" x14ac:dyDescent="0.35">
      <c r="A12" s="117"/>
      <c r="B12" s="167" t="s">
        <v>314</v>
      </c>
      <c r="C12" s="197"/>
      <c r="D12" s="198"/>
      <c r="E12" s="199"/>
      <c r="F12" s="207"/>
      <c r="G12" s="208"/>
      <c r="H12" s="91"/>
      <c r="I12" s="3"/>
      <c r="N12" s="90"/>
      <c r="O12" s="297"/>
      <c r="P12" s="297"/>
      <c r="Q12" s="299"/>
      <c r="R12" s="300"/>
      <c r="S12" s="284"/>
      <c r="T12" s="1429"/>
      <c r="U12" s="56"/>
      <c r="V12" s="56"/>
      <c r="W12" s="120"/>
      <c r="X12" s="138"/>
      <c r="Y12" s="97"/>
      <c r="Z12" s="3"/>
      <c r="AA12" s="93"/>
      <c r="AB12" s="93"/>
      <c r="AC12" s="93"/>
    </row>
    <row r="13" spans="1:29" ht="15" customHeight="1" x14ac:dyDescent="0.25">
      <c r="A13" s="94" t="s">
        <v>179</v>
      </c>
      <c r="B13" s="161" t="s">
        <v>237</v>
      </c>
      <c r="C13" s="200" t="s">
        <v>94</v>
      </c>
      <c r="D13" s="201">
        <f>'Digester Methane Calculation'!$X$90</f>
        <v>525.79721268308151</v>
      </c>
      <c r="E13" s="202">
        <f>20000*D13</f>
        <v>10515944.253661631</v>
      </c>
      <c r="F13" s="202">
        <f t="shared" ref="F13:F24" si="1">E13*(1+0.773+0.5976+0.4619)</f>
        <v>29786412.098496567</v>
      </c>
      <c r="G13" s="2530">
        <f>F16-F13</f>
        <v>10425244.234473798</v>
      </c>
      <c r="H13" s="2532" t="s">
        <v>1738</v>
      </c>
      <c r="I13" s="2547"/>
      <c r="N13" s="90"/>
      <c r="O13" s="120"/>
      <c r="P13" s="141"/>
      <c r="Q13" s="58"/>
      <c r="R13" s="141"/>
      <c r="S13" s="142"/>
      <c r="T13" s="1429"/>
      <c r="U13" s="1426"/>
      <c r="V13" s="56"/>
      <c r="W13" s="120"/>
      <c r="X13" s="2371"/>
      <c r="AA13" s="93"/>
      <c r="AB13" s="93"/>
      <c r="AC13" s="93"/>
    </row>
    <row r="14" spans="1:29" ht="15" customHeight="1" x14ac:dyDescent="0.25">
      <c r="A14" s="73" t="s">
        <v>180</v>
      </c>
      <c r="B14" s="152" t="s">
        <v>238</v>
      </c>
      <c r="C14" s="191" t="s">
        <v>94</v>
      </c>
      <c r="D14" s="194">
        <f>'Digester Methane Calculation'!$X$89</f>
        <v>444.77074773752616</v>
      </c>
      <c r="E14" s="195">
        <f>22500*D14</f>
        <v>10007341.824094338</v>
      </c>
      <c r="F14" s="195">
        <f t="shared" si="1"/>
        <v>28345795.716747213</v>
      </c>
      <c r="G14" s="2531"/>
      <c r="H14" s="2527"/>
      <c r="I14" s="2547"/>
      <c r="N14" s="90"/>
      <c r="O14" s="140"/>
      <c r="P14" s="123"/>
      <c r="Q14" s="109"/>
      <c r="R14" s="141"/>
      <c r="S14" s="142"/>
      <c r="T14" s="120"/>
      <c r="U14" s="1426"/>
      <c r="V14" s="56"/>
      <c r="W14" s="120"/>
      <c r="X14" s="2371"/>
      <c r="AA14" s="93"/>
      <c r="AB14" s="93"/>
      <c r="AC14" s="93"/>
    </row>
    <row r="15" spans="1:29" ht="15" customHeight="1" x14ac:dyDescent="0.25">
      <c r="A15" s="73" t="s">
        <v>181</v>
      </c>
      <c r="B15" s="152" t="s">
        <v>239</v>
      </c>
      <c r="C15" s="191" t="s">
        <v>94</v>
      </c>
      <c r="D15" s="194">
        <f>'Digester Methane Calculation'!$X$89</f>
        <v>444.77074773752616</v>
      </c>
      <c r="E15" s="195">
        <f>37500*D15</f>
        <v>16678903.040157231</v>
      </c>
      <c r="F15" s="195">
        <f t="shared" si="1"/>
        <v>47242992.861245357</v>
      </c>
      <c r="G15" s="2529">
        <f>F15-F14</f>
        <v>18897197.144498143</v>
      </c>
      <c r="H15" s="2527" t="s">
        <v>927</v>
      </c>
      <c r="I15" s="2477"/>
      <c r="N15" s="90"/>
      <c r="O15" s="140"/>
      <c r="P15" s="123"/>
      <c r="Q15" s="109"/>
      <c r="R15" s="141"/>
      <c r="S15" s="142"/>
      <c r="T15" s="120"/>
      <c r="U15" s="123"/>
      <c r="V15" s="56"/>
      <c r="W15" s="120"/>
      <c r="X15" s="2371"/>
      <c r="AA15" s="93"/>
      <c r="AB15" s="93"/>
      <c r="AC15" s="93"/>
    </row>
    <row r="16" spans="1:29" ht="15.75" customHeight="1" thickBot="1" x14ac:dyDescent="0.3">
      <c r="A16" s="168" t="s">
        <v>221</v>
      </c>
      <c r="B16" s="153" t="s">
        <v>1739</v>
      </c>
      <c r="C16" s="203" t="s">
        <v>94</v>
      </c>
      <c r="D16" s="204">
        <f>'Digester Methane Calculation'!$X$90</f>
        <v>525.79721268308151</v>
      </c>
      <c r="E16" s="205">
        <f>27000*D16</f>
        <v>14196524.7424432</v>
      </c>
      <c r="F16" s="205">
        <f t="shared" si="1"/>
        <v>40211656.332970366</v>
      </c>
      <c r="G16" s="2590"/>
      <c r="H16" s="2533"/>
      <c r="I16" s="2477"/>
      <c r="N16" s="90"/>
      <c r="O16" s="140"/>
      <c r="P16" s="123"/>
      <c r="Q16" s="109"/>
      <c r="R16" s="141"/>
      <c r="S16" s="142"/>
      <c r="T16" s="120"/>
      <c r="U16" s="123"/>
      <c r="V16" s="56"/>
      <c r="W16" s="120"/>
      <c r="X16" s="2371"/>
      <c r="AA16" s="93"/>
      <c r="AB16" s="93"/>
      <c r="AC16" s="93"/>
    </row>
    <row r="17" spans="1:49" ht="15" customHeight="1" x14ac:dyDescent="0.25">
      <c r="A17" s="94" t="s">
        <v>170</v>
      </c>
      <c r="B17" s="161" t="s">
        <v>726</v>
      </c>
      <c r="C17" s="200" t="s">
        <v>94</v>
      </c>
      <c r="D17" s="201">
        <f>'Digester Methane Calculation'!$X$94</f>
        <v>358.31118446211264</v>
      </c>
      <c r="E17" s="202">
        <f>32000*D17</f>
        <v>11465957.902787603</v>
      </c>
      <c r="F17" s="202">
        <f t="shared" si="1"/>
        <v>32477325.759645887</v>
      </c>
      <c r="G17" s="2522">
        <f>F19-F17</f>
        <v>11671538.944872744</v>
      </c>
      <c r="H17" s="2532" t="s">
        <v>1738</v>
      </c>
      <c r="I17" s="2591"/>
      <c r="N17" s="90"/>
      <c r="O17" s="140"/>
      <c r="P17" s="123"/>
      <c r="Q17" s="2598"/>
      <c r="R17" s="141"/>
      <c r="S17" s="142"/>
      <c r="T17" s="120"/>
      <c r="U17" s="123"/>
      <c r="V17" s="56"/>
      <c r="W17" s="120"/>
      <c r="X17" s="2371"/>
      <c r="AA17" s="93"/>
      <c r="AB17" s="93"/>
      <c r="AC17" s="93"/>
    </row>
    <row r="18" spans="1:49" ht="15" customHeight="1" x14ac:dyDescent="0.25">
      <c r="A18" s="73" t="s">
        <v>171</v>
      </c>
      <c r="B18" s="152" t="s">
        <v>727</v>
      </c>
      <c r="C18" s="191" t="s">
        <v>94</v>
      </c>
      <c r="D18" s="194">
        <f>'Digester Methane Calculation'!$X$93</f>
        <v>297.66260617346228</v>
      </c>
      <c r="E18" s="195">
        <f>39500*D18</f>
        <v>11757672.94385176</v>
      </c>
      <c r="F18" s="195">
        <f t="shared" si="1"/>
        <v>33303608.613460109</v>
      </c>
      <c r="G18" s="2523"/>
      <c r="H18" s="2527"/>
      <c r="I18" s="2591"/>
      <c r="N18" s="90"/>
      <c r="O18" s="140"/>
      <c r="P18" s="123"/>
      <c r="Q18" s="2598"/>
      <c r="R18" s="141"/>
      <c r="S18" s="142"/>
      <c r="T18" s="120"/>
      <c r="U18" s="123"/>
      <c r="V18" s="56"/>
      <c r="W18" s="120"/>
      <c r="X18" s="2371"/>
      <c r="AA18" s="93"/>
      <c r="AB18" s="93"/>
      <c r="AC18" s="93"/>
    </row>
    <row r="19" spans="1:49" ht="15" customHeight="1" x14ac:dyDescent="0.25">
      <c r="A19" s="73" t="s">
        <v>172</v>
      </c>
      <c r="B19" s="152" t="s">
        <v>1740</v>
      </c>
      <c r="C19" s="191" t="s">
        <v>94</v>
      </c>
      <c r="D19" s="194">
        <f>'Digester Methane Calculation'!$X$94</f>
        <v>358.31118446211264</v>
      </c>
      <c r="E19" s="195">
        <f>43500*D19</f>
        <v>15586536.5241019</v>
      </c>
      <c r="F19" s="195">
        <f t="shared" si="1"/>
        <v>44148864.704518631</v>
      </c>
      <c r="G19" s="2523">
        <f>F20-F18</f>
        <v>24872315.293596797</v>
      </c>
      <c r="H19" s="2527" t="s">
        <v>927</v>
      </c>
      <c r="I19" s="2477"/>
      <c r="N19" s="90"/>
      <c r="O19" s="140"/>
      <c r="P19" s="123"/>
      <c r="Q19" s="2598"/>
      <c r="R19" s="141"/>
      <c r="S19" s="142"/>
      <c r="T19" s="120"/>
      <c r="U19" s="123"/>
      <c r="V19" s="56"/>
      <c r="W19" s="120"/>
      <c r="X19" s="2371"/>
      <c r="Y19" s="97"/>
      <c r="Z19" s="3"/>
      <c r="AA19" s="93"/>
      <c r="AB19" s="93"/>
      <c r="AC19" s="93"/>
    </row>
    <row r="20" spans="1:49" ht="15.75" customHeight="1" thickBot="1" x14ac:dyDescent="0.3">
      <c r="A20" s="168" t="s">
        <v>182</v>
      </c>
      <c r="B20" s="153" t="s">
        <v>728</v>
      </c>
      <c r="C20" s="203" t="s">
        <v>94</v>
      </c>
      <c r="D20" s="204">
        <f>'Digester Methane Calculation'!$X$93</f>
        <v>297.66260617346228</v>
      </c>
      <c r="E20" s="205">
        <f>69000*D20</f>
        <v>20538719.825968899</v>
      </c>
      <c r="F20" s="205">
        <f t="shared" si="1"/>
        <v>58175923.907056905</v>
      </c>
      <c r="G20" s="2529"/>
      <c r="H20" s="2533"/>
      <c r="I20" s="2477"/>
      <c r="N20" s="90"/>
      <c r="O20" s="99"/>
      <c r="P20" s="123"/>
      <c r="Q20" s="2598"/>
      <c r="R20" s="141"/>
      <c r="S20" s="142"/>
      <c r="T20" s="120"/>
      <c r="U20" s="123"/>
      <c r="V20" s="56"/>
      <c r="W20" s="120"/>
      <c r="X20" s="2371"/>
      <c r="Y20" s="97"/>
      <c r="Z20" s="3"/>
      <c r="AA20" s="93"/>
      <c r="AB20" s="93"/>
      <c r="AC20" s="93"/>
    </row>
    <row r="21" spans="1:49" ht="15" customHeight="1" x14ac:dyDescent="0.25">
      <c r="A21" s="94" t="s">
        <v>173</v>
      </c>
      <c r="B21" s="158" t="s">
        <v>240</v>
      </c>
      <c r="C21" s="200" t="s">
        <v>94</v>
      </c>
      <c r="D21" s="201">
        <f>'Digester Methane Calculation'!$X$96</f>
        <v>134.19442918076237</v>
      </c>
      <c r="E21" s="202">
        <f>36000*D21</f>
        <v>4830999.4505074453</v>
      </c>
      <c r="F21" s="202">
        <f t="shared" si="1"/>
        <v>13683805.943562338</v>
      </c>
      <c r="G21" s="2522">
        <f>F23-F21</f>
        <v>3040845.765236076</v>
      </c>
      <c r="H21" s="2532" t="s">
        <v>1738</v>
      </c>
      <c r="I21" s="2548"/>
      <c r="N21" s="90"/>
      <c r="O21" s="140"/>
      <c r="P21" s="123"/>
      <c r="Q21" s="2598"/>
      <c r="R21" s="141"/>
      <c r="S21" s="142"/>
      <c r="T21" s="120"/>
      <c r="U21" s="123"/>
      <c r="V21" s="56"/>
      <c r="W21" s="120"/>
      <c r="X21" s="2371"/>
      <c r="Y21" s="97"/>
      <c r="Z21" s="3"/>
      <c r="AA21" s="93"/>
      <c r="AB21" s="93"/>
      <c r="AC21" s="93"/>
    </row>
    <row r="22" spans="1:49" ht="15" customHeight="1" x14ac:dyDescent="0.25">
      <c r="A22" s="73" t="s">
        <v>174</v>
      </c>
      <c r="B22" s="159" t="s">
        <v>241</v>
      </c>
      <c r="C22" s="191" t="s">
        <v>94</v>
      </c>
      <c r="D22" s="194">
        <f>'Digester Methane Calculation'!$X$95</f>
        <v>107.55833337069296</v>
      </c>
      <c r="E22" s="195">
        <f>46500*D22</f>
        <v>5001462.501737223</v>
      </c>
      <c r="F22" s="195">
        <f t="shared" si="1"/>
        <v>14166642.536170684</v>
      </c>
      <c r="G22" s="2523"/>
      <c r="H22" s="2527"/>
      <c r="I22" s="2548"/>
      <c r="N22" s="90"/>
      <c r="O22" s="140"/>
      <c r="P22" s="123"/>
      <c r="Q22" s="2598"/>
      <c r="R22" s="141"/>
      <c r="S22" s="142"/>
      <c r="T22" s="120"/>
      <c r="U22" s="123"/>
      <c r="V22" s="56"/>
      <c r="W22" s="120"/>
      <c r="X22" s="2371"/>
      <c r="Y22" s="97"/>
      <c r="Z22" s="3"/>
      <c r="AA22" s="93"/>
      <c r="AB22" s="93"/>
      <c r="AC22" s="93"/>
    </row>
    <row r="23" spans="1:49" ht="15" customHeight="1" x14ac:dyDescent="0.25">
      <c r="A23" s="73" t="s">
        <v>175</v>
      </c>
      <c r="B23" s="159" t="s">
        <v>1741</v>
      </c>
      <c r="C23" s="191" t="s">
        <v>94</v>
      </c>
      <c r="D23" s="194">
        <f>'Digester Methane Calculation'!$X$96</f>
        <v>134.19442918076237</v>
      </c>
      <c r="E23" s="195">
        <f>44000*D23</f>
        <v>5904554.8839535443</v>
      </c>
      <c r="F23" s="195">
        <f t="shared" si="1"/>
        <v>16724651.708798414</v>
      </c>
      <c r="G23" s="2523">
        <f>F24-F22</f>
        <v>6854827.0336309746</v>
      </c>
      <c r="H23" s="2527" t="s">
        <v>928</v>
      </c>
      <c r="I23" s="2477"/>
      <c r="N23" s="90"/>
      <c r="Q23" s="2598"/>
      <c r="R23" s="141"/>
      <c r="S23" s="142"/>
      <c r="T23" s="120"/>
      <c r="U23" s="123"/>
      <c r="V23" s="56"/>
      <c r="W23" s="120"/>
      <c r="X23" s="2371"/>
      <c r="Y23" s="97"/>
      <c r="Z23" s="3"/>
      <c r="AA23" s="93"/>
      <c r="AB23" s="93"/>
      <c r="AC23" s="93"/>
    </row>
    <row r="24" spans="1:49" ht="15.75" customHeight="1" thickBot="1" x14ac:dyDescent="0.35">
      <c r="A24" s="75" t="s">
        <v>183</v>
      </c>
      <c r="B24" s="160" t="s">
        <v>242</v>
      </c>
      <c r="C24" s="182" t="s">
        <v>94</v>
      </c>
      <c r="D24" s="196">
        <f>'Digester Methane Calculation'!$X$95</f>
        <v>107.55833337069296</v>
      </c>
      <c r="E24" s="206">
        <f>69000*D24</f>
        <v>7421525.0025778143</v>
      </c>
      <c r="F24" s="173">
        <f t="shared" si="1"/>
        <v>21021469.569801658</v>
      </c>
      <c r="G24" s="2524"/>
      <c r="H24" s="2528"/>
      <c r="I24" s="2477"/>
      <c r="N24" s="89"/>
      <c r="Q24" s="2598"/>
      <c r="R24" s="143"/>
      <c r="S24" s="99"/>
      <c r="T24" s="120"/>
      <c r="U24" s="99"/>
      <c r="V24" s="99"/>
      <c r="W24" s="120"/>
      <c r="X24" s="2371"/>
      <c r="Y24" s="97"/>
      <c r="AF24" s="33"/>
      <c r="AG24" s="33"/>
      <c r="AH24" s="33"/>
      <c r="AI24" s="33"/>
      <c r="AJ24" s="35"/>
      <c r="AK24" s="27"/>
      <c r="AL24" s="35"/>
      <c r="AM24" s="30"/>
      <c r="AN24" s="34"/>
      <c r="AO24" s="29"/>
      <c r="AP24" s="3"/>
      <c r="AQ24" s="3"/>
      <c r="AR24" s="3"/>
      <c r="AS24" s="29"/>
      <c r="AT24" s="29"/>
      <c r="AU24" s="29"/>
      <c r="AV24" s="29"/>
      <c r="AW24" s="29"/>
    </row>
    <row r="25" spans="1:49" s="230" customFormat="1" ht="15.75" customHeight="1" thickBot="1" x14ac:dyDescent="0.35">
      <c r="A25" s="625"/>
      <c r="B25" s="625"/>
      <c r="C25" s="247"/>
      <c r="D25" s="272"/>
      <c r="E25" s="273"/>
      <c r="F25" s="274"/>
      <c r="G25" s="274"/>
      <c r="H25" s="624"/>
      <c r="I25" s="622"/>
      <c r="N25" s="622"/>
      <c r="Q25" s="641"/>
      <c r="R25" s="143"/>
      <c r="S25" s="641"/>
      <c r="T25" s="120"/>
      <c r="U25" s="641"/>
      <c r="V25" s="641"/>
      <c r="W25" s="120"/>
      <c r="X25" s="625"/>
      <c r="Y25" s="97"/>
      <c r="AF25" s="628"/>
      <c r="AG25" s="628"/>
      <c r="AH25" s="628"/>
      <c r="AI25" s="628"/>
      <c r="AJ25" s="35"/>
      <c r="AK25" s="622"/>
      <c r="AL25" s="35"/>
      <c r="AM25" s="632"/>
      <c r="AN25" s="639"/>
      <c r="AO25" s="633"/>
      <c r="AP25" s="3"/>
      <c r="AQ25" s="3"/>
      <c r="AR25" s="3"/>
      <c r="AS25" s="633"/>
      <c r="AT25" s="633"/>
      <c r="AU25" s="633"/>
      <c r="AV25" s="633"/>
      <c r="AW25" s="633"/>
    </row>
    <row r="26" spans="1:49" s="230" customFormat="1" ht="45.75" customHeight="1" thickBot="1" x14ac:dyDescent="0.35">
      <c r="A26" s="2319" t="s">
        <v>1084</v>
      </c>
      <c r="B26" s="2478"/>
      <c r="C26" s="2478"/>
      <c r="D26" s="2320"/>
      <c r="E26" s="273"/>
      <c r="F26" s="274"/>
      <c r="G26" s="274"/>
      <c r="H26" s="624"/>
      <c r="I26" s="622"/>
      <c r="N26" s="622"/>
      <c r="Q26" s="641"/>
      <c r="R26" s="143"/>
      <c r="S26" s="641"/>
      <c r="T26" s="120"/>
      <c r="U26" s="641"/>
      <c r="V26" s="641"/>
      <c r="W26" s="120"/>
      <c r="X26" s="625"/>
      <c r="Y26" s="97"/>
      <c r="AF26" s="628"/>
      <c r="AG26" s="628"/>
      <c r="AH26" s="628"/>
      <c r="AI26" s="628"/>
      <c r="AJ26" s="35"/>
      <c r="AK26" s="622"/>
      <c r="AL26" s="35"/>
      <c r="AM26" s="632"/>
      <c r="AN26" s="639"/>
      <c r="AO26" s="633"/>
      <c r="AP26" s="3"/>
      <c r="AQ26" s="3"/>
      <c r="AR26" s="3"/>
      <c r="AS26" s="633"/>
      <c r="AT26" s="633"/>
      <c r="AU26" s="633"/>
      <c r="AV26" s="633"/>
      <c r="AW26" s="633"/>
    </row>
    <row r="27" spans="1:49" s="230" customFormat="1" ht="51" customHeight="1" thickBot="1" x14ac:dyDescent="0.35">
      <c r="A27" s="1730" t="s">
        <v>891</v>
      </c>
      <c r="B27" s="1727" t="s">
        <v>528</v>
      </c>
      <c r="C27" s="78" t="s">
        <v>538</v>
      </c>
      <c r="D27" s="405" t="s">
        <v>537</v>
      </c>
      <c r="E27" s="273"/>
      <c r="F27" s="274"/>
      <c r="G27" s="274"/>
      <c r="H27" s="624"/>
      <c r="I27" s="622"/>
      <c r="N27" s="622"/>
      <c r="Q27" s="641"/>
      <c r="R27" s="143"/>
      <c r="S27" s="641"/>
      <c r="T27" s="120"/>
      <c r="U27" s="641"/>
      <c r="V27" s="641"/>
      <c r="W27" s="120"/>
      <c r="X27" s="625"/>
      <c r="Y27" s="97"/>
      <c r="AF27" s="628"/>
      <c r="AG27" s="628"/>
      <c r="AH27" s="628"/>
      <c r="AI27" s="628"/>
      <c r="AJ27" s="35"/>
      <c r="AK27" s="622"/>
      <c r="AL27" s="35"/>
      <c r="AM27" s="632"/>
      <c r="AN27" s="639"/>
      <c r="AO27" s="633"/>
      <c r="AP27" s="3"/>
      <c r="AQ27" s="3"/>
      <c r="AR27" s="3"/>
      <c r="AS27" s="633"/>
      <c r="AT27" s="633"/>
      <c r="AU27" s="633"/>
      <c r="AV27" s="633"/>
      <c r="AW27" s="633"/>
    </row>
    <row r="28" spans="1:49" s="230" customFormat="1" ht="15.75" customHeight="1" x14ac:dyDescent="0.3">
      <c r="A28" s="1731" t="s">
        <v>884</v>
      </c>
      <c r="B28" s="1728">
        <f>F8-F9</f>
        <v>13343345.453930169</v>
      </c>
      <c r="C28" s="507" t="s">
        <v>102</v>
      </c>
      <c r="D28" s="512" t="e">
        <f t="shared" ref="D28:D33" si="2">Z6</f>
        <v>#DIV/0!</v>
      </c>
      <c r="E28" s="273"/>
      <c r="F28" s="274"/>
      <c r="G28" s="274"/>
      <c r="H28" s="624"/>
      <c r="I28" s="622"/>
      <c r="N28" s="622"/>
      <c r="Q28" s="641"/>
      <c r="R28" s="143"/>
      <c r="S28" s="641"/>
      <c r="T28" s="120"/>
      <c r="U28" s="641"/>
      <c r="V28" s="641"/>
      <c r="W28" s="120"/>
      <c r="X28" s="625"/>
      <c r="Y28" s="97"/>
      <c r="AF28" s="628"/>
      <c r="AG28" s="628"/>
      <c r="AH28" s="628"/>
      <c r="AI28" s="628"/>
      <c r="AJ28" s="35"/>
      <c r="AK28" s="622"/>
      <c r="AL28" s="35"/>
      <c r="AM28" s="632"/>
      <c r="AN28" s="639"/>
      <c r="AO28" s="633"/>
      <c r="AP28" s="3"/>
      <c r="AQ28" s="3"/>
      <c r="AR28" s="3"/>
      <c r="AS28" s="633"/>
      <c r="AT28" s="633"/>
      <c r="AU28" s="633"/>
      <c r="AV28" s="633"/>
      <c r="AW28" s="633"/>
    </row>
    <row r="29" spans="1:49" s="230" customFormat="1" ht="15.75" customHeight="1" x14ac:dyDescent="0.3">
      <c r="A29" s="1732" t="s">
        <v>1742</v>
      </c>
      <c r="B29" s="1729">
        <f>F10-F9</f>
        <v>4312952.209918662</v>
      </c>
      <c r="C29" s="507" t="s">
        <v>90</v>
      </c>
      <c r="D29" s="512" t="e">
        <f t="shared" si="2"/>
        <v>#DIV/0!</v>
      </c>
      <c r="E29" s="273"/>
      <c r="F29" s="274"/>
      <c r="G29" s="274"/>
      <c r="H29" s="624"/>
      <c r="I29" s="622"/>
      <c r="N29" s="622"/>
      <c r="Q29" s="641"/>
      <c r="R29" s="143"/>
      <c r="S29" s="641"/>
      <c r="T29" s="120"/>
      <c r="U29" s="641"/>
      <c r="V29" s="641"/>
      <c r="W29" s="120"/>
      <c r="X29" s="625"/>
      <c r="Y29" s="97"/>
      <c r="AF29" s="628"/>
      <c r="AG29" s="628"/>
      <c r="AH29" s="628"/>
      <c r="AI29" s="628"/>
      <c r="AJ29" s="35"/>
      <c r="AK29" s="622"/>
      <c r="AL29" s="35"/>
      <c r="AM29" s="632"/>
      <c r="AN29" s="639"/>
      <c r="AO29" s="633"/>
      <c r="AP29" s="3"/>
      <c r="AQ29" s="3"/>
      <c r="AR29" s="3"/>
      <c r="AS29" s="633"/>
      <c r="AT29" s="633"/>
      <c r="AU29" s="633"/>
      <c r="AV29" s="633"/>
      <c r="AW29" s="633"/>
    </row>
    <row r="30" spans="1:49" s="230" customFormat="1" ht="15.75" customHeight="1" x14ac:dyDescent="0.3">
      <c r="A30" s="1732" t="s">
        <v>885</v>
      </c>
      <c r="B30" s="1729">
        <f>F15-F14</f>
        <v>18897197.144498143</v>
      </c>
      <c r="C30" s="507" t="s">
        <v>1743</v>
      </c>
      <c r="D30" s="512" t="e">
        <f t="shared" si="2"/>
        <v>#DIV/0!</v>
      </c>
      <c r="E30" s="273"/>
      <c r="F30" s="274"/>
      <c r="G30" s="274"/>
      <c r="H30" s="624"/>
      <c r="I30" s="622"/>
      <c r="N30" s="622"/>
      <c r="Q30" s="641"/>
      <c r="R30" s="143"/>
      <c r="S30" s="641"/>
      <c r="T30" s="120"/>
      <c r="U30" s="641"/>
      <c r="V30" s="641"/>
      <c r="W30" s="120"/>
      <c r="X30" s="625"/>
      <c r="Y30" s="97"/>
      <c r="AF30" s="628"/>
      <c r="AG30" s="628"/>
      <c r="AH30" s="628"/>
      <c r="AI30" s="628"/>
      <c r="AJ30" s="35"/>
      <c r="AK30" s="622"/>
      <c r="AL30" s="35"/>
      <c r="AM30" s="632"/>
      <c r="AN30" s="639"/>
      <c r="AO30" s="633"/>
      <c r="AP30" s="3"/>
      <c r="AQ30" s="3"/>
      <c r="AR30" s="3"/>
      <c r="AS30" s="633"/>
      <c r="AT30" s="633"/>
      <c r="AU30" s="633"/>
      <c r="AV30" s="633"/>
      <c r="AW30" s="633"/>
    </row>
    <row r="31" spans="1:49" s="230" customFormat="1" ht="15.75" customHeight="1" x14ac:dyDescent="0.3">
      <c r="A31" s="1732" t="s">
        <v>886</v>
      </c>
      <c r="B31" s="1729">
        <f>F15-F13</f>
        <v>17456580.762748789</v>
      </c>
      <c r="C31" s="513" t="s">
        <v>946</v>
      </c>
      <c r="D31" s="512" t="e">
        <f t="shared" si="2"/>
        <v>#DIV/0!</v>
      </c>
      <c r="E31" s="273"/>
      <c r="F31" s="274"/>
      <c r="G31" s="274"/>
      <c r="H31" s="624"/>
      <c r="I31" s="622"/>
      <c r="N31" s="622"/>
      <c r="Q31" s="641"/>
      <c r="R31" s="143"/>
      <c r="S31" s="641"/>
      <c r="T31" s="120"/>
      <c r="U31" s="641"/>
      <c r="V31" s="641"/>
      <c r="W31" s="120"/>
      <c r="X31" s="625"/>
      <c r="Y31" s="97"/>
      <c r="AF31" s="628"/>
      <c r="AG31" s="628"/>
      <c r="AH31" s="628"/>
      <c r="AI31" s="628"/>
      <c r="AJ31" s="35"/>
      <c r="AK31" s="622"/>
      <c r="AL31" s="35"/>
      <c r="AM31" s="632"/>
      <c r="AN31" s="639"/>
      <c r="AO31" s="633"/>
      <c r="AP31" s="3"/>
      <c r="AQ31" s="3"/>
      <c r="AR31" s="3"/>
      <c r="AS31" s="633"/>
      <c r="AT31" s="633"/>
      <c r="AU31" s="633"/>
      <c r="AV31" s="633"/>
      <c r="AW31" s="633"/>
    </row>
    <row r="32" spans="1:49" s="230" customFormat="1" ht="15.75" customHeight="1" x14ac:dyDescent="0.3">
      <c r="A32" s="1732" t="s">
        <v>1744</v>
      </c>
      <c r="B32" s="1729">
        <f>F16-F14</f>
        <v>11865860.616223153</v>
      </c>
      <c r="C32" s="513" t="s">
        <v>949</v>
      </c>
      <c r="D32" s="512" t="e">
        <f t="shared" si="2"/>
        <v>#DIV/0!</v>
      </c>
      <c r="E32" s="273"/>
      <c r="F32" s="274"/>
      <c r="G32" s="274"/>
      <c r="H32" s="624"/>
      <c r="I32" s="622"/>
      <c r="N32" s="622"/>
      <c r="Q32" s="641"/>
      <c r="R32" s="143"/>
      <c r="S32" s="641"/>
      <c r="T32" s="120"/>
      <c r="U32" s="641"/>
      <c r="V32" s="641"/>
      <c r="W32" s="120"/>
      <c r="X32" s="625"/>
      <c r="Y32" s="97"/>
      <c r="AF32" s="628"/>
      <c r="AG32" s="628"/>
      <c r="AH32" s="628"/>
      <c r="AI32" s="628"/>
      <c r="AJ32" s="35"/>
      <c r="AK32" s="622"/>
      <c r="AL32" s="35"/>
      <c r="AM32" s="632"/>
      <c r="AN32" s="639"/>
      <c r="AO32" s="633"/>
      <c r="AP32" s="3"/>
      <c r="AQ32" s="3"/>
      <c r="AR32" s="3"/>
      <c r="AS32" s="633"/>
      <c r="AT32" s="633"/>
      <c r="AU32" s="633"/>
      <c r="AV32" s="633"/>
      <c r="AW32" s="633"/>
    </row>
    <row r="33" spans="1:49" s="230" customFormat="1" ht="15.75" customHeight="1" x14ac:dyDescent="0.3">
      <c r="A33" s="1732" t="s">
        <v>1745</v>
      </c>
      <c r="B33" s="1729">
        <f>F16-F13</f>
        <v>10425244.234473798</v>
      </c>
      <c r="C33" s="507" t="s">
        <v>1552</v>
      </c>
      <c r="D33" s="512" t="e">
        <f t="shared" si="2"/>
        <v>#DIV/0!</v>
      </c>
      <c r="E33" s="273"/>
      <c r="F33" s="274"/>
      <c r="G33" s="274"/>
      <c r="H33" s="624"/>
      <c r="I33" s="622"/>
      <c r="N33" s="622"/>
      <c r="Q33" s="641"/>
      <c r="R33" s="143"/>
      <c r="S33" s="641"/>
      <c r="T33" s="120"/>
      <c r="U33" s="641"/>
      <c r="V33" s="641"/>
      <c r="W33" s="120"/>
      <c r="X33" s="625"/>
      <c r="Y33" s="97"/>
      <c r="AF33" s="628"/>
      <c r="AG33" s="628"/>
      <c r="AH33" s="628"/>
      <c r="AI33" s="628"/>
      <c r="AJ33" s="35"/>
      <c r="AK33" s="622"/>
      <c r="AL33" s="35"/>
      <c r="AM33" s="632"/>
      <c r="AN33" s="639"/>
      <c r="AO33" s="633"/>
      <c r="AP33" s="3"/>
      <c r="AQ33" s="3"/>
      <c r="AR33" s="3"/>
      <c r="AS33" s="633"/>
      <c r="AT33" s="633"/>
      <c r="AU33" s="633"/>
      <c r="AV33" s="633"/>
      <c r="AW33" s="633"/>
    </row>
    <row r="34" spans="1:49" s="230" customFormat="1" ht="15.75" customHeight="1" x14ac:dyDescent="0.3">
      <c r="A34" s="1732" t="s">
        <v>887</v>
      </c>
      <c r="B34" s="1729">
        <f>F20-F18</f>
        <v>24872315.293596797</v>
      </c>
      <c r="C34"/>
      <c r="D34"/>
      <c r="E34" s="273"/>
      <c r="F34" s="274"/>
      <c r="G34" s="274"/>
      <c r="H34" s="624"/>
      <c r="I34" s="622"/>
      <c r="N34" s="622"/>
      <c r="Q34" s="641"/>
      <c r="R34" s="143"/>
      <c r="S34" s="641"/>
      <c r="T34" s="120"/>
      <c r="U34" s="641"/>
      <c r="V34" s="641"/>
      <c r="W34" s="120"/>
      <c r="X34" s="625"/>
      <c r="Y34" s="97"/>
      <c r="AF34" s="628"/>
      <c r="AG34" s="628"/>
      <c r="AH34" s="628"/>
      <c r="AI34" s="628"/>
      <c r="AJ34" s="35"/>
      <c r="AK34" s="622"/>
      <c r="AL34" s="35"/>
      <c r="AM34" s="632"/>
      <c r="AN34" s="639"/>
      <c r="AO34" s="633"/>
      <c r="AP34" s="3"/>
      <c r="AQ34" s="3"/>
      <c r="AR34" s="3"/>
      <c r="AS34" s="633"/>
      <c r="AT34" s="633"/>
      <c r="AU34" s="633"/>
      <c r="AV34" s="633"/>
      <c r="AW34" s="633"/>
    </row>
    <row r="35" spans="1:49" s="230" customFormat="1" ht="15.75" customHeight="1" x14ac:dyDescent="0.3">
      <c r="A35" s="1732" t="s">
        <v>888</v>
      </c>
      <c r="B35" s="1729">
        <f>F20-F17</f>
        <v>25698598.147411019</v>
      </c>
      <c r="C35"/>
      <c r="D35"/>
      <c r="E35" s="273"/>
      <c r="F35" s="274"/>
      <c r="G35" s="274"/>
      <c r="H35" s="624"/>
      <c r="I35" s="622"/>
      <c r="N35" s="622"/>
      <c r="Q35" s="641"/>
      <c r="R35" s="143"/>
      <c r="S35" s="641"/>
      <c r="T35" s="120"/>
      <c r="U35" s="641"/>
      <c r="V35" s="641"/>
      <c r="W35" s="120"/>
      <c r="X35" s="625"/>
      <c r="Y35" s="97"/>
      <c r="AF35" s="628"/>
      <c r="AG35" s="628"/>
      <c r="AH35" s="628"/>
      <c r="AI35" s="628"/>
      <c r="AJ35" s="35"/>
      <c r="AK35" s="622"/>
      <c r="AL35" s="35"/>
      <c r="AM35" s="632"/>
      <c r="AN35" s="639"/>
      <c r="AO35" s="633"/>
      <c r="AP35" s="3"/>
      <c r="AQ35" s="3"/>
      <c r="AR35" s="3"/>
      <c r="AS35" s="633"/>
      <c r="AT35" s="633"/>
      <c r="AU35" s="633"/>
      <c r="AV35" s="633"/>
      <c r="AW35" s="633"/>
    </row>
    <row r="36" spans="1:49" s="230" customFormat="1" ht="15.75" customHeight="1" x14ac:dyDescent="0.3">
      <c r="A36" s="1732" t="s">
        <v>1746</v>
      </c>
      <c r="B36" s="1729">
        <f>F19-F18</f>
        <v>10845256.091058522</v>
      </c>
      <c r="C36"/>
      <c r="D36"/>
      <c r="E36" s="273"/>
      <c r="F36" s="274"/>
      <c r="G36" s="274"/>
      <c r="H36" s="624"/>
      <c r="I36" s="622"/>
      <c r="N36" s="622"/>
      <c r="Q36" s="641"/>
      <c r="R36" s="143"/>
      <c r="S36" s="641"/>
      <c r="T36" s="120"/>
      <c r="U36" s="641"/>
      <c r="V36" s="641"/>
      <c r="W36" s="120"/>
      <c r="X36" s="625"/>
      <c r="Y36" s="97"/>
      <c r="AF36" s="628"/>
      <c r="AG36" s="628"/>
      <c r="AH36" s="628"/>
      <c r="AI36" s="628"/>
      <c r="AJ36" s="35"/>
      <c r="AK36" s="622"/>
      <c r="AL36" s="35"/>
      <c r="AM36" s="632"/>
      <c r="AN36" s="639"/>
      <c r="AO36" s="633"/>
      <c r="AP36" s="3"/>
      <c r="AQ36" s="3"/>
      <c r="AR36" s="3"/>
      <c r="AS36" s="633"/>
      <c r="AT36" s="633"/>
      <c r="AU36" s="633"/>
      <c r="AV36" s="633"/>
      <c r="AW36" s="633"/>
    </row>
    <row r="37" spans="1:49" s="230" customFormat="1" ht="15.75" customHeight="1" x14ac:dyDescent="0.3">
      <c r="A37" s="1732" t="s">
        <v>1747</v>
      </c>
      <c r="B37" s="1729">
        <f>F19-F17</f>
        <v>11671538.944872744</v>
      </c>
      <c r="C37"/>
      <c r="D37"/>
      <c r="E37" s="273"/>
      <c r="F37" s="274"/>
      <c r="G37" s="274"/>
      <c r="H37" s="624"/>
      <c r="I37" s="622"/>
      <c r="N37" s="622"/>
      <c r="Q37" s="641"/>
      <c r="R37" s="143"/>
      <c r="S37" s="641"/>
      <c r="T37" s="120"/>
      <c r="U37" s="641"/>
      <c r="V37" s="641"/>
      <c r="W37" s="120"/>
      <c r="X37" s="625"/>
      <c r="Y37" s="97"/>
      <c r="AF37" s="628"/>
      <c r="AG37" s="628"/>
      <c r="AH37" s="628"/>
      <c r="AI37" s="628"/>
      <c r="AJ37" s="35"/>
      <c r="AK37" s="622"/>
      <c r="AL37" s="35"/>
      <c r="AM37" s="632"/>
      <c r="AN37" s="639"/>
      <c r="AO37" s="633"/>
      <c r="AP37" s="3"/>
      <c r="AQ37" s="3"/>
      <c r="AR37" s="3"/>
      <c r="AS37" s="633"/>
      <c r="AT37" s="633"/>
      <c r="AU37" s="633"/>
      <c r="AV37" s="633"/>
      <c r="AW37" s="633"/>
    </row>
    <row r="38" spans="1:49" s="230" customFormat="1" ht="15.75" customHeight="1" x14ac:dyDescent="0.3">
      <c r="A38" s="1732" t="s">
        <v>889</v>
      </c>
      <c r="B38" s="1729">
        <f>F24-F22</f>
        <v>6854827.0336309746</v>
      </c>
      <c r="C38"/>
      <c r="D38"/>
      <c r="E38" s="273"/>
      <c r="F38" s="274"/>
      <c r="G38" s="274"/>
      <c r="H38" s="624"/>
      <c r="I38" s="622"/>
      <c r="N38" s="622"/>
      <c r="Q38" s="641"/>
      <c r="R38" s="143"/>
      <c r="S38" s="641"/>
      <c r="T38" s="120"/>
      <c r="U38" s="641"/>
      <c r="V38" s="641"/>
      <c r="W38" s="120"/>
      <c r="X38" s="625"/>
      <c r="Y38" s="97"/>
      <c r="AF38" s="628"/>
      <c r="AG38" s="628"/>
      <c r="AH38" s="628"/>
      <c r="AI38" s="628"/>
      <c r="AJ38" s="35"/>
      <c r="AK38" s="622"/>
      <c r="AL38" s="35"/>
      <c r="AM38" s="632"/>
      <c r="AN38" s="639"/>
      <c r="AO38" s="633"/>
      <c r="AP38" s="3"/>
      <c r="AQ38" s="3"/>
      <c r="AR38" s="3"/>
      <c r="AS38" s="633"/>
      <c r="AT38" s="633"/>
      <c r="AU38" s="633"/>
      <c r="AV38" s="633"/>
      <c r="AW38" s="633"/>
    </row>
    <row r="39" spans="1:49" s="230" customFormat="1" ht="15.75" customHeight="1" x14ac:dyDescent="0.3">
      <c r="A39" s="1732" t="s">
        <v>890</v>
      </c>
      <c r="B39" s="1729">
        <f>F24-F21</f>
        <v>7337663.6262393203</v>
      </c>
      <c r="C39"/>
      <c r="D39"/>
      <c r="E39" s="273"/>
      <c r="F39" s="274"/>
      <c r="G39" s="274"/>
      <c r="H39" s="624"/>
      <c r="I39" s="622"/>
      <c r="N39" s="622"/>
      <c r="Q39" s="641"/>
      <c r="R39" s="143"/>
      <c r="S39" s="641"/>
      <c r="T39" s="120"/>
      <c r="U39" s="641"/>
      <c r="V39" s="641"/>
      <c r="W39" s="120"/>
      <c r="X39" s="625"/>
      <c r="Y39" s="97"/>
      <c r="AF39" s="628"/>
      <c r="AG39" s="628"/>
      <c r="AH39" s="628"/>
      <c r="AI39" s="628"/>
      <c r="AJ39" s="35"/>
      <c r="AK39" s="622"/>
      <c r="AL39" s="35"/>
      <c r="AM39" s="632"/>
      <c r="AN39" s="639"/>
      <c r="AO39" s="633"/>
      <c r="AP39" s="3"/>
      <c r="AQ39" s="3"/>
      <c r="AR39" s="3"/>
      <c r="AS39" s="633"/>
      <c r="AT39" s="633"/>
      <c r="AU39" s="633"/>
      <c r="AV39" s="633"/>
      <c r="AW39" s="633"/>
    </row>
    <row r="40" spans="1:49" s="230" customFormat="1" ht="15.75" customHeight="1" x14ac:dyDescent="0.3">
      <c r="A40" s="1732" t="s">
        <v>1748</v>
      </c>
      <c r="B40" s="1729">
        <f>F23-F22</f>
        <v>2558009.1726277303</v>
      </c>
      <c r="C40"/>
      <c r="D40"/>
      <c r="E40" s="273"/>
      <c r="F40" s="274"/>
      <c r="G40" s="274"/>
      <c r="H40" s="624"/>
      <c r="I40" s="622"/>
      <c r="N40" s="622"/>
      <c r="Q40" s="641"/>
      <c r="R40" s="143"/>
      <c r="S40" s="641"/>
      <c r="T40" s="120"/>
      <c r="U40" s="641"/>
      <c r="V40" s="641"/>
      <c r="W40" s="120"/>
      <c r="X40" s="625"/>
      <c r="Y40" s="97"/>
      <c r="AF40" s="628"/>
      <c r="AG40" s="628"/>
      <c r="AH40" s="628"/>
      <c r="AI40" s="628"/>
      <c r="AJ40" s="35"/>
      <c r="AK40" s="622"/>
      <c r="AL40" s="35"/>
      <c r="AM40" s="632"/>
      <c r="AN40" s="639"/>
      <c r="AO40" s="633"/>
      <c r="AP40" s="3"/>
      <c r="AQ40" s="3"/>
      <c r="AR40" s="3"/>
      <c r="AS40" s="633"/>
      <c r="AT40" s="633"/>
      <c r="AU40" s="633"/>
      <c r="AV40" s="633"/>
      <c r="AW40" s="633"/>
    </row>
    <row r="41" spans="1:49" s="230" customFormat="1" ht="15.75" customHeight="1" thickBot="1" x14ac:dyDescent="0.35">
      <c r="A41" s="1733" t="s">
        <v>1749</v>
      </c>
      <c r="B41" s="1715">
        <f>F23-F21</f>
        <v>3040845.765236076</v>
      </c>
      <c r="C41"/>
      <c r="D41"/>
      <c r="E41" s="273"/>
      <c r="F41" s="274"/>
      <c r="G41" s="274"/>
      <c r="H41" s="624"/>
      <c r="I41" s="622"/>
      <c r="N41" s="622"/>
      <c r="Q41" s="641"/>
      <c r="R41" s="143"/>
      <c r="S41" s="641"/>
      <c r="T41" s="120"/>
      <c r="U41" s="641"/>
      <c r="V41" s="641"/>
      <c r="W41" s="120"/>
      <c r="X41" s="625"/>
      <c r="Y41" s="97"/>
      <c r="AF41" s="628"/>
      <c r="AG41" s="628"/>
      <c r="AH41" s="628"/>
      <c r="AI41" s="628"/>
      <c r="AJ41" s="35"/>
      <c r="AK41" s="622"/>
      <c r="AL41" s="35"/>
      <c r="AM41" s="632"/>
      <c r="AN41" s="639"/>
      <c r="AO41" s="633"/>
      <c r="AP41" s="3"/>
      <c r="AQ41" s="3"/>
      <c r="AR41" s="3"/>
      <c r="AS41" s="633"/>
      <c r="AT41" s="633"/>
      <c r="AU41" s="633"/>
      <c r="AV41" s="633"/>
      <c r="AW41" s="633"/>
    </row>
    <row r="42" spans="1:49" s="230" customFormat="1" ht="15.75" customHeight="1" thickBot="1" x14ac:dyDescent="0.35">
      <c r="A42" s="265"/>
      <c r="B42" s="265"/>
      <c r="C42" s="247"/>
      <c r="D42" s="272"/>
      <c r="E42" s="273"/>
      <c r="F42" s="274"/>
      <c r="G42" s="274"/>
      <c r="H42" s="264"/>
      <c r="I42" s="263"/>
      <c r="N42" s="263"/>
      <c r="Q42" s="268"/>
      <c r="R42" s="143"/>
      <c r="S42" s="268"/>
      <c r="T42" s="120"/>
      <c r="U42" s="268"/>
      <c r="V42" s="268"/>
      <c r="W42" s="120"/>
      <c r="X42" s="265"/>
      <c r="Y42" s="97"/>
      <c r="AF42" s="123"/>
      <c r="AG42" s="123"/>
      <c r="AH42" s="123"/>
      <c r="AI42" s="123"/>
      <c r="AJ42" s="35"/>
      <c r="AK42" s="263"/>
      <c r="AL42" s="35"/>
      <c r="AM42" s="266"/>
      <c r="AN42" s="269"/>
      <c r="AO42" s="267"/>
      <c r="AP42" s="3"/>
      <c r="AQ42" s="3"/>
      <c r="AR42" s="3"/>
      <c r="AS42" s="267"/>
      <c r="AT42" s="267"/>
      <c r="AU42" s="267"/>
      <c r="AV42" s="267"/>
      <c r="AW42" s="267"/>
    </row>
    <row r="43" spans="1:49" ht="43.5" customHeight="1" x14ac:dyDescent="0.25">
      <c r="A43" s="2413" t="s">
        <v>372</v>
      </c>
      <c r="B43" s="2414"/>
      <c r="C43" s="2414"/>
      <c r="D43" s="2414"/>
      <c r="E43" s="2414"/>
      <c r="F43" s="2414"/>
      <c r="G43" s="2414"/>
      <c r="H43" s="2414"/>
      <c r="I43" s="2414"/>
      <c r="J43" s="2415"/>
      <c r="K43" s="96"/>
      <c r="L43" s="96"/>
      <c r="M43" s="2564" t="s">
        <v>373</v>
      </c>
      <c r="N43" s="2580"/>
      <c r="O43" s="2580"/>
      <c r="P43" s="2565"/>
      <c r="Q43" s="96"/>
      <c r="R43" s="96"/>
      <c r="S43" s="96"/>
      <c r="T43" s="969"/>
      <c r="W43" s="97"/>
      <c r="X43" s="97"/>
      <c r="AB43" s="100"/>
    </row>
    <row r="44" spans="1:49" s="649" customFormat="1" ht="42.75" customHeight="1" x14ac:dyDescent="0.25">
      <c r="A44" s="321" t="s">
        <v>28</v>
      </c>
      <c r="B44" s="2552" t="s">
        <v>123</v>
      </c>
      <c r="C44" s="2553"/>
      <c r="D44" s="2553"/>
      <c r="E44" s="2553"/>
      <c r="F44" s="150" t="s">
        <v>26</v>
      </c>
      <c r="G44" s="150" t="s">
        <v>925</v>
      </c>
      <c r="H44" s="150" t="s">
        <v>917</v>
      </c>
      <c r="I44" s="150" t="s">
        <v>122</v>
      </c>
      <c r="J44" s="417" t="s">
        <v>899</v>
      </c>
      <c r="K44" s="626"/>
      <c r="L44" s="626"/>
      <c r="M44" s="973" t="s">
        <v>26</v>
      </c>
      <c r="N44" s="967" t="s">
        <v>25</v>
      </c>
      <c r="O44" s="970" t="s">
        <v>300</v>
      </c>
      <c r="P44" s="971" t="s">
        <v>305</v>
      </c>
      <c r="Q44" s="968"/>
      <c r="R44" s="968"/>
      <c r="S44" s="98"/>
      <c r="T44" s="988"/>
      <c r="W44" s="623"/>
      <c r="X44" s="623"/>
    </row>
    <row r="45" spans="1:49" ht="23.25" customHeight="1" x14ac:dyDescent="0.3">
      <c r="A45" s="638">
        <v>1</v>
      </c>
      <c r="B45" s="2534" t="s">
        <v>699</v>
      </c>
      <c r="C45" s="2534"/>
      <c r="D45" s="2534"/>
      <c r="E45" s="2534"/>
      <c r="F45" s="637" t="s">
        <v>27</v>
      </c>
      <c r="G45" s="702">
        <f>'AD Calculations'!$D$16</f>
        <v>-6.4551914323287676</v>
      </c>
      <c r="H45" s="630">
        <f>IF(G45&lt;0,0,IF(G45&lt;5.6,1,IF(G45&lt;11.2,2,IF(G45&lt;16.8,3,IF(G45&lt;22.4,4,IF(G45&lt;28,5,IF(G45&lt;33.6,6,IF(G45&lt;39.2,7,8))))))))</f>
        <v>0</v>
      </c>
      <c r="I45" s="316">
        <f>H45*(2618230+500000)</f>
        <v>0</v>
      </c>
      <c r="J45" s="316">
        <f>I45*(2618230+500000)</f>
        <v>0</v>
      </c>
      <c r="K45" s="311"/>
      <c r="L45" s="311"/>
      <c r="M45" s="319" t="s">
        <v>27</v>
      </c>
      <c r="N45" s="186">
        <f>'AD Calculations'!$D$16</f>
        <v>-6.4551914323287676</v>
      </c>
      <c r="O45" s="315">
        <f>(('Waste Mass Calculations'!G8+'Waste Mass Calculations'!E51*365)/10^6+((17+30)*H45))*(95-' QUICK OVERVIEW- Inputs&amp;Outputs'!C13)</f>
        <v>3212.4266666666667</v>
      </c>
      <c r="P45" s="703">
        <f>((O45*10^6)/3412.14)*0.11+(0.359+0.479)*('Waste Mass Calculations'!G8/2000+'Waste Mass Calculations'!E35*365/2000)</f>
        <v>161689.44152909628</v>
      </c>
      <c r="Q45" s="1592"/>
      <c r="R45" s="1593"/>
      <c r="S45" s="360"/>
      <c r="T45" s="56"/>
      <c r="W45" s="93"/>
      <c r="X45" s="93"/>
    </row>
    <row r="46" spans="1:49" s="230" customFormat="1" ht="19.5" thickBot="1" x14ac:dyDescent="0.35">
      <c r="A46" s="534"/>
      <c r="B46" s="529"/>
      <c r="C46" s="529"/>
      <c r="D46" s="529"/>
      <c r="E46" s="529"/>
      <c r="F46" s="56"/>
      <c r="G46" s="628"/>
      <c r="H46" s="628"/>
      <c r="I46" s="628"/>
      <c r="J46" s="628"/>
      <c r="K46" s="308"/>
      <c r="L46" s="308"/>
      <c r="M46" s="314"/>
      <c r="N46" s="314"/>
      <c r="O46" s="311"/>
      <c r="P46" s="311"/>
      <c r="Q46" s="308"/>
      <c r="R46" s="308"/>
      <c r="S46" s="308"/>
      <c r="T46" s="308"/>
      <c r="U46" s="308"/>
      <c r="V46" s="273"/>
      <c r="W46" s="312"/>
      <c r="X46" s="312"/>
      <c r="Y46" s="312"/>
      <c r="Z46" s="312"/>
      <c r="AA46" s="312"/>
      <c r="AF46" s="308"/>
      <c r="AG46" s="309"/>
      <c r="AH46" s="309"/>
      <c r="AI46" s="309"/>
      <c r="AJ46" s="308"/>
      <c r="AK46" s="311"/>
      <c r="AL46" s="308"/>
      <c r="AM46" s="310"/>
      <c r="AN46" s="310"/>
      <c r="AO46" s="308"/>
      <c r="AP46" s="308"/>
      <c r="AQ46" s="308"/>
      <c r="AR46" s="308"/>
    </row>
    <row r="47" spans="1:49" s="230" customFormat="1" ht="48" customHeight="1" thickBot="1" x14ac:dyDescent="0.35">
      <c r="A47" s="2549" t="s">
        <v>1085</v>
      </c>
      <c r="B47" s="2550"/>
      <c r="C47" s="2550"/>
      <c r="D47" s="2551"/>
      <c r="E47" s="621"/>
      <c r="F47" s="56"/>
      <c r="G47" s="628"/>
      <c r="H47" s="628"/>
      <c r="I47" s="628"/>
      <c r="J47" s="628"/>
      <c r="K47" s="622"/>
      <c r="L47" s="622"/>
      <c r="M47" s="314"/>
      <c r="N47" s="314"/>
      <c r="O47" s="634"/>
      <c r="P47" s="634"/>
      <c r="Q47" s="622"/>
      <c r="R47" s="622"/>
      <c r="S47" s="622"/>
      <c r="T47" s="622"/>
      <c r="U47" s="622"/>
      <c r="V47" s="273"/>
      <c r="W47" s="629"/>
      <c r="X47" s="629"/>
      <c r="Y47" s="629"/>
      <c r="Z47" s="629"/>
      <c r="AA47" s="629"/>
      <c r="AF47" s="622"/>
      <c r="AG47" s="627"/>
      <c r="AH47" s="627"/>
      <c r="AI47" s="627"/>
      <c r="AJ47" s="622"/>
      <c r="AK47" s="634"/>
      <c r="AL47" s="622"/>
      <c r="AM47" s="633"/>
      <c r="AN47" s="633"/>
      <c r="AO47" s="622"/>
      <c r="AP47" s="622"/>
      <c r="AQ47" s="622"/>
      <c r="AR47" s="622"/>
    </row>
    <row r="48" spans="1:49" s="230" customFormat="1" ht="18.75" x14ac:dyDescent="0.3">
      <c r="A48" s="567" t="s">
        <v>28</v>
      </c>
      <c r="B48" s="568" t="s">
        <v>539</v>
      </c>
      <c r="C48" s="568" t="s">
        <v>703</v>
      </c>
      <c r="D48" s="569" t="s">
        <v>261</v>
      </c>
      <c r="E48" s="621"/>
      <c r="F48" s="56"/>
      <c r="G48" s="628"/>
      <c r="H48" s="628"/>
      <c r="I48" s="628"/>
      <c r="J48" s="628"/>
      <c r="K48" s="628"/>
      <c r="L48" s="628"/>
      <c r="M48" s="704"/>
      <c r="N48" s="704"/>
      <c r="O48" s="705"/>
      <c r="P48" s="705"/>
      <c r="Q48" s="628"/>
      <c r="R48" s="628"/>
      <c r="S48" s="628"/>
      <c r="T48" s="308"/>
      <c r="U48" s="308"/>
      <c r="V48" s="273"/>
      <c r="W48" s="312"/>
      <c r="X48" s="312"/>
      <c r="Y48" s="312"/>
      <c r="Z48" s="312"/>
      <c r="AA48" s="312"/>
      <c r="AF48" s="308"/>
      <c r="AG48" s="309"/>
      <c r="AH48" s="309"/>
      <c r="AI48" s="309"/>
      <c r="AJ48" s="308"/>
      <c r="AK48" s="311"/>
      <c r="AL48" s="308"/>
      <c r="AM48" s="310"/>
      <c r="AN48" s="310"/>
      <c r="AO48" s="308"/>
      <c r="AP48" s="308"/>
      <c r="AQ48" s="308"/>
      <c r="AR48" s="308"/>
    </row>
    <row r="49" spans="1:44" s="230" customFormat="1" ht="18.75" x14ac:dyDescent="0.3">
      <c r="A49" s="570" t="s">
        <v>700</v>
      </c>
      <c r="B49" s="571">
        <f>J45</f>
        <v>0</v>
      </c>
      <c r="C49" s="571">
        <f>P45*31.4236</f>
        <v>5080864.3348337095</v>
      </c>
      <c r="D49" s="572">
        <f>C49+B49+G152</f>
        <v>5080853.5308799716</v>
      </c>
      <c r="E49" s="621"/>
      <c r="F49" s="56"/>
      <c r="G49" s="628"/>
      <c r="H49" s="628"/>
      <c r="I49" s="628"/>
      <c r="J49" s="628"/>
      <c r="K49" s="628"/>
      <c r="L49" s="628"/>
      <c r="M49" s="704"/>
      <c r="N49" s="704"/>
      <c r="O49" s="705"/>
      <c r="P49" s="705"/>
      <c r="Q49" s="628"/>
      <c r="R49" s="628"/>
      <c r="S49" s="628"/>
      <c r="T49" s="308"/>
      <c r="U49" s="308"/>
      <c r="V49" s="273"/>
      <c r="W49" s="312"/>
      <c r="X49" s="312"/>
      <c r="Y49" s="312"/>
      <c r="Z49" s="312"/>
      <c r="AA49" s="312"/>
      <c r="AF49" s="308"/>
      <c r="AG49" s="309"/>
      <c r="AH49" s="309"/>
      <c r="AI49" s="309"/>
      <c r="AJ49" s="308"/>
      <c r="AK49" s="311"/>
      <c r="AL49" s="308"/>
      <c r="AM49" s="310"/>
      <c r="AN49" s="310"/>
      <c r="AO49" s="308"/>
      <c r="AP49" s="308"/>
      <c r="AQ49" s="308"/>
      <c r="AR49" s="308"/>
    </row>
    <row r="50" spans="1:44" s="230" customFormat="1" ht="18.75" x14ac:dyDescent="0.3">
      <c r="A50" s="570" t="s">
        <v>915</v>
      </c>
      <c r="B50" s="571" t="s">
        <v>897</v>
      </c>
      <c r="C50" s="571" t="s">
        <v>897</v>
      </c>
      <c r="D50" s="572">
        <f>$E$130+G152</f>
        <v>7027920.072142262</v>
      </c>
      <c r="E50" s="621"/>
      <c r="F50" s="56"/>
      <c r="G50" s="628"/>
      <c r="H50" s="628"/>
      <c r="I50" s="628"/>
      <c r="J50" s="628"/>
      <c r="K50" s="628"/>
      <c r="L50" s="628"/>
      <c r="M50" s="704"/>
      <c r="N50" s="704"/>
      <c r="O50" s="705"/>
      <c r="P50" s="705"/>
      <c r="Q50" s="628"/>
      <c r="R50" s="628"/>
      <c r="S50" s="628"/>
      <c r="T50" s="308"/>
      <c r="U50" s="308"/>
      <c r="V50" s="273"/>
      <c r="W50" s="312"/>
      <c r="X50" s="312"/>
      <c r="Y50" s="312"/>
      <c r="Z50" s="312"/>
      <c r="AA50" s="312"/>
      <c r="AF50" s="308"/>
      <c r="AG50" s="309"/>
      <c r="AH50" s="309"/>
      <c r="AI50" s="309"/>
      <c r="AJ50" s="308"/>
      <c r="AK50" s="311"/>
      <c r="AL50" s="308"/>
      <c r="AM50" s="310"/>
      <c r="AN50" s="310"/>
      <c r="AO50" s="308"/>
      <c r="AP50" s="308"/>
      <c r="AQ50" s="308"/>
      <c r="AR50" s="308"/>
    </row>
    <row r="51" spans="1:44" s="230" customFormat="1" ht="18.75" x14ac:dyDescent="0.3">
      <c r="A51" s="570" t="s">
        <v>916</v>
      </c>
      <c r="B51" s="571" t="s">
        <v>897</v>
      </c>
      <c r="C51" s="571" t="s">
        <v>897</v>
      </c>
      <c r="D51" s="572">
        <f>$E$130+G152</f>
        <v>7027920.072142262</v>
      </c>
      <c r="E51" s="621"/>
      <c r="F51" s="56"/>
      <c r="G51" s="628"/>
      <c r="H51" s="628"/>
      <c r="I51" s="628"/>
      <c r="J51" s="628"/>
      <c r="K51" s="628"/>
      <c r="L51" s="628"/>
      <c r="M51" s="704"/>
      <c r="N51" s="704"/>
      <c r="O51" s="705"/>
      <c r="P51" s="705"/>
      <c r="Q51" s="628"/>
      <c r="R51" s="628"/>
      <c r="S51" s="628"/>
      <c r="T51" s="452"/>
      <c r="U51" s="452"/>
      <c r="V51" s="273"/>
      <c r="W51" s="457"/>
      <c r="X51" s="457"/>
      <c r="Y51" s="457"/>
      <c r="Z51" s="457"/>
      <c r="AA51" s="457"/>
      <c r="AF51" s="452"/>
      <c r="AG51" s="454"/>
      <c r="AH51" s="454"/>
      <c r="AI51" s="454"/>
      <c r="AJ51" s="452"/>
      <c r="AK51" s="456"/>
      <c r="AL51" s="452"/>
      <c r="AM51" s="455"/>
      <c r="AN51" s="455"/>
      <c r="AO51" s="452"/>
      <c r="AP51" s="452"/>
      <c r="AQ51" s="452"/>
      <c r="AR51" s="452"/>
    </row>
    <row r="52" spans="1:44" s="230" customFormat="1" ht="19.5" thickBot="1" x14ac:dyDescent="0.35">
      <c r="A52" s="573" t="s">
        <v>753</v>
      </c>
      <c r="B52" s="1884" t="s">
        <v>897</v>
      </c>
      <c r="C52" s="1884" t="s">
        <v>897</v>
      </c>
      <c r="D52" s="574">
        <f>$E$131+G152</f>
        <v>12298868.229214262</v>
      </c>
      <c r="E52" s="621"/>
      <c r="F52" s="56"/>
      <c r="G52" s="628"/>
      <c r="H52" s="628"/>
      <c r="I52" s="628"/>
      <c r="J52" s="628"/>
      <c r="K52" s="628"/>
      <c r="L52" s="628"/>
      <c r="M52" s="704"/>
      <c r="N52" s="704"/>
      <c r="O52" s="705"/>
      <c r="P52" s="705"/>
      <c r="Q52" s="628"/>
      <c r="R52" s="628"/>
      <c r="S52" s="628"/>
      <c r="T52" s="373"/>
      <c r="U52" s="373"/>
      <c r="V52" s="273"/>
      <c r="W52" s="376"/>
      <c r="X52" s="376"/>
      <c r="Y52" s="376"/>
      <c r="Z52" s="376"/>
      <c r="AA52" s="376"/>
      <c r="AF52" s="373"/>
      <c r="AG52" s="374"/>
      <c r="AH52" s="374"/>
      <c r="AI52" s="374"/>
      <c r="AJ52" s="373"/>
      <c r="AK52" s="375"/>
      <c r="AL52" s="373"/>
      <c r="AM52" s="377"/>
      <c r="AN52" s="377"/>
      <c r="AO52" s="373"/>
      <c r="AP52" s="373"/>
      <c r="AQ52" s="373"/>
      <c r="AR52" s="373"/>
    </row>
    <row r="53" spans="1:44" ht="15.75" thickBot="1" x14ac:dyDescent="0.3">
      <c r="A53" s="628"/>
      <c r="B53" s="2451"/>
      <c r="C53" s="2451"/>
      <c r="D53" s="2451"/>
      <c r="E53" s="2451"/>
      <c r="F53" s="628"/>
      <c r="G53" s="628"/>
      <c r="H53" s="628"/>
      <c r="I53" s="628"/>
      <c r="J53" s="628"/>
      <c r="K53" s="628"/>
      <c r="L53" s="628"/>
      <c r="M53" s="2599"/>
      <c r="N53" s="2599"/>
      <c r="O53" s="2599"/>
      <c r="P53" s="2599"/>
      <c r="Q53" s="2599"/>
      <c r="R53" s="705"/>
      <c r="S53" s="705"/>
      <c r="T53" s="92"/>
      <c r="U53" s="92"/>
      <c r="V53" s="92"/>
      <c r="W53" s="24"/>
      <c r="X53" s="93"/>
      <c r="Y53" s="93"/>
      <c r="Z53" s="93"/>
      <c r="AA53" s="93"/>
      <c r="AF53" s="26"/>
      <c r="AG53" s="2477"/>
      <c r="AH53" s="2477"/>
      <c r="AI53" s="2477"/>
      <c r="AJ53" s="26"/>
      <c r="AK53" s="2596"/>
      <c r="AL53" s="2596"/>
      <c r="AM53" s="2597"/>
      <c r="AN53" s="2597"/>
      <c r="AO53" s="2595"/>
      <c r="AP53" s="2477"/>
      <c r="AQ53" s="2477"/>
      <c r="AR53" s="2477"/>
    </row>
    <row r="54" spans="1:44" ht="15" customHeight="1" x14ac:dyDescent="0.25">
      <c r="A54" s="2422" t="s">
        <v>374</v>
      </c>
      <c r="B54" s="2423"/>
      <c r="C54" s="2423"/>
      <c r="D54" s="2423"/>
      <c r="E54" s="2423"/>
      <c r="F54" s="2424"/>
      <c r="G54" s="628"/>
      <c r="H54" s="628"/>
      <c r="I54" s="120"/>
      <c r="J54" s="628"/>
      <c r="K54" s="628"/>
      <c r="L54" s="628"/>
      <c r="M54" s="2422" t="s">
        <v>375</v>
      </c>
      <c r="N54" s="2424"/>
      <c r="O54" s="100"/>
      <c r="P54" s="100"/>
      <c r="Q54" s="121"/>
      <c r="R54" s="121"/>
      <c r="S54" s="705"/>
      <c r="T54" s="113"/>
      <c r="U54" s="113"/>
      <c r="V54" s="113"/>
      <c r="W54" s="112"/>
      <c r="X54" s="112"/>
      <c r="Y54" s="112"/>
      <c r="Z54" s="112"/>
      <c r="AA54" s="112"/>
      <c r="AF54" s="110"/>
      <c r="AG54" s="110"/>
      <c r="AH54" s="110"/>
      <c r="AI54" s="110"/>
      <c r="AJ54" s="110"/>
      <c r="AK54" s="113"/>
      <c r="AL54" s="113"/>
      <c r="AM54" s="112"/>
      <c r="AN54" s="112"/>
      <c r="AO54" s="111"/>
      <c r="AP54" s="110"/>
      <c r="AQ54" s="110"/>
      <c r="AR54" s="110"/>
    </row>
    <row r="55" spans="1:44" ht="15" customHeight="1" x14ac:dyDescent="0.25">
      <c r="A55" s="2425"/>
      <c r="B55" s="2426"/>
      <c r="C55" s="2426"/>
      <c r="D55" s="2426"/>
      <c r="E55" s="2426"/>
      <c r="F55" s="2427"/>
      <c r="G55" s="628"/>
      <c r="H55" s="464"/>
      <c r="I55" s="628"/>
      <c r="J55" s="628"/>
      <c r="K55" s="628"/>
      <c r="L55" s="628"/>
      <c r="M55" s="2425"/>
      <c r="N55" s="2427"/>
      <c r="O55" s="100"/>
      <c r="P55" s="100"/>
      <c r="Q55" s="121"/>
      <c r="R55" s="121"/>
      <c r="S55" s="705"/>
      <c r="T55" s="113"/>
      <c r="U55" s="113"/>
      <c r="V55" s="113"/>
      <c r="W55" s="112"/>
      <c r="X55" s="112"/>
      <c r="Y55" s="112"/>
      <c r="Z55" s="112"/>
      <c r="AA55" s="112"/>
      <c r="AF55" s="110"/>
      <c r="AG55" s="110"/>
      <c r="AH55" s="110"/>
      <c r="AI55" s="110"/>
      <c r="AJ55" s="110"/>
      <c r="AK55" s="113"/>
      <c r="AL55" s="113"/>
      <c r="AM55" s="112"/>
      <c r="AN55" s="112"/>
      <c r="AO55" s="111"/>
      <c r="AP55" s="110"/>
      <c r="AQ55" s="110"/>
      <c r="AR55" s="110"/>
    </row>
    <row r="56" spans="1:44" ht="24" customHeight="1" thickBot="1" x14ac:dyDescent="0.3">
      <c r="A56" s="2428"/>
      <c r="B56" s="2429"/>
      <c r="C56" s="2429"/>
      <c r="D56" s="2429"/>
      <c r="E56" s="2429"/>
      <c r="F56" s="2430"/>
      <c r="G56" s="628"/>
      <c r="H56" s="464"/>
      <c r="I56" s="628"/>
      <c r="J56" s="628"/>
      <c r="K56" s="628"/>
      <c r="L56" s="628"/>
      <c r="M56" s="2447"/>
      <c r="N56" s="2449"/>
      <c r="O56" s="100"/>
      <c r="P56" s="100"/>
      <c r="Q56" s="121"/>
      <c r="R56" s="121"/>
      <c r="S56" s="705"/>
      <c r="T56" s="113"/>
      <c r="U56" s="113"/>
      <c r="V56" s="113"/>
      <c r="W56" s="112"/>
      <c r="X56" s="112"/>
      <c r="Y56" s="112"/>
      <c r="Z56" s="112"/>
      <c r="AA56" s="112"/>
      <c r="AF56" s="110"/>
      <c r="AG56" s="110"/>
      <c r="AH56" s="110"/>
      <c r="AI56" s="110"/>
      <c r="AJ56" s="110"/>
      <c r="AK56" s="113"/>
      <c r="AL56" s="113"/>
      <c r="AM56" s="112"/>
      <c r="AN56" s="112"/>
      <c r="AO56" s="111"/>
      <c r="AP56" s="110"/>
      <c r="AQ56" s="110"/>
      <c r="AR56" s="110"/>
    </row>
    <row r="57" spans="1:44" s="649" customFormat="1" ht="47.25" customHeight="1" x14ac:dyDescent="0.25">
      <c r="A57" s="118" t="s">
        <v>28</v>
      </c>
      <c r="B57" s="908" t="s">
        <v>199</v>
      </c>
      <c r="C57" s="845" t="s">
        <v>122</v>
      </c>
      <c r="D57" s="2561" t="s">
        <v>224</v>
      </c>
      <c r="E57" s="2562"/>
      <c r="F57" s="2563"/>
      <c r="G57" s="840"/>
      <c r="H57" s="840"/>
      <c r="I57" s="840"/>
      <c r="J57" s="840"/>
      <c r="K57" s="840"/>
      <c r="L57" s="840"/>
      <c r="M57" s="525" t="s">
        <v>299</v>
      </c>
      <c r="N57" s="281" t="s">
        <v>298</v>
      </c>
      <c r="Q57" s="41"/>
      <c r="R57" s="38"/>
      <c r="S57" s="842"/>
      <c r="T57" s="842"/>
      <c r="U57" s="842"/>
      <c r="V57" s="842"/>
      <c r="W57" s="154"/>
      <c r="X57" s="154"/>
      <c r="Y57" s="154"/>
      <c r="Z57" s="154"/>
      <c r="AA57" s="154"/>
      <c r="AF57" s="840"/>
      <c r="AG57" s="840"/>
      <c r="AH57" s="840"/>
      <c r="AI57" s="840"/>
      <c r="AJ57" s="840"/>
      <c r="AK57" s="842"/>
      <c r="AL57" s="842"/>
      <c r="AM57" s="154"/>
      <c r="AN57" s="154"/>
    </row>
    <row r="58" spans="1:44" ht="19.5" thickBot="1" x14ac:dyDescent="0.35">
      <c r="A58" s="116" t="s">
        <v>167</v>
      </c>
      <c r="B58" s="114" t="s">
        <v>200</v>
      </c>
      <c r="C58" s="206">
        <v>910000</v>
      </c>
      <c r="D58" s="2581">
        <f>C58*(1+0.9057+0.8203+0.743+0.673+0.6095+0.5521+0.5+0.4529+0.4102)</f>
        <v>6066696.9999999991</v>
      </c>
      <c r="E58" s="2582"/>
      <c r="F58" s="2583"/>
      <c r="M58" s="526">
        <f>(1*('Waste Mass Calculations'!G8+'Waste Mass Calculations'!E35*365)/2000)</f>
        <v>69364.876666666678</v>
      </c>
      <c r="N58" s="224">
        <f>M58*31.4236</f>
        <v>2179694.138422667</v>
      </c>
      <c r="Q58" s="3"/>
      <c r="R58" s="527"/>
    </row>
    <row r="59" spans="1:44" ht="15.75" thickBot="1" x14ac:dyDescent="0.3">
      <c r="A59" s="110"/>
      <c r="B59" s="110"/>
      <c r="C59" s="112"/>
      <c r="D59" s="112"/>
      <c r="E59" s="112"/>
      <c r="F59" s="112"/>
    </row>
    <row r="60" spans="1:44" ht="61.5" customHeight="1" x14ac:dyDescent="0.25">
      <c r="A60" s="2573" t="s">
        <v>1284</v>
      </c>
      <c r="B60" s="2574"/>
      <c r="C60" s="2574"/>
      <c r="D60" s="2574"/>
      <c r="E60" s="2574"/>
      <c r="F60" s="2574"/>
      <c r="G60" s="2574"/>
      <c r="H60" s="2574"/>
      <c r="I60" s="2575"/>
      <c r="J60" s="121"/>
      <c r="K60" s="121"/>
      <c r="L60" s="121"/>
      <c r="M60" s="2576" t="s">
        <v>376</v>
      </c>
      <c r="N60" s="2577"/>
      <c r="O60" s="2577"/>
      <c r="P60" s="2578"/>
      <c r="S60" s="96"/>
      <c r="V60" s="97"/>
      <c r="W60" s="97"/>
      <c r="AC60" s="96"/>
      <c r="AD60" s="96"/>
      <c r="AE60" s="96"/>
      <c r="AF60" s="96"/>
      <c r="AG60" s="96"/>
      <c r="AH60" s="96"/>
      <c r="AI60" s="96"/>
      <c r="AJ60" s="96"/>
    </row>
    <row r="61" spans="1:44" ht="87.75" customHeight="1" x14ac:dyDescent="0.25">
      <c r="A61" s="544" t="s">
        <v>28</v>
      </c>
      <c r="B61" s="540" t="s">
        <v>1006</v>
      </c>
      <c r="C61" s="150" t="s">
        <v>922</v>
      </c>
      <c r="D61" s="541" t="s">
        <v>995</v>
      </c>
      <c r="E61" s="540" t="s">
        <v>1007</v>
      </c>
      <c r="F61" s="540" t="s">
        <v>222</v>
      </c>
      <c r="G61" s="23" t="s">
        <v>1024</v>
      </c>
      <c r="H61" s="23" t="s">
        <v>1023</v>
      </c>
      <c r="I61" s="542" t="s">
        <v>1025</v>
      </c>
      <c r="K61" s="98"/>
      <c r="L61" s="98"/>
      <c r="M61" s="103" t="s">
        <v>116</v>
      </c>
      <c r="N61" s="433" t="s">
        <v>125</v>
      </c>
      <c r="O61" s="256" t="s">
        <v>1022</v>
      </c>
      <c r="P61" s="432" t="s">
        <v>223</v>
      </c>
      <c r="AC61" s="56"/>
      <c r="AD61" s="105"/>
      <c r="AE61" s="105"/>
      <c r="AF61" s="105"/>
      <c r="AG61" s="56"/>
      <c r="AH61" s="20"/>
      <c r="AI61" s="20"/>
      <c r="AJ61" s="19"/>
    </row>
    <row r="62" spans="1:44" ht="53.25" customHeight="1" x14ac:dyDescent="0.25">
      <c r="A62" s="547">
        <v>1</v>
      </c>
      <c r="B62" s="550" t="s">
        <v>133</v>
      </c>
      <c r="C62" s="530">
        <f>(('Digester Methane Calculation'!F76*0.26)/(3412))-(' QUICK OVERVIEW- Inputs&amp;Outputs'!C15-' QUICK OVERVIEW- Inputs&amp;Outputs'!C16)</f>
        <v>2294577.7785747834</v>
      </c>
      <c r="D62" s="530">
        <f>(C62/(365*24))/1000</f>
        <v>0.26193810257703004</v>
      </c>
      <c r="E62" s="536">
        <f>(2.0114*D62 + 4.6154)*10^6</f>
        <v>5142262.2995234383</v>
      </c>
      <c r="F62" s="536">
        <f>(E62)*1.0824</f>
        <v>5565984.71300417</v>
      </c>
      <c r="G62" s="536">
        <f>F62*(1+0.6095)</f>
        <v>8958452.3955802117</v>
      </c>
      <c r="H62" s="536">
        <v>60000</v>
      </c>
      <c r="I62" s="209">
        <f>G62+H62</f>
        <v>9018452.3955802117</v>
      </c>
      <c r="K62" s="154"/>
      <c r="L62" s="154"/>
      <c r="M62" s="235">
        <f>'Digester Methane Calculation'!$G$76-(' QUICK OVERVIEW- Inputs&amp;Outputs'!C15-' QUICK OVERVIEW- Inputs&amp;Outputs'!C16)</f>
        <v>2581400.0008966313</v>
      </c>
      <c r="N62" s="530">
        <f>(M62/(365*24))/1000</f>
        <v>0.29468036539915882</v>
      </c>
      <c r="O62" s="536">
        <f>(0.0182*(D62)^-0.187)*M62</f>
        <v>60356.42962026997</v>
      </c>
      <c r="P62" s="209">
        <f>(O62*1.0824)*31.4236</f>
        <v>2052897.4850851141</v>
      </c>
      <c r="AC62" s="56"/>
      <c r="AD62" s="58"/>
      <c r="AE62" s="58"/>
      <c r="AF62" s="58"/>
      <c r="AG62" s="56"/>
      <c r="AH62" s="106"/>
      <c r="AI62" s="106"/>
      <c r="AJ62" s="93"/>
    </row>
    <row r="63" spans="1:44" ht="45" customHeight="1" x14ac:dyDescent="0.25">
      <c r="A63" s="547">
        <v>2</v>
      </c>
      <c r="B63" s="550" t="s">
        <v>124</v>
      </c>
      <c r="C63" s="530">
        <f>(('Digester Methane Calculation'!F76*0.325)/(3412))-(' QUICK OVERVIEW- Inputs&amp;Outputs'!C15-' QUICK OVERVIEW- Inputs&amp;Outputs'!C16)</f>
        <v>2868222.2232184792</v>
      </c>
      <c r="D63" s="530">
        <f>(C63/(365*24))</f>
        <v>327.4226282212876</v>
      </c>
      <c r="E63" s="536">
        <f>(0.0091*(D63)^0.8331)*10^6</f>
        <v>1133387.5616691343</v>
      </c>
      <c r="F63" s="536">
        <f>(E63)*1.0824</f>
        <v>1226778.6967506709</v>
      </c>
      <c r="G63" s="536">
        <f>F63*(1+0.6095)</f>
        <v>1974500.312420205</v>
      </c>
      <c r="H63" s="536">
        <v>60000</v>
      </c>
      <c r="I63" s="209">
        <f>G63+H63</f>
        <v>2034500.312420205</v>
      </c>
      <c r="K63" s="3"/>
      <c r="L63" s="3"/>
      <c r="M63" s="235">
        <f>'Digester Methane Calculation'!$G$76-(' QUICK OVERVIEW- Inputs&amp;Outputs'!C15-' QUICK OVERVIEW- Inputs&amp;Outputs'!C16)</f>
        <v>2581400.0008966313</v>
      </c>
      <c r="N63" s="530">
        <f>M63/(365*24)</f>
        <v>294.6803653991588</v>
      </c>
      <c r="O63" s="536">
        <f>(0.1043*(D63)^-0.205)*M63</f>
        <v>82137.661250046702</v>
      </c>
      <c r="P63" s="209">
        <f>(O63*1.0824)*31.4236</f>
        <v>2793740.4394504619</v>
      </c>
      <c r="AC63" s="56"/>
      <c r="AD63" s="58"/>
      <c r="AE63" s="58"/>
      <c r="AF63" s="58"/>
      <c r="AG63" s="56"/>
      <c r="AH63" s="106"/>
      <c r="AI63" s="106"/>
      <c r="AJ63" s="93"/>
    </row>
    <row r="64" spans="1:44" s="230" customFormat="1" ht="45.75" customHeight="1" x14ac:dyDescent="0.25">
      <c r="A64" s="547">
        <v>3</v>
      </c>
      <c r="B64" s="550" t="s">
        <v>996</v>
      </c>
      <c r="C64" s="530">
        <f>(('Digester Methane Calculation'!F76*0.25)/(3412))-(' QUICK OVERVIEW- Inputs&amp;Outputs'!C15-' QUICK OVERVIEW- Inputs&amp;Outputs'!C16)</f>
        <v>2206324.7870911378</v>
      </c>
      <c r="D64" s="530">
        <f>(C64/(365*24))</f>
        <v>251.86356017022121</v>
      </c>
      <c r="E64" s="536">
        <f>(0.0033*D64 + 0.1307)*10^6</f>
        <v>961849.74856173003</v>
      </c>
      <c r="F64" s="536">
        <f>(E64)*1.0824</f>
        <v>1041106.1678432166</v>
      </c>
      <c r="G64" s="536">
        <f>F64*(1+0.6095)</f>
        <v>1675660.3771436573</v>
      </c>
      <c r="H64" s="536">
        <v>60000</v>
      </c>
      <c r="I64" s="209">
        <f>G64+H64</f>
        <v>1735660.3771436573</v>
      </c>
      <c r="K64" s="3"/>
      <c r="L64" s="3"/>
      <c r="M64" s="235">
        <f>'Digester Methane Calculation'!$G$76-(' QUICK OVERVIEW- Inputs&amp;Outputs'!C16-' QUICK OVERVIEW- Inputs&amp;Outputs'!C17)</f>
        <v>2581400.0008966313</v>
      </c>
      <c r="N64" s="530">
        <f>M64/(365*24)</f>
        <v>294.6803653991588</v>
      </c>
      <c r="O64" s="536">
        <f>(0.1268*(D64)^-0.306)*M64</f>
        <v>60286.207775356255</v>
      </c>
      <c r="P64" s="209">
        <f>(O64*1.0824)*31.4236</f>
        <v>2050509.0361704191</v>
      </c>
      <c r="AC64" s="56"/>
      <c r="AD64" s="58"/>
      <c r="AE64" s="58"/>
      <c r="AF64" s="58"/>
      <c r="AG64" s="56"/>
      <c r="AH64" s="120"/>
      <c r="AI64" s="120"/>
      <c r="AJ64" s="535"/>
    </row>
    <row r="65" spans="1:36" s="230" customFormat="1" ht="43.5" customHeight="1" thickBot="1" x14ac:dyDescent="0.3">
      <c r="A65" s="548">
        <v>4</v>
      </c>
      <c r="B65" s="108" t="s">
        <v>997</v>
      </c>
      <c r="C65" s="531">
        <f>(('Digester Methane Calculation'!F76*0.48)/(3412))-(' QUICK OVERVIEW- Inputs&amp;Outputs'!C16-' QUICK OVERVIEW- Inputs&amp;Outputs'!C17)</f>
        <v>4236143.5912149847</v>
      </c>
      <c r="D65" s="531">
        <f>(C65/(365*24))</f>
        <v>483.57803552682475</v>
      </c>
      <c r="E65" s="537">
        <f xml:space="preserve"> (0.0246*(D65)^0.7832)*10^6</f>
        <v>3114650.5091224471</v>
      </c>
      <c r="F65" s="537">
        <f>(E65)*1.0824</f>
        <v>3371297.7110741367</v>
      </c>
      <c r="G65" s="537">
        <f>F65*(1+0.6095)</f>
        <v>5426103.6659738235</v>
      </c>
      <c r="H65" s="537">
        <v>60000</v>
      </c>
      <c r="I65" s="210">
        <f>G65+H65</f>
        <v>5486103.6659738235</v>
      </c>
      <c r="K65" s="3"/>
      <c r="L65" s="3"/>
      <c r="M65" s="322">
        <f>'Digester Methane Calculation'!$G$76-(' QUICK OVERVIEW- Inputs&amp;Outputs'!C17-' QUICK OVERVIEW- Inputs&amp;Outputs'!C18)</f>
        <v>2581400.0008966313</v>
      </c>
      <c r="N65" s="531">
        <f>M65/(365*24)</f>
        <v>294.6803653991588</v>
      </c>
      <c r="O65" s="537">
        <f>(0.2312*(D65)^-0.217)*M65</f>
        <v>156068.00923379877</v>
      </c>
      <c r="P65" s="210">
        <f>(O65*1.0824)*31.4236</f>
        <v>5308326.3154238379</v>
      </c>
      <c r="AC65" s="56"/>
      <c r="AD65" s="58"/>
      <c r="AE65" s="58"/>
      <c r="AF65" s="58"/>
      <c r="AG65" s="56"/>
      <c r="AH65" s="120"/>
      <c r="AI65" s="120"/>
      <c r="AJ65" s="535"/>
    </row>
    <row r="66" spans="1:36" ht="15.75" thickBot="1" x14ac:dyDescent="0.3"/>
    <row r="67" spans="1:36" ht="49.5" customHeight="1" x14ac:dyDescent="0.25">
      <c r="A67" s="2413" t="s">
        <v>1750</v>
      </c>
      <c r="B67" s="2414"/>
      <c r="C67" s="2414"/>
      <c r="D67" s="2414"/>
      <c r="E67" s="2414"/>
      <c r="F67" s="2414"/>
      <c r="G67" s="2414"/>
      <c r="H67" s="2415"/>
      <c r="I67" s="96"/>
      <c r="J67" s="96"/>
      <c r="K67" s="96"/>
      <c r="L67" s="96"/>
      <c r="M67" s="2579" t="s">
        <v>1751</v>
      </c>
      <c r="N67" s="2580"/>
      <c r="O67" s="2565"/>
      <c r="R67" s="133"/>
      <c r="S67" s="97"/>
      <c r="T67" s="97"/>
      <c r="U67" s="97"/>
      <c r="V67" s="97"/>
      <c r="W67" s="97"/>
      <c r="X67" s="97"/>
      <c r="Y67" s="97"/>
      <c r="Z67" s="97"/>
      <c r="AA67" s="97"/>
      <c r="AB67" s="97"/>
      <c r="AC67" s="97"/>
    </row>
    <row r="68" spans="1:36" ht="99.75" customHeight="1" x14ac:dyDescent="0.25">
      <c r="A68" s="338" t="s">
        <v>28</v>
      </c>
      <c r="B68" s="339" t="s">
        <v>1752</v>
      </c>
      <c r="C68" s="575" t="s">
        <v>1027</v>
      </c>
      <c r="D68" s="150" t="s">
        <v>1042</v>
      </c>
      <c r="E68" s="339" t="s">
        <v>1028</v>
      </c>
      <c r="F68" s="23" t="s">
        <v>712</v>
      </c>
      <c r="G68" s="23" t="s">
        <v>713</v>
      </c>
      <c r="H68" s="340" t="s">
        <v>711</v>
      </c>
      <c r="I68" s="107"/>
      <c r="J68" s="107"/>
      <c r="K68" s="107"/>
      <c r="L68" s="107"/>
      <c r="M68" s="522" t="s">
        <v>1030</v>
      </c>
      <c r="N68" s="593" t="s">
        <v>1043</v>
      </c>
      <c r="O68" s="432" t="s">
        <v>223</v>
      </c>
      <c r="R68" s="19"/>
      <c r="S68" s="10"/>
      <c r="T68" s="10"/>
      <c r="U68" s="3"/>
      <c r="V68" s="3"/>
      <c r="W68" s="3"/>
      <c r="X68" s="3"/>
      <c r="Y68" s="3"/>
      <c r="Z68" s="3"/>
      <c r="AA68" s="3"/>
      <c r="AB68" s="3"/>
    </row>
    <row r="69" spans="1:36" ht="62.25" customHeight="1" thickBot="1" x14ac:dyDescent="0.3">
      <c r="A69" s="548">
        <v>1</v>
      </c>
      <c r="B69" s="95" t="s">
        <v>1753</v>
      </c>
      <c r="C69" s="196">
        <f>'Digester Methane Calculation'!$F$76*0.875</f>
        <v>26347930607.442368</v>
      </c>
      <c r="D69" s="196">
        <f>C69/(1000000*365*24)</f>
        <v>3.0077546355527818</v>
      </c>
      <c r="E69" s="341">
        <f>((1.0658*(D69)^0.4796)*10^6)*1.0824</f>
        <v>1956268.9274748699</v>
      </c>
      <c r="F69" s="341">
        <f>E69*(1+0.6095)</f>
        <v>3148614.8387708035</v>
      </c>
      <c r="G69" s="341">
        <v>975000</v>
      </c>
      <c r="H69" s="594">
        <f>F69+G69</f>
        <v>4123614.8387708035</v>
      </c>
      <c r="I69" s="72"/>
      <c r="J69" s="72"/>
      <c r="K69" s="72"/>
      <c r="L69" s="72"/>
      <c r="M69" s="226">
        <f>(0.0722*(D69)^0.6948)*10^6</f>
        <v>155174.38056826539</v>
      </c>
      <c r="N69" s="523">
        <f>M69*1.0824</f>
        <v>167960.74952709046</v>
      </c>
      <c r="O69" s="210">
        <f>(M69*1.1262)*31.4236</f>
        <v>5491506.238576333</v>
      </c>
      <c r="R69" s="132"/>
      <c r="S69" s="93"/>
      <c r="T69" s="93"/>
      <c r="U69" s="3"/>
      <c r="V69" s="3"/>
      <c r="W69" s="3"/>
      <c r="X69" s="3"/>
      <c r="Y69" s="3"/>
      <c r="Z69" s="3"/>
      <c r="AA69" s="3"/>
      <c r="AB69" s="3"/>
    </row>
    <row r="70" spans="1:36" ht="15.75" thickBot="1" x14ac:dyDescent="0.3"/>
    <row r="71" spans="1:36" s="230" customFormat="1" ht="58.5" customHeight="1" x14ac:dyDescent="0.25">
      <c r="A71" s="2413" t="s">
        <v>1011</v>
      </c>
      <c r="B71" s="2414"/>
      <c r="C71" s="2414"/>
      <c r="D71" s="2414"/>
      <c r="E71" s="2414"/>
      <c r="F71" s="2414"/>
      <c r="G71" s="2414"/>
      <c r="H71" s="2415"/>
      <c r="M71" s="2564" t="s">
        <v>1010</v>
      </c>
      <c r="N71" s="2565"/>
      <c r="O71" s="96"/>
    </row>
    <row r="72" spans="1:36" s="230" customFormat="1" ht="47.25" x14ac:dyDescent="0.25">
      <c r="A72" s="321" t="s">
        <v>28</v>
      </c>
      <c r="B72" s="23" t="s">
        <v>1008</v>
      </c>
      <c r="C72" s="575" t="s">
        <v>1027</v>
      </c>
      <c r="D72" s="150" t="s">
        <v>1026</v>
      </c>
      <c r="E72" s="23" t="s">
        <v>1028</v>
      </c>
      <c r="F72" s="23" t="s">
        <v>1024</v>
      </c>
      <c r="G72" s="23" t="s">
        <v>1029</v>
      </c>
      <c r="H72" s="542" t="s">
        <v>1025</v>
      </c>
      <c r="I72" s="100"/>
      <c r="J72" s="100"/>
      <c r="K72" s="100"/>
      <c r="L72" s="100"/>
      <c r="M72" s="445" t="s">
        <v>1044</v>
      </c>
      <c r="N72" s="576" t="s">
        <v>223</v>
      </c>
      <c r="O72" s="100"/>
      <c r="P72" s="100"/>
      <c r="Q72" s="100"/>
      <c r="R72" s="100"/>
      <c r="S72" s="100"/>
      <c r="T72" s="100"/>
      <c r="U72" s="100"/>
    </row>
    <row r="73" spans="1:36" s="230" customFormat="1" ht="19.5" thickBot="1" x14ac:dyDescent="0.3">
      <c r="A73" s="75">
        <v>1</v>
      </c>
      <c r="B73" s="577" t="s">
        <v>1009</v>
      </c>
      <c r="C73" s="196">
        <f>'Digester Methane Calculation'!$F$76*0.9</f>
        <v>27100728624.797863</v>
      </c>
      <c r="D73" s="196">
        <f>C73/(1000000*365*24)</f>
        <v>3.0936904822828613</v>
      </c>
      <c r="E73" s="223">
        <f>((4.2681*(LN(D73))-1.8694)*10^6)*1.0824</f>
        <v>3193990.8557374636</v>
      </c>
      <c r="F73" s="223">
        <f>E73*(1+0.6095)</f>
        <v>5140728.2823094483</v>
      </c>
      <c r="G73" s="223">
        <v>60000</v>
      </c>
      <c r="H73" s="578">
        <f>F73+G73</f>
        <v>5200728.2823094483</v>
      </c>
      <c r="I73" s="100"/>
      <c r="J73" s="100"/>
      <c r="K73" s="100"/>
      <c r="L73" s="100"/>
      <c r="M73" s="579">
        <f>((0.0422*D73 + 0.1975)*1.0824)*10^6</f>
        <v>355085.36639256933</v>
      </c>
      <c r="N73" s="580">
        <f>M73*31.4236</f>
        <v>11158060.519373542</v>
      </c>
      <c r="O73" s="100"/>
      <c r="P73" s="100"/>
      <c r="Q73" s="100"/>
      <c r="R73" s="100"/>
      <c r="S73" s="100"/>
      <c r="T73" s="100"/>
      <c r="U73" s="100"/>
    </row>
    <row r="74" spans="1:36" s="230" customFormat="1" ht="19.5" thickBot="1" x14ac:dyDescent="0.35">
      <c r="A74" s="532"/>
      <c r="B74" s="532"/>
      <c r="C74" s="532"/>
      <c r="D74" s="532"/>
      <c r="E74" s="532"/>
      <c r="F74" s="532"/>
      <c r="G74" s="532"/>
      <c r="H74" s="532"/>
      <c r="I74" s="285"/>
      <c r="J74" s="285"/>
      <c r="K74" s="285"/>
      <c r="L74" s="360"/>
      <c r="M74" s="100"/>
      <c r="N74" s="100"/>
      <c r="O74" s="100"/>
      <c r="P74" s="100"/>
      <c r="Q74" s="100"/>
      <c r="R74" s="100"/>
      <c r="S74" s="100"/>
      <c r="T74" s="100"/>
      <c r="U74" s="100"/>
    </row>
    <row r="75" spans="1:36" s="230" customFormat="1" ht="60" customHeight="1" thickBot="1" x14ac:dyDescent="0.35">
      <c r="A75" s="2319" t="s">
        <v>1754</v>
      </c>
      <c r="B75" s="2478"/>
      <c r="C75" s="2478"/>
      <c r="D75" s="2478"/>
      <c r="E75" s="2320"/>
      <c r="F75" s="625"/>
      <c r="G75" s="625"/>
      <c r="H75" s="625"/>
      <c r="I75" s="285"/>
      <c r="J75" s="285"/>
      <c r="K75" s="285"/>
      <c r="L75" s="360"/>
      <c r="M75" s="100"/>
      <c r="N75" s="100"/>
      <c r="O75" s="100"/>
      <c r="P75" s="100"/>
      <c r="Q75" s="100"/>
      <c r="R75" s="100"/>
      <c r="S75" s="100"/>
      <c r="T75" s="100"/>
      <c r="U75" s="100"/>
    </row>
    <row r="76" spans="1:36" s="230" customFormat="1" ht="19.5" thickBot="1" x14ac:dyDescent="0.35">
      <c r="A76" s="359" t="s">
        <v>28</v>
      </c>
      <c r="B76" s="581" t="s">
        <v>745</v>
      </c>
      <c r="C76" s="582" t="s">
        <v>539</v>
      </c>
      <c r="D76" s="583" t="s">
        <v>746</v>
      </c>
      <c r="E76" s="581" t="s">
        <v>747</v>
      </c>
      <c r="F76" s="532"/>
      <c r="G76" s="532"/>
      <c r="H76" s="532"/>
      <c r="I76" s="285"/>
      <c r="J76" s="285"/>
      <c r="K76" s="285"/>
      <c r="L76" s="360"/>
      <c r="M76" s="100"/>
      <c r="N76" s="100"/>
      <c r="O76" s="100"/>
      <c r="P76" s="100"/>
      <c r="Q76" s="100"/>
      <c r="R76" s="100"/>
      <c r="S76" s="100"/>
      <c r="T76" s="100"/>
      <c r="U76" s="100"/>
    </row>
    <row r="77" spans="1:36" s="230" customFormat="1" ht="18.75" x14ac:dyDescent="0.3">
      <c r="A77" s="539" t="s">
        <v>167</v>
      </c>
      <c r="B77" s="543" t="s">
        <v>1014</v>
      </c>
      <c r="C77" s="554">
        <f>$G$62</f>
        <v>8958452.3955802117</v>
      </c>
      <c r="D77" s="555">
        <f>$P$62</f>
        <v>2052897.4850851141</v>
      </c>
      <c r="E77" s="556">
        <f>C77+D77</f>
        <v>11011349.880665326</v>
      </c>
      <c r="F77" s="356"/>
      <c r="G77" s="356"/>
      <c r="H77" s="356"/>
      <c r="I77" s="274"/>
      <c r="J77" s="274"/>
      <c r="K77" s="285"/>
      <c r="L77" s="360"/>
    </row>
    <row r="78" spans="1:36" s="230" customFormat="1" ht="18.75" x14ac:dyDescent="0.3">
      <c r="A78" s="547" t="s">
        <v>168</v>
      </c>
      <c r="B78" s="538" t="s">
        <v>1015</v>
      </c>
      <c r="C78" s="552">
        <f>$I$62</f>
        <v>9018452.3955802117</v>
      </c>
      <c r="D78" s="336">
        <f>$P$62</f>
        <v>2052897.4850851141</v>
      </c>
      <c r="E78" s="333">
        <f>C78+D78</f>
        <v>11071349.880665326</v>
      </c>
      <c r="F78" s="356"/>
      <c r="G78" s="356"/>
      <c r="H78" s="356"/>
      <c r="I78" s="274"/>
      <c r="J78" s="274"/>
      <c r="K78" s="285"/>
      <c r="L78" s="360"/>
    </row>
    <row r="79" spans="1:36" s="230" customFormat="1" ht="18.75" x14ac:dyDescent="0.3">
      <c r="A79" s="547" t="s">
        <v>179</v>
      </c>
      <c r="B79" s="538" t="s">
        <v>1016</v>
      </c>
      <c r="C79" s="552">
        <f>$G$63</f>
        <v>1974500.312420205</v>
      </c>
      <c r="D79" s="336">
        <f>$P$63</f>
        <v>2793740.4394504619</v>
      </c>
      <c r="E79" s="333">
        <f>C79+D79</f>
        <v>4768240.7518706666</v>
      </c>
      <c r="F79" s="356"/>
      <c r="G79" s="356"/>
      <c r="H79" s="356"/>
      <c r="I79" s="274"/>
      <c r="J79" s="274"/>
      <c r="K79" s="285"/>
      <c r="L79" s="360"/>
    </row>
    <row r="80" spans="1:36" s="230" customFormat="1" ht="18.75" x14ac:dyDescent="0.3">
      <c r="A80" s="547" t="s">
        <v>180</v>
      </c>
      <c r="B80" s="538" t="s">
        <v>1017</v>
      </c>
      <c r="C80" s="552">
        <f>$I$63</f>
        <v>2034500.312420205</v>
      </c>
      <c r="D80" s="336">
        <f>$P$63</f>
        <v>2793740.4394504619</v>
      </c>
      <c r="E80" s="333">
        <f>C80+D80</f>
        <v>4828240.7518706666</v>
      </c>
      <c r="F80" s="356"/>
      <c r="G80" s="356"/>
      <c r="H80" s="356"/>
      <c r="I80" s="274"/>
      <c r="J80" s="274"/>
      <c r="K80" s="285"/>
      <c r="L80" s="360"/>
    </row>
    <row r="81" spans="1:12" s="230" customFormat="1" ht="18.75" x14ac:dyDescent="0.3">
      <c r="A81" s="547" t="s">
        <v>170</v>
      </c>
      <c r="B81" s="538" t="s">
        <v>1018</v>
      </c>
      <c r="C81" s="552">
        <f>$G$64</f>
        <v>1675660.3771436573</v>
      </c>
      <c r="D81" s="336">
        <f>P64</f>
        <v>2050509.0361704191</v>
      </c>
      <c r="E81" s="333">
        <f t="shared" ref="E81:E86" si="3">D81+C81</f>
        <v>3726169.4133140761</v>
      </c>
      <c r="F81" s="533"/>
      <c r="G81" s="533"/>
      <c r="H81" s="533"/>
      <c r="I81" s="274"/>
      <c r="J81" s="274"/>
      <c r="K81" s="285"/>
      <c r="L81" s="360"/>
    </row>
    <row r="82" spans="1:12" s="230" customFormat="1" ht="18.75" x14ac:dyDescent="0.3">
      <c r="A82" s="547" t="s">
        <v>171</v>
      </c>
      <c r="B82" s="538" t="s">
        <v>1019</v>
      </c>
      <c r="C82" s="552">
        <f>$I$64</f>
        <v>1735660.3771436573</v>
      </c>
      <c r="D82" s="535">
        <f>$D$81</f>
        <v>2050509.0361704191</v>
      </c>
      <c r="E82" s="333">
        <f t="shared" si="3"/>
        <v>3786169.4133140761</v>
      </c>
      <c r="F82" s="533"/>
      <c r="G82" s="533"/>
      <c r="H82" s="533"/>
      <c r="I82" s="274"/>
      <c r="J82" s="274"/>
      <c r="K82" s="285"/>
      <c r="L82" s="360"/>
    </row>
    <row r="83" spans="1:12" s="230" customFormat="1" ht="18.75" x14ac:dyDescent="0.3">
      <c r="A83" s="547" t="s">
        <v>173</v>
      </c>
      <c r="B83" s="538" t="s">
        <v>1020</v>
      </c>
      <c r="C83" s="552">
        <f>$G$65</f>
        <v>5426103.6659738235</v>
      </c>
      <c r="D83" s="336">
        <f>P65</f>
        <v>5308326.3154238379</v>
      </c>
      <c r="E83" s="333">
        <f t="shared" si="3"/>
        <v>10734429.981397662</v>
      </c>
      <c r="F83" s="533"/>
      <c r="G83" s="533"/>
      <c r="H83" s="533"/>
      <c r="I83" s="274"/>
      <c r="J83" s="274"/>
      <c r="K83" s="285"/>
      <c r="L83" s="360"/>
    </row>
    <row r="84" spans="1:12" s="230" customFormat="1" ht="18.75" x14ac:dyDescent="0.3">
      <c r="A84" s="547" t="s">
        <v>174</v>
      </c>
      <c r="B84" s="538" t="s">
        <v>1021</v>
      </c>
      <c r="C84" s="552">
        <f>$I$65</f>
        <v>5486103.6659738235</v>
      </c>
      <c r="D84" s="336">
        <f>$D$83</f>
        <v>5308326.3154238379</v>
      </c>
      <c r="E84" s="333">
        <f t="shared" si="3"/>
        <v>10794429.981397662</v>
      </c>
      <c r="F84" s="533"/>
      <c r="G84" s="533"/>
      <c r="H84" s="533"/>
      <c r="I84" s="274"/>
      <c r="J84" s="274"/>
      <c r="K84" s="285"/>
      <c r="L84" s="360"/>
    </row>
    <row r="85" spans="1:12" s="230" customFormat="1" ht="18.75" x14ac:dyDescent="0.3">
      <c r="A85" s="547" t="s">
        <v>748</v>
      </c>
      <c r="B85" s="538" t="s">
        <v>1012</v>
      </c>
      <c r="C85" s="552">
        <f>$F$73</f>
        <v>5140728.2823094483</v>
      </c>
      <c r="D85" s="336">
        <f>$N$73</f>
        <v>11158060.519373542</v>
      </c>
      <c r="E85" s="333">
        <f t="shared" si="3"/>
        <v>16298788.80168299</v>
      </c>
      <c r="F85" s="533"/>
      <c r="G85" s="533"/>
      <c r="H85" s="533"/>
      <c r="I85" s="274"/>
      <c r="J85" s="274"/>
      <c r="K85" s="285"/>
      <c r="L85" s="360"/>
    </row>
    <row r="86" spans="1:12" s="230" customFormat="1" ht="18.75" x14ac:dyDescent="0.3">
      <c r="A86" s="547" t="s">
        <v>853</v>
      </c>
      <c r="B86" s="538" t="s">
        <v>1013</v>
      </c>
      <c r="C86" s="552">
        <f>$H$73</f>
        <v>5200728.2823094483</v>
      </c>
      <c r="D86" s="336">
        <f>$N$73</f>
        <v>11158060.519373542</v>
      </c>
      <c r="E86" s="333">
        <f t="shared" si="3"/>
        <v>16358788.80168299</v>
      </c>
      <c r="F86" s="533"/>
      <c r="G86" s="533"/>
      <c r="H86" s="533"/>
      <c r="I86" s="274"/>
      <c r="J86" s="274"/>
      <c r="K86" s="285"/>
      <c r="L86" s="360"/>
    </row>
    <row r="87" spans="1:12" s="230" customFormat="1" ht="18.75" x14ac:dyDescent="0.3">
      <c r="A87" s="73" t="s">
        <v>998</v>
      </c>
      <c r="B87" s="538" t="s">
        <v>1755</v>
      </c>
      <c r="C87" s="552">
        <f>$F$69</f>
        <v>3148614.8387708035</v>
      </c>
      <c r="D87" s="336">
        <f>$O$69</f>
        <v>5491506.238576333</v>
      </c>
      <c r="E87" s="333">
        <f>C87+D87</f>
        <v>8640121.077347137</v>
      </c>
      <c r="F87" s="356"/>
      <c r="G87" s="356"/>
      <c r="H87" s="356"/>
      <c r="I87" s="274"/>
      <c r="J87" s="274"/>
      <c r="K87" s="285"/>
      <c r="L87" s="360"/>
    </row>
    <row r="88" spans="1:12" s="230" customFormat="1" ht="19.5" thickBot="1" x14ac:dyDescent="0.35">
      <c r="A88" s="75" t="s">
        <v>999</v>
      </c>
      <c r="B88" s="545" t="s">
        <v>1756</v>
      </c>
      <c r="C88" s="553">
        <f>$H$69</f>
        <v>4123614.8387708035</v>
      </c>
      <c r="D88" s="337">
        <f>$O$69</f>
        <v>5491506.238576333</v>
      </c>
      <c r="E88" s="346">
        <f>C88+D88</f>
        <v>9615121.077347137</v>
      </c>
      <c r="F88" s="356"/>
      <c r="G88" s="356"/>
      <c r="H88" s="356"/>
      <c r="I88" s="274"/>
      <c r="J88" s="274"/>
      <c r="K88" s="285"/>
      <c r="L88" s="360"/>
    </row>
    <row r="89" spans="1:12" s="230" customFormat="1" ht="19.5" thickBot="1" x14ac:dyDescent="0.35">
      <c r="A89" s="625"/>
      <c r="B89" s="624"/>
      <c r="C89" s="154"/>
      <c r="D89" s="154"/>
      <c r="E89" s="154"/>
      <c r="F89" s="624"/>
      <c r="G89" s="624"/>
      <c r="H89" s="624"/>
      <c r="I89" s="274"/>
      <c r="J89" s="274"/>
      <c r="K89" s="285"/>
      <c r="L89" s="360"/>
    </row>
    <row r="90" spans="1:12" s="230" customFormat="1" ht="49.5" customHeight="1" thickBot="1" x14ac:dyDescent="0.35">
      <c r="A90" s="2319" t="s">
        <v>1757</v>
      </c>
      <c r="B90" s="2478"/>
      <c r="C90" s="2478"/>
      <c r="D90" s="2478"/>
      <c r="E90" s="2478"/>
      <c r="F90" s="2478"/>
      <c r="G90" s="2478"/>
      <c r="H90" s="2478"/>
      <c r="I90" s="2320"/>
      <c r="J90" s="274"/>
      <c r="K90" s="285"/>
      <c r="L90" s="360"/>
    </row>
    <row r="91" spans="1:12" s="230" customFormat="1" ht="19.5" thickBot="1" x14ac:dyDescent="0.35">
      <c r="A91" s="1001" t="s">
        <v>28</v>
      </c>
      <c r="B91" s="1005" t="s">
        <v>745</v>
      </c>
      <c r="C91" s="78" t="s">
        <v>539</v>
      </c>
      <c r="D91" s="357" t="s">
        <v>746</v>
      </c>
      <c r="E91" s="365" t="s">
        <v>747</v>
      </c>
      <c r="F91" s="370" t="s">
        <v>1064</v>
      </c>
      <c r="G91" s="370" t="s">
        <v>750</v>
      </c>
      <c r="H91" s="364" t="s">
        <v>751</v>
      </c>
      <c r="I91" s="364" t="s">
        <v>750</v>
      </c>
      <c r="J91" s="274"/>
      <c r="K91" s="285"/>
      <c r="L91" s="360"/>
    </row>
    <row r="92" spans="1:12" s="230" customFormat="1" ht="18.75" x14ac:dyDescent="0.3">
      <c r="A92" s="549" t="s">
        <v>167</v>
      </c>
      <c r="B92" s="1000" t="s">
        <v>1014</v>
      </c>
      <c r="C92" s="343">
        <f t="shared" ref="C92:D99" si="4">C77</f>
        <v>8958452.3955802117</v>
      </c>
      <c r="D92" s="335">
        <f t="shared" si="4"/>
        <v>2052897.4850851141</v>
      </c>
      <c r="E92" s="366">
        <f t="shared" ref="E92:E101" si="5">C92+D92</f>
        <v>11011349.880665326</v>
      </c>
      <c r="F92" s="371" t="s">
        <v>749</v>
      </c>
      <c r="G92" s="419">
        <f t="shared" ref="G92:G103" si="6">$H$115</f>
        <v>10625849.087928841</v>
      </c>
      <c r="H92" s="369" t="s">
        <v>752</v>
      </c>
      <c r="I92" s="559">
        <f t="shared" ref="I92:I103" si="7">$K$115</f>
        <v>152564499.891619</v>
      </c>
      <c r="J92" s="274"/>
      <c r="K92" s="285"/>
      <c r="L92" s="360"/>
    </row>
    <row r="93" spans="1:12" s="230" customFormat="1" ht="18.75" x14ac:dyDescent="0.3">
      <c r="A93" s="547" t="s">
        <v>168</v>
      </c>
      <c r="B93" s="997" t="s">
        <v>1015</v>
      </c>
      <c r="C93" s="344">
        <f t="shared" si="4"/>
        <v>9018452.3955802117</v>
      </c>
      <c r="D93" s="336">
        <f t="shared" si="4"/>
        <v>2052897.4850851141</v>
      </c>
      <c r="E93" s="367">
        <f t="shared" si="5"/>
        <v>11071349.880665326</v>
      </c>
      <c r="F93" s="546" t="s">
        <v>749</v>
      </c>
      <c r="G93" s="372">
        <f t="shared" si="6"/>
        <v>10625849.087928841</v>
      </c>
      <c r="H93" s="368" t="s">
        <v>752</v>
      </c>
      <c r="I93" s="560">
        <f t="shared" si="7"/>
        <v>152564499.891619</v>
      </c>
      <c r="J93" s="274"/>
      <c r="K93" s="285"/>
      <c r="L93" s="360"/>
    </row>
    <row r="94" spans="1:12" s="230" customFormat="1" ht="18.75" x14ac:dyDescent="0.3">
      <c r="A94" s="547" t="s">
        <v>179</v>
      </c>
      <c r="B94" s="997" t="s">
        <v>1016</v>
      </c>
      <c r="C94" s="344">
        <f t="shared" si="4"/>
        <v>1974500.312420205</v>
      </c>
      <c r="D94" s="336">
        <f t="shared" si="4"/>
        <v>2793740.4394504619</v>
      </c>
      <c r="E94" s="367">
        <f t="shared" si="5"/>
        <v>4768240.7518706666</v>
      </c>
      <c r="F94" s="546" t="s">
        <v>749</v>
      </c>
      <c r="G94" s="372">
        <f t="shared" si="6"/>
        <v>10625849.087928841</v>
      </c>
      <c r="H94" s="368" t="s">
        <v>752</v>
      </c>
      <c r="I94" s="560">
        <f t="shared" si="7"/>
        <v>152564499.891619</v>
      </c>
      <c r="J94" s="274"/>
      <c r="K94" s="285"/>
      <c r="L94" s="360"/>
    </row>
    <row r="95" spans="1:12" s="230" customFormat="1" ht="18.75" x14ac:dyDescent="0.3">
      <c r="A95" s="547" t="s">
        <v>180</v>
      </c>
      <c r="B95" s="997" t="s">
        <v>1017</v>
      </c>
      <c r="C95" s="344">
        <f t="shared" si="4"/>
        <v>2034500.312420205</v>
      </c>
      <c r="D95" s="336">
        <f t="shared" si="4"/>
        <v>2793740.4394504619</v>
      </c>
      <c r="E95" s="367">
        <f t="shared" si="5"/>
        <v>4828240.7518706666</v>
      </c>
      <c r="F95" s="546" t="s">
        <v>749</v>
      </c>
      <c r="G95" s="372">
        <f t="shared" si="6"/>
        <v>10625849.087928841</v>
      </c>
      <c r="H95" s="368" t="s">
        <v>752</v>
      </c>
      <c r="I95" s="560">
        <f t="shared" si="7"/>
        <v>152564499.891619</v>
      </c>
      <c r="J95" s="274"/>
      <c r="K95" s="285"/>
      <c r="L95" s="360"/>
    </row>
    <row r="96" spans="1:12" s="230" customFormat="1" ht="18.75" x14ac:dyDescent="0.3">
      <c r="A96" s="547" t="s">
        <v>170</v>
      </c>
      <c r="B96" s="997" t="s">
        <v>1018</v>
      </c>
      <c r="C96" s="344">
        <f t="shared" si="4"/>
        <v>1675660.3771436573</v>
      </c>
      <c r="D96" s="336">
        <f t="shared" si="4"/>
        <v>2050509.0361704191</v>
      </c>
      <c r="E96" s="367">
        <f t="shared" si="5"/>
        <v>3726169.4133140761</v>
      </c>
      <c r="F96" s="546" t="s">
        <v>749</v>
      </c>
      <c r="G96" s="372">
        <f t="shared" si="6"/>
        <v>10625849.087928841</v>
      </c>
      <c r="H96" s="368" t="s">
        <v>752</v>
      </c>
      <c r="I96" s="560">
        <f t="shared" si="7"/>
        <v>152564499.891619</v>
      </c>
      <c r="J96" s="274"/>
      <c r="K96" s="285"/>
      <c r="L96" s="360"/>
    </row>
    <row r="97" spans="1:29" s="230" customFormat="1" ht="18.75" x14ac:dyDescent="0.3">
      <c r="A97" s="547" t="s">
        <v>171</v>
      </c>
      <c r="B97" s="997" t="s">
        <v>1019</v>
      </c>
      <c r="C97" s="344">
        <f t="shared" si="4"/>
        <v>1735660.3771436573</v>
      </c>
      <c r="D97" s="336">
        <f t="shared" si="4"/>
        <v>2050509.0361704191</v>
      </c>
      <c r="E97" s="367">
        <f t="shared" si="5"/>
        <v>3786169.4133140761</v>
      </c>
      <c r="F97" s="546" t="s">
        <v>749</v>
      </c>
      <c r="G97" s="372">
        <f t="shared" si="6"/>
        <v>10625849.087928841</v>
      </c>
      <c r="H97" s="368" t="s">
        <v>752</v>
      </c>
      <c r="I97" s="560">
        <f t="shared" si="7"/>
        <v>152564499.891619</v>
      </c>
      <c r="J97" s="274"/>
      <c r="K97" s="285"/>
      <c r="L97" s="360"/>
    </row>
    <row r="98" spans="1:29" s="230" customFormat="1" ht="18.75" x14ac:dyDescent="0.3">
      <c r="A98" s="547" t="s">
        <v>173</v>
      </c>
      <c r="B98" s="997" t="s">
        <v>1020</v>
      </c>
      <c r="C98" s="344">
        <f t="shared" si="4"/>
        <v>5426103.6659738235</v>
      </c>
      <c r="D98" s="336">
        <f t="shared" si="4"/>
        <v>5308326.3154238379</v>
      </c>
      <c r="E98" s="367">
        <f t="shared" si="5"/>
        <v>10734429.981397662</v>
      </c>
      <c r="F98" s="546" t="s">
        <v>749</v>
      </c>
      <c r="G98" s="372">
        <f t="shared" si="6"/>
        <v>10625849.087928841</v>
      </c>
      <c r="H98" s="368" t="s">
        <v>752</v>
      </c>
      <c r="I98" s="560">
        <f t="shared" si="7"/>
        <v>152564499.891619</v>
      </c>
      <c r="J98" s="274"/>
      <c r="K98" s="285"/>
      <c r="L98" s="360"/>
    </row>
    <row r="99" spans="1:29" s="230" customFormat="1" ht="18.75" x14ac:dyDescent="0.3">
      <c r="A99" s="547" t="s">
        <v>174</v>
      </c>
      <c r="B99" s="997" t="s">
        <v>1021</v>
      </c>
      <c r="C99" s="344">
        <f t="shared" si="4"/>
        <v>5486103.6659738235</v>
      </c>
      <c r="D99" s="336">
        <f t="shared" si="4"/>
        <v>5308326.3154238379</v>
      </c>
      <c r="E99" s="367">
        <f t="shared" si="5"/>
        <v>10794429.981397662</v>
      </c>
      <c r="F99" s="546" t="s">
        <v>749</v>
      </c>
      <c r="G99" s="372">
        <f t="shared" si="6"/>
        <v>10625849.087928841</v>
      </c>
      <c r="H99" s="368" t="s">
        <v>752</v>
      </c>
      <c r="I99" s="560">
        <f t="shared" si="7"/>
        <v>152564499.891619</v>
      </c>
      <c r="J99" s="274"/>
      <c r="K99" s="285"/>
      <c r="L99" s="360"/>
    </row>
    <row r="100" spans="1:29" s="230" customFormat="1" ht="18.75" x14ac:dyDescent="0.3">
      <c r="A100" s="547" t="s">
        <v>748</v>
      </c>
      <c r="B100" s="997" t="s">
        <v>1755</v>
      </c>
      <c r="C100" s="344">
        <f t="shared" ref="C100:D101" si="8">C87</f>
        <v>3148614.8387708035</v>
      </c>
      <c r="D100" s="336">
        <f t="shared" si="8"/>
        <v>5491506.238576333</v>
      </c>
      <c r="E100" s="367">
        <f t="shared" si="5"/>
        <v>8640121.077347137</v>
      </c>
      <c r="F100" s="546" t="s">
        <v>1758</v>
      </c>
      <c r="G100" s="372">
        <f t="shared" si="6"/>
        <v>10625849.087928841</v>
      </c>
      <c r="H100" s="368" t="s">
        <v>752</v>
      </c>
      <c r="I100" s="560">
        <f t="shared" si="7"/>
        <v>152564499.891619</v>
      </c>
      <c r="J100" s="274"/>
      <c r="K100" s="285"/>
      <c r="L100" s="360"/>
    </row>
    <row r="101" spans="1:29" s="230" customFormat="1" ht="19.5" thickBot="1" x14ac:dyDescent="0.35">
      <c r="A101" s="548" t="s">
        <v>853</v>
      </c>
      <c r="B101" s="999" t="s">
        <v>1756</v>
      </c>
      <c r="C101" s="345">
        <f t="shared" si="8"/>
        <v>4123614.8387708035</v>
      </c>
      <c r="D101" s="337">
        <f t="shared" si="8"/>
        <v>5491506.238576333</v>
      </c>
      <c r="E101" s="426">
        <f t="shared" si="5"/>
        <v>9615121.077347137</v>
      </c>
      <c r="F101" s="424" t="s">
        <v>1758</v>
      </c>
      <c r="G101" s="427">
        <f t="shared" si="6"/>
        <v>10625849.087928841</v>
      </c>
      <c r="H101" s="418" t="s">
        <v>752</v>
      </c>
      <c r="I101" s="563">
        <f t="shared" si="7"/>
        <v>152564499.891619</v>
      </c>
      <c r="J101" s="274"/>
      <c r="K101" s="285"/>
      <c r="L101" s="360"/>
    </row>
    <row r="102" spans="1:29" s="230" customFormat="1" ht="18.75" x14ac:dyDescent="0.3">
      <c r="A102" s="53" t="s">
        <v>998</v>
      </c>
      <c r="B102" s="998" t="s">
        <v>1012</v>
      </c>
      <c r="C102" s="561">
        <f t="shared" ref="C102:D103" si="9">C85</f>
        <v>5140728.2823094483</v>
      </c>
      <c r="D102" s="557">
        <f t="shared" si="9"/>
        <v>11158060.519373542</v>
      </c>
      <c r="E102" s="557">
        <f>D102+C102</f>
        <v>16298788.80168299</v>
      </c>
      <c r="F102" s="558" t="s">
        <v>1758</v>
      </c>
      <c r="G102" s="565">
        <f t="shared" si="6"/>
        <v>10625849.087928841</v>
      </c>
      <c r="H102" s="475" t="s">
        <v>752</v>
      </c>
      <c r="I102" s="566">
        <f t="shared" si="7"/>
        <v>152564499.891619</v>
      </c>
      <c r="J102" s="274"/>
      <c r="K102" s="285"/>
      <c r="L102" s="360"/>
    </row>
    <row r="103" spans="1:29" s="230" customFormat="1" ht="19.5" thickBot="1" x14ac:dyDescent="0.35">
      <c r="A103" s="422" t="s">
        <v>999</v>
      </c>
      <c r="B103" s="999" t="s">
        <v>1013</v>
      </c>
      <c r="C103" s="562">
        <f t="shared" si="9"/>
        <v>5200728.2823094483</v>
      </c>
      <c r="D103" s="156">
        <f t="shared" si="9"/>
        <v>11158060.519373542</v>
      </c>
      <c r="E103" s="156">
        <f>D103+C103</f>
        <v>16358788.80168299</v>
      </c>
      <c r="F103" s="996" t="s">
        <v>1758</v>
      </c>
      <c r="G103" s="427">
        <f t="shared" si="6"/>
        <v>10625849.087928841</v>
      </c>
      <c r="H103" s="1002" t="s">
        <v>752</v>
      </c>
      <c r="I103" s="563">
        <f t="shared" si="7"/>
        <v>152564499.891619</v>
      </c>
      <c r="J103" s="274"/>
      <c r="K103" s="285"/>
      <c r="L103" s="360"/>
    </row>
    <row r="104" spans="1:29" s="230" customFormat="1" ht="19.5" thickBot="1" x14ac:dyDescent="0.35">
      <c r="A104" s="625"/>
      <c r="B104" s="624"/>
      <c r="C104" s="154"/>
      <c r="D104" s="154"/>
      <c r="E104" s="154"/>
      <c r="F104" s="624"/>
      <c r="G104" s="624"/>
      <c r="H104" s="624"/>
      <c r="I104" s="274"/>
      <c r="J104" s="274"/>
      <c r="K104" s="285"/>
      <c r="L104" s="360"/>
    </row>
    <row r="105" spans="1:29" ht="72" customHeight="1" thickBot="1" x14ac:dyDescent="0.3">
      <c r="A105" s="2569" t="s">
        <v>270</v>
      </c>
      <c r="B105" s="2570"/>
      <c r="C105" s="2570"/>
      <c r="D105" s="2570"/>
      <c r="E105" s="2570"/>
      <c r="F105" s="2570"/>
      <c r="G105" s="2570"/>
      <c r="H105" s="2571"/>
    </row>
    <row r="106" spans="1:29" ht="27" customHeight="1" thickBot="1" x14ac:dyDescent="0.3">
      <c r="A106" s="163"/>
      <c r="B106" s="163"/>
      <c r="C106" s="163"/>
      <c r="D106" s="163"/>
      <c r="E106" s="163"/>
      <c r="F106" s="100"/>
      <c r="G106" s="100"/>
    </row>
    <row r="107" spans="1:29" ht="96" customHeight="1" thickBot="1" x14ac:dyDescent="0.3">
      <c r="A107" s="2566" t="s">
        <v>1285</v>
      </c>
      <c r="B107" s="2567"/>
      <c r="C107" s="2567"/>
      <c r="D107" s="2567"/>
      <c r="E107" s="2567"/>
      <c r="F107" s="2567"/>
      <c r="G107" s="2567"/>
      <c r="H107" s="2567"/>
      <c r="I107" s="2567"/>
      <c r="J107" s="2567"/>
      <c r="K107" s="2567"/>
      <c r="L107" s="2568"/>
      <c r="M107" s="3"/>
    </row>
    <row r="108" spans="1:29" ht="16.5" thickBot="1" x14ac:dyDescent="0.3">
      <c r="A108" s="2572"/>
      <c r="B108" s="2477"/>
      <c r="C108" s="2477"/>
      <c r="D108" s="2477"/>
      <c r="E108" s="2477"/>
      <c r="F108" s="2477"/>
      <c r="G108" s="2477"/>
      <c r="H108" s="2477"/>
      <c r="I108" s="10"/>
      <c r="J108" s="10"/>
      <c r="K108" s="164"/>
      <c r="L108" s="164"/>
      <c r="M108" s="164"/>
    </row>
    <row r="109" spans="1:29" ht="36" customHeight="1" x14ac:dyDescent="0.25">
      <c r="A109" s="506" t="s">
        <v>28</v>
      </c>
      <c r="B109" s="2636" t="s">
        <v>357</v>
      </c>
      <c r="C109" s="2636"/>
      <c r="D109" s="2636"/>
      <c r="E109" s="166" t="s">
        <v>383</v>
      </c>
      <c r="F109" s="280" t="s">
        <v>384</v>
      </c>
      <c r="G109" s="280" t="s">
        <v>1239</v>
      </c>
      <c r="H109" s="280" t="s">
        <v>353</v>
      </c>
      <c r="I109" s="481" t="s">
        <v>701</v>
      </c>
      <c r="J109" s="166" t="s">
        <v>1240</v>
      </c>
      <c r="K109" s="280" t="s">
        <v>702</v>
      </c>
      <c r="L109" s="288" t="s">
        <v>956</v>
      </c>
      <c r="M109" s="164"/>
    </row>
    <row r="110" spans="1:29" ht="18.75" x14ac:dyDescent="0.25">
      <c r="A110" s="2637">
        <v>1</v>
      </c>
      <c r="B110" s="433" t="s">
        <v>382</v>
      </c>
      <c r="C110" s="433" t="s">
        <v>355</v>
      </c>
      <c r="D110" s="433" t="s">
        <v>356</v>
      </c>
      <c r="E110" s="433" t="s">
        <v>356</v>
      </c>
      <c r="F110" s="256"/>
      <c r="G110" s="256"/>
      <c r="H110" s="256"/>
      <c r="I110" s="505"/>
      <c r="J110" s="505"/>
      <c r="K110" s="516"/>
      <c r="L110" s="412"/>
      <c r="M110" s="164"/>
    </row>
    <row r="111" spans="1:29" ht="18.75" x14ac:dyDescent="0.25">
      <c r="A111" s="2637"/>
      <c r="B111" s="502">
        <f>' QUICK OVERVIEW- Inputs&amp;Outputs'!$I$10</f>
        <v>0</v>
      </c>
      <c r="C111" s="502">
        <f>B111*1*16/0.08206/298</f>
        <v>0</v>
      </c>
      <c r="D111" s="502">
        <f>C111*365/1000</f>
        <v>0</v>
      </c>
      <c r="E111" s="502">
        <f>D111*27</f>
        <v>0</v>
      </c>
      <c r="F111" s="211">
        <f>13.86</f>
        <v>13.86</v>
      </c>
      <c r="G111" s="508">
        <f>E111*F111</f>
        <v>0</v>
      </c>
      <c r="H111" s="508">
        <f>G111*31.4236</f>
        <v>0</v>
      </c>
      <c r="I111" s="225">
        <v>199</v>
      </c>
      <c r="J111" s="225">
        <f>E111*I111</f>
        <v>0</v>
      </c>
      <c r="K111" s="514">
        <f>J111*31.4236</f>
        <v>0</v>
      </c>
      <c r="L111" s="517">
        <f>E111</f>
        <v>0</v>
      </c>
      <c r="M111" s="164"/>
    </row>
    <row r="112" spans="1:29" ht="24" customHeight="1" x14ac:dyDescent="0.3">
      <c r="A112" s="2637"/>
      <c r="B112" s="502">
        <f>' QUICK OVERVIEW- Inputs&amp;Outputs'!$M$10</f>
        <v>3783.6908164383563</v>
      </c>
      <c r="C112" s="502">
        <f>B112*1*16/0.08206/298</f>
        <v>2475.6420274824977</v>
      </c>
      <c r="D112" s="502">
        <f>C112*365/1000</f>
        <v>903.60934003111163</v>
      </c>
      <c r="E112" s="502">
        <f>D112*27</f>
        <v>24397.452180840013</v>
      </c>
      <c r="F112" s="211">
        <f>13.86</f>
        <v>13.86</v>
      </c>
      <c r="G112" s="508">
        <f>E112*F112</f>
        <v>338148.68722644256</v>
      </c>
      <c r="H112" s="508">
        <f>G112*31.4236</f>
        <v>10625849.087928841</v>
      </c>
      <c r="I112" s="320">
        <v>199</v>
      </c>
      <c r="J112" s="225">
        <f>E112*I112</f>
        <v>4855092.9839871628</v>
      </c>
      <c r="K112" s="514">
        <f>J112*31.4236</f>
        <v>152564499.891619</v>
      </c>
      <c r="L112" s="517">
        <f>E112</f>
        <v>24397.452180840013</v>
      </c>
      <c r="M112" s="164"/>
      <c r="AB112" s="2634"/>
      <c r="AC112" s="42"/>
    </row>
    <row r="113" spans="1:29" s="230" customFormat="1" ht="24" customHeight="1" x14ac:dyDescent="0.3">
      <c r="A113" s="2637"/>
      <c r="B113" s="502">
        <f>' QUICK OVERVIEW- Inputs&amp;Outputs'!$Q$10</f>
        <v>0</v>
      </c>
      <c r="C113" s="502">
        <f>B113*1*16/0.08206/298</f>
        <v>0</v>
      </c>
      <c r="D113" s="502">
        <f>C113*365/1000</f>
        <v>0</v>
      </c>
      <c r="E113" s="502">
        <f>D113*27</f>
        <v>0</v>
      </c>
      <c r="F113" s="211">
        <f t="shared" ref="F113:F114" si="10">13.86</f>
        <v>13.86</v>
      </c>
      <c r="G113" s="508">
        <f>E113*F113</f>
        <v>0</v>
      </c>
      <c r="H113" s="508">
        <f>G113*31.4236</f>
        <v>0</v>
      </c>
      <c r="I113" s="320">
        <v>199</v>
      </c>
      <c r="J113" s="225">
        <f>E113*I113</f>
        <v>0</v>
      </c>
      <c r="K113" s="514">
        <f>J113*31.4236</f>
        <v>0</v>
      </c>
      <c r="L113" s="517">
        <f>E113</f>
        <v>0</v>
      </c>
      <c r="M113" s="164"/>
      <c r="AB113" s="2634"/>
      <c r="AC113" s="42"/>
    </row>
    <row r="114" spans="1:29" s="230" customFormat="1" ht="24" customHeight="1" x14ac:dyDescent="0.3">
      <c r="A114" s="2637"/>
      <c r="B114" s="502">
        <f>' QUICK OVERVIEW- Inputs&amp;Outputs'!$U$10</f>
        <v>0</v>
      </c>
      <c r="C114" s="502">
        <f>B114*1*16/0.08206/298</f>
        <v>0</v>
      </c>
      <c r="D114" s="502">
        <f>C114*365/1000</f>
        <v>0</v>
      </c>
      <c r="E114" s="502">
        <f>D114*27</f>
        <v>0</v>
      </c>
      <c r="F114" s="211">
        <f t="shared" si="10"/>
        <v>13.86</v>
      </c>
      <c r="G114" s="508">
        <f>E114*F114</f>
        <v>0</v>
      </c>
      <c r="H114" s="508">
        <f>G114*31.4236</f>
        <v>0</v>
      </c>
      <c r="I114" s="320">
        <v>199</v>
      </c>
      <c r="J114" s="225">
        <f>E114*I114</f>
        <v>0</v>
      </c>
      <c r="K114" s="514">
        <f>J114*31.4236</f>
        <v>0</v>
      </c>
      <c r="L114" s="517">
        <f>E114</f>
        <v>0</v>
      </c>
      <c r="M114" s="164"/>
      <c r="AB114" s="2634"/>
      <c r="AC114" s="42"/>
    </row>
    <row r="115" spans="1:29" ht="27" customHeight="1" thickBot="1" x14ac:dyDescent="0.3">
      <c r="A115" s="2638"/>
      <c r="B115" s="165" t="s">
        <v>354</v>
      </c>
      <c r="C115" s="165"/>
      <c r="D115" s="165"/>
      <c r="E115" s="165"/>
      <c r="F115" s="165"/>
      <c r="G115" s="165"/>
      <c r="H115" s="509">
        <f>H111+H112+H113+H114</f>
        <v>10625849.087928841</v>
      </c>
      <c r="I115" s="503"/>
      <c r="J115" s="503"/>
      <c r="K115" s="515">
        <f>K111+K112+K113+K114</f>
        <v>152564499.891619</v>
      </c>
      <c r="L115" s="518">
        <f>SUM(L111:L114)</f>
        <v>24397.452180840013</v>
      </c>
      <c r="M115" s="155"/>
      <c r="AB115" s="2635"/>
      <c r="AC115" s="42"/>
    </row>
    <row r="116" spans="1:29" ht="15.75" thickBot="1" x14ac:dyDescent="0.3">
      <c r="G116" s="2374"/>
      <c r="H116" s="2374"/>
      <c r="I116" s="2374"/>
      <c r="J116" s="2374"/>
      <c r="K116" s="2374"/>
      <c r="L116" s="2374"/>
      <c r="M116" s="2374"/>
    </row>
    <row r="117" spans="1:29" ht="15" customHeight="1" x14ac:dyDescent="0.25">
      <c r="A117" s="2649" t="s">
        <v>377</v>
      </c>
      <c r="B117" s="2650"/>
      <c r="C117" s="2650"/>
      <c r="D117" s="2650"/>
      <c r="E117" s="2651"/>
      <c r="G117" s="2374"/>
      <c r="H117" s="2374"/>
      <c r="I117" s="2374"/>
      <c r="J117" s="2374"/>
      <c r="K117" s="2374"/>
      <c r="L117" s="2374"/>
      <c r="M117" s="2374"/>
    </row>
    <row r="118" spans="1:29" ht="27.75" customHeight="1" thickBot="1" x14ac:dyDescent="0.3">
      <c r="A118" s="2652"/>
      <c r="B118" s="2653"/>
      <c r="C118" s="2653"/>
      <c r="D118" s="2653"/>
      <c r="E118" s="2654"/>
      <c r="G118" s="2374"/>
      <c r="H118" s="2374"/>
      <c r="I118" s="2374"/>
      <c r="J118" s="2374"/>
      <c r="K118" s="2374"/>
      <c r="L118" s="2374"/>
      <c r="M118" s="2374"/>
    </row>
    <row r="119" spans="1:29" ht="72.75" customHeight="1" thickBot="1" x14ac:dyDescent="0.3">
      <c r="A119" s="78" t="s">
        <v>28</v>
      </c>
      <c r="B119" s="79" t="s">
        <v>198</v>
      </c>
      <c r="C119" s="79" t="s">
        <v>121</v>
      </c>
      <c r="D119" s="82" t="s">
        <v>269</v>
      </c>
      <c r="E119" s="83" t="s">
        <v>203</v>
      </c>
      <c r="G119" s="2648"/>
      <c r="H119" s="2648"/>
      <c r="I119" s="2648"/>
      <c r="J119" s="2648"/>
      <c r="K119" s="2648"/>
      <c r="L119" s="2648"/>
      <c r="M119" s="154"/>
    </row>
    <row r="120" spans="1:29" ht="18.75" x14ac:dyDescent="0.3">
      <c r="A120" s="53" t="s">
        <v>167</v>
      </c>
      <c r="B120" s="48" t="s">
        <v>262</v>
      </c>
      <c r="C120" s="48" t="s">
        <v>154</v>
      </c>
      <c r="D120" s="212">
        <f>('Digester Methane Calculation'!X81*'Fleet Information'!F3)/('Fleet Information'!D3)</f>
        <v>666919.57907954825</v>
      </c>
      <c r="E120" s="213">
        <f t="shared" ref="E120:E126" si="11">(D120*31.4236)</f>
        <v>20957014.085164092</v>
      </c>
      <c r="F120" s="46"/>
      <c r="G120" s="89"/>
      <c r="H120" s="89"/>
      <c r="I120" s="89"/>
      <c r="J120" s="89"/>
      <c r="K120" s="89"/>
      <c r="L120" s="131"/>
      <c r="M120" s="46"/>
      <c r="N120" s="89"/>
      <c r="O120" s="89"/>
      <c r="P120" s="89"/>
    </row>
    <row r="121" spans="1:29" ht="18.75" x14ac:dyDescent="0.25">
      <c r="A121" s="16" t="s">
        <v>168</v>
      </c>
      <c r="B121" s="81" t="s">
        <v>263</v>
      </c>
      <c r="C121" s="80" t="s">
        <v>154</v>
      </c>
      <c r="D121" s="195">
        <f>('Digester Methane Calculation'!X83*'Fleet Information'!F10)/('Fleet Information'!D10)</f>
        <v>53101.386730463164</v>
      </c>
      <c r="E121" s="209">
        <f t="shared" si="11"/>
        <v>1668636.7360633824</v>
      </c>
      <c r="F121" s="77"/>
      <c r="G121" s="89"/>
      <c r="H121" s="89"/>
      <c r="I121" s="89"/>
      <c r="J121" s="89"/>
      <c r="K121" s="89"/>
      <c r="L121" s="131"/>
      <c r="M121" s="77"/>
      <c r="N121" s="89"/>
      <c r="O121" s="89"/>
      <c r="P121" s="89"/>
    </row>
    <row r="122" spans="1:29" ht="19.5" thickBot="1" x14ac:dyDescent="0.3">
      <c r="A122" s="84" t="s">
        <v>169</v>
      </c>
      <c r="B122" s="85" t="s">
        <v>264</v>
      </c>
      <c r="C122" s="88" t="s">
        <v>154</v>
      </c>
      <c r="D122" s="205">
        <f>('Digester Methane Calculation'!X87*'Fleet Information'!F14)/('Fleet Information'!D14)</f>
        <v>663952.74499281822</v>
      </c>
      <c r="E122" s="214">
        <f t="shared" si="11"/>
        <v>20863785.477556322</v>
      </c>
      <c r="F122" s="77"/>
      <c r="G122" s="89"/>
      <c r="H122" s="89"/>
      <c r="I122" s="89"/>
      <c r="J122" s="89"/>
      <c r="K122" s="89"/>
      <c r="L122" s="131"/>
      <c r="M122" s="77"/>
      <c r="N122" s="89"/>
      <c r="O122" s="89"/>
      <c r="P122" s="89"/>
    </row>
    <row r="123" spans="1:29" ht="18.75" x14ac:dyDescent="0.3">
      <c r="A123" s="53" t="s">
        <v>179</v>
      </c>
      <c r="B123" s="48" t="s">
        <v>265</v>
      </c>
      <c r="C123" s="48" t="s">
        <v>92</v>
      </c>
      <c r="D123" s="212">
        <f>('Digester Methane Calculation'!X81*'Fleet Information'!F4)/('Fleet Information'!D4)</f>
        <v>606307.81773340818</v>
      </c>
      <c r="E123" s="213">
        <f t="shared" si="11"/>
        <v>19052374.341327526</v>
      </c>
      <c r="F123" s="77"/>
      <c r="G123" s="89"/>
      <c r="H123" s="89"/>
      <c r="I123" s="89"/>
      <c r="J123" s="89"/>
      <c r="K123" s="89"/>
      <c r="L123" s="131"/>
      <c r="M123" s="77"/>
      <c r="N123" s="89"/>
      <c r="O123" s="89"/>
      <c r="P123" s="89"/>
    </row>
    <row r="124" spans="1:29" ht="18.75" x14ac:dyDescent="0.25">
      <c r="A124" s="16" t="s">
        <v>180</v>
      </c>
      <c r="B124" s="52" t="s">
        <v>266</v>
      </c>
      <c r="C124" s="86" t="s">
        <v>92</v>
      </c>
      <c r="D124" s="215">
        <f>('Digester Methane Calculation'!X83*'Fleet Information'!F7)/('Fleet Information'!D7)</f>
        <v>558147.32391317375</v>
      </c>
      <c r="E124" s="209">
        <f t="shared" si="11"/>
        <v>17538998.247718006</v>
      </c>
      <c r="F124" s="46"/>
      <c r="G124" s="89"/>
      <c r="H124" s="89"/>
      <c r="I124" s="89"/>
      <c r="J124" s="89"/>
      <c r="K124" s="89"/>
      <c r="L124" s="131"/>
      <c r="M124" s="46"/>
      <c r="N124" s="89"/>
      <c r="O124" s="89"/>
      <c r="P124" s="89"/>
    </row>
    <row r="125" spans="1:29" ht="18.75" x14ac:dyDescent="0.25">
      <c r="A125" s="16" t="s">
        <v>181</v>
      </c>
      <c r="B125" s="87" t="s">
        <v>267</v>
      </c>
      <c r="C125" s="86" t="s">
        <v>92</v>
      </c>
      <c r="D125" s="195">
        <f>('Digester Methane Calculation'!X85*'Fleet Information'!F11)/('Fleet Information'!D11)</f>
        <v>605454.95981597994</v>
      </c>
      <c r="E125" s="209">
        <f t="shared" si="11"/>
        <v>19025574.475273427</v>
      </c>
      <c r="F125" s="77"/>
      <c r="G125" s="89"/>
      <c r="H125" s="89"/>
      <c r="I125" s="89"/>
      <c r="J125" s="89"/>
      <c r="K125" s="89"/>
      <c r="L125" s="131"/>
      <c r="M125" s="77"/>
      <c r="N125" s="89"/>
      <c r="O125" s="89"/>
      <c r="P125" s="89"/>
    </row>
    <row r="126" spans="1:29" ht="19.5" thickBot="1" x14ac:dyDescent="0.3">
      <c r="A126" s="54" t="s">
        <v>221</v>
      </c>
      <c r="B126" s="55" t="s">
        <v>268</v>
      </c>
      <c r="C126" s="147" t="s">
        <v>92</v>
      </c>
      <c r="D126" s="173">
        <f>('Digester Methane Calculation'!X87*'Fleet Information'!F15)/('Fleet Information'!D15)</f>
        <v>602842.66647357866</v>
      </c>
      <c r="E126" s="210">
        <f t="shared" si="11"/>
        <v>18943486.814199146</v>
      </c>
      <c r="F126" s="77"/>
      <c r="G126" s="89"/>
      <c r="H126" s="89"/>
      <c r="I126" s="89"/>
      <c r="J126" s="89"/>
      <c r="K126" s="89"/>
      <c r="L126" s="131"/>
      <c r="M126" s="77"/>
      <c r="N126" s="89"/>
      <c r="O126" s="89"/>
      <c r="P126" s="89"/>
    </row>
    <row r="127" spans="1:29" ht="15" customHeight="1" thickBot="1" x14ac:dyDescent="0.3">
      <c r="C127" s="51"/>
      <c r="D127" s="51"/>
      <c r="E127" s="51"/>
      <c r="F127" s="51"/>
      <c r="G127" s="51"/>
      <c r="H127" s="51"/>
      <c r="I127" s="51"/>
      <c r="J127" s="51"/>
      <c r="K127" s="51"/>
      <c r="L127" s="51"/>
      <c r="M127" s="51"/>
      <c r="N127" s="51"/>
      <c r="O127" s="51"/>
      <c r="P127" s="51"/>
      <c r="Q127" s="51" t="s">
        <v>75</v>
      </c>
      <c r="R127" s="51"/>
      <c r="S127" s="51"/>
      <c r="T127" s="51"/>
      <c r="U127" s="51"/>
      <c r="V127" s="51"/>
      <c r="W127" s="51"/>
      <c r="X127" s="51"/>
      <c r="Y127" s="51"/>
      <c r="Z127" s="51"/>
      <c r="AA127" s="51"/>
      <c r="AB127" s="51"/>
      <c r="AC127" s="51"/>
    </row>
    <row r="128" spans="1:29" s="230" customFormat="1" ht="56.25" customHeight="1" x14ac:dyDescent="0.35">
      <c r="A128" s="2642" t="s">
        <v>755</v>
      </c>
      <c r="B128" s="2643"/>
      <c r="C128" s="2643"/>
      <c r="D128" s="2643"/>
      <c r="E128" s="2644"/>
      <c r="F128" s="385"/>
      <c r="G128" s="385"/>
      <c r="H128" s="385"/>
      <c r="I128" s="385"/>
      <c r="J128" s="49"/>
      <c r="K128" s="49"/>
      <c r="L128" s="49"/>
      <c r="M128" s="68"/>
      <c r="N128" s="68"/>
      <c r="O128" s="68"/>
      <c r="P128" s="68"/>
      <c r="Q128" s="379"/>
      <c r="R128" s="379"/>
      <c r="S128" s="379"/>
      <c r="T128" s="379"/>
      <c r="U128" s="379"/>
      <c r="V128" s="379"/>
      <c r="W128" s="69"/>
      <c r="X128" s="69"/>
      <c r="Y128" s="69"/>
      <c r="Z128" s="69"/>
      <c r="AA128" s="69"/>
      <c r="AB128" s="70"/>
    </row>
    <row r="129" spans="1:28" s="230" customFormat="1" ht="18.75" x14ac:dyDescent="0.3">
      <c r="A129" s="318" t="s">
        <v>28</v>
      </c>
      <c r="B129" s="139" t="s">
        <v>758</v>
      </c>
      <c r="C129" s="139" t="s">
        <v>759</v>
      </c>
      <c r="D129" s="139" t="s">
        <v>760</v>
      </c>
      <c r="E129" s="387" t="s">
        <v>761</v>
      </c>
      <c r="F129" s="386"/>
      <c r="G129" s="386"/>
      <c r="H129" s="360"/>
      <c r="I129" s="360"/>
      <c r="J129" s="49"/>
      <c r="K129" s="49"/>
      <c r="L129" s="49"/>
      <c r="M129" s="68"/>
      <c r="N129" s="68"/>
      <c r="O129" s="68"/>
      <c r="P129" s="68"/>
      <c r="Q129" s="379"/>
      <c r="R129" s="379"/>
      <c r="S129" s="379"/>
      <c r="T129" s="379"/>
      <c r="U129" s="379"/>
      <c r="V129" s="379"/>
      <c r="W129" s="69"/>
      <c r="X129" s="69"/>
      <c r="Y129" s="69"/>
      <c r="Z129" s="69"/>
      <c r="AA129" s="69"/>
      <c r="AB129" s="70"/>
    </row>
    <row r="130" spans="1:28" s="230" customFormat="1" ht="18.75" x14ac:dyDescent="0.3">
      <c r="A130" s="319" t="s">
        <v>756</v>
      </c>
      <c r="B130" s="382">
        <v>16</v>
      </c>
      <c r="C130" s="384">
        <f>' QUICK OVERVIEW- Inputs&amp;Outputs'!H10+' QUICK OVERVIEW- Inputs&amp;Outputs'!L10+' QUICK OVERVIEW- Inputs&amp;Outputs'!P10+' QUICK OVERVIEW- Inputs&amp;Outputs'!T10</f>
        <v>13978.21</v>
      </c>
      <c r="D130" s="382">
        <f>B130*C130</f>
        <v>223651.36</v>
      </c>
      <c r="E130" s="482">
        <f>D130*31.4236</f>
        <v>7027930.876096</v>
      </c>
      <c r="F130" s="386"/>
      <c r="G130" s="386"/>
      <c r="H130" s="360"/>
      <c r="I130" s="360"/>
      <c r="J130" s="49"/>
      <c r="K130" s="49"/>
      <c r="L130" s="49"/>
      <c r="M130" s="68"/>
      <c r="N130" s="68"/>
      <c r="O130" s="68"/>
      <c r="P130" s="68"/>
      <c r="Q130" s="379"/>
      <c r="R130" s="379"/>
      <c r="S130" s="379"/>
      <c r="T130" s="379"/>
      <c r="U130" s="379"/>
      <c r="V130" s="379"/>
      <c r="W130" s="69"/>
      <c r="X130" s="69"/>
      <c r="Y130" s="69"/>
      <c r="Z130" s="69"/>
      <c r="AA130" s="69"/>
      <c r="AB130" s="70"/>
    </row>
    <row r="131" spans="1:28" s="230" customFormat="1" ht="19.5" thickBot="1" x14ac:dyDescent="0.35">
      <c r="A131" s="146" t="s">
        <v>757</v>
      </c>
      <c r="B131" s="383">
        <v>28</v>
      </c>
      <c r="C131" s="388">
        <f>' QUICK OVERVIEW- Inputs&amp;Outputs'!H10+' QUICK OVERVIEW- Inputs&amp;Outputs'!L10+' QUICK OVERVIEW- Inputs&amp;Outputs'!P10+' QUICK OVERVIEW- Inputs&amp;Outputs'!T10</f>
        <v>13978.21</v>
      </c>
      <c r="D131" s="383">
        <f>B131*C131</f>
        <v>391389.88</v>
      </c>
      <c r="E131" s="483">
        <f>D131*31.4236</f>
        <v>12298879.033168001</v>
      </c>
      <c r="F131" s="386"/>
      <c r="G131" s="386"/>
      <c r="H131" s="360"/>
      <c r="I131" s="360"/>
      <c r="J131" s="49"/>
      <c r="K131" s="49"/>
      <c r="L131" s="49"/>
      <c r="M131" s="68"/>
      <c r="N131" s="68"/>
      <c r="O131" s="68"/>
      <c r="P131" s="68"/>
      <c r="Q131" s="379"/>
      <c r="R131" s="379"/>
      <c r="S131" s="379"/>
      <c r="T131" s="379"/>
      <c r="U131" s="379"/>
      <c r="V131" s="379"/>
      <c r="W131" s="69"/>
      <c r="X131" s="69"/>
      <c r="Y131" s="69"/>
      <c r="Z131" s="69"/>
      <c r="AA131" s="69"/>
      <c r="AB131" s="70"/>
    </row>
    <row r="132" spans="1:28" s="230" customFormat="1" ht="19.5" thickBot="1" x14ac:dyDescent="0.35">
      <c r="A132" s="390"/>
      <c r="B132" s="391"/>
      <c r="C132" s="392"/>
      <c r="D132" s="393"/>
      <c r="E132" s="394"/>
      <c r="F132" s="386"/>
      <c r="G132" s="386"/>
      <c r="H132" s="360"/>
      <c r="I132" s="360"/>
      <c r="J132" s="49"/>
      <c r="K132" s="49"/>
      <c r="L132" s="49"/>
      <c r="M132" s="68"/>
      <c r="N132" s="68"/>
      <c r="O132" s="68"/>
      <c r="P132" s="68"/>
      <c r="Q132" s="390"/>
      <c r="R132" s="390"/>
      <c r="S132" s="390"/>
      <c r="T132" s="390"/>
      <c r="U132" s="390"/>
      <c r="V132" s="390"/>
      <c r="W132" s="69"/>
      <c r="X132" s="69"/>
      <c r="Y132" s="69"/>
      <c r="Z132" s="69"/>
      <c r="AA132" s="69"/>
      <c r="AB132" s="70"/>
    </row>
    <row r="133" spans="1:28" s="230" customFormat="1" ht="57.75" customHeight="1" thickBot="1" x14ac:dyDescent="0.35">
      <c r="A133" s="2656" t="s">
        <v>1062</v>
      </c>
      <c r="B133" s="2657"/>
      <c r="C133" s="2657"/>
      <c r="D133" s="2657"/>
      <c r="E133" s="2657"/>
      <c r="F133" s="2657"/>
      <c r="G133" s="2658"/>
      <c r="I133" s="360"/>
      <c r="J133" s="49"/>
      <c r="K133" s="49"/>
      <c r="L133" s="49"/>
      <c r="M133" s="68"/>
      <c r="N133" s="68"/>
      <c r="O133" s="68"/>
      <c r="P133" s="68"/>
      <c r="Q133" s="599"/>
      <c r="R133" s="599"/>
      <c r="S133" s="599"/>
      <c r="T133" s="599"/>
      <c r="U133" s="599"/>
      <c r="V133" s="599"/>
      <c r="W133" s="69"/>
      <c r="X133" s="69"/>
      <c r="Y133" s="69"/>
      <c r="Z133" s="69"/>
      <c r="AA133" s="69"/>
      <c r="AB133" s="70"/>
    </row>
    <row r="134" spans="1:28" s="230" customFormat="1" ht="31.5" x14ac:dyDescent="0.3">
      <c r="A134" s="601" t="s">
        <v>357</v>
      </c>
      <c r="B134" s="602"/>
      <c r="C134" s="602"/>
      <c r="D134" s="166" t="s">
        <v>383</v>
      </c>
      <c r="E134" s="280" t="s">
        <v>1063</v>
      </c>
      <c r="F134" s="280" t="s">
        <v>385</v>
      </c>
      <c r="G134" s="288" t="s">
        <v>353</v>
      </c>
      <c r="I134" s="360"/>
      <c r="J134" s="49"/>
      <c r="K134" s="49"/>
      <c r="L134" s="49"/>
      <c r="M134" s="68"/>
      <c r="N134" s="68"/>
      <c r="O134" s="68"/>
      <c r="P134" s="68"/>
      <c r="Q134" s="599"/>
      <c r="R134" s="599"/>
      <c r="S134" s="599"/>
      <c r="T134" s="599"/>
      <c r="U134" s="599"/>
      <c r="V134" s="599"/>
      <c r="W134" s="69"/>
      <c r="X134" s="69"/>
      <c r="Y134" s="69"/>
      <c r="Z134" s="69"/>
      <c r="AA134" s="69"/>
      <c r="AB134" s="70"/>
    </row>
    <row r="135" spans="1:28" s="230" customFormat="1" ht="18.75" x14ac:dyDescent="0.3">
      <c r="A135" s="597" t="s">
        <v>382</v>
      </c>
      <c r="B135" s="433" t="s">
        <v>355</v>
      </c>
      <c r="C135" s="433" t="s">
        <v>356</v>
      </c>
      <c r="D135" s="433" t="s">
        <v>356</v>
      </c>
      <c r="E135" s="256"/>
      <c r="F135" s="256"/>
      <c r="G135" s="432"/>
      <c r="I135" s="360"/>
      <c r="J135" s="49"/>
      <c r="K135" s="49"/>
      <c r="L135" s="49"/>
      <c r="M135" s="68"/>
      <c r="N135" s="68"/>
      <c r="O135" s="68"/>
      <c r="P135" s="68"/>
      <c r="Q135" s="599"/>
      <c r="R135" s="599"/>
      <c r="S135" s="599"/>
      <c r="T135" s="599"/>
      <c r="U135" s="599"/>
      <c r="V135" s="599"/>
      <c r="W135" s="69"/>
      <c r="X135" s="69"/>
      <c r="Y135" s="69"/>
      <c r="Z135" s="69"/>
      <c r="AA135" s="69"/>
      <c r="AB135" s="70"/>
    </row>
    <row r="136" spans="1:28" s="230" customFormat="1" ht="18.75" x14ac:dyDescent="0.3">
      <c r="A136" s="603">
        <f>' QUICK OVERVIEW- Inputs&amp;Outputs'!$I$10</f>
        <v>0</v>
      </c>
      <c r="B136" s="598">
        <f>A136*1*16/0.08206/298</f>
        <v>0</v>
      </c>
      <c r="C136" s="598">
        <f>B136*365/1000</f>
        <v>0</v>
      </c>
      <c r="D136" s="598">
        <f>C136*27</f>
        <v>0</v>
      </c>
      <c r="E136" s="604">
        <f>145</f>
        <v>145</v>
      </c>
      <c r="F136" s="604">
        <f>D136*E136</f>
        <v>0</v>
      </c>
      <c r="G136" s="209">
        <f>F136*31.4236</f>
        <v>0</v>
      </c>
      <c r="I136" s="360"/>
      <c r="J136" s="49"/>
      <c r="K136" s="49"/>
      <c r="L136" s="49"/>
      <c r="M136" s="68"/>
      <c r="N136" s="68"/>
      <c r="O136" s="68"/>
      <c r="P136" s="68"/>
      <c r="Q136" s="599"/>
      <c r="R136" s="599"/>
      <c r="S136" s="599"/>
      <c r="T136" s="599"/>
      <c r="U136" s="599"/>
      <c r="V136" s="599"/>
      <c r="W136" s="69"/>
      <c r="X136" s="69"/>
      <c r="Y136" s="69"/>
      <c r="Z136" s="69"/>
      <c r="AA136" s="69"/>
      <c r="AB136" s="70"/>
    </row>
    <row r="137" spans="1:28" s="230" customFormat="1" ht="18.75" x14ac:dyDescent="0.3">
      <c r="A137" s="603">
        <f>' QUICK OVERVIEW- Inputs&amp;Outputs'!$M$10</f>
        <v>3783.6908164383563</v>
      </c>
      <c r="B137" s="598">
        <f>A137*1*16/0.08206/298</f>
        <v>2475.6420274824977</v>
      </c>
      <c r="C137" s="598">
        <f>B137*365/1000</f>
        <v>903.60934003111163</v>
      </c>
      <c r="D137" s="598">
        <f>C137*27</f>
        <v>24397.452180840013</v>
      </c>
      <c r="E137" s="604">
        <f>145</f>
        <v>145</v>
      </c>
      <c r="F137" s="604">
        <f>D137*E137</f>
        <v>3537630.566221802</v>
      </c>
      <c r="G137" s="209">
        <f>F137*31.4236</f>
        <v>111165087.86072741</v>
      </c>
      <c r="I137" s="360"/>
      <c r="J137" s="49"/>
      <c r="K137" s="49"/>
      <c r="L137" s="49"/>
      <c r="M137" s="68"/>
      <c r="N137" s="68"/>
      <c r="O137" s="68"/>
      <c r="P137" s="68"/>
      <c r="Q137" s="599"/>
      <c r="R137" s="599"/>
      <c r="S137" s="599"/>
      <c r="T137" s="599"/>
      <c r="U137" s="599"/>
      <c r="V137" s="599"/>
      <c r="W137" s="69"/>
      <c r="X137" s="69"/>
      <c r="Y137" s="69"/>
      <c r="Z137" s="69"/>
      <c r="AA137" s="69"/>
      <c r="AB137" s="70"/>
    </row>
    <row r="138" spans="1:28" s="230" customFormat="1" ht="18.75" x14ac:dyDescent="0.3">
      <c r="A138" s="603">
        <f>' QUICK OVERVIEW- Inputs&amp;Outputs'!$Q$10</f>
        <v>0</v>
      </c>
      <c r="B138" s="598">
        <f>A138*1*16/0.08206/298</f>
        <v>0</v>
      </c>
      <c r="C138" s="598">
        <f>B138*365/1000</f>
        <v>0</v>
      </c>
      <c r="D138" s="598">
        <f>C138*27</f>
        <v>0</v>
      </c>
      <c r="E138" s="604">
        <f>145</f>
        <v>145</v>
      </c>
      <c r="F138" s="604">
        <f>D138*E138</f>
        <v>0</v>
      </c>
      <c r="G138" s="209">
        <f>F138*31.4236</f>
        <v>0</v>
      </c>
      <c r="I138" s="360"/>
      <c r="J138" s="49"/>
      <c r="K138" s="49"/>
      <c r="L138" s="49"/>
      <c r="M138" s="68"/>
      <c r="N138" s="68"/>
      <c r="O138" s="68"/>
      <c r="P138" s="68"/>
      <c r="Q138" s="599"/>
      <c r="R138" s="599"/>
      <c r="S138" s="599"/>
      <c r="T138" s="599"/>
      <c r="U138" s="599"/>
      <c r="V138" s="599"/>
      <c r="W138" s="69"/>
      <c r="X138" s="69"/>
      <c r="Y138" s="69"/>
      <c r="Z138" s="69"/>
      <c r="AA138" s="69"/>
      <c r="AB138" s="70"/>
    </row>
    <row r="139" spans="1:28" s="230" customFormat="1" ht="18.75" x14ac:dyDescent="0.3">
      <c r="A139" s="603">
        <f>' QUICK OVERVIEW- Inputs&amp;Outputs'!$U$10</f>
        <v>0</v>
      </c>
      <c r="B139" s="598">
        <f>A139*1*16/0.08206/298</f>
        <v>0</v>
      </c>
      <c r="C139" s="598">
        <f>B139*365/1000</f>
        <v>0</v>
      </c>
      <c r="D139" s="598">
        <f>C139*27</f>
        <v>0</v>
      </c>
      <c r="E139" s="604">
        <f>145</f>
        <v>145</v>
      </c>
      <c r="F139" s="604">
        <f>D139*E139</f>
        <v>0</v>
      </c>
      <c r="G139" s="209">
        <f>F139*31.4236</f>
        <v>0</v>
      </c>
      <c r="I139" s="360"/>
      <c r="J139" s="49"/>
      <c r="K139" s="49"/>
      <c r="L139" s="49"/>
      <c r="M139" s="68"/>
      <c r="N139" s="68"/>
      <c r="O139" s="68"/>
      <c r="P139" s="68"/>
      <c r="Q139" s="599"/>
      <c r="R139" s="599"/>
      <c r="S139" s="599"/>
      <c r="T139" s="599"/>
      <c r="U139" s="599"/>
      <c r="V139" s="599"/>
      <c r="W139" s="69"/>
      <c r="X139" s="69"/>
      <c r="Y139" s="69"/>
      <c r="Z139" s="69"/>
      <c r="AA139" s="69"/>
      <c r="AB139" s="70"/>
    </row>
    <row r="140" spans="1:28" s="230" customFormat="1" ht="19.5" thickBot="1" x14ac:dyDescent="0.35">
      <c r="A140" s="610" t="s">
        <v>354</v>
      </c>
      <c r="B140" s="165"/>
      <c r="C140" s="165"/>
      <c r="D140" s="165"/>
      <c r="E140" s="165"/>
      <c r="F140" s="165"/>
      <c r="G140" s="210">
        <f>G136+G137+G138+G139</f>
        <v>111165087.86072741</v>
      </c>
      <c r="I140" s="360"/>
      <c r="J140" s="49"/>
      <c r="K140" s="49"/>
      <c r="L140" s="49"/>
      <c r="M140" s="68"/>
      <c r="N140" s="68"/>
      <c r="O140" s="68"/>
      <c r="P140" s="68"/>
      <c r="Q140" s="390"/>
      <c r="R140" s="390"/>
      <c r="S140" s="390"/>
      <c r="T140" s="390"/>
      <c r="U140" s="390"/>
      <c r="V140" s="390"/>
      <c r="W140" s="69"/>
      <c r="X140" s="69"/>
      <c r="Y140" s="69"/>
      <c r="Z140" s="69"/>
      <c r="AA140" s="69"/>
      <c r="AB140" s="70"/>
    </row>
    <row r="141" spans="1:28" s="230" customFormat="1" ht="19.5" thickBot="1" x14ac:dyDescent="0.35">
      <c r="A141" s="611"/>
      <c r="B141" s="611"/>
      <c r="C141" s="611"/>
      <c r="D141" s="611"/>
      <c r="E141" s="611"/>
      <c r="F141" s="611"/>
      <c r="G141" s="274"/>
      <c r="I141" s="360"/>
      <c r="J141" s="49"/>
      <c r="K141" s="49"/>
      <c r="L141" s="49"/>
      <c r="M141" s="68"/>
      <c r="N141" s="68"/>
      <c r="O141" s="68"/>
      <c r="P141" s="68"/>
      <c r="Q141" s="599"/>
      <c r="R141" s="599"/>
      <c r="S141" s="599"/>
      <c r="T141" s="599"/>
      <c r="U141" s="599"/>
      <c r="V141" s="599"/>
      <c r="W141" s="69"/>
      <c r="X141" s="69"/>
      <c r="Y141" s="69"/>
      <c r="Z141" s="69"/>
      <c r="AA141" s="69"/>
      <c r="AB141" s="70"/>
    </row>
    <row r="142" spans="1:28" s="230" customFormat="1" ht="18.75" x14ac:dyDescent="0.3">
      <c r="A142" s="831" t="s">
        <v>1065</v>
      </c>
      <c r="B142" s="832" t="s">
        <v>1068</v>
      </c>
      <c r="C142" s="611"/>
      <c r="D142" s="611"/>
      <c r="E142" s="611"/>
      <c r="F142" s="611"/>
      <c r="G142" s="274"/>
      <c r="I142" s="360"/>
      <c r="J142" s="49"/>
      <c r="K142" s="49"/>
      <c r="L142" s="49"/>
      <c r="M142" s="68"/>
      <c r="N142" s="68"/>
      <c r="O142" s="68"/>
      <c r="P142" s="68"/>
      <c r="Q142" s="599"/>
      <c r="R142" s="599"/>
      <c r="S142" s="599"/>
      <c r="T142" s="599"/>
      <c r="U142" s="599"/>
      <c r="V142" s="599"/>
      <c r="W142" s="69"/>
      <c r="X142" s="69"/>
      <c r="Y142" s="69"/>
      <c r="Z142" s="69"/>
      <c r="AA142" s="69"/>
      <c r="AB142" s="70"/>
    </row>
    <row r="143" spans="1:28" s="230" customFormat="1" ht="18.75" x14ac:dyDescent="0.3">
      <c r="A143" s="613" t="s">
        <v>1066</v>
      </c>
      <c r="B143" s="614">
        <f>$G$140</f>
        <v>111165087.86072741</v>
      </c>
      <c r="C143" s="611"/>
      <c r="D143" s="611"/>
      <c r="E143" s="611"/>
      <c r="F143" s="611"/>
      <c r="G143" s="274"/>
      <c r="I143" s="360"/>
      <c r="J143" s="49"/>
      <c r="K143" s="49"/>
      <c r="L143" s="49"/>
      <c r="M143" s="68"/>
      <c r="N143" s="68"/>
      <c r="O143" s="68"/>
      <c r="P143" s="68"/>
      <c r="Q143" s="599"/>
      <c r="R143" s="599"/>
      <c r="S143" s="599"/>
      <c r="T143" s="599"/>
      <c r="U143" s="599"/>
      <c r="V143" s="599"/>
      <c r="W143" s="69"/>
      <c r="X143" s="69"/>
      <c r="Y143" s="69"/>
      <c r="Z143" s="69"/>
      <c r="AA143" s="69"/>
      <c r="AB143" s="70"/>
    </row>
    <row r="144" spans="1:28" s="230" customFormat="1" ht="19.5" thickBot="1" x14ac:dyDescent="0.35">
      <c r="A144" s="615" t="s">
        <v>1067</v>
      </c>
      <c r="B144" s="616">
        <v>0</v>
      </c>
      <c r="C144" s="611"/>
      <c r="D144" s="611"/>
      <c r="E144" s="611"/>
      <c r="F144" s="611"/>
      <c r="G144" s="274"/>
      <c r="I144" s="360"/>
      <c r="J144" s="49"/>
      <c r="K144" s="49"/>
      <c r="L144" s="49"/>
      <c r="M144" s="68"/>
      <c r="N144" s="68"/>
      <c r="O144" s="68"/>
      <c r="P144" s="68"/>
      <c r="Q144" s="599"/>
      <c r="R144" s="599"/>
      <c r="S144" s="599"/>
      <c r="T144" s="599"/>
      <c r="U144" s="599"/>
      <c r="V144" s="599"/>
      <c r="W144" s="69"/>
      <c r="X144" s="69"/>
      <c r="Y144" s="69"/>
      <c r="Z144" s="69"/>
      <c r="AA144" s="69"/>
      <c r="AB144" s="70"/>
    </row>
    <row r="145" spans="1:28" s="230" customFormat="1" ht="19.5" thickBot="1" x14ac:dyDescent="0.35">
      <c r="A145" s="612"/>
      <c r="B145" s="612"/>
      <c r="C145" s="611"/>
      <c r="D145" s="611"/>
      <c r="E145" s="611"/>
      <c r="F145" s="611"/>
      <c r="G145" s="274"/>
      <c r="I145" s="360"/>
      <c r="J145" s="49"/>
      <c r="K145" s="49"/>
      <c r="L145" s="49"/>
      <c r="M145" s="68"/>
      <c r="N145" s="68"/>
      <c r="O145" s="68"/>
      <c r="P145" s="68"/>
      <c r="Q145" s="599"/>
      <c r="R145" s="599"/>
      <c r="S145" s="599"/>
      <c r="T145" s="599"/>
      <c r="U145" s="599"/>
      <c r="V145" s="599"/>
      <c r="W145" s="69"/>
      <c r="X145" s="69"/>
      <c r="Y145" s="69"/>
      <c r="Z145" s="69"/>
      <c r="AA145" s="69"/>
      <c r="AB145" s="70"/>
    </row>
    <row r="146" spans="1:28" s="230" customFormat="1" ht="18.75" x14ac:dyDescent="0.3">
      <c r="A146" s="831" t="s">
        <v>1069</v>
      </c>
      <c r="B146" s="832" t="s">
        <v>1072</v>
      </c>
      <c r="C146" s="611"/>
      <c r="D146" s="611"/>
      <c r="E146" s="611"/>
      <c r="F146" s="611"/>
      <c r="G146" s="274"/>
      <c r="I146" s="360"/>
      <c r="J146" s="49"/>
      <c r="K146" s="49"/>
      <c r="L146" s="49"/>
      <c r="M146" s="68"/>
      <c r="N146" s="68"/>
      <c r="O146" s="68"/>
      <c r="P146" s="68"/>
      <c r="Q146" s="599"/>
      <c r="R146" s="599"/>
      <c r="S146" s="599"/>
      <c r="T146" s="599"/>
      <c r="U146" s="599"/>
      <c r="V146" s="599"/>
      <c r="W146" s="69"/>
      <c r="X146" s="69"/>
      <c r="Y146" s="69"/>
      <c r="Z146" s="69"/>
      <c r="AA146" s="69"/>
      <c r="AB146" s="70"/>
    </row>
    <row r="147" spans="1:28" s="230" customFormat="1" ht="18.75" x14ac:dyDescent="0.3">
      <c r="A147" s="613" t="s">
        <v>1070</v>
      </c>
      <c r="B147" s="614">
        <f>$H$115</f>
        <v>10625849.087928841</v>
      </c>
      <c r="C147" s="611"/>
      <c r="D147" s="611"/>
      <c r="E147" s="611"/>
      <c r="F147" s="611"/>
      <c r="G147" s="274"/>
      <c r="I147" s="360"/>
      <c r="J147" s="49"/>
      <c r="K147" s="49"/>
      <c r="L147" s="49"/>
      <c r="M147" s="68"/>
      <c r="N147" s="68"/>
      <c r="O147" s="68"/>
      <c r="P147" s="68"/>
      <c r="Q147" s="599"/>
      <c r="R147" s="599"/>
      <c r="S147" s="599"/>
      <c r="T147" s="599"/>
      <c r="U147" s="599"/>
      <c r="V147" s="599"/>
      <c r="W147" s="69"/>
      <c r="X147" s="69"/>
      <c r="Y147" s="69"/>
      <c r="Z147" s="69"/>
      <c r="AA147" s="69"/>
      <c r="AB147" s="70"/>
    </row>
    <row r="148" spans="1:28" s="230" customFormat="1" ht="19.5" thickBot="1" x14ac:dyDescent="0.35">
      <c r="A148" s="615" t="s">
        <v>1071</v>
      </c>
      <c r="B148" s="616">
        <v>0</v>
      </c>
      <c r="C148" s="611"/>
      <c r="D148" s="611"/>
      <c r="E148" s="611"/>
      <c r="F148" s="611"/>
      <c r="G148" s="274"/>
      <c r="I148" s="360"/>
      <c r="J148" s="49"/>
      <c r="K148" s="49"/>
      <c r="L148" s="49"/>
      <c r="M148" s="68"/>
      <c r="N148" s="68"/>
      <c r="O148" s="68"/>
      <c r="P148" s="68"/>
      <c r="Q148" s="599"/>
      <c r="R148" s="599"/>
      <c r="S148" s="599"/>
      <c r="T148" s="599"/>
      <c r="U148" s="599"/>
      <c r="V148" s="599"/>
      <c r="W148" s="69"/>
      <c r="X148" s="69"/>
      <c r="Y148" s="69"/>
      <c r="Z148" s="69"/>
      <c r="AA148" s="69"/>
      <c r="AB148" s="70"/>
    </row>
    <row r="149" spans="1:28" ht="15.75" thickBot="1" x14ac:dyDescent="0.3"/>
    <row r="150" spans="1:28" ht="110.25" customHeight="1" thickBot="1" x14ac:dyDescent="0.3">
      <c r="A150" s="2627" t="s">
        <v>1147</v>
      </c>
      <c r="B150" s="2628"/>
      <c r="C150" s="2628"/>
      <c r="D150" s="2628"/>
      <c r="E150" s="2628"/>
      <c r="F150" s="2628"/>
      <c r="G150" s="2629"/>
    </row>
    <row r="151" spans="1:28" ht="138.75" customHeight="1" x14ac:dyDescent="0.25">
      <c r="A151" s="595" t="s">
        <v>28</v>
      </c>
      <c r="B151" s="1890" t="s">
        <v>461</v>
      </c>
      <c r="C151" s="1890" t="s">
        <v>1561</v>
      </c>
      <c r="D151" s="1889" t="s">
        <v>1562</v>
      </c>
      <c r="E151" s="1904" t="s">
        <v>1820</v>
      </c>
      <c r="F151" s="1889" t="s">
        <v>462</v>
      </c>
      <c r="G151" s="1905" t="s">
        <v>463</v>
      </c>
    </row>
    <row r="152" spans="1:28" x14ac:dyDescent="0.25">
      <c r="A152" s="319" t="s">
        <v>167</v>
      </c>
      <c r="B152" s="1589" t="s">
        <v>1559</v>
      </c>
      <c r="C152" s="510">
        <f>3.25*1.37</f>
        <v>4.4525000000000006</v>
      </c>
      <c r="D152" s="2655">
        <f>(('AD Calculations'!D5+'AD Calculations'!D6+'AD Calculations'!D7+'AD Calculations'!D8+'AD Calculations'!D9+'AD Calculations'!D10)*0.925)/(3785)</f>
        <v>1.1257331087186262E-3</v>
      </c>
      <c r="E152" s="2630">
        <f>((D154*1308)/2000)*0.225</f>
        <v>0.36509618579327263</v>
      </c>
      <c r="F152" s="228">
        <f>C152*D152*1.2434*0.15</f>
        <v>9.348490465819118E-4</v>
      </c>
      <c r="G152" s="2631">
        <f>((F152+F153+F154)-E152)*31.4236</f>
        <v>-10.803953738318016</v>
      </c>
    </row>
    <row r="153" spans="1:28" x14ac:dyDescent="0.25">
      <c r="A153" s="319" t="s">
        <v>168</v>
      </c>
      <c r="B153" s="1589" t="s">
        <v>954</v>
      </c>
      <c r="C153" s="510">
        <f>8.6*1.37</f>
        <v>11.782</v>
      </c>
      <c r="D153" s="2545"/>
      <c r="E153" s="2630"/>
      <c r="F153" s="228">
        <f>D152*C153*1.2434*0.85</f>
        <v>1.4017941601053895E-2</v>
      </c>
      <c r="G153" s="2632"/>
    </row>
    <row r="154" spans="1:28" s="230" customFormat="1" ht="15.75" thickBot="1" x14ac:dyDescent="0.3">
      <c r="A154" s="960" t="s">
        <v>169</v>
      </c>
      <c r="B154" s="1002" t="s">
        <v>1135</v>
      </c>
      <c r="C154" s="511">
        <v>1.7000000000000001E-2</v>
      </c>
      <c r="D154" s="1591">
        <f>(D152)*2204</f>
        <v>2.4811157716158521</v>
      </c>
      <c r="E154" s="2630"/>
      <c r="F154" s="156">
        <f>D154*C154*0.15</f>
        <v>6.3268452176204236E-3</v>
      </c>
      <c r="G154" s="2633"/>
    </row>
    <row r="155" spans="1:28" ht="14.25" customHeight="1" thickBot="1" x14ac:dyDescent="0.3"/>
    <row r="156" spans="1:28" s="230" customFormat="1" ht="41.25" customHeight="1" thickBot="1" x14ac:dyDescent="0.3">
      <c r="A156" s="2319" t="s">
        <v>1086</v>
      </c>
      <c r="B156" s="2478"/>
      <c r="C156" s="2478"/>
      <c r="D156" s="2478"/>
      <c r="E156" s="2478"/>
      <c r="F156" s="2478"/>
      <c r="G156" s="2478"/>
      <c r="H156" s="2320"/>
    </row>
    <row r="157" spans="1:28" s="230" customFormat="1" ht="41.25" customHeight="1" thickBot="1" x14ac:dyDescent="0.3">
      <c r="A157" s="1337"/>
      <c r="B157" s="1338"/>
      <c r="C157" s="2478" t="s">
        <v>1407</v>
      </c>
      <c r="D157" s="2478"/>
      <c r="E157" s="2478"/>
      <c r="F157" s="2535" t="s">
        <v>1260</v>
      </c>
      <c r="G157" s="2535"/>
      <c r="H157" s="2535"/>
    </row>
    <row r="158" spans="1:28" ht="15.75" x14ac:dyDescent="0.25">
      <c r="A158" s="679" t="s">
        <v>456</v>
      </c>
      <c r="B158" s="119" t="s">
        <v>735</v>
      </c>
      <c r="C158" s="569" t="s">
        <v>457</v>
      </c>
      <c r="D158" s="680" t="s">
        <v>12</v>
      </c>
      <c r="E158" s="569" t="s">
        <v>458</v>
      </c>
      <c r="F158" s="569" t="s">
        <v>457</v>
      </c>
      <c r="G158" s="680" t="s">
        <v>12</v>
      </c>
      <c r="H158" s="569" t="s">
        <v>458</v>
      </c>
    </row>
    <row r="159" spans="1:28" s="230" customFormat="1" ht="15.75" x14ac:dyDescent="0.25">
      <c r="A159" s="570" t="s">
        <v>509</v>
      </c>
      <c r="B159" s="637">
        <v>0</v>
      </c>
      <c r="C159" s="678">
        <v>0</v>
      </c>
      <c r="D159" s="681">
        <v>0</v>
      </c>
      <c r="E159" s="678">
        <v>0</v>
      </c>
      <c r="F159" s="678">
        <v>0</v>
      </c>
      <c r="G159" s="681">
        <v>0</v>
      </c>
      <c r="H159" s="678">
        <v>0</v>
      </c>
    </row>
    <row r="160" spans="1:28" ht="15.75" x14ac:dyDescent="0.25">
      <c r="A160" s="570" t="s">
        <v>540</v>
      </c>
      <c r="B160" s="674">
        <f>'Waste Mass Calculations'!$I$8</f>
        <v>55386.666666666672</v>
      </c>
      <c r="C160" s="682">
        <f>'Digester Methane Calculation'!$E$7</f>
        <v>12473.38082191781</v>
      </c>
      <c r="D160" s="683">
        <f>'Digester Methane Calculation'!F7</f>
        <v>146614883847.92999</v>
      </c>
      <c r="E160" s="684">
        <f>'Digester Methane Calculation'!$G$7</f>
        <v>12568831.63116047</v>
      </c>
      <c r="F160" s="682">
        <f>'Landfill Methane Calculation'!$E$7</f>
        <v>75872.146118721474</v>
      </c>
      <c r="G160" s="683">
        <f>'Landfill Methane Calculation'!F7</f>
        <v>891818028272.08032</v>
      </c>
      <c r="H160" s="684">
        <f>'Landfill Methane Calculation'!G7</f>
        <v>76452747.148178041</v>
      </c>
    </row>
    <row r="161" spans="1:8" ht="15.75" x14ac:dyDescent="0.25">
      <c r="A161" s="685" t="s">
        <v>506</v>
      </c>
      <c r="B161" s="674">
        <f>'Waste Mass Calculations'!$D$12</f>
        <v>0</v>
      </c>
      <c r="C161" s="682">
        <f>'Digester Methane Calculation'!$E$10</f>
        <v>0</v>
      </c>
      <c r="D161" s="683">
        <f>'Digester Methane Calculation'!F10</f>
        <v>0</v>
      </c>
      <c r="E161" s="678">
        <f>'Digester Methane Calculation'!$G$10</f>
        <v>0</v>
      </c>
      <c r="F161" s="682">
        <f>'Landfill Methane Calculation'!$E$10</f>
        <v>0</v>
      </c>
      <c r="G161" s="683">
        <f>'Landfill Methane Calculation'!F10</f>
        <v>0</v>
      </c>
      <c r="H161" s="684">
        <f>'Landfill Methane Calculation'!G10</f>
        <v>0</v>
      </c>
    </row>
    <row r="162" spans="1:8" ht="15.75" x14ac:dyDescent="0.25">
      <c r="A162" s="685" t="s">
        <v>507</v>
      </c>
      <c r="B162" s="637">
        <f>'Waste Mass Calculations'!$D$14</f>
        <v>0</v>
      </c>
      <c r="C162" s="682">
        <f>'Digester Methane Calculation'!$E$13</f>
        <v>0</v>
      </c>
      <c r="D162" s="683">
        <f>'Digester Methane Calculation'!F13</f>
        <v>0</v>
      </c>
      <c r="E162" s="678">
        <f>'Digester Methane Calculation'!$G$13</f>
        <v>0</v>
      </c>
      <c r="F162" s="682">
        <f>'Landfill Methane Calculation'!$E$13</f>
        <v>0</v>
      </c>
      <c r="G162" s="683">
        <f>'Landfill Methane Calculation'!F13</f>
        <v>0</v>
      </c>
      <c r="H162" s="684">
        <f>'Landfill Methane Calculation'!G13</f>
        <v>0</v>
      </c>
    </row>
    <row r="163" spans="1:8" s="230" customFormat="1" ht="15.75" x14ac:dyDescent="0.25">
      <c r="A163" s="685" t="s">
        <v>1590</v>
      </c>
      <c r="B163" s="674">
        <f>'Waste Mass Calculations'!$D$17</f>
        <v>0</v>
      </c>
      <c r="C163" s="682">
        <f>'Digester Methane Calculation'!$E$19</f>
        <v>0</v>
      </c>
      <c r="D163" s="683">
        <f>'Digester Methane Calculation'!$F$19</f>
        <v>0</v>
      </c>
      <c r="E163" s="678">
        <f>'Digester Methane Calculation'!$G$19</f>
        <v>0</v>
      </c>
      <c r="F163" s="682">
        <f>'Landfill Methane Calculation'!E19</f>
        <v>0</v>
      </c>
      <c r="G163" s="683">
        <f>'Landfill Methane Calculation'!F19</f>
        <v>0</v>
      </c>
      <c r="H163" s="684">
        <f>'Landfill Methane Calculation'!G19</f>
        <v>0</v>
      </c>
    </row>
    <row r="164" spans="1:8" ht="15.75" x14ac:dyDescent="0.25">
      <c r="A164" s="685" t="s">
        <v>519</v>
      </c>
      <c r="B164" s="637">
        <f>'Waste Mass Calculations'!$D$16</f>
        <v>0</v>
      </c>
      <c r="C164" s="682">
        <f>'Digester Methane Calculation'!$E$16</f>
        <v>0</v>
      </c>
      <c r="D164" s="683">
        <f>'Digester Methane Calculation'!F16</f>
        <v>0</v>
      </c>
      <c r="E164" s="678">
        <f>'Digester Methane Calculation'!$G$16</f>
        <v>0</v>
      </c>
      <c r="F164" s="682">
        <f>'Landfill Methane Calculation'!$E$16</f>
        <v>0</v>
      </c>
      <c r="G164" s="683">
        <f>'Landfill Methane Calculation'!F16</f>
        <v>0</v>
      </c>
      <c r="H164" s="684">
        <f>'Landfill Methane Calculation'!G16</f>
        <v>0</v>
      </c>
    </row>
    <row r="165" spans="1:8" ht="15.75" x14ac:dyDescent="0.25">
      <c r="A165" s="685" t="s">
        <v>516</v>
      </c>
      <c r="B165" s="637">
        <f>'Waste Mass Calculations'!$D$21</f>
        <v>0</v>
      </c>
      <c r="C165" s="682">
        <f>'Digester Methane Calculation'!$E$22</f>
        <v>0</v>
      </c>
      <c r="D165" s="683">
        <f>'Digester Methane Calculation'!F22</f>
        <v>0</v>
      </c>
      <c r="E165" s="678">
        <f>'Digester Methane Calculation'!$G$22</f>
        <v>0</v>
      </c>
      <c r="F165" s="682">
        <f>'Landfill Methane Calculation'!$E$22</f>
        <v>0</v>
      </c>
      <c r="G165" s="683">
        <f>'Landfill Methane Calculation'!F22</f>
        <v>0</v>
      </c>
      <c r="H165" s="684">
        <f>'Landfill Methane Calculation'!G22</f>
        <v>0</v>
      </c>
    </row>
    <row r="166" spans="1:8" ht="15.75" x14ac:dyDescent="0.25">
      <c r="A166" s="685" t="s">
        <v>508</v>
      </c>
      <c r="B166" s="637">
        <f>'Waste Mass Calculations'!$D$23</f>
        <v>0</v>
      </c>
      <c r="C166" s="682">
        <f>'Digester Methane Calculation'!$E$25</f>
        <v>0</v>
      </c>
      <c r="D166" s="683">
        <f>'Digester Methane Calculation'!F25</f>
        <v>0</v>
      </c>
      <c r="E166" s="678">
        <f>'Digester Methane Calculation'!$G$25</f>
        <v>0</v>
      </c>
      <c r="F166" s="682">
        <f>'Landfill Methane Calculation'!$E$25</f>
        <v>0</v>
      </c>
      <c r="G166" s="683">
        <f>'Landfill Methane Calculation'!F25</f>
        <v>0</v>
      </c>
      <c r="H166" s="684">
        <f>'Landfill Methane Calculation'!G25</f>
        <v>0</v>
      </c>
    </row>
    <row r="167" spans="1:8" s="230" customFormat="1" ht="15.75" x14ac:dyDescent="0.25">
      <c r="A167" s="686" t="s">
        <v>1591</v>
      </c>
      <c r="B167" s="687">
        <f>'Waste Mass Calculations'!D24</f>
        <v>0</v>
      </c>
      <c r="C167" s="688">
        <f>'Digester Methane Calculation'!$E$28</f>
        <v>0</v>
      </c>
      <c r="D167" s="689">
        <f>'Digester Methane Calculation'!$F$28</f>
        <v>0</v>
      </c>
      <c r="E167" s="678">
        <f>'Digester Methane Calculation'!$G$28</f>
        <v>0</v>
      </c>
      <c r="F167" s="682">
        <f>'Landfill Methane Calculation'!$E$28</f>
        <v>0</v>
      </c>
      <c r="G167" s="683">
        <f>'Landfill Methane Calculation'!F28</f>
        <v>0</v>
      </c>
      <c r="H167" s="684">
        <f>'Landfill Methane Calculation'!G28</f>
        <v>0</v>
      </c>
    </row>
    <row r="168" spans="1:8" s="230" customFormat="1" ht="16.5" thickBot="1" x14ac:dyDescent="0.3">
      <c r="A168" s="686" t="s">
        <v>520</v>
      </c>
      <c r="B168" s="687">
        <f>'Waste Mass Calculations'!$A$28</f>
        <v>0</v>
      </c>
      <c r="C168" s="688">
        <f>'Digester Methane Calculation'!$E$31</f>
        <v>0</v>
      </c>
      <c r="D168" s="689">
        <f>'Digester Methane Calculation'!F31</f>
        <v>0</v>
      </c>
      <c r="E168" s="690">
        <f>'Digester Methane Calculation'!$G$31</f>
        <v>0</v>
      </c>
      <c r="F168" s="682">
        <f>'Landfill Methane Calculation'!$E$31</f>
        <v>0</v>
      </c>
      <c r="G168" s="683">
        <f>'Landfill Methane Calculation'!F31</f>
        <v>0</v>
      </c>
      <c r="H168" s="684">
        <f>'Landfill Methane Calculation'!G31</f>
        <v>0</v>
      </c>
    </row>
    <row r="169" spans="1:8" ht="15.75" x14ac:dyDescent="0.25">
      <c r="A169" s="679" t="s">
        <v>456</v>
      </c>
      <c r="B169" s="119" t="s">
        <v>735</v>
      </c>
      <c r="C169" s="569" t="s">
        <v>457</v>
      </c>
      <c r="D169" s="680" t="s">
        <v>12</v>
      </c>
      <c r="E169" s="569" t="s">
        <v>458</v>
      </c>
      <c r="F169" s="569" t="s">
        <v>457</v>
      </c>
      <c r="G169" s="680" t="s">
        <v>12</v>
      </c>
      <c r="H169" s="569" t="s">
        <v>458</v>
      </c>
    </row>
    <row r="170" spans="1:8" s="230" customFormat="1" ht="15.75" x14ac:dyDescent="0.25">
      <c r="A170" s="570" t="s">
        <v>509</v>
      </c>
      <c r="B170" s="637">
        <v>0</v>
      </c>
      <c r="C170" s="678">
        <v>0</v>
      </c>
      <c r="D170" s="681">
        <v>0</v>
      </c>
      <c r="E170" s="678">
        <v>0</v>
      </c>
      <c r="F170" s="678">
        <v>0</v>
      </c>
      <c r="G170" s="681">
        <v>0</v>
      </c>
      <c r="H170" s="678">
        <v>0</v>
      </c>
    </row>
    <row r="171" spans="1:8" ht="15.75" x14ac:dyDescent="0.25">
      <c r="A171" s="570" t="s">
        <v>541</v>
      </c>
      <c r="B171" s="674">
        <f>'Waste Mass Calculations'!$F$35</f>
        <v>13978.21</v>
      </c>
      <c r="C171" s="691">
        <f>'Digester Methane Calculation'!E34</f>
        <v>3783.6908164383563</v>
      </c>
      <c r="D171" s="692">
        <f>'Digester Methane Calculation'!F34</f>
        <v>30111920694.219849</v>
      </c>
      <c r="E171" s="693">
        <f>'Digester Methane Calculation'!$G$34</f>
        <v>2581400.0008966313</v>
      </c>
      <c r="F171" s="691">
        <f>'Landfill Methane Calculation'!$E$34</f>
        <v>19148.232876712329</v>
      </c>
      <c r="G171" s="692">
        <f>'Landfill Methane Calculation'!F34</f>
        <v>152388262622.57007</v>
      </c>
      <c r="H171" s="693">
        <f>'Landfill Methane Calculation'!G34</f>
        <v>13063765.186723841</v>
      </c>
    </row>
    <row r="172" spans="1:8" ht="15.75" x14ac:dyDescent="0.25">
      <c r="A172" s="685" t="s">
        <v>505</v>
      </c>
      <c r="B172" s="674">
        <f>'Waste Mass Calculations'!$D$39</f>
        <v>0</v>
      </c>
      <c r="C172" s="461">
        <f>'Digester Methane Calculation'!$E$37</f>
        <v>0</v>
      </c>
      <c r="D172" s="694">
        <f>'Digester Methane Calculation'!F37</f>
        <v>0</v>
      </c>
      <c r="E172" s="695">
        <f>'Digester Methane Calculation'!$G$37</f>
        <v>0</v>
      </c>
      <c r="F172" s="691">
        <f>'Landfill Methane Calculation'!$E$37</f>
        <v>0</v>
      </c>
      <c r="G172" s="692">
        <f>'Landfill Methane Calculation'!F37</f>
        <v>0</v>
      </c>
      <c r="H172" s="693">
        <f>'Landfill Methane Calculation'!G37</f>
        <v>0</v>
      </c>
    </row>
    <row r="173" spans="1:8" s="230" customFormat="1" ht="15.75" x14ac:dyDescent="0.25">
      <c r="A173" s="685" t="s">
        <v>1592</v>
      </c>
      <c r="B173" s="674">
        <f>'Waste Mass Calculations'!D40</f>
        <v>0</v>
      </c>
      <c r="C173" s="461">
        <f>'Digester Methane Calculation'!$E$40</f>
        <v>0</v>
      </c>
      <c r="D173" s="694">
        <f>'Digester Methane Calculation'!$F$40</f>
        <v>0</v>
      </c>
      <c r="E173" s="695">
        <f>'Digester Methane Calculation'!$G$40</f>
        <v>0</v>
      </c>
      <c r="F173" s="691">
        <f>'Landfill Methane Calculation'!$E$40</f>
        <v>0</v>
      </c>
      <c r="G173" s="692">
        <f>'Landfill Methane Calculation'!F40</f>
        <v>0</v>
      </c>
      <c r="H173" s="693">
        <f>'Landfill Methane Calculation'!G40</f>
        <v>0</v>
      </c>
    </row>
    <row r="174" spans="1:8" ht="15.75" x14ac:dyDescent="0.25">
      <c r="A174" s="685" t="s">
        <v>513</v>
      </c>
      <c r="B174" s="637">
        <f>'Waste Mass Calculations'!$D$44</f>
        <v>0</v>
      </c>
      <c r="C174" s="461">
        <f>'Digester Methane Calculation'!$E$43</f>
        <v>0</v>
      </c>
      <c r="D174" s="694">
        <f>'Digester Methane Calculation'!F43</f>
        <v>0</v>
      </c>
      <c r="E174" s="695">
        <f>'Digester Methane Calculation'!$G$43</f>
        <v>0</v>
      </c>
      <c r="F174" s="691">
        <f>'Landfill Methane Calculation'!$E$43</f>
        <v>0</v>
      </c>
      <c r="G174" s="692">
        <f>'Landfill Methane Calculation'!F43</f>
        <v>0</v>
      </c>
      <c r="H174" s="693">
        <f>'Landfill Methane Calculation'!G43</f>
        <v>0</v>
      </c>
    </row>
    <row r="175" spans="1:8" s="230" customFormat="1" ht="15.75" x14ac:dyDescent="0.25">
      <c r="A175" s="685" t="s">
        <v>514</v>
      </c>
      <c r="B175" s="637">
        <f>'Waste Mass Calculations'!$D$46</f>
        <v>0</v>
      </c>
      <c r="C175" s="461">
        <f>'Digester Methane Calculation'!$E$46</f>
        <v>0</v>
      </c>
      <c r="D175" s="694">
        <f>'Digester Methane Calculation'!F46</f>
        <v>0</v>
      </c>
      <c r="E175" s="695">
        <f>'Digester Methane Calculation'!$G$46</f>
        <v>0</v>
      </c>
      <c r="F175" s="691">
        <f>'Landfill Methane Calculation'!$E$46</f>
        <v>0</v>
      </c>
      <c r="G175" s="692">
        <f>'Landfill Methane Calculation'!F46</f>
        <v>0</v>
      </c>
      <c r="H175" s="693">
        <f>'Landfill Methane Calculation'!G46</f>
        <v>0</v>
      </c>
    </row>
    <row r="176" spans="1:8" ht="15.75" x14ac:dyDescent="0.25">
      <c r="A176" s="685" t="s">
        <v>515</v>
      </c>
      <c r="B176" s="637">
        <f>'Waste Mass Calculations'!$D$48</f>
        <v>0</v>
      </c>
      <c r="C176" s="461">
        <f>'Digester Methane Calculation'!$E$49</f>
        <v>0</v>
      </c>
      <c r="D176" s="694">
        <f>'Digester Methane Calculation'!F49</f>
        <v>0</v>
      </c>
      <c r="E176" s="695">
        <f>'Digester Methane Calculation'!$G$49</f>
        <v>0</v>
      </c>
      <c r="F176" s="691">
        <f>'Landfill Methane Calculation'!$E$49</f>
        <v>0</v>
      </c>
      <c r="G176" s="692">
        <f>'Landfill Methane Calculation'!F49</f>
        <v>0</v>
      </c>
      <c r="H176" s="693">
        <f>'Landfill Methane Calculation'!G49</f>
        <v>0</v>
      </c>
    </row>
    <row r="177" spans="1:26" s="230" customFormat="1" ht="15.75" x14ac:dyDescent="0.25">
      <c r="A177" s="686" t="s">
        <v>1593</v>
      </c>
      <c r="B177" s="687">
        <f>'Waste Mass Calculations'!D49</f>
        <v>0</v>
      </c>
      <c r="C177" s="1389">
        <f>'Digester Methane Calculation'!$E$52</f>
        <v>0</v>
      </c>
      <c r="D177" s="1651">
        <f>'Digester Methane Calculation'!$F$52</f>
        <v>0</v>
      </c>
      <c r="E177" s="695">
        <f>'Digester Methane Calculation'!$G$52</f>
        <v>0</v>
      </c>
      <c r="F177" s="691">
        <f>'Landfill Methane Calculation'!$E$52</f>
        <v>0</v>
      </c>
      <c r="G177" s="692">
        <f>'Landfill Methane Calculation'!F52</f>
        <v>0</v>
      </c>
      <c r="H177" s="693">
        <f>'Landfill Methane Calculation'!G52</f>
        <v>0</v>
      </c>
    </row>
    <row r="178" spans="1:26" s="230" customFormat="1" ht="16.5" thickBot="1" x14ac:dyDescent="0.3">
      <c r="A178" s="696" t="s">
        <v>520</v>
      </c>
      <c r="B178" s="446">
        <f>'Waste Mass Calculations'!$A$53</f>
        <v>0</v>
      </c>
      <c r="C178" s="465">
        <f>'Digester Methane Calculation'!$E$55</f>
        <v>0</v>
      </c>
      <c r="D178" s="697">
        <f>'Digester Methane Calculation'!F55</f>
        <v>0</v>
      </c>
      <c r="E178" s="447">
        <f>'Digester Methane Calculation'!$G$55</f>
        <v>0</v>
      </c>
      <c r="F178" s="691">
        <f>'Landfill Methane Calculation'!$E$55</f>
        <v>0</v>
      </c>
      <c r="G178" s="692">
        <f>'Landfill Methane Calculation'!F55</f>
        <v>0</v>
      </c>
      <c r="H178" s="693">
        <f>'Landfill Methane Calculation'!G55</f>
        <v>0</v>
      </c>
    </row>
    <row r="179" spans="1:26" ht="15.75" x14ac:dyDescent="0.25">
      <c r="A179" s="679" t="s">
        <v>456</v>
      </c>
      <c r="B179" s="119" t="s">
        <v>735</v>
      </c>
      <c r="C179" s="568" t="s">
        <v>457</v>
      </c>
      <c r="D179" s="568" t="s">
        <v>12</v>
      </c>
      <c r="E179" s="569" t="s">
        <v>458</v>
      </c>
      <c r="F179" s="568" t="s">
        <v>457</v>
      </c>
      <c r="G179" s="568" t="s">
        <v>12</v>
      </c>
      <c r="H179" s="569" t="s">
        <v>458</v>
      </c>
    </row>
    <row r="180" spans="1:26" ht="15.75" x14ac:dyDescent="0.25">
      <c r="A180" s="685" t="s">
        <v>509</v>
      </c>
      <c r="B180" s="637">
        <v>0</v>
      </c>
      <c r="C180" s="698">
        <f>'Digester Methane Calculation'!E44</f>
        <v>0</v>
      </c>
      <c r="D180" s="631">
        <v>0</v>
      </c>
      <c r="E180" s="678">
        <v>0</v>
      </c>
      <c r="F180" s="698">
        <v>0</v>
      </c>
      <c r="G180" s="1345">
        <v>0</v>
      </c>
      <c r="H180" s="678">
        <v>0</v>
      </c>
    </row>
    <row r="181" spans="1:26" s="230" customFormat="1" ht="15.75" x14ac:dyDescent="0.25">
      <c r="A181" s="570" t="s">
        <v>719</v>
      </c>
      <c r="B181" s="674">
        <f>'Waste Mass Calculations'!E68+'Waste Mass Calculations'!E69+'Waste Mass Calculations'!E70</f>
        <v>0</v>
      </c>
      <c r="C181" s="674">
        <f>'Digester Methane Calculation'!E63</f>
        <v>0</v>
      </c>
      <c r="D181" s="637">
        <f>'Digester Methane Calculation'!F63</f>
        <v>0</v>
      </c>
      <c r="E181" s="695">
        <f>'Digester Methane Calculation'!G63</f>
        <v>0</v>
      </c>
      <c r="F181" s="674">
        <f>'Landfill Methane Calculation'!$E$63</f>
        <v>0</v>
      </c>
      <c r="G181" s="1346">
        <f>'Landfill Methane Calculation'!F63</f>
        <v>0</v>
      </c>
      <c r="H181" s="695">
        <f>'Landfill Methane Calculation'!G63</f>
        <v>0</v>
      </c>
    </row>
    <row r="182" spans="1:26" s="230" customFormat="1" ht="16.5" thickBot="1" x14ac:dyDescent="0.3">
      <c r="A182" s="573" t="s">
        <v>698</v>
      </c>
      <c r="B182" s="446">
        <f>'Waste Mass Calculations'!E63</f>
        <v>0</v>
      </c>
      <c r="C182" s="699">
        <f>'Digester Methane Calculation'!E70</f>
        <v>0</v>
      </c>
      <c r="D182" s="446">
        <f>'Digester Methane Calculation'!F70</f>
        <v>0</v>
      </c>
      <c r="E182" s="447">
        <f>'Digester Methane Calculation'!G70</f>
        <v>0</v>
      </c>
      <c r="F182" s="674">
        <f>'Landfill Methane Calculation'!$E$70</f>
        <v>0</v>
      </c>
      <c r="G182" s="1346">
        <f>'Landfill Methane Calculation'!F70</f>
        <v>0</v>
      </c>
      <c r="H182" s="695">
        <f>'Landfill Methane Calculation'!G70</f>
        <v>0</v>
      </c>
    </row>
    <row r="183" spans="1:26" ht="15.75" x14ac:dyDescent="0.25">
      <c r="A183" s="679" t="s">
        <v>456</v>
      </c>
      <c r="B183" s="119" t="s">
        <v>735</v>
      </c>
      <c r="C183" s="568" t="s">
        <v>457</v>
      </c>
      <c r="D183" s="568" t="s">
        <v>12</v>
      </c>
      <c r="E183" s="569" t="s">
        <v>458</v>
      </c>
      <c r="F183" s="568" t="s">
        <v>457</v>
      </c>
      <c r="G183" s="568" t="s">
        <v>12</v>
      </c>
      <c r="H183" s="569" t="s">
        <v>458</v>
      </c>
    </row>
    <row r="184" spans="1:26" ht="15.75" x14ac:dyDescent="0.25">
      <c r="A184" s="700" t="s">
        <v>509</v>
      </c>
      <c r="B184" s="637">
        <v>0</v>
      </c>
      <c r="C184" s="698">
        <f>'Digester Methane Calculation'!E49</f>
        <v>0</v>
      </c>
      <c r="D184" s="631">
        <v>0</v>
      </c>
      <c r="E184" s="678">
        <v>0</v>
      </c>
      <c r="F184" s="698">
        <v>0</v>
      </c>
      <c r="G184" s="1345">
        <v>0</v>
      </c>
      <c r="H184" s="678">
        <v>0</v>
      </c>
    </row>
    <row r="185" spans="1:26" ht="16.5" thickBot="1" x14ac:dyDescent="0.3">
      <c r="A185" s="573" t="s">
        <v>490</v>
      </c>
      <c r="B185" s="701">
        <f>'Waste Mass Calculations'!D58</f>
        <v>0</v>
      </c>
      <c r="C185" s="699">
        <f>'Digester Methane Calculation'!$E$73</f>
        <v>0</v>
      </c>
      <c r="D185" s="446">
        <f>'Digester Methane Calculation'!$F$73</f>
        <v>0</v>
      </c>
      <c r="E185" s="447">
        <f>'Digester Methane Calculation'!$G$73</f>
        <v>0</v>
      </c>
      <c r="F185" s="699">
        <f>'Landfill Methane Calculation'!$E$73</f>
        <v>0</v>
      </c>
      <c r="G185" s="446">
        <f>'Landfill Methane Calculation'!F73</f>
        <v>0</v>
      </c>
      <c r="H185" s="447">
        <f>'Landfill Methane Calculation'!G73</f>
        <v>0</v>
      </c>
    </row>
    <row r="187" spans="1:26" ht="15.75" thickBot="1" x14ac:dyDescent="0.3">
      <c r="B187" s="332"/>
      <c r="C187" s="332"/>
      <c r="D187" s="332"/>
      <c r="E187" s="332"/>
      <c r="F187" s="332"/>
      <c r="G187" s="332"/>
      <c r="H187" s="332"/>
      <c r="I187" s="332"/>
      <c r="J187" s="332"/>
      <c r="K187" s="332"/>
      <c r="L187" s="332"/>
      <c r="M187" s="332"/>
      <c r="N187" s="332"/>
      <c r="O187" s="332"/>
      <c r="P187" s="332"/>
      <c r="Q187" s="334"/>
      <c r="R187" s="334"/>
      <c r="S187" s="334"/>
      <c r="T187" s="334"/>
      <c r="U187" s="334"/>
      <c r="V187" s="3"/>
      <c r="W187" s="3"/>
      <c r="X187" s="3"/>
      <c r="Y187" s="3"/>
      <c r="Z187" s="3"/>
    </row>
    <row r="188" spans="1:26" s="230" customFormat="1" ht="33" customHeight="1" x14ac:dyDescent="0.25">
      <c r="A188" s="2645" t="s">
        <v>892</v>
      </c>
      <c r="B188" s="2646"/>
      <c r="C188" s="2646"/>
      <c r="D188" s="2646"/>
      <c r="E188" s="2646"/>
      <c r="F188" s="2646"/>
      <c r="G188" s="2646"/>
      <c r="H188" s="2646"/>
      <c r="I188" s="2647"/>
      <c r="K188" s="389"/>
      <c r="L188" s="389"/>
      <c r="M188" s="389"/>
      <c r="N188" s="389"/>
      <c r="O188" s="389"/>
      <c r="P188" s="389"/>
      <c r="Q188" s="389"/>
      <c r="R188" s="389"/>
      <c r="S188" s="389"/>
      <c r="T188" s="389"/>
      <c r="U188" s="389"/>
      <c r="V188" s="3"/>
      <c r="W188" s="3"/>
      <c r="X188" s="3"/>
      <c r="Y188" s="3"/>
      <c r="Z188" s="3"/>
    </row>
    <row r="189" spans="1:26" ht="37.5" customHeight="1" x14ac:dyDescent="0.25">
      <c r="A189" s="321" t="s">
        <v>28</v>
      </c>
      <c r="B189" s="150" t="s">
        <v>754</v>
      </c>
      <c r="C189" s="667" t="s">
        <v>770</v>
      </c>
      <c r="D189" s="150" t="s">
        <v>768</v>
      </c>
      <c r="E189" s="150" t="s">
        <v>895</v>
      </c>
      <c r="F189" s="150" t="s">
        <v>769</v>
      </c>
      <c r="G189" s="150" t="s">
        <v>1039</v>
      </c>
      <c r="H189" s="150" t="s">
        <v>122</v>
      </c>
      <c r="I189" s="417" t="s">
        <v>771</v>
      </c>
      <c r="K189" s="332"/>
      <c r="L189" s="332"/>
      <c r="M189" s="332"/>
      <c r="N189" s="332"/>
      <c r="O189" s="332"/>
      <c r="P189" s="332"/>
      <c r="Q189" s="334"/>
      <c r="R189" s="334"/>
      <c r="S189" s="334"/>
      <c r="T189" s="334"/>
      <c r="U189" s="334"/>
      <c r="V189" s="3"/>
      <c r="W189" s="3"/>
      <c r="X189" s="3"/>
      <c r="Y189" s="3"/>
      <c r="Z189" s="3"/>
    </row>
    <row r="190" spans="1:26" x14ac:dyDescent="0.25">
      <c r="A190" s="73" t="s">
        <v>743</v>
      </c>
      <c r="B190" s="637">
        <f>' QUICK OVERVIEW- Inputs&amp;Outputs'!C26+' QUICK OVERVIEW- Inputs&amp;Outputs'!C27+' QUICK OVERVIEW- Inputs&amp;Outputs'!C28</f>
        <v>0</v>
      </c>
      <c r="C190" s="637">
        <v>60</v>
      </c>
      <c r="D190" s="637">
        <f>(B190*(C190/1000))</f>
        <v>0</v>
      </c>
      <c r="E190" s="637">
        <v>2270</v>
      </c>
      <c r="F190" s="637">
        <v>30</v>
      </c>
      <c r="G190" s="637">
        <f>((D190*F190)/E190)*264.172</f>
        <v>0</v>
      </c>
      <c r="H190" s="668">
        <f>0.0149*(G190) + 2194.2</f>
        <v>2194.1999999999998</v>
      </c>
      <c r="I190" s="669">
        <f>H190*31.4236</f>
        <v>68949.663119999997</v>
      </c>
      <c r="M190" s="332"/>
      <c r="N190" s="332"/>
      <c r="O190" s="332"/>
      <c r="P190" s="332"/>
      <c r="Q190" s="334"/>
      <c r="R190" s="334"/>
      <c r="S190" s="334"/>
      <c r="T190" s="334"/>
      <c r="U190" s="334"/>
      <c r="V190" s="3"/>
      <c r="W190" s="3"/>
      <c r="X190" s="3"/>
      <c r="Y190" s="3"/>
      <c r="Z190" s="3"/>
    </row>
    <row r="191" spans="1:26" x14ac:dyDescent="0.25">
      <c r="A191" s="73" t="s">
        <v>744</v>
      </c>
      <c r="B191" s="637" t="s">
        <v>897</v>
      </c>
      <c r="C191" s="637" t="s">
        <v>897</v>
      </c>
      <c r="D191" s="637" t="s">
        <v>897</v>
      </c>
      <c r="E191" s="637" t="s">
        <v>897</v>
      </c>
      <c r="F191" s="637" t="s">
        <v>897</v>
      </c>
      <c r="G191" s="637" t="s">
        <v>897</v>
      </c>
      <c r="H191" s="617">
        <v>0</v>
      </c>
      <c r="I191" s="658">
        <v>0</v>
      </c>
      <c r="M191" s="3"/>
      <c r="N191" s="3"/>
      <c r="O191" s="3"/>
      <c r="P191" s="3"/>
      <c r="Q191" s="3"/>
      <c r="R191" s="3"/>
      <c r="S191" s="3"/>
      <c r="T191" s="3"/>
      <c r="U191" s="3"/>
      <c r="V191" s="3"/>
    </row>
    <row r="192" spans="1:26" s="230" customFormat="1" ht="15.75" thickBot="1" x14ac:dyDescent="0.3">
      <c r="A192" s="75"/>
      <c r="B192" s="670"/>
      <c r="C192" s="670"/>
      <c r="D192" s="670"/>
      <c r="E192" s="670"/>
      <c r="F192" s="670"/>
      <c r="G192" s="670"/>
      <c r="H192" s="671"/>
      <c r="I192" s="672"/>
      <c r="M192" s="3"/>
      <c r="N192" s="3"/>
      <c r="O192" s="3"/>
      <c r="P192" s="3"/>
      <c r="Q192" s="3"/>
      <c r="R192" s="3"/>
      <c r="S192" s="3"/>
      <c r="T192" s="3"/>
      <c r="U192" s="3"/>
      <c r="V192" s="3"/>
    </row>
    <row r="193" spans="1:22" s="100" customFormat="1" ht="15.75" thickBot="1" x14ac:dyDescent="0.3">
      <c r="A193" s="443"/>
      <c r="B193" s="56"/>
      <c r="C193" s="56"/>
      <c r="D193" s="56"/>
      <c r="E193" s="56"/>
      <c r="F193" s="56"/>
      <c r="G193" s="56"/>
      <c r="H193" s="440"/>
      <c r="I193" s="444"/>
      <c r="M193" s="56"/>
      <c r="N193" s="56"/>
      <c r="O193" s="56"/>
      <c r="P193" s="56"/>
      <c r="Q193" s="56"/>
      <c r="R193" s="56"/>
      <c r="S193" s="56"/>
      <c r="T193" s="56"/>
      <c r="U193" s="56"/>
      <c r="V193" s="56"/>
    </row>
    <row r="194" spans="1:22" s="230" customFormat="1" ht="33" customHeight="1" x14ac:dyDescent="0.25">
      <c r="A194" s="2645" t="s">
        <v>893</v>
      </c>
      <c r="B194" s="2646"/>
      <c r="C194" s="2646"/>
      <c r="D194" s="2646"/>
      <c r="E194" s="2646"/>
      <c r="F194" s="2646"/>
      <c r="G194" s="2646"/>
      <c r="H194" s="2646"/>
      <c r="I194" s="2647"/>
      <c r="M194" s="3"/>
      <c r="N194" s="3"/>
      <c r="O194" s="3"/>
      <c r="P194" s="3"/>
      <c r="Q194" s="3"/>
      <c r="R194" s="3"/>
      <c r="S194" s="3"/>
      <c r="T194" s="3"/>
      <c r="U194" s="3"/>
      <c r="V194" s="3"/>
    </row>
    <row r="195" spans="1:22" s="230" customFormat="1" ht="81" customHeight="1" x14ac:dyDescent="0.25">
      <c r="A195" s="321" t="s">
        <v>28</v>
      </c>
      <c r="B195" s="150" t="s">
        <v>894</v>
      </c>
      <c r="C195" s="23" t="s">
        <v>896</v>
      </c>
      <c r="D195" s="150" t="s">
        <v>769</v>
      </c>
      <c r="E195" s="150" t="s">
        <v>1039</v>
      </c>
      <c r="F195" s="150" t="s">
        <v>122</v>
      </c>
      <c r="G195" s="150" t="s">
        <v>771</v>
      </c>
      <c r="H195" s="431"/>
      <c r="I195" s="673"/>
      <c r="M195" s="3"/>
      <c r="N195" s="3"/>
      <c r="O195" s="3"/>
      <c r="P195" s="3"/>
      <c r="Q195" s="3"/>
      <c r="R195" s="3"/>
      <c r="S195" s="3"/>
      <c r="T195" s="3"/>
      <c r="U195" s="3"/>
      <c r="V195" s="3"/>
    </row>
    <row r="196" spans="1:22" s="230" customFormat="1" x14ac:dyDescent="0.25">
      <c r="A196" s="73" t="s">
        <v>743</v>
      </c>
      <c r="B196" s="674">
        <f>((' QUICK OVERVIEW- Inputs&amp;Outputs'!H10+' QUICK OVERVIEW- Inputs&amp;Outputs'!L10)*2000)/(365)</f>
        <v>76592.931506849316</v>
      </c>
      <c r="C196" s="637">
        <v>583</v>
      </c>
      <c r="D196" s="637">
        <v>30</v>
      </c>
      <c r="E196" s="674">
        <f>(((B196*D196)/C196)-(' QUICK OVERVIEW- Inputs&amp;Outputs'!C23))*264.172</f>
        <v>1041185.6553358868</v>
      </c>
      <c r="F196" s="675">
        <f>0.0149*(E196) + 2194.2</f>
        <v>17707.866264504712</v>
      </c>
      <c r="G196" s="675">
        <f>F196*31.4236</f>
        <v>556444.90634929028</v>
      </c>
      <c r="H196" s="431"/>
      <c r="I196" s="673"/>
      <c r="M196" s="3"/>
      <c r="N196" s="3"/>
      <c r="O196" s="3"/>
      <c r="P196" s="3"/>
      <c r="Q196" s="3"/>
      <c r="R196" s="3"/>
      <c r="S196" s="3"/>
      <c r="T196" s="3"/>
      <c r="U196" s="3"/>
      <c r="V196" s="3"/>
    </row>
    <row r="197" spans="1:22" s="230" customFormat="1" ht="15.75" thickBot="1" x14ac:dyDescent="0.3">
      <c r="A197" s="75" t="s">
        <v>744</v>
      </c>
      <c r="B197" s="446" t="s">
        <v>897</v>
      </c>
      <c r="C197" s="446" t="s">
        <v>897</v>
      </c>
      <c r="D197" s="446" t="s">
        <v>897</v>
      </c>
      <c r="E197" s="446" t="s">
        <v>897</v>
      </c>
      <c r="F197" s="671">
        <v>0</v>
      </c>
      <c r="G197" s="676">
        <v>0</v>
      </c>
      <c r="H197" s="670"/>
      <c r="I197" s="677"/>
      <c r="M197" s="3"/>
      <c r="N197" s="3"/>
      <c r="O197" s="3"/>
      <c r="P197" s="3"/>
      <c r="Q197" s="3"/>
      <c r="R197" s="3"/>
      <c r="S197" s="3"/>
      <c r="T197" s="3"/>
      <c r="U197" s="3"/>
      <c r="V197" s="3"/>
    </row>
    <row r="198" spans="1:22" s="230" customFormat="1" ht="15.75" thickBot="1" x14ac:dyDescent="0.3">
      <c r="A198" s="625"/>
      <c r="B198" s="628"/>
      <c r="C198" s="628"/>
      <c r="D198" s="628"/>
      <c r="E198" s="628"/>
      <c r="F198" s="440"/>
      <c r="G198" s="709"/>
      <c r="H198" s="56"/>
      <c r="I198" s="56"/>
      <c r="M198" s="3"/>
      <c r="N198" s="3"/>
      <c r="O198" s="3"/>
      <c r="P198" s="3"/>
      <c r="Q198" s="3"/>
      <c r="R198" s="3"/>
      <c r="S198" s="3"/>
      <c r="T198" s="3"/>
      <c r="U198" s="3"/>
      <c r="V198" s="3"/>
    </row>
    <row r="199" spans="1:22" s="230" customFormat="1" ht="83.25" customHeight="1" thickBot="1" x14ac:dyDescent="0.3">
      <c r="A199" s="2403" t="s">
        <v>990</v>
      </c>
      <c r="B199" s="2404"/>
      <c r="C199" s="2404"/>
      <c r="D199" s="2404"/>
      <c r="E199" s="2404"/>
      <c r="F199" s="2404"/>
      <c r="G199" s="2404"/>
      <c r="H199" s="2404"/>
      <c r="I199" s="2404"/>
      <c r="J199" s="2404"/>
      <c r="K199" s="2404"/>
      <c r="L199" s="2404"/>
      <c r="M199" s="2404"/>
      <c r="N199" s="2405"/>
      <c r="O199" s="121"/>
      <c r="P199" s="121"/>
      <c r="Q199" s="3"/>
      <c r="R199" s="3"/>
      <c r="S199" s="3"/>
      <c r="T199" s="3"/>
      <c r="U199" s="3"/>
      <c r="V199" s="3"/>
    </row>
    <row r="200" spans="1:22" s="230" customFormat="1" ht="33.75" customHeight="1" x14ac:dyDescent="0.25">
      <c r="A200" s="2601" t="s">
        <v>965</v>
      </c>
      <c r="B200" s="2562"/>
      <c r="C200" s="2562"/>
      <c r="D200" s="2562"/>
      <c r="E200" s="2562"/>
      <c r="F200" s="2563"/>
      <c r="G200" s="2601" t="s">
        <v>966</v>
      </c>
      <c r="H200" s="2562"/>
      <c r="I200" s="2562"/>
      <c r="J200" s="2562"/>
      <c r="K200" s="2562"/>
      <c r="L200" s="2562"/>
      <c r="M200" s="2562"/>
      <c r="N200" s="2563"/>
      <c r="Q200" s="3"/>
      <c r="R200" s="3"/>
      <c r="S200" s="3"/>
      <c r="T200" s="3"/>
      <c r="U200" s="3"/>
      <c r="V200" s="3"/>
    </row>
    <row r="201" spans="1:22" s="230" customFormat="1" ht="30" x14ac:dyDescent="0.25">
      <c r="A201" s="866" t="s">
        <v>967</v>
      </c>
      <c r="B201" s="748" t="s">
        <v>0</v>
      </c>
      <c r="C201" s="857" t="s">
        <v>968</v>
      </c>
      <c r="D201" s="857" t="s">
        <v>969</v>
      </c>
      <c r="E201" s="857" t="s">
        <v>970</v>
      </c>
      <c r="F201" s="542" t="s">
        <v>991</v>
      </c>
      <c r="G201" s="866" t="s">
        <v>971</v>
      </c>
      <c r="H201" s="857" t="s">
        <v>972</v>
      </c>
      <c r="I201" s="748" t="s">
        <v>973</v>
      </c>
      <c r="J201" s="748" t="s">
        <v>974</v>
      </c>
      <c r="K201" s="748" t="s">
        <v>975</v>
      </c>
      <c r="L201" s="748" t="s">
        <v>976</v>
      </c>
      <c r="M201" s="748" t="s">
        <v>989</v>
      </c>
      <c r="N201" s="417" t="s">
        <v>992</v>
      </c>
      <c r="Q201" s="3"/>
      <c r="R201" s="3"/>
      <c r="S201" s="3"/>
      <c r="T201" s="3"/>
      <c r="U201" s="3"/>
      <c r="V201" s="3"/>
    </row>
    <row r="202" spans="1:22" s="230" customFormat="1" x14ac:dyDescent="0.25">
      <c r="A202" s="846">
        <v>9</v>
      </c>
      <c r="B202" s="853" t="s">
        <v>977</v>
      </c>
      <c r="C202" s="853">
        <v>460000</v>
      </c>
      <c r="D202" s="848">
        <f>A202*24*30*12</f>
        <v>77760</v>
      </c>
      <c r="E202" s="2545">
        <v>1513.51</v>
      </c>
      <c r="F202" s="2600">
        <f>(-0.00002*(' QUICK OVERVIEW- Inputs&amp;Outputs'!H10)+ 5.2839)*' QUICK OVERVIEW- Inputs&amp;Outputs'!H10</f>
        <v>0</v>
      </c>
      <c r="G202" s="319" t="s">
        <v>978</v>
      </c>
      <c r="H202" s="837">
        <v>74.7</v>
      </c>
      <c r="I202" s="837">
        <f>H202*24*30*12</f>
        <v>645408.00000000012</v>
      </c>
      <c r="J202" s="2558">
        <f>' QUICK OVERVIEW- Inputs&amp;Outputs'!$C$31</f>
        <v>0.1419</v>
      </c>
      <c r="K202" s="228">
        <f>J202*I202</f>
        <v>91583.395200000014</v>
      </c>
      <c r="L202" s="362">
        <f>K202/D202</f>
        <v>1.1777700000000002</v>
      </c>
      <c r="M202" s="2659">
        <f>AVERAGE(L202:L207)</f>
        <v>0.41746502160649751</v>
      </c>
      <c r="N202" s="2600">
        <f>(M202*' QUICK OVERVIEW- Inputs&amp;Outputs'!H10)*31.4236</f>
        <v>0</v>
      </c>
      <c r="Q202" s="3"/>
      <c r="R202" s="3"/>
      <c r="S202" s="3"/>
      <c r="T202" s="3"/>
      <c r="U202" s="3"/>
      <c r="V202" s="3"/>
    </row>
    <row r="203" spans="1:22" s="230" customFormat="1" x14ac:dyDescent="0.25">
      <c r="A203" s="846">
        <v>205</v>
      </c>
      <c r="B203" s="853" t="s">
        <v>979</v>
      </c>
      <c r="C203" s="853">
        <f>(100000+125000)/2</f>
        <v>112500</v>
      </c>
      <c r="D203" s="848">
        <f>A203*0.037*E202*24*30*12/2000</f>
        <v>49593.484872000001</v>
      </c>
      <c r="E203" s="2545"/>
      <c r="F203" s="2527"/>
      <c r="G203" s="319" t="s">
        <v>980</v>
      </c>
      <c r="H203" s="837" t="s">
        <v>981</v>
      </c>
      <c r="I203" s="837" t="s">
        <v>897</v>
      </c>
      <c r="J203" s="2559"/>
      <c r="K203" s="837" t="s">
        <v>897</v>
      </c>
      <c r="L203" s="837" t="s">
        <v>897</v>
      </c>
      <c r="M203" s="2659"/>
      <c r="N203" s="2527"/>
      <c r="Q203" s="3"/>
      <c r="R203" s="3"/>
      <c r="S203" s="3"/>
      <c r="T203" s="3"/>
      <c r="U203" s="3"/>
      <c r="V203" s="3"/>
    </row>
    <row r="204" spans="1:22" s="230" customFormat="1" x14ac:dyDescent="0.25">
      <c r="A204" s="846">
        <v>25</v>
      </c>
      <c r="B204" s="853" t="s">
        <v>977</v>
      </c>
      <c r="C204" s="853">
        <f>(125000+245000)/2</f>
        <v>185000</v>
      </c>
      <c r="D204" s="848">
        <f>A204*24*30*12</f>
        <v>216000</v>
      </c>
      <c r="E204" s="2545"/>
      <c r="F204" s="2527"/>
      <c r="G204" s="319" t="s">
        <v>982</v>
      </c>
      <c r="H204" s="510">
        <f>((25+75)/2)*0.7457</f>
        <v>37.285000000000004</v>
      </c>
      <c r="I204" s="862">
        <f t="shared" ref="I204:I207" si="12">H204*24*30*12</f>
        <v>322142.40000000002</v>
      </c>
      <c r="J204" s="2559"/>
      <c r="K204" s="228">
        <f>J202*I204</f>
        <v>45712.006560000002</v>
      </c>
      <c r="L204" s="362">
        <f>K204/D204</f>
        <v>0.21162966</v>
      </c>
      <c r="M204" s="2659"/>
      <c r="N204" s="2527"/>
      <c r="Q204" s="3"/>
      <c r="R204" s="3"/>
      <c r="S204" s="3"/>
      <c r="T204" s="3"/>
      <c r="U204" s="3"/>
      <c r="V204" s="3"/>
    </row>
    <row r="205" spans="1:22" s="230" customFormat="1" x14ac:dyDescent="0.25">
      <c r="A205" s="846" t="s">
        <v>983</v>
      </c>
      <c r="B205" s="853" t="s">
        <v>984</v>
      </c>
      <c r="C205" s="853">
        <f>(70000+500000)/2</f>
        <v>285000</v>
      </c>
      <c r="D205" s="848">
        <f>28*E202*24*30*12/2000</f>
        <v>183074.16959999999</v>
      </c>
      <c r="E205" s="2545"/>
      <c r="F205" s="2527"/>
      <c r="G205" s="319" t="s">
        <v>897</v>
      </c>
      <c r="H205" s="837" t="s">
        <v>897</v>
      </c>
      <c r="I205" s="837" t="s">
        <v>897</v>
      </c>
      <c r="J205" s="2559"/>
      <c r="K205" s="837" t="s">
        <v>897</v>
      </c>
      <c r="L205" s="837" t="s">
        <v>897</v>
      </c>
      <c r="M205" s="2659"/>
      <c r="N205" s="2527"/>
      <c r="Q205" s="3"/>
      <c r="R205" s="3"/>
      <c r="S205" s="3"/>
      <c r="T205" s="3"/>
      <c r="U205" s="3"/>
      <c r="V205" s="3"/>
    </row>
    <row r="206" spans="1:22" s="230" customFormat="1" x14ac:dyDescent="0.25">
      <c r="A206" s="846" t="s">
        <v>985</v>
      </c>
      <c r="B206" s="853" t="s">
        <v>984</v>
      </c>
      <c r="C206" s="853">
        <f>(70000+500000)/2</f>
        <v>285000</v>
      </c>
      <c r="D206" s="848">
        <f>30*E202*24*30*12/2000</f>
        <v>196150.89600000007</v>
      </c>
      <c r="E206" s="2545"/>
      <c r="F206" s="2527"/>
      <c r="G206" s="319" t="s">
        <v>986</v>
      </c>
      <c r="H206" s="510">
        <f>30*0.7457</f>
        <v>22.371000000000002</v>
      </c>
      <c r="I206" s="862">
        <f t="shared" si="12"/>
        <v>193285.44</v>
      </c>
      <c r="J206" s="2559"/>
      <c r="K206" s="228">
        <f>J202*I206</f>
        <v>27427.203936000002</v>
      </c>
      <c r="L206" s="362">
        <f>K206/D206</f>
        <v>0.1398270642413991</v>
      </c>
      <c r="M206" s="2659"/>
      <c r="N206" s="2527"/>
      <c r="Q206" s="3"/>
      <c r="R206" s="3"/>
      <c r="S206" s="3"/>
      <c r="T206" s="3"/>
      <c r="U206" s="3"/>
      <c r="V206" s="3"/>
    </row>
    <row r="207" spans="1:22" s="230" customFormat="1" ht="15.75" thickBot="1" x14ac:dyDescent="0.3">
      <c r="A207" s="847" t="s">
        <v>987</v>
      </c>
      <c r="B207" s="849" t="s">
        <v>984</v>
      </c>
      <c r="C207" s="849">
        <f>(70000+500000)/2</f>
        <v>285000</v>
      </c>
      <c r="D207" s="869">
        <f>10*E202*24*30*12/2000</f>
        <v>65383.631999999998</v>
      </c>
      <c r="E207" s="2546"/>
      <c r="F207" s="2528"/>
      <c r="G207" s="865" t="s">
        <v>988</v>
      </c>
      <c r="H207" s="864">
        <v>7.5</v>
      </c>
      <c r="I207" s="864">
        <f t="shared" si="12"/>
        <v>64800</v>
      </c>
      <c r="J207" s="2560"/>
      <c r="K207" s="156">
        <f>J202*I207</f>
        <v>9195.1200000000008</v>
      </c>
      <c r="L207" s="551">
        <f>K207/D207</f>
        <v>0.1406333621845908</v>
      </c>
      <c r="M207" s="2660"/>
      <c r="N207" s="2528"/>
      <c r="Q207" s="3"/>
      <c r="R207" s="3"/>
      <c r="S207" s="3"/>
      <c r="T207" s="3"/>
      <c r="U207" s="3"/>
      <c r="V207" s="3"/>
    </row>
    <row r="208" spans="1:22" s="230" customFormat="1" ht="15.75" thickBot="1" x14ac:dyDescent="0.3">
      <c r="A208"/>
      <c r="B208"/>
      <c r="C208"/>
      <c r="D208"/>
      <c r="E208"/>
      <c r="F208"/>
      <c r="G208"/>
      <c r="H208"/>
      <c r="I208"/>
      <c r="J208"/>
      <c r="K208"/>
      <c r="L208"/>
      <c r="M208"/>
      <c r="N208"/>
      <c r="O208"/>
      <c r="P208"/>
      <c r="Q208" s="3"/>
      <c r="R208" s="3"/>
      <c r="S208" s="3"/>
      <c r="T208" s="3"/>
      <c r="U208" s="3"/>
      <c r="V208" s="3"/>
    </row>
    <row r="209" spans="1:9" ht="46.5" customHeight="1" thickBot="1" x14ac:dyDescent="0.3">
      <c r="A209" s="2639" t="s">
        <v>994</v>
      </c>
      <c r="B209" s="2640"/>
      <c r="C209" s="2641"/>
    </row>
    <row r="210" spans="1:9" x14ac:dyDescent="0.25">
      <c r="A210" s="640" t="s">
        <v>286</v>
      </c>
      <c r="B210" s="1032" t="s">
        <v>539</v>
      </c>
      <c r="C210" s="710" t="s">
        <v>703</v>
      </c>
    </row>
    <row r="211" spans="1:9" x14ac:dyDescent="0.25">
      <c r="A211" s="1587" t="s">
        <v>509</v>
      </c>
      <c r="B211" s="333">
        <v>0</v>
      </c>
      <c r="C211" s="711">
        <v>0</v>
      </c>
      <c r="I211" s="230"/>
    </row>
    <row r="212" spans="1:9" x14ac:dyDescent="0.25">
      <c r="A212" s="1587" t="s">
        <v>1000</v>
      </c>
      <c r="B212" s="381">
        <f>'Cost-Benefit Tab_Digester'!$D$58</f>
        <v>6066696.9999999991</v>
      </c>
      <c r="C212" s="712">
        <f>'Cost-Benefit Tab_Digester'!$N$58</f>
        <v>2179694.138422667</v>
      </c>
      <c r="I212" s="230"/>
    </row>
    <row r="213" spans="1:9" x14ac:dyDescent="0.25">
      <c r="A213" s="1587" t="s">
        <v>864</v>
      </c>
      <c r="B213" s="333">
        <f>'Cost-Benefit Tab_Digester'!$I$190</f>
        <v>68949.663119999997</v>
      </c>
      <c r="C213" s="1404"/>
      <c r="I213" s="230"/>
    </row>
    <row r="214" spans="1:9" x14ac:dyDescent="0.25">
      <c r="A214" s="1587" t="s">
        <v>1001</v>
      </c>
      <c r="B214" s="333">
        <f>B212+B213</f>
        <v>6135646.6631199988</v>
      </c>
      <c r="C214" s="1403">
        <f>C212+C213</f>
        <v>2179694.138422667</v>
      </c>
      <c r="I214" s="230"/>
    </row>
    <row r="215" spans="1:9" s="230" customFormat="1" x14ac:dyDescent="0.25">
      <c r="A215" s="945" t="s">
        <v>898</v>
      </c>
      <c r="B215" s="381">
        <f>$G$196</f>
        <v>556444.90634929028</v>
      </c>
      <c r="C215" s="1405"/>
    </row>
    <row r="216" spans="1:9" x14ac:dyDescent="0.25">
      <c r="A216" s="319" t="s">
        <v>1002</v>
      </c>
      <c r="B216" s="381">
        <f>B212+B213+B215</f>
        <v>6692091.5694692889</v>
      </c>
      <c r="C216" s="712">
        <f>C212+C213+C215</f>
        <v>2179694.138422667</v>
      </c>
    </row>
    <row r="217" spans="1:9" s="230" customFormat="1" x14ac:dyDescent="0.25">
      <c r="A217" s="945" t="s">
        <v>1003</v>
      </c>
      <c r="B217" s="381">
        <f>$F$202</f>
        <v>0</v>
      </c>
      <c r="C217" s="712">
        <f>$N$202</f>
        <v>0</v>
      </c>
    </row>
    <row r="218" spans="1:9" s="230" customFormat="1" x14ac:dyDescent="0.25">
      <c r="A218" s="945" t="s">
        <v>1004</v>
      </c>
      <c r="B218" s="381">
        <f>B217+B212</f>
        <v>6066696.9999999991</v>
      </c>
      <c r="C218" s="712">
        <f>C217+C212</f>
        <v>2179694.138422667</v>
      </c>
    </row>
    <row r="219" spans="1:9" s="230" customFormat="1" x14ac:dyDescent="0.25">
      <c r="A219" s="945" t="s">
        <v>1005</v>
      </c>
      <c r="B219" s="381">
        <f>B217+B212+B215</f>
        <v>6623141.9063492892</v>
      </c>
      <c r="C219" s="712">
        <f>C217+C212+C215</f>
        <v>2179694.138422667</v>
      </c>
      <c r="D219" s="528"/>
      <c r="E219" s="528"/>
      <c r="F219" s="528"/>
    </row>
    <row r="220" spans="1:9" s="230" customFormat="1" ht="15.75" thickBot="1" x14ac:dyDescent="0.3">
      <c r="A220" s="946" t="s">
        <v>1236</v>
      </c>
      <c r="B220" s="713">
        <f>B215+B216</f>
        <v>7248536.4758185791</v>
      </c>
      <c r="C220" s="1590">
        <f>C215+C216</f>
        <v>2179694.138422667</v>
      </c>
    </row>
    <row r="221" spans="1:9" ht="15.75" thickBot="1" x14ac:dyDescent="0.3"/>
    <row r="222" spans="1:9" s="100" customFormat="1" ht="27.75" customHeight="1" x14ac:dyDescent="0.25">
      <c r="A222" s="1588" t="s">
        <v>1759</v>
      </c>
      <c r="B222" s="1036" t="s">
        <v>1279</v>
      </c>
    </row>
    <row r="223" spans="1:9" s="100" customFormat="1" x14ac:dyDescent="0.25">
      <c r="A223" s="945" t="s">
        <v>900</v>
      </c>
      <c r="B223" s="948">
        <f>$I$92</f>
        <v>152564499.891619</v>
      </c>
    </row>
    <row r="224" spans="1:9" s="100" customFormat="1" ht="15.75" thickBot="1" x14ac:dyDescent="0.3">
      <c r="A224" s="946" t="s">
        <v>901</v>
      </c>
      <c r="B224" s="947">
        <v>0</v>
      </c>
    </row>
    <row r="225" spans="1:2" ht="15.75" thickBot="1" x14ac:dyDescent="0.3"/>
    <row r="226" spans="1:2" ht="57" thickBot="1" x14ac:dyDescent="0.35">
      <c r="A226" s="930" t="s">
        <v>538</v>
      </c>
      <c r="B226" s="931" t="s">
        <v>537</v>
      </c>
    </row>
    <row r="227" spans="1:2" ht="18.75" x14ac:dyDescent="0.25">
      <c r="A227" s="913" t="s">
        <v>1265</v>
      </c>
      <c r="B227" s="920" t="e">
        <f t="shared" ref="B227:B232" si="13">D28</f>
        <v>#DIV/0!</v>
      </c>
    </row>
    <row r="228" spans="1:2" ht="19.5" thickBot="1" x14ac:dyDescent="0.3">
      <c r="A228" s="914" t="s">
        <v>1266</v>
      </c>
      <c r="B228" s="921" t="e">
        <f t="shared" si="13"/>
        <v>#DIV/0!</v>
      </c>
    </row>
    <row r="229" spans="1:2" ht="18.75" x14ac:dyDescent="0.25">
      <c r="A229" s="914" t="s">
        <v>1760</v>
      </c>
      <c r="B229" s="921" t="e">
        <f t="shared" si="13"/>
        <v>#DIV/0!</v>
      </c>
    </row>
    <row r="230" spans="1:2" ht="18.75" x14ac:dyDescent="0.25">
      <c r="A230" s="922" t="s">
        <v>1271</v>
      </c>
      <c r="B230" s="921" t="e">
        <f t="shared" si="13"/>
        <v>#DIV/0!</v>
      </c>
    </row>
    <row r="231" spans="1:2" ht="18.75" x14ac:dyDescent="0.25">
      <c r="A231" s="922" t="s">
        <v>1274</v>
      </c>
      <c r="B231" s="921" t="e">
        <f t="shared" si="13"/>
        <v>#DIV/0!</v>
      </c>
    </row>
    <row r="232" spans="1:2" ht="19.5" thickBot="1" x14ac:dyDescent="0.3">
      <c r="A232" s="915" t="s">
        <v>1262</v>
      </c>
      <c r="B232" s="923" t="e">
        <f t="shared" si="13"/>
        <v>#DIV/0!</v>
      </c>
    </row>
    <row r="233" spans="1:2" ht="18.75" x14ac:dyDescent="0.3">
      <c r="A233" s="924" t="s">
        <v>1267</v>
      </c>
      <c r="B233" s="925" t="e">
        <f>'Cost-Benefit Tab_Landfill'!D29</f>
        <v>#DIV/0!</v>
      </c>
    </row>
    <row r="234" spans="1:2" ht="18.75" x14ac:dyDescent="0.3">
      <c r="A234" s="926" t="s">
        <v>1268</v>
      </c>
      <c r="B234" s="927" t="e">
        <f>'Cost-Benefit Tab_Landfill'!D30</f>
        <v>#DIV/0!</v>
      </c>
    </row>
    <row r="235" spans="1:2" ht="18.75" x14ac:dyDescent="0.3">
      <c r="A235" s="926" t="s">
        <v>1761</v>
      </c>
      <c r="B235" s="927" t="e">
        <f>'Cost-Benefit Tab_Landfill'!D31</f>
        <v>#DIV/0!</v>
      </c>
    </row>
    <row r="236" spans="1:2" ht="18.75" x14ac:dyDescent="0.3">
      <c r="A236" s="926" t="s">
        <v>1272</v>
      </c>
      <c r="B236" s="927" t="e">
        <f>'Cost-Benefit Tab_Landfill'!D32</f>
        <v>#DIV/0!</v>
      </c>
    </row>
    <row r="237" spans="1:2" ht="18.75" x14ac:dyDescent="0.3">
      <c r="A237" s="926" t="s">
        <v>1275</v>
      </c>
      <c r="B237" s="927" t="e">
        <f>'Cost-Benefit Tab_Landfill'!D33</f>
        <v>#DIV/0!</v>
      </c>
    </row>
    <row r="238" spans="1:2" ht="19.5" thickBot="1" x14ac:dyDescent="0.35">
      <c r="A238" s="928" t="s">
        <v>1263</v>
      </c>
      <c r="B238" s="929" t="e">
        <f>'Cost-Benefit Tab_Landfill'!D34</f>
        <v>#DIV/0!</v>
      </c>
    </row>
    <row r="239" spans="1:2" ht="18.75" x14ac:dyDescent="0.3">
      <c r="A239" s="924" t="s">
        <v>1269</v>
      </c>
      <c r="B239" s="925" t="e">
        <f>'Cost-Benefit Tab_Composting'!B14</f>
        <v>#DIV/0!</v>
      </c>
    </row>
    <row r="240" spans="1:2" ht="18.75" x14ac:dyDescent="0.3">
      <c r="A240" s="926" t="s">
        <v>1270</v>
      </c>
      <c r="B240" s="927" t="e">
        <f>'Cost-Benefit Tab_Composting'!B15</f>
        <v>#DIV/0!</v>
      </c>
    </row>
    <row r="241" spans="1:12" ht="18.75" x14ac:dyDescent="0.3">
      <c r="A241" s="926" t="s">
        <v>1762</v>
      </c>
      <c r="B241" s="927" t="e">
        <f>'Cost-Benefit Tab_Composting'!B16</f>
        <v>#DIV/0!</v>
      </c>
    </row>
    <row r="242" spans="1:12" ht="18.75" x14ac:dyDescent="0.3">
      <c r="A242" s="926" t="s">
        <v>1273</v>
      </c>
      <c r="B242" s="927" t="e">
        <f>'Cost-Benefit Tab_Composting'!B17</f>
        <v>#DIV/0!</v>
      </c>
    </row>
    <row r="243" spans="1:12" ht="18.75" x14ac:dyDescent="0.3">
      <c r="A243" s="926" t="s">
        <v>1276</v>
      </c>
      <c r="B243" s="927" t="e">
        <f>'Cost-Benefit Tab_Composting'!B18</f>
        <v>#DIV/0!</v>
      </c>
    </row>
    <row r="244" spans="1:12" ht="19.5" thickBot="1" x14ac:dyDescent="0.35">
      <c r="A244" s="928" t="s">
        <v>1553</v>
      </c>
      <c r="B244" s="929" t="e">
        <f>'Cost-Benefit Tab_Composting'!B19</f>
        <v>#DIV/0!</v>
      </c>
    </row>
    <row r="245" spans="1:12" ht="15.75" thickBot="1" x14ac:dyDescent="0.3">
      <c r="B245" s="917"/>
    </row>
    <row r="246" spans="1:12" ht="52.5" customHeight="1" thickBot="1" x14ac:dyDescent="0.3">
      <c r="A246" s="2539" t="s">
        <v>1289</v>
      </c>
      <c r="B246" s="2540"/>
      <c r="C246" s="2540"/>
      <c r="D246" s="2540"/>
      <c r="E246" s="2540"/>
      <c r="F246" s="2540"/>
      <c r="G246" s="2540"/>
      <c r="H246" s="2540"/>
      <c r="I246" s="2540"/>
      <c r="J246" s="2541"/>
      <c r="K246" s="121"/>
      <c r="L246" s="121"/>
    </row>
    <row r="247" spans="1:12" ht="21.75" thickBot="1" x14ac:dyDescent="0.3">
      <c r="A247" s="59"/>
      <c r="B247" s="59"/>
      <c r="C247" s="59"/>
      <c r="D247" s="59"/>
      <c r="E247" s="230"/>
      <c r="F247" s="230"/>
      <c r="G247" s="121"/>
      <c r="H247" s="121"/>
      <c r="I247" s="230"/>
      <c r="J247" s="230"/>
      <c r="K247" s="230"/>
      <c r="L247" s="230"/>
    </row>
    <row r="248" spans="1:12" ht="42.75" customHeight="1" thickBot="1" x14ac:dyDescent="0.3">
      <c r="A248" s="2536" t="s">
        <v>1290</v>
      </c>
      <c r="B248" s="2537"/>
      <c r="C248" s="2537"/>
      <c r="D248" s="2537"/>
      <c r="E248" s="2537"/>
      <c r="F248" s="2537"/>
      <c r="G248" s="2537"/>
      <c r="H248" s="2537"/>
      <c r="I248" s="2537"/>
      <c r="J248" s="2538"/>
      <c r="K248" s="121"/>
      <c r="L248" s="121"/>
    </row>
    <row r="249" spans="1:12" ht="32.25" thickBot="1" x14ac:dyDescent="0.3">
      <c r="A249" s="954" t="s">
        <v>28</v>
      </c>
      <c r="B249" s="955" t="s">
        <v>343</v>
      </c>
      <c r="C249" s="955" t="s">
        <v>122</v>
      </c>
      <c r="D249" s="955" t="s">
        <v>201</v>
      </c>
      <c r="E249" s="975" t="s">
        <v>345</v>
      </c>
      <c r="F249" s="977" t="s">
        <v>122</v>
      </c>
      <c r="G249" s="977" t="s">
        <v>386</v>
      </c>
      <c r="H249" s="982" t="s">
        <v>918</v>
      </c>
      <c r="I249" s="955" t="s">
        <v>386</v>
      </c>
      <c r="J249" s="983" t="s">
        <v>261</v>
      </c>
      <c r="K249" s="20"/>
      <c r="L249" s="951"/>
    </row>
    <row r="250" spans="1:12" ht="16.5" thickBot="1" x14ac:dyDescent="0.3">
      <c r="A250" s="956">
        <v>1</v>
      </c>
      <c r="B250" s="820" t="s">
        <v>378</v>
      </c>
      <c r="C250" s="822">
        <f>((' QUICK OVERVIEW- Inputs&amp;Outputs'!W14)*0.01)</f>
        <v>25814.000008966312</v>
      </c>
      <c r="D250" s="822">
        <f>C250*31.4236</f>
        <v>811168.81068175379</v>
      </c>
      <c r="E250" s="620" t="s">
        <v>344</v>
      </c>
      <c r="F250" s="976">
        <f>(' QUICK OVERVIEW- Inputs&amp;Outputs'!W14)*((' QUICK OVERVIEW- Inputs&amp;Outputs'!C31)+(0.15))</f>
        <v>753510.66026172671</v>
      </c>
      <c r="G250" s="976">
        <f>F250*31.4236</f>
        <v>23678017.583800394</v>
      </c>
      <c r="H250" s="620">
        <v>1.2999999999999999E-2</v>
      </c>
      <c r="I250" s="822">
        <f>((' QUICK OVERVIEW- Inputs&amp;Outputs'!W14)*H250)*31.4236*0.5</f>
        <v>527259.72694313992</v>
      </c>
      <c r="J250" s="825">
        <f>D250+G250+I250</f>
        <v>25016446.121425286</v>
      </c>
      <c r="K250" s="286"/>
      <c r="L250" s="957"/>
    </row>
    <row r="251" spans="1:12" ht="15.75" thickBot="1" x14ac:dyDescent="0.3"/>
    <row r="252" spans="1:12" ht="49.5" customHeight="1" thickBot="1" x14ac:dyDescent="0.3">
      <c r="A252" s="2539" t="s">
        <v>1763</v>
      </c>
      <c r="B252" s="2540"/>
      <c r="C252" s="2540"/>
      <c r="D252" s="2540"/>
      <c r="E252" s="2540"/>
      <c r="F252" s="2540"/>
      <c r="G252" s="2540"/>
      <c r="H252" s="2537"/>
      <c r="I252" s="2537"/>
      <c r="J252" s="2538"/>
    </row>
    <row r="253" spans="1:12" ht="15.75" x14ac:dyDescent="0.25">
      <c r="A253" s="162" t="s">
        <v>28</v>
      </c>
      <c r="B253" s="134" t="s">
        <v>1237</v>
      </c>
      <c r="C253" s="134" t="s">
        <v>122</v>
      </c>
      <c r="D253" s="980" t="s">
        <v>201</v>
      </c>
      <c r="E253" s="640" t="s">
        <v>349</v>
      </c>
      <c r="F253" s="958" t="s">
        <v>350</v>
      </c>
      <c r="G253" s="959" t="s">
        <v>386</v>
      </c>
      <c r="H253" s="567" t="s">
        <v>1291</v>
      </c>
      <c r="I253" s="958" t="s">
        <v>386</v>
      </c>
      <c r="J253" s="959" t="s">
        <v>346</v>
      </c>
    </row>
    <row r="254" spans="1:12" ht="15.75" thickBot="1" x14ac:dyDescent="0.3">
      <c r="A254" s="953">
        <v>1</v>
      </c>
      <c r="B254" s="55" t="s">
        <v>1764</v>
      </c>
      <c r="C254" s="104">
        <f>(' QUICK OVERVIEW- Inputs&amp;Outputs'!W10)*365/(0.3048^3)/100*0.877*2</f>
        <v>855447.1945602718</v>
      </c>
      <c r="D254" s="981">
        <f>C254*31.4236</f>
        <v>26881230.462984156</v>
      </c>
      <c r="E254" s="960" t="s">
        <v>379</v>
      </c>
      <c r="F254" s="156">
        <f>((' QUICK OVERVIEW- Inputs&amp;Outputs'!W12)/77000)*1.5</f>
        <v>586595.85767960746</v>
      </c>
      <c r="G254" s="102">
        <f>F254*31.4236</f>
        <v>18432953.593380913</v>
      </c>
      <c r="H254" s="960">
        <f>0.5</f>
        <v>0.5</v>
      </c>
      <c r="I254" s="156">
        <f>((' QUICK OVERVIEW- Inputs&amp;Outputs'!W10)*365*H254*264)*31.4236</f>
        <v>5728466457.1058502</v>
      </c>
      <c r="J254" s="102">
        <f>G254+D254+I254</f>
        <v>5773780641.1622152</v>
      </c>
    </row>
    <row r="255" spans="1:12" ht="15.75" thickBot="1" x14ac:dyDescent="0.3"/>
    <row r="256" spans="1:12" ht="51" customHeight="1" thickBot="1" x14ac:dyDescent="0.3">
      <c r="A256" s="2542" t="s">
        <v>1238</v>
      </c>
      <c r="B256" s="2543"/>
      <c r="C256" s="2544"/>
      <c r="D256" s="984"/>
      <c r="E256" s="984"/>
      <c r="F256" s="984"/>
    </row>
    <row r="257" spans="1:6" ht="30" x14ac:dyDescent="0.25">
      <c r="A257" s="1695" t="s">
        <v>28</v>
      </c>
      <c r="B257" s="1692" t="s">
        <v>349</v>
      </c>
      <c r="C257" s="1697" t="s">
        <v>358</v>
      </c>
      <c r="D257" s="98"/>
      <c r="E257" s="952"/>
      <c r="F257" s="952"/>
    </row>
    <row r="258" spans="1:6" x14ac:dyDescent="0.25">
      <c r="A258" s="435" t="s">
        <v>1305</v>
      </c>
      <c r="B258" s="1698" t="s">
        <v>919</v>
      </c>
      <c r="C258" s="1696">
        <f>J250</f>
        <v>25016446.121425286</v>
      </c>
      <c r="D258" s="985"/>
      <c r="E258" s="986"/>
      <c r="F258" s="986"/>
    </row>
    <row r="259" spans="1:6" ht="15.75" thickBot="1" x14ac:dyDescent="0.3">
      <c r="A259" s="1722" t="s">
        <v>1765</v>
      </c>
      <c r="B259" s="108" t="s">
        <v>1766</v>
      </c>
      <c r="C259" s="829">
        <f>J254</f>
        <v>5773780641.1622152</v>
      </c>
    </row>
    <row r="260" spans="1:6" ht="15.75" thickBot="1" x14ac:dyDescent="0.3"/>
    <row r="261" spans="1:6" ht="62.25" customHeight="1" thickBot="1" x14ac:dyDescent="0.3">
      <c r="A261" s="2519" t="s">
        <v>1560</v>
      </c>
      <c r="B261" s="2520"/>
      <c r="C261" s="2520"/>
      <c r="D261" s="2521"/>
    </row>
    <row r="262" spans="1:6" x14ac:dyDescent="0.25">
      <c r="A262" s="640" t="s">
        <v>1545</v>
      </c>
      <c r="B262" s="1031" t="s">
        <v>1544</v>
      </c>
      <c r="C262" s="1031" t="s">
        <v>1546</v>
      </c>
      <c r="D262" s="1575" t="s">
        <v>1547</v>
      </c>
    </row>
    <row r="263" spans="1:6" ht="15.75" thickBot="1" x14ac:dyDescent="0.3">
      <c r="A263" s="960">
        <v>7.48</v>
      </c>
      <c r="B263" s="972">
        <f>('Digester Methane Calculation'!E76)</f>
        <v>3783.6908164383563</v>
      </c>
      <c r="C263" s="156">
        <f>(A263/1000)*35.31*B263*365</f>
        <v>364760.51547318249</v>
      </c>
      <c r="D263" s="102">
        <f>C263*31.4236</f>
        <v>11462088.534023097</v>
      </c>
    </row>
    <row r="264" spans="1:6" s="230" customFormat="1" ht="15.75" thickBot="1" x14ac:dyDescent="0.3">
      <c r="A264" s="2477"/>
      <c r="B264" s="2554"/>
      <c r="C264" s="1694"/>
      <c r="D264" s="1694"/>
    </row>
    <row r="265" spans="1:6" ht="30.75" customHeight="1" thickBot="1" x14ac:dyDescent="0.3">
      <c r="A265" s="2517" t="s">
        <v>1624</v>
      </c>
      <c r="B265" s="2518"/>
    </row>
    <row r="266" spans="1:6" x14ac:dyDescent="0.25">
      <c r="A266" s="361" t="s">
        <v>1868</v>
      </c>
      <c r="B266" s="2017" t="e">
        <f>' QUICK OVERVIEW- Inputs&amp;Outputs'!$H$62+' QUICK OVERVIEW- Inputs&amp;Outputs'!K62</f>
        <v>#DIV/0!</v>
      </c>
    </row>
    <row r="267" spans="1:6" x14ac:dyDescent="0.25">
      <c r="A267" s="319" t="s">
        <v>1869</v>
      </c>
      <c r="B267" s="1887" t="e">
        <f>' QUICK OVERVIEW- Inputs&amp;Outputs'!$H$63+' QUICK OVERVIEW- Inputs&amp;Outputs'!K62</f>
        <v>#DIV/0!</v>
      </c>
    </row>
    <row r="268" spans="1:6" s="230" customFormat="1" x14ac:dyDescent="0.25">
      <c r="A268" s="319" t="s">
        <v>1795</v>
      </c>
      <c r="B268" s="1887" t="e">
        <f>' QUICK OVERVIEW- Inputs&amp;Outputs'!$H$64+' QUICK OVERVIEW- Inputs&amp;Outputs'!K64</f>
        <v>#DIV/0!</v>
      </c>
    </row>
    <row r="269" spans="1:6" x14ac:dyDescent="0.25">
      <c r="A269" s="319" t="s">
        <v>1870</v>
      </c>
      <c r="B269" s="1886" t="e">
        <f>' QUICK OVERVIEW- Inputs&amp;Outputs'!H65+' QUICK OVERVIEW- Inputs&amp;Outputs'!K65</f>
        <v>#DIV/0!</v>
      </c>
    </row>
    <row r="270" spans="1:6" x14ac:dyDescent="0.25">
      <c r="A270" s="319" t="s">
        <v>1871</v>
      </c>
      <c r="B270" s="1886" t="e">
        <f>' QUICK OVERVIEW- Inputs&amp;Outputs'!H66+' QUICK OVERVIEW- Inputs&amp;Outputs'!K65</f>
        <v>#DIV/0!</v>
      </c>
    </row>
    <row r="271" spans="1:6" ht="15.75" thickBot="1" x14ac:dyDescent="0.3">
      <c r="A271" s="960" t="s">
        <v>1847</v>
      </c>
      <c r="B271" s="1888" t="e">
        <f>' QUICK OVERVIEW- Inputs&amp;Outputs'!$H$67+' QUICK OVERVIEW- Inputs&amp;Outputs'!K66</f>
        <v>#DIV/0!</v>
      </c>
    </row>
    <row r="273" spans="2:2" x14ac:dyDescent="0.25">
      <c r="B273" s="230"/>
    </row>
  </sheetData>
  <mergeCells count="122">
    <mergeCell ref="A150:G150"/>
    <mergeCell ref="E152:E154"/>
    <mergeCell ref="G152:G154"/>
    <mergeCell ref="A90:I90"/>
    <mergeCell ref="AB112:AB115"/>
    <mergeCell ref="B109:D109"/>
    <mergeCell ref="A110:A115"/>
    <mergeCell ref="H116:H118"/>
    <mergeCell ref="A209:C209"/>
    <mergeCell ref="A128:E128"/>
    <mergeCell ref="A188:I188"/>
    <mergeCell ref="A194:I194"/>
    <mergeCell ref="G119:L119"/>
    <mergeCell ref="I116:I118"/>
    <mergeCell ref="J116:J118"/>
    <mergeCell ref="K116:K118"/>
    <mergeCell ref="A117:E118"/>
    <mergeCell ref="L116:L118"/>
    <mergeCell ref="M116:M118"/>
    <mergeCell ref="D152:D153"/>
    <mergeCell ref="A133:G133"/>
    <mergeCell ref="G116:G118"/>
    <mergeCell ref="M202:M207"/>
    <mergeCell ref="F202:F207"/>
    <mergeCell ref="N202:N207"/>
    <mergeCell ref="A200:F200"/>
    <mergeCell ref="G200:N200"/>
    <mergeCell ref="O1:W1"/>
    <mergeCell ref="H8:H9"/>
    <mergeCell ref="A5:A7"/>
    <mergeCell ref="B5:B7"/>
    <mergeCell ref="G10:G11"/>
    <mergeCell ref="O2:W2"/>
    <mergeCell ref="C5:C7"/>
    <mergeCell ref="D5:D7"/>
    <mergeCell ref="E5:E7"/>
    <mergeCell ref="F5:F7"/>
    <mergeCell ref="G5:G7"/>
    <mergeCell ref="H5:H7"/>
    <mergeCell ref="I6:I7"/>
    <mergeCell ref="I8:I9"/>
    <mergeCell ref="V6:V8"/>
    <mergeCell ref="W6:W8"/>
    <mergeCell ref="A1:I1"/>
    <mergeCell ref="H10:H11"/>
    <mergeCell ref="G8:G9"/>
    <mergeCell ref="A8:A9"/>
    <mergeCell ref="M6:M8"/>
    <mergeCell ref="AO53:AR53"/>
    <mergeCell ref="AG53:AI53"/>
    <mergeCell ref="AK53:AL53"/>
    <mergeCell ref="AM53:AN53"/>
    <mergeCell ref="X23:X24"/>
    <mergeCell ref="X13:X14"/>
    <mergeCell ref="X15:X16"/>
    <mergeCell ref="X17:X18"/>
    <mergeCell ref="Q21:Q24"/>
    <mergeCell ref="X19:X20"/>
    <mergeCell ref="X21:X22"/>
    <mergeCell ref="M53:Q53"/>
    <mergeCell ref="Q17:Q20"/>
    <mergeCell ref="M43:P43"/>
    <mergeCell ref="A3:H3"/>
    <mergeCell ref="A4:H4"/>
    <mergeCell ref="U6:U8"/>
    <mergeCell ref="G15:G16"/>
    <mergeCell ref="H15:H16"/>
    <mergeCell ref="H17:H18"/>
    <mergeCell ref="G17:G18"/>
    <mergeCell ref="M4:Z4"/>
    <mergeCell ref="I17:I18"/>
    <mergeCell ref="M3:Z3"/>
    <mergeCell ref="T6:T8"/>
    <mergeCell ref="N6:N8"/>
    <mergeCell ref="I21:I22"/>
    <mergeCell ref="I23:I24"/>
    <mergeCell ref="A43:J43"/>
    <mergeCell ref="B53:E53"/>
    <mergeCell ref="A26:D26"/>
    <mergeCell ref="A47:D47"/>
    <mergeCell ref="B44:E44"/>
    <mergeCell ref="A264:B264"/>
    <mergeCell ref="O6:O8"/>
    <mergeCell ref="J202:J207"/>
    <mergeCell ref="A199:N199"/>
    <mergeCell ref="A54:F56"/>
    <mergeCell ref="D57:F57"/>
    <mergeCell ref="M71:N71"/>
    <mergeCell ref="A107:L107"/>
    <mergeCell ref="A105:H105"/>
    <mergeCell ref="A108:H108"/>
    <mergeCell ref="A67:H67"/>
    <mergeCell ref="A71:H71"/>
    <mergeCell ref="A60:I60"/>
    <mergeCell ref="M54:N56"/>
    <mergeCell ref="M60:P60"/>
    <mergeCell ref="M67:O67"/>
    <mergeCell ref="D58:F58"/>
    <mergeCell ref="A265:B265"/>
    <mergeCell ref="A261:D261"/>
    <mergeCell ref="G21:G22"/>
    <mergeCell ref="G23:G24"/>
    <mergeCell ref="A10:A11"/>
    <mergeCell ref="H23:H24"/>
    <mergeCell ref="G19:G20"/>
    <mergeCell ref="G13:G14"/>
    <mergeCell ref="H13:H14"/>
    <mergeCell ref="H19:H20"/>
    <mergeCell ref="B45:E45"/>
    <mergeCell ref="C157:E157"/>
    <mergeCell ref="A156:H156"/>
    <mergeCell ref="F157:H157"/>
    <mergeCell ref="A248:J248"/>
    <mergeCell ref="A246:J246"/>
    <mergeCell ref="A252:J252"/>
    <mergeCell ref="A256:C256"/>
    <mergeCell ref="E202:E207"/>
    <mergeCell ref="I13:I14"/>
    <mergeCell ref="I15:I16"/>
    <mergeCell ref="H21:H22"/>
    <mergeCell ref="A75:E75"/>
    <mergeCell ref="I19:I20"/>
  </mergeCells>
  <phoneticPr fontId="3" type="noConversion"/>
  <dataValidations xWindow="589" yWindow="533" count="2">
    <dataValidation allowBlank="1" showInputMessage="1" showErrorMessage="1" promptTitle="COST considered" prompt="The replacement cost:_x000a_1. Turbine-Generator set (25 years)_x000a_2. Engine-Generator Set (25 years)_x000a_" sqref="G61 I61" xr:uid="{6E75455B-36FF-4098-AC2F-B8770DDD1D11}"/>
    <dataValidation type="list" allowBlank="1" showInputMessage="1" showErrorMessage="1" sqref="Q45" xr:uid="{C335C820-E384-4DB6-AC27-6CFFAB2ED249}">
      <formula1>DDC</formula1>
    </dataValidation>
  </dataValidations>
  <pageMargins left="0.7" right="0.7" top="0.75" bottom="0.75" header="0.3" footer="0.3"/>
  <pageSetup orientation="portrait" horizontalDpi="300" verticalDpi="30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5CF77E-C368-4716-9AF4-20777C556D26}">
  <dimension ref="A1:AC61"/>
  <sheetViews>
    <sheetView topLeftCell="O5" zoomScale="95" zoomScaleNormal="95" workbookViewId="0">
      <selection activeCell="W12" sqref="W12"/>
    </sheetView>
  </sheetViews>
  <sheetFormatPr defaultRowHeight="15" x14ac:dyDescent="0.25"/>
  <cols>
    <col min="1" max="1" width="60" customWidth="1"/>
    <col min="2" max="2" width="84.85546875" customWidth="1"/>
    <col min="3" max="3" width="47.7109375" customWidth="1"/>
    <col min="4" max="4" width="55.140625" customWidth="1"/>
    <col min="5" max="5" width="34.5703125" customWidth="1"/>
    <col min="6" max="6" width="66.7109375" customWidth="1"/>
    <col min="7" max="7" width="74.28515625" customWidth="1"/>
    <col min="8" max="8" width="65" customWidth="1"/>
    <col min="9" max="9" width="57.140625" customWidth="1"/>
    <col min="10" max="10" width="17.5703125" customWidth="1"/>
    <col min="11" max="11" width="26.28515625" customWidth="1"/>
    <col min="12" max="12" width="43.5703125" customWidth="1"/>
    <col min="13" max="13" width="38.5703125" bestFit="1" customWidth="1"/>
    <col min="14" max="14" width="25.5703125" customWidth="1"/>
    <col min="15" max="15" width="18.42578125" customWidth="1"/>
    <col min="16" max="16" width="17" customWidth="1"/>
    <col min="19" max="19" width="13.7109375" customWidth="1"/>
    <col min="20" max="20" width="14" customWidth="1"/>
    <col min="25" max="25" width="18.140625" customWidth="1"/>
    <col min="26" max="26" width="46.85546875" customWidth="1"/>
  </cols>
  <sheetData>
    <row r="1" spans="1:29" ht="56.25" customHeight="1" thickBot="1" x14ac:dyDescent="0.3">
      <c r="A1" s="2511" t="s">
        <v>1255</v>
      </c>
      <c r="B1" s="2512"/>
      <c r="C1" s="2512"/>
      <c r="D1" s="2512"/>
      <c r="E1" s="2512"/>
      <c r="F1" s="2512"/>
      <c r="G1" s="2512"/>
      <c r="H1" s="2512"/>
      <c r="I1" s="2513"/>
      <c r="J1" s="101"/>
      <c r="K1" s="101"/>
      <c r="L1" s="101"/>
      <c r="M1" s="101"/>
      <c r="N1" s="101"/>
      <c r="O1" s="2602"/>
      <c r="P1" s="2602"/>
      <c r="Q1" s="2602"/>
      <c r="R1" s="2602"/>
      <c r="S1" s="2602"/>
      <c r="T1" s="2602"/>
      <c r="U1" s="2602"/>
      <c r="V1" s="2602"/>
      <c r="W1" s="2602"/>
      <c r="X1" s="101"/>
      <c r="Y1" s="101"/>
      <c r="Z1" s="101"/>
      <c r="AA1" s="101"/>
      <c r="AB1" s="101"/>
      <c r="AC1" s="230"/>
    </row>
    <row r="2" spans="1:29" ht="19.5" thickBot="1" x14ac:dyDescent="0.3">
      <c r="A2" s="230"/>
      <c r="B2" s="230"/>
      <c r="C2" s="230"/>
      <c r="D2" s="230"/>
      <c r="E2" s="230"/>
      <c r="F2" s="230"/>
      <c r="G2" s="230"/>
      <c r="H2" s="230"/>
      <c r="I2" s="230"/>
      <c r="J2" s="230"/>
      <c r="K2" s="230"/>
      <c r="L2" s="230"/>
      <c r="M2" s="100"/>
      <c r="N2" s="100"/>
      <c r="O2" s="2609"/>
      <c r="P2" s="2609"/>
      <c r="Q2" s="2609"/>
      <c r="R2" s="2609"/>
      <c r="S2" s="2609"/>
      <c r="T2" s="2609"/>
      <c r="U2" s="2609"/>
      <c r="V2" s="2609"/>
      <c r="W2" s="2609"/>
      <c r="X2" s="56"/>
      <c r="Y2" s="230"/>
      <c r="Z2" s="230"/>
      <c r="AA2" s="230"/>
      <c r="AB2" s="230"/>
      <c r="AC2" s="230"/>
    </row>
    <row r="3" spans="1:29" ht="27" thickBot="1" x14ac:dyDescent="0.3">
      <c r="A3" s="2688" t="s">
        <v>24</v>
      </c>
      <c r="B3" s="2535"/>
      <c r="C3" s="2535"/>
      <c r="D3" s="2535"/>
      <c r="E3" s="2535"/>
      <c r="F3" s="2535"/>
      <c r="G3" s="2535"/>
      <c r="H3" s="2689"/>
      <c r="I3" s="145"/>
      <c r="J3" s="97"/>
      <c r="K3" s="97"/>
      <c r="L3" s="97"/>
      <c r="M3" s="2690" t="s">
        <v>1256</v>
      </c>
      <c r="N3" s="2691"/>
      <c r="O3" s="2691"/>
      <c r="P3" s="2691"/>
      <c r="Q3" s="2691"/>
      <c r="R3" s="2691"/>
      <c r="S3" s="2691"/>
      <c r="T3" s="2691"/>
      <c r="U3" s="2691"/>
      <c r="V3" s="2691"/>
      <c r="W3" s="2691"/>
      <c r="X3" s="2691"/>
      <c r="Y3" s="2691"/>
      <c r="Z3" s="2692"/>
      <c r="AA3" s="230"/>
      <c r="AB3" s="230"/>
      <c r="AC3" s="230"/>
    </row>
    <row r="4" spans="1:29" ht="66" customHeight="1" thickBot="1" x14ac:dyDescent="0.3">
      <c r="A4" s="2693" t="s">
        <v>1735</v>
      </c>
      <c r="B4" s="2694"/>
      <c r="C4" s="2694"/>
      <c r="D4" s="2694"/>
      <c r="E4" s="2694"/>
      <c r="F4" s="2694"/>
      <c r="G4" s="2694"/>
      <c r="H4" s="2695"/>
      <c r="I4" s="121"/>
      <c r="J4" s="96"/>
      <c r="K4" s="96"/>
      <c r="L4" s="96"/>
      <c r="M4" s="2690" t="s">
        <v>360</v>
      </c>
      <c r="N4" s="2691"/>
      <c r="O4" s="2691"/>
      <c r="P4" s="2691"/>
      <c r="Q4" s="2691"/>
      <c r="R4" s="2691"/>
      <c r="S4" s="2691"/>
      <c r="T4" s="2691"/>
      <c r="U4" s="2691"/>
      <c r="V4" s="2691"/>
      <c r="W4" s="2691"/>
      <c r="X4" s="2691"/>
      <c r="Y4" s="2691"/>
      <c r="Z4" s="2692"/>
      <c r="AA4" s="230"/>
      <c r="AB4" s="230"/>
      <c r="AC4" s="230"/>
    </row>
    <row r="5" spans="1:29" ht="61.5" customHeight="1" x14ac:dyDescent="0.25">
      <c r="A5" s="2604" t="s">
        <v>28</v>
      </c>
      <c r="B5" s="2607" t="s">
        <v>120</v>
      </c>
      <c r="C5" s="2610" t="s">
        <v>230</v>
      </c>
      <c r="D5" s="2610" t="s">
        <v>381</v>
      </c>
      <c r="E5" s="2607" t="s">
        <v>122</v>
      </c>
      <c r="F5" s="2610" t="s">
        <v>296</v>
      </c>
      <c r="G5" s="2610" t="s">
        <v>231</v>
      </c>
      <c r="H5" s="2613" t="s">
        <v>232</v>
      </c>
      <c r="I5" s="98"/>
      <c r="J5" s="867"/>
      <c r="K5" s="867"/>
      <c r="L5" s="867"/>
      <c r="M5" s="650" t="s">
        <v>936</v>
      </c>
      <c r="N5" s="651" t="s">
        <v>16</v>
      </c>
      <c r="O5" s="652" t="s">
        <v>937</v>
      </c>
      <c r="P5" s="653" t="s">
        <v>160</v>
      </c>
      <c r="Q5" s="652" t="s">
        <v>161</v>
      </c>
      <c r="R5" s="652" t="s">
        <v>951</v>
      </c>
      <c r="S5" s="652" t="s">
        <v>938</v>
      </c>
      <c r="T5" s="652" t="s">
        <v>939</v>
      </c>
      <c r="U5" s="652" t="s">
        <v>940</v>
      </c>
      <c r="V5" s="652" t="s">
        <v>941</v>
      </c>
      <c r="W5" s="652" t="s">
        <v>942</v>
      </c>
      <c r="X5" s="654" t="s">
        <v>1235</v>
      </c>
      <c r="Y5" s="652" t="s">
        <v>952</v>
      </c>
      <c r="Z5" s="636" t="s">
        <v>311</v>
      </c>
      <c r="AA5" s="867"/>
      <c r="AB5" s="867"/>
      <c r="AC5" s="867"/>
    </row>
    <row r="6" spans="1:29" ht="15.75" customHeight="1" x14ac:dyDescent="0.25">
      <c r="A6" s="2605"/>
      <c r="B6" s="2460"/>
      <c r="C6" s="2611"/>
      <c r="D6" s="2611"/>
      <c r="E6" s="2460"/>
      <c r="F6" s="2611"/>
      <c r="G6" s="2611"/>
      <c r="H6" s="2614"/>
      <c r="I6" s="2477"/>
      <c r="J6" s="230"/>
      <c r="K6" s="230"/>
      <c r="L6" s="230"/>
      <c r="M6" s="2624" t="s">
        <v>943</v>
      </c>
      <c r="N6" s="2592" t="s">
        <v>73</v>
      </c>
      <c r="O6" s="2555">
        <v>12</v>
      </c>
      <c r="P6" s="655" t="s">
        <v>92</v>
      </c>
      <c r="Q6" s="655" t="s">
        <v>162</v>
      </c>
      <c r="R6" s="656">
        <v>2.92</v>
      </c>
      <c r="S6" s="657">
        <v>1.7</v>
      </c>
      <c r="T6" s="2555" t="s">
        <v>944</v>
      </c>
      <c r="U6" s="2587">
        <v>20</v>
      </c>
      <c r="V6" s="2616">
        <v>10.4</v>
      </c>
      <c r="W6" s="2555">
        <f>' QUICK OVERVIEW- Inputs&amp;Outputs'!$C$36</f>
        <v>0</v>
      </c>
      <c r="X6" s="852">
        <f>(' QUICK OVERVIEW- Inputs&amp;Outputs'!C33) * ('Waste Mass Calculations'!D17+'Waste Mass Calculations'!D40)/('Cost-Benefit Tab_Digester'!O6) * 2</f>
        <v>0</v>
      </c>
      <c r="Y6" s="2182" t="e">
        <f>(' QUICK OVERVIEW- Inputs&amp;Outputs'!C33) * ('Waste Mass Calculations'!D17+'Waste Mass Calculations'!D40)/('Cost-Benefit Tab_Digester'!O6) * 2 * (('Cost-Benefit Tab_Digester'!R6)/('Cost-Benefit Tab_Digester'!S6) + (('Cost-Benefit Tab_Digester'!U6) + ('Cost-Benefit Tab_Digester'!V6))/('Cost-Benefit Tab_Digester'!W6))*' QUICK OVERVIEW- Inputs&amp;Outputs'!C33</f>
        <v>#DIV/0!</v>
      </c>
      <c r="Z6" s="658" t="e">
        <f t="shared" ref="Z6:Z10" si="0">Y6*31.4236</f>
        <v>#DIV/0!</v>
      </c>
      <c r="AA6" s="230"/>
      <c r="AB6" s="230"/>
      <c r="AC6" s="230"/>
    </row>
    <row r="7" spans="1:29" x14ac:dyDescent="0.25">
      <c r="A7" s="2606"/>
      <c r="B7" s="2461"/>
      <c r="C7" s="2612"/>
      <c r="D7" s="2612"/>
      <c r="E7" s="2461"/>
      <c r="F7" s="2612"/>
      <c r="G7" s="2612"/>
      <c r="H7" s="2615"/>
      <c r="I7" s="2477"/>
      <c r="J7" s="230"/>
      <c r="K7" s="230"/>
      <c r="L7" s="230"/>
      <c r="M7" s="2625"/>
      <c r="N7" s="2593"/>
      <c r="O7" s="2556"/>
      <c r="P7" s="655" t="s">
        <v>93</v>
      </c>
      <c r="Q7" s="655" t="s">
        <v>371</v>
      </c>
      <c r="R7" s="656">
        <v>0.11</v>
      </c>
      <c r="S7" s="657">
        <v>4.4000000000000004</v>
      </c>
      <c r="T7" s="2556"/>
      <c r="U7" s="2588"/>
      <c r="V7" s="2617"/>
      <c r="W7" s="2556"/>
      <c r="X7" s="852">
        <f>(' QUICK OVERVIEW- Inputs&amp;Outputs'!C33) * ('Waste Mass Calculations'!D17+'Waste Mass Calculations'!D40)/('Cost-Benefit Tab_Digester'!O6) * 2</f>
        <v>0</v>
      </c>
      <c r="Y7" s="617" t="e">
        <f>(' QUICK OVERVIEW- Inputs&amp;Outputs'!C33)* ('Waste Mass Calculations'!D17+'Waste Mass Calculations'!D40)/('Cost-Benefit Tab_Digester'!O6) * 2 * (('Cost-Benefit Tab_Digester'!R7)/('Cost-Benefit Tab_Digester'!S7) + (('Cost-Benefit Tab_Digester'!U6) + ('Cost-Benefit Tab_Digester'!V6))/('Cost-Benefit Tab_Digester'!W6))*' QUICK OVERVIEW- Inputs&amp;Outputs'!C33</f>
        <v>#DIV/0!</v>
      </c>
      <c r="Z7" s="658" t="e">
        <f t="shared" si="0"/>
        <v>#DIV/0!</v>
      </c>
      <c r="AA7" s="230"/>
      <c r="AB7" s="230"/>
      <c r="AC7" s="230"/>
    </row>
    <row r="8" spans="1:29" x14ac:dyDescent="0.25">
      <c r="A8" s="2679" t="s">
        <v>167</v>
      </c>
      <c r="B8" s="775" t="s">
        <v>235</v>
      </c>
      <c r="C8" s="775">
        <v>30</v>
      </c>
      <c r="D8" s="872">
        <f>'Digester Methane Calculation'!$X$91</f>
        <v>11.926079930222368</v>
      </c>
      <c r="E8" s="828">
        <f>605000*D8</f>
        <v>7215278.3577845329</v>
      </c>
      <c r="F8" s="828">
        <f>E8*(1+0.773+0.5976+0.4619)</f>
        <v>20437275.948424689</v>
      </c>
      <c r="G8" s="2676">
        <f>F8-F9</f>
        <v>13343345.453930169</v>
      </c>
      <c r="H8" s="2678" t="s">
        <v>233</v>
      </c>
      <c r="I8" s="2572"/>
      <c r="J8" s="230"/>
      <c r="K8" s="230"/>
      <c r="L8" s="230"/>
      <c r="M8" s="2626"/>
      <c r="N8" s="2594"/>
      <c r="O8" s="2557"/>
      <c r="P8" s="655" t="s">
        <v>1722</v>
      </c>
      <c r="Q8" s="655" t="s">
        <v>164</v>
      </c>
      <c r="R8" s="656">
        <v>1.82</v>
      </c>
      <c r="S8" s="657">
        <v>1.5</v>
      </c>
      <c r="T8" s="2557"/>
      <c r="U8" s="2589"/>
      <c r="V8" s="2618"/>
      <c r="W8" s="2557"/>
      <c r="X8" s="852">
        <f>(' QUICK OVERVIEW- Inputs&amp;Outputs'!C33) * ('Waste Mass Calculations'!D17+'Waste Mass Calculations'!D40)/('Cost-Benefit Tab_Digester'!O6) * 2</f>
        <v>0</v>
      </c>
      <c r="Y8" s="617" t="e">
        <f>(' QUICK OVERVIEW- Inputs&amp;Outputs'!C33)* ('Waste Mass Calculations'!D17+'Waste Mass Calculations'!D40)/('Cost-Benefit Tab_Digester'!O6) * 2 * (('Cost-Benefit Tab_Digester'!R8)/('Cost-Benefit Tab_Digester'!S8) + (('Cost-Benefit Tab_Digester'!U6) + ('Cost-Benefit Tab_Digester'!V6))/('Cost-Benefit Tab_Digester'!W6))*' QUICK OVERVIEW- Inputs&amp;Outputs'!C33</f>
        <v>#DIV/0!</v>
      </c>
      <c r="Z8" s="658" t="e">
        <f t="shared" si="0"/>
        <v>#DIV/0!</v>
      </c>
      <c r="AA8" s="230"/>
      <c r="AB8" s="230"/>
      <c r="AC8" s="230"/>
    </row>
    <row r="9" spans="1:29" ht="15.75" customHeight="1" x14ac:dyDescent="0.25">
      <c r="A9" s="2686"/>
      <c r="B9" s="775" t="s">
        <v>236</v>
      </c>
      <c r="C9" s="775">
        <v>30</v>
      </c>
      <c r="D9" s="872">
        <f>'Digester Methane Calculation'!$X$91</f>
        <v>11.926079930222368</v>
      </c>
      <c r="E9" s="828">
        <f>210000*D9</f>
        <v>2504476.7853466971</v>
      </c>
      <c r="F9" s="828">
        <f>E9*(1+0.773+0.5976+0.4619)</f>
        <v>7093930.4944945192</v>
      </c>
      <c r="G9" s="2685"/>
      <c r="H9" s="2687"/>
      <c r="I9" s="2572"/>
      <c r="J9" s="230"/>
      <c r="K9" s="230"/>
      <c r="L9" s="230"/>
      <c r="M9" s="659" t="s">
        <v>945</v>
      </c>
      <c r="N9" s="660" t="s">
        <v>946</v>
      </c>
      <c r="O9" s="657">
        <v>4.25</v>
      </c>
      <c r="P9" s="655" t="s">
        <v>92</v>
      </c>
      <c r="Q9" s="655" t="s">
        <v>162</v>
      </c>
      <c r="R9" s="656">
        <v>2.92</v>
      </c>
      <c r="S9" s="657">
        <v>4.4400000000000004</v>
      </c>
      <c r="T9" s="657" t="s">
        <v>947</v>
      </c>
      <c r="U9" s="661">
        <v>20</v>
      </c>
      <c r="V9" s="662">
        <v>10.4</v>
      </c>
      <c r="W9" s="657">
        <f>' QUICK OVERVIEW- Inputs&amp;Outputs'!$C$36</f>
        <v>0</v>
      </c>
      <c r="X9" s="852">
        <f>(' QUICK OVERVIEW- Inputs&amp;Outputs'!C33)* ('Waste Mass Calculations'!D24+'Waste Mass Calculations'!D58)/('Cost-Benefit Tab_Digester'!O9) * 2</f>
        <v>0</v>
      </c>
      <c r="Y9" s="617" t="e">
        <f>(' QUICK OVERVIEW- Inputs&amp;Outputs'!C33)* ('Waste Mass Calculations'!D24+'Waste Mass Calculations'!D58)/('Cost-Benefit Tab_Digester'!O9) * 2 * (('Cost-Benefit Tab_Digester'!R9)/('Cost-Benefit Tab_Digester'!S9) + ((U9))/(W9))*' QUICK OVERVIEW- Inputs&amp;Outputs'!C33</f>
        <v>#DIV/0!</v>
      </c>
      <c r="Z9" s="658" t="e">
        <f t="shared" si="0"/>
        <v>#DIV/0!</v>
      </c>
      <c r="AA9" s="230"/>
      <c r="AB9" s="230"/>
      <c r="AC9" s="230"/>
    </row>
    <row r="10" spans="1:29" ht="29.25" customHeight="1" x14ac:dyDescent="0.25">
      <c r="A10" s="2679" t="s">
        <v>168</v>
      </c>
      <c r="B10" s="775" t="s">
        <v>1736</v>
      </c>
      <c r="C10" s="775">
        <v>40</v>
      </c>
      <c r="D10" s="872">
        <f>'Digester Methane Calculation'!$X$92</f>
        <v>13.886700191025572</v>
      </c>
      <c r="E10" s="828">
        <f>290000*D10</f>
        <v>4027143.055397416</v>
      </c>
      <c r="F10" s="828">
        <f>E10*(1+0.773+0.5976+0.4619)</f>
        <v>11406882.704413181</v>
      </c>
      <c r="G10" s="2681">
        <f>F10-F11</f>
        <v>2360044.6974647976</v>
      </c>
      <c r="H10" s="2678" t="s">
        <v>1737</v>
      </c>
      <c r="I10" s="838"/>
      <c r="J10" s="230"/>
      <c r="K10" s="230"/>
      <c r="L10" s="230"/>
      <c r="M10" s="659" t="s">
        <v>948</v>
      </c>
      <c r="N10" s="660" t="s">
        <v>949</v>
      </c>
      <c r="O10" s="657">
        <v>2.58</v>
      </c>
      <c r="P10" s="655" t="s">
        <v>92</v>
      </c>
      <c r="Q10" s="655" t="s">
        <v>162</v>
      </c>
      <c r="R10" s="656">
        <v>2.92</v>
      </c>
      <c r="S10" s="657">
        <v>14.5</v>
      </c>
      <c r="T10" s="657" t="s">
        <v>944</v>
      </c>
      <c r="U10" s="661">
        <v>10</v>
      </c>
      <c r="V10" s="661">
        <v>10</v>
      </c>
      <c r="W10" s="657">
        <f>' QUICK OVERVIEW- Inputs&amp;Outputs'!$C$36</f>
        <v>0</v>
      </c>
      <c r="X10" s="852">
        <f>(' QUICK OVERVIEW- Inputs&amp;Outputs'!C33) * ('Waste Mass Calculations'!D49)/('Cost-Benefit Tab_Digester'!O10) * 2</f>
        <v>0</v>
      </c>
      <c r="Y10" s="1678" t="e">
        <f>(' QUICK OVERVIEW- Inputs&amp;Outputs'!C33) * ('Waste Mass Calculations'!D49)/('Cost-Benefit Tab_Digester'!O10) * 2 * (('Cost-Benefit Tab_Digester'!R10)/('Cost-Benefit Tab_Digester'!S10) + (('Cost-Benefit Tab_Digester'!U10) + ('Cost-Benefit Tab_Digester'!V10))/('Cost-Benefit Tab_Digester'!W10))*' QUICK OVERVIEW- Inputs&amp;Outputs'!C33</f>
        <v>#DIV/0!</v>
      </c>
      <c r="Z10" s="658" t="e">
        <f t="shared" si="0"/>
        <v>#DIV/0!</v>
      </c>
      <c r="AA10" s="230"/>
      <c r="AB10" s="230"/>
      <c r="AC10" s="230"/>
    </row>
    <row r="11" spans="1:29" ht="17.25" customHeight="1" thickBot="1" x14ac:dyDescent="0.3">
      <c r="A11" s="2680"/>
      <c r="B11" s="776" t="s">
        <v>322</v>
      </c>
      <c r="C11" s="776"/>
      <c r="D11" s="873">
        <f>'Digester Methane Calculation'!$X$92</f>
        <v>13.886700191025572</v>
      </c>
      <c r="E11" s="874">
        <f>230000*D11</f>
        <v>3193941.0439358815</v>
      </c>
      <c r="F11" s="874">
        <f>E11*(1+0.773+0.5976+0.4619)</f>
        <v>9046838.0069483835</v>
      </c>
      <c r="G11" s="2682"/>
      <c r="H11" s="2683"/>
      <c r="I11" s="838"/>
      <c r="J11" s="230"/>
      <c r="K11" s="230"/>
      <c r="L11" s="230"/>
      <c r="M11" s="663" t="s">
        <v>950</v>
      </c>
      <c r="N11" s="664"/>
      <c r="O11" s="665">
        <v>12</v>
      </c>
      <c r="P11" s="655" t="s">
        <v>92</v>
      </c>
      <c r="Q11" s="655" t="s">
        <v>162</v>
      </c>
      <c r="R11" s="656">
        <v>2.92</v>
      </c>
      <c r="S11" s="665">
        <v>1.7</v>
      </c>
      <c r="T11" s="657" t="s">
        <v>944</v>
      </c>
      <c r="U11" s="1431">
        <v>20</v>
      </c>
      <c r="V11" s="1430">
        <v>10.4</v>
      </c>
      <c r="W11" s="665">
        <f>' QUICK OVERVIEW- Inputs&amp;Outputs'!$C$36</f>
        <v>0</v>
      </c>
      <c r="X11" s="160">
        <f>(' QUICK OVERVIEW- Inputs&amp;Outputs'!C33) * ('Waste Mass Calculations'!E63+'Waste Mass Calculations'!E68+'Waste Mass Calculations'!E69+'Waste Mass Calculations'!E70)/('Cost-Benefit Tab_Digester'!O11)*2</f>
        <v>0</v>
      </c>
      <c r="Y11" s="671" t="e">
        <f>(' QUICK OVERVIEW- Inputs&amp;Outputs'!C33)* ('Waste Mass Calculations'!E63+'Waste Mass Calculations'!E68+'Waste Mass Calculations'!E69+'Waste Mass Calculations'!E70)/('Cost-Benefit Tab_Digester'!O11)*2* (('Cost-Benefit Tab_Digester'!R11)/('Cost-Benefit Tab_Digester'!S11) + (('Cost-Benefit Tab_Digester'!U11) + ('Cost-Benefit Tab_Digester'!V11))/('Cost-Benefit Tab_Digester'!W11))</f>
        <v>#DIV/0!</v>
      </c>
      <c r="Z11" s="1432" t="e">
        <f>Y11*31.4236</f>
        <v>#DIV/0!</v>
      </c>
      <c r="AA11" s="230"/>
      <c r="AB11" s="230"/>
      <c r="AC11" s="230"/>
    </row>
    <row r="12" spans="1:29" ht="29.25" customHeight="1" thickBot="1" x14ac:dyDescent="0.3">
      <c r="A12" s="875"/>
      <c r="B12" s="858" t="s">
        <v>314</v>
      </c>
      <c r="C12" s="876"/>
      <c r="D12" s="877"/>
      <c r="E12" s="878"/>
      <c r="F12" s="868"/>
      <c r="G12" s="879"/>
      <c r="H12" s="868"/>
      <c r="I12" s="3"/>
      <c r="J12" s="230"/>
      <c r="K12" s="230"/>
      <c r="L12" s="230"/>
      <c r="M12" s="230"/>
      <c r="N12" s="840"/>
      <c r="O12" s="297"/>
      <c r="P12" s="297"/>
      <c r="Q12" s="299"/>
      <c r="R12" s="300"/>
      <c r="S12" s="297"/>
      <c r="T12" s="841"/>
      <c r="U12" s="56"/>
      <c r="V12" s="56"/>
      <c r="W12" s="120"/>
      <c r="X12" s="839"/>
      <c r="Y12" s="97"/>
      <c r="Z12" s="3"/>
      <c r="AA12" s="843"/>
      <c r="AB12" s="843"/>
      <c r="AC12" s="843"/>
    </row>
    <row r="13" spans="1:29" ht="17.25" customHeight="1" x14ac:dyDescent="0.25">
      <c r="A13" s="880" t="s">
        <v>179</v>
      </c>
      <c r="B13" s="881" t="s">
        <v>237</v>
      </c>
      <c r="C13" s="881" t="s">
        <v>94</v>
      </c>
      <c r="D13" s="882">
        <f>'Digester Methane Calculation'!$X$90</f>
        <v>525.79721268308151</v>
      </c>
      <c r="E13" s="883">
        <f>20000*D13</f>
        <v>10515944.253661631</v>
      </c>
      <c r="F13" s="883">
        <f t="shared" ref="F13:F24" si="1">E13*(1+0.773+0.5976+0.4619)</f>
        <v>29786412.098496567</v>
      </c>
      <c r="G13" s="2684">
        <f>F16-F13</f>
        <v>10425244.234473798</v>
      </c>
      <c r="H13" s="2672" t="s">
        <v>1738</v>
      </c>
      <c r="I13" s="2547"/>
      <c r="J13" s="230"/>
      <c r="K13" s="230"/>
      <c r="L13" s="230"/>
      <c r="M13" s="230"/>
      <c r="N13" s="840"/>
      <c r="O13" s="120"/>
      <c r="P13" s="141"/>
      <c r="Q13" s="58"/>
      <c r="R13" s="141"/>
      <c r="S13" s="142"/>
      <c r="T13" s="120"/>
      <c r="U13" s="841"/>
      <c r="V13" s="56"/>
      <c r="W13" s="120"/>
      <c r="X13" s="2371"/>
      <c r="Y13" s="230"/>
      <c r="Z13" s="230"/>
      <c r="AA13" s="843"/>
      <c r="AB13" s="843"/>
      <c r="AC13" s="843"/>
    </row>
    <row r="14" spans="1:29" ht="14.25" customHeight="1" x14ac:dyDescent="0.25">
      <c r="A14" s="850" t="s">
        <v>180</v>
      </c>
      <c r="B14" s="775" t="s">
        <v>238</v>
      </c>
      <c r="C14" s="775" t="s">
        <v>94</v>
      </c>
      <c r="D14" s="872">
        <f>'Digester Methane Calculation'!$X$89</f>
        <v>444.77074773752616</v>
      </c>
      <c r="E14" s="828">
        <f>22500*D14</f>
        <v>10007341.824094338</v>
      </c>
      <c r="F14" s="828">
        <f t="shared" si="1"/>
        <v>28345795.716747213</v>
      </c>
      <c r="G14" s="2685"/>
      <c r="H14" s="2673"/>
      <c r="I14" s="2547"/>
      <c r="J14" s="230"/>
      <c r="K14" s="230"/>
      <c r="L14" s="230"/>
      <c r="M14" s="230"/>
      <c r="N14" s="840"/>
      <c r="O14" s="140"/>
      <c r="P14" s="841"/>
      <c r="Q14" s="109"/>
      <c r="R14" s="141"/>
      <c r="S14" s="142"/>
      <c r="T14" s="120"/>
      <c r="U14" s="841"/>
      <c r="V14" s="56"/>
      <c r="W14" s="120"/>
      <c r="X14" s="2371"/>
      <c r="Y14" s="230"/>
      <c r="Z14" s="230"/>
      <c r="AA14" s="843"/>
      <c r="AB14" s="843"/>
      <c r="AC14" s="843"/>
    </row>
    <row r="15" spans="1:29" x14ac:dyDescent="0.25">
      <c r="A15" s="850" t="s">
        <v>181</v>
      </c>
      <c r="B15" s="775" t="s">
        <v>239</v>
      </c>
      <c r="C15" s="775" t="s">
        <v>94</v>
      </c>
      <c r="D15" s="872">
        <f>'Digester Methane Calculation'!$X$89</f>
        <v>444.77074773752616</v>
      </c>
      <c r="E15" s="828">
        <f>37500*D15</f>
        <v>16678903.040157231</v>
      </c>
      <c r="F15" s="828">
        <f t="shared" si="1"/>
        <v>47242992.861245357</v>
      </c>
      <c r="G15" s="2676">
        <f>F15-F14</f>
        <v>18897197.144498143</v>
      </c>
      <c r="H15" s="2673" t="s">
        <v>927</v>
      </c>
      <c r="I15" s="2477"/>
      <c r="J15" s="230"/>
      <c r="K15" s="230"/>
      <c r="L15" s="230"/>
      <c r="M15" s="230"/>
      <c r="N15" s="840"/>
      <c r="O15" s="140"/>
      <c r="P15" s="841"/>
      <c r="Q15" s="109"/>
      <c r="R15" s="141"/>
      <c r="S15" s="142"/>
      <c r="T15" s="120"/>
      <c r="U15" s="841"/>
      <c r="V15" s="56"/>
      <c r="W15" s="120"/>
      <c r="X15" s="2371"/>
      <c r="Y15" s="230"/>
      <c r="Z15" s="230"/>
      <c r="AA15" s="843"/>
      <c r="AB15" s="843"/>
      <c r="AC15" s="843"/>
    </row>
    <row r="16" spans="1:29" ht="15.75" thickBot="1" x14ac:dyDescent="0.3">
      <c r="A16" s="884" t="s">
        <v>221</v>
      </c>
      <c r="B16" s="885" t="s">
        <v>1739</v>
      </c>
      <c r="C16" s="885" t="s">
        <v>94</v>
      </c>
      <c r="D16" s="886">
        <f>'Digester Methane Calculation'!$X$90</f>
        <v>525.79721268308151</v>
      </c>
      <c r="E16" s="887">
        <f>27000*D16</f>
        <v>14196524.7424432</v>
      </c>
      <c r="F16" s="887">
        <f t="shared" si="1"/>
        <v>40211656.332970366</v>
      </c>
      <c r="G16" s="2677"/>
      <c r="H16" s="2678"/>
      <c r="I16" s="2477"/>
      <c r="J16" s="230"/>
      <c r="K16" s="230"/>
      <c r="L16" s="230"/>
      <c r="M16" s="230"/>
      <c r="N16" s="840"/>
      <c r="O16" s="140"/>
      <c r="P16" s="841"/>
      <c r="Q16" s="109"/>
      <c r="R16" s="141"/>
      <c r="S16" s="142"/>
      <c r="T16" s="120"/>
      <c r="U16" s="841"/>
      <c r="V16" s="56"/>
      <c r="W16" s="120"/>
      <c r="X16" s="2371"/>
      <c r="Y16" s="230"/>
      <c r="Z16" s="230"/>
      <c r="AA16" s="843"/>
      <c r="AB16" s="843"/>
      <c r="AC16" s="843"/>
    </row>
    <row r="17" spans="1:29" x14ac:dyDescent="0.25">
      <c r="A17" s="880" t="s">
        <v>170</v>
      </c>
      <c r="B17" s="881" t="s">
        <v>726</v>
      </c>
      <c r="C17" s="881" t="s">
        <v>94</v>
      </c>
      <c r="D17" s="882">
        <f>'Digester Methane Calculation'!$X$94</f>
        <v>358.31118446211264</v>
      </c>
      <c r="E17" s="883">
        <f>32000*D17</f>
        <v>11465957.902787603</v>
      </c>
      <c r="F17" s="883">
        <f t="shared" si="1"/>
        <v>32477325.759645887</v>
      </c>
      <c r="G17" s="2670">
        <f>F19-F17</f>
        <v>11671538.944872744</v>
      </c>
      <c r="H17" s="2672" t="s">
        <v>1738</v>
      </c>
      <c r="I17" s="2591"/>
      <c r="J17" s="230"/>
      <c r="K17" s="230"/>
      <c r="L17" s="230"/>
      <c r="M17" s="230"/>
      <c r="N17" s="840"/>
      <c r="O17" s="140"/>
      <c r="P17" s="841"/>
      <c r="Q17" s="2598"/>
      <c r="R17" s="141"/>
      <c r="S17" s="142"/>
      <c r="T17" s="120"/>
      <c r="U17" s="841"/>
      <c r="V17" s="56"/>
      <c r="W17" s="120"/>
      <c r="X17" s="2371"/>
      <c r="Y17" s="230"/>
      <c r="Z17" s="230"/>
      <c r="AA17" s="843"/>
      <c r="AB17" s="843"/>
      <c r="AC17" s="843"/>
    </row>
    <row r="18" spans="1:29" x14ac:dyDescent="0.25">
      <c r="A18" s="850" t="s">
        <v>171</v>
      </c>
      <c r="B18" s="775" t="s">
        <v>727</v>
      </c>
      <c r="C18" s="775" t="s">
        <v>94</v>
      </c>
      <c r="D18" s="872">
        <f>'Digester Methane Calculation'!$X$93</f>
        <v>297.66260617346228</v>
      </c>
      <c r="E18" s="828">
        <f>39500*D18</f>
        <v>11757672.94385176</v>
      </c>
      <c r="F18" s="828">
        <f t="shared" si="1"/>
        <v>33303608.613460109</v>
      </c>
      <c r="G18" s="2671"/>
      <c r="H18" s="2673"/>
      <c r="I18" s="2591"/>
      <c r="J18" s="230"/>
      <c r="K18" s="230"/>
      <c r="L18" s="230"/>
      <c r="M18" s="230"/>
      <c r="N18" s="840"/>
      <c r="O18" s="140"/>
      <c r="P18" s="841"/>
      <c r="Q18" s="2598"/>
      <c r="R18" s="141"/>
      <c r="S18" s="142"/>
      <c r="T18" s="120"/>
      <c r="U18" s="841"/>
      <c r="V18" s="56"/>
      <c r="W18" s="120"/>
      <c r="X18" s="2371"/>
      <c r="Y18" s="230"/>
      <c r="Z18" s="230"/>
      <c r="AA18" s="843"/>
      <c r="AB18" s="843"/>
      <c r="AC18" s="843"/>
    </row>
    <row r="19" spans="1:29" ht="14.25" customHeight="1" x14ac:dyDescent="0.25">
      <c r="A19" s="850" t="s">
        <v>172</v>
      </c>
      <c r="B19" s="775" t="s">
        <v>1740</v>
      </c>
      <c r="C19" s="775" t="s">
        <v>94</v>
      </c>
      <c r="D19" s="872">
        <f>'Digester Methane Calculation'!$X$94</f>
        <v>358.31118446211264</v>
      </c>
      <c r="E19" s="828">
        <f>43500*D19</f>
        <v>15586536.5241019</v>
      </c>
      <c r="F19" s="828">
        <f t="shared" si="1"/>
        <v>44148864.704518631</v>
      </c>
      <c r="G19" s="2671">
        <f>F20-F18</f>
        <v>24872315.293596797</v>
      </c>
      <c r="H19" s="2673" t="s">
        <v>927</v>
      </c>
      <c r="I19" s="2477"/>
      <c r="J19" s="230"/>
      <c r="K19" s="230"/>
      <c r="L19" s="230"/>
      <c r="M19" s="230"/>
      <c r="N19" s="840"/>
      <c r="O19" s="140"/>
      <c r="P19" s="841"/>
      <c r="Q19" s="2598"/>
      <c r="R19" s="141"/>
      <c r="S19" s="142"/>
      <c r="T19" s="120"/>
      <c r="U19" s="841"/>
      <c r="V19" s="56"/>
      <c r="W19" s="120"/>
      <c r="X19" s="2371"/>
      <c r="Y19" s="97"/>
      <c r="Z19" s="3"/>
      <c r="AA19" s="843"/>
      <c r="AB19" s="843"/>
      <c r="AC19" s="843"/>
    </row>
    <row r="20" spans="1:29" ht="16.5" customHeight="1" thickBot="1" x14ac:dyDescent="0.3">
      <c r="A20" s="884" t="s">
        <v>182</v>
      </c>
      <c r="B20" s="885" t="s">
        <v>728</v>
      </c>
      <c r="C20" s="885" t="s">
        <v>94</v>
      </c>
      <c r="D20" s="886">
        <f>'Digester Methane Calculation'!$X$93</f>
        <v>297.66260617346228</v>
      </c>
      <c r="E20" s="887">
        <f>69000*D20</f>
        <v>20538719.825968899</v>
      </c>
      <c r="F20" s="887">
        <f t="shared" si="1"/>
        <v>58175923.907056905</v>
      </c>
      <c r="G20" s="2676"/>
      <c r="H20" s="2678"/>
      <c r="I20" s="2477"/>
      <c r="J20" s="230"/>
      <c r="K20" s="230"/>
      <c r="L20" s="230"/>
      <c r="M20" s="230"/>
      <c r="N20" s="840"/>
      <c r="O20" s="844"/>
      <c r="P20" s="841"/>
      <c r="Q20" s="2598"/>
      <c r="R20" s="141"/>
      <c r="S20" s="142"/>
      <c r="T20" s="120"/>
      <c r="U20" s="841"/>
      <c r="V20" s="56"/>
      <c r="W20" s="120"/>
      <c r="X20" s="2371"/>
      <c r="Y20" s="97"/>
      <c r="Z20" s="3"/>
      <c r="AA20" s="843"/>
      <c r="AB20" s="843"/>
      <c r="AC20" s="843"/>
    </row>
    <row r="21" spans="1:29" ht="21" customHeight="1" x14ac:dyDescent="0.25">
      <c r="A21" s="880" t="s">
        <v>173</v>
      </c>
      <c r="B21" s="888" t="s">
        <v>240</v>
      </c>
      <c r="C21" s="881" t="s">
        <v>94</v>
      </c>
      <c r="D21" s="882">
        <f>'Digester Methane Calculation'!$X$96</f>
        <v>134.19442918076237</v>
      </c>
      <c r="E21" s="883">
        <f>36000*D21</f>
        <v>4830999.4505074453</v>
      </c>
      <c r="F21" s="883">
        <f t="shared" si="1"/>
        <v>13683805.943562338</v>
      </c>
      <c r="G21" s="2670">
        <f>F23-F21</f>
        <v>3040845.765236076</v>
      </c>
      <c r="H21" s="2672" t="s">
        <v>1738</v>
      </c>
      <c r="I21" s="2548"/>
      <c r="J21" s="230"/>
      <c r="K21" s="230"/>
      <c r="L21" s="230"/>
      <c r="M21" s="230"/>
      <c r="N21" s="840"/>
      <c r="O21" s="140"/>
      <c r="P21" s="841"/>
      <c r="Q21" s="2598"/>
      <c r="R21" s="141"/>
      <c r="S21" s="142"/>
      <c r="T21" s="120"/>
      <c r="U21" s="841"/>
      <c r="V21" s="56"/>
      <c r="W21" s="120"/>
      <c r="X21" s="2371"/>
      <c r="Y21" s="97"/>
      <c r="Z21" s="3"/>
      <c r="AA21" s="843"/>
      <c r="AB21" s="843"/>
      <c r="AC21" s="843"/>
    </row>
    <row r="22" spans="1:29" ht="18.75" x14ac:dyDescent="0.25">
      <c r="A22" s="850" t="s">
        <v>174</v>
      </c>
      <c r="B22" s="706" t="s">
        <v>241</v>
      </c>
      <c r="C22" s="775" t="s">
        <v>94</v>
      </c>
      <c r="D22" s="872">
        <f>'Digester Methane Calculation'!$X$95</f>
        <v>107.55833337069296</v>
      </c>
      <c r="E22" s="828">
        <f>46500*D22</f>
        <v>5001462.501737223</v>
      </c>
      <c r="F22" s="828">
        <f t="shared" si="1"/>
        <v>14166642.536170684</v>
      </c>
      <c r="G22" s="2671"/>
      <c r="H22" s="2673"/>
      <c r="I22" s="2548"/>
      <c r="J22" s="230"/>
      <c r="K22" s="230"/>
      <c r="L22" s="230"/>
      <c r="M22" s="230"/>
      <c r="N22" s="840"/>
      <c r="O22" s="140"/>
      <c r="P22" s="841"/>
      <c r="Q22" s="2598"/>
      <c r="R22" s="141"/>
      <c r="S22" s="142"/>
      <c r="T22" s="120"/>
      <c r="U22" s="841"/>
      <c r="V22" s="56"/>
      <c r="W22" s="120"/>
      <c r="X22" s="2371"/>
      <c r="Y22" s="97"/>
      <c r="Z22" s="3"/>
      <c r="AA22" s="843"/>
      <c r="AB22" s="843"/>
      <c r="AC22" s="843"/>
    </row>
    <row r="23" spans="1:29" ht="18.75" x14ac:dyDescent="0.25">
      <c r="A23" s="850" t="s">
        <v>175</v>
      </c>
      <c r="B23" s="706" t="s">
        <v>1741</v>
      </c>
      <c r="C23" s="775" t="s">
        <v>94</v>
      </c>
      <c r="D23" s="872">
        <f>'Digester Methane Calculation'!$X$96</f>
        <v>134.19442918076237</v>
      </c>
      <c r="E23" s="828">
        <f>44000*D23</f>
        <v>5904554.8839535443</v>
      </c>
      <c r="F23" s="828">
        <f t="shared" si="1"/>
        <v>16724651.708798414</v>
      </c>
      <c r="G23" s="2671">
        <f>F24-F22</f>
        <v>6854827.0336309746</v>
      </c>
      <c r="H23" s="2673" t="s">
        <v>928</v>
      </c>
      <c r="I23" s="2477"/>
      <c r="J23" s="230"/>
      <c r="K23" s="230"/>
      <c r="L23" s="230"/>
      <c r="M23" s="230"/>
      <c r="N23" s="840"/>
      <c r="O23" s="230"/>
      <c r="P23" s="230"/>
      <c r="Q23" s="2598"/>
      <c r="R23" s="141"/>
      <c r="S23" s="142"/>
      <c r="T23" s="120"/>
      <c r="U23" s="841"/>
      <c r="V23" s="56"/>
      <c r="W23" s="120"/>
      <c r="X23" s="2371"/>
      <c r="Y23" s="97"/>
      <c r="Z23" s="3"/>
      <c r="AA23" s="843"/>
      <c r="AB23" s="843"/>
      <c r="AC23" s="843"/>
    </row>
    <row r="24" spans="1:29" ht="18.75" customHeight="1" thickBot="1" x14ac:dyDescent="0.3">
      <c r="A24" s="851" t="s">
        <v>183</v>
      </c>
      <c r="B24" s="55" t="s">
        <v>242</v>
      </c>
      <c r="C24" s="147" t="s">
        <v>94</v>
      </c>
      <c r="D24" s="873">
        <f>'Digester Methane Calculation'!$X$95</f>
        <v>107.55833337069296</v>
      </c>
      <c r="E24" s="826">
        <f>69000*D24</f>
        <v>7421525.0025778143</v>
      </c>
      <c r="F24" s="874">
        <f t="shared" si="1"/>
        <v>21021469.569801658</v>
      </c>
      <c r="G24" s="2674"/>
      <c r="H24" s="2675"/>
      <c r="I24" s="2477"/>
      <c r="J24" s="230"/>
      <c r="K24" s="230"/>
      <c r="L24" s="230"/>
      <c r="M24" s="230"/>
      <c r="N24" s="838"/>
      <c r="O24" s="230"/>
      <c r="P24" s="230"/>
      <c r="Q24" s="2598"/>
      <c r="R24" s="143"/>
      <c r="S24" s="844"/>
      <c r="T24" s="120"/>
      <c r="U24" s="844"/>
      <c r="V24" s="844"/>
      <c r="W24" s="120"/>
      <c r="X24" s="2371"/>
      <c r="Y24" s="97"/>
      <c r="Z24" s="230"/>
      <c r="AA24" s="230"/>
      <c r="AB24" s="230"/>
      <c r="AC24" s="230"/>
    </row>
    <row r="25" spans="1:29" ht="12.75" hidden="1" customHeight="1" x14ac:dyDescent="0.25"/>
    <row r="26" spans="1:29" s="230" customFormat="1" ht="12.75" customHeight="1" thickBot="1" x14ac:dyDescent="0.3"/>
    <row r="27" spans="1:29" s="230" customFormat="1" ht="33.75" customHeight="1" thickBot="1" x14ac:dyDescent="0.3">
      <c r="A27" s="2667" t="s">
        <v>1084</v>
      </c>
      <c r="B27" s="2668"/>
      <c r="C27" s="2668"/>
      <c r="D27" s="2669"/>
    </row>
    <row r="28" spans="1:29" s="230" customFormat="1" ht="52.5" customHeight="1" thickBot="1" x14ac:dyDescent="0.3">
      <c r="A28" s="892" t="s">
        <v>891</v>
      </c>
      <c r="B28" s="902" t="s">
        <v>528</v>
      </c>
      <c r="C28" s="777" t="s">
        <v>538</v>
      </c>
      <c r="D28" s="903" t="s">
        <v>537</v>
      </c>
    </row>
    <row r="29" spans="1:29" s="230" customFormat="1" ht="12.75" customHeight="1" x14ac:dyDescent="0.25">
      <c r="A29" s="893" t="s">
        <v>884</v>
      </c>
      <c r="B29" s="894">
        <f>F8-F9</f>
        <v>13343345.453930169</v>
      </c>
      <c r="C29" s="854" t="s">
        <v>102</v>
      </c>
      <c r="D29" s="904" t="e">
        <f t="shared" ref="D29:D34" si="2">Z6</f>
        <v>#DIV/0!</v>
      </c>
    </row>
    <row r="30" spans="1:29" s="230" customFormat="1" ht="12.75" customHeight="1" x14ac:dyDescent="0.25">
      <c r="A30" s="895" t="s">
        <v>1742</v>
      </c>
      <c r="B30" s="896">
        <f>F10-F9</f>
        <v>4312952.209918662</v>
      </c>
      <c r="C30" s="855" t="s">
        <v>90</v>
      </c>
      <c r="D30" s="905" t="e">
        <f t="shared" si="2"/>
        <v>#DIV/0!</v>
      </c>
    </row>
    <row r="31" spans="1:29" s="230" customFormat="1" ht="12.75" customHeight="1" x14ac:dyDescent="0.25">
      <c r="A31" s="895" t="s">
        <v>885</v>
      </c>
      <c r="B31" s="896">
        <f>F15-F14</f>
        <v>18897197.144498143</v>
      </c>
      <c r="C31" s="855" t="s">
        <v>1743</v>
      </c>
      <c r="D31" s="905" t="e">
        <f t="shared" si="2"/>
        <v>#DIV/0!</v>
      </c>
    </row>
    <row r="32" spans="1:29" s="230" customFormat="1" ht="12.75" customHeight="1" x14ac:dyDescent="0.25">
      <c r="A32" s="895" t="s">
        <v>886</v>
      </c>
      <c r="B32" s="896">
        <f>F15-F13</f>
        <v>17456580.762748789</v>
      </c>
      <c r="C32" s="906" t="s">
        <v>946</v>
      </c>
      <c r="D32" s="905" t="e">
        <f t="shared" si="2"/>
        <v>#DIV/0!</v>
      </c>
    </row>
    <row r="33" spans="1:4" s="230" customFormat="1" ht="15.75" customHeight="1" x14ac:dyDescent="0.25">
      <c r="A33" s="895" t="s">
        <v>1744</v>
      </c>
      <c r="B33" s="896">
        <f>F16-F14</f>
        <v>11865860.616223153</v>
      </c>
      <c r="C33" s="906" t="s">
        <v>949</v>
      </c>
      <c r="D33" s="905" t="e">
        <f t="shared" si="2"/>
        <v>#DIV/0!</v>
      </c>
    </row>
    <row r="34" spans="1:4" s="230" customFormat="1" ht="16.5" customHeight="1" thickBot="1" x14ac:dyDescent="0.3">
      <c r="A34" s="895" t="s">
        <v>1745</v>
      </c>
      <c r="B34" s="896">
        <f>F16-F13</f>
        <v>10425244.234473798</v>
      </c>
      <c r="C34" s="856" t="s">
        <v>955</v>
      </c>
      <c r="D34" s="907" t="e">
        <f t="shared" si="2"/>
        <v>#DIV/0!</v>
      </c>
    </row>
    <row r="35" spans="1:4" s="230" customFormat="1" ht="12.75" customHeight="1" x14ac:dyDescent="0.25">
      <c r="A35" s="895" t="s">
        <v>887</v>
      </c>
      <c r="B35" s="896">
        <f>F20-F18</f>
        <v>24872315.293596797</v>
      </c>
      <c r="C35" s="715"/>
      <c r="D35" s="715"/>
    </row>
    <row r="36" spans="1:4" s="230" customFormat="1" ht="12.75" customHeight="1" x14ac:dyDescent="0.25">
      <c r="A36" s="895" t="s">
        <v>888</v>
      </c>
      <c r="B36" s="896">
        <f>F20-F17</f>
        <v>25698598.147411019</v>
      </c>
      <c r="C36" s="715"/>
      <c r="D36" s="715"/>
    </row>
    <row r="37" spans="1:4" s="230" customFormat="1" ht="12.75" customHeight="1" x14ac:dyDescent="0.25">
      <c r="A37" s="895" t="s">
        <v>1746</v>
      </c>
      <c r="B37" s="896">
        <f>F19-F18</f>
        <v>10845256.091058522</v>
      </c>
      <c r="C37" s="715"/>
      <c r="D37" s="715"/>
    </row>
    <row r="38" spans="1:4" s="230" customFormat="1" ht="12.75" customHeight="1" x14ac:dyDescent="0.25">
      <c r="A38" s="895" t="s">
        <v>1747</v>
      </c>
      <c r="B38" s="896">
        <f>F19-F17</f>
        <v>11671538.944872744</v>
      </c>
      <c r="C38" s="715"/>
      <c r="D38" s="715"/>
    </row>
    <row r="39" spans="1:4" s="230" customFormat="1" ht="12.75" customHeight="1" x14ac:dyDescent="0.25">
      <c r="A39" s="895" t="s">
        <v>889</v>
      </c>
      <c r="B39" s="896">
        <f>F24-F22</f>
        <v>6854827.0336309746</v>
      </c>
      <c r="C39" s="715"/>
      <c r="D39" s="715"/>
    </row>
    <row r="40" spans="1:4" s="230" customFormat="1" ht="12.75" customHeight="1" x14ac:dyDescent="0.25">
      <c r="A40" s="895" t="s">
        <v>890</v>
      </c>
      <c r="B40" s="896">
        <f>F24-F21</f>
        <v>7337663.6262393203</v>
      </c>
      <c r="C40" s="715"/>
      <c r="D40" s="715"/>
    </row>
    <row r="41" spans="1:4" s="230" customFormat="1" ht="12.75" customHeight="1" x14ac:dyDescent="0.25">
      <c r="A41" s="895" t="s">
        <v>1748</v>
      </c>
      <c r="B41" s="896">
        <f>F23-F22</f>
        <v>2558009.1726277303</v>
      </c>
      <c r="C41" s="715"/>
      <c r="D41" s="715"/>
    </row>
    <row r="42" spans="1:4" s="230" customFormat="1" ht="13.5" customHeight="1" thickBot="1" x14ac:dyDescent="0.3">
      <c r="A42" s="897" t="s">
        <v>1749</v>
      </c>
      <c r="B42" s="898">
        <f>F23-F21</f>
        <v>3040845.765236076</v>
      </c>
      <c r="C42" s="715"/>
      <c r="D42" s="715"/>
    </row>
    <row r="43" spans="1:4" s="230" customFormat="1" ht="12.75" customHeight="1" x14ac:dyDescent="0.25">
      <c r="A43" s="859" t="s">
        <v>720</v>
      </c>
      <c r="B43" s="899">
        <v>0</v>
      </c>
      <c r="C43" s="715"/>
      <c r="D43" s="715"/>
    </row>
    <row r="44" spans="1:4" s="230" customFormat="1" ht="12.75" customHeight="1" x14ac:dyDescent="0.25">
      <c r="A44" s="860" t="s">
        <v>721</v>
      </c>
      <c r="B44" s="733">
        <v>0</v>
      </c>
      <c r="C44" s="715"/>
      <c r="D44" s="715"/>
    </row>
    <row r="45" spans="1:4" s="230" customFormat="1" ht="12.75" customHeight="1" x14ac:dyDescent="0.25">
      <c r="A45" s="860" t="s">
        <v>722</v>
      </c>
      <c r="B45" s="733">
        <v>0</v>
      </c>
      <c r="C45" s="715"/>
      <c r="D45" s="715"/>
    </row>
    <row r="46" spans="1:4" s="230" customFormat="1" ht="12.75" customHeight="1" thickBot="1" x14ac:dyDescent="0.3">
      <c r="A46" s="863" t="s">
        <v>723</v>
      </c>
      <c r="B46" s="734">
        <v>0</v>
      </c>
      <c r="C46" s="715"/>
      <c r="D46" s="715"/>
    </row>
    <row r="47" spans="1:4" s="230" customFormat="1" ht="12.75" customHeight="1" thickBot="1" x14ac:dyDescent="0.3">
      <c r="A47" s="900" t="s">
        <v>725</v>
      </c>
      <c r="B47" s="901">
        <v>0</v>
      </c>
      <c r="C47" s="715"/>
      <c r="D47" s="715"/>
    </row>
    <row r="48" spans="1:4" s="230" customFormat="1" ht="12.75" customHeight="1" thickBot="1" x14ac:dyDescent="0.3"/>
    <row r="49" spans="1:12" ht="15" customHeight="1" x14ac:dyDescent="0.25">
      <c r="A49" s="2661" t="s">
        <v>1566</v>
      </c>
      <c r="B49" s="2662"/>
      <c r="C49" s="2662"/>
      <c r="D49" s="2662"/>
      <c r="E49" s="2662"/>
      <c r="F49" s="2662"/>
      <c r="G49" s="2662"/>
      <c r="H49" s="2663"/>
      <c r="I49" s="121"/>
      <c r="J49" s="121"/>
      <c r="K49" s="121"/>
      <c r="L49" s="121"/>
    </row>
    <row r="50" spans="1:12" ht="42" customHeight="1" thickBot="1" x14ac:dyDescent="0.3">
      <c r="A50" s="2664"/>
      <c r="B50" s="2665"/>
      <c r="C50" s="2665"/>
      <c r="D50" s="2665"/>
      <c r="E50" s="2665"/>
      <c r="F50" s="2665"/>
      <c r="G50" s="2665"/>
      <c r="H50" s="2666"/>
      <c r="I50" s="121"/>
      <c r="J50" s="121"/>
      <c r="K50" s="121"/>
      <c r="L50" s="121"/>
    </row>
    <row r="51" spans="1:12" ht="31.5" x14ac:dyDescent="0.25">
      <c r="A51" s="1616" t="s">
        <v>148</v>
      </c>
      <c r="B51" s="916" t="s">
        <v>147</v>
      </c>
      <c r="C51" s="916" t="s">
        <v>145</v>
      </c>
      <c r="D51" s="916" t="s">
        <v>146</v>
      </c>
      <c r="E51" s="1548" t="s">
        <v>1501</v>
      </c>
      <c r="F51" s="1548" t="s">
        <v>1500</v>
      </c>
      <c r="G51" s="916" t="s">
        <v>144</v>
      </c>
      <c r="H51" s="1617" t="s">
        <v>178</v>
      </c>
    </row>
    <row r="52" spans="1:12" ht="15.75" x14ac:dyDescent="0.25">
      <c r="A52" s="860" t="s">
        <v>863</v>
      </c>
      <c r="B52" s="818">
        <v>0</v>
      </c>
      <c r="C52" s="818">
        <v>0</v>
      </c>
      <c r="D52" s="818">
        <v>0</v>
      </c>
      <c r="E52" s="1597">
        <v>0</v>
      </c>
      <c r="F52" s="1597">
        <v>0</v>
      </c>
      <c r="G52" s="818">
        <v>0</v>
      </c>
      <c r="H52" s="1618">
        <v>0</v>
      </c>
    </row>
    <row r="53" spans="1:12" ht="15.75" x14ac:dyDescent="0.25">
      <c r="A53" s="860" t="s">
        <v>202</v>
      </c>
      <c r="B53" s="809">
        <v>54.03</v>
      </c>
      <c r="C53" s="819">
        <f>' QUICK OVERVIEW- Inputs&amp;Outputs'!$H$10</f>
        <v>0</v>
      </c>
      <c r="D53" s="819">
        <f>' QUICK OVERVIEW- Inputs&amp;Outputs'!$L$10</f>
        <v>13978.21</v>
      </c>
      <c r="E53" s="1597">
        <f>' QUICK OVERVIEW- Inputs&amp;Outputs'!$P$10</f>
        <v>0</v>
      </c>
      <c r="F53" s="1597">
        <f>' QUICK OVERVIEW- Inputs&amp;Outputs'!$T$10</f>
        <v>0</v>
      </c>
      <c r="G53" s="823">
        <f>(B53*C53)+(B53*D53)+(B53*E53)+(B53*F53)</f>
        <v>755242.68629999994</v>
      </c>
      <c r="H53" s="824">
        <f>G53*31.4236</f>
        <v>23732444.077216677</v>
      </c>
    </row>
    <row r="54" spans="1:12" ht="15.75" x14ac:dyDescent="0.25">
      <c r="A54" s="248" t="s">
        <v>138</v>
      </c>
      <c r="B54" s="809">
        <v>64.98</v>
      </c>
      <c r="C54" s="819">
        <f>' QUICK OVERVIEW- Inputs&amp;Outputs'!$H$10</f>
        <v>0</v>
      </c>
      <c r="D54" s="819">
        <f>' QUICK OVERVIEW- Inputs&amp;Outputs'!$L$10</f>
        <v>13978.21</v>
      </c>
      <c r="E54" s="1597">
        <f>' QUICK OVERVIEW- Inputs&amp;Outputs'!$P$10</f>
        <v>0</v>
      </c>
      <c r="F54" s="1597">
        <f>' QUICK OVERVIEW- Inputs&amp;Outputs'!$T$10</f>
        <v>0</v>
      </c>
      <c r="G54" s="823">
        <f>(B54*C54)+(B54*D54)+(B54*E54)+(B54*F54)</f>
        <v>908304.0858</v>
      </c>
      <c r="H54" s="824">
        <f>G54*31.4236</f>
        <v>28542184.270544879</v>
      </c>
    </row>
    <row r="55" spans="1:12" ht="17.25" customHeight="1" x14ac:dyDescent="0.25">
      <c r="A55" s="248" t="s">
        <v>140</v>
      </c>
      <c r="B55" s="809">
        <v>69.94</v>
      </c>
      <c r="C55" s="819">
        <f>' QUICK OVERVIEW- Inputs&amp;Outputs'!$H$10</f>
        <v>0</v>
      </c>
      <c r="D55" s="819">
        <f>' QUICK OVERVIEW- Inputs&amp;Outputs'!$L$10</f>
        <v>13978.21</v>
      </c>
      <c r="E55" s="1597">
        <f>' QUICK OVERVIEW- Inputs&amp;Outputs'!$P$10</f>
        <v>0</v>
      </c>
      <c r="F55" s="1597">
        <f>' QUICK OVERVIEW- Inputs&amp;Outputs'!$T$10</f>
        <v>0</v>
      </c>
      <c r="G55" s="823">
        <f>(B55*C55)+(B55*D55)+(B55*E55)+(B55*F55)</f>
        <v>977636.00739999989</v>
      </c>
      <c r="H55" s="824">
        <f t="shared" ref="H55:H59" si="3">G55*31.4236</f>
        <v>30720842.842134636</v>
      </c>
    </row>
    <row r="56" spans="1:12" ht="15.75" x14ac:dyDescent="0.25">
      <c r="A56" s="248" t="s">
        <v>139</v>
      </c>
      <c r="B56" s="809">
        <v>50.93</v>
      </c>
      <c r="C56" s="819">
        <f>' QUICK OVERVIEW- Inputs&amp;Outputs'!$H$10</f>
        <v>0</v>
      </c>
      <c r="D56" s="819">
        <f>' QUICK OVERVIEW- Inputs&amp;Outputs'!$L$10</f>
        <v>13978.21</v>
      </c>
      <c r="E56" s="1597">
        <f>' QUICK OVERVIEW- Inputs&amp;Outputs'!$P$10</f>
        <v>0</v>
      </c>
      <c r="F56" s="1597">
        <f>' QUICK OVERVIEW- Inputs&amp;Outputs'!$T$10</f>
        <v>0</v>
      </c>
      <c r="G56" s="823">
        <f>(B56*C56)+(B56*D56)+(B56*E56)+(B56*F56)</f>
        <v>711910.23529999994</v>
      </c>
      <c r="H56" s="824">
        <f t="shared" si="3"/>
        <v>22370782.46997308</v>
      </c>
    </row>
    <row r="57" spans="1:12" ht="15.75" x14ac:dyDescent="0.25">
      <c r="A57" s="248" t="s">
        <v>141</v>
      </c>
      <c r="B57" s="809">
        <v>46.08</v>
      </c>
      <c r="C57" s="819">
        <f>' QUICK OVERVIEW- Inputs&amp;Outputs'!$H$10</f>
        <v>0</v>
      </c>
      <c r="D57" s="819">
        <f>' QUICK OVERVIEW- Inputs&amp;Outputs'!$L$10</f>
        <v>13978.21</v>
      </c>
      <c r="E57" s="1597">
        <f>' QUICK OVERVIEW- Inputs&amp;Outputs'!$P$10</f>
        <v>0</v>
      </c>
      <c r="F57" s="1597">
        <f>' QUICK OVERVIEW- Inputs&amp;Outputs'!$T$10</f>
        <v>0</v>
      </c>
      <c r="G57" s="823">
        <f t="shared" ref="G57:G58" si="4">(B57*C57)+(B57*D57)+(B57*E57)+(B57*F57)</f>
        <v>644115.91679999989</v>
      </c>
      <c r="H57" s="824">
        <f t="shared" si="3"/>
        <v>20240440.923156478</v>
      </c>
    </row>
    <row r="58" spans="1:12" ht="15.75" x14ac:dyDescent="0.25">
      <c r="A58" s="248" t="s">
        <v>142</v>
      </c>
      <c r="B58" s="809">
        <v>43.35</v>
      </c>
      <c r="C58" s="819">
        <f>' QUICK OVERVIEW- Inputs&amp;Outputs'!$H$10</f>
        <v>0</v>
      </c>
      <c r="D58" s="819">
        <f>' QUICK OVERVIEW- Inputs&amp;Outputs'!$L$10</f>
        <v>13978.21</v>
      </c>
      <c r="E58" s="1597">
        <f>' QUICK OVERVIEW- Inputs&amp;Outputs'!$P$10</f>
        <v>0</v>
      </c>
      <c r="F58" s="1597">
        <f>' QUICK OVERVIEW- Inputs&amp;Outputs'!$T$10</f>
        <v>0</v>
      </c>
      <c r="G58" s="823">
        <f t="shared" si="4"/>
        <v>605955.40350000001</v>
      </c>
      <c r="H58" s="824">
        <f t="shared" si="3"/>
        <v>19041300.217422601</v>
      </c>
    </row>
    <row r="59" spans="1:12" ht="15.75" x14ac:dyDescent="0.25">
      <c r="A59" s="248" t="s">
        <v>143</v>
      </c>
      <c r="B59" s="809">
        <v>37.869999999999997</v>
      </c>
      <c r="C59" s="819">
        <f>' QUICK OVERVIEW- Inputs&amp;Outputs'!$H$10</f>
        <v>0</v>
      </c>
      <c r="D59" s="819">
        <f>' QUICK OVERVIEW- Inputs&amp;Outputs'!$L$10</f>
        <v>13978.21</v>
      </c>
      <c r="E59" s="1597">
        <f>' QUICK OVERVIEW- Inputs&amp;Outputs'!$P$10</f>
        <v>0</v>
      </c>
      <c r="F59" s="1597">
        <f>' QUICK OVERVIEW- Inputs&amp;Outputs'!$T$10</f>
        <v>0</v>
      </c>
      <c r="G59" s="823">
        <f>(B59*C59)+(B59*D59)+(B59*E59)+(B59*F59)</f>
        <v>529354.81269999989</v>
      </c>
      <c r="H59" s="824">
        <f t="shared" si="3"/>
        <v>16634233.892359717</v>
      </c>
    </row>
    <row r="60" spans="1:12" s="230" customFormat="1" ht="16.5" thickBot="1" x14ac:dyDescent="0.3">
      <c r="A60" s="1619" t="s">
        <v>1564</v>
      </c>
      <c r="B60" s="1620">
        <f>' QUICK OVERVIEW- Inputs&amp;Outputs'!$C$41</f>
        <v>0</v>
      </c>
      <c r="C60" s="1621">
        <f>' QUICK OVERVIEW- Inputs&amp;Outputs'!$H$10</f>
        <v>0</v>
      </c>
      <c r="D60" s="1621">
        <f>' QUICK OVERVIEW- Inputs&amp;Outputs'!$L$10</f>
        <v>13978.21</v>
      </c>
      <c r="E60" s="1002">
        <f>' QUICK OVERVIEW- Inputs&amp;Outputs'!$P$10</f>
        <v>0</v>
      </c>
      <c r="F60" s="1002">
        <f>' QUICK OVERVIEW- Inputs&amp;Outputs'!$T$10</f>
        <v>0</v>
      </c>
      <c r="G60" s="822">
        <f>(B60*C60)+(B60*D60)+(B60*E60)+(B60*F60)</f>
        <v>0</v>
      </c>
      <c r="H60" s="825">
        <f>G60*31.4236</f>
        <v>0</v>
      </c>
    </row>
    <row r="61" spans="1:12" ht="21" x14ac:dyDescent="0.25">
      <c r="H61" s="121"/>
    </row>
  </sheetData>
  <mergeCells count="58">
    <mergeCell ref="O1:W1"/>
    <mergeCell ref="O2:W2"/>
    <mergeCell ref="A3:H3"/>
    <mergeCell ref="M3:Z3"/>
    <mergeCell ref="A4:H4"/>
    <mergeCell ref="M4:Z4"/>
    <mergeCell ref="C5:C7"/>
    <mergeCell ref="D5:D7"/>
    <mergeCell ref="E5:E7"/>
    <mergeCell ref="F5:F7"/>
    <mergeCell ref="A1:I1"/>
    <mergeCell ref="T6:T8"/>
    <mergeCell ref="U6:U8"/>
    <mergeCell ref="V6:V8"/>
    <mergeCell ref="W6:W8"/>
    <mergeCell ref="A8:A9"/>
    <mergeCell ref="G8:G9"/>
    <mergeCell ref="H8:H9"/>
    <mergeCell ref="I8:I9"/>
    <mergeCell ref="G5:G7"/>
    <mergeCell ref="H5:H7"/>
    <mergeCell ref="I6:I7"/>
    <mergeCell ref="M6:M8"/>
    <mergeCell ref="N6:N8"/>
    <mergeCell ref="O6:O8"/>
    <mergeCell ref="A5:A7"/>
    <mergeCell ref="B5:B7"/>
    <mergeCell ref="A10:A11"/>
    <mergeCell ref="G10:G11"/>
    <mergeCell ref="H10:H11"/>
    <mergeCell ref="G13:G14"/>
    <mergeCell ref="H13:H14"/>
    <mergeCell ref="G17:G18"/>
    <mergeCell ref="H17:H18"/>
    <mergeCell ref="I17:I18"/>
    <mergeCell ref="Q17:Q20"/>
    <mergeCell ref="X17:X18"/>
    <mergeCell ref="G19:G20"/>
    <mergeCell ref="H19:H20"/>
    <mergeCell ref="I19:I20"/>
    <mergeCell ref="X19:X20"/>
    <mergeCell ref="X13:X14"/>
    <mergeCell ref="G15:G16"/>
    <mergeCell ref="H15:H16"/>
    <mergeCell ref="I15:I16"/>
    <mergeCell ref="X15:X16"/>
    <mergeCell ref="I13:I14"/>
    <mergeCell ref="A49:H50"/>
    <mergeCell ref="X23:X24"/>
    <mergeCell ref="A27:D27"/>
    <mergeCell ref="G21:G22"/>
    <mergeCell ref="H21:H22"/>
    <mergeCell ref="I21:I22"/>
    <mergeCell ref="Q21:Q24"/>
    <mergeCell ref="X21:X22"/>
    <mergeCell ref="G23:G24"/>
    <mergeCell ref="H23:H24"/>
    <mergeCell ref="I23:I24"/>
  </mergeCells>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E362FF-79E9-4B55-9B38-513D56377793}">
  <dimension ref="A1:AA27"/>
  <sheetViews>
    <sheetView topLeftCell="G1" zoomScale="93" zoomScaleNormal="93" workbookViewId="0">
      <selection activeCell="K11" sqref="K11"/>
    </sheetView>
  </sheetViews>
  <sheetFormatPr defaultRowHeight="15" x14ac:dyDescent="0.25"/>
  <cols>
    <col min="1" max="1" width="58.140625" customWidth="1"/>
    <col min="2" max="2" width="45.28515625" customWidth="1"/>
    <col min="3" max="3" width="40.140625" customWidth="1"/>
    <col min="4" max="4" width="34.85546875" customWidth="1"/>
    <col min="5" max="5" width="16.28515625" customWidth="1"/>
    <col min="6" max="6" width="44.28515625" customWidth="1"/>
    <col min="7" max="7" width="14" customWidth="1"/>
    <col min="8" max="8" width="76.28515625" customWidth="1"/>
    <col min="13" max="13" width="27.28515625" customWidth="1"/>
    <col min="14" max="14" width="42.7109375" customWidth="1"/>
    <col min="15" max="15" width="13.85546875" customWidth="1"/>
    <col min="16" max="16" width="21.85546875" customWidth="1"/>
    <col min="20" max="20" width="20.140625" customWidth="1"/>
    <col min="25" max="25" width="16.42578125" customWidth="1"/>
    <col min="26" max="26" width="36.42578125" customWidth="1"/>
  </cols>
  <sheetData>
    <row r="1" spans="1:27" ht="48" customHeight="1" thickBot="1" x14ac:dyDescent="0.3">
      <c r="A1" s="2698" t="s">
        <v>1255</v>
      </c>
      <c r="B1" s="2699"/>
      <c r="C1" s="2699"/>
      <c r="D1" s="2699"/>
      <c r="E1" s="2699"/>
      <c r="F1" s="2699"/>
      <c r="G1" s="2699"/>
      <c r="H1" s="2699"/>
      <c r="I1" s="2700"/>
      <c r="J1" s="101"/>
      <c r="K1" s="101"/>
      <c r="L1" s="101"/>
      <c r="M1" s="101"/>
      <c r="N1" s="101"/>
      <c r="O1" s="2602"/>
      <c r="P1" s="2602"/>
      <c r="Q1" s="2602"/>
      <c r="R1" s="2602"/>
      <c r="S1" s="2602"/>
      <c r="T1" s="2602"/>
      <c r="U1" s="2602"/>
      <c r="V1" s="2602"/>
      <c r="W1" s="2602"/>
      <c r="X1" s="101"/>
      <c r="Y1" s="101"/>
      <c r="Z1" s="101"/>
      <c r="AA1" s="101"/>
    </row>
    <row r="2" spans="1:27" s="100" customFormat="1" ht="18" customHeight="1" thickBot="1" x14ac:dyDescent="0.3">
      <c r="A2" s="918"/>
      <c r="B2" s="918"/>
      <c r="C2" s="918"/>
      <c r="D2" s="918"/>
      <c r="E2" s="918"/>
      <c r="F2" s="918"/>
      <c r="G2" s="918"/>
      <c r="H2" s="918"/>
      <c r="I2" s="918"/>
      <c r="J2" s="101"/>
      <c r="K2" s="101"/>
      <c r="L2" s="101"/>
      <c r="M2" s="101"/>
      <c r="N2" s="101"/>
      <c r="O2" s="912"/>
      <c r="P2" s="912"/>
      <c r="Q2" s="912"/>
      <c r="R2" s="912"/>
      <c r="S2" s="912"/>
      <c r="T2" s="912"/>
      <c r="U2" s="912"/>
      <c r="V2" s="912"/>
      <c r="W2" s="912"/>
      <c r="X2" s="101"/>
      <c r="Y2" s="101"/>
      <c r="Z2" s="101"/>
      <c r="AA2" s="101"/>
    </row>
    <row r="3" spans="1:27" s="100" customFormat="1" ht="48" customHeight="1" thickBot="1" x14ac:dyDescent="0.3">
      <c r="A3" s="2704" t="s">
        <v>1563</v>
      </c>
      <c r="B3" s="2705"/>
      <c r="C3" s="2705"/>
      <c r="D3" s="2705"/>
      <c r="E3" s="2705"/>
      <c r="F3" s="2705"/>
      <c r="G3" s="2705"/>
      <c r="H3" s="2705"/>
      <c r="I3" s="2705"/>
      <c r="J3" s="2705"/>
      <c r="K3" s="2705"/>
      <c r="L3" s="2705"/>
      <c r="M3" s="2705"/>
      <c r="N3" s="2706"/>
      <c r="O3" s="912"/>
      <c r="P3" s="912"/>
      <c r="Q3" s="912"/>
      <c r="R3" s="912"/>
      <c r="S3" s="912"/>
      <c r="T3" s="912"/>
      <c r="U3" s="912"/>
      <c r="V3" s="912"/>
      <c r="W3" s="912"/>
      <c r="X3" s="101"/>
      <c r="Y3" s="101"/>
      <c r="Z3" s="101"/>
      <c r="AA3" s="101"/>
    </row>
    <row r="4" spans="1:27" s="100" customFormat="1" ht="48" customHeight="1" x14ac:dyDescent="0.25">
      <c r="A4" s="650" t="s">
        <v>936</v>
      </c>
      <c r="B4" s="651" t="s">
        <v>16</v>
      </c>
      <c r="C4" s="652" t="s">
        <v>937</v>
      </c>
      <c r="D4" s="653" t="s">
        <v>160</v>
      </c>
      <c r="E4" s="652" t="s">
        <v>161</v>
      </c>
      <c r="F4" s="652" t="s">
        <v>951</v>
      </c>
      <c r="G4" s="652" t="s">
        <v>938</v>
      </c>
      <c r="H4" s="652" t="s">
        <v>939</v>
      </c>
      <c r="I4" s="652" t="s">
        <v>940</v>
      </c>
      <c r="J4" s="652" t="s">
        <v>941</v>
      </c>
      <c r="K4" s="652" t="s">
        <v>942</v>
      </c>
      <c r="L4" s="654" t="s">
        <v>1235</v>
      </c>
      <c r="M4" s="652" t="s">
        <v>952</v>
      </c>
      <c r="N4" s="636" t="s">
        <v>311</v>
      </c>
      <c r="O4" s="912"/>
      <c r="P4" s="912"/>
      <c r="Q4" s="912"/>
      <c r="R4" s="912"/>
      <c r="S4" s="912"/>
      <c r="T4" s="912"/>
      <c r="U4" s="912"/>
      <c r="V4" s="912"/>
      <c r="W4" s="912"/>
      <c r="X4" s="101"/>
      <c r="Y4" s="101"/>
      <c r="Z4" s="101"/>
      <c r="AA4" s="101"/>
    </row>
    <row r="5" spans="1:27" s="100" customFormat="1" ht="21" customHeight="1" x14ac:dyDescent="0.25">
      <c r="A5" s="2624" t="s">
        <v>943</v>
      </c>
      <c r="B5" s="2592" t="s">
        <v>73</v>
      </c>
      <c r="C5" s="2555">
        <v>12</v>
      </c>
      <c r="D5" s="655" t="s">
        <v>92</v>
      </c>
      <c r="E5" s="655" t="s">
        <v>162</v>
      </c>
      <c r="F5" s="656">
        <v>2.92</v>
      </c>
      <c r="G5" s="657">
        <v>1.7</v>
      </c>
      <c r="H5" s="2555" t="s">
        <v>944</v>
      </c>
      <c r="I5" s="2587">
        <v>20</v>
      </c>
      <c r="J5" s="2616">
        <v>10.4</v>
      </c>
      <c r="K5" s="2555">
        <f>' QUICK OVERVIEW- Inputs&amp;Outputs'!$C$37</f>
        <v>0</v>
      </c>
      <c r="L5" s="1427">
        <f>(' QUICK OVERVIEW- Inputs&amp;Outputs'!C34) * ('Waste Mass Calculations'!D12+'Waste Mass Calculations'!D14+'Waste Mass Calculations'!D16+'Waste Mass Calculations'!D39)/('Cost-Benefit Tab_Digester'!O6) * 2</f>
        <v>0</v>
      </c>
      <c r="M5" s="617" t="e">
        <f>(' QUICK OVERVIEW- Inputs&amp;Outputs'!C34) * ('Waste Mass Calculations'!D12+'Waste Mass Calculations'!D14+'Waste Mass Calculations'!D16+'Waste Mass Calculations'!D39)/('Cost-Benefit Tab_Digester'!O6) * 2 * (('Cost-Benefit Tab_Digester'!R6)/('Cost-Benefit Tab_Digester'!S6) + (('Cost-Benefit Tab_Digester'!U6) + ('Cost-Benefit Tab_Digester'!V6))/('Cost-Benefit Tab_Digester'!W6))*' QUICK OVERVIEW- Inputs&amp;Outputs'!C34</f>
        <v>#DIV/0!</v>
      </c>
      <c r="N5" s="658" t="e">
        <f t="shared" ref="N5:N9" si="0">M5*31.4236</f>
        <v>#DIV/0!</v>
      </c>
      <c r="O5" s="912"/>
      <c r="P5" s="912"/>
      <c r="Q5" s="912"/>
      <c r="R5" s="912"/>
      <c r="S5" s="912"/>
      <c r="T5" s="912"/>
      <c r="U5" s="912"/>
      <c r="V5" s="912"/>
      <c r="W5" s="912"/>
      <c r="X5" s="101"/>
      <c r="Y5" s="101"/>
      <c r="Z5" s="101"/>
      <c r="AA5" s="101"/>
    </row>
    <row r="6" spans="1:27" s="100" customFormat="1" ht="17.25" customHeight="1" x14ac:dyDescent="0.25">
      <c r="A6" s="2625"/>
      <c r="B6" s="2593"/>
      <c r="C6" s="2556"/>
      <c r="D6" s="655" t="s">
        <v>93</v>
      </c>
      <c r="E6" s="655" t="s">
        <v>371</v>
      </c>
      <c r="F6" s="656">
        <v>0.11</v>
      </c>
      <c r="G6" s="657">
        <v>4.4000000000000004</v>
      </c>
      <c r="H6" s="2556"/>
      <c r="I6" s="2588"/>
      <c r="J6" s="2617"/>
      <c r="K6" s="2556"/>
      <c r="L6" s="1427">
        <f>(' QUICK OVERVIEW- Inputs&amp;Outputs'!C34) * ('Waste Mass Calculations'!D12+'Waste Mass Calculations'!D14+'Waste Mass Calculations'!D16+'Waste Mass Calculations'!D39)/('Cost-Benefit Tab_Digester'!O6) * 2</f>
        <v>0</v>
      </c>
      <c r="M6" s="617" t="e">
        <f>(' QUICK OVERVIEW- Inputs&amp;Outputs'!C34)* ('Waste Mass Calculations'!D12+'Waste Mass Calculations'!D14+'Waste Mass Calculations'!D16+'Waste Mass Calculations'!D39)/('Cost-Benefit Tab_Digester'!O6) * 2 * (('Cost-Benefit Tab_Digester'!R7)/('Cost-Benefit Tab_Digester'!S7) + (('Cost-Benefit Tab_Digester'!U6) + ('Cost-Benefit Tab_Digester'!V6))/('Cost-Benefit Tab_Digester'!W6))*' QUICK OVERVIEW- Inputs&amp;Outputs'!C34</f>
        <v>#DIV/0!</v>
      </c>
      <c r="N6" s="658" t="e">
        <f t="shared" si="0"/>
        <v>#DIV/0!</v>
      </c>
      <c r="O6" s="912"/>
      <c r="P6" s="912"/>
      <c r="Q6" s="912"/>
      <c r="R6" s="912"/>
      <c r="S6" s="912"/>
      <c r="T6" s="912"/>
      <c r="U6" s="912"/>
      <c r="V6" s="912"/>
      <c r="W6" s="912"/>
      <c r="X6" s="101"/>
      <c r="Y6" s="101"/>
      <c r="Z6" s="101"/>
      <c r="AA6" s="101"/>
    </row>
    <row r="7" spans="1:27" s="100" customFormat="1" ht="16.5" customHeight="1" x14ac:dyDescent="0.25">
      <c r="A7" s="2626"/>
      <c r="B7" s="2594"/>
      <c r="C7" s="2557"/>
      <c r="D7" s="655" t="s">
        <v>1722</v>
      </c>
      <c r="E7" s="655" t="s">
        <v>164</v>
      </c>
      <c r="F7" s="656">
        <v>1.82</v>
      </c>
      <c r="G7" s="657">
        <v>1.5</v>
      </c>
      <c r="H7" s="2557"/>
      <c r="I7" s="2589"/>
      <c r="J7" s="2618"/>
      <c r="K7" s="2557"/>
      <c r="L7" s="1427">
        <f>(' QUICK OVERVIEW- Inputs&amp;Outputs'!C34) * ('Waste Mass Calculations'!D12+'Waste Mass Calculations'!D14+'Waste Mass Calculations'!D16+'Waste Mass Calculations'!D39)/('Cost-Benefit Tab_Digester'!O6) * 2</f>
        <v>0</v>
      </c>
      <c r="M7" s="617" t="e">
        <f>(' QUICK OVERVIEW- Inputs&amp;Outputs'!C34)* ('Waste Mass Calculations'!D12+'Waste Mass Calculations'!D14+'Waste Mass Calculations'!D16+'Waste Mass Calculations'!D39)/('Cost-Benefit Tab_Digester'!O6) * 2 * (('Cost-Benefit Tab_Digester'!R8)/('Cost-Benefit Tab_Digester'!S8) + (('Cost-Benefit Tab_Digester'!U6) + ('Cost-Benefit Tab_Digester'!V6))/('Cost-Benefit Tab_Digester'!W6))*' QUICK OVERVIEW- Inputs&amp;Outputs'!C34</f>
        <v>#DIV/0!</v>
      </c>
      <c r="N7" s="658" t="e">
        <f t="shared" si="0"/>
        <v>#DIV/0!</v>
      </c>
      <c r="O7" s="912"/>
      <c r="P7" s="912"/>
      <c r="Q7" s="912"/>
      <c r="R7" s="912"/>
      <c r="S7" s="912"/>
      <c r="T7" s="912"/>
      <c r="U7" s="912"/>
      <c r="V7" s="912"/>
      <c r="W7" s="912"/>
      <c r="X7" s="101"/>
      <c r="Y7" s="101"/>
      <c r="Z7" s="101"/>
      <c r="AA7" s="101"/>
    </row>
    <row r="8" spans="1:27" s="100" customFormat="1" ht="20.25" customHeight="1" x14ac:dyDescent="0.25">
      <c r="A8" s="659" t="s">
        <v>945</v>
      </c>
      <c r="B8" s="660" t="s">
        <v>946</v>
      </c>
      <c r="C8" s="657">
        <v>4.25</v>
      </c>
      <c r="D8" s="655" t="s">
        <v>92</v>
      </c>
      <c r="E8" s="655" t="s">
        <v>162</v>
      </c>
      <c r="F8" s="656">
        <v>2.92</v>
      </c>
      <c r="G8" s="657">
        <v>4.4400000000000004</v>
      </c>
      <c r="H8" s="657" t="s">
        <v>947</v>
      </c>
      <c r="I8" s="661">
        <v>20</v>
      </c>
      <c r="J8" s="662">
        <v>10.4</v>
      </c>
      <c r="K8" s="657">
        <f>' QUICK OVERVIEW- Inputs&amp;Outputs'!$C$37</f>
        <v>0</v>
      </c>
      <c r="L8" s="1427">
        <f>(' QUICK OVERVIEW- Inputs&amp;Outputs'!C34)* ('Waste Mass Calculations'!D21+'Waste Mass Calculations'!D23+'Waste Mass Calculations'!D58)/('Cost-Benefit Tab_Digester'!O9) * 2</f>
        <v>0</v>
      </c>
      <c r="M8" s="617" t="e">
        <f>(' QUICK OVERVIEW- Inputs&amp;Outputs'!C34)* ('Waste Mass Calculations'!D21+'Waste Mass Calculations'!D23+'Waste Mass Calculations'!D58)/('Cost-Benefit Tab_Digester'!O9) * 2 * (('Cost-Benefit Tab_Digester'!R9)/('Cost-Benefit Tab_Digester'!S9) + ((I8))/(K8))*' QUICK OVERVIEW- Inputs&amp;Outputs'!C34</f>
        <v>#DIV/0!</v>
      </c>
      <c r="N8" s="658" t="e">
        <f t="shared" si="0"/>
        <v>#DIV/0!</v>
      </c>
      <c r="O8" s="912"/>
      <c r="P8" s="912"/>
      <c r="Q8" s="912"/>
      <c r="R8" s="912"/>
      <c r="S8" s="912"/>
      <c r="T8" s="912"/>
      <c r="U8" s="912"/>
      <c r="V8" s="912"/>
      <c r="W8" s="912"/>
      <c r="X8" s="101"/>
      <c r="Y8" s="101"/>
      <c r="Z8" s="101"/>
      <c r="AA8" s="101"/>
    </row>
    <row r="9" spans="1:27" ht="18.75" x14ac:dyDescent="0.25">
      <c r="A9" s="659" t="s">
        <v>948</v>
      </c>
      <c r="B9" s="660" t="s">
        <v>949</v>
      </c>
      <c r="C9" s="657">
        <v>2.58</v>
      </c>
      <c r="D9" s="655" t="s">
        <v>92</v>
      </c>
      <c r="E9" s="655" t="s">
        <v>162</v>
      </c>
      <c r="F9" s="656">
        <v>2.92</v>
      </c>
      <c r="G9" s="657">
        <v>14.5</v>
      </c>
      <c r="H9" s="657" t="s">
        <v>944</v>
      </c>
      <c r="I9" s="661">
        <v>10</v>
      </c>
      <c r="J9" s="661">
        <v>10</v>
      </c>
      <c r="K9" s="657">
        <f>' QUICK OVERVIEW- Inputs&amp;Outputs'!$C$37</f>
        <v>0</v>
      </c>
      <c r="L9" s="1427">
        <f>(' QUICK OVERVIEW- Inputs&amp;Outputs'!C34) * ('Waste Mass Calculations'!D44+'Waste Mass Calculations'!D46+'Waste Mass Calculations'!D48)/('Cost-Benefit Tab_Digester'!O10) * 2</f>
        <v>0</v>
      </c>
      <c r="M9" s="617" t="e">
        <f>(' QUICK OVERVIEW- Inputs&amp;Outputs'!C34) * ('Waste Mass Calculations'!D44+'Waste Mass Calculations'!D46+'Waste Mass Calculations'!D48)/('Cost-Benefit Tab_Digester'!O10) * 2 * (('Cost-Benefit Tab_Digester'!R10)/('Cost-Benefit Tab_Digester'!S10) + (('Cost-Benefit Tab_Digester'!U10) + ('Cost-Benefit Tab_Digester'!V10))/('Cost-Benefit Tab_Digester'!W10))*' QUICK OVERVIEW- Inputs&amp;Outputs'!C34</f>
        <v>#DIV/0!</v>
      </c>
      <c r="N9" s="658" t="e">
        <f t="shared" si="0"/>
        <v>#DIV/0!</v>
      </c>
      <c r="O9" s="2609"/>
      <c r="P9" s="2609"/>
      <c r="Q9" s="2609"/>
      <c r="R9" s="2609"/>
      <c r="S9" s="2609"/>
      <c r="T9" s="2609"/>
      <c r="U9" s="2609"/>
      <c r="V9" s="2609"/>
      <c r="W9" s="2609"/>
      <c r="X9" s="56"/>
      <c r="Y9" s="230"/>
      <c r="Z9" s="230"/>
      <c r="AA9" s="230"/>
    </row>
    <row r="10" spans="1:27" ht="15.75" thickBot="1" x14ac:dyDescent="0.3">
      <c r="A10" s="663" t="s">
        <v>950</v>
      </c>
      <c r="B10" s="664" t="s">
        <v>946</v>
      </c>
      <c r="C10" s="665">
        <v>12</v>
      </c>
      <c r="D10" s="666" t="s">
        <v>92</v>
      </c>
      <c r="E10" s="666" t="s">
        <v>162</v>
      </c>
      <c r="F10" s="1433">
        <v>2.92</v>
      </c>
      <c r="G10" s="665">
        <v>1.7</v>
      </c>
      <c r="H10" s="665" t="s">
        <v>944</v>
      </c>
      <c r="I10" s="1431">
        <v>20</v>
      </c>
      <c r="J10" s="1430">
        <v>10.4</v>
      </c>
      <c r="K10" s="665">
        <f>' QUICK OVERVIEW- Inputs&amp;Outputs'!$C$37</f>
        <v>0</v>
      </c>
      <c r="L10" s="160">
        <f>(' QUICK OVERVIEW- Inputs&amp;Outputs'!C34) * ('Waste Mass Calculations'!E63+'Waste Mass Calculations'!E68+'Waste Mass Calculations'!E69+'Waste Mass Calculations'!E70)/('Cost-Benefit Tab_Digester'!O11)*2</f>
        <v>0</v>
      </c>
      <c r="M10" s="671" t="e">
        <f>(' QUICK OVERVIEW- Inputs&amp;Outputs'!C34)* ('Waste Mass Calculations'!E63+'Waste Mass Calculations'!E68+'Waste Mass Calculations'!E69+'Waste Mass Calculations'!E70)/('Cost-Benefit Tab_Digester'!O11)*2* (('Cost-Benefit Tab_Digester'!R11)/('Cost-Benefit Tab_Digester'!S11) + (('Cost-Benefit Tab_Digester'!U11) + ('Cost-Benefit Tab_Digester'!V11))/('Cost-Benefit Tab_Digester'!W11))</f>
        <v>#DIV/0!</v>
      </c>
      <c r="N10" s="1432" t="e">
        <f>M10*31.4236</f>
        <v>#DIV/0!</v>
      </c>
      <c r="O10" s="230"/>
      <c r="P10" s="230"/>
      <c r="Q10" s="230"/>
      <c r="R10" s="230"/>
      <c r="S10" s="230"/>
      <c r="T10" s="230"/>
      <c r="U10" s="230"/>
      <c r="V10" s="230"/>
      <c r="W10" s="230"/>
      <c r="X10" s="230"/>
      <c r="Y10" s="230"/>
      <c r="Z10" s="230"/>
      <c r="AA10" s="230"/>
    </row>
    <row r="11" spans="1:27" x14ac:dyDescent="0.25">
      <c r="A11" s="230"/>
      <c r="B11" s="230"/>
      <c r="C11" s="230"/>
      <c r="D11" s="230"/>
      <c r="E11" s="230"/>
      <c r="F11" s="230"/>
      <c r="G11" s="230"/>
      <c r="H11" s="230"/>
      <c r="I11" s="230"/>
      <c r="J11" s="230"/>
      <c r="K11" s="230"/>
      <c r="L11" s="230"/>
      <c r="M11" s="230"/>
      <c r="N11" s="230"/>
      <c r="O11" s="230"/>
      <c r="P11" s="230"/>
      <c r="Q11" s="230"/>
      <c r="R11" s="230"/>
      <c r="S11" s="230"/>
      <c r="T11" s="230"/>
      <c r="U11" s="230"/>
      <c r="V11" s="230"/>
      <c r="W11" s="230"/>
      <c r="X11" s="230"/>
      <c r="Y11" s="230"/>
      <c r="Z11" s="230"/>
      <c r="AA11" s="230"/>
    </row>
    <row r="12" spans="1:27" ht="16.5" thickBot="1" x14ac:dyDescent="0.3">
      <c r="A12" s="2707" t="s">
        <v>1084</v>
      </c>
      <c r="B12" s="2708"/>
      <c r="C12" s="919"/>
      <c r="D12" s="919"/>
      <c r="E12" s="230"/>
      <c r="F12" s="230"/>
      <c r="G12" s="230"/>
      <c r="H12" s="230"/>
      <c r="I12" s="230"/>
      <c r="J12" s="230"/>
      <c r="K12" s="230"/>
      <c r="L12" s="230"/>
      <c r="M12" s="230"/>
      <c r="N12" s="230"/>
      <c r="O12" s="230"/>
      <c r="P12" s="230"/>
      <c r="Q12" s="230"/>
      <c r="R12" s="230"/>
      <c r="S12" s="230"/>
      <c r="T12" s="230"/>
      <c r="U12" s="230"/>
      <c r="V12" s="230"/>
      <c r="W12" s="230"/>
      <c r="X12" s="230"/>
      <c r="Y12" s="230"/>
      <c r="Z12" s="230"/>
      <c r="AA12" s="230"/>
    </row>
    <row r="13" spans="1:27" ht="93.75" customHeight="1" thickBot="1" x14ac:dyDescent="0.3">
      <c r="A13" s="777" t="s">
        <v>538</v>
      </c>
      <c r="B13" s="903" t="s">
        <v>537</v>
      </c>
      <c r="E13" s="230"/>
      <c r="F13" s="230"/>
      <c r="G13" s="230"/>
      <c r="H13" s="230"/>
      <c r="I13" s="230"/>
      <c r="J13" s="230"/>
      <c r="K13" s="230"/>
      <c r="L13" s="230"/>
      <c r="M13" s="230"/>
      <c r="N13" s="230"/>
      <c r="O13" s="230"/>
      <c r="P13" s="230"/>
      <c r="Q13" s="230"/>
      <c r="R13" s="230"/>
      <c r="S13" s="230"/>
      <c r="T13" s="230"/>
      <c r="U13" s="230"/>
      <c r="V13" s="230"/>
      <c r="W13" s="230"/>
      <c r="X13" s="230"/>
      <c r="Y13" s="230"/>
      <c r="Z13" s="230"/>
      <c r="AA13" s="230"/>
    </row>
    <row r="14" spans="1:27" ht="15.75" x14ac:dyDescent="0.25">
      <c r="A14" s="854" t="s">
        <v>102</v>
      </c>
      <c r="B14" s="904" t="e">
        <f t="shared" ref="B14:B19" si="1">N5</f>
        <v>#DIV/0!</v>
      </c>
      <c r="E14" s="230"/>
      <c r="F14" s="230"/>
      <c r="G14" s="230"/>
      <c r="H14" s="230"/>
      <c r="I14" s="230"/>
      <c r="J14" s="230"/>
      <c r="K14" s="230"/>
      <c r="L14" s="230"/>
      <c r="AA14" s="230"/>
    </row>
    <row r="15" spans="1:27" ht="15.75" x14ac:dyDescent="0.25">
      <c r="A15" s="855" t="s">
        <v>90</v>
      </c>
      <c r="B15" s="905" t="e">
        <f t="shared" si="1"/>
        <v>#DIV/0!</v>
      </c>
      <c r="E15" s="230"/>
      <c r="F15" s="230"/>
      <c r="G15" s="230"/>
      <c r="H15" s="230"/>
      <c r="I15" s="230"/>
      <c r="J15" s="230"/>
      <c r="K15" s="230"/>
      <c r="L15" s="230"/>
      <c r="AA15" s="230"/>
    </row>
    <row r="16" spans="1:27" ht="15.75" x14ac:dyDescent="0.25">
      <c r="A16" s="855" t="s">
        <v>1743</v>
      </c>
      <c r="B16" s="905" t="e">
        <f t="shared" si="1"/>
        <v>#DIV/0!</v>
      </c>
      <c r="E16" s="230"/>
      <c r="F16" s="230"/>
      <c r="G16" s="230"/>
      <c r="H16" s="230"/>
      <c r="I16" s="230"/>
      <c r="J16" s="230"/>
      <c r="K16" s="230"/>
      <c r="L16" s="230"/>
      <c r="AA16" s="230"/>
    </row>
    <row r="17" spans="1:27" ht="18" customHeight="1" x14ac:dyDescent="0.25">
      <c r="A17" s="906" t="s">
        <v>1555</v>
      </c>
      <c r="B17" s="905" t="e">
        <f t="shared" si="1"/>
        <v>#DIV/0!</v>
      </c>
      <c r="E17" s="230"/>
      <c r="F17" s="230"/>
      <c r="G17" s="230"/>
      <c r="H17" s="230"/>
      <c r="I17" s="230"/>
      <c r="J17" s="230"/>
      <c r="K17" s="230"/>
      <c r="L17" s="230"/>
      <c r="AA17" s="230"/>
    </row>
    <row r="18" spans="1:27" ht="15" customHeight="1" x14ac:dyDescent="0.25">
      <c r="A18" s="906" t="s">
        <v>1556</v>
      </c>
      <c r="B18" s="905" t="e">
        <f t="shared" si="1"/>
        <v>#DIV/0!</v>
      </c>
      <c r="E18" s="230"/>
      <c r="F18" s="230"/>
      <c r="G18" s="230"/>
      <c r="H18" s="230"/>
      <c r="I18" s="230"/>
      <c r="J18" s="230"/>
      <c r="K18" s="230"/>
      <c r="L18" s="230"/>
      <c r="AA18" s="230"/>
    </row>
    <row r="19" spans="1:27" ht="16.5" thickBot="1" x14ac:dyDescent="0.3">
      <c r="A19" s="856" t="s">
        <v>1554</v>
      </c>
      <c r="B19" s="907" t="e">
        <f t="shared" si="1"/>
        <v>#DIV/0!</v>
      </c>
      <c r="E19" s="230"/>
      <c r="F19" s="230"/>
      <c r="G19" s="230"/>
      <c r="H19" s="230"/>
      <c r="I19" s="230"/>
      <c r="J19" s="230"/>
      <c r="K19" s="230"/>
      <c r="L19" s="230"/>
      <c r="AA19" s="230"/>
    </row>
    <row r="20" spans="1:27" s="230" customFormat="1" ht="16.5" thickBot="1" x14ac:dyDescent="0.3">
      <c r="A20" s="909"/>
      <c r="B20" s="910"/>
      <c r="C20" s="715"/>
      <c r="D20" s="715"/>
    </row>
    <row r="21" spans="1:27" ht="55.5" customHeight="1" thickBot="1" x14ac:dyDescent="0.3">
      <c r="A21" s="2698" t="s">
        <v>1310</v>
      </c>
      <c r="B21" s="2699"/>
      <c r="C21" s="2699"/>
      <c r="D21" s="2699"/>
      <c r="E21" s="2699"/>
      <c r="F21" s="2700"/>
    </row>
    <row r="22" spans="1:27" ht="167.25" customHeight="1" thickBot="1" x14ac:dyDescent="0.3">
      <c r="A22" s="1907" t="s">
        <v>28</v>
      </c>
      <c r="B22" s="1908" t="s">
        <v>762</v>
      </c>
      <c r="C22" s="1909" t="s">
        <v>933</v>
      </c>
      <c r="D22" s="1904" t="s">
        <v>1916</v>
      </c>
      <c r="E22" s="1779" t="s">
        <v>760</v>
      </c>
      <c r="F22" s="1910" t="s">
        <v>761</v>
      </c>
    </row>
    <row r="23" spans="1:27" ht="15.75" x14ac:dyDescent="0.25">
      <c r="A23" s="1466" t="s">
        <v>863</v>
      </c>
      <c r="B23" s="1911">
        <v>0</v>
      </c>
      <c r="C23" s="1912">
        <v>0</v>
      </c>
      <c r="D23" s="2701">
        <f>((C24*1308)/2000)*0.5</f>
        <v>9141749.3399999999</v>
      </c>
      <c r="E23" s="1913">
        <v>0</v>
      </c>
      <c r="F23" s="1914">
        <v>0</v>
      </c>
    </row>
    <row r="24" spans="1:27" ht="15.75" x14ac:dyDescent="0.25">
      <c r="A24" s="190" t="s">
        <v>930</v>
      </c>
      <c r="B24" s="870">
        <v>40</v>
      </c>
      <c r="C24" s="2696">
        <f>(' QUICK OVERVIEW- Inputs&amp;Outputs'!H10+' QUICK OVERVIEW- Inputs&amp;Outputs'!L10+' QUICK OVERVIEW- Inputs&amp;Outputs'!P10+' QUICK OVERVIEW- Inputs&amp;Outputs'!T10)*2000</f>
        <v>27956420</v>
      </c>
      <c r="D24" s="2702"/>
      <c r="E24" s="870">
        <f>(C24/1895)*B24</f>
        <v>590109.12928759889</v>
      </c>
      <c r="F24" s="1906">
        <f>(E24-D23)*31.4236</f>
        <v>-268723321.32534224</v>
      </c>
    </row>
    <row r="25" spans="1:27" ht="15.75" x14ac:dyDescent="0.25">
      <c r="A25" s="190" t="s">
        <v>931</v>
      </c>
      <c r="B25" s="870">
        <v>65</v>
      </c>
      <c r="C25" s="2696"/>
      <c r="D25" s="2702"/>
      <c r="E25" s="870">
        <f>(C24/(AVERAGE(5115,5335))*B25)</f>
        <v>347783.21531100478</v>
      </c>
      <c r="F25" s="1906">
        <f>(E25-D23)*31.4236</f>
        <v>-276338073.91577709</v>
      </c>
    </row>
    <row r="26" spans="1:27" ht="15.75" x14ac:dyDescent="0.25">
      <c r="A26" s="190" t="s">
        <v>932</v>
      </c>
      <c r="B26" s="870">
        <v>95</v>
      </c>
      <c r="C26" s="2696"/>
      <c r="D26" s="2702"/>
      <c r="E26" s="870">
        <f>(C24/5065)*B26</f>
        <v>524355.36031589331</v>
      </c>
      <c r="F26" s="1906">
        <f>(E26-D23)*31.4236</f>
        <v>-270789541.46000153</v>
      </c>
    </row>
    <row r="27" spans="1:27" ht="16.5" thickBot="1" x14ac:dyDescent="0.3">
      <c r="A27" s="960" t="s">
        <v>1565</v>
      </c>
      <c r="B27" s="551">
        <f>' QUICK OVERVIEW- Inputs&amp;Outputs'!$C$42</f>
        <v>0</v>
      </c>
      <c r="C27" s="2697"/>
      <c r="D27" s="2703"/>
      <c r="E27" s="871">
        <f>(C24)*B27</f>
        <v>0</v>
      </c>
      <c r="F27" s="1915">
        <f>(E27-D23)*31.4236</f>
        <v>-287266674.56042397</v>
      </c>
    </row>
  </sheetData>
  <mergeCells count="15">
    <mergeCell ref="A1:I1"/>
    <mergeCell ref="O1:W1"/>
    <mergeCell ref="O9:W9"/>
    <mergeCell ref="A3:N3"/>
    <mergeCell ref="A12:B12"/>
    <mergeCell ref="C24:C27"/>
    <mergeCell ref="I5:I7"/>
    <mergeCell ref="J5:J7"/>
    <mergeCell ref="K5:K7"/>
    <mergeCell ref="A5:A7"/>
    <mergeCell ref="B5:B7"/>
    <mergeCell ref="C5:C7"/>
    <mergeCell ref="H5:H7"/>
    <mergeCell ref="A21:F21"/>
    <mergeCell ref="D23:D27"/>
  </mergeCells>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58FAF4-F852-4588-BB02-B6F753450075}">
  <sheetPr codeName="Sheet13"/>
  <dimension ref="A1:AC136"/>
  <sheetViews>
    <sheetView zoomScale="77" zoomScaleNormal="77" workbookViewId="0">
      <selection sqref="A1:E2"/>
    </sheetView>
  </sheetViews>
  <sheetFormatPr defaultRowHeight="15" x14ac:dyDescent="0.25"/>
  <cols>
    <col min="1" max="1" width="58" style="230" customWidth="1"/>
    <col min="2" max="2" width="54.85546875" customWidth="1"/>
    <col min="3" max="3" width="56.7109375" style="230" customWidth="1"/>
    <col min="4" max="4" width="51.140625" customWidth="1"/>
    <col min="5" max="5" width="93.5703125" style="230" customWidth="1"/>
    <col min="6" max="6" width="88.7109375" customWidth="1"/>
    <col min="7" max="7" width="76.42578125" style="230" customWidth="1"/>
    <col min="8" max="8" width="50.85546875" customWidth="1"/>
    <col min="9" max="9" width="58" customWidth="1"/>
    <col min="10" max="10" width="44.85546875" customWidth="1"/>
    <col min="11" max="11" width="59.140625" customWidth="1"/>
    <col min="12" max="12" width="51.85546875" customWidth="1"/>
    <col min="13" max="13" width="43.7109375" customWidth="1"/>
    <col min="14" max="14" width="42.85546875" customWidth="1"/>
    <col min="15" max="15" width="36" customWidth="1"/>
    <col min="16" max="16" width="24.140625" customWidth="1"/>
    <col min="17" max="17" width="25.140625" customWidth="1"/>
    <col min="18" max="18" width="20.5703125" customWidth="1"/>
    <col min="19" max="19" width="26.5703125" customWidth="1"/>
    <col min="20" max="20" width="15.7109375" customWidth="1"/>
    <col min="21" max="21" width="44" customWidth="1"/>
    <col min="22" max="22" width="23.85546875" customWidth="1"/>
    <col min="23" max="23" width="15.42578125" customWidth="1"/>
    <col min="24" max="24" width="13" bestFit="1" customWidth="1"/>
    <col min="25" max="25" width="15.28515625" bestFit="1" customWidth="1"/>
    <col min="26" max="26" width="12.7109375" customWidth="1"/>
    <col min="27" max="27" width="11.85546875" bestFit="1" customWidth="1"/>
    <col min="28" max="28" width="12.140625" customWidth="1"/>
    <col min="29" max="29" width="17.85546875" customWidth="1"/>
  </cols>
  <sheetData>
    <row r="1" spans="1:15" ht="15" customHeight="1" x14ac:dyDescent="0.25">
      <c r="A1" s="2717" t="s">
        <v>1311</v>
      </c>
      <c r="B1" s="2718"/>
      <c r="C1" s="2718"/>
      <c r="D1" s="2718"/>
      <c r="E1" s="2719"/>
      <c r="F1" s="1580"/>
      <c r="G1" s="1580"/>
      <c r="H1" s="1580"/>
      <c r="I1" s="250"/>
      <c r="J1" s="250"/>
      <c r="K1" s="250"/>
      <c r="L1" s="250"/>
      <c r="M1" s="250"/>
      <c r="N1" s="3"/>
      <c r="O1" s="3"/>
    </row>
    <row r="2" spans="1:15" ht="61.5" customHeight="1" thickBot="1" x14ac:dyDescent="0.3">
      <c r="A2" s="2720"/>
      <c r="B2" s="2721"/>
      <c r="C2" s="2721"/>
      <c r="D2" s="2721"/>
      <c r="E2" s="2722"/>
      <c r="F2" s="1580"/>
      <c r="G2" s="1580"/>
      <c r="H2" s="1580"/>
      <c r="I2" s="250"/>
      <c r="J2" s="250"/>
      <c r="K2" s="250"/>
      <c r="L2" s="250"/>
      <c r="M2" s="250"/>
      <c r="N2" s="3"/>
      <c r="O2" s="3"/>
    </row>
    <row r="3" spans="1:15" s="230" customFormat="1" ht="15.75" thickBot="1" x14ac:dyDescent="0.3">
      <c r="A3" s="1709"/>
      <c r="B3" s="1633"/>
      <c r="C3" s="1633"/>
      <c r="D3" s="1633"/>
      <c r="E3" s="1710"/>
      <c r="F3" s="1561"/>
      <c r="G3" s="436"/>
      <c r="H3" s="1561"/>
      <c r="I3" s="1561"/>
      <c r="J3" s="769"/>
      <c r="K3" s="769"/>
      <c r="L3" s="769"/>
      <c r="M3" s="769"/>
    </row>
    <row r="4" spans="1:15" s="230" customFormat="1" ht="15.75" thickBot="1" x14ac:dyDescent="0.3">
      <c r="A4" s="1425" t="s">
        <v>767</v>
      </c>
      <c r="B4" s="406" t="s">
        <v>766</v>
      </c>
      <c r="C4" s="407" t="s">
        <v>773</v>
      </c>
      <c r="D4" s="1424" t="s">
        <v>772</v>
      </c>
      <c r="E4" s="437" t="s">
        <v>1548</v>
      </c>
      <c r="F4" s="297"/>
      <c r="G4" s="56"/>
      <c r="H4" s="56"/>
      <c r="I4" s="56"/>
      <c r="J4" s="3"/>
      <c r="K4" s="3"/>
      <c r="L4" s="3"/>
      <c r="M4" s="3"/>
    </row>
    <row r="5" spans="1:15" s="230" customFormat="1" x14ac:dyDescent="0.25">
      <c r="A5" s="2715">
        <v>100</v>
      </c>
      <c r="B5" s="475" t="s">
        <v>153</v>
      </c>
      <c r="C5" s="756">
        <f>'Digester Methane Calculation'!X80</f>
        <v>5515157.2719453247</v>
      </c>
      <c r="D5" s="756">
        <f>'Digester Methane Calculation'!$X$89</f>
        <v>444.77074773752616</v>
      </c>
      <c r="E5" s="774">
        <f>'Cost-Benefit Tab_Digester'!$E$123</f>
        <v>19052374.341327526</v>
      </c>
      <c r="F5" s="464"/>
      <c r="G5" s="56"/>
      <c r="H5" s="56"/>
      <c r="I5" s="56"/>
      <c r="J5" s="3"/>
      <c r="K5" s="3"/>
      <c r="L5" s="3"/>
      <c r="M5" s="3"/>
    </row>
    <row r="6" spans="1:15" s="230" customFormat="1" x14ac:dyDescent="0.25">
      <c r="A6" s="2716"/>
      <c r="B6" s="1623" t="s">
        <v>763</v>
      </c>
      <c r="C6" s="862">
        <f>'Digester Methane Calculation'!X82</f>
        <v>279070.2703672034</v>
      </c>
      <c r="D6" s="862">
        <f>'Digester Methane Calculation'!$X$91</f>
        <v>11.926079930222368</v>
      </c>
      <c r="E6" s="229">
        <f>'Cost-Benefit Tab_Digester'!$E$124</f>
        <v>17538998.247718006</v>
      </c>
      <c r="F6" s="1354"/>
      <c r="G6" s="3"/>
      <c r="I6" s="3"/>
      <c r="J6" s="3"/>
      <c r="K6" s="3"/>
      <c r="L6" s="3"/>
      <c r="M6" s="3"/>
    </row>
    <row r="7" spans="1:15" s="230" customFormat="1" x14ac:dyDescent="0.25">
      <c r="A7" s="2716"/>
      <c r="B7" s="1623" t="s">
        <v>764</v>
      </c>
      <c r="C7" s="862">
        <f>'Digester Methane Calculation'!X84</f>
        <v>3393353.7103774701</v>
      </c>
      <c r="D7" s="862">
        <f>'Digester Methane Calculation'!$X$93</f>
        <v>297.66260617346228</v>
      </c>
      <c r="E7" s="229">
        <f>'Cost-Benefit Tab_Digester'!$E$125</f>
        <v>19025574.475273427</v>
      </c>
      <c r="F7" s="1354"/>
      <c r="G7" s="3"/>
      <c r="I7" s="3"/>
      <c r="J7" s="3"/>
      <c r="K7" s="3"/>
      <c r="L7" s="3"/>
      <c r="M7" s="3"/>
    </row>
    <row r="8" spans="1:15" s="230" customFormat="1" ht="15.75" thickBot="1" x14ac:dyDescent="0.3">
      <c r="A8" s="2526"/>
      <c r="B8" s="1002" t="s">
        <v>152</v>
      </c>
      <c r="C8" s="524">
        <f>'Digester Methane Calculation'!X86</f>
        <v>2581400.0008966313</v>
      </c>
      <c r="D8" s="524">
        <f>'Digester Methane Calculation'!$X$95</f>
        <v>107.55833337069296</v>
      </c>
      <c r="E8" s="102">
        <f>'Cost-Benefit Tab_Digester'!$E$126</f>
        <v>18943486.814199146</v>
      </c>
      <c r="F8" s="1354"/>
      <c r="G8" s="3"/>
      <c r="I8" s="3"/>
      <c r="J8" s="3"/>
      <c r="K8" s="3"/>
      <c r="L8" s="3"/>
      <c r="M8" s="3"/>
    </row>
    <row r="9" spans="1:15" s="230" customFormat="1" x14ac:dyDescent="0.25">
      <c r="A9" s="2715">
        <v>75</v>
      </c>
      <c r="B9" s="475" t="str">
        <f t="shared" ref="B9:B20" si="0">B5</f>
        <v>Passenger Car</v>
      </c>
      <c r="C9" s="756">
        <f t="shared" ref="C9:D12" si="1">C5*0.75</f>
        <v>4136367.9539589938</v>
      </c>
      <c r="D9" s="756">
        <f>D5*0.75</f>
        <v>333.57806080314464</v>
      </c>
      <c r="E9" s="774">
        <f>E5*0.75</f>
        <v>14289280.755995644</v>
      </c>
      <c r="F9" s="1354"/>
      <c r="G9" s="3"/>
      <c r="I9" s="3"/>
      <c r="J9" s="3"/>
      <c r="K9" s="3"/>
      <c r="L9" s="3"/>
      <c r="M9" s="3"/>
    </row>
    <row r="10" spans="1:15" s="230" customFormat="1" x14ac:dyDescent="0.25">
      <c r="A10" s="2716"/>
      <c r="B10" s="307" t="str">
        <f t="shared" si="0"/>
        <v>Garbage Truck</v>
      </c>
      <c r="C10" s="862">
        <f t="shared" si="1"/>
        <v>209302.70277540255</v>
      </c>
      <c r="D10" s="862">
        <f t="shared" si="1"/>
        <v>8.9445599476667752</v>
      </c>
      <c r="E10" s="229">
        <f>E6*0.75</f>
        <v>13154248.685788505</v>
      </c>
      <c r="F10" s="1354"/>
      <c r="G10" s="3"/>
      <c r="I10" s="3"/>
      <c r="J10" s="3"/>
      <c r="K10" s="3"/>
      <c r="L10" s="3"/>
      <c r="M10" s="3"/>
    </row>
    <row r="11" spans="1:15" s="230" customFormat="1" x14ac:dyDescent="0.25">
      <c r="A11" s="2716"/>
      <c r="B11" s="307" t="str">
        <f t="shared" si="0"/>
        <v>Passenger Truck</v>
      </c>
      <c r="C11" s="862">
        <f t="shared" si="1"/>
        <v>2545015.2827831027</v>
      </c>
      <c r="D11" s="862">
        <f t="shared" si="1"/>
        <v>223.2469546300967</v>
      </c>
      <c r="E11" s="229">
        <f>E7*0.75</f>
        <v>14269180.856455069</v>
      </c>
      <c r="F11" s="1354"/>
      <c r="G11" s="3"/>
      <c r="I11" s="3"/>
      <c r="J11" s="3"/>
      <c r="K11" s="3"/>
      <c r="L11" s="3"/>
      <c r="M11" s="3"/>
    </row>
    <row r="12" spans="1:15" ht="15.75" thickBot="1" x14ac:dyDescent="0.3">
      <c r="A12" s="2526"/>
      <c r="B12" s="363" t="str">
        <f t="shared" si="0"/>
        <v>Light Commercial Truck</v>
      </c>
      <c r="C12" s="524">
        <f t="shared" si="1"/>
        <v>1936050.0006724736</v>
      </c>
      <c r="D12" s="524">
        <f t="shared" si="1"/>
        <v>80.66875002801973</v>
      </c>
      <c r="E12" s="102">
        <f>E8*0.75</f>
        <v>14207615.110649358</v>
      </c>
      <c r="F12" s="1354"/>
      <c r="G12" s="3"/>
      <c r="I12" s="3"/>
      <c r="J12" s="3"/>
      <c r="K12" s="3"/>
      <c r="L12" s="3"/>
      <c r="M12" s="3"/>
    </row>
    <row r="13" spans="1:15" s="230" customFormat="1" x14ac:dyDescent="0.25">
      <c r="A13" s="2715">
        <v>50</v>
      </c>
      <c r="B13" s="475" t="str">
        <f t="shared" si="0"/>
        <v>Passenger Car</v>
      </c>
      <c r="C13" s="756">
        <f t="shared" ref="C13:D16" si="2">C9*0.5</f>
        <v>2068183.9769794969</v>
      </c>
      <c r="D13" s="756">
        <f t="shared" si="2"/>
        <v>166.78903040157232</v>
      </c>
      <c r="E13" s="774">
        <f>E9*0.5</f>
        <v>7144640.3779978221</v>
      </c>
      <c r="F13" s="1354"/>
      <c r="G13" s="3"/>
      <c r="I13" s="3"/>
      <c r="J13" s="3"/>
      <c r="K13" s="3"/>
      <c r="L13" s="3"/>
      <c r="M13" s="3"/>
    </row>
    <row r="14" spans="1:15" x14ac:dyDescent="0.25">
      <c r="A14" s="2716"/>
      <c r="B14" s="1351" t="str">
        <f t="shared" si="0"/>
        <v>Garbage Truck</v>
      </c>
      <c r="C14" s="862">
        <f t="shared" si="2"/>
        <v>104651.35138770127</v>
      </c>
      <c r="D14" s="862">
        <f t="shared" si="2"/>
        <v>4.4722799738333876</v>
      </c>
      <c r="E14" s="229">
        <f>E10*0.5</f>
        <v>6577124.3428942524</v>
      </c>
      <c r="F14" s="1354"/>
      <c r="G14" s="3"/>
      <c r="I14" s="3"/>
      <c r="J14" s="3"/>
      <c r="K14" s="3"/>
      <c r="L14" s="3"/>
      <c r="M14" s="3"/>
    </row>
    <row r="15" spans="1:15" x14ac:dyDescent="0.25">
      <c r="A15" s="2716"/>
      <c r="B15" s="1355" t="str">
        <f t="shared" si="0"/>
        <v>Passenger Truck</v>
      </c>
      <c r="C15" s="862">
        <f t="shared" si="2"/>
        <v>1272507.6413915514</v>
      </c>
      <c r="D15" s="862">
        <f t="shared" si="2"/>
        <v>111.62347731504835</v>
      </c>
      <c r="E15" s="229">
        <f>E11*0.5</f>
        <v>7134590.4282275345</v>
      </c>
      <c r="F15" s="1354"/>
      <c r="G15" s="3"/>
      <c r="I15" s="399"/>
      <c r="J15" s="3"/>
      <c r="K15" s="3"/>
      <c r="L15" s="3"/>
      <c r="M15" s="3"/>
    </row>
    <row r="16" spans="1:15" ht="15.75" thickBot="1" x14ac:dyDescent="0.3">
      <c r="A16" s="2526"/>
      <c r="B16" s="1002" t="str">
        <f>B12</f>
        <v>Light Commercial Truck</v>
      </c>
      <c r="C16" s="524">
        <f t="shared" si="2"/>
        <v>968025.00033623679</v>
      </c>
      <c r="D16" s="524">
        <f t="shared" si="2"/>
        <v>40.334375014009865</v>
      </c>
      <c r="E16" s="102">
        <f>E12*0.5</f>
        <v>7103807.5553246792</v>
      </c>
      <c r="F16" s="1354"/>
      <c r="G16" s="3"/>
      <c r="I16" s="399"/>
      <c r="J16" s="3"/>
      <c r="K16" s="3"/>
      <c r="L16" s="3"/>
      <c r="M16" s="3"/>
    </row>
    <row r="17" spans="1:13" x14ac:dyDescent="0.25">
      <c r="A17" s="2715">
        <v>25</v>
      </c>
      <c r="B17" s="475" t="str">
        <f>B13</f>
        <v>Passenger Car</v>
      </c>
      <c r="C17" s="756">
        <f t="shared" ref="C17:D20" si="3">C13*0.25</f>
        <v>517045.99424487422</v>
      </c>
      <c r="D17" s="756">
        <f t="shared" si="3"/>
        <v>41.69725760039308</v>
      </c>
      <c r="E17" s="774">
        <f>E13*0.25</f>
        <v>1786160.0944994555</v>
      </c>
      <c r="F17" s="1354"/>
      <c r="G17" s="3"/>
      <c r="I17" s="399"/>
      <c r="J17" s="3"/>
      <c r="K17" s="3"/>
      <c r="L17" s="3"/>
      <c r="M17" s="3"/>
    </row>
    <row r="18" spans="1:13" x14ac:dyDescent="0.25">
      <c r="A18" s="2716"/>
      <c r="B18" s="1560" t="str">
        <f>B14</f>
        <v>Garbage Truck</v>
      </c>
      <c r="C18" s="862">
        <f t="shared" si="3"/>
        <v>26162.837846925318</v>
      </c>
      <c r="D18" s="862">
        <f t="shared" si="3"/>
        <v>1.1180699934583469</v>
      </c>
      <c r="E18" s="229">
        <f>E14*0.25</f>
        <v>1644281.0857235631</v>
      </c>
      <c r="F18" s="1354"/>
      <c r="G18" s="3"/>
      <c r="I18" s="399"/>
      <c r="J18" s="3"/>
      <c r="K18" s="3"/>
      <c r="L18" s="3"/>
      <c r="M18" s="3"/>
    </row>
    <row r="19" spans="1:13" s="230" customFormat="1" x14ac:dyDescent="0.25">
      <c r="A19" s="2716"/>
      <c r="B19" s="1560" t="str">
        <f>B15</f>
        <v>Passenger Truck</v>
      </c>
      <c r="C19" s="862">
        <f t="shared" si="3"/>
        <v>318126.91034788784</v>
      </c>
      <c r="D19" s="862">
        <f t="shared" si="3"/>
        <v>27.905869328762087</v>
      </c>
      <c r="E19" s="229">
        <f>E15*0.25</f>
        <v>1783647.6070568836</v>
      </c>
      <c r="F19" s="1354"/>
      <c r="G19" s="3"/>
      <c r="I19" s="399"/>
      <c r="J19" s="3"/>
      <c r="K19" s="3"/>
      <c r="L19" s="3"/>
      <c r="M19" s="3"/>
    </row>
    <row r="20" spans="1:13" s="230" customFormat="1" ht="15.75" thickBot="1" x14ac:dyDescent="0.3">
      <c r="A20" s="2526"/>
      <c r="B20" s="1002" t="str">
        <f t="shared" si="0"/>
        <v>Light Commercial Truck</v>
      </c>
      <c r="C20" s="524">
        <f t="shared" si="3"/>
        <v>242006.2500840592</v>
      </c>
      <c r="D20" s="524">
        <f t="shared" si="3"/>
        <v>10.083593753502466</v>
      </c>
      <c r="E20" s="102">
        <f>E16*0.25</f>
        <v>1775951.8888311698</v>
      </c>
      <c r="F20" s="1354"/>
      <c r="G20" s="3"/>
      <c r="I20" s="399"/>
      <c r="J20" s="3"/>
      <c r="K20" s="3"/>
      <c r="L20" s="3"/>
      <c r="M20" s="3"/>
    </row>
    <row r="21" spans="1:13" s="230" customFormat="1" ht="15.75" thickBot="1" x14ac:dyDescent="0.3">
      <c r="A21" s="400"/>
      <c r="B21" s="349"/>
      <c r="C21" s="349"/>
      <c r="D21" s="349"/>
      <c r="E21" s="401"/>
      <c r="F21" s="1353"/>
      <c r="G21" s="3"/>
      <c r="I21" s="399"/>
      <c r="J21" s="3"/>
      <c r="K21" s="3"/>
      <c r="L21" s="3"/>
      <c r="M21" s="3"/>
    </row>
    <row r="22" spans="1:13" s="230" customFormat="1" ht="15.75" thickBot="1" x14ac:dyDescent="0.3">
      <c r="A22" s="1581" t="s">
        <v>767</v>
      </c>
      <c r="B22" s="409" t="s">
        <v>1767</v>
      </c>
      <c r="C22" s="1576"/>
      <c r="D22" s="1576"/>
      <c r="E22" s="1577"/>
      <c r="F22" s="1353"/>
      <c r="G22" s="3"/>
      <c r="I22"/>
      <c r="J22"/>
      <c r="K22"/>
      <c r="L22"/>
      <c r="M22"/>
    </row>
    <row r="23" spans="1:13" s="230" customFormat="1" x14ac:dyDescent="0.25">
      <c r="A23" s="2715">
        <v>100</v>
      </c>
      <c r="B23" s="475" t="s">
        <v>153</v>
      </c>
      <c r="C23" s="756">
        <f>'Digester Methane Calculation'!X81</f>
        <v>6519885.4372702111</v>
      </c>
      <c r="D23" s="756">
        <f>'Digester Methane Calculation'!$X$90</f>
        <v>525.79721268308151</v>
      </c>
      <c r="E23" s="774">
        <f>'Cost-Benefit Tab_Digester'!$E$120</f>
        <v>20957014.085164092</v>
      </c>
      <c r="F23" s="1354"/>
      <c r="G23" s="3"/>
      <c r="I23"/>
      <c r="J23"/>
      <c r="K23"/>
      <c r="L23"/>
      <c r="M23"/>
    </row>
    <row r="24" spans="1:13" s="230" customFormat="1" x14ac:dyDescent="0.25">
      <c r="A24" s="2716"/>
      <c r="B24" s="1560" t="s">
        <v>763</v>
      </c>
      <c r="C24" s="862">
        <f>'Digester Methane Calculation'!X83</f>
        <v>324948.78446999838</v>
      </c>
      <c r="D24" s="862">
        <f>'Digester Methane Calculation'!$X$92</f>
        <v>13.886700191025572</v>
      </c>
      <c r="E24" s="229">
        <f>'Cost-Benefit Tab_Digester'!$E$124</f>
        <v>17538998.247718006</v>
      </c>
      <c r="F24" s="1354"/>
      <c r="G24" s="3"/>
      <c r="I24"/>
      <c r="J24"/>
      <c r="K24"/>
      <c r="L24"/>
      <c r="M24"/>
    </row>
    <row r="25" spans="1:13" s="230" customFormat="1" x14ac:dyDescent="0.25">
      <c r="A25" s="2716"/>
      <c r="B25" s="1560" t="s">
        <v>764</v>
      </c>
      <c r="C25" s="862">
        <f>'Digester Methane Calculation'!X85</f>
        <v>4084747.5028680838</v>
      </c>
      <c r="D25" s="862">
        <f>'Digester Methane Calculation'!$X$94</f>
        <v>358.31118446211264</v>
      </c>
      <c r="E25" s="229">
        <f>'Cost-Benefit Tab_Digester'!$E$121</f>
        <v>1668636.7360633824</v>
      </c>
      <c r="F25" s="1354"/>
      <c r="G25" s="3"/>
      <c r="I25"/>
      <c r="J25"/>
      <c r="K25"/>
      <c r="L25"/>
      <c r="M25"/>
    </row>
    <row r="26" spans="1:13" s="230" customFormat="1" ht="15.75" thickBot="1" x14ac:dyDescent="0.3">
      <c r="A26" s="2526"/>
      <c r="B26" s="1002" t="s">
        <v>152</v>
      </c>
      <c r="C26" s="524">
        <f>'Digester Methane Calculation'!X87</f>
        <v>3220666.3003382972</v>
      </c>
      <c r="D26" s="524">
        <f>'Digester Methane Calculation'!$X$96</f>
        <v>134.19442918076237</v>
      </c>
      <c r="E26" s="102">
        <f>'Cost-Benefit Tab_Digester'!$E$122</f>
        <v>20863785.477556322</v>
      </c>
      <c r="F26" s="1354"/>
      <c r="G26" s="3"/>
      <c r="I26"/>
      <c r="J26"/>
      <c r="K26"/>
      <c r="L26"/>
      <c r="M26"/>
    </row>
    <row r="27" spans="1:13" s="230" customFormat="1" x14ac:dyDescent="0.25">
      <c r="A27" s="2715">
        <v>75</v>
      </c>
      <c r="B27" s="475" t="str">
        <f t="shared" ref="B27:B38" si="4">B23</f>
        <v>Passenger Car</v>
      </c>
      <c r="C27" s="756">
        <f>C23*0.75</f>
        <v>4889914.0779526588</v>
      </c>
      <c r="D27" s="756">
        <f t="shared" ref="C27:D30" si="5">D23*0.75</f>
        <v>394.34790951231116</v>
      </c>
      <c r="E27" s="774">
        <f>E23*0.75</f>
        <v>15717760.563873069</v>
      </c>
      <c r="F27" s="1354"/>
      <c r="G27" s="3"/>
    </row>
    <row r="28" spans="1:13" s="230" customFormat="1" x14ac:dyDescent="0.25">
      <c r="A28" s="2716"/>
      <c r="B28" s="1560" t="str">
        <f t="shared" si="4"/>
        <v>Garbage Truck</v>
      </c>
      <c r="C28" s="862">
        <f t="shared" si="5"/>
        <v>243711.58835249877</v>
      </c>
      <c r="D28" s="862">
        <f t="shared" si="5"/>
        <v>10.41502514326918</v>
      </c>
      <c r="E28" s="229">
        <f>E24*0.75</f>
        <v>13154248.685788505</v>
      </c>
      <c r="F28" s="1354"/>
      <c r="G28" s="3"/>
    </row>
    <row r="29" spans="1:13" s="230" customFormat="1" x14ac:dyDescent="0.25">
      <c r="A29" s="2716"/>
      <c r="B29" s="1560" t="str">
        <f t="shared" si="4"/>
        <v>Passenger Truck</v>
      </c>
      <c r="C29" s="862">
        <f t="shared" si="5"/>
        <v>3063560.6271510627</v>
      </c>
      <c r="D29" s="862">
        <f t="shared" si="5"/>
        <v>268.73338834658449</v>
      </c>
      <c r="E29" s="229">
        <f>E25*0.75</f>
        <v>1251477.5520475367</v>
      </c>
      <c r="F29" s="1354"/>
      <c r="G29" s="3"/>
    </row>
    <row r="30" spans="1:13" s="230" customFormat="1" ht="15.75" thickBot="1" x14ac:dyDescent="0.3">
      <c r="A30" s="2526"/>
      <c r="B30" s="1565" t="str">
        <f t="shared" si="4"/>
        <v>Light Commercial Truck</v>
      </c>
      <c r="C30" s="524">
        <f t="shared" si="5"/>
        <v>2415499.7252537226</v>
      </c>
      <c r="D30" s="524">
        <f t="shared" si="5"/>
        <v>100.64582188557178</v>
      </c>
      <c r="E30" s="102">
        <f>E26*0.75</f>
        <v>15647839.108167242</v>
      </c>
      <c r="F30" s="1354"/>
      <c r="G30" s="3"/>
      <c r="I30" s="399"/>
    </row>
    <row r="31" spans="1:13" x14ac:dyDescent="0.25">
      <c r="A31" s="2715">
        <v>50</v>
      </c>
      <c r="B31" s="161" t="str">
        <f t="shared" si="4"/>
        <v>Passenger Car</v>
      </c>
      <c r="C31" s="756">
        <f t="shared" ref="C31:D34" si="6">C27*0.5</f>
        <v>2444957.0389763294</v>
      </c>
      <c r="D31" s="756">
        <f t="shared" si="6"/>
        <v>197.17395475615558</v>
      </c>
      <c r="E31" s="774">
        <f>E27*0.5</f>
        <v>7858880.2819365347</v>
      </c>
      <c r="F31" s="1354"/>
      <c r="G31" s="3"/>
      <c r="I31" s="399"/>
      <c r="J31" s="230"/>
      <c r="K31" s="230"/>
      <c r="L31" s="230"/>
      <c r="M31" s="230"/>
    </row>
    <row r="32" spans="1:13" x14ac:dyDescent="0.25">
      <c r="A32" s="2716"/>
      <c r="B32" s="1566" t="str">
        <f t="shared" si="4"/>
        <v>Garbage Truck</v>
      </c>
      <c r="C32" s="862">
        <f t="shared" si="6"/>
        <v>121855.79417624939</v>
      </c>
      <c r="D32" s="862">
        <f t="shared" si="6"/>
        <v>5.2075125716345898</v>
      </c>
      <c r="E32" s="229">
        <f>E28*0.5</f>
        <v>6577124.3428942524</v>
      </c>
      <c r="F32" s="1354"/>
      <c r="G32" s="3"/>
      <c r="I32" s="399"/>
      <c r="J32" s="230"/>
      <c r="K32" s="230"/>
      <c r="L32" s="230"/>
      <c r="M32" s="230"/>
    </row>
    <row r="33" spans="1:13" x14ac:dyDescent="0.25">
      <c r="A33" s="2716"/>
      <c r="B33" s="1566" t="str">
        <f t="shared" si="4"/>
        <v>Passenger Truck</v>
      </c>
      <c r="C33" s="862">
        <f t="shared" si="6"/>
        <v>1531780.3135755314</v>
      </c>
      <c r="D33" s="862">
        <f t="shared" si="6"/>
        <v>134.36669417329225</v>
      </c>
      <c r="E33" s="229">
        <f>E29*0.5</f>
        <v>625738.77602376835</v>
      </c>
      <c r="F33" s="1354"/>
      <c r="G33" s="3"/>
      <c r="I33" s="399"/>
      <c r="J33" s="230"/>
      <c r="K33" s="230"/>
      <c r="L33" s="230"/>
      <c r="M33" s="230"/>
    </row>
    <row r="34" spans="1:13" ht="15.75" thickBot="1" x14ac:dyDescent="0.3">
      <c r="A34" s="2526"/>
      <c r="B34" s="1565" t="str">
        <f t="shared" si="4"/>
        <v>Light Commercial Truck</v>
      </c>
      <c r="C34" s="524">
        <f t="shared" si="6"/>
        <v>1207749.8626268613</v>
      </c>
      <c r="D34" s="524">
        <f t="shared" si="6"/>
        <v>50.322910942785889</v>
      </c>
      <c r="E34" s="102">
        <f>E30*0.5</f>
        <v>7823919.5540836211</v>
      </c>
      <c r="F34" s="1354"/>
      <c r="G34" s="3"/>
      <c r="I34" s="399"/>
      <c r="J34" s="230"/>
      <c r="K34" s="230"/>
      <c r="L34" s="230"/>
      <c r="M34" s="230"/>
    </row>
    <row r="35" spans="1:13" x14ac:dyDescent="0.25">
      <c r="A35" s="2715">
        <v>25</v>
      </c>
      <c r="B35" s="161" t="str">
        <f t="shared" si="4"/>
        <v>Passenger Car</v>
      </c>
      <c r="C35" s="756">
        <f t="shared" ref="C35:D38" si="7">C31*0.25</f>
        <v>611239.25974408234</v>
      </c>
      <c r="D35" s="756">
        <f t="shared" si="7"/>
        <v>49.293488689038895</v>
      </c>
      <c r="E35" s="774">
        <f>E31*0.25</f>
        <v>1964720.0704841337</v>
      </c>
      <c r="F35" s="1354"/>
      <c r="G35" s="3"/>
      <c r="I35" s="402"/>
      <c r="J35" s="230"/>
      <c r="K35" s="230"/>
      <c r="L35" s="230"/>
      <c r="M35" s="230"/>
    </row>
    <row r="36" spans="1:13" x14ac:dyDescent="0.25">
      <c r="A36" s="2716"/>
      <c r="B36" s="1566" t="str">
        <f t="shared" si="4"/>
        <v>Garbage Truck</v>
      </c>
      <c r="C36" s="862">
        <f t="shared" si="7"/>
        <v>30463.948544062347</v>
      </c>
      <c r="D36" s="862">
        <f t="shared" si="7"/>
        <v>1.3018781429086475</v>
      </c>
      <c r="E36" s="229">
        <f>E32*0.25</f>
        <v>1644281.0857235631</v>
      </c>
      <c r="F36" s="1354"/>
      <c r="G36" s="3"/>
      <c r="I36" s="402"/>
      <c r="J36" s="230"/>
      <c r="K36" s="230"/>
      <c r="L36" s="230"/>
      <c r="M36" s="230"/>
    </row>
    <row r="37" spans="1:13" x14ac:dyDescent="0.25">
      <c r="A37" s="2716"/>
      <c r="B37" s="1566" t="str">
        <f t="shared" si="4"/>
        <v>Passenger Truck</v>
      </c>
      <c r="C37" s="862">
        <f t="shared" si="7"/>
        <v>382945.07839388284</v>
      </c>
      <c r="D37" s="862">
        <f t="shared" si="7"/>
        <v>33.591673543323061</v>
      </c>
      <c r="E37" s="229">
        <f>E33*0.25</f>
        <v>156434.69400594209</v>
      </c>
      <c r="F37" s="1354"/>
      <c r="G37" s="3"/>
      <c r="I37" s="402"/>
      <c r="J37" s="230"/>
      <c r="K37" s="230"/>
      <c r="L37" s="230"/>
      <c r="M37" s="230"/>
    </row>
    <row r="38" spans="1:13" ht="15.75" thickBot="1" x14ac:dyDescent="0.3">
      <c r="A38" s="2526"/>
      <c r="B38" s="1002" t="str">
        <f t="shared" si="4"/>
        <v>Light Commercial Truck</v>
      </c>
      <c r="C38" s="524">
        <f t="shared" si="7"/>
        <v>301937.46565671533</v>
      </c>
      <c r="D38" s="524">
        <f t="shared" si="7"/>
        <v>12.580727735696472</v>
      </c>
      <c r="E38" s="102">
        <f>E34*0.25</f>
        <v>1955979.8885209053</v>
      </c>
      <c r="F38" s="1354"/>
      <c r="G38" s="3"/>
      <c r="I38" s="399"/>
    </row>
    <row r="39" spans="1:13" ht="15.75" thickBot="1" x14ac:dyDescent="0.3">
      <c r="A39" s="404"/>
      <c r="B39" s="349"/>
      <c r="C39" s="349"/>
      <c r="D39" s="349"/>
      <c r="E39" s="403"/>
      <c r="F39" s="1353"/>
      <c r="G39" s="3"/>
      <c r="I39" s="402"/>
      <c r="J39" s="230"/>
      <c r="K39" s="230"/>
      <c r="L39" s="230"/>
      <c r="M39" s="230"/>
    </row>
    <row r="40" spans="1:13" x14ac:dyDescent="0.25">
      <c r="A40" s="371" t="s">
        <v>767</v>
      </c>
      <c r="B40" s="640" t="s">
        <v>765</v>
      </c>
      <c r="C40" s="475"/>
      <c r="D40" s="475"/>
      <c r="E40" s="476"/>
      <c r="F40" s="1353"/>
      <c r="G40" s="3"/>
    </row>
    <row r="41" spans="1:13" x14ac:dyDescent="0.25">
      <c r="A41" s="2726">
        <v>100</v>
      </c>
      <c r="B41" s="1563" t="s">
        <v>720</v>
      </c>
      <c r="C41" s="1560">
        <v>0</v>
      </c>
      <c r="D41" s="1560">
        <v>0</v>
      </c>
      <c r="E41" s="229">
        <f>'Cost-Benefit Tab_Digester'!$G$250</f>
        <v>23678017.583800394</v>
      </c>
      <c r="F41" s="1353"/>
      <c r="G41" s="3"/>
    </row>
    <row r="42" spans="1:13" x14ac:dyDescent="0.25">
      <c r="A42" s="2727"/>
      <c r="B42" s="1563" t="s">
        <v>721</v>
      </c>
      <c r="C42" s="1560">
        <v>0</v>
      </c>
      <c r="D42" s="1560">
        <v>0</v>
      </c>
      <c r="E42" s="229">
        <f>'Cost-Benefit Tab_Digester'!$G$250</f>
        <v>23678017.583800394</v>
      </c>
      <c r="F42" s="1353"/>
      <c r="G42" s="3"/>
    </row>
    <row r="43" spans="1:13" x14ac:dyDescent="0.25">
      <c r="A43" s="2727"/>
      <c r="B43" s="1563" t="s">
        <v>722</v>
      </c>
      <c r="C43" s="1560">
        <v>0</v>
      </c>
      <c r="D43" s="1560">
        <v>0</v>
      </c>
      <c r="E43" s="229">
        <f>'Cost-Benefit Tab_Digester'!$G$250</f>
        <v>23678017.583800394</v>
      </c>
      <c r="F43" s="1353"/>
      <c r="G43" s="3"/>
    </row>
    <row r="44" spans="1:13" ht="15.75" thickBot="1" x14ac:dyDescent="0.3">
      <c r="A44" s="2728"/>
      <c r="B44" s="1564" t="s">
        <v>723</v>
      </c>
      <c r="C44" s="1002">
        <v>0</v>
      </c>
      <c r="D44" s="1002">
        <v>0</v>
      </c>
      <c r="E44" s="102">
        <f>'Cost-Benefit Tab_Digester'!$G$250</f>
        <v>23678017.583800394</v>
      </c>
      <c r="F44" s="1353"/>
      <c r="G44" s="3"/>
    </row>
    <row r="45" spans="1:13" x14ac:dyDescent="0.25">
      <c r="A45" s="2723">
        <v>75</v>
      </c>
      <c r="B45" s="1356" t="str">
        <f t="shared" ref="B45:B52" si="8">B41</f>
        <v>Electricity-Microturbine (30-300 KW)</v>
      </c>
      <c r="C45" s="475">
        <v>0</v>
      </c>
      <c r="D45" s="475">
        <v>0</v>
      </c>
      <c r="E45" s="774">
        <f>'Cost-Benefit Tab_Digester'!$G$250*0.75</f>
        <v>17758513.187850296</v>
      </c>
      <c r="F45" s="1353"/>
      <c r="G45" s="3"/>
      <c r="I45" s="230"/>
      <c r="J45" s="230"/>
      <c r="K45" s="230"/>
      <c r="L45" s="230"/>
      <c r="M45" s="230"/>
    </row>
    <row r="46" spans="1:13" x14ac:dyDescent="0.25">
      <c r="A46" s="2724"/>
      <c r="B46" s="1563" t="str">
        <f t="shared" si="8"/>
        <v>Electricity-Gas Turbines (1-500 MW)</v>
      </c>
      <c r="C46" s="1560">
        <v>0</v>
      </c>
      <c r="D46" s="1560">
        <v>0</v>
      </c>
      <c r="E46" s="229">
        <f>'Cost-Benefit Tab_Digester'!$G$250*0.75</f>
        <v>17758513.187850296</v>
      </c>
      <c r="F46" s="1353"/>
      <c r="G46" s="3"/>
      <c r="I46" s="230"/>
      <c r="J46" s="230"/>
      <c r="K46" s="230"/>
      <c r="L46" s="230"/>
      <c r="M46" s="230"/>
    </row>
    <row r="47" spans="1:13" x14ac:dyDescent="0.25">
      <c r="A47" s="2724"/>
      <c r="B47" s="1563" t="str">
        <f t="shared" si="8"/>
        <v>Electricity-Reciprocating Engines</v>
      </c>
      <c r="C47" s="1560">
        <v>0</v>
      </c>
      <c r="D47" s="1560">
        <v>0</v>
      </c>
      <c r="E47" s="229">
        <f>'Cost-Benefit Tab_Digester'!$G$250*0.75</f>
        <v>17758513.187850296</v>
      </c>
      <c r="F47" s="1353"/>
      <c r="G47" s="3"/>
      <c r="I47" s="230"/>
      <c r="J47" s="230"/>
      <c r="K47" s="230"/>
      <c r="L47" s="230"/>
      <c r="M47" s="230"/>
    </row>
    <row r="48" spans="1:13" ht="15.75" thickBot="1" x14ac:dyDescent="0.3">
      <c r="A48" s="2725"/>
      <c r="B48" s="1564" t="str">
        <f t="shared" si="8"/>
        <v>Electricity-Fuel cells</v>
      </c>
      <c r="C48" s="1002">
        <v>0</v>
      </c>
      <c r="D48" s="1002">
        <v>0</v>
      </c>
      <c r="E48" s="102">
        <f>'Cost-Benefit Tab_Digester'!$G$250*0.75</f>
        <v>17758513.187850296</v>
      </c>
      <c r="F48" s="1353"/>
      <c r="G48" s="3"/>
      <c r="I48" s="230"/>
      <c r="J48" s="230"/>
      <c r="K48" s="230"/>
      <c r="L48" s="230"/>
      <c r="M48" s="230"/>
    </row>
    <row r="49" spans="1:13" x14ac:dyDescent="0.25">
      <c r="A49" s="2723">
        <v>50</v>
      </c>
      <c r="B49" s="1356" t="str">
        <f t="shared" si="8"/>
        <v>Electricity-Microturbine (30-300 KW)</v>
      </c>
      <c r="C49" s="475">
        <v>0</v>
      </c>
      <c r="D49" s="475">
        <v>0</v>
      </c>
      <c r="E49" s="774">
        <f>'Cost-Benefit Tab_Digester'!$G$250*0.5</f>
        <v>11839008.791900197</v>
      </c>
      <c r="F49" s="1353"/>
      <c r="G49" s="3"/>
      <c r="I49" s="230"/>
      <c r="J49" s="230"/>
      <c r="K49" s="230"/>
      <c r="L49" s="230"/>
      <c r="M49" s="230"/>
    </row>
    <row r="50" spans="1:13" x14ac:dyDescent="0.25">
      <c r="A50" s="2724"/>
      <c r="B50" s="1563" t="str">
        <f t="shared" si="8"/>
        <v>Electricity-Gas Turbines (1-500 MW)</v>
      </c>
      <c r="C50" s="307">
        <v>0</v>
      </c>
      <c r="D50" s="307">
        <v>0</v>
      </c>
      <c r="E50" s="229">
        <f>'Cost-Benefit Tab_Digester'!$G$250*0.5</f>
        <v>11839008.791900197</v>
      </c>
      <c r="F50" s="1353"/>
      <c r="G50" s="3"/>
      <c r="I50" s="230"/>
      <c r="J50" s="230"/>
      <c r="K50" s="230"/>
      <c r="L50" s="230"/>
      <c r="M50" s="230"/>
    </row>
    <row r="51" spans="1:13" x14ac:dyDescent="0.25">
      <c r="A51" s="2724"/>
      <c r="B51" s="1563" t="str">
        <f t="shared" si="8"/>
        <v>Electricity-Reciprocating Engines</v>
      </c>
      <c r="C51" s="307">
        <v>0</v>
      </c>
      <c r="D51" s="307">
        <v>0</v>
      </c>
      <c r="E51" s="229">
        <f>'Cost-Benefit Tab_Digester'!$G$250*0.5</f>
        <v>11839008.791900197</v>
      </c>
      <c r="F51" s="1353"/>
      <c r="G51" s="3"/>
      <c r="I51" s="230"/>
      <c r="J51" s="230"/>
      <c r="K51" s="230"/>
      <c r="L51" s="230"/>
      <c r="M51" s="230"/>
    </row>
    <row r="52" spans="1:13" ht="15.75" thickBot="1" x14ac:dyDescent="0.3">
      <c r="A52" s="2725"/>
      <c r="B52" s="1564" t="str">
        <f t="shared" si="8"/>
        <v>Electricity-Fuel cells</v>
      </c>
      <c r="C52" s="363">
        <v>0</v>
      </c>
      <c r="D52" s="363">
        <v>0</v>
      </c>
      <c r="E52" s="102">
        <f>'Cost-Benefit Tab_Digester'!$G$250*0.5</f>
        <v>11839008.791900197</v>
      </c>
      <c r="F52" s="1353"/>
      <c r="G52" s="3"/>
      <c r="I52" s="230"/>
      <c r="J52" s="230"/>
      <c r="K52" s="230"/>
      <c r="L52" s="230"/>
      <c r="M52" s="230"/>
    </row>
    <row r="53" spans="1:13" x14ac:dyDescent="0.25">
      <c r="A53" s="2723">
        <v>25</v>
      </c>
      <c r="B53" s="1356" t="str">
        <f t="shared" ref="B53" si="9">B49</f>
        <v>Electricity-Microturbine (30-300 KW)</v>
      </c>
      <c r="C53" s="475">
        <v>0</v>
      </c>
      <c r="D53" s="475">
        <v>0</v>
      </c>
      <c r="E53" s="774">
        <f>'Cost-Benefit Tab_Digester'!$G$250*0.25</f>
        <v>5919504.3959500985</v>
      </c>
      <c r="F53" s="1353"/>
      <c r="G53" s="3"/>
      <c r="I53" s="230"/>
      <c r="J53" s="230"/>
      <c r="K53" s="230"/>
      <c r="L53" s="230"/>
      <c r="M53" s="230"/>
    </row>
    <row r="54" spans="1:13" x14ac:dyDescent="0.25">
      <c r="A54" s="2724"/>
      <c r="B54" s="1563" t="str">
        <f t="shared" ref="B54" si="10">B50</f>
        <v>Electricity-Gas Turbines (1-500 MW)</v>
      </c>
      <c r="C54" s="1560">
        <v>0</v>
      </c>
      <c r="D54" s="1560">
        <v>0</v>
      </c>
      <c r="E54" s="229">
        <f>'Cost-Benefit Tab_Digester'!$G$250*0.25</f>
        <v>5919504.3959500985</v>
      </c>
      <c r="F54" s="1353"/>
      <c r="G54" s="3"/>
      <c r="I54" s="230"/>
      <c r="J54" s="230"/>
      <c r="K54" s="230"/>
      <c r="L54" s="230"/>
      <c r="M54" s="230"/>
    </row>
    <row r="55" spans="1:13" x14ac:dyDescent="0.25">
      <c r="A55" s="2724"/>
      <c r="B55" s="1563" t="str">
        <f t="shared" ref="B55" si="11">B51</f>
        <v>Electricity-Reciprocating Engines</v>
      </c>
      <c r="C55" s="1560">
        <v>0</v>
      </c>
      <c r="D55" s="1560">
        <v>0</v>
      </c>
      <c r="E55" s="229">
        <f>'Cost-Benefit Tab_Digester'!$G$250*0.25</f>
        <v>5919504.3959500985</v>
      </c>
      <c r="F55" s="1353"/>
      <c r="G55" s="3"/>
      <c r="I55" s="230"/>
      <c r="J55" s="230"/>
      <c r="K55" s="230"/>
      <c r="L55" s="230"/>
      <c r="M55" s="230"/>
    </row>
    <row r="56" spans="1:13" ht="15.75" thickBot="1" x14ac:dyDescent="0.3">
      <c r="A56" s="2725"/>
      <c r="B56" s="1564" t="str">
        <f t="shared" ref="B56" si="12">B52</f>
        <v>Electricity-Fuel cells</v>
      </c>
      <c r="C56" s="1002">
        <v>0</v>
      </c>
      <c r="D56" s="1002">
        <v>0</v>
      </c>
      <c r="E56" s="102">
        <f>'Cost-Benefit Tab_Digester'!$G$250*0.25</f>
        <v>5919504.3959500985</v>
      </c>
      <c r="F56" s="1353"/>
      <c r="G56" s="3"/>
      <c r="I56" s="230"/>
      <c r="J56" s="230"/>
      <c r="K56" s="230"/>
      <c r="L56" s="230"/>
      <c r="M56" s="230"/>
    </row>
    <row r="57" spans="1:13" ht="15.75" thickBot="1" x14ac:dyDescent="0.3">
      <c r="A57" s="1578"/>
      <c r="B57" s="349"/>
      <c r="C57" s="349"/>
      <c r="D57" s="349"/>
      <c r="E57" s="403"/>
      <c r="F57" s="1353"/>
      <c r="G57" s="3"/>
    </row>
    <row r="58" spans="1:13" ht="15.75" thickBot="1" x14ac:dyDescent="0.3">
      <c r="A58" s="1582" t="s">
        <v>767</v>
      </c>
      <c r="B58" s="409" t="s">
        <v>725</v>
      </c>
      <c r="C58" s="1576"/>
      <c r="D58" s="1576"/>
      <c r="E58" s="1577"/>
      <c r="F58" s="1353"/>
      <c r="G58" s="3"/>
    </row>
    <row r="59" spans="1:13" x14ac:dyDescent="0.25">
      <c r="A59" s="1562">
        <v>100</v>
      </c>
      <c r="B59" s="307" t="s">
        <v>725</v>
      </c>
      <c r="C59" s="307">
        <v>0</v>
      </c>
      <c r="D59" s="307">
        <v>0</v>
      </c>
      <c r="E59" s="1579">
        <f>'Cost-Benefit Tab_Digester'!$D$263</f>
        <v>11462088.534023097</v>
      </c>
      <c r="F59" s="1353"/>
      <c r="G59" s="3"/>
    </row>
    <row r="60" spans="1:13" x14ac:dyDescent="0.25">
      <c r="A60" s="1563">
        <v>75</v>
      </c>
      <c r="B60" s="1560" t="s">
        <v>725</v>
      </c>
      <c r="C60" s="1560">
        <v>0</v>
      </c>
      <c r="D60" s="1560">
        <v>0</v>
      </c>
      <c r="E60" s="229">
        <f>'Cost-Benefit Tab_Digester'!$D$263*0.75</f>
        <v>8596566.4005173221</v>
      </c>
      <c r="F60" s="1353"/>
      <c r="G60" s="3"/>
    </row>
    <row r="61" spans="1:13" x14ac:dyDescent="0.25">
      <c r="A61" s="1563">
        <v>50</v>
      </c>
      <c r="B61" s="1560" t="s">
        <v>725</v>
      </c>
      <c r="C61" s="1560">
        <v>0</v>
      </c>
      <c r="D61" s="1560">
        <v>0</v>
      </c>
      <c r="E61" s="229">
        <f>'Cost-Benefit Tab_Digester'!$D$263*0.5</f>
        <v>5731044.2670115484</v>
      </c>
      <c r="F61" s="1353"/>
      <c r="G61" s="3"/>
    </row>
    <row r="62" spans="1:13" ht="15.75" thickBot="1" x14ac:dyDescent="0.3">
      <c r="A62" s="1564">
        <v>25</v>
      </c>
      <c r="B62" s="1002" t="s">
        <v>725</v>
      </c>
      <c r="C62" s="1002">
        <v>0</v>
      </c>
      <c r="D62" s="1002">
        <v>0</v>
      </c>
      <c r="E62" s="102">
        <f>'Cost-Benefit Tab_Digester'!$D$263*0.25</f>
        <v>2865522.1335057742</v>
      </c>
      <c r="F62" s="1353"/>
      <c r="G62" s="3"/>
    </row>
    <row r="63" spans="1:13" ht="15.75" thickBot="1" x14ac:dyDescent="0.3">
      <c r="A63" s="347"/>
      <c r="B63" s="1576"/>
      <c r="C63" s="1576"/>
      <c r="D63" s="1576"/>
      <c r="E63" s="1577"/>
      <c r="F63" s="1353"/>
      <c r="G63" s="3"/>
    </row>
    <row r="64" spans="1:13" ht="15.75" thickBot="1" x14ac:dyDescent="0.3">
      <c r="E64"/>
      <c r="F64" s="3"/>
      <c r="G64" s="3"/>
    </row>
    <row r="65" spans="1:29" ht="85.5" customHeight="1" thickBot="1" x14ac:dyDescent="0.3">
      <c r="A65" s="1837" t="s">
        <v>767</v>
      </c>
      <c r="B65" s="1838" t="s">
        <v>150</v>
      </c>
      <c r="C65" s="1839" t="s">
        <v>773</v>
      </c>
      <c r="D65" s="1840" t="s">
        <v>772</v>
      </c>
      <c r="E65" s="1838" t="s">
        <v>1708</v>
      </c>
      <c r="F65" s="1838" t="s">
        <v>1709</v>
      </c>
      <c r="G65" s="1841" t="s">
        <v>774</v>
      </c>
      <c r="H65" s="1838" t="s">
        <v>1616</v>
      </c>
      <c r="I65" s="1838" t="s">
        <v>1615</v>
      </c>
      <c r="J65" s="1842" t="s">
        <v>1768</v>
      </c>
      <c r="K65" s="1843" t="s">
        <v>1769</v>
      </c>
      <c r="L65" s="1843" t="s">
        <v>1770</v>
      </c>
      <c r="M65" s="1843" t="s">
        <v>1611</v>
      </c>
      <c r="N65" s="1843" t="s">
        <v>1612</v>
      </c>
      <c r="O65" s="1843" t="s">
        <v>1613</v>
      </c>
      <c r="P65" s="1844" t="s">
        <v>1614</v>
      </c>
      <c r="Q65" s="1845" t="s">
        <v>1625</v>
      </c>
      <c r="R65" s="1846" t="s">
        <v>1626</v>
      </c>
      <c r="S65" s="1826" t="s">
        <v>20</v>
      </c>
      <c r="T65" s="1826" t="s">
        <v>21</v>
      </c>
      <c r="U65" s="1826" t="s">
        <v>79</v>
      </c>
      <c r="V65" s="1826" t="s">
        <v>1715</v>
      </c>
      <c r="W65" s="1826" t="s">
        <v>1716</v>
      </c>
      <c r="X65" s="1826" t="s">
        <v>19</v>
      </c>
      <c r="Y65" s="1826" t="s">
        <v>1187</v>
      </c>
      <c r="Z65" s="1826" t="s">
        <v>1192</v>
      </c>
      <c r="AA65" s="1826" t="s">
        <v>1529</v>
      </c>
      <c r="AB65" s="1827" t="s">
        <v>392</v>
      </c>
      <c r="AC65" s="1838" t="s">
        <v>1845</v>
      </c>
    </row>
    <row r="66" spans="1:29" x14ac:dyDescent="0.25">
      <c r="A66" s="53">
        <v>100</v>
      </c>
      <c r="B66" s="161" t="s">
        <v>790</v>
      </c>
      <c r="C66" s="756">
        <f>C5</f>
        <v>5515157.2719453247</v>
      </c>
      <c r="D66" s="410">
        <f t="shared" ref="D66" si="13">D5</f>
        <v>444.77074773752616</v>
      </c>
      <c r="E66" s="475">
        <v>0</v>
      </c>
      <c r="F66" s="475">
        <v>0</v>
      </c>
      <c r="G66" s="557">
        <f>E5</f>
        <v>19052374.341327526</v>
      </c>
      <c r="H66" s="557">
        <f>'Cost-Benefit Tab_Digester'!$I$250</f>
        <v>527259.72694313992</v>
      </c>
      <c r="I66" s="1707">
        <v>0</v>
      </c>
      <c r="J66" s="1707">
        <v>0</v>
      </c>
      <c r="K66" s="1707">
        <f>'Cost-Benefit Tab_Digester'!$K$115</f>
        <v>152564499.891619</v>
      </c>
      <c r="L66" s="1707">
        <v>0</v>
      </c>
      <c r="M66" s="557">
        <f>'Cost-Benefit Tab_Digester'!$B$143</f>
        <v>111165087.86072741</v>
      </c>
      <c r="N66" s="1707">
        <v>0</v>
      </c>
      <c r="O66" s="557">
        <f>'Cost-Benefit Tab_Digester'!$B$147</f>
        <v>10625849.087928841</v>
      </c>
      <c r="P66" s="1707">
        <v>0</v>
      </c>
      <c r="Q66" s="557">
        <f>'Cost-Benefit Tab_Digester'!$B$30</f>
        <v>18897197.144498143</v>
      </c>
      <c r="R66" s="557">
        <f>'Cost-Benefit Tab_Digester'!$B$31</f>
        <v>17456580.762748789</v>
      </c>
      <c r="S66" s="1931">
        <f>'Emission-Vehicle to be refueled'!V7</f>
        <v>-1303.2805903737037</v>
      </c>
      <c r="T66" s="1931">
        <f>'Emission-Vehicle to be refueled'!W7</f>
        <v>-15074.037771872458</v>
      </c>
      <c r="U66" s="1931">
        <f>'Emission-Vehicle to be refueled'!X7</f>
        <v>-1395.5821041000477</v>
      </c>
      <c r="V66" s="1931">
        <f>'Emission-Vehicle to be refueled'!Y7</f>
        <v>-118.87668635845182</v>
      </c>
      <c r="W66" s="1931">
        <f>'Emission-Vehicle to be refueled'!Z7</f>
        <v>-90.960357084002752</v>
      </c>
      <c r="X66" s="1931">
        <f>'Emission-Vehicle to be refueled'!AA7</f>
        <v>-506.76994909368705</v>
      </c>
      <c r="Y66" s="1931">
        <f>'Emission-Vehicle to be refueled'!AB7</f>
        <v>-741.60822544184884</v>
      </c>
      <c r="Z66" s="1931">
        <f>'Emission-Vehicle to be refueled'!AC7</f>
        <v>-1930258.610792438</v>
      </c>
      <c r="AA66" s="1931">
        <f>'Emission-Vehicle to be refueled'!AD7</f>
        <v>-92.831003600581298</v>
      </c>
      <c r="AB66" s="1931">
        <v>0</v>
      </c>
      <c r="AC66" s="1965">
        <f>'Emission-Vehicle to be refueled'!$AB$442</f>
        <v>-6218566.9144114358</v>
      </c>
    </row>
    <row r="67" spans="1:29" x14ac:dyDescent="0.25">
      <c r="A67" s="319">
        <v>75</v>
      </c>
      <c r="B67" s="1917" t="s">
        <v>791</v>
      </c>
      <c r="C67" s="862">
        <f t="shared" ref="C67:D67" si="14">C9</f>
        <v>4136367.9539589938</v>
      </c>
      <c r="D67" s="479">
        <f t="shared" si="14"/>
        <v>333.57806080314464</v>
      </c>
      <c r="E67" s="1916">
        <v>0</v>
      </c>
      <c r="F67" s="1916">
        <v>0</v>
      </c>
      <c r="G67" s="228">
        <f>E9</f>
        <v>14289280.755995644</v>
      </c>
      <c r="H67" s="228">
        <f>'Cost-Benefit Tab_Digester'!$I$250*0.75</f>
        <v>395444.79520735494</v>
      </c>
      <c r="I67" s="1706">
        <v>0</v>
      </c>
      <c r="J67" s="1706">
        <v>0</v>
      </c>
      <c r="K67" s="1706">
        <f>'Cost-Benefit Tab_Digester'!$K$115*0.75</f>
        <v>114423374.91871426</v>
      </c>
      <c r="L67" s="1706">
        <v>0</v>
      </c>
      <c r="M67" s="228">
        <f>'Cost-Benefit Tab_Digester'!$B$143*0.75</f>
        <v>83373815.895545557</v>
      </c>
      <c r="N67" s="1706">
        <v>0</v>
      </c>
      <c r="O67" s="228">
        <f>'Cost-Benefit Tab_Digester'!$B$147*0.75</f>
        <v>7969386.8159466311</v>
      </c>
      <c r="P67" s="1706">
        <v>0</v>
      </c>
      <c r="Q67" s="228">
        <f>'Cost-Benefit Tab_Digester'!$B$30*0.75</f>
        <v>14172897.858373608</v>
      </c>
      <c r="R67" s="228">
        <f>R66*0.75</f>
        <v>13092435.572061591</v>
      </c>
      <c r="S67" s="1721">
        <f>S66*0.75</f>
        <v>-977.46044278027784</v>
      </c>
      <c r="T67" s="1721">
        <f>T66*0.75</f>
        <v>-11305.528328904344</v>
      </c>
      <c r="U67" s="1721">
        <f t="shared" ref="U67:Z67" si="15">U66*0.75</f>
        <v>-1046.6865780750359</v>
      </c>
      <c r="V67" s="1721">
        <f t="shared" si="15"/>
        <v>-89.157514768838865</v>
      </c>
      <c r="W67" s="1721">
        <f t="shared" si="15"/>
        <v>-68.220267813002067</v>
      </c>
      <c r="X67" s="1721">
        <f t="shared" si="15"/>
        <v>-380.07746182026528</v>
      </c>
      <c r="Y67" s="1721">
        <f t="shared" si="15"/>
        <v>-556.20616908138663</v>
      </c>
      <c r="Z67" s="1721">
        <f t="shared" si="15"/>
        <v>-1447693.9580943286</v>
      </c>
      <c r="AA67" s="1721">
        <f>AA66*0.75</f>
        <v>-69.62325270043597</v>
      </c>
      <c r="AB67" s="1930">
        <v>0</v>
      </c>
      <c r="AC67" s="1887">
        <f>'Emission-Vehicle to be refueled'!$AB$442*0.756</f>
        <v>-4701236.5872950451</v>
      </c>
    </row>
    <row r="68" spans="1:29" x14ac:dyDescent="0.25">
      <c r="A68" s="319">
        <v>50</v>
      </c>
      <c r="B68" s="1917" t="s">
        <v>792</v>
      </c>
      <c r="C68" s="862">
        <f t="shared" ref="C68:D68" si="16">C13</f>
        <v>2068183.9769794969</v>
      </c>
      <c r="D68" s="479">
        <f t="shared" si="16"/>
        <v>166.78903040157232</v>
      </c>
      <c r="E68" s="1916">
        <v>0</v>
      </c>
      <c r="F68" s="1916">
        <v>0</v>
      </c>
      <c r="G68" s="228">
        <f>E13</f>
        <v>7144640.3779978221</v>
      </c>
      <c r="H68" s="228">
        <f>'Cost-Benefit Tab_Digester'!$I$250*0.5</f>
        <v>263629.86347156996</v>
      </c>
      <c r="I68" s="1706">
        <v>0</v>
      </c>
      <c r="J68" s="1706">
        <v>0</v>
      </c>
      <c r="K68" s="1706">
        <f>'Cost-Benefit Tab_Digester'!$K$115*0.5</f>
        <v>76282249.945809498</v>
      </c>
      <c r="L68" s="1706">
        <v>0</v>
      </c>
      <c r="M68" s="228">
        <f>'Cost-Benefit Tab_Digester'!$B$143*0.5</f>
        <v>55582543.930363707</v>
      </c>
      <c r="N68" s="1706">
        <v>0</v>
      </c>
      <c r="O68" s="228">
        <f>'Cost-Benefit Tab_Digester'!$B$147*0.5</f>
        <v>5312924.5439644204</v>
      </c>
      <c r="P68" s="1706">
        <v>0</v>
      </c>
      <c r="Q68" s="228">
        <f>'Cost-Benefit Tab_Digester'!$B$30*0.5</f>
        <v>9448598.5722490717</v>
      </c>
      <c r="R68" s="228">
        <f>R66*0.5</f>
        <v>8728290.3813743945</v>
      </c>
      <c r="S68" s="1721">
        <f>S66*0.5</f>
        <v>-651.64029518685186</v>
      </c>
      <c r="T68" s="1721">
        <f t="shared" ref="T68:AA68" si="17">T66*0.5</f>
        <v>-7537.0188859362288</v>
      </c>
      <c r="U68" s="1721">
        <f t="shared" si="17"/>
        <v>-697.79105205002384</v>
      </c>
      <c r="V68" s="1721">
        <f t="shared" si="17"/>
        <v>-59.43834317922591</v>
      </c>
      <c r="W68" s="1721">
        <f t="shared" si="17"/>
        <v>-45.480178542001376</v>
      </c>
      <c r="X68" s="1721">
        <f t="shared" si="17"/>
        <v>-253.38497454684352</v>
      </c>
      <c r="Y68" s="1721">
        <f t="shared" si="17"/>
        <v>-370.80411272092442</v>
      </c>
      <c r="Z68" s="1721">
        <f t="shared" si="17"/>
        <v>-965129.30539621902</v>
      </c>
      <c r="AA68" s="1721">
        <f t="shared" si="17"/>
        <v>-46.415501800290649</v>
      </c>
      <c r="AB68" s="1930">
        <v>0</v>
      </c>
      <c r="AC68" s="1887">
        <f>'Emission-Vehicle to be refueled'!$AB$442*0.5</f>
        <v>-3109283.4572057179</v>
      </c>
    </row>
    <row r="69" spans="1:29" x14ac:dyDescent="0.25">
      <c r="A69" s="319">
        <v>25</v>
      </c>
      <c r="B69" s="1917" t="s">
        <v>793</v>
      </c>
      <c r="C69" s="862">
        <f t="shared" ref="C69:D69" si="18">C17</f>
        <v>517045.99424487422</v>
      </c>
      <c r="D69" s="479">
        <f t="shared" si="18"/>
        <v>41.69725760039308</v>
      </c>
      <c r="E69" s="1916">
        <v>0</v>
      </c>
      <c r="F69" s="1916">
        <v>0</v>
      </c>
      <c r="G69" s="228">
        <f>E17</f>
        <v>1786160.0944994555</v>
      </c>
      <c r="H69" s="228">
        <f>'Cost-Benefit Tab_Digester'!$I$250*0.25</f>
        <v>131814.93173578498</v>
      </c>
      <c r="I69" s="1706">
        <v>0</v>
      </c>
      <c r="J69" s="1706">
        <v>0</v>
      </c>
      <c r="K69" s="1706">
        <f>'Cost-Benefit Tab_Digester'!$K$115*0.25</f>
        <v>38141124.972904749</v>
      </c>
      <c r="L69" s="1706">
        <v>0</v>
      </c>
      <c r="M69" s="228">
        <f>'Cost-Benefit Tab_Digester'!$B$143*0.25</f>
        <v>27791271.965181854</v>
      </c>
      <c r="N69" s="1706">
        <v>0</v>
      </c>
      <c r="O69" s="228">
        <f>'Cost-Benefit Tab_Digester'!$B$147*0.25</f>
        <v>2656462.2719822102</v>
      </c>
      <c r="P69" s="1706">
        <v>0</v>
      </c>
      <c r="Q69" s="228">
        <f>'Cost-Benefit Tab_Digester'!$B$30*0.25</f>
        <v>4724299.2861245358</v>
      </c>
      <c r="R69" s="228">
        <f>R66*0.25</f>
        <v>4364145.1906871973</v>
      </c>
      <c r="S69" s="1721">
        <f>S66*0.25</f>
        <v>-325.82014759342593</v>
      </c>
      <c r="T69" s="1721">
        <f t="shared" ref="T69:AA69" si="19">T66*0.25</f>
        <v>-3768.5094429681144</v>
      </c>
      <c r="U69" s="1721">
        <f t="shared" si="19"/>
        <v>-348.89552602501192</v>
      </c>
      <c r="V69" s="1721">
        <f t="shared" si="19"/>
        <v>-29.719171589612955</v>
      </c>
      <c r="W69" s="1721">
        <f t="shared" si="19"/>
        <v>-22.740089271000688</v>
      </c>
      <c r="X69" s="1721">
        <f t="shared" si="19"/>
        <v>-126.69248727342176</v>
      </c>
      <c r="Y69" s="1721">
        <f t="shared" si="19"/>
        <v>-185.40205636046221</v>
      </c>
      <c r="Z69" s="1721">
        <f t="shared" si="19"/>
        <v>-482564.65269810951</v>
      </c>
      <c r="AA69" s="1721">
        <f t="shared" si="19"/>
        <v>-23.207750900145324</v>
      </c>
      <c r="AB69" s="1930">
        <v>0</v>
      </c>
      <c r="AC69" s="1887">
        <f>'Emission-Vehicle to be refueled'!$AB$442*0.25</f>
        <v>-1554641.728602859</v>
      </c>
    </row>
    <row r="70" spans="1:29" ht="15.75" thickBot="1" x14ac:dyDescent="0.3">
      <c r="A70" s="960">
        <v>0</v>
      </c>
      <c r="B70" s="1925" t="s">
        <v>794</v>
      </c>
      <c r="C70" s="1002">
        <v>0</v>
      </c>
      <c r="D70" s="972">
        <v>0</v>
      </c>
      <c r="E70" s="1002">
        <v>0</v>
      </c>
      <c r="F70" s="1002">
        <v>0</v>
      </c>
      <c r="G70" s="156">
        <v>0</v>
      </c>
      <c r="H70" s="156">
        <f>'Cost-Benefit Tab_Digester'!$I$250*0</f>
        <v>0</v>
      </c>
      <c r="I70" s="1708">
        <v>0</v>
      </c>
      <c r="J70" s="1708">
        <v>0</v>
      </c>
      <c r="K70" s="1708">
        <v>0</v>
      </c>
      <c r="L70" s="1708">
        <v>0</v>
      </c>
      <c r="M70" s="156">
        <f>0</f>
        <v>0</v>
      </c>
      <c r="N70" s="1708">
        <v>0</v>
      </c>
      <c r="O70" s="156">
        <v>0</v>
      </c>
      <c r="P70" s="1708">
        <v>0</v>
      </c>
      <c r="Q70" s="156">
        <f>'Cost-Benefit Tab_Digester'!$B$30*0</f>
        <v>0</v>
      </c>
      <c r="R70" s="156">
        <f>R66*0</f>
        <v>0</v>
      </c>
      <c r="S70" s="1002">
        <v>0</v>
      </c>
      <c r="T70" s="1002">
        <v>0</v>
      </c>
      <c r="U70" s="1002">
        <v>0</v>
      </c>
      <c r="V70" s="1002">
        <v>0</v>
      </c>
      <c r="W70" s="1002">
        <v>0</v>
      </c>
      <c r="X70" s="1002">
        <v>0</v>
      </c>
      <c r="Y70" s="1002">
        <v>0</v>
      </c>
      <c r="Z70" s="1002">
        <v>0</v>
      </c>
      <c r="AA70" s="1002">
        <v>0</v>
      </c>
      <c r="AB70" s="1932">
        <v>0</v>
      </c>
      <c r="AC70" s="1888">
        <f>'Emission-Vehicle to be refueled'!$AB$442*0</f>
        <v>0</v>
      </c>
    </row>
    <row r="71" spans="1:29" x14ac:dyDescent="0.25">
      <c r="A71" s="361">
        <v>100</v>
      </c>
      <c r="B71" s="1958" t="s">
        <v>795</v>
      </c>
      <c r="C71" s="1659">
        <f t="shared" ref="C71:D71" si="20">C6</f>
        <v>279070.2703672034</v>
      </c>
      <c r="D71" s="1959">
        <f t="shared" si="20"/>
        <v>11.926079930222368</v>
      </c>
      <c r="E71" s="307">
        <v>0</v>
      </c>
      <c r="F71" s="307">
        <v>0</v>
      </c>
      <c r="G71" s="1960">
        <f>E6</f>
        <v>17538998.247718006</v>
      </c>
      <c r="H71" s="1960">
        <f>'Cost-Benefit Tab_Digester'!$I$250</f>
        <v>527259.72694313992</v>
      </c>
      <c r="I71" s="1961">
        <v>0</v>
      </c>
      <c r="J71" s="1961">
        <v>0</v>
      </c>
      <c r="K71" s="1961">
        <f>'Cost-Benefit Tab_Digester'!$K$115</f>
        <v>152564499.891619</v>
      </c>
      <c r="L71" s="1961">
        <v>0</v>
      </c>
      <c r="M71" s="1960">
        <f>'Cost-Benefit Tab_Digester'!$B$143</f>
        <v>111165087.86072741</v>
      </c>
      <c r="N71" s="1961">
        <v>0</v>
      </c>
      <c r="O71" s="1960">
        <f>'Cost-Benefit Tab_Digester'!$B$147</f>
        <v>10625849.087928841</v>
      </c>
      <c r="P71" s="1961">
        <v>0</v>
      </c>
      <c r="Q71" s="1960">
        <f>'Cost-Benefit Tab_Digester'!$B$28</f>
        <v>13343345.453930169</v>
      </c>
      <c r="R71" s="1960">
        <v>0</v>
      </c>
      <c r="S71" s="1962">
        <f>'Emission-Vehicle to be refueled'!V9</f>
        <v>38.993854136399797</v>
      </c>
      <c r="T71" s="1962">
        <f>'Emission-Vehicle to be refueled'!W9</f>
        <v>7473.822042809963</v>
      </c>
      <c r="U71" s="1962">
        <f>'Emission-Vehicle to be refueled'!X9</f>
        <v>45.492829825799745</v>
      </c>
      <c r="V71" s="1962">
        <f>'Emission-Vehicle to be refueled'!Y9</f>
        <v>-7.6070510444426649</v>
      </c>
      <c r="W71" s="1962">
        <f>'Emission-Vehicle to be refueled'!Z9</f>
        <v>-7.0676360622224648</v>
      </c>
      <c r="X71" s="1962">
        <f>'Emission-Vehicle to be refueled'!AA9</f>
        <v>38.993854136399804</v>
      </c>
      <c r="Y71" s="1962">
        <f>'Emission-Vehicle to be refueled'!AB9</f>
        <v>4773.4976438642771</v>
      </c>
      <c r="Z71" s="1962">
        <f>'Emission-Vehicle to be refueled'!AC9</f>
        <v>-113732.07456449943</v>
      </c>
      <c r="AA71" s="1962">
        <f>'Emission-Vehicle to be refueled'!AD9</f>
        <v>11.659162386783541</v>
      </c>
      <c r="AB71" s="1962">
        <v>0</v>
      </c>
      <c r="AC71" s="1977">
        <f>'Emission-Vehicle to be refueled'!$AB$493</f>
        <v>74498.379561132388</v>
      </c>
    </row>
    <row r="72" spans="1:29" x14ac:dyDescent="0.25">
      <c r="A72" s="319">
        <v>75</v>
      </c>
      <c r="B72" s="1917" t="s">
        <v>796</v>
      </c>
      <c r="C72" s="862">
        <f t="shared" ref="C72:D72" si="21">C10</f>
        <v>209302.70277540255</v>
      </c>
      <c r="D72" s="479">
        <f t="shared" si="21"/>
        <v>8.9445599476667752</v>
      </c>
      <c r="E72" s="1916">
        <v>0</v>
      </c>
      <c r="F72" s="1916">
        <v>0</v>
      </c>
      <c r="G72" s="228">
        <f>E10</f>
        <v>13154248.685788505</v>
      </c>
      <c r="H72" s="228">
        <f>'Cost-Benefit Tab_Digester'!$I$250*0.75</f>
        <v>395444.79520735494</v>
      </c>
      <c r="I72" s="1706">
        <v>0</v>
      </c>
      <c r="J72" s="1706">
        <v>0</v>
      </c>
      <c r="K72" s="1706">
        <f>'Cost-Benefit Tab_Digester'!$K$115*0.75</f>
        <v>114423374.91871426</v>
      </c>
      <c r="L72" s="1706">
        <v>0</v>
      </c>
      <c r="M72" s="228">
        <f>'Cost-Benefit Tab_Digester'!$B$143*0.75</f>
        <v>83373815.895545557</v>
      </c>
      <c r="N72" s="1706">
        <v>0</v>
      </c>
      <c r="O72" s="228">
        <f>'Cost-Benefit Tab_Digester'!$B$147*0.75</f>
        <v>7969386.8159466311</v>
      </c>
      <c r="P72" s="1706">
        <v>0</v>
      </c>
      <c r="Q72" s="228">
        <f>'Cost-Benefit Tab_Digester'!$B$28*0.75</f>
        <v>10007509.090447627</v>
      </c>
      <c r="R72" s="228">
        <v>0</v>
      </c>
      <c r="S72" s="1828">
        <f>S71*0.75</f>
        <v>29.24539060229985</v>
      </c>
      <c r="T72" s="1828">
        <f>T71*0.75</f>
        <v>5605.3665321074723</v>
      </c>
      <c r="U72" s="1828">
        <f t="shared" ref="U72:AA72" si="22">U71*0.75</f>
        <v>34.119622369349813</v>
      </c>
      <c r="V72" s="1828">
        <f t="shared" si="22"/>
        <v>-5.7052882833319991</v>
      </c>
      <c r="W72" s="1828">
        <f t="shared" si="22"/>
        <v>-5.3007270466668484</v>
      </c>
      <c r="X72" s="1828">
        <f t="shared" si="22"/>
        <v>29.245390602299853</v>
      </c>
      <c r="Y72" s="1828">
        <f t="shared" si="22"/>
        <v>3580.1232328982078</v>
      </c>
      <c r="Z72" s="1828">
        <f t="shared" si="22"/>
        <v>-85299.055923374573</v>
      </c>
      <c r="AA72" s="510">
        <f t="shared" si="22"/>
        <v>8.744371790087655</v>
      </c>
      <c r="AB72" s="1930">
        <v>0</v>
      </c>
      <c r="AC72" s="1887">
        <f>'Emission-Vehicle to be refueled'!$AB$493*0.75</f>
        <v>55873.784670849287</v>
      </c>
    </row>
    <row r="73" spans="1:29" x14ac:dyDescent="0.25">
      <c r="A73" s="319">
        <v>50</v>
      </c>
      <c r="B73" s="1917" t="s">
        <v>797</v>
      </c>
      <c r="C73" s="862">
        <f t="shared" ref="C73:D73" si="23">C14</f>
        <v>104651.35138770127</v>
      </c>
      <c r="D73" s="479">
        <f t="shared" si="23"/>
        <v>4.4722799738333876</v>
      </c>
      <c r="E73" s="1916">
        <v>0</v>
      </c>
      <c r="F73" s="1916">
        <v>0</v>
      </c>
      <c r="G73" s="228">
        <f>E14</f>
        <v>6577124.3428942524</v>
      </c>
      <c r="H73" s="228">
        <f>'Cost-Benefit Tab_Digester'!$I$250*0.5</f>
        <v>263629.86347156996</v>
      </c>
      <c r="I73" s="1706">
        <v>0</v>
      </c>
      <c r="J73" s="1706">
        <v>0</v>
      </c>
      <c r="K73" s="1706">
        <f>'Cost-Benefit Tab_Digester'!$K$115*0.5</f>
        <v>76282249.945809498</v>
      </c>
      <c r="L73" s="1706">
        <v>0</v>
      </c>
      <c r="M73" s="228">
        <f>'Cost-Benefit Tab_Digester'!$B$143*0.5</f>
        <v>55582543.930363707</v>
      </c>
      <c r="N73" s="1706">
        <v>0</v>
      </c>
      <c r="O73" s="228">
        <f>'Cost-Benefit Tab_Digester'!$B$147*0.5</f>
        <v>5312924.5439644204</v>
      </c>
      <c r="P73" s="1706">
        <v>0</v>
      </c>
      <c r="Q73" s="228">
        <f>'Cost-Benefit Tab_Digester'!$B$28*0.5</f>
        <v>6671672.7269650847</v>
      </c>
      <c r="R73" s="228">
        <v>0</v>
      </c>
      <c r="S73" s="1828">
        <f>S71*0.5</f>
        <v>19.496927068199899</v>
      </c>
      <c r="T73" s="1828">
        <f t="shared" ref="T73:AA73" si="24">T71*0.5</f>
        <v>3736.9110214049815</v>
      </c>
      <c r="U73" s="1828">
        <f t="shared" si="24"/>
        <v>22.746414912899873</v>
      </c>
      <c r="V73" s="1828">
        <f t="shared" si="24"/>
        <v>-3.8035255222213324</v>
      </c>
      <c r="W73" s="1828">
        <f t="shared" si="24"/>
        <v>-3.5338180311112324</v>
      </c>
      <c r="X73" s="1828">
        <f t="shared" si="24"/>
        <v>19.496927068199902</v>
      </c>
      <c r="Y73" s="1828">
        <f t="shared" si="24"/>
        <v>2386.7488219321385</v>
      </c>
      <c r="Z73" s="1828">
        <f t="shared" si="24"/>
        <v>-56866.037282249716</v>
      </c>
      <c r="AA73" s="510">
        <f t="shared" si="24"/>
        <v>5.8295811933917703</v>
      </c>
      <c r="AB73" s="1930">
        <v>0</v>
      </c>
      <c r="AC73" s="1887">
        <f>'Emission-Vehicle to be refueled'!$AB$493*0.5</f>
        <v>37249.189780566194</v>
      </c>
    </row>
    <row r="74" spans="1:29" x14ac:dyDescent="0.25">
      <c r="A74" s="319">
        <v>25</v>
      </c>
      <c r="B74" s="1917" t="s">
        <v>798</v>
      </c>
      <c r="C74" s="862">
        <f t="shared" ref="C74:D74" si="25">C18</f>
        <v>26162.837846925318</v>
      </c>
      <c r="D74" s="479">
        <f t="shared" si="25"/>
        <v>1.1180699934583469</v>
      </c>
      <c r="E74" s="1916">
        <v>0</v>
      </c>
      <c r="F74" s="1916">
        <v>0</v>
      </c>
      <c r="G74" s="228">
        <f>E18</f>
        <v>1644281.0857235631</v>
      </c>
      <c r="H74" s="228">
        <f>'Cost-Benefit Tab_Digester'!$I$250*0.25</f>
        <v>131814.93173578498</v>
      </c>
      <c r="I74" s="1706">
        <v>0</v>
      </c>
      <c r="J74" s="1706">
        <v>0</v>
      </c>
      <c r="K74" s="1706">
        <f>'Cost-Benefit Tab_Digester'!$K$115*0.25</f>
        <v>38141124.972904749</v>
      </c>
      <c r="L74" s="1706">
        <v>0</v>
      </c>
      <c r="M74" s="228">
        <f>'Cost-Benefit Tab_Digester'!$B$143*0.25</f>
        <v>27791271.965181854</v>
      </c>
      <c r="N74" s="1706">
        <v>0</v>
      </c>
      <c r="O74" s="228">
        <f>'Cost-Benefit Tab_Digester'!$B$147*0.25</f>
        <v>2656462.2719822102</v>
      </c>
      <c r="P74" s="1706">
        <v>0</v>
      </c>
      <c r="Q74" s="228">
        <f>'Cost-Benefit Tab_Digester'!$B$28*0.25</f>
        <v>3335836.3634825423</v>
      </c>
      <c r="R74" s="228">
        <v>0</v>
      </c>
      <c r="S74" s="1828">
        <f>S71*0.25</f>
        <v>9.7484635340999493</v>
      </c>
      <c r="T74" s="1828">
        <f t="shared" ref="T74:AA74" si="26">T71*0.25</f>
        <v>1868.4555107024908</v>
      </c>
      <c r="U74" s="1828">
        <f t="shared" si="26"/>
        <v>11.373207456449936</v>
      </c>
      <c r="V74" s="1828">
        <f t="shared" si="26"/>
        <v>-1.9017627611106662</v>
      </c>
      <c r="W74" s="1828">
        <f t="shared" si="26"/>
        <v>-1.7669090155556162</v>
      </c>
      <c r="X74" s="1828">
        <f t="shared" si="26"/>
        <v>9.748463534099951</v>
      </c>
      <c r="Y74" s="1828">
        <f t="shared" si="26"/>
        <v>1193.3744109660693</v>
      </c>
      <c r="Z74" s="1828">
        <f t="shared" si="26"/>
        <v>-28433.018641124858</v>
      </c>
      <c r="AA74" s="510">
        <f t="shared" si="26"/>
        <v>2.9147905966958851</v>
      </c>
      <c r="AB74" s="1930">
        <v>0</v>
      </c>
      <c r="AC74" s="1887">
        <f>'Emission-Vehicle to be refueled'!$AB$493*0.25</f>
        <v>18624.594890283097</v>
      </c>
    </row>
    <row r="75" spans="1:29" ht="15.75" thickBot="1" x14ac:dyDescent="0.3">
      <c r="A75" s="960">
        <v>0</v>
      </c>
      <c r="B75" s="1925" t="s">
        <v>799</v>
      </c>
      <c r="C75" s="524">
        <v>0</v>
      </c>
      <c r="D75" s="972">
        <v>0</v>
      </c>
      <c r="E75" s="1002">
        <v>0</v>
      </c>
      <c r="F75" s="1002">
        <v>0</v>
      </c>
      <c r="G75" s="156">
        <v>0</v>
      </c>
      <c r="H75" s="156">
        <f>'Cost-Benefit Tab_Digester'!$I$250*0</f>
        <v>0</v>
      </c>
      <c r="I75" s="1708">
        <v>0</v>
      </c>
      <c r="J75" s="1708">
        <v>0</v>
      </c>
      <c r="K75" s="1708">
        <v>0</v>
      </c>
      <c r="L75" s="1708">
        <v>0</v>
      </c>
      <c r="M75" s="156">
        <f>'Cost-Benefit Tab_Digester'!$B$143*0</f>
        <v>0</v>
      </c>
      <c r="N75" s="1708">
        <v>0</v>
      </c>
      <c r="O75" s="156">
        <f>'Cost-Benefit Tab_Digester'!$B$147*0</f>
        <v>0</v>
      </c>
      <c r="P75" s="1708">
        <v>0</v>
      </c>
      <c r="Q75" s="156">
        <f>'Cost-Benefit Tab_Digester'!$B$28*0</f>
        <v>0</v>
      </c>
      <c r="R75" s="156">
        <v>0</v>
      </c>
      <c r="S75" s="1002">
        <v>0</v>
      </c>
      <c r="T75" s="1002">
        <v>0</v>
      </c>
      <c r="U75" s="1002">
        <v>0</v>
      </c>
      <c r="V75" s="1002">
        <v>0</v>
      </c>
      <c r="W75" s="1002">
        <v>0</v>
      </c>
      <c r="X75" s="1002">
        <v>0</v>
      </c>
      <c r="Y75" s="1002">
        <v>0</v>
      </c>
      <c r="Z75" s="1002">
        <v>0</v>
      </c>
      <c r="AA75" s="1002">
        <v>0</v>
      </c>
      <c r="AB75" s="1932">
        <v>0</v>
      </c>
      <c r="AC75" s="1888">
        <f>'Emission-Vehicle to be refueled'!$AB$493*0</f>
        <v>0</v>
      </c>
    </row>
    <row r="76" spans="1:29" x14ac:dyDescent="0.25">
      <c r="A76" s="361">
        <v>100</v>
      </c>
      <c r="B76" s="1958" t="s">
        <v>800</v>
      </c>
      <c r="C76" s="1659">
        <f t="shared" ref="C76:D76" si="27">C7</f>
        <v>3393353.7103774701</v>
      </c>
      <c r="D76" s="1959">
        <f t="shared" si="27"/>
        <v>297.66260617346228</v>
      </c>
      <c r="E76" s="307">
        <v>0</v>
      </c>
      <c r="F76" s="307">
        <v>0</v>
      </c>
      <c r="G76" s="1960">
        <f>E7</f>
        <v>19025574.475273427</v>
      </c>
      <c r="H76" s="1960">
        <f>'Cost-Benefit Tab_Digester'!$I$250</f>
        <v>527259.72694313992</v>
      </c>
      <c r="I76" s="1961">
        <v>0</v>
      </c>
      <c r="J76" s="1961">
        <v>0</v>
      </c>
      <c r="K76" s="1961">
        <f>'Cost-Benefit Tab_Digester'!$K$115</f>
        <v>152564499.891619</v>
      </c>
      <c r="L76" s="1961">
        <v>0</v>
      </c>
      <c r="M76" s="1960">
        <f>'Cost-Benefit Tab_Digester'!$B$143</f>
        <v>111165087.86072741</v>
      </c>
      <c r="N76" s="1961">
        <v>0</v>
      </c>
      <c r="O76" s="1960">
        <f>'Cost-Benefit Tab_Digester'!$B$147</f>
        <v>10625849.087928841</v>
      </c>
      <c r="P76" s="1961">
        <v>0</v>
      </c>
      <c r="Q76" s="1960">
        <f>'Cost-Benefit Tab_Digester'!$B$34</f>
        <v>24872315.293596797</v>
      </c>
      <c r="R76" s="1960">
        <f>'Cost-Benefit Tab_Digester'!$B$35</f>
        <v>25698598.147411019</v>
      </c>
      <c r="S76" s="1962">
        <f>'Emission-Vehicle to be refueled'!V11</f>
        <v>-794.04476822832805</v>
      </c>
      <c r="T76" s="1962">
        <f>'Emission-Vehicle to be refueled'!W11</f>
        <v>-21245.787580673339</v>
      </c>
      <c r="U76" s="1962">
        <f>'Emission-Vehicle to be refueled'!X11</f>
        <v>-1428.6019120689148</v>
      </c>
      <c r="V76" s="1962">
        <f>'Emission-Vehicle to be refueled'!Y11</f>
        <v>-40.720244524529633</v>
      </c>
      <c r="W76" s="1962">
        <f>'Emission-Vehicle to be refueled'!Z11</f>
        <v>-33.933537103774697</v>
      </c>
      <c r="X76" s="1962">
        <f>'Emission-Vehicle to be refueled'!AA11</f>
        <v>-10.18006113113241</v>
      </c>
      <c r="Y76" s="1962">
        <f>'Emission-Vehicle to be refueled'!AB11</f>
        <v>-57.687013076416996</v>
      </c>
      <c r="Z76" s="1962">
        <f>'Emission-Vehicle to be refueled'!AC11</f>
        <v>-1778117.3442377944</v>
      </c>
      <c r="AA76" s="1962">
        <f>'Emission-Vehicle to be refueled'!AD11</f>
        <v>-139.12750212547627</v>
      </c>
      <c r="AB76" s="1962">
        <v>0</v>
      </c>
      <c r="AC76" s="1977">
        <f>'Emission-Vehicle to be refueled'!$AB$544</f>
        <v>-5585712.2683912627</v>
      </c>
    </row>
    <row r="77" spans="1:29" x14ac:dyDescent="0.25">
      <c r="A77" s="319">
        <v>75</v>
      </c>
      <c r="B77" s="1917" t="s">
        <v>801</v>
      </c>
      <c r="C77" s="862">
        <f t="shared" ref="C77:D77" si="28">C11</f>
        <v>2545015.2827831027</v>
      </c>
      <c r="D77" s="479">
        <f t="shared" si="28"/>
        <v>223.2469546300967</v>
      </c>
      <c r="E77" s="1916">
        <v>0</v>
      </c>
      <c r="F77" s="1916">
        <v>0</v>
      </c>
      <c r="G77" s="228">
        <f>E11</f>
        <v>14269180.856455069</v>
      </c>
      <c r="H77" s="228">
        <f>'Cost-Benefit Tab_Digester'!$I$250*0.75</f>
        <v>395444.79520735494</v>
      </c>
      <c r="I77" s="1706">
        <v>0</v>
      </c>
      <c r="J77" s="1706">
        <v>0</v>
      </c>
      <c r="K77" s="1706">
        <f>'Cost-Benefit Tab_Digester'!$K$115*0.75</f>
        <v>114423374.91871426</v>
      </c>
      <c r="L77" s="1706">
        <v>0</v>
      </c>
      <c r="M77" s="228">
        <f>'Cost-Benefit Tab_Digester'!$B$143*0.75</f>
        <v>83373815.895545557</v>
      </c>
      <c r="N77" s="1706">
        <v>0</v>
      </c>
      <c r="O77" s="228">
        <f>'Cost-Benefit Tab_Digester'!$B$147*0.75</f>
        <v>7969386.8159466311</v>
      </c>
      <c r="P77" s="1706">
        <v>0</v>
      </c>
      <c r="Q77" s="228">
        <f>'Cost-Benefit Tab_Digester'!$B$34*0.75</f>
        <v>18654236.470197596</v>
      </c>
      <c r="R77" s="228">
        <f>'Cost-Benefit Tab_Digester'!$B$35*0.75</f>
        <v>19273948.610558264</v>
      </c>
      <c r="S77" s="1721">
        <f>S76*0.75</f>
        <v>-595.53357617124607</v>
      </c>
      <c r="T77" s="1721">
        <f t="shared" ref="T77:AA77" si="29">T76*0.75</f>
        <v>-15934.340685505005</v>
      </c>
      <c r="U77" s="1721">
        <f t="shared" si="29"/>
        <v>-1071.4514340516862</v>
      </c>
      <c r="V77" s="1721">
        <f t="shared" si="29"/>
        <v>-30.540183393397225</v>
      </c>
      <c r="W77" s="1721">
        <f t="shared" si="29"/>
        <v>-25.450152827831023</v>
      </c>
      <c r="X77" s="1721">
        <f t="shared" si="29"/>
        <v>-7.6350458483493071</v>
      </c>
      <c r="Y77" s="1721">
        <f t="shared" si="29"/>
        <v>-43.265259807312745</v>
      </c>
      <c r="Z77" s="1721">
        <f t="shared" si="29"/>
        <v>-1333588.0081783459</v>
      </c>
      <c r="AA77" s="1721">
        <f t="shared" si="29"/>
        <v>-104.3456265941072</v>
      </c>
      <c r="AB77" s="1930">
        <v>0</v>
      </c>
      <c r="AC77" s="1887">
        <f>'Emission-Vehicle to be refueled'!$AB$544*0.75</f>
        <v>-4189284.2012934471</v>
      </c>
    </row>
    <row r="78" spans="1:29" x14ac:dyDescent="0.25">
      <c r="A78" s="319">
        <v>50</v>
      </c>
      <c r="B78" s="1917" t="s">
        <v>802</v>
      </c>
      <c r="C78" s="862">
        <f t="shared" ref="C78:D78" si="30">C15</f>
        <v>1272507.6413915514</v>
      </c>
      <c r="D78" s="479">
        <f t="shared" si="30"/>
        <v>111.62347731504835</v>
      </c>
      <c r="E78" s="1916">
        <v>0</v>
      </c>
      <c r="F78" s="1916">
        <v>0</v>
      </c>
      <c r="G78" s="228">
        <f>E15</f>
        <v>7134590.4282275345</v>
      </c>
      <c r="H78" s="228">
        <f>'Cost-Benefit Tab_Digester'!$I$250*0.5</f>
        <v>263629.86347156996</v>
      </c>
      <c r="I78" s="1706">
        <v>0</v>
      </c>
      <c r="J78" s="1706">
        <v>0</v>
      </c>
      <c r="K78" s="1706">
        <f>'Cost-Benefit Tab_Digester'!$K$115*0.5</f>
        <v>76282249.945809498</v>
      </c>
      <c r="L78" s="1706">
        <v>0</v>
      </c>
      <c r="M78" s="228">
        <f>'Cost-Benefit Tab_Digester'!$B$143*0.5</f>
        <v>55582543.930363707</v>
      </c>
      <c r="N78" s="1706">
        <v>0</v>
      </c>
      <c r="O78" s="228">
        <f>'Cost-Benefit Tab_Digester'!$B$147*0.5</f>
        <v>5312924.5439644204</v>
      </c>
      <c r="P78" s="1706">
        <v>0</v>
      </c>
      <c r="Q78" s="228">
        <f>'Cost-Benefit Tab_Digester'!$B$34*0.5</f>
        <v>12436157.646798398</v>
      </c>
      <c r="R78" s="228">
        <f>'Cost-Benefit Tab_Digester'!$B$35*0.5</f>
        <v>12849299.073705509</v>
      </c>
      <c r="S78" s="1721">
        <f>S76*0.5</f>
        <v>-397.02238411416403</v>
      </c>
      <c r="T78" s="1721">
        <f t="shared" ref="T78:Z78" si="31">T76*0.5</f>
        <v>-10622.89379033667</v>
      </c>
      <c r="U78" s="1721">
        <f t="shared" si="31"/>
        <v>-714.30095603445739</v>
      </c>
      <c r="V78" s="1721">
        <f t="shared" si="31"/>
        <v>-20.360122262264817</v>
      </c>
      <c r="W78" s="1721">
        <f t="shared" si="31"/>
        <v>-16.966768551887348</v>
      </c>
      <c r="X78" s="1721">
        <f t="shared" si="31"/>
        <v>-5.090030565566205</v>
      </c>
      <c r="Y78" s="1721">
        <f>Y76*0.5</f>
        <v>-28.843506538208498</v>
      </c>
      <c r="Z78" s="1721">
        <f t="shared" si="31"/>
        <v>-889058.6721188972</v>
      </c>
      <c r="AA78" s="1721">
        <f>AA76*0.5</f>
        <v>-69.563751062738135</v>
      </c>
      <c r="AB78" s="1930">
        <v>0</v>
      </c>
      <c r="AC78" s="1887">
        <f>'Emission-Vehicle to be refueled'!$AB$544*0.5</f>
        <v>-2792856.1341956314</v>
      </c>
    </row>
    <row r="79" spans="1:29" x14ac:dyDescent="0.25">
      <c r="A79" s="319">
        <v>25</v>
      </c>
      <c r="B79" s="1917" t="s">
        <v>803</v>
      </c>
      <c r="C79" s="862">
        <f t="shared" ref="C79:D79" si="32">C19</f>
        <v>318126.91034788784</v>
      </c>
      <c r="D79" s="479">
        <f t="shared" si="32"/>
        <v>27.905869328762087</v>
      </c>
      <c r="E79" s="1916">
        <v>0</v>
      </c>
      <c r="F79" s="1916">
        <v>0</v>
      </c>
      <c r="G79" s="228">
        <f>E19</f>
        <v>1783647.6070568836</v>
      </c>
      <c r="H79" s="228">
        <f>'Cost-Benefit Tab_Digester'!$I$250*0.25</f>
        <v>131814.93173578498</v>
      </c>
      <c r="I79" s="1706">
        <v>0</v>
      </c>
      <c r="J79" s="1706">
        <v>0</v>
      </c>
      <c r="K79" s="1706">
        <f>'Cost-Benefit Tab_Digester'!$K$115*0.25</f>
        <v>38141124.972904749</v>
      </c>
      <c r="L79" s="1706">
        <v>0</v>
      </c>
      <c r="M79" s="228">
        <f>'Cost-Benefit Tab_Digester'!$B$143*0.25</f>
        <v>27791271.965181854</v>
      </c>
      <c r="N79" s="1706">
        <v>0</v>
      </c>
      <c r="O79" s="228">
        <f>'Cost-Benefit Tab_Digester'!$B$147*0.25</f>
        <v>2656462.2719822102</v>
      </c>
      <c r="P79" s="1706">
        <v>0</v>
      </c>
      <c r="Q79" s="228">
        <f>'Cost-Benefit Tab_Digester'!$B$34*0.25</f>
        <v>6218078.8233991992</v>
      </c>
      <c r="R79" s="228">
        <f>'Cost-Benefit Tab_Digester'!$B$35*0.25</f>
        <v>6424649.5368527547</v>
      </c>
      <c r="S79" s="1721">
        <f>S76*0.25</f>
        <v>-198.51119205708201</v>
      </c>
      <c r="T79" s="1721">
        <f t="shared" ref="T79:AA79" si="33">T76*0.25</f>
        <v>-5311.4468951683348</v>
      </c>
      <c r="U79" s="1721">
        <f t="shared" si="33"/>
        <v>-357.15047801722869</v>
      </c>
      <c r="V79" s="1721">
        <f t="shared" si="33"/>
        <v>-10.180061131132408</v>
      </c>
      <c r="W79" s="1721">
        <f t="shared" si="33"/>
        <v>-8.4833842759436742</v>
      </c>
      <c r="X79" s="1721">
        <f t="shared" si="33"/>
        <v>-2.5450152827831025</v>
      </c>
      <c r="Y79" s="1721">
        <f t="shared" si="33"/>
        <v>-14.421753269104249</v>
      </c>
      <c r="Z79" s="1721">
        <f t="shared" si="33"/>
        <v>-444529.3360594486</v>
      </c>
      <c r="AA79" s="1721">
        <f t="shared" si="33"/>
        <v>-34.781875531369067</v>
      </c>
      <c r="AB79" s="1930">
        <v>0</v>
      </c>
      <c r="AC79" s="1887">
        <f>'Emission-Vehicle to be refueled'!$AB$544*0.25</f>
        <v>-1396428.0670978157</v>
      </c>
    </row>
    <row r="80" spans="1:29" ht="15.75" thickBot="1" x14ac:dyDescent="0.3">
      <c r="A80" s="960">
        <v>0</v>
      </c>
      <c r="B80" s="1925" t="s">
        <v>804</v>
      </c>
      <c r="C80" s="524">
        <v>0</v>
      </c>
      <c r="D80" s="972">
        <v>0</v>
      </c>
      <c r="E80" s="1002">
        <v>0</v>
      </c>
      <c r="F80" s="1002">
        <v>0</v>
      </c>
      <c r="G80" s="156">
        <v>0</v>
      </c>
      <c r="H80" s="156">
        <f>'Cost-Benefit Tab_Digester'!$I$250*0</f>
        <v>0</v>
      </c>
      <c r="I80" s="1708">
        <v>0</v>
      </c>
      <c r="J80" s="1708">
        <v>0</v>
      </c>
      <c r="K80" s="1708">
        <f>'Cost-Benefit Tab_Digester'!$K$115*0</f>
        <v>0</v>
      </c>
      <c r="L80" s="1708">
        <v>0</v>
      </c>
      <c r="M80" s="156">
        <f>'Cost-Benefit Tab_Digester'!$B$143*0</f>
        <v>0</v>
      </c>
      <c r="N80" s="1708">
        <v>0</v>
      </c>
      <c r="O80" s="156">
        <f>'Cost-Benefit Tab_Digester'!$B$147*0</f>
        <v>0</v>
      </c>
      <c r="P80" s="1708">
        <v>0</v>
      </c>
      <c r="Q80" s="156">
        <f>'Cost-Benefit Tab_Digester'!$B$34*0</f>
        <v>0</v>
      </c>
      <c r="R80" s="156">
        <f>'Cost-Benefit Tab_Digester'!$B$35*0</f>
        <v>0</v>
      </c>
      <c r="S80" s="1829">
        <v>0</v>
      </c>
      <c r="T80" s="1829">
        <v>0</v>
      </c>
      <c r="U80" s="1829">
        <v>0</v>
      </c>
      <c r="V80" s="1829">
        <v>0</v>
      </c>
      <c r="W80" s="1829">
        <v>0</v>
      </c>
      <c r="X80" s="1829">
        <v>0</v>
      </c>
      <c r="Y80" s="1829">
        <v>0</v>
      </c>
      <c r="Z80" s="1829">
        <v>0</v>
      </c>
      <c r="AA80" s="1829">
        <v>0</v>
      </c>
      <c r="AB80" s="1932">
        <v>0</v>
      </c>
      <c r="AC80" s="1888">
        <f>'Emission-Vehicle to be refueled'!$AB$544*0</f>
        <v>0</v>
      </c>
    </row>
    <row r="81" spans="1:29" x14ac:dyDescent="0.25">
      <c r="A81" s="361">
        <v>100</v>
      </c>
      <c r="B81" s="1958" t="s">
        <v>805</v>
      </c>
      <c r="C81" s="1659">
        <f t="shared" ref="C81:D81" si="34">C8</f>
        <v>2581400.0008966313</v>
      </c>
      <c r="D81" s="1959">
        <f t="shared" si="34"/>
        <v>107.55833337069296</v>
      </c>
      <c r="E81" s="307">
        <v>0</v>
      </c>
      <c r="F81" s="307">
        <v>0</v>
      </c>
      <c r="G81" s="1960">
        <f>E8</f>
        <v>18943486.814199146</v>
      </c>
      <c r="H81" s="1960">
        <f>'Cost-Benefit Tab_Digester'!$I$250</f>
        <v>527259.72694313992</v>
      </c>
      <c r="I81" s="1961">
        <v>0</v>
      </c>
      <c r="J81" s="1961">
        <v>0</v>
      </c>
      <c r="K81" s="1961">
        <f>'Cost-Benefit Tab_Digester'!$K$115</f>
        <v>152564499.891619</v>
      </c>
      <c r="L81" s="1961">
        <v>0</v>
      </c>
      <c r="M81" s="1960">
        <f>'Cost-Benefit Tab_Digester'!$B$143</f>
        <v>111165087.86072741</v>
      </c>
      <c r="N81" s="1961">
        <v>0</v>
      </c>
      <c r="O81" s="1960">
        <f>'Cost-Benefit Tab_Digester'!$B$147</f>
        <v>10625849.087928841</v>
      </c>
      <c r="P81" s="1961">
        <v>0</v>
      </c>
      <c r="Q81" s="1960">
        <f>'Cost-Benefit Tab_Digester'!$B$38</f>
        <v>6854827.0336309746</v>
      </c>
      <c r="R81" s="1960">
        <f>'Cost-Benefit Tab_Digester'!$B$39</f>
        <v>7337663.6262393203</v>
      </c>
      <c r="S81" s="1962">
        <f>'Emission-Vehicle to be refueled'!V13</f>
        <v>-477.55900016587674</v>
      </c>
      <c r="T81" s="1962">
        <f>'Emission-Vehicle to be refueled'!W13</f>
        <v>-6773.5936023527611</v>
      </c>
      <c r="U81" s="1962">
        <f>'Emission-Vehicle to be refueled'!X13</f>
        <v>-366.5588001273216</v>
      </c>
      <c r="V81" s="1962">
        <f>'Emission-Vehicle to be refueled'!Y13</f>
        <v>-23.232600008069678</v>
      </c>
      <c r="W81" s="1962">
        <f>'Emission-Vehicle to be refueled'!Z13</f>
        <v>-15.488400005379786</v>
      </c>
      <c r="X81" s="1962">
        <f>'Emission-Vehicle to be refueled'!AA13</f>
        <v>-5.1628000017932631</v>
      </c>
      <c r="Y81" s="1962">
        <f>'Emission-Vehicle to be refueled'!AB13</f>
        <v>-30.976800010759575</v>
      </c>
      <c r="Z81" s="1962">
        <f>'Emission-Vehicle to be refueled'!AC13</f>
        <v>-1107420.6003846547</v>
      </c>
      <c r="AA81" s="1962">
        <f>'Emission-Vehicle to be refueled'!AD13</f>
        <v>-25.81400000896631</v>
      </c>
      <c r="AB81" s="1962">
        <v>0</v>
      </c>
      <c r="AC81" s="1977">
        <f>'Emission-Vehicle to be refueled'!$AB$595</f>
        <v>-3261176.6266421778</v>
      </c>
    </row>
    <row r="82" spans="1:29" x14ac:dyDescent="0.25">
      <c r="A82" s="319">
        <v>75</v>
      </c>
      <c r="B82" s="1917" t="s">
        <v>806</v>
      </c>
      <c r="C82" s="862">
        <f t="shared" ref="C82:D82" si="35">C12</f>
        <v>1936050.0006724736</v>
      </c>
      <c r="D82" s="479">
        <f t="shared" si="35"/>
        <v>80.66875002801973</v>
      </c>
      <c r="E82" s="1916">
        <v>0</v>
      </c>
      <c r="F82" s="1916">
        <v>0</v>
      </c>
      <c r="G82" s="228">
        <f>E12</f>
        <v>14207615.110649358</v>
      </c>
      <c r="H82" s="228">
        <f>'Cost-Benefit Tab_Digester'!$I$250*0.75</f>
        <v>395444.79520735494</v>
      </c>
      <c r="I82" s="1706">
        <v>0</v>
      </c>
      <c r="J82" s="1706">
        <v>0</v>
      </c>
      <c r="K82" s="1706">
        <f>'Cost-Benefit Tab_Digester'!$K$115*0.75</f>
        <v>114423374.91871426</v>
      </c>
      <c r="L82" s="1706">
        <v>0</v>
      </c>
      <c r="M82" s="228">
        <f>'Cost-Benefit Tab_Digester'!$B$143*0.75</f>
        <v>83373815.895545557</v>
      </c>
      <c r="N82" s="1706">
        <v>0</v>
      </c>
      <c r="O82" s="228">
        <f>'Cost-Benefit Tab_Digester'!$B$147*0.75</f>
        <v>7969386.8159466311</v>
      </c>
      <c r="P82" s="1706">
        <v>0</v>
      </c>
      <c r="Q82" s="228">
        <f>'Cost-Benefit Tab_Digester'!$B$38*0.75</f>
        <v>5141120.2752232309</v>
      </c>
      <c r="R82" s="228">
        <f>'Cost-Benefit Tab_Digester'!$B$39*0.75</f>
        <v>5503247.7196794897</v>
      </c>
      <c r="S82" s="1930">
        <f>S81*0.75</f>
        <v>-358.16925012440754</v>
      </c>
      <c r="T82" s="1930">
        <f t="shared" ref="T82:AA82" si="36">T81*0.75</f>
        <v>-5080.1952017645708</v>
      </c>
      <c r="U82" s="1930">
        <f t="shared" si="36"/>
        <v>-274.91910009549122</v>
      </c>
      <c r="V82" s="1930">
        <f t="shared" si="36"/>
        <v>-17.424450006052258</v>
      </c>
      <c r="W82" s="1930">
        <f t="shared" si="36"/>
        <v>-11.616300004034839</v>
      </c>
      <c r="X82" s="1930">
        <f t="shared" si="36"/>
        <v>-3.8721000013449474</v>
      </c>
      <c r="Y82" s="1930">
        <f t="shared" si="36"/>
        <v>-23.232600008069682</v>
      </c>
      <c r="Z82" s="1930">
        <f t="shared" si="36"/>
        <v>-830565.45028849109</v>
      </c>
      <c r="AA82" s="1930">
        <f t="shared" si="36"/>
        <v>-19.360500006724735</v>
      </c>
      <c r="AB82" s="1930">
        <v>0</v>
      </c>
      <c r="AC82" s="1887">
        <f>'Emission-Vehicle to be refueled'!$AB$595*0.75</f>
        <v>-2445882.4699816331</v>
      </c>
    </row>
    <row r="83" spans="1:29" x14ac:dyDescent="0.25">
      <c r="A83" s="319">
        <v>50</v>
      </c>
      <c r="B83" s="1917" t="s">
        <v>807</v>
      </c>
      <c r="C83" s="862">
        <f t="shared" ref="C83:D83" si="37">C16</f>
        <v>968025.00033623679</v>
      </c>
      <c r="D83" s="479">
        <f t="shared" si="37"/>
        <v>40.334375014009865</v>
      </c>
      <c r="E83" s="1916">
        <v>0</v>
      </c>
      <c r="F83" s="1916">
        <v>0</v>
      </c>
      <c r="G83" s="228">
        <f>E16</f>
        <v>7103807.5553246792</v>
      </c>
      <c r="H83" s="228">
        <f>'Cost-Benefit Tab_Digester'!$I$250*0.5</f>
        <v>263629.86347156996</v>
      </c>
      <c r="I83" s="1706">
        <v>0</v>
      </c>
      <c r="J83" s="1706">
        <v>0</v>
      </c>
      <c r="K83" s="1706">
        <f>'Cost-Benefit Tab_Digester'!$K$115*0.5</f>
        <v>76282249.945809498</v>
      </c>
      <c r="L83" s="1706">
        <v>0</v>
      </c>
      <c r="M83" s="228">
        <f>'Cost-Benefit Tab_Digester'!$B$143*0.5</f>
        <v>55582543.930363707</v>
      </c>
      <c r="N83" s="1706">
        <v>0</v>
      </c>
      <c r="O83" s="228">
        <f>'Cost-Benefit Tab_Digester'!$B$147*0.5</f>
        <v>5312924.5439644204</v>
      </c>
      <c r="P83" s="1706">
        <v>0</v>
      </c>
      <c r="Q83" s="228">
        <f>'Cost-Benefit Tab_Digester'!$B$38*0.5</f>
        <v>3427413.5168154873</v>
      </c>
      <c r="R83" s="228">
        <f>'Cost-Benefit Tab_Digester'!$B$39*0.5</f>
        <v>3668831.8131196601</v>
      </c>
      <c r="S83" s="1930">
        <f>S81*0.5</f>
        <v>-238.77950008293837</v>
      </c>
      <c r="T83" s="1930">
        <f t="shared" ref="T83:AA83" si="38">T81*0.5</f>
        <v>-3386.7968011763805</v>
      </c>
      <c r="U83" s="1930">
        <f t="shared" si="38"/>
        <v>-183.2794000636608</v>
      </c>
      <c r="V83" s="1930">
        <f t="shared" si="38"/>
        <v>-11.616300004034839</v>
      </c>
      <c r="W83" s="1930">
        <f t="shared" si="38"/>
        <v>-7.7442000026898929</v>
      </c>
      <c r="X83" s="1930">
        <f t="shared" si="38"/>
        <v>-2.5814000008966316</v>
      </c>
      <c r="Y83" s="1930">
        <f>Y81*0.5</f>
        <v>-15.488400005379788</v>
      </c>
      <c r="Z83" s="1930">
        <f t="shared" si="38"/>
        <v>-553710.30019232736</v>
      </c>
      <c r="AA83" s="1930">
        <f t="shared" si="38"/>
        <v>-12.907000004483155</v>
      </c>
      <c r="AB83" s="1930">
        <v>0</v>
      </c>
      <c r="AC83" s="1887">
        <f>'Emission-Vehicle to be refueled'!$AB$595*0.5</f>
        <v>-1630588.3133210889</v>
      </c>
    </row>
    <row r="84" spans="1:29" x14ac:dyDescent="0.25">
      <c r="A84" s="319">
        <v>25</v>
      </c>
      <c r="B84" s="1917" t="s">
        <v>808</v>
      </c>
      <c r="C84" s="862">
        <f t="shared" ref="C84:D84" si="39">C20</f>
        <v>242006.2500840592</v>
      </c>
      <c r="D84" s="479">
        <f t="shared" si="39"/>
        <v>10.083593753502466</v>
      </c>
      <c r="E84" s="1916">
        <v>0</v>
      </c>
      <c r="F84" s="1916">
        <v>0</v>
      </c>
      <c r="G84" s="228">
        <f>E20</f>
        <v>1775951.8888311698</v>
      </c>
      <c r="H84" s="228">
        <f>'Cost-Benefit Tab_Digester'!$I$250*0.25</f>
        <v>131814.93173578498</v>
      </c>
      <c r="I84" s="1706">
        <v>0</v>
      </c>
      <c r="J84" s="1706">
        <v>0</v>
      </c>
      <c r="K84" s="1706">
        <f>'Cost-Benefit Tab_Digester'!$K$115*0.25</f>
        <v>38141124.972904749</v>
      </c>
      <c r="L84" s="1706">
        <v>0</v>
      </c>
      <c r="M84" s="228">
        <f>'Cost-Benefit Tab_Digester'!$B$143*0.25</f>
        <v>27791271.965181854</v>
      </c>
      <c r="N84" s="1706">
        <v>0</v>
      </c>
      <c r="O84" s="228">
        <f>'Cost-Benefit Tab_Digester'!$B$147*0.25</f>
        <v>2656462.2719822102</v>
      </c>
      <c r="P84" s="1706">
        <v>0</v>
      </c>
      <c r="Q84" s="228">
        <f>'Cost-Benefit Tab_Digester'!$B$38*0.25</f>
        <v>1713706.7584077436</v>
      </c>
      <c r="R84" s="228">
        <f>'Cost-Benefit Tab_Digester'!$B$39*0.25</f>
        <v>1834415.9065598301</v>
      </c>
      <c r="S84" s="1930">
        <f>S81*0.25</f>
        <v>-119.38975004146918</v>
      </c>
      <c r="T84" s="1930">
        <f t="shared" ref="T84:AA84" si="40">T81*0.25</f>
        <v>-1693.3984005881903</v>
      </c>
      <c r="U84" s="1930">
        <f t="shared" si="40"/>
        <v>-91.639700031830401</v>
      </c>
      <c r="V84" s="1930">
        <f t="shared" si="40"/>
        <v>-5.8081500020174195</v>
      </c>
      <c r="W84" s="1930">
        <f t="shared" si="40"/>
        <v>-3.8721000013449465</v>
      </c>
      <c r="X84" s="1930">
        <f t="shared" si="40"/>
        <v>-1.2907000004483158</v>
      </c>
      <c r="Y84" s="1930">
        <f t="shared" si="40"/>
        <v>-7.7442000026898938</v>
      </c>
      <c r="Z84" s="1930">
        <f t="shared" si="40"/>
        <v>-276855.15009616368</v>
      </c>
      <c r="AA84" s="1930">
        <f t="shared" si="40"/>
        <v>-6.4535000022415776</v>
      </c>
      <c r="AB84" s="1930">
        <v>0</v>
      </c>
      <c r="AC84" s="1887">
        <f>'Emission-Vehicle to be refueled'!$AB$595*0.25</f>
        <v>-815294.15666054445</v>
      </c>
    </row>
    <row r="85" spans="1:29" ht="15.75" thickBot="1" x14ac:dyDescent="0.3">
      <c r="A85" s="960">
        <v>0</v>
      </c>
      <c r="B85" s="1925" t="s">
        <v>809</v>
      </c>
      <c r="C85" s="524">
        <v>0</v>
      </c>
      <c r="D85" s="972">
        <v>0</v>
      </c>
      <c r="E85" s="1002">
        <v>0</v>
      </c>
      <c r="F85" s="1002">
        <v>0</v>
      </c>
      <c r="G85" s="156">
        <v>0</v>
      </c>
      <c r="H85" s="156">
        <f>'Cost-Benefit Tab_Digester'!$I$250*0</f>
        <v>0</v>
      </c>
      <c r="I85" s="1708">
        <v>0</v>
      </c>
      <c r="J85" s="1708">
        <v>0</v>
      </c>
      <c r="K85" s="1708">
        <f>'Cost-Benefit Tab_Digester'!$K$115*0</f>
        <v>0</v>
      </c>
      <c r="L85" s="1708">
        <v>0</v>
      </c>
      <c r="M85" s="156">
        <f>'Cost-Benefit Tab_Digester'!$B$143*0</f>
        <v>0</v>
      </c>
      <c r="N85" s="1708">
        <v>0</v>
      </c>
      <c r="O85" s="156">
        <f>'Cost-Benefit Tab_Digester'!$B$147*0</f>
        <v>0</v>
      </c>
      <c r="P85" s="1708">
        <v>0</v>
      </c>
      <c r="Q85" s="156">
        <f>'Cost-Benefit Tab_Digester'!$B$38*0</f>
        <v>0</v>
      </c>
      <c r="R85" s="156">
        <f>'Cost-Benefit Tab_Digester'!$B$39*0</f>
        <v>0</v>
      </c>
      <c r="S85" s="1932">
        <v>0</v>
      </c>
      <c r="T85" s="1932">
        <v>0</v>
      </c>
      <c r="U85" s="1932">
        <v>0</v>
      </c>
      <c r="V85" s="1932">
        <v>0</v>
      </c>
      <c r="W85" s="1932">
        <v>0</v>
      </c>
      <c r="X85" s="1932">
        <v>0</v>
      </c>
      <c r="Y85" s="1932">
        <v>0</v>
      </c>
      <c r="Z85" s="1932">
        <v>0</v>
      </c>
      <c r="AA85" s="1932">
        <v>0</v>
      </c>
      <c r="AB85" s="1932">
        <v>0</v>
      </c>
      <c r="AC85" s="1888">
        <f>'Emission-Vehicle to be refueled'!$AB$595*0</f>
        <v>0</v>
      </c>
    </row>
    <row r="86" spans="1:29" ht="15.75" thickBot="1" x14ac:dyDescent="0.3">
      <c r="G86"/>
      <c r="H86" s="3"/>
      <c r="I86" s="3"/>
    </row>
    <row r="87" spans="1:29" ht="79.5" customHeight="1" thickBot="1" x14ac:dyDescent="0.3">
      <c r="A87" s="1231" t="s">
        <v>767</v>
      </c>
      <c r="B87" s="1826" t="s">
        <v>1722</v>
      </c>
      <c r="C87" s="1826" t="s">
        <v>773</v>
      </c>
      <c r="D87" s="1826" t="s">
        <v>772</v>
      </c>
      <c r="E87" s="1838" t="s">
        <v>1708</v>
      </c>
      <c r="F87" s="1838" t="s">
        <v>1709</v>
      </c>
      <c r="G87" s="1827" t="s">
        <v>774</v>
      </c>
      <c r="H87" s="1838" t="s">
        <v>1616</v>
      </c>
      <c r="I87" s="1838" t="s">
        <v>1615</v>
      </c>
      <c r="J87" s="1842" t="s">
        <v>1768</v>
      </c>
      <c r="K87" s="1843" t="s">
        <v>1769</v>
      </c>
      <c r="L87" s="1843" t="s">
        <v>1770</v>
      </c>
      <c r="M87" s="1843" t="s">
        <v>1611</v>
      </c>
      <c r="N87" s="1843" t="s">
        <v>1612</v>
      </c>
      <c r="O87" s="1843" t="s">
        <v>1613</v>
      </c>
      <c r="P87" s="1844" t="s">
        <v>1614</v>
      </c>
      <c r="Q87" s="1845" t="s">
        <v>1771</v>
      </c>
      <c r="R87" s="1846" t="s">
        <v>1772</v>
      </c>
      <c r="S87" s="1826" t="s">
        <v>20</v>
      </c>
      <c r="T87" s="1826" t="s">
        <v>21</v>
      </c>
      <c r="U87" s="1826" t="s">
        <v>79</v>
      </c>
      <c r="V87" s="1826" t="s">
        <v>1715</v>
      </c>
      <c r="W87" s="1826" t="s">
        <v>1716</v>
      </c>
      <c r="X87" s="1826" t="s">
        <v>19</v>
      </c>
      <c r="Y87" s="1826" t="s">
        <v>1187</v>
      </c>
      <c r="Z87" s="1826" t="s">
        <v>1192</v>
      </c>
      <c r="AA87" s="1826" t="s">
        <v>1529</v>
      </c>
      <c r="AB87" s="1827" t="s">
        <v>392</v>
      </c>
      <c r="AC87" s="1827" t="s">
        <v>1845</v>
      </c>
    </row>
    <row r="88" spans="1:29" x14ac:dyDescent="0.25">
      <c r="A88" s="53">
        <v>100</v>
      </c>
      <c r="B88" s="161" t="s">
        <v>790</v>
      </c>
      <c r="C88" s="756">
        <f t="shared" ref="C88:D88" si="41">C23</f>
        <v>6519885.4372702111</v>
      </c>
      <c r="D88" s="410">
        <f t="shared" si="41"/>
        <v>525.79721268308151</v>
      </c>
      <c r="E88" s="475">
        <v>0</v>
      </c>
      <c r="F88" s="475">
        <v>0</v>
      </c>
      <c r="G88" s="557">
        <f>E23</f>
        <v>20957014.085164092</v>
      </c>
      <c r="H88" s="1707">
        <v>0</v>
      </c>
      <c r="I88" s="1707">
        <v>0</v>
      </c>
      <c r="J88" s="557">
        <f>'Cost-Benefit Tab_Digester'!$C$259</f>
        <v>5773780641.1622152</v>
      </c>
      <c r="K88" s="1707">
        <f>'Cost-Benefit Tab_Digester'!$K$115</f>
        <v>152564499.891619</v>
      </c>
      <c r="L88" s="1707">
        <v>0</v>
      </c>
      <c r="M88" s="557">
        <f>'Cost-Benefit Tab_Digester'!$B$143</f>
        <v>111165087.86072741</v>
      </c>
      <c r="N88" s="1707">
        <v>0</v>
      </c>
      <c r="O88" s="557">
        <f>'Cost-Benefit Tab_Digester'!$B$147</f>
        <v>10625849.087928841</v>
      </c>
      <c r="P88" s="1707">
        <v>0</v>
      </c>
      <c r="Q88" s="557">
        <f>'Cost-Benefit Tab_Digester'!$B$32</f>
        <v>11865860.616223153</v>
      </c>
      <c r="R88" s="557">
        <f>'Cost-Benefit Tab_Digester'!$B$32</f>
        <v>11865860.616223153</v>
      </c>
      <c r="S88" s="1931">
        <f>'Emission-Vehicle to be refueled'!V8</f>
        <v>-521.59083498161681</v>
      </c>
      <c r="T88" s="1931">
        <f>'Emission-Vehicle to be refueled'!W8</f>
        <v>586.78968935431806</v>
      </c>
      <c r="U88" s="1931">
        <f>'Emission-Vehicle to be refueled'!X8</f>
        <v>130.39770874540434</v>
      </c>
      <c r="V88" s="1931">
        <f>'Emission-Vehicle to be refueled'!Y8</f>
        <v>-84.758510684512757</v>
      </c>
      <c r="W88" s="1931">
        <f>'Emission-Vehicle to be refueled'!Z8</f>
        <v>-63.112491032775637</v>
      </c>
      <c r="X88" s="1931">
        <f>'Emission-Vehicle to be refueled'!AA8</f>
        <v>-199.1825001086049</v>
      </c>
      <c r="Y88" s="1931">
        <f>'Emission-Vehicle to be refueled'!AB8</f>
        <v>5476.7037673069781</v>
      </c>
      <c r="Z88" s="1931">
        <f>'Emission-Vehicle to be refueled'!AC8</f>
        <v>-260795.41749080844</v>
      </c>
      <c r="AA88" s="1931">
        <f>'Emission-Vehicle to be refueled'!AD8</f>
        <v>-20.928832253637385</v>
      </c>
      <c r="AB88" s="1931">
        <v>0</v>
      </c>
      <c r="AC88" s="1965">
        <f>'Emission-Vehicle to be refueled'!$AB$697</f>
        <v>-428484.69456219446</v>
      </c>
    </row>
    <row r="89" spans="1:29" x14ac:dyDescent="0.25">
      <c r="A89" s="319">
        <v>75</v>
      </c>
      <c r="B89" s="1917" t="s">
        <v>791</v>
      </c>
      <c r="C89" s="862">
        <f t="shared" ref="C89:D89" si="42">C27</f>
        <v>4889914.0779526588</v>
      </c>
      <c r="D89" s="479">
        <f t="shared" si="42"/>
        <v>394.34790951231116</v>
      </c>
      <c r="E89" s="1916">
        <v>0</v>
      </c>
      <c r="F89" s="1916">
        <v>0</v>
      </c>
      <c r="G89" s="228">
        <f>E27</f>
        <v>15717760.563873069</v>
      </c>
      <c r="H89" s="1706">
        <v>0</v>
      </c>
      <c r="I89" s="1706">
        <v>0</v>
      </c>
      <c r="J89" s="228">
        <f>'Cost-Benefit Tab_Digester'!$C$259*0.75</f>
        <v>4330335480.8716612</v>
      </c>
      <c r="K89" s="1706">
        <f>'Cost-Benefit Tab_Digester'!$K$115*0.75</f>
        <v>114423374.91871426</v>
      </c>
      <c r="L89" s="1706">
        <v>0</v>
      </c>
      <c r="M89" s="228">
        <f>'Cost-Benefit Tab_Digester'!$B$143*0.75</f>
        <v>83373815.895545557</v>
      </c>
      <c r="N89" s="1706">
        <v>0</v>
      </c>
      <c r="O89" s="228">
        <f>'Cost-Benefit Tab_Digester'!$B$147*0.75</f>
        <v>7969386.8159466311</v>
      </c>
      <c r="P89" s="1706">
        <v>0</v>
      </c>
      <c r="Q89" s="228">
        <f>'Cost-Benefit Tab_Digester'!$B$32*0.75</f>
        <v>8899395.4621673636</v>
      </c>
      <c r="R89" s="228">
        <f>R88*0.75</f>
        <v>8899395.4621673636</v>
      </c>
      <c r="S89" s="1930">
        <f>S88*0.75</f>
        <v>-391.19312623621261</v>
      </c>
      <c r="T89" s="1930">
        <f t="shared" ref="T89:AA89" si="43">T88*0.75</f>
        <v>440.09226701573857</v>
      </c>
      <c r="U89" s="1930">
        <f t="shared" si="43"/>
        <v>97.798281559053265</v>
      </c>
      <c r="V89" s="1930">
        <f t="shared" si="43"/>
        <v>-63.568883013384564</v>
      </c>
      <c r="W89" s="1930">
        <f t="shared" si="43"/>
        <v>-47.334368274581728</v>
      </c>
      <c r="X89" s="1930">
        <f t="shared" si="43"/>
        <v>-149.38687508145367</v>
      </c>
      <c r="Y89" s="1930">
        <f t="shared" si="43"/>
        <v>4107.5278254802333</v>
      </c>
      <c r="Z89" s="1930">
        <f t="shared" si="43"/>
        <v>-195596.56311810634</v>
      </c>
      <c r="AA89" s="1930">
        <f t="shared" si="43"/>
        <v>-15.696624190228039</v>
      </c>
      <c r="AB89" s="1930">
        <v>0</v>
      </c>
      <c r="AC89" s="1887">
        <f>'Emission-Vehicle to be refueled'!$AB$697*0.75</f>
        <v>-321363.52092164586</v>
      </c>
    </row>
    <row r="90" spans="1:29" x14ac:dyDescent="0.25">
      <c r="A90" s="319">
        <v>50</v>
      </c>
      <c r="B90" s="1917" t="s">
        <v>792</v>
      </c>
      <c r="C90" s="862">
        <f t="shared" ref="C90:D90" si="44">C31</f>
        <v>2444957.0389763294</v>
      </c>
      <c r="D90" s="479">
        <f t="shared" si="44"/>
        <v>197.17395475615558</v>
      </c>
      <c r="E90" s="1916">
        <v>0</v>
      </c>
      <c r="F90" s="1916">
        <v>0</v>
      </c>
      <c r="G90" s="228">
        <f>E31</f>
        <v>7858880.2819365347</v>
      </c>
      <c r="H90" s="1706">
        <v>0</v>
      </c>
      <c r="I90" s="1706">
        <v>0</v>
      </c>
      <c r="J90" s="228">
        <f>'Cost-Benefit Tab_Digester'!$C$259*0.5</f>
        <v>2886890320.5811076</v>
      </c>
      <c r="K90" s="1706">
        <f>'Cost-Benefit Tab_Digester'!$K$115*0.5</f>
        <v>76282249.945809498</v>
      </c>
      <c r="L90" s="1706">
        <v>0</v>
      </c>
      <c r="M90" s="228">
        <f>'Cost-Benefit Tab_Digester'!$B$143*0.5</f>
        <v>55582543.930363707</v>
      </c>
      <c r="N90" s="1706">
        <v>0</v>
      </c>
      <c r="O90" s="228">
        <f>'Cost-Benefit Tab_Digester'!$B$147*0.5</f>
        <v>5312924.5439644204</v>
      </c>
      <c r="P90" s="1706">
        <v>0</v>
      </c>
      <c r="Q90" s="228">
        <f>'Cost-Benefit Tab_Digester'!$B$32*0.5</f>
        <v>5932930.3081115764</v>
      </c>
      <c r="R90" s="228">
        <f>R88*0.5</f>
        <v>5932930.3081115764</v>
      </c>
      <c r="S90" s="1930">
        <f>S88*0.5</f>
        <v>-260.7954174908084</v>
      </c>
      <c r="T90" s="1930">
        <f t="shared" ref="T90:AA90" si="45">T88*0.5</f>
        <v>293.39484467715903</v>
      </c>
      <c r="U90" s="1930">
        <f t="shared" si="45"/>
        <v>65.198854372702172</v>
      </c>
      <c r="V90" s="1930">
        <f t="shared" si="45"/>
        <v>-42.379255342256378</v>
      </c>
      <c r="W90" s="1930">
        <f t="shared" si="45"/>
        <v>-31.556245516387818</v>
      </c>
      <c r="X90" s="1930">
        <f t="shared" si="45"/>
        <v>-99.591250054302449</v>
      </c>
      <c r="Y90" s="1930">
        <f t="shared" si="45"/>
        <v>2738.351883653489</v>
      </c>
      <c r="Z90" s="1930">
        <f t="shared" si="45"/>
        <v>-130397.70874540422</v>
      </c>
      <c r="AA90" s="1930">
        <f t="shared" si="45"/>
        <v>-10.464416126818692</v>
      </c>
      <c r="AB90" s="1930">
        <v>0</v>
      </c>
      <c r="AC90" s="1887">
        <f>'Emission-Vehicle to be refueled'!$AB$697*0.5</f>
        <v>-214242.34728109723</v>
      </c>
    </row>
    <row r="91" spans="1:29" x14ac:dyDescent="0.25">
      <c r="A91" s="319">
        <v>25</v>
      </c>
      <c r="B91" s="1917" t="s">
        <v>793</v>
      </c>
      <c r="C91" s="862">
        <f t="shared" ref="C91:D91" si="46">C35</f>
        <v>611239.25974408234</v>
      </c>
      <c r="D91" s="479">
        <f t="shared" si="46"/>
        <v>49.293488689038895</v>
      </c>
      <c r="E91" s="1916">
        <v>0</v>
      </c>
      <c r="F91" s="1916">
        <v>0</v>
      </c>
      <c r="G91" s="228">
        <f>E35</f>
        <v>1964720.0704841337</v>
      </c>
      <c r="H91" s="1706">
        <v>0</v>
      </c>
      <c r="I91" s="1706">
        <v>0</v>
      </c>
      <c r="J91" s="228">
        <f>'Cost-Benefit Tab_Digester'!$C$259*0.25</f>
        <v>1443445160.2905538</v>
      </c>
      <c r="K91" s="1706">
        <f>'Cost-Benefit Tab_Digester'!$K$115*0.25</f>
        <v>38141124.972904749</v>
      </c>
      <c r="L91" s="1706">
        <v>0</v>
      </c>
      <c r="M91" s="228">
        <f>'Cost-Benefit Tab_Digester'!$B$143*0.25</f>
        <v>27791271.965181854</v>
      </c>
      <c r="N91" s="1706">
        <v>0</v>
      </c>
      <c r="O91" s="228">
        <f>'Cost-Benefit Tab_Digester'!$B$147*0.25</f>
        <v>2656462.2719822102</v>
      </c>
      <c r="P91" s="1706">
        <v>0</v>
      </c>
      <c r="Q91" s="228">
        <f>'Cost-Benefit Tab_Digester'!$B$32*0.25</f>
        <v>2966465.1540557882</v>
      </c>
      <c r="R91" s="228">
        <f>R88*0.25</f>
        <v>2966465.1540557882</v>
      </c>
      <c r="S91" s="1930">
        <f>S88*0.25</f>
        <v>-130.3977087454042</v>
      </c>
      <c r="T91" s="1930">
        <f t="shared" ref="T91:AA91" si="47">T88*0.25</f>
        <v>146.69742233857951</v>
      </c>
      <c r="U91" s="1930">
        <f t="shared" si="47"/>
        <v>32.599427186351086</v>
      </c>
      <c r="V91" s="1930">
        <f t="shared" si="47"/>
        <v>-21.189627671128189</v>
      </c>
      <c r="W91" s="1930">
        <f t="shared" si="47"/>
        <v>-15.778122758193909</v>
      </c>
      <c r="X91" s="1930">
        <f t="shared" si="47"/>
        <v>-49.795625027151225</v>
      </c>
      <c r="Y91" s="1930">
        <f t="shared" si="47"/>
        <v>1369.1759418267445</v>
      </c>
      <c r="Z91" s="1930">
        <f t="shared" si="47"/>
        <v>-65198.85437270211</v>
      </c>
      <c r="AA91" s="1930">
        <f t="shared" si="47"/>
        <v>-5.2322080634093462</v>
      </c>
      <c r="AB91" s="1930">
        <v>0</v>
      </c>
      <c r="AC91" s="1887">
        <f>'Emission-Vehicle to be refueled'!$AB$697*0.25</f>
        <v>-107121.17364054862</v>
      </c>
    </row>
    <row r="92" spans="1:29" ht="15.75" thickBot="1" x14ac:dyDescent="0.3">
      <c r="A92" s="84">
        <v>0</v>
      </c>
      <c r="B92" s="1924" t="s">
        <v>794</v>
      </c>
      <c r="C92" s="773">
        <v>0</v>
      </c>
      <c r="D92" s="1971">
        <v>0</v>
      </c>
      <c r="E92" s="88">
        <v>0</v>
      </c>
      <c r="F92" s="88">
        <v>0</v>
      </c>
      <c r="G92" s="1966">
        <v>0</v>
      </c>
      <c r="H92" s="1967">
        <v>0</v>
      </c>
      <c r="I92" s="1967">
        <v>0</v>
      </c>
      <c r="J92" s="1966">
        <v>0</v>
      </c>
      <c r="K92" s="1967">
        <v>0</v>
      </c>
      <c r="L92" s="1967">
        <v>0</v>
      </c>
      <c r="M92" s="1966">
        <f>0</f>
        <v>0</v>
      </c>
      <c r="N92" s="1967">
        <v>0</v>
      </c>
      <c r="O92" s="1966">
        <v>0</v>
      </c>
      <c r="P92" s="1967">
        <v>0</v>
      </c>
      <c r="Q92" s="1966">
        <f>'Cost-Benefit Tab_Digester'!$B$32*0</f>
        <v>0</v>
      </c>
      <c r="R92" s="1966">
        <f>R88*0</f>
        <v>0</v>
      </c>
      <c r="S92" s="1558">
        <v>0</v>
      </c>
      <c r="T92" s="1558">
        <v>0</v>
      </c>
      <c r="U92" s="1558">
        <v>0</v>
      </c>
      <c r="V92" s="1558">
        <v>0</v>
      </c>
      <c r="W92" s="1558">
        <v>0</v>
      </c>
      <c r="X92" s="1558">
        <v>0</v>
      </c>
      <c r="Y92" s="1558">
        <v>0</v>
      </c>
      <c r="Z92" s="1558">
        <v>0</v>
      </c>
      <c r="AA92" s="1558">
        <v>0</v>
      </c>
      <c r="AB92" s="1558">
        <v>0</v>
      </c>
      <c r="AC92" s="1970">
        <f>'Emission-Vehicle to be refueled'!$AB$697*0</f>
        <v>0</v>
      </c>
    </row>
    <row r="93" spans="1:29" x14ac:dyDescent="0.25">
      <c r="A93" s="53">
        <v>100</v>
      </c>
      <c r="B93" s="161" t="s">
        <v>795</v>
      </c>
      <c r="C93" s="756">
        <f t="shared" ref="C93:D93" si="48">C24</f>
        <v>324948.78446999838</v>
      </c>
      <c r="D93" s="410">
        <f t="shared" si="48"/>
        <v>13.886700191025572</v>
      </c>
      <c r="E93" s="475">
        <v>0</v>
      </c>
      <c r="F93" s="475">
        <v>0</v>
      </c>
      <c r="G93" s="557">
        <f>E24</f>
        <v>17538998.247718006</v>
      </c>
      <c r="H93" s="1707">
        <v>0</v>
      </c>
      <c r="I93" s="1707">
        <v>0</v>
      </c>
      <c r="J93" s="557">
        <f>'Cost-Benefit Tab_Digester'!$C$259</f>
        <v>5773780641.1622152</v>
      </c>
      <c r="K93" s="1707">
        <f>'Cost-Benefit Tab_Digester'!$K$115</f>
        <v>152564499.891619</v>
      </c>
      <c r="L93" s="1707">
        <v>0</v>
      </c>
      <c r="M93" s="557">
        <f>'Cost-Benefit Tab_Digester'!$B$143</f>
        <v>111165087.86072741</v>
      </c>
      <c r="N93" s="1707">
        <v>0</v>
      </c>
      <c r="O93" s="557">
        <f>'Cost-Benefit Tab_Digester'!$B$147</f>
        <v>10625849.087928841</v>
      </c>
      <c r="P93" s="1707">
        <v>0</v>
      </c>
      <c r="Q93" s="557">
        <f>'Cost-Benefit Tab_Digester'!$B$29</f>
        <v>4312952.209918662</v>
      </c>
      <c r="R93" s="557">
        <v>0</v>
      </c>
      <c r="S93" s="1931">
        <f>'Emission-Vehicle to be refueled'!V10</f>
        <v>-1.6641936206841792</v>
      </c>
      <c r="T93" s="1931">
        <f>'Emission-Vehicle to be refueled'!W10</f>
        <v>-91.49251933529969</v>
      </c>
      <c r="U93" s="1931">
        <f>'Emission-Vehicle to be refueled'!X10</f>
        <v>-329.7613979483408</v>
      </c>
      <c r="V93" s="1931">
        <f>'Emission-Vehicle to be refueled'!Y10</f>
        <v>-17.716077728225301</v>
      </c>
      <c r="W93" s="1931">
        <f>'Emission-Vehicle to be refueled'!Z10</f>
        <v>-14.811098006770084</v>
      </c>
      <c r="X93" s="1931">
        <f>'Emission-Vehicle to be refueled'!AA10</f>
        <v>-14.958606357168243</v>
      </c>
      <c r="Y93" s="1931">
        <f>'Emission-Vehicle to be refueled'!AB10</f>
        <v>661.29223637934058</v>
      </c>
      <c r="Z93" s="1931">
        <f>'Emission-Vehicle to be refueled'!AC10</f>
        <v>-591590.52504849702</v>
      </c>
      <c r="AA93" s="1931">
        <f>'Emission-Vehicle to be refueled'!AD10</f>
        <v>3.6752041031694316</v>
      </c>
      <c r="AB93" s="1931">
        <v>0</v>
      </c>
      <c r="AC93" s="1965">
        <f>'Emission-Vehicle to be refueled'!$AB$646</f>
        <v>-1997287.2491923613</v>
      </c>
    </row>
    <row r="94" spans="1:29" x14ac:dyDescent="0.25">
      <c r="A94" s="319">
        <v>75</v>
      </c>
      <c r="B94" s="1917" t="s">
        <v>796</v>
      </c>
      <c r="C94" s="862">
        <f t="shared" ref="C94:D94" si="49">C28</f>
        <v>243711.58835249877</v>
      </c>
      <c r="D94" s="479">
        <f t="shared" si="49"/>
        <v>10.41502514326918</v>
      </c>
      <c r="E94" s="1916">
        <v>0</v>
      </c>
      <c r="F94" s="1916">
        <v>0</v>
      </c>
      <c r="G94" s="228">
        <f>E28</f>
        <v>13154248.685788505</v>
      </c>
      <c r="H94" s="1706">
        <v>0</v>
      </c>
      <c r="I94" s="1706">
        <v>0</v>
      </c>
      <c r="J94" s="228">
        <f>'Cost-Benefit Tab_Digester'!$C$259*0.75</f>
        <v>4330335480.8716612</v>
      </c>
      <c r="K94" s="1706">
        <f>'Cost-Benefit Tab_Digester'!$K$115*0.75</f>
        <v>114423374.91871426</v>
      </c>
      <c r="L94" s="1706">
        <v>0</v>
      </c>
      <c r="M94" s="228">
        <f>'Cost-Benefit Tab_Digester'!$B$143*0.75</f>
        <v>83373815.895545557</v>
      </c>
      <c r="N94" s="1706">
        <v>0</v>
      </c>
      <c r="O94" s="228">
        <f>'Cost-Benefit Tab_Digester'!$B$147*0.75</f>
        <v>7969386.8159466311</v>
      </c>
      <c r="P94" s="1706">
        <v>0</v>
      </c>
      <c r="Q94" s="228">
        <f>'Cost-Benefit Tab_Digester'!$B$29*0.75</f>
        <v>3234714.1574389962</v>
      </c>
      <c r="R94" s="228">
        <v>0</v>
      </c>
      <c r="S94" s="1930">
        <f>S93*0.75</f>
        <v>-1.2481452155131345</v>
      </c>
      <c r="T94" s="1930">
        <f t="shared" ref="T94:AA94" si="50">T93*0.75</f>
        <v>-68.619389501474771</v>
      </c>
      <c r="U94" s="1930">
        <f t="shared" si="50"/>
        <v>-247.3210484612556</v>
      </c>
      <c r="V94" s="1930">
        <f t="shared" si="50"/>
        <v>-13.287058296168976</v>
      </c>
      <c r="W94" s="1930">
        <f t="shared" si="50"/>
        <v>-11.108323505077564</v>
      </c>
      <c r="X94" s="1930">
        <f t="shared" si="50"/>
        <v>-11.218954767876182</v>
      </c>
      <c r="Y94" s="1930">
        <f t="shared" si="50"/>
        <v>495.96917728450546</v>
      </c>
      <c r="Z94" s="1930">
        <f t="shared" si="50"/>
        <v>-443692.89378637273</v>
      </c>
      <c r="AA94" s="1930">
        <f t="shared" si="50"/>
        <v>2.7564030773770738</v>
      </c>
      <c r="AB94" s="1930">
        <v>0</v>
      </c>
      <c r="AC94" s="1887">
        <f>'Emission-Vehicle to be refueled'!$AB$646*0.75</f>
        <v>-1497965.4368942711</v>
      </c>
    </row>
    <row r="95" spans="1:29" x14ac:dyDescent="0.25">
      <c r="A95" s="319">
        <v>50</v>
      </c>
      <c r="B95" s="1917" t="s">
        <v>797</v>
      </c>
      <c r="C95" s="862">
        <f t="shared" ref="C95:D95" si="51">C32</f>
        <v>121855.79417624939</v>
      </c>
      <c r="D95" s="479">
        <f t="shared" si="51"/>
        <v>5.2075125716345898</v>
      </c>
      <c r="E95" s="1916">
        <v>0</v>
      </c>
      <c r="F95" s="1916">
        <v>0</v>
      </c>
      <c r="G95" s="228">
        <f>E32</f>
        <v>6577124.3428942524</v>
      </c>
      <c r="H95" s="1706">
        <v>0</v>
      </c>
      <c r="I95" s="1706">
        <v>0</v>
      </c>
      <c r="J95" s="228">
        <f>'Cost-Benefit Tab_Digester'!$C$259*0.5</f>
        <v>2886890320.5811076</v>
      </c>
      <c r="K95" s="1706">
        <f>'Cost-Benefit Tab_Digester'!$K$115*0.5</f>
        <v>76282249.945809498</v>
      </c>
      <c r="L95" s="1706">
        <v>0</v>
      </c>
      <c r="M95" s="228">
        <f>'Cost-Benefit Tab_Digester'!$B$143*0.5</f>
        <v>55582543.930363707</v>
      </c>
      <c r="N95" s="1706">
        <v>0</v>
      </c>
      <c r="O95" s="228">
        <f>'Cost-Benefit Tab_Digester'!$B$147*0.5</f>
        <v>5312924.5439644204</v>
      </c>
      <c r="P95" s="1706">
        <v>0</v>
      </c>
      <c r="Q95" s="228">
        <f>'Cost-Benefit Tab_Digester'!$B$29*0.5</f>
        <v>2156476.104959331</v>
      </c>
      <c r="R95" s="228">
        <v>0</v>
      </c>
      <c r="S95" s="1930">
        <f>S93*0.5</f>
        <v>-0.8320968103420896</v>
      </c>
      <c r="T95" s="1930">
        <f t="shared" ref="T95:AA95" si="52">T93*0.5</f>
        <v>-45.746259667649845</v>
      </c>
      <c r="U95" s="1930">
        <f t="shared" si="52"/>
        <v>-164.8806989741704</v>
      </c>
      <c r="V95" s="1930">
        <f t="shared" si="52"/>
        <v>-8.8580388641126504</v>
      </c>
      <c r="W95" s="1930">
        <f t="shared" si="52"/>
        <v>-7.4055490033850422</v>
      </c>
      <c r="X95" s="1930">
        <f t="shared" si="52"/>
        <v>-7.4793031785841215</v>
      </c>
      <c r="Y95" s="1930">
        <f t="shared" si="52"/>
        <v>330.64611818967029</v>
      </c>
      <c r="Z95" s="1930">
        <f t="shared" si="52"/>
        <v>-295795.26252424851</v>
      </c>
      <c r="AA95" s="1930">
        <f t="shared" si="52"/>
        <v>1.8376020515847158</v>
      </c>
      <c r="AB95" s="1930">
        <v>0</v>
      </c>
      <c r="AC95" s="1887">
        <f>'Emission-Vehicle to be refueled'!$AB$646*0.5</f>
        <v>-998643.62459618063</v>
      </c>
    </row>
    <row r="96" spans="1:29" x14ac:dyDescent="0.25">
      <c r="A96" s="319">
        <v>25</v>
      </c>
      <c r="B96" s="1917" t="s">
        <v>798</v>
      </c>
      <c r="C96" s="862">
        <f t="shared" ref="C96:D96" si="53">C36</f>
        <v>30463.948544062347</v>
      </c>
      <c r="D96" s="479">
        <f t="shared" si="53"/>
        <v>1.3018781429086475</v>
      </c>
      <c r="E96" s="1916">
        <v>0</v>
      </c>
      <c r="F96" s="1916">
        <v>0</v>
      </c>
      <c r="G96" s="228">
        <f>E36</f>
        <v>1644281.0857235631</v>
      </c>
      <c r="H96" s="1706">
        <v>0</v>
      </c>
      <c r="I96" s="1706">
        <v>0</v>
      </c>
      <c r="J96" s="228">
        <f>'Cost-Benefit Tab_Digester'!$C$259*0.25</f>
        <v>1443445160.2905538</v>
      </c>
      <c r="K96" s="1706">
        <f>'Cost-Benefit Tab_Digester'!$K$115*0.25</f>
        <v>38141124.972904749</v>
      </c>
      <c r="L96" s="1706">
        <v>0</v>
      </c>
      <c r="M96" s="228">
        <f>'Cost-Benefit Tab_Digester'!$B$143*0.25</f>
        <v>27791271.965181854</v>
      </c>
      <c r="N96" s="1706">
        <v>0</v>
      </c>
      <c r="O96" s="228">
        <f>'Cost-Benefit Tab_Digester'!$B$147*0.25</f>
        <v>2656462.2719822102</v>
      </c>
      <c r="P96" s="1706">
        <v>0</v>
      </c>
      <c r="Q96" s="228">
        <f>'Cost-Benefit Tab_Digester'!$B$29*0.25</f>
        <v>1078238.0524796655</v>
      </c>
      <c r="R96" s="228">
        <v>0</v>
      </c>
      <c r="S96" s="1930">
        <f>S93*0.25</f>
        <v>-0.4160484051710448</v>
      </c>
      <c r="T96" s="1930">
        <f t="shared" ref="T96:Z96" si="54">T93*0.25</f>
        <v>-22.873129833824922</v>
      </c>
      <c r="U96" s="1930">
        <f t="shared" si="54"/>
        <v>-82.4403494870852</v>
      </c>
      <c r="V96" s="1930">
        <f t="shared" si="54"/>
        <v>-4.4290194320563252</v>
      </c>
      <c r="W96" s="1930">
        <f t="shared" si="54"/>
        <v>-3.7027745016925211</v>
      </c>
      <c r="X96" s="1930">
        <f t="shared" si="54"/>
        <v>-3.7396515892920608</v>
      </c>
      <c r="Y96" s="1930">
        <f t="shared" si="54"/>
        <v>165.32305909483514</v>
      </c>
      <c r="Z96" s="1930">
        <f t="shared" si="54"/>
        <v>-147897.63126212425</v>
      </c>
      <c r="AA96" s="1930">
        <f>AA93*0.25</f>
        <v>0.91880102579235789</v>
      </c>
      <c r="AB96" s="1930">
        <v>0</v>
      </c>
      <c r="AC96" s="1887">
        <f>'Emission-Vehicle to be refueled'!$AB$646*0.25</f>
        <v>-499321.81229809031</v>
      </c>
    </row>
    <row r="97" spans="1:29" ht="15.75" thickBot="1" x14ac:dyDescent="0.3">
      <c r="A97" s="84">
        <v>0</v>
      </c>
      <c r="B97" s="1924" t="s">
        <v>799</v>
      </c>
      <c r="C97" s="773">
        <v>0</v>
      </c>
      <c r="D97" s="1971">
        <v>0</v>
      </c>
      <c r="E97" s="88">
        <v>0</v>
      </c>
      <c r="F97" s="88">
        <v>0</v>
      </c>
      <c r="G97" s="1966">
        <v>0</v>
      </c>
      <c r="H97" s="1967">
        <v>0</v>
      </c>
      <c r="I97" s="1967">
        <v>0</v>
      </c>
      <c r="J97" s="1966">
        <v>0</v>
      </c>
      <c r="K97" s="1967">
        <v>0</v>
      </c>
      <c r="L97" s="1967">
        <v>0</v>
      </c>
      <c r="M97" s="1966">
        <f>'Cost-Benefit Tab_Digester'!$B$143*0</f>
        <v>0</v>
      </c>
      <c r="N97" s="1967">
        <v>0</v>
      </c>
      <c r="O97" s="1966">
        <f>'Cost-Benefit Tab_Digester'!$B$147*0</f>
        <v>0</v>
      </c>
      <c r="P97" s="1967">
        <v>0</v>
      </c>
      <c r="Q97" s="1966">
        <f>'Cost-Benefit Tab_Digester'!$B$29*0</f>
        <v>0</v>
      </c>
      <c r="R97" s="1966">
        <v>0</v>
      </c>
      <c r="S97" s="1558">
        <v>0</v>
      </c>
      <c r="T97" s="1558">
        <v>0</v>
      </c>
      <c r="U97" s="1558">
        <v>0</v>
      </c>
      <c r="V97" s="1558">
        <v>0</v>
      </c>
      <c r="W97" s="1558">
        <v>0</v>
      </c>
      <c r="X97" s="1558">
        <v>0</v>
      </c>
      <c r="Y97" s="1558">
        <v>0</v>
      </c>
      <c r="Z97" s="1558">
        <v>0</v>
      </c>
      <c r="AA97" s="1558">
        <v>0</v>
      </c>
      <c r="AB97" s="1558">
        <v>0</v>
      </c>
      <c r="AC97" s="1970">
        <f>'Emission-Vehicle to be refueled'!$AB$646*0</f>
        <v>0</v>
      </c>
    </row>
    <row r="98" spans="1:29" x14ac:dyDescent="0.25">
      <c r="A98" s="1356">
        <v>100</v>
      </c>
      <c r="B98" s="161" t="s">
        <v>800</v>
      </c>
      <c r="C98" s="1824">
        <f t="shared" ref="C98:D98" si="55">C25</f>
        <v>4084747.5028680838</v>
      </c>
      <c r="D98" s="1830">
        <f t="shared" si="55"/>
        <v>358.31118446211264</v>
      </c>
      <c r="E98" s="161">
        <v>0</v>
      </c>
      <c r="F98" s="161">
        <v>0</v>
      </c>
      <c r="G98" s="1928">
        <f>E25</f>
        <v>1668636.7360633824</v>
      </c>
      <c r="H98" s="1831">
        <v>0</v>
      </c>
      <c r="I98" s="1831">
        <v>0</v>
      </c>
      <c r="J98" s="1928">
        <f>'Cost-Benefit Tab_Digester'!$C$259</f>
        <v>5773780641.1622152</v>
      </c>
      <c r="K98" s="1831">
        <f>'Cost-Benefit Tab_Digester'!$K$115</f>
        <v>152564499.891619</v>
      </c>
      <c r="L98" s="1831">
        <v>0</v>
      </c>
      <c r="M98" s="1928">
        <f>'Cost-Benefit Tab_Digester'!$B$143</f>
        <v>111165087.86072741</v>
      </c>
      <c r="N98" s="1831">
        <v>0</v>
      </c>
      <c r="O98" s="1928">
        <f>'Cost-Benefit Tab_Digester'!$B$147</f>
        <v>10625849.087928841</v>
      </c>
      <c r="P98" s="1831">
        <v>0</v>
      </c>
      <c r="Q98" s="1928">
        <f>'Cost-Benefit Tab_Digester'!$B$36</f>
        <v>10845256.091058522</v>
      </c>
      <c r="R98" s="1928">
        <f>'Cost-Benefit Tab_Digester'!$B$37</f>
        <v>11671538.944872744</v>
      </c>
      <c r="S98" s="1823">
        <f>'Emission-Vehicle to be refueled'!V12</f>
        <v>-490.16970034417011</v>
      </c>
      <c r="T98" s="1823">
        <f>'Emission-Vehicle to be refueled'!W12</f>
        <v>-3745.7134601300322</v>
      </c>
      <c r="U98" s="1823">
        <f>'Emission-Vehicle to be refueled'!X12</f>
        <v>-253.25434517782119</v>
      </c>
      <c r="V98" s="1823">
        <f>'Emission-Vehicle to be refueled'!Y12</f>
        <v>-12.254242508604248</v>
      </c>
      <c r="W98" s="1823">
        <f>'Emission-Vehicle to be refueled'!Z12</f>
        <v>-12.254242508604248</v>
      </c>
      <c r="X98" s="1823">
        <f>'Emission-Vehicle to be refueled'!AA12</f>
        <v>-8.1694950057361684</v>
      </c>
      <c r="Y98" s="1823">
        <f>'Emission-Vehicle to be refueled'!AB12</f>
        <v>624.96636793881692</v>
      </c>
      <c r="Z98" s="1823">
        <f>'Emission-Vehicle to be refueled'!AC12</f>
        <v>-400305.25528107223</v>
      </c>
      <c r="AA98" s="1823">
        <f>'Emission-Vehicle to be refueled'!AD12</f>
        <v>0</v>
      </c>
      <c r="AB98" s="1931">
        <v>0</v>
      </c>
      <c r="AC98" s="1965">
        <f>'Emission-Vehicle to be refueled'!$AB$748</f>
        <v>-1174121.4836206255</v>
      </c>
    </row>
    <row r="99" spans="1:29" x14ac:dyDescent="0.25">
      <c r="A99" s="1919">
        <v>75</v>
      </c>
      <c r="B99" s="1917" t="s">
        <v>801</v>
      </c>
      <c r="C99" s="157">
        <f t="shared" ref="C99:D99" si="56">C29</f>
        <v>3063560.6271510627</v>
      </c>
      <c r="D99" s="1920">
        <f t="shared" si="56"/>
        <v>268.73338834658449</v>
      </c>
      <c r="E99" s="1917">
        <v>0</v>
      </c>
      <c r="F99" s="1917">
        <v>0</v>
      </c>
      <c r="G99" s="1929">
        <f>E29</f>
        <v>1251477.5520475367</v>
      </c>
      <c r="H99" s="512">
        <v>0</v>
      </c>
      <c r="I99" s="512">
        <v>0</v>
      </c>
      <c r="J99" s="1929">
        <f>'Cost-Benefit Tab_Digester'!$C$259*0.75</f>
        <v>4330335480.8716612</v>
      </c>
      <c r="K99" s="512">
        <f>'Cost-Benefit Tab_Digester'!$K$115*0.75</f>
        <v>114423374.91871426</v>
      </c>
      <c r="L99" s="512">
        <v>0</v>
      </c>
      <c r="M99" s="1929">
        <f>'Cost-Benefit Tab_Digester'!$B$143*0.75</f>
        <v>83373815.895545557</v>
      </c>
      <c r="N99" s="512">
        <v>0</v>
      </c>
      <c r="O99" s="1929">
        <f>'Cost-Benefit Tab_Digester'!$B$147*0.75</f>
        <v>7969386.8159466311</v>
      </c>
      <c r="P99" s="512">
        <v>0</v>
      </c>
      <c r="Q99" s="1929">
        <f>'Cost-Benefit Tab_Digester'!$B$36*0.75</f>
        <v>8133942.0682938918</v>
      </c>
      <c r="R99" s="1929">
        <f>'Cost-Benefit Tab_Digester'!$B$37*0.75</f>
        <v>8753654.2086545583</v>
      </c>
      <c r="S99" s="1822">
        <f>S98*0.75</f>
        <v>-367.62727525812761</v>
      </c>
      <c r="T99" s="1822">
        <f t="shared" ref="T99:AA99" si="57">T98*0.75</f>
        <v>-2809.2850950975244</v>
      </c>
      <c r="U99" s="1822">
        <f t="shared" si="57"/>
        <v>-189.9407588833659</v>
      </c>
      <c r="V99" s="1822">
        <f t="shared" si="57"/>
        <v>-9.1906818814531857</v>
      </c>
      <c r="W99" s="1822">
        <f t="shared" si="57"/>
        <v>-9.1906818814531857</v>
      </c>
      <c r="X99" s="1822">
        <f t="shared" si="57"/>
        <v>-6.1271212543021267</v>
      </c>
      <c r="Y99" s="1822">
        <f t="shared" si="57"/>
        <v>468.72477595411272</v>
      </c>
      <c r="Z99" s="1822">
        <f t="shared" si="57"/>
        <v>-300228.9414608042</v>
      </c>
      <c r="AA99" s="1822">
        <f t="shared" si="57"/>
        <v>0</v>
      </c>
      <c r="AB99" s="1930">
        <v>0</v>
      </c>
      <c r="AC99" s="1887">
        <f>'Emission-Vehicle to be refueled'!$AB$748*0.75</f>
        <v>-880591.11271546909</v>
      </c>
    </row>
    <row r="100" spans="1:29" x14ac:dyDescent="0.25">
      <c r="A100" s="1919">
        <v>50</v>
      </c>
      <c r="B100" s="1917" t="s">
        <v>802</v>
      </c>
      <c r="C100" s="157">
        <f t="shared" ref="C100:D100" si="58">C33</f>
        <v>1531780.3135755314</v>
      </c>
      <c r="D100" s="1920">
        <f t="shared" si="58"/>
        <v>134.36669417329225</v>
      </c>
      <c r="E100" s="1917">
        <v>0</v>
      </c>
      <c r="F100" s="1917">
        <v>0</v>
      </c>
      <c r="G100" s="1929">
        <f>E33</f>
        <v>625738.77602376835</v>
      </c>
      <c r="H100" s="512">
        <v>0</v>
      </c>
      <c r="I100" s="512">
        <v>0</v>
      </c>
      <c r="J100" s="1929">
        <f>'Cost-Benefit Tab_Digester'!$C$259*0.5</f>
        <v>2886890320.5811076</v>
      </c>
      <c r="K100" s="512">
        <f>'Cost-Benefit Tab_Digester'!$K$115*0.5</f>
        <v>76282249.945809498</v>
      </c>
      <c r="L100" s="512">
        <v>0</v>
      </c>
      <c r="M100" s="1929">
        <f>'Cost-Benefit Tab_Digester'!$B$143*0.5</f>
        <v>55582543.930363707</v>
      </c>
      <c r="N100" s="512">
        <v>0</v>
      </c>
      <c r="O100" s="1929">
        <f>'Cost-Benefit Tab_Digester'!$B$147*0.5</f>
        <v>5312924.5439644204</v>
      </c>
      <c r="P100" s="512">
        <v>0</v>
      </c>
      <c r="Q100" s="1929">
        <f>'Cost-Benefit Tab_Digester'!$B$36*0.5</f>
        <v>5422628.0455292612</v>
      </c>
      <c r="R100" s="1929">
        <f>'Cost-Benefit Tab_Digester'!$B$37*0.5</f>
        <v>5835769.4724363722</v>
      </c>
      <c r="S100" s="1822">
        <f>S98*0.5</f>
        <v>-245.08485017208505</v>
      </c>
      <c r="T100" s="1822">
        <f t="shared" ref="T100:AA100" si="59">T98*0.5</f>
        <v>-1872.8567300650161</v>
      </c>
      <c r="U100" s="1822">
        <f t="shared" si="59"/>
        <v>-126.6271725889106</v>
      </c>
      <c r="V100" s="1822">
        <f t="shared" si="59"/>
        <v>-6.1271212543021241</v>
      </c>
      <c r="W100" s="1822">
        <f t="shared" si="59"/>
        <v>-6.1271212543021241</v>
      </c>
      <c r="X100" s="1822">
        <f t="shared" si="59"/>
        <v>-4.0847475028680842</v>
      </c>
      <c r="Y100" s="1822">
        <f t="shared" si="59"/>
        <v>312.48318396940846</v>
      </c>
      <c r="Z100" s="1822">
        <f t="shared" si="59"/>
        <v>-200152.62764053611</v>
      </c>
      <c r="AA100" s="1822">
        <f t="shared" si="59"/>
        <v>0</v>
      </c>
      <c r="AB100" s="1930">
        <v>0</v>
      </c>
      <c r="AC100" s="1887">
        <f>'Emission-Vehicle to be refueled'!$AB$748*0.5</f>
        <v>-587060.74181031273</v>
      </c>
    </row>
    <row r="101" spans="1:29" x14ac:dyDescent="0.25">
      <c r="A101" s="1919">
        <v>25</v>
      </c>
      <c r="B101" s="1917" t="s">
        <v>803</v>
      </c>
      <c r="C101" s="157">
        <f t="shared" ref="C101:D101" si="60">C37</f>
        <v>382945.07839388284</v>
      </c>
      <c r="D101" s="1920">
        <f t="shared" si="60"/>
        <v>33.591673543323061</v>
      </c>
      <c r="E101" s="1917">
        <v>0</v>
      </c>
      <c r="F101" s="1917">
        <v>0</v>
      </c>
      <c r="G101" s="1929">
        <f>E37</f>
        <v>156434.69400594209</v>
      </c>
      <c r="H101" s="512">
        <v>0</v>
      </c>
      <c r="I101" s="512">
        <v>0</v>
      </c>
      <c r="J101" s="1929">
        <f>'Cost-Benefit Tab_Digester'!$C$259*0.25</f>
        <v>1443445160.2905538</v>
      </c>
      <c r="K101" s="512">
        <f>'Cost-Benefit Tab_Digester'!$K$115*0.25</f>
        <v>38141124.972904749</v>
      </c>
      <c r="L101" s="512">
        <v>0</v>
      </c>
      <c r="M101" s="1929">
        <f>'Cost-Benefit Tab_Digester'!$B$143*0.25</f>
        <v>27791271.965181854</v>
      </c>
      <c r="N101" s="512">
        <v>0</v>
      </c>
      <c r="O101" s="1929">
        <f>'Cost-Benefit Tab_Digester'!$B$147*0.25</f>
        <v>2656462.2719822102</v>
      </c>
      <c r="P101" s="512">
        <v>0</v>
      </c>
      <c r="Q101" s="1929">
        <f>'Cost-Benefit Tab_Digester'!$B$36*0.25</f>
        <v>2711314.0227646306</v>
      </c>
      <c r="R101" s="1929">
        <f>'Cost-Benefit Tab_Digester'!$B$37*0.25</f>
        <v>2917884.7362181861</v>
      </c>
      <c r="S101" s="1822">
        <f>S98*0.25</f>
        <v>-122.54242508604253</v>
      </c>
      <c r="T101" s="1822">
        <f t="shared" ref="T101:AA101" si="61">T98*0.25</f>
        <v>-936.42836503250805</v>
      </c>
      <c r="U101" s="1822">
        <f t="shared" si="61"/>
        <v>-63.313586294455298</v>
      </c>
      <c r="V101" s="1822">
        <f t="shared" si="61"/>
        <v>-3.063560627151062</v>
      </c>
      <c r="W101" s="1822">
        <f t="shared" si="61"/>
        <v>-3.063560627151062</v>
      </c>
      <c r="X101" s="1822">
        <f t="shared" si="61"/>
        <v>-2.0423737514340421</v>
      </c>
      <c r="Y101" s="1822">
        <f t="shared" si="61"/>
        <v>156.24159198470423</v>
      </c>
      <c r="Z101" s="1822">
        <f t="shared" si="61"/>
        <v>-100076.31382026806</v>
      </c>
      <c r="AA101" s="1822">
        <f t="shared" si="61"/>
        <v>0</v>
      </c>
      <c r="AB101" s="1930">
        <v>0</v>
      </c>
      <c r="AC101" s="1887">
        <f>'Emission-Vehicle to be refueled'!$AB$748*0.25</f>
        <v>-293530.37090515636</v>
      </c>
    </row>
    <row r="102" spans="1:29" ht="15.75" thickBot="1" x14ac:dyDescent="0.3">
      <c r="A102" s="1923">
        <v>0</v>
      </c>
      <c r="B102" s="1924" t="s">
        <v>804</v>
      </c>
      <c r="C102" s="1973">
        <v>0</v>
      </c>
      <c r="D102" s="1974">
        <v>0</v>
      </c>
      <c r="E102" s="1924">
        <v>0</v>
      </c>
      <c r="F102" s="1924">
        <v>0</v>
      </c>
      <c r="G102" s="1975">
        <v>0</v>
      </c>
      <c r="H102" s="1976">
        <v>0</v>
      </c>
      <c r="I102" s="1976">
        <v>0</v>
      </c>
      <c r="J102" s="1975">
        <v>0</v>
      </c>
      <c r="K102" s="1976">
        <f>'Cost-Benefit Tab_Digester'!$K$115*0</f>
        <v>0</v>
      </c>
      <c r="L102" s="1976">
        <v>0</v>
      </c>
      <c r="M102" s="1975">
        <f>'Cost-Benefit Tab_Digester'!$B$143*0</f>
        <v>0</v>
      </c>
      <c r="N102" s="1976">
        <v>0</v>
      </c>
      <c r="O102" s="1975">
        <f>'Cost-Benefit Tab_Digester'!$B$147*0</f>
        <v>0</v>
      </c>
      <c r="P102" s="1976">
        <v>0</v>
      </c>
      <c r="Q102" s="1975">
        <f>'Cost-Benefit Tab_Digester'!$B$36*0</f>
        <v>0</v>
      </c>
      <c r="R102" s="1975">
        <f>'Cost-Benefit Tab_Digester'!$B$37*0</f>
        <v>0</v>
      </c>
      <c r="S102" s="1968">
        <v>0</v>
      </c>
      <c r="T102" s="1968">
        <v>0</v>
      </c>
      <c r="U102" s="1968">
        <v>0</v>
      </c>
      <c r="V102" s="1968">
        <v>0</v>
      </c>
      <c r="W102" s="1968">
        <v>0</v>
      </c>
      <c r="X102" s="1968">
        <v>0</v>
      </c>
      <c r="Y102" s="1968">
        <v>0</v>
      </c>
      <c r="Z102" s="1968">
        <v>0</v>
      </c>
      <c r="AA102" s="1968">
        <v>0</v>
      </c>
      <c r="AB102" s="1558">
        <v>0</v>
      </c>
      <c r="AC102" s="1970">
        <f>'Emission-Vehicle to be refueled'!$AB$748*0</f>
        <v>0</v>
      </c>
    </row>
    <row r="103" spans="1:29" x14ac:dyDescent="0.25">
      <c r="A103" s="53">
        <v>100</v>
      </c>
      <c r="B103" s="161" t="s">
        <v>805</v>
      </c>
      <c r="C103" s="756">
        <f t="shared" ref="C103:D103" si="62">C26</f>
        <v>3220666.3003382972</v>
      </c>
      <c r="D103" s="410">
        <f t="shared" si="62"/>
        <v>134.19442918076237</v>
      </c>
      <c r="E103" s="475">
        <v>0</v>
      </c>
      <c r="F103" s="475">
        <v>0</v>
      </c>
      <c r="G103" s="557">
        <f>E26</f>
        <v>20863785.477556322</v>
      </c>
      <c r="H103" s="1707">
        <v>0</v>
      </c>
      <c r="I103" s="1707">
        <v>0</v>
      </c>
      <c r="J103" s="557">
        <f>'Cost-Benefit Tab_Digester'!$C$259</f>
        <v>5773780641.1622152</v>
      </c>
      <c r="K103" s="1707">
        <f>'Cost-Benefit Tab_Digester'!$K$115</f>
        <v>152564499.891619</v>
      </c>
      <c r="L103" s="1707">
        <v>0</v>
      </c>
      <c r="M103" s="557">
        <f>'Cost-Benefit Tab_Digester'!$B$143</f>
        <v>111165087.86072741</v>
      </c>
      <c r="N103" s="1707">
        <v>0</v>
      </c>
      <c r="O103" s="557">
        <f>'Cost-Benefit Tab_Digester'!$B$147</f>
        <v>10625849.087928841</v>
      </c>
      <c r="P103" s="1707">
        <v>0</v>
      </c>
      <c r="Q103" s="557">
        <f>'Cost-Benefit Tab_Digester'!$B$40</f>
        <v>2558009.1726277303</v>
      </c>
      <c r="R103" s="557">
        <f>'Cost-Benefit Tab_Digester'!$B$41</f>
        <v>3040845.765236076</v>
      </c>
      <c r="S103" s="1931">
        <f>'Emission-Vehicle to be refueled'!V14</f>
        <v>-341.3906278358595</v>
      </c>
      <c r="T103" s="1931">
        <f>'Emission-Vehicle to be refueled'!W14</f>
        <v>-1236.7358593299059</v>
      </c>
      <c r="U103" s="1931">
        <f>'Emission-Vehicle to be refueled'!X14</f>
        <v>-67.633992307104208</v>
      </c>
      <c r="V103" s="1931">
        <f>'Emission-Vehicle to be refueled'!Y14</f>
        <v>-12.882665201353189</v>
      </c>
      <c r="W103" s="1931">
        <f>'Emission-Vehicle to be refueled'!Z14</f>
        <v>-3.2206663003382947</v>
      </c>
      <c r="X103" s="1931">
        <f>'Emission-Vehicle to be refueled'!AA14</f>
        <v>-3.2206663003382974</v>
      </c>
      <c r="Y103" s="1931">
        <f>'Emission-Vehicle to be refueled'!AB14</f>
        <v>344.61129413619778</v>
      </c>
      <c r="Z103" s="1931">
        <f>'Emission-Vehicle to be refueled'!AC14</f>
        <v>-254432.63772672549</v>
      </c>
      <c r="AA103" s="1931">
        <f>'Emission-Vehicle to be refueled'!AD14</f>
        <v>0</v>
      </c>
      <c r="AB103" s="1931">
        <v>0</v>
      </c>
      <c r="AC103" s="1965">
        <f>'Emission-Vehicle to be refueled'!$AB$799</f>
        <v>-721135.02565436868</v>
      </c>
    </row>
    <row r="104" spans="1:29" x14ac:dyDescent="0.25">
      <c r="A104" s="319">
        <v>75</v>
      </c>
      <c r="B104" s="1917" t="s">
        <v>806</v>
      </c>
      <c r="C104" s="862">
        <f t="shared" ref="C104:D104" si="63">C30</f>
        <v>2415499.7252537226</v>
      </c>
      <c r="D104" s="479">
        <f t="shared" si="63"/>
        <v>100.64582188557178</v>
      </c>
      <c r="E104" s="1916">
        <v>0</v>
      </c>
      <c r="F104" s="1916">
        <v>0</v>
      </c>
      <c r="G104" s="228">
        <f>E30</f>
        <v>15647839.108167242</v>
      </c>
      <c r="H104" s="1706">
        <v>0</v>
      </c>
      <c r="I104" s="1706">
        <v>0</v>
      </c>
      <c r="J104" s="228">
        <f>'Cost-Benefit Tab_Digester'!$C$259*0.75</f>
        <v>4330335480.8716612</v>
      </c>
      <c r="K104" s="1706">
        <f>'Cost-Benefit Tab_Digester'!$K$115*0.75</f>
        <v>114423374.91871426</v>
      </c>
      <c r="L104" s="1706">
        <v>0</v>
      </c>
      <c r="M104" s="228">
        <f>'Cost-Benefit Tab_Digester'!$B$143*0.75</f>
        <v>83373815.895545557</v>
      </c>
      <c r="N104" s="1706">
        <v>0</v>
      </c>
      <c r="O104" s="228">
        <f>'Cost-Benefit Tab_Digester'!$B$147*0.75</f>
        <v>7969386.8159466311</v>
      </c>
      <c r="P104" s="1706">
        <v>0</v>
      </c>
      <c r="Q104" s="228">
        <f>'Cost-Benefit Tab_Digester'!$B$40*0.75</f>
        <v>1918506.8794707977</v>
      </c>
      <c r="R104" s="228">
        <f>'Cost-Benefit Tab_Digester'!$B$41*0.75</f>
        <v>2280634.323927057</v>
      </c>
      <c r="S104" s="1930">
        <f>S103*0.75</f>
        <v>-256.04297087689463</v>
      </c>
      <c r="T104" s="1930">
        <f t="shared" ref="T104:AA104" si="64">T103*0.75</f>
        <v>-927.55189449742943</v>
      </c>
      <c r="U104" s="1930">
        <f t="shared" si="64"/>
        <v>-50.725494230328152</v>
      </c>
      <c r="V104" s="1930">
        <f t="shared" si="64"/>
        <v>-9.6619989010148917</v>
      </c>
      <c r="W104" s="1930">
        <f t="shared" si="64"/>
        <v>-2.4154997252537211</v>
      </c>
      <c r="X104" s="1930">
        <f t="shared" si="64"/>
        <v>-2.4154997252537229</v>
      </c>
      <c r="Y104" s="1930">
        <f t="shared" si="64"/>
        <v>258.45847060214834</v>
      </c>
      <c r="Z104" s="1930">
        <f t="shared" si="64"/>
        <v>-190824.4782950441</v>
      </c>
      <c r="AA104" s="1930">
        <f t="shared" si="64"/>
        <v>0</v>
      </c>
      <c r="AB104" s="1930">
        <v>0</v>
      </c>
      <c r="AC104" s="1887">
        <f>'Emission-Vehicle to be refueled'!$AB$799*0.75</f>
        <v>-540851.26924077654</v>
      </c>
    </row>
    <row r="105" spans="1:29" x14ac:dyDescent="0.25">
      <c r="A105" s="319">
        <v>50</v>
      </c>
      <c r="B105" s="1917" t="s">
        <v>807</v>
      </c>
      <c r="C105" s="862">
        <f t="shared" ref="C105:D105" si="65">C34</f>
        <v>1207749.8626268613</v>
      </c>
      <c r="D105" s="479">
        <f t="shared" si="65"/>
        <v>50.322910942785889</v>
      </c>
      <c r="E105" s="1916">
        <v>0</v>
      </c>
      <c r="F105" s="1916">
        <v>0</v>
      </c>
      <c r="G105" s="228">
        <f>E34</f>
        <v>7823919.5540836211</v>
      </c>
      <c r="H105" s="1706">
        <v>0</v>
      </c>
      <c r="I105" s="1706">
        <v>0</v>
      </c>
      <c r="J105" s="228">
        <f>'Cost-Benefit Tab_Digester'!$C$259*0.5</f>
        <v>2886890320.5811076</v>
      </c>
      <c r="K105" s="1706">
        <f>'Cost-Benefit Tab_Digester'!$K$115*0.5</f>
        <v>76282249.945809498</v>
      </c>
      <c r="L105" s="1706">
        <v>0</v>
      </c>
      <c r="M105" s="228">
        <f>'Cost-Benefit Tab_Digester'!$B$143*0.5</f>
        <v>55582543.930363707</v>
      </c>
      <c r="N105" s="1706">
        <v>0</v>
      </c>
      <c r="O105" s="228">
        <f>'Cost-Benefit Tab_Digester'!$B$147*0.5</f>
        <v>5312924.5439644204</v>
      </c>
      <c r="P105" s="1706">
        <v>0</v>
      </c>
      <c r="Q105" s="228">
        <f>'Cost-Benefit Tab_Digester'!$B$40*0.5</f>
        <v>1279004.5863138651</v>
      </c>
      <c r="R105" s="228">
        <f>'Cost-Benefit Tab_Digester'!$B$41*0.5</f>
        <v>1520422.882618038</v>
      </c>
      <c r="S105" s="1930">
        <f>S103*0.5</f>
        <v>-170.69531391792975</v>
      </c>
      <c r="T105" s="1930">
        <f t="shared" ref="T105:AA105" si="66">T103*0.5</f>
        <v>-618.36792966495295</v>
      </c>
      <c r="U105" s="1930">
        <f t="shared" si="66"/>
        <v>-33.816996153552104</v>
      </c>
      <c r="V105" s="1930">
        <f t="shared" si="66"/>
        <v>-6.4413326006765947</v>
      </c>
      <c r="W105" s="1930">
        <f t="shared" si="66"/>
        <v>-1.6103331501691474</v>
      </c>
      <c r="X105" s="1930">
        <f t="shared" si="66"/>
        <v>-1.6103331501691487</v>
      </c>
      <c r="Y105" s="1930">
        <f t="shared" si="66"/>
        <v>172.30564706809889</v>
      </c>
      <c r="Z105" s="1930">
        <f t="shared" si="66"/>
        <v>-127216.31886336274</v>
      </c>
      <c r="AA105" s="1930">
        <f t="shared" si="66"/>
        <v>0</v>
      </c>
      <c r="AB105" s="1930">
        <v>0</v>
      </c>
      <c r="AC105" s="1887">
        <f>'Emission-Vehicle to be refueled'!$AB$799*0.5</f>
        <v>-360567.51282718434</v>
      </c>
    </row>
    <row r="106" spans="1:29" x14ac:dyDescent="0.25">
      <c r="A106" s="319">
        <v>25</v>
      </c>
      <c r="B106" s="1917" t="s">
        <v>808</v>
      </c>
      <c r="C106" s="862">
        <f t="shared" ref="C106:D106" si="67">C38</f>
        <v>301937.46565671533</v>
      </c>
      <c r="D106" s="479">
        <f t="shared" si="67"/>
        <v>12.580727735696472</v>
      </c>
      <c r="E106" s="1916">
        <v>0</v>
      </c>
      <c r="F106" s="1916">
        <v>0</v>
      </c>
      <c r="G106" s="228">
        <f>E38</f>
        <v>1955979.8885209053</v>
      </c>
      <c r="H106" s="1706">
        <v>0</v>
      </c>
      <c r="I106" s="1706">
        <v>0</v>
      </c>
      <c r="J106" s="228">
        <f>'Cost-Benefit Tab_Digester'!$C$259*0.25</f>
        <v>1443445160.2905538</v>
      </c>
      <c r="K106" s="1706">
        <f>'Cost-Benefit Tab_Digester'!$K$115*0.25</f>
        <v>38141124.972904749</v>
      </c>
      <c r="L106" s="1706">
        <v>0</v>
      </c>
      <c r="M106" s="228">
        <f>'Cost-Benefit Tab_Digester'!$B$143*0.25</f>
        <v>27791271.965181854</v>
      </c>
      <c r="N106" s="1706">
        <v>0</v>
      </c>
      <c r="O106" s="228">
        <f>'Cost-Benefit Tab_Digester'!$B$147*0.25</f>
        <v>2656462.2719822102</v>
      </c>
      <c r="P106" s="1706">
        <v>0</v>
      </c>
      <c r="Q106" s="228">
        <f>'Cost-Benefit Tab_Digester'!$B$40*0.25</f>
        <v>639502.29315693257</v>
      </c>
      <c r="R106" s="228">
        <f>'Cost-Benefit Tab_Digester'!$B$41*0.25</f>
        <v>760211.44130901899</v>
      </c>
      <c r="S106" s="1930">
        <f>S103*0.25</f>
        <v>-85.347656958964876</v>
      </c>
      <c r="T106" s="1930">
        <f t="shared" ref="T106:AA106" si="68">T103*0.25</f>
        <v>-309.18396483247648</v>
      </c>
      <c r="U106" s="1930">
        <f t="shared" si="68"/>
        <v>-16.908498076776052</v>
      </c>
      <c r="V106" s="1930">
        <f t="shared" si="68"/>
        <v>-3.2206663003382974</v>
      </c>
      <c r="W106" s="1930">
        <f t="shared" si="68"/>
        <v>-0.80516657508457368</v>
      </c>
      <c r="X106" s="1930">
        <f t="shared" si="68"/>
        <v>-0.80516657508457434</v>
      </c>
      <c r="Y106" s="1930">
        <f t="shared" si="68"/>
        <v>86.152823534049446</v>
      </c>
      <c r="Z106" s="1930">
        <f t="shared" si="68"/>
        <v>-63608.159431681372</v>
      </c>
      <c r="AA106" s="1930">
        <f t="shared" si="68"/>
        <v>0</v>
      </c>
      <c r="AB106" s="1930">
        <v>0</v>
      </c>
      <c r="AC106" s="1887">
        <f>'Emission-Vehicle to be refueled'!$AB$799*0.25</f>
        <v>-180283.75641359217</v>
      </c>
    </row>
    <row r="107" spans="1:29" ht="15.75" thickBot="1" x14ac:dyDescent="0.3">
      <c r="A107" s="960">
        <v>0</v>
      </c>
      <c r="B107" s="1925" t="s">
        <v>809</v>
      </c>
      <c r="C107" s="524">
        <v>0</v>
      </c>
      <c r="D107" s="972">
        <v>0</v>
      </c>
      <c r="E107" s="1002">
        <v>0</v>
      </c>
      <c r="F107" s="1002">
        <v>0</v>
      </c>
      <c r="G107" s="156">
        <v>0</v>
      </c>
      <c r="H107" s="1708">
        <v>0</v>
      </c>
      <c r="I107" s="1708">
        <v>0</v>
      </c>
      <c r="J107" s="156">
        <v>0</v>
      </c>
      <c r="K107" s="1708">
        <f>'Cost-Benefit Tab_Digester'!$K$115*0</f>
        <v>0</v>
      </c>
      <c r="L107" s="1708">
        <v>0</v>
      </c>
      <c r="M107" s="156">
        <f>'Cost-Benefit Tab_Digester'!$B$143*0</f>
        <v>0</v>
      </c>
      <c r="N107" s="1708">
        <v>0</v>
      </c>
      <c r="O107" s="156">
        <f>'Cost-Benefit Tab_Digester'!$B$147*0</f>
        <v>0</v>
      </c>
      <c r="P107" s="1708">
        <v>0</v>
      </c>
      <c r="Q107" s="156">
        <f>'Cost-Benefit Tab_Digester'!$B$40*0</f>
        <v>0</v>
      </c>
      <c r="R107" s="156">
        <f>'Cost-Benefit Tab_Digester'!$B$41*0</f>
        <v>0</v>
      </c>
      <c r="S107" s="1932">
        <v>0</v>
      </c>
      <c r="T107" s="1932">
        <v>0</v>
      </c>
      <c r="U107" s="1932">
        <v>0</v>
      </c>
      <c r="V107" s="1932">
        <v>0</v>
      </c>
      <c r="W107" s="1932">
        <v>0</v>
      </c>
      <c r="X107" s="1932">
        <v>0</v>
      </c>
      <c r="Y107" s="1932">
        <v>0</v>
      </c>
      <c r="Z107" s="1932">
        <v>0</v>
      </c>
      <c r="AA107" s="1932">
        <v>0</v>
      </c>
      <c r="AB107" s="1932">
        <v>0</v>
      </c>
      <c r="AC107" s="1888">
        <f>'Emission-Vehicle to be refueled'!$AB$799*0</f>
        <v>0</v>
      </c>
    </row>
    <row r="108" spans="1:29" ht="15.75" thickBot="1" x14ac:dyDescent="0.3">
      <c r="G108"/>
      <c r="H108" s="3"/>
      <c r="I108" s="3"/>
      <c r="M108" s="1705"/>
    </row>
    <row r="109" spans="1:29" ht="79.5" customHeight="1" thickBot="1" x14ac:dyDescent="0.3">
      <c r="A109" s="1231" t="s">
        <v>767</v>
      </c>
      <c r="B109" s="1826" t="s">
        <v>724</v>
      </c>
      <c r="C109" s="1826" t="s">
        <v>773</v>
      </c>
      <c r="D109" s="1826" t="s">
        <v>772</v>
      </c>
      <c r="E109" s="1826" t="s">
        <v>1710</v>
      </c>
      <c r="F109" s="1826" t="s">
        <v>1709</v>
      </c>
      <c r="G109" s="1826" t="s">
        <v>1549</v>
      </c>
      <c r="H109" s="1826" t="s">
        <v>1616</v>
      </c>
      <c r="I109" s="1826" t="s">
        <v>1615</v>
      </c>
      <c r="J109" s="1978" t="s">
        <v>1768</v>
      </c>
      <c r="K109" s="1978" t="s">
        <v>1769</v>
      </c>
      <c r="L109" s="1978" t="s">
        <v>1770</v>
      </c>
      <c r="M109" s="1978" t="s">
        <v>1611</v>
      </c>
      <c r="N109" s="1978" t="s">
        <v>1612</v>
      </c>
      <c r="O109" s="1978" t="s">
        <v>1613</v>
      </c>
      <c r="P109" s="1978" t="s">
        <v>1614</v>
      </c>
      <c r="Q109" s="1979" t="s">
        <v>1771</v>
      </c>
      <c r="R109" s="1979" t="s">
        <v>1772</v>
      </c>
      <c r="S109" s="1826" t="s">
        <v>20</v>
      </c>
      <c r="T109" s="1826" t="s">
        <v>21</v>
      </c>
      <c r="U109" s="1826" t="s">
        <v>79</v>
      </c>
      <c r="V109" s="1826" t="s">
        <v>1715</v>
      </c>
      <c r="W109" s="1826" t="s">
        <v>1716</v>
      </c>
      <c r="X109" s="1826" t="s">
        <v>19</v>
      </c>
      <c r="Y109" s="1826" t="s">
        <v>1187</v>
      </c>
      <c r="Z109" s="1826" t="s">
        <v>1192</v>
      </c>
      <c r="AA109" s="1826" t="s">
        <v>1529</v>
      </c>
      <c r="AB109" s="1826" t="s">
        <v>392</v>
      </c>
      <c r="AC109" s="1827" t="s">
        <v>1845</v>
      </c>
    </row>
    <row r="110" spans="1:29" x14ac:dyDescent="0.25">
      <c r="A110" s="361">
        <v>100</v>
      </c>
      <c r="B110" s="1958" t="s">
        <v>810</v>
      </c>
      <c r="C110" s="307">
        <f t="shared" ref="C110:D110" si="69">C41</f>
        <v>0</v>
      </c>
      <c r="D110" s="1959">
        <f t="shared" si="69"/>
        <v>0</v>
      </c>
      <c r="E110" s="1659">
        <f>' QUICK OVERVIEW- Inputs&amp;Outputs'!$W$14</f>
        <v>2581400.0008966313</v>
      </c>
      <c r="F110" s="307">
        <v>0</v>
      </c>
      <c r="G110" s="1960">
        <f>E41</f>
        <v>23678017.583800394</v>
      </c>
      <c r="H110" s="1960">
        <f>'Cost-Benefit Tab_Digester'!$I$250</f>
        <v>527259.72694313992</v>
      </c>
      <c r="I110" s="1960">
        <f>'Cost-Benefit Tab_Digester'!$D$250</f>
        <v>811168.81068175379</v>
      </c>
      <c r="J110" s="1961">
        <v>0</v>
      </c>
      <c r="K110" s="1961">
        <v>0</v>
      </c>
      <c r="L110" s="1961">
        <v>0</v>
      </c>
      <c r="M110" s="1961">
        <v>0</v>
      </c>
      <c r="N110" s="1961">
        <v>0</v>
      </c>
      <c r="O110" s="1960">
        <f>'Cost-Benefit Tab_Digester'!$B$147</f>
        <v>10625849.087928841</v>
      </c>
      <c r="P110" s="1961">
        <v>0</v>
      </c>
      <c r="Q110" s="1960">
        <v>0</v>
      </c>
      <c r="R110" s="1960">
        <v>0</v>
      </c>
      <c r="S110" s="1964">
        <f>'Emission-Biogas Conversion'!$U$7</f>
        <v>39.082393453211623</v>
      </c>
      <c r="T110" s="1964">
        <f>'Emission-Biogas Conversion'!$S$7</f>
        <v>255.09659601596528</v>
      </c>
      <c r="U110" s="1972">
        <f>'Emission-Biogas Conversion'!$R$7</f>
        <v>-1028965.6227365993</v>
      </c>
      <c r="V110" s="2714">
        <f>'Emission-Biogas Conversion'!$T$7</f>
        <v>43.15744542674723</v>
      </c>
      <c r="W110" s="2714"/>
      <c r="X110" s="1964">
        <f>'Emission-Biogas Conversion'!$V$7</f>
        <v>-815.64359547620472</v>
      </c>
      <c r="Y110" s="1964">
        <v>0</v>
      </c>
      <c r="Z110" s="1964">
        <v>0</v>
      </c>
      <c r="AA110" s="1964">
        <v>0</v>
      </c>
      <c r="AB110" s="1964">
        <f>'Emission-GHG from Biogas Conver'!$R$7</f>
        <v>4349639.1647264874</v>
      </c>
      <c r="AC110" s="1977">
        <f>'Emission-Biogas Conversion'!$R$27+'Emission-GHG from Biogas Conver'!F27</f>
        <v>-581265224.23091125</v>
      </c>
    </row>
    <row r="111" spans="1:29" x14ac:dyDescent="0.25">
      <c r="A111" s="319">
        <v>75</v>
      </c>
      <c r="B111" s="1917" t="s">
        <v>811</v>
      </c>
      <c r="C111" s="1916">
        <f t="shared" ref="C111:D111" si="70">C45</f>
        <v>0</v>
      </c>
      <c r="D111" s="479">
        <f t="shared" si="70"/>
        <v>0</v>
      </c>
      <c r="E111" s="862">
        <f>' QUICK OVERVIEW- Inputs&amp;Outputs'!$W$14*0.75</f>
        <v>1936050.0006724736</v>
      </c>
      <c r="F111" s="1916">
        <v>0</v>
      </c>
      <c r="G111" s="228">
        <f>E45</f>
        <v>17758513.187850296</v>
      </c>
      <c r="H111" s="228">
        <f>'Cost-Benefit Tab_Digester'!$I$250*0.75</f>
        <v>395444.79520735494</v>
      </c>
      <c r="I111" s="228">
        <f>'Cost-Benefit Tab_Digester'!$D$250*0.75</f>
        <v>608376.60801131534</v>
      </c>
      <c r="J111" s="1706">
        <v>0</v>
      </c>
      <c r="K111" s="1706">
        <v>0</v>
      </c>
      <c r="L111" s="1706">
        <v>0</v>
      </c>
      <c r="M111" s="1706">
        <v>0</v>
      </c>
      <c r="N111" s="1706">
        <v>0</v>
      </c>
      <c r="O111" s="228">
        <f>'Cost-Benefit Tab_Digester'!$B$147*0.75</f>
        <v>7969386.8159466311</v>
      </c>
      <c r="P111" s="1706">
        <v>0</v>
      </c>
      <c r="Q111" s="228">
        <v>0</v>
      </c>
      <c r="R111" s="228">
        <v>0</v>
      </c>
      <c r="S111" s="1822">
        <f>S110*0.75</f>
        <v>29.311795089908717</v>
      </c>
      <c r="T111" s="1822">
        <f>T110*0.75</f>
        <v>191.32244701197396</v>
      </c>
      <c r="U111" s="862">
        <f>U110*0.75</f>
        <v>-771724.21705244947</v>
      </c>
      <c r="V111" s="2710">
        <f>V110*0.75</f>
        <v>32.368084070060419</v>
      </c>
      <c r="W111" s="2710"/>
      <c r="X111" s="1930">
        <f>X110*0.75</f>
        <v>-611.73269660715357</v>
      </c>
      <c r="Y111" s="1822">
        <v>0</v>
      </c>
      <c r="Z111" s="1822">
        <v>0</v>
      </c>
      <c r="AA111" s="1822">
        <v>0</v>
      </c>
      <c r="AB111" s="1964">
        <f>AB110*0.75</f>
        <v>3262229.3735448653</v>
      </c>
      <c r="AC111" s="1887">
        <f>AC110*0.75</f>
        <v>-435948918.17318344</v>
      </c>
    </row>
    <row r="112" spans="1:29" x14ac:dyDescent="0.25">
      <c r="A112" s="319">
        <v>50</v>
      </c>
      <c r="B112" s="1917" t="s">
        <v>812</v>
      </c>
      <c r="C112" s="1916">
        <f t="shared" ref="C112:D112" si="71">C49</f>
        <v>0</v>
      </c>
      <c r="D112" s="479">
        <f t="shared" si="71"/>
        <v>0</v>
      </c>
      <c r="E112" s="862">
        <f>' QUICK OVERVIEW- Inputs&amp;Outputs'!$W$14*0.5</f>
        <v>1290700.0004483156</v>
      </c>
      <c r="F112" s="1916">
        <v>0</v>
      </c>
      <c r="G112" s="228">
        <f>E49</f>
        <v>11839008.791900197</v>
      </c>
      <c r="H112" s="228">
        <f>'Cost-Benefit Tab_Digester'!$I$250*0.5</f>
        <v>263629.86347156996</v>
      </c>
      <c r="I112" s="228">
        <f>'Cost-Benefit Tab_Digester'!$D$250*0.5</f>
        <v>405584.4053408769</v>
      </c>
      <c r="J112" s="1706">
        <v>0</v>
      </c>
      <c r="K112" s="1706">
        <v>0</v>
      </c>
      <c r="L112" s="1706">
        <v>0</v>
      </c>
      <c r="M112" s="1706">
        <v>0</v>
      </c>
      <c r="N112" s="1706">
        <v>0</v>
      </c>
      <c r="O112" s="228">
        <f>'Cost-Benefit Tab_Digester'!$B$147*0.5</f>
        <v>5312924.5439644204</v>
      </c>
      <c r="P112" s="1706">
        <v>0</v>
      </c>
      <c r="Q112" s="228">
        <v>0</v>
      </c>
      <c r="R112" s="228">
        <v>0</v>
      </c>
      <c r="S112" s="1822">
        <f>S110*0.5</f>
        <v>19.541196726605811</v>
      </c>
      <c r="T112" s="1822">
        <f>T110*0.5</f>
        <v>127.54829800798264</v>
      </c>
      <c r="U112" s="862">
        <f>U110*0.5</f>
        <v>-514482.81136829965</v>
      </c>
      <c r="V112" s="2710">
        <f>V110*0.5</f>
        <v>21.578722713373615</v>
      </c>
      <c r="W112" s="2710"/>
      <c r="X112" s="1930">
        <f>X110*0.5</f>
        <v>-407.82179773810236</v>
      </c>
      <c r="Y112" s="1822">
        <v>0</v>
      </c>
      <c r="Z112" s="1822">
        <v>0</v>
      </c>
      <c r="AA112" s="1822">
        <v>0</v>
      </c>
      <c r="AB112" s="1964">
        <f>AB110*0.5</f>
        <v>2174819.5823632437</v>
      </c>
      <c r="AC112" s="1887">
        <f>AC110*0.5</f>
        <v>-290632612.11545563</v>
      </c>
    </row>
    <row r="113" spans="1:29" x14ac:dyDescent="0.25">
      <c r="A113" s="319">
        <v>25</v>
      </c>
      <c r="B113" s="1917" t="s">
        <v>813</v>
      </c>
      <c r="C113" s="1916">
        <f t="shared" ref="C113:D113" si="72">C53</f>
        <v>0</v>
      </c>
      <c r="D113" s="479">
        <f t="shared" si="72"/>
        <v>0</v>
      </c>
      <c r="E113" s="862">
        <f>' QUICK OVERVIEW- Inputs&amp;Outputs'!$W$14*0.25</f>
        <v>645350.00022415782</v>
      </c>
      <c r="F113" s="1916">
        <v>0</v>
      </c>
      <c r="G113" s="228">
        <f>E53</f>
        <v>5919504.3959500985</v>
      </c>
      <c r="H113" s="228">
        <f>'Cost-Benefit Tab_Digester'!$I$250*0.25</f>
        <v>131814.93173578498</v>
      </c>
      <c r="I113" s="228">
        <f>'Cost-Benefit Tab_Digester'!$D$250*0.25</f>
        <v>202792.20267043845</v>
      </c>
      <c r="J113" s="1706">
        <v>0</v>
      </c>
      <c r="K113" s="1706">
        <v>0</v>
      </c>
      <c r="L113" s="1706">
        <v>0</v>
      </c>
      <c r="M113" s="1706">
        <v>0</v>
      </c>
      <c r="N113" s="1706">
        <v>0</v>
      </c>
      <c r="O113" s="228">
        <f>'Cost-Benefit Tab_Digester'!$B$147*0.25</f>
        <v>2656462.2719822102</v>
      </c>
      <c r="P113" s="1706">
        <v>0</v>
      </c>
      <c r="Q113" s="228">
        <v>0</v>
      </c>
      <c r="R113" s="228">
        <v>0</v>
      </c>
      <c r="S113" s="1822">
        <f>S110*0.25</f>
        <v>9.7705983633029057</v>
      </c>
      <c r="T113" s="1822">
        <f>T110*0.25</f>
        <v>63.774149003991319</v>
      </c>
      <c r="U113" s="862">
        <f>U110*0.25</f>
        <v>-257241.40568414982</v>
      </c>
      <c r="V113" s="2710">
        <f>V110*0.25</f>
        <v>10.789361356686808</v>
      </c>
      <c r="W113" s="2710"/>
      <c r="X113" s="1930">
        <f>X110*0.25</f>
        <v>-203.91089886905118</v>
      </c>
      <c r="Y113" s="1822">
        <v>0</v>
      </c>
      <c r="Z113" s="1822">
        <v>0</v>
      </c>
      <c r="AA113" s="1822">
        <v>0</v>
      </c>
      <c r="AB113" s="1964">
        <f>AB110*0.25</f>
        <v>1087409.7911816218</v>
      </c>
      <c r="AC113" s="1887">
        <f>AC110*0.25</f>
        <v>-145316306.05772781</v>
      </c>
    </row>
    <row r="114" spans="1:29" ht="15.75" thickBot="1" x14ac:dyDescent="0.3">
      <c r="A114" s="84">
        <v>0</v>
      </c>
      <c r="B114" s="1924" t="s">
        <v>814</v>
      </c>
      <c r="C114" s="88">
        <v>0</v>
      </c>
      <c r="D114" s="88">
        <v>0</v>
      </c>
      <c r="E114" s="773">
        <f>' QUICK OVERVIEW- Inputs&amp;Outputs'!$W$14*0</f>
        <v>0</v>
      </c>
      <c r="F114" s="88">
        <v>0</v>
      </c>
      <c r="G114" s="1966">
        <v>0</v>
      </c>
      <c r="H114" s="1966">
        <f>'Cost-Benefit Tab_Digester'!$I$250*0</f>
        <v>0</v>
      </c>
      <c r="I114" s="1966">
        <f>'Cost-Benefit Tab_Digester'!$D$250*0</f>
        <v>0</v>
      </c>
      <c r="J114" s="1967">
        <v>0</v>
      </c>
      <c r="K114" s="1967">
        <v>0</v>
      </c>
      <c r="L114" s="1967">
        <v>0</v>
      </c>
      <c r="M114" s="1967">
        <v>0</v>
      </c>
      <c r="N114" s="1967">
        <v>0</v>
      </c>
      <c r="O114" s="1966">
        <v>0</v>
      </c>
      <c r="P114" s="1967">
        <v>0</v>
      </c>
      <c r="Q114" s="1966">
        <v>0</v>
      </c>
      <c r="R114" s="1966">
        <v>0</v>
      </c>
      <c r="S114" s="1968">
        <v>0</v>
      </c>
      <c r="T114" s="1968">
        <f>T110*0</f>
        <v>0</v>
      </c>
      <c r="U114" s="773">
        <f>U110*0</f>
        <v>0</v>
      </c>
      <c r="V114" s="2713">
        <f>V110*0</f>
        <v>0</v>
      </c>
      <c r="W114" s="2713"/>
      <c r="X114" s="1558">
        <f>X110*0</f>
        <v>0</v>
      </c>
      <c r="Y114" s="1968">
        <v>0</v>
      </c>
      <c r="Z114" s="1968">
        <v>0</v>
      </c>
      <c r="AA114" s="1968">
        <v>0</v>
      </c>
      <c r="AB114" s="1992">
        <f>AB110*0</f>
        <v>0</v>
      </c>
      <c r="AC114" s="1970">
        <f>AC110*0</f>
        <v>0</v>
      </c>
    </row>
    <row r="115" spans="1:29" x14ac:dyDescent="0.25">
      <c r="A115" s="53">
        <v>100</v>
      </c>
      <c r="B115" s="161" t="s">
        <v>815</v>
      </c>
      <c r="C115" s="475">
        <f t="shared" ref="C115:D115" si="73">C42</f>
        <v>0</v>
      </c>
      <c r="D115" s="410">
        <f t="shared" si="73"/>
        <v>0</v>
      </c>
      <c r="E115" s="756">
        <f>' QUICK OVERVIEW- Inputs&amp;Outputs'!$W$14</f>
        <v>2581400.0008966313</v>
      </c>
      <c r="F115" s="475">
        <v>0</v>
      </c>
      <c r="G115" s="557">
        <f>E42</f>
        <v>23678017.583800394</v>
      </c>
      <c r="H115" s="557">
        <f>'Cost-Benefit Tab_Digester'!$I$250</f>
        <v>527259.72694313992</v>
      </c>
      <c r="I115" s="557">
        <f>'Cost-Benefit Tab_Digester'!$D$250</f>
        <v>811168.81068175379</v>
      </c>
      <c r="J115" s="1707">
        <v>0</v>
      </c>
      <c r="K115" s="1707">
        <v>0</v>
      </c>
      <c r="L115" s="1707">
        <v>0</v>
      </c>
      <c r="M115" s="1707">
        <v>0</v>
      </c>
      <c r="N115" s="1707">
        <v>0</v>
      </c>
      <c r="O115" s="557">
        <f>'Cost-Benefit Tab_Digester'!$B$147</f>
        <v>10625849.087928841</v>
      </c>
      <c r="P115" s="1707">
        <v>0</v>
      </c>
      <c r="Q115" s="557">
        <v>0</v>
      </c>
      <c r="R115" s="557">
        <v>0</v>
      </c>
      <c r="S115" s="1931">
        <f>'Emission-Biogas Conversion'!$U$8</f>
        <v>91.023128688850591</v>
      </c>
      <c r="T115" s="1931">
        <f>'Emission-Biogas Conversion'!$S$8</f>
        <v>98.288177448651609</v>
      </c>
      <c r="U115" s="1931">
        <f>'Emission-Biogas Conversion'!$R$8</f>
        <v>790.10736695915375</v>
      </c>
      <c r="V115" s="2709">
        <f>'Emission-Biogas Conversion'!$T$8</f>
        <v>323.14143730779034</v>
      </c>
      <c r="W115" s="2709"/>
      <c r="X115" s="1931">
        <f>'Emission-Biogas Conversion'!$V$8</f>
        <v>-270.70460073694801</v>
      </c>
      <c r="Y115" s="1823">
        <v>0</v>
      </c>
      <c r="Z115" s="1823">
        <v>0</v>
      </c>
      <c r="AA115" s="1823">
        <v>0</v>
      </c>
      <c r="AB115" s="1823">
        <f>'Emission-GHG from Biogas Conver'!$R$8</f>
        <v>8469098.4061250165</v>
      </c>
      <c r="AC115" s="1965">
        <f>'Emission-Biogas Conversion'!$R$78+'Emission-GHG from Biogas Conver'!F78</f>
        <v>47891102.943145975</v>
      </c>
    </row>
    <row r="116" spans="1:29" x14ac:dyDescent="0.25">
      <c r="A116" s="319">
        <v>75</v>
      </c>
      <c r="B116" s="1917" t="s">
        <v>816</v>
      </c>
      <c r="C116" s="1916">
        <f t="shared" ref="C116:D116" si="74">C46</f>
        <v>0</v>
      </c>
      <c r="D116" s="479">
        <f t="shared" si="74"/>
        <v>0</v>
      </c>
      <c r="E116" s="862">
        <f>' QUICK OVERVIEW- Inputs&amp;Outputs'!$W$14*0.75</f>
        <v>1936050.0006724736</v>
      </c>
      <c r="F116" s="1916">
        <v>0</v>
      </c>
      <c r="G116" s="228">
        <f>E46</f>
        <v>17758513.187850296</v>
      </c>
      <c r="H116" s="228">
        <f>'Cost-Benefit Tab_Digester'!$I$250*0.75</f>
        <v>395444.79520735494</v>
      </c>
      <c r="I116" s="228">
        <f>'Cost-Benefit Tab_Digester'!$D$250*0.75</f>
        <v>608376.60801131534</v>
      </c>
      <c r="J116" s="1706">
        <v>0</v>
      </c>
      <c r="K116" s="1706">
        <v>0</v>
      </c>
      <c r="L116" s="1706">
        <v>0</v>
      </c>
      <c r="M116" s="1706">
        <v>0</v>
      </c>
      <c r="N116" s="1706">
        <v>0</v>
      </c>
      <c r="O116" s="228">
        <f>'Cost-Benefit Tab_Digester'!$B$147*0.75</f>
        <v>7969386.8159466311</v>
      </c>
      <c r="P116" s="1706">
        <v>0</v>
      </c>
      <c r="Q116" s="228">
        <v>0</v>
      </c>
      <c r="R116" s="228">
        <v>0</v>
      </c>
      <c r="S116" s="1930">
        <f>S115*0.75</f>
        <v>68.267346516637943</v>
      </c>
      <c r="T116" s="1930">
        <f>T115*0.75</f>
        <v>73.716133086488711</v>
      </c>
      <c r="U116" s="1930">
        <f>U115*0.75</f>
        <v>592.58052521936531</v>
      </c>
      <c r="V116" s="2710">
        <f>V115*0.75</f>
        <v>242.35607798084277</v>
      </c>
      <c r="W116" s="2710"/>
      <c r="X116" s="1930">
        <f>X115*0.75</f>
        <v>-203.02845055271101</v>
      </c>
      <c r="Y116" s="1822">
        <v>0</v>
      </c>
      <c r="Z116" s="1822">
        <v>0</v>
      </c>
      <c r="AA116" s="1822">
        <v>0</v>
      </c>
      <c r="AB116" s="1822">
        <f>AB115*0.75</f>
        <v>6351823.8045937624</v>
      </c>
      <c r="AC116" s="1887">
        <f>AC115*0.75</f>
        <v>35918327.207359478</v>
      </c>
    </row>
    <row r="117" spans="1:29" x14ac:dyDescent="0.25">
      <c r="A117" s="319">
        <v>50</v>
      </c>
      <c r="B117" s="1917" t="s">
        <v>817</v>
      </c>
      <c r="C117" s="1916">
        <f t="shared" ref="C117:D117" si="75">C50</f>
        <v>0</v>
      </c>
      <c r="D117" s="479">
        <f t="shared" si="75"/>
        <v>0</v>
      </c>
      <c r="E117" s="862">
        <f>' QUICK OVERVIEW- Inputs&amp;Outputs'!$W$14*0.5</f>
        <v>1290700.0004483156</v>
      </c>
      <c r="F117" s="1916">
        <v>0</v>
      </c>
      <c r="G117" s="228">
        <f>E50</f>
        <v>11839008.791900197</v>
      </c>
      <c r="H117" s="228">
        <f>'Cost-Benefit Tab_Digester'!$I$250*0.5</f>
        <v>263629.86347156996</v>
      </c>
      <c r="I117" s="228">
        <f>'Cost-Benefit Tab_Digester'!$D$250*0.5</f>
        <v>405584.4053408769</v>
      </c>
      <c r="J117" s="1706">
        <v>0</v>
      </c>
      <c r="K117" s="1706">
        <v>0</v>
      </c>
      <c r="L117" s="1706">
        <v>0</v>
      </c>
      <c r="M117" s="1706">
        <v>0</v>
      </c>
      <c r="N117" s="1706">
        <v>0</v>
      </c>
      <c r="O117" s="228">
        <f>'Cost-Benefit Tab_Digester'!$B$147*0.5</f>
        <v>5312924.5439644204</v>
      </c>
      <c r="P117" s="1706">
        <v>0</v>
      </c>
      <c r="Q117" s="228">
        <v>0</v>
      </c>
      <c r="R117" s="228">
        <v>0</v>
      </c>
      <c r="S117" s="1930">
        <f>S115*0.5</f>
        <v>45.511564344425295</v>
      </c>
      <c r="T117" s="1930">
        <f>T115*0.5</f>
        <v>49.144088724325805</v>
      </c>
      <c r="U117" s="1930">
        <f>U115*0.5</f>
        <v>395.05368347957688</v>
      </c>
      <c r="V117" s="2710">
        <f>V115*0.5</f>
        <v>161.57071865389517</v>
      </c>
      <c r="W117" s="2710"/>
      <c r="X117" s="1930">
        <f>X115*0.5</f>
        <v>-135.352300368474</v>
      </c>
      <c r="Y117" s="1822">
        <v>0</v>
      </c>
      <c r="Z117" s="1822">
        <v>0</v>
      </c>
      <c r="AA117" s="1822">
        <v>0</v>
      </c>
      <c r="AB117" s="1822">
        <f>AB115*0.5</f>
        <v>4234549.2030625083</v>
      </c>
      <c r="AC117" s="1887">
        <f>AC115*0.5</f>
        <v>23945551.471572988</v>
      </c>
    </row>
    <row r="118" spans="1:29" x14ac:dyDescent="0.25">
      <c r="A118" s="319">
        <v>25</v>
      </c>
      <c r="B118" s="1917" t="s">
        <v>818</v>
      </c>
      <c r="C118" s="1916">
        <f t="shared" ref="C118:D118" si="76">C54</f>
        <v>0</v>
      </c>
      <c r="D118" s="479">
        <f t="shared" si="76"/>
        <v>0</v>
      </c>
      <c r="E118" s="862">
        <f>' QUICK OVERVIEW- Inputs&amp;Outputs'!$W$14*0.25</f>
        <v>645350.00022415782</v>
      </c>
      <c r="F118" s="1916">
        <v>0</v>
      </c>
      <c r="G118" s="228">
        <f>E54</f>
        <v>5919504.3959500985</v>
      </c>
      <c r="H118" s="228">
        <f>'Cost-Benefit Tab_Digester'!$I$250*0.25</f>
        <v>131814.93173578498</v>
      </c>
      <c r="I118" s="228">
        <f>'Cost-Benefit Tab_Digester'!$D$250*0.25</f>
        <v>202792.20267043845</v>
      </c>
      <c r="J118" s="1706">
        <v>0</v>
      </c>
      <c r="K118" s="1706">
        <v>0</v>
      </c>
      <c r="L118" s="1706">
        <v>0</v>
      </c>
      <c r="M118" s="1706">
        <v>0</v>
      </c>
      <c r="N118" s="1706">
        <v>0</v>
      </c>
      <c r="O118" s="228">
        <f>'Cost-Benefit Tab_Digester'!$B$147*0.25</f>
        <v>2656462.2719822102</v>
      </c>
      <c r="P118" s="1706">
        <v>0</v>
      </c>
      <c r="Q118" s="228">
        <v>0</v>
      </c>
      <c r="R118" s="228">
        <v>0</v>
      </c>
      <c r="S118" s="1930">
        <f>S115*0.25</f>
        <v>22.755782172212648</v>
      </c>
      <c r="T118" s="1930">
        <f>T115*0.25</f>
        <v>24.572044362162902</v>
      </c>
      <c r="U118" s="1930">
        <f>U115*0.25</f>
        <v>197.52684173978844</v>
      </c>
      <c r="V118" s="2710">
        <f>V115*0.25</f>
        <v>80.785359326947585</v>
      </c>
      <c r="W118" s="2710"/>
      <c r="X118" s="1930">
        <f>X115*0.25</f>
        <v>-67.676150184237002</v>
      </c>
      <c r="Y118" s="1822">
        <v>0</v>
      </c>
      <c r="Z118" s="1822">
        <v>0</v>
      </c>
      <c r="AA118" s="1822">
        <v>0</v>
      </c>
      <c r="AB118" s="1822">
        <f>AB115*0.25</f>
        <v>2117274.6015312541</v>
      </c>
      <c r="AC118" s="1887">
        <f>AC115*0.25</f>
        <v>11972775.735786494</v>
      </c>
    </row>
    <row r="119" spans="1:29" ht="15.75" thickBot="1" x14ac:dyDescent="0.3">
      <c r="A119" s="960">
        <v>0</v>
      </c>
      <c r="B119" s="1925" t="s">
        <v>819</v>
      </c>
      <c r="C119" s="1002">
        <v>0</v>
      </c>
      <c r="D119" s="1002">
        <v>0</v>
      </c>
      <c r="E119" s="524">
        <f>' QUICK OVERVIEW- Inputs&amp;Outputs'!$W$14*0</f>
        <v>0</v>
      </c>
      <c r="F119" s="1002">
        <v>0</v>
      </c>
      <c r="G119" s="156">
        <v>0</v>
      </c>
      <c r="H119" s="156">
        <f>'Cost-Benefit Tab_Digester'!$I$250*0</f>
        <v>0</v>
      </c>
      <c r="I119" s="156">
        <f>'Cost-Benefit Tab_Digester'!$D$250*0</f>
        <v>0</v>
      </c>
      <c r="J119" s="1708">
        <v>0</v>
      </c>
      <c r="K119" s="1708">
        <v>0</v>
      </c>
      <c r="L119" s="1708">
        <v>0</v>
      </c>
      <c r="M119" s="1708">
        <v>0</v>
      </c>
      <c r="N119" s="1708">
        <v>0</v>
      </c>
      <c r="O119" s="156">
        <f>'Cost-Benefit Tab_Digester'!$B$147*0</f>
        <v>0</v>
      </c>
      <c r="P119" s="1708">
        <v>0</v>
      </c>
      <c r="Q119" s="156">
        <v>0</v>
      </c>
      <c r="R119" s="156">
        <v>0</v>
      </c>
      <c r="S119" s="1932">
        <f t="shared" ref="S119:X119" si="77">S114</f>
        <v>0</v>
      </c>
      <c r="T119" s="1932">
        <f t="shared" si="77"/>
        <v>0</v>
      </c>
      <c r="U119" s="1932">
        <f t="shared" si="77"/>
        <v>0</v>
      </c>
      <c r="V119" s="2711">
        <f t="shared" si="77"/>
        <v>0</v>
      </c>
      <c r="W119" s="2711"/>
      <c r="X119" s="1932">
        <f t="shared" si="77"/>
        <v>0</v>
      </c>
      <c r="Y119" s="1825">
        <v>0</v>
      </c>
      <c r="Z119" s="1825">
        <v>0</v>
      </c>
      <c r="AA119" s="1825">
        <v>0</v>
      </c>
      <c r="AB119" s="1825">
        <f>AB115*0</f>
        <v>0</v>
      </c>
      <c r="AC119" s="1888">
        <f>AC115*0</f>
        <v>0</v>
      </c>
    </row>
    <row r="120" spans="1:29" x14ac:dyDescent="0.25">
      <c r="A120" s="361">
        <v>100</v>
      </c>
      <c r="B120" s="1958" t="s">
        <v>820</v>
      </c>
      <c r="C120" s="307">
        <f t="shared" ref="C120:D120" si="78">C43</f>
        <v>0</v>
      </c>
      <c r="D120" s="1959">
        <f t="shared" si="78"/>
        <v>0</v>
      </c>
      <c r="E120" s="1659">
        <f>' QUICK OVERVIEW- Inputs&amp;Outputs'!$W$14</f>
        <v>2581400.0008966313</v>
      </c>
      <c r="F120" s="307">
        <v>0</v>
      </c>
      <c r="G120" s="1960">
        <f>E43</f>
        <v>23678017.583800394</v>
      </c>
      <c r="H120" s="1960">
        <f>'Cost-Benefit Tab_Digester'!$I$250</f>
        <v>527259.72694313992</v>
      </c>
      <c r="I120" s="1960">
        <f>'Cost-Benefit Tab_Digester'!$D$250</f>
        <v>811168.81068175379</v>
      </c>
      <c r="J120" s="1961">
        <v>0</v>
      </c>
      <c r="K120" s="1961">
        <v>0</v>
      </c>
      <c r="L120" s="1961">
        <v>0</v>
      </c>
      <c r="M120" s="1961">
        <v>0</v>
      </c>
      <c r="N120" s="1961">
        <v>0</v>
      </c>
      <c r="O120" s="1960">
        <f>'Cost-Benefit Tab_Digester'!$B$147</f>
        <v>10625849.087928841</v>
      </c>
      <c r="P120" s="1961">
        <v>0</v>
      </c>
      <c r="Q120" s="1960">
        <v>0</v>
      </c>
      <c r="R120" s="1960">
        <v>0</v>
      </c>
      <c r="S120" s="1962">
        <f>'Emission-Biogas Conversion'!$U$9</f>
        <v>307.39366771292697</v>
      </c>
      <c r="T120" s="1962">
        <f>'Emission-Biogas Conversion'!$S$9</f>
        <v>3444.6872431242909</v>
      </c>
      <c r="U120" s="1962">
        <f>'Emission-Biogas Conversion'!$R$9</f>
        <v>1032.9166200358613</v>
      </c>
      <c r="V120" s="2712">
        <f>'Emission-Biogas Conversion'!$T$9</f>
        <v>370.97876042062092</v>
      </c>
      <c r="W120" s="2712"/>
      <c r="X120" s="1962">
        <f>'Emission-Biogas Conversion'!$V$9</f>
        <v>-1728.5843544840845</v>
      </c>
      <c r="Y120" s="1964">
        <v>0</v>
      </c>
      <c r="Z120" s="1964">
        <v>0</v>
      </c>
      <c r="AA120" s="1964">
        <v>0</v>
      </c>
      <c r="AB120" s="1964">
        <f>'Emission-GHG from Biogas Conver'!$R$9</f>
        <v>5023283.2299451847</v>
      </c>
      <c r="AC120" s="1977">
        <f>'Emission-Biogas Conversion'!$R$129+'Emission-GHG from Biogas Conver'!F129</f>
        <v>28228724.964068286</v>
      </c>
    </row>
    <row r="121" spans="1:29" x14ac:dyDescent="0.25">
      <c r="A121" s="319">
        <v>75</v>
      </c>
      <c r="B121" s="1917" t="s">
        <v>821</v>
      </c>
      <c r="C121" s="1916">
        <f t="shared" ref="C121:D121" si="79">C47</f>
        <v>0</v>
      </c>
      <c r="D121" s="479">
        <f t="shared" si="79"/>
        <v>0</v>
      </c>
      <c r="E121" s="862">
        <f>' QUICK OVERVIEW- Inputs&amp;Outputs'!$W$14*0.75</f>
        <v>1936050.0006724736</v>
      </c>
      <c r="F121" s="1916">
        <v>0</v>
      </c>
      <c r="G121" s="228">
        <f>E47</f>
        <v>17758513.187850296</v>
      </c>
      <c r="H121" s="228">
        <f>'Cost-Benefit Tab_Digester'!$I$250*0.75</f>
        <v>395444.79520735494</v>
      </c>
      <c r="I121" s="228">
        <f>'Cost-Benefit Tab_Digester'!$D$250*0.75</f>
        <v>608376.60801131534</v>
      </c>
      <c r="J121" s="1706">
        <v>0</v>
      </c>
      <c r="K121" s="1706">
        <v>0</v>
      </c>
      <c r="L121" s="1706">
        <v>0</v>
      </c>
      <c r="M121" s="1706">
        <v>0</v>
      </c>
      <c r="N121" s="1706">
        <v>0</v>
      </c>
      <c r="O121" s="228">
        <f>'Cost-Benefit Tab_Digester'!$B$147*0.75</f>
        <v>7969386.8159466311</v>
      </c>
      <c r="P121" s="1706">
        <v>0</v>
      </c>
      <c r="Q121" s="228">
        <v>0</v>
      </c>
      <c r="R121" s="228">
        <v>0</v>
      </c>
      <c r="S121" s="1930">
        <f>S120*0.75</f>
        <v>230.54525078469521</v>
      </c>
      <c r="T121" s="1930">
        <f>T120*0.75</f>
        <v>2583.515432343218</v>
      </c>
      <c r="U121" s="1930">
        <f>U120*0.75</f>
        <v>774.68746502689601</v>
      </c>
      <c r="V121" s="2710">
        <f>V120*0.75</f>
        <v>278.23407031546571</v>
      </c>
      <c r="W121" s="2710"/>
      <c r="X121" s="1930">
        <f>X120*0.75</f>
        <v>-1296.4382658630634</v>
      </c>
      <c r="Y121" s="1822">
        <v>0</v>
      </c>
      <c r="Z121" s="1822">
        <v>0</v>
      </c>
      <c r="AA121" s="1822">
        <v>0</v>
      </c>
      <c r="AB121" s="1964">
        <f>AB120*0.75</f>
        <v>3767462.4224588885</v>
      </c>
      <c r="AC121" s="1887">
        <f>AC120*0.75</f>
        <v>21171543.723051213</v>
      </c>
    </row>
    <row r="122" spans="1:29" x14ac:dyDescent="0.25">
      <c r="A122" s="319">
        <v>50</v>
      </c>
      <c r="B122" s="1917" t="s">
        <v>822</v>
      </c>
      <c r="C122" s="1916">
        <f t="shared" ref="C122:D122" si="80">C51</f>
        <v>0</v>
      </c>
      <c r="D122" s="479">
        <f t="shared" si="80"/>
        <v>0</v>
      </c>
      <c r="E122" s="862">
        <f>' QUICK OVERVIEW- Inputs&amp;Outputs'!$W$14*0.5</f>
        <v>1290700.0004483156</v>
      </c>
      <c r="F122" s="1916">
        <v>0</v>
      </c>
      <c r="G122" s="228">
        <f>E51</f>
        <v>11839008.791900197</v>
      </c>
      <c r="H122" s="228">
        <f>'Cost-Benefit Tab_Digester'!$I$250*0.5</f>
        <v>263629.86347156996</v>
      </c>
      <c r="I122" s="228">
        <f>'Cost-Benefit Tab_Digester'!$D$250*0.5</f>
        <v>405584.4053408769</v>
      </c>
      <c r="J122" s="1706">
        <v>0</v>
      </c>
      <c r="K122" s="1706">
        <v>0</v>
      </c>
      <c r="L122" s="1706">
        <v>0</v>
      </c>
      <c r="M122" s="1706">
        <v>0</v>
      </c>
      <c r="N122" s="1706">
        <v>0</v>
      </c>
      <c r="O122" s="228">
        <f>'Cost-Benefit Tab_Digester'!$B$147*0.5</f>
        <v>5312924.5439644204</v>
      </c>
      <c r="P122" s="1706">
        <v>0</v>
      </c>
      <c r="Q122" s="228">
        <v>0</v>
      </c>
      <c r="R122" s="228">
        <v>0</v>
      </c>
      <c r="S122" s="1930">
        <f>S120*0.5</f>
        <v>153.69683385646348</v>
      </c>
      <c r="T122" s="1930">
        <f>T120*0.5</f>
        <v>1722.3436215621455</v>
      </c>
      <c r="U122" s="1930">
        <f>U120*0.5</f>
        <v>516.45831001793067</v>
      </c>
      <c r="V122" s="2710">
        <f>V120*0.5</f>
        <v>185.48938021031046</v>
      </c>
      <c r="W122" s="2710"/>
      <c r="X122" s="1930">
        <f>X120*0.5</f>
        <v>-864.29217724204227</v>
      </c>
      <c r="Y122" s="1822">
        <v>0</v>
      </c>
      <c r="Z122" s="1822">
        <v>0</v>
      </c>
      <c r="AA122" s="1822">
        <v>0</v>
      </c>
      <c r="AB122" s="1964">
        <f>AB120*0.5</f>
        <v>2511641.6149725923</v>
      </c>
      <c r="AC122" s="1887">
        <f>AC120*0.5</f>
        <v>14114362.482034143</v>
      </c>
    </row>
    <row r="123" spans="1:29" x14ac:dyDescent="0.25">
      <c r="A123" s="319">
        <v>25</v>
      </c>
      <c r="B123" s="1917" t="s">
        <v>823</v>
      </c>
      <c r="C123" s="1916">
        <f t="shared" ref="C123:D123" si="81">C55</f>
        <v>0</v>
      </c>
      <c r="D123" s="479">
        <f t="shared" si="81"/>
        <v>0</v>
      </c>
      <c r="E123" s="862">
        <f>' QUICK OVERVIEW- Inputs&amp;Outputs'!$W$14*0.25</f>
        <v>645350.00022415782</v>
      </c>
      <c r="F123" s="1916">
        <v>0</v>
      </c>
      <c r="G123" s="228">
        <f>E55</f>
        <v>5919504.3959500985</v>
      </c>
      <c r="H123" s="228">
        <f>'Cost-Benefit Tab_Digester'!$I$250*0.25</f>
        <v>131814.93173578498</v>
      </c>
      <c r="I123" s="228">
        <f>'Cost-Benefit Tab_Digester'!$D$250*0.25</f>
        <v>202792.20267043845</v>
      </c>
      <c r="J123" s="1706">
        <v>0</v>
      </c>
      <c r="K123" s="1706">
        <v>0</v>
      </c>
      <c r="L123" s="1706">
        <v>0</v>
      </c>
      <c r="M123" s="1706">
        <v>0</v>
      </c>
      <c r="N123" s="1706">
        <v>0</v>
      </c>
      <c r="O123" s="228">
        <f>'Cost-Benefit Tab_Digester'!$B$147*0.25</f>
        <v>2656462.2719822102</v>
      </c>
      <c r="P123" s="1706">
        <v>0</v>
      </c>
      <c r="Q123" s="228">
        <v>0</v>
      </c>
      <c r="R123" s="228">
        <v>0</v>
      </c>
      <c r="S123" s="1930">
        <f>S120*0.25</f>
        <v>76.848416928231742</v>
      </c>
      <c r="T123" s="1930">
        <f>T120*0.25</f>
        <v>861.17181078107274</v>
      </c>
      <c r="U123" s="1930">
        <f>U120*0.25</f>
        <v>258.22915500896534</v>
      </c>
      <c r="V123" s="2710">
        <f>V120*0.25</f>
        <v>92.744690105155229</v>
      </c>
      <c r="W123" s="2710"/>
      <c r="X123" s="1930">
        <f>X120*0.25</f>
        <v>-432.14608862102114</v>
      </c>
      <c r="Y123" s="1822">
        <v>0</v>
      </c>
      <c r="Z123" s="1822">
        <v>0</v>
      </c>
      <c r="AA123" s="1822">
        <v>0</v>
      </c>
      <c r="AB123" s="1964">
        <f>AB120*0.25</f>
        <v>1255820.8074862962</v>
      </c>
      <c r="AC123" s="1887">
        <f>AC120*0.25</f>
        <v>7057181.2410170715</v>
      </c>
    </row>
    <row r="124" spans="1:29" ht="15.75" thickBot="1" x14ac:dyDescent="0.3">
      <c r="A124" s="84">
        <v>0</v>
      </c>
      <c r="B124" s="1924" t="s">
        <v>824</v>
      </c>
      <c r="C124" s="88">
        <v>0</v>
      </c>
      <c r="D124" s="88">
        <v>0</v>
      </c>
      <c r="E124" s="773">
        <f>' QUICK OVERVIEW- Inputs&amp;Outputs'!$W$14*0</f>
        <v>0</v>
      </c>
      <c r="F124" s="88">
        <v>0</v>
      </c>
      <c r="G124" s="1966">
        <v>0</v>
      </c>
      <c r="H124" s="1966">
        <f>'Cost-Benefit Tab_Digester'!$I$250*0</f>
        <v>0</v>
      </c>
      <c r="I124" s="1966">
        <f>'Cost-Benefit Tab_Digester'!$D$250*0</f>
        <v>0</v>
      </c>
      <c r="J124" s="1967">
        <v>0</v>
      </c>
      <c r="K124" s="1967">
        <v>0</v>
      </c>
      <c r="L124" s="1967">
        <v>0</v>
      </c>
      <c r="M124" s="1967">
        <v>0</v>
      </c>
      <c r="N124" s="1967">
        <v>0</v>
      </c>
      <c r="O124" s="1966">
        <f>'Cost-Benefit Tab_Digester'!$B$147*0</f>
        <v>0</v>
      </c>
      <c r="P124" s="1967">
        <v>0</v>
      </c>
      <c r="Q124" s="1966">
        <v>0</v>
      </c>
      <c r="R124" s="1966">
        <v>0</v>
      </c>
      <c r="S124" s="1558">
        <f t="shared" ref="S124" si="82">S114</f>
        <v>0</v>
      </c>
      <c r="T124" s="1558">
        <v>0</v>
      </c>
      <c r="U124" s="1558">
        <v>0</v>
      </c>
      <c r="V124" s="2713">
        <v>0</v>
      </c>
      <c r="W124" s="2713"/>
      <c r="X124" s="1558">
        <v>0</v>
      </c>
      <c r="Y124" s="1968">
        <v>0</v>
      </c>
      <c r="Z124" s="1968">
        <v>0</v>
      </c>
      <c r="AA124" s="1968">
        <v>0</v>
      </c>
      <c r="AB124" s="1992">
        <f>AB120*0</f>
        <v>0</v>
      </c>
      <c r="AC124" s="1970">
        <f>AC120*0</f>
        <v>0</v>
      </c>
    </row>
    <row r="125" spans="1:29" x14ac:dyDescent="0.25">
      <c r="A125" s="53">
        <v>100</v>
      </c>
      <c r="B125" s="161" t="s">
        <v>825</v>
      </c>
      <c r="C125" s="475">
        <f t="shared" ref="C125:D125" si="83">C44</f>
        <v>0</v>
      </c>
      <c r="D125" s="410">
        <f t="shared" si="83"/>
        <v>0</v>
      </c>
      <c r="E125" s="756">
        <f>' QUICK OVERVIEW- Inputs&amp;Outputs'!$W$14</f>
        <v>2581400.0008966313</v>
      </c>
      <c r="F125" s="475">
        <v>0</v>
      </c>
      <c r="G125" s="557">
        <f>E44</f>
        <v>23678017.583800394</v>
      </c>
      <c r="H125" s="557">
        <f>'Cost-Benefit Tab_Digester'!$I$250</f>
        <v>527259.72694313992</v>
      </c>
      <c r="I125" s="557">
        <f>'Cost-Benefit Tab_Digester'!$D$250</f>
        <v>811168.81068175379</v>
      </c>
      <c r="J125" s="1707">
        <v>0</v>
      </c>
      <c r="K125" s="1707">
        <v>0</v>
      </c>
      <c r="L125" s="1707">
        <v>0</v>
      </c>
      <c r="M125" s="1707">
        <v>0</v>
      </c>
      <c r="N125" s="1707">
        <v>0</v>
      </c>
      <c r="O125" s="557">
        <f>'Cost-Benefit Tab_Digester'!$B$147</f>
        <v>10625849.087928841</v>
      </c>
      <c r="P125" s="1707">
        <v>0</v>
      </c>
      <c r="Q125" s="557">
        <v>0</v>
      </c>
      <c r="R125" s="557">
        <v>0</v>
      </c>
      <c r="S125" s="1931">
        <f>'Emission-Biogas Conversion'!$U$10</f>
        <v>-15.253727278031683</v>
      </c>
      <c r="T125" s="1931">
        <f>'Emission-Biogas Conversion'!$S$10</f>
        <v>82.144545483074637</v>
      </c>
      <c r="U125" s="1931">
        <f>'Emission-Biogas Conversion'!$R$10</f>
        <v>46.934545470805148</v>
      </c>
      <c r="V125" s="2709">
        <f>'Emission-Biogas Conversion'!$T$10</f>
        <v>35.200909103137214</v>
      </c>
      <c r="W125" s="2709"/>
      <c r="X125" s="1931">
        <f>'Emission-Biogas Conversion'!$V$10</f>
        <v>-1824.5804551790177</v>
      </c>
      <c r="Y125" s="1823">
        <v>0</v>
      </c>
      <c r="Z125" s="1823">
        <v>0</v>
      </c>
      <c r="AA125" s="1823">
        <v>0</v>
      </c>
      <c r="AB125" s="1823">
        <f>'Emission-GHG from Biogas Conver'!$R$10</f>
        <v>1702550.6369550053</v>
      </c>
      <c r="AC125" s="1965">
        <f>'Emission-Biogas Conversion'!$R$180+'Emission-GHG from Biogas Conver'!F180</f>
        <v>8720390.5543509424</v>
      </c>
    </row>
    <row r="126" spans="1:29" x14ac:dyDescent="0.25">
      <c r="A126" s="319">
        <v>75</v>
      </c>
      <c r="B126" s="1917" t="s">
        <v>826</v>
      </c>
      <c r="C126" s="1916">
        <f t="shared" ref="C126:D126" si="84">C48</f>
        <v>0</v>
      </c>
      <c r="D126" s="479">
        <f t="shared" si="84"/>
        <v>0</v>
      </c>
      <c r="E126" s="862">
        <f>' QUICK OVERVIEW- Inputs&amp;Outputs'!$W$14*0.75</f>
        <v>1936050.0006724736</v>
      </c>
      <c r="F126" s="1916">
        <v>0</v>
      </c>
      <c r="G126" s="228">
        <f>E48</f>
        <v>17758513.187850296</v>
      </c>
      <c r="H126" s="228">
        <f>'Cost-Benefit Tab_Digester'!$I$250*0.75</f>
        <v>395444.79520735494</v>
      </c>
      <c r="I126" s="228">
        <f>'Cost-Benefit Tab_Digester'!$D$250*0.75</f>
        <v>608376.60801131534</v>
      </c>
      <c r="J126" s="1706">
        <v>0</v>
      </c>
      <c r="K126" s="1706">
        <v>0</v>
      </c>
      <c r="L126" s="1706">
        <v>0</v>
      </c>
      <c r="M126" s="1706">
        <v>0</v>
      </c>
      <c r="N126" s="1706">
        <v>0</v>
      </c>
      <c r="O126" s="228">
        <f>'Cost-Benefit Tab_Digester'!$B$147*0.75</f>
        <v>7969386.8159466311</v>
      </c>
      <c r="P126" s="1706">
        <v>0</v>
      </c>
      <c r="Q126" s="228">
        <v>0</v>
      </c>
      <c r="R126" s="228">
        <v>0</v>
      </c>
      <c r="S126" s="1930">
        <f>S125*0.75</f>
        <v>-11.440295458523762</v>
      </c>
      <c r="T126" s="1930">
        <f>T125*0.75</f>
        <v>61.608409112305978</v>
      </c>
      <c r="U126" s="1930">
        <f>U125*0.75</f>
        <v>35.200909103103861</v>
      </c>
      <c r="V126" s="2710">
        <f>V125*0.75</f>
        <v>26.400681827352912</v>
      </c>
      <c r="W126" s="2710"/>
      <c r="X126" s="1930">
        <f>X125*0.75</f>
        <v>-1368.4353413842632</v>
      </c>
      <c r="Y126" s="1822">
        <v>0</v>
      </c>
      <c r="Z126" s="1822">
        <v>0</v>
      </c>
      <c r="AA126" s="1822">
        <v>0</v>
      </c>
      <c r="AB126" s="1822">
        <f>AB125*0.75</f>
        <v>1276912.9777162541</v>
      </c>
      <c r="AC126" s="1887">
        <f>AC125*0.75</f>
        <v>6540292.9157632068</v>
      </c>
    </row>
    <row r="127" spans="1:29" x14ac:dyDescent="0.25">
      <c r="A127" s="319">
        <v>50</v>
      </c>
      <c r="B127" s="1917" t="s">
        <v>827</v>
      </c>
      <c r="C127" s="1916">
        <f t="shared" ref="C127:D127" si="85">C52</f>
        <v>0</v>
      </c>
      <c r="D127" s="479">
        <f t="shared" si="85"/>
        <v>0</v>
      </c>
      <c r="E127" s="862">
        <f>' QUICK OVERVIEW- Inputs&amp;Outputs'!$W$14*0.5</f>
        <v>1290700.0004483156</v>
      </c>
      <c r="F127" s="1916">
        <v>0</v>
      </c>
      <c r="G127" s="228">
        <f>E52</f>
        <v>11839008.791900197</v>
      </c>
      <c r="H127" s="228">
        <f>'Cost-Benefit Tab_Digester'!$I$250*0.5</f>
        <v>263629.86347156996</v>
      </c>
      <c r="I127" s="228">
        <f>'Cost-Benefit Tab_Digester'!$D$250*0.5</f>
        <v>405584.4053408769</v>
      </c>
      <c r="J127" s="1706">
        <v>0</v>
      </c>
      <c r="K127" s="1706">
        <v>0</v>
      </c>
      <c r="L127" s="1706">
        <v>0</v>
      </c>
      <c r="M127" s="1706">
        <v>0</v>
      </c>
      <c r="N127" s="1706">
        <v>0</v>
      </c>
      <c r="O127" s="228">
        <f>'Cost-Benefit Tab_Digester'!$B$147*0.5</f>
        <v>5312924.5439644204</v>
      </c>
      <c r="P127" s="1706">
        <v>0</v>
      </c>
      <c r="Q127" s="228">
        <v>0</v>
      </c>
      <c r="R127" s="228">
        <v>0</v>
      </c>
      <c r="S127" s="1930">
        <f>S125*0.5</f>
        <v>-7.6268636390158413</v>
      </c>
      <c r="T127" s="1930">
        <f>T125*0.5</f>
        <v>41.072272741537319</v>
      </c>
      <c r="U127" s="1930">
        <f>U125*0.5</f>
        <v>23.467272735402574</v>
      </c>
      <c r="V127" s="2710">
        <f>V125*0.5</f>
        <v>17.600454551568607</v>
      </c>
      <c r="W127" s="2710"/>
      <c r="X127" s="1930">
        <f>X125*0.5</f>
        <v>-912.29022758950885</v>
      </c>
      <c r="Y127" s="1822">
        <v>0</v>
      </c>
      <c r="Z127" s="1822">
        <v>0</v>
      </c>
      <c r="AA127" s="1822">
        <v>0</v>
      </c>
      <c r="AB127" s="1822">
        <f>AB125*0.5</f>
        <v>851275.31847750267</v>
      </c>
      <c r="AC127" s="1887">
        <f>AC125*0.5</f>
        <v>4360195.2771754712</v>
      </c>
    </row>
    <row r="128" spans="1:29" x14ac:dyDescent="0.25">
      <c r="A128" s="319">
        <v>25</v>
      </c>
      <c r="B128" s="1917" t="s">
        <v>828</v>
      </c>
      <c r="C128" s="1916">
        <f t="shared" ref="C128:D128" si="86">C56</f>
        <v>0</v>
      </c>
      <c r="D128" s="479">
        <f t="shared" si="86"/>
        <v>0</v>
      </c>
      <c r="E128" s="862">
        <f>' QUICK OVERVIEW- Inputs&amp;Outputs'!$W$14*0.25</f>
        <v>645350.00022415782</v>
      </c>
      <c r="F128" s="1916">
        <v>0</v>
      </c>
      <c r="G128" s="228">
        <f>E56</f>
        <v>5919504.3959500985</v>
      </c>
      <c r="H128" s="228">
        <f>'Cost-Benefit Tab_Digester'!$I$250*0.25</f>
        <v>131814.93173578498</v>
      </c>
      <c r="I128" s="228">
        <f>'Cost-Benefit Tab_Digester'!$D$250*0.25</f>
        <v>202792.20267043845</v>
      </c>
      <c r="J128" s="1706">
        <v>0</v>
      </c>
      <c r="K128" s="1706">
        <v>0</v>
      </c>
      <c r="L128" s="1706">
        <v>0</v>
      </c>
      <c r="M128" s="1706">
        <v>0</v>
      </c>
      <c r="N128" s="1706">
        <v>0</v>
      </c>
      <c r="O128" s="228">
        <f>'Cost-Benefit Tab_Digester'!$B$147*0.25</f>
        <v>2656462.2719822102</v>
      </c>
      <c r="P128" s="1706">
        <v>0</v>
      </c>
      <c r="Q128" s="228">
        <v>0</v>
      </c>
      <c r="R128" s="228">
        <v>0</v>
      </c>
      <c r="S128" s="1930">
        <f>S125*0.25</f>
        <v>-3.8134318195079207</v>
      </c>
      <c r="T128" s="1930">
        <f>T125*0.25</f>
        <v>20.536136370768659</v>
      </c>
      <c r="U128" s="1930">
        <f>U125*0.25</f>
        <v>11.733636367701287</v>
      </c>
      <c r="V128" s="2710">
        <f>V125*0.25</f>
        <v>8.8002272757843034</v>
      </c>
      <c r="W128" s="2710"/>
      <c r="X128" s="1930">
        <f>X125*0.25</f>
        <v>-456.14511379475442</v>
      </c>
      <c r="Y128" s="1822">
        <v>0</v>
      </c>
      <c r="Z128" s="1822">
        <v>0</v>
      </c>
      <c r="AA128" s="1822">
        <v>0</v>
      </c>
      <c r="AB128" s="1822">
        <f>AB125*0.25</f>
        <v>425637.65923875134</v>
      </c>
      <c r="AC128" s="1887">
        <f>AC125*0.25</f>
        <v>2180097.6385877356</v>
      </c>
    </row>
    <row r="129" spans="1:29" ht="15.75" thickBot="1" x14ac:dyDescent="0.3">
      <c r="A129" s="960">
        <v>0</v>
      </c>
      <c r="B129" s="1925" t="s">
        <v>829</v>
      </c>
      <c r="C129" s="1002">
        <v>0</v>
      </c>
      <c r="D129" s="1002">
        <v>0</v>
      </c>
      <c r="E129" s="524">
        <f>' QUICK OVERVIEW- Inputs&amp;Outputs'!$W$14*0</f>
        <v>0</v>
      </c>
      <c r="F129" s="1002">
        <v>0</v>
      </c>
      <c r="G129" s="156">
        <v>0</v>
      </c>
      <c r="H129" s="156">
        <f>'Cost-Benefit Tab_Digester'!$I$250*0</f>
        <v>0</v>
      </c>
      <c r="I129" s="156">
        <f>'Cost-Benefit Tab_Digester'!$D$250*0</f>
        <v>0</v>
      </c>
      <c r="J129" s="1708">
        <v>0</v>
      </c>
      <c r="K129" s="1708">
        <v>0</v>
      </c>
      <c r="L129" s="1708">
        <v>0</v>
      </c>
      <c r="M129" s="1708">
        <v>0</v>
      </c>
      <c r="N129" s="1708">
        <v>0</v>
      </c>
      <c r="O129" s="156">
        <f>'Cost-Benefit Tab_Digester'!$B$147*0</f>
        <v>0</v>
      </c>
      <c r="P129" s="1708">
        <v>0</v>
      </c>
      <c r="Q129" s="156">
        <v>0</v>
      </c>
      <c r="R129" s="156">
        <v>0</v>
      </c>
      <c r="S129" s="1932">
        <v>0</v>
      </c>
      <c r="T129" s="1932">
        <v>0</v>
      </c>
      <c r="U129" s="1932">
        <v>0</v>
      </c>
      <c r="V129" s="2711">
        <v>0</v>
      </c>
      <c r="W129" s="2711"/>
      <c r="X129" s="1932">
        <v>0</v>
      </c>
      <c r="Y129" s="1825">
        <v>0</v>
      </c>
      <c r="Z129" s="1825">
        <v>0</v>
      </c>
      <c r="AA129" s="1825">
        <v>0</v>
      </c>
      <c r="AB129" s="1825">
        <f>AB125*0</f>
        <v>0</v>
      </c>
      <c r="AC129" s="1888">
        <f>AC125*0</f>
        <v>0</v>
      </c>
    </row>
    <row r="130" spans="1:29" ht="15.75" thickBot="1" x14ac:dyDescent="0.3">
      <c r="G130"/>
      <c r="H130" s="3"/>
      <c r="I130" s="1624"/>
    </row>
    <row r="131" spans="1:29" ht="65.25" customHeight="1" x14ac:dyDescent="0.25">
      <c r="A131" s="1953" t="s">
        <v>767</v>
      </c>
      <c r="B131" s="1954" t="s">
        <v>725</v>
      </c>
      <c r="C131" s="1954" t="s">
        <v>773</v>
      </c>
      <c r="D131" s="1954" t="s">
        <v>772</v>
      </c>
      <c r="E131" s="1954" t="s">
        <v>1708</v>
      </c>
      <c r="F131" s="1954" t="s">
        <v>1711</v>
      </c>
      <c r="G131" s="1954" t="s">
        <v>1550</v>
      </c>
      <c r="H131" s="1954" t="s">
        <v>1616</v>
      </c>
      <c r="I131" s="1954" t="s">
        <v>1615</v>
      </c>
      <c r="J131" s="1955" t="s">
        <v>1768</v>
      </c>
      <c r="K131" s="1955" t="s">
        <v>1769</v>
      </c>
      <c r="L131" s="1955" t="s">
        <v>1770</v>
      </c>
      <c r="M131" s="1955" t="s">
        <v>1611</v>
      </c>
      <c r="N131" s="1955" t="s">
        <v>1612</v>
      </c>
      <c r="O131" s="1955" t="s">
        <v>1613</v>
      </c>
      <c r="P131" s="1955" t="s">
        <v>1614</v>
      </c>
      <c r="Q131" s="1956" t="s">
        <v>1771</v>
      </c>
      <c r="R131" s="1956" t="s">
        <v>1772</v>
      </c>
      <c r="S131" s="1954" t="s">
        <v>20</v>
      </c>
      <c r="T131" s="1954" t="s">
        <v>21</v>
      </c>
      <c r="U131" s="1954" t="s">
        <v>79</v>
      </c>
      <c r="V131" s="1954" t="s">
        <v>1715</v>
      </c>
      <c r="W131" s="1954" t="s">
        <v>1716</v>
      </c>
      <c r="X131" s="1954" t="s">
        <v>19</v>
      </c>
      <c r="Y131" s="1954" t="s">
        <v>1187</v>
      </c>
      <c r="Z131" s="1954" t="s">
        <v>1192</v>
      </c>
      <c r="AA131" s="1954" t="s">
        <v>1529</v>
      </c>
      <c r="AB131" s="1954" t="s">
        <v>392</v>
      </c>
      <c r="AC131" s="1957" t="s">
        <v>1845</v>
      </c>
    </row>
    <row r="132" spans="1:29" x14ac:dyDescent="0.25">
      <c r="A132" s="1834">
        <v>100</v>
      </c>
      <c r="B132" s="1832" t="s">
        <v>830</v>
      </c>
      <c r="C132" s="1832">
        <f t="shared" ref="C132:D132" si="87">C59</f>
        <v>0</v>
      </c>
      <c r="D132" s="1832">
        <f t="shared" si="87"/>
        <v>0</v>
      </c>
      <c r="E132" s="1832">
        <v>0</v>
      </c>
      <c r="F132" s="1832">
        <f>'Cost-Benefit Tab_Digester'!$B$263</f>
        <v>3783.6908164383563</v>
      </c>
      <c r="G132" s="1832">
        <f>E59</f>
        <v>11462088.534023097</v>
      </c>
      <c r="H132" s="1832">
        <v>0</v>
      </c>
      <c r="I132" s="1832">
        <v>0</v>
      </c>
      <c r="J132" s="1832">
        <v>0</v>
      </c>
      <c r="K132" s="1832">
        <v>0</v>
      </c>
      <c r="L132" s="1832">
        <v>0</v>
      </c>
      <c r="M132" s="1832">
        <v>0</v>
      </c>
      <c r="N132" s="1832">
        <v>0</v>
      </c>
      <c r="O132" s="1832">
        <f>'Cost-Benefit Tab_Digester'!$B$147</f>
        <v>10625849.087928841</v>
      </c>
      <c r="P132" s="1832">
        <v>0</v>
      </c>
      <c r="Q132" s="1832">
        <v>0</v>
      </c>
      <c r="R132" s="1832">
        <v>0</v>
      </c>
      <c r="S132" s="1832">
        <f>'Emission-Combustion Pipeline NG'!$S$6</f>
        <v>58.50241358046182</v>
      </c>
      <c r="T132" s="1832">
        <f>'Emission-Combustion Pipeline NG'!$Q$6</f>
        <v>1127.1841971098338</v>
      </c>
      <c r="U132" s="1832">
        <f>'Emission-Combustion Pipeline NG'!$P$6</f>
        <v>-417.75588762863032</v>
      </c>
      <c r="V132" s="1832">
        <f>'Emission-Combustion Pipeline NG'!$T$6/2</f>
        <v>-15.598966918853058</v>
      </c>
      <c r="W132" s="1832">
        <f>'Emission-Combustion Pipeline NG'!$T$6/2</f>
        <v>-15.598966918853058</v>
      </c>
      <c r="X132" s="1832">
        <f>'Emission-Combustion Pipeline NG'!$R$6</f>
        <v>-16319.048682906454</v>
      </c>
      <c r="Y132" s="1832">
        <f>'Emission-Combustion Pipeline NG'!$W$6</f>
        <v>0</v>
      </c>
      <c r="Z132" s="1832">
        <f>'Emission-Combustion Pipeline NG'!$V$6</f>
        <v>-201959.47891733114</v>
      </c>
      <c r="AA132" s="1832">
        <f>'Emission-Combustion Pipeline NG'!$U$6</f>
        <v>29.521490876686123</v>
      </c>
      <c r="AB132" s="1832">
        <f>'Emission-Combustion Pipeline NG'!$X$6</f>
        <v>-193162.07463607867</v>
      </c>
      <c r="AC132" s="1887">
        <f>'Emission-Combustion Pipeline NG'!$X$15</f>
        <v>-8804352.007604152</v>
      </c>
    </row>
    <row r="133" spans="1:29" x14ac:dyDescent="0.25">
      <c r="A133" s="1834">
        <v>75</v>
      </c>
      <c r="B133" s="1832" t="s">
        <v>831</v>
      </c>
      <c r="C133" s="1832">
        <f t="shared" ref="C133:D133" si="88">C60</f>
        <v>0</v>
      </c>
      <c r="D133" s="1832">
        <f t="shared" si="88"/>
        <v>0</v>
      </c>
      <c r="E133" s="1832">
        <v>0</v>
      </c>
      <c r="F133" s="1832">
        <f>'Cost-Benefit Tab_Digester'!$B$263*0.75</f>
        <v>2837.7681123287671</v>
      </c>
      <c r="G133" s="1832">
        <f>E60</f>
        <v>8596566.4005173221</v>
      </c>
      <c r="H133" s="1832">
        <v>0</v>
      </c>
      <c r="I133" s="1832">
        <v>0</v>
      </c>
      <c r="J133" s="1832">
        <v>0</v>
      </c>
      <c r="K133" s="1832">
        <v>0</v>
      </c>
      <c r="L133" s="1832">
        <v>0</v>
      </c>
      <c r="M133" s="1832">
        <v>0</v>
      </c>
      <c r="N133" s="1832">
        <v>0</v>
      </c>
      <c r="O133" s="1832">
        <f>'Cost-Benefit Tab_Digester'!$B$147*0.75</f>
        <v>7969386.8159466311</v>
      </c>
      <c r="P133" s="1832">
        <v>0</v>
      </c>
      <c r="Q133" s="1832">
        <v>0</v>
      </c>
      <c r="R133" s="1832">
        <v>0</v>
      </c>
      <c r="S133" s="1832">
        <f>S132*0.75</f>
        <v>43.876810185346365</v>
      </c>
      <c r="T133" s="1832">
        <f t="shared" ref="T133:AA133" si="89">T132*0.75</f>
        <v>845.38814783237535</v>
      </c>
      <c r="U133" s="1832">
        <f t="shared" si="89"/>
        <v>-313.31691572147275</v>
      </c>
      <c r="V133" s="1832">
        <f t="shared" si="89"/>
        <v>-11.699225189139794</v>
      </c>
      <c r="W133" s="1832">
        <f t="shared" si="89"/>
        <v>-11.699225189139794</v>
      </c>
      <c r="X133" s="1832">
        <f t="shared" si="89"/>
        <v>-12239.28651217984</v>
      </c>
      <c r="Y133" s="1832">
        <f t="shared" si="89"/>
        <v>0</v>
      </c>
      <c r="Z133" s="1832">
        <f t="shared" si="89"/>
        <v>-151469.60918799834</v>
      </c>
      <c r="AA133" s="1832">
        <f t="shared" si="89"/>
        <v>22.14111815751459</v>
      </c>
      <c r="AB133" s="1832">
        <f>'Emission-Combustion Pipeline NG'!$X$6*0.75</f>
        <v>-144871.555977059</v>
      </c>
      <c r="AC133" s="1887">
        <f>'Emission-Combustion Pipeline NG'!$X$15*0.75</f>
        <v>-6603264.005703114</v>
      </c>
    </row>
    <row r="134" spans="1:29" x14ac:dyDescent="0.25">
      <c r="A134" s="1834">
        <v>50</v>
      </c>
      <c r="B134" s="1832" t="s">
        <v>832</v>
      </c>
      <c r="C134" s="1832">
        <f t="shared" ref="C134:D134" si="90">C61</f>
        <v>0</v>
      </c>
      <c r="D134" s="1832">
        <f t="shared" si="90"/>
        <v>0</v>
      </c>
      <c r="E134" s="1832">
        <v>0</v>
      </c>
      <c r="F134" s="1832">
        <f>'Cost-Benefit Tab_Digester'!$B$263*0.5</f>
        <v>1891.8454082191781</v>
      </c>
      <c r="G134" s="1832">
        <f>E61</f>
        <v>5731044.2670115484</v>
      </c>
      <c r="H134" s="1832">
        <v>0</v>
      </c>
      <c r="I134" s="1832">
        <v>0</v>
      </c>
      <c r="J134" s="1832">
        <v>0</v>
      </c>
      <c r="K134" s="1832">
        <v>0</v>
      </c>
      <c r="L134" s="1832">
        <v>0</v>
      </c>
      <c r="M134" s="1832">
        <v>0</v>
      </c>
      <c r="N134" s="1832">
        <v>0</v>
      </c>
      <c r="O134" s="1832">
        <f>'Cost-Benefit Tab_Digester'!$B$147*0.5</f>
        <v>5312924.5439644204</v>
      </c>
      <c r="P134" s="1832">
        <v>0</v>
      </c>
      <c r="Q134" s="1832">
        <v>0</v>
      </c>
      <c r="R134" s="1832">
        <v>0</v>
      </c>
      <c r="S134" s="1832">
        <f>S132*0.5</f>
        <v>29.25120679023091</v>
      </c>
      <c r="T134" s="1832">
        <f t="shared" ref="T134:AA134" si="91">T132*0.5</f>
        <v>563.5920985549169</v>
      </c>
      <c r="U134" s="1832">
        <f t="shared" si="91"/>
        <v>-208.87794381431516</v>
      </c>
      <c r="V134" s="1832">
        <f t="shared" si="91"/>
        <v>-7.7994834594265292</v>
      </c>
      <c r="W134" s="1832">
        <f t="shared" si="91"/>
        <v>-7.7994834594265292</v>
      </c>
      <c r="X134" s="1832">
        <f t="shared" si="91"/>
        <v>-8159.524341453227</v>
      </c>
      <c r="Y134" s="1832">
        <f t="shared" si="91"/>
        <v>0</v>
      </c>
      <c r="Z134" s="1832">
        <f t="shared" si="91"/>
        <v>-100979.73945866557</v>
      </c>
      <c r="AA134" s="1832">
        <f t="shared" si="91"/>
        <v>14.760745438343061</v>
      </c>
      <c r="AB134" s="1832">
        <f>'Emission-Combustion Pipeline NG'!$X$6*0.5</f>
        <v>-96581.037318039336</v>
      </c>
      <c r="AC134" s="1887">
        <f>'Emission-Combustion Pipeline NG'!$X$15*0.5</f>
        <v>-4402176.003802076</v>
      </c>
    </row>
    <row r="135" spans="1:29" x14ac:dyDescent="0.25">
      <c r="A135" s="1834">
        <v>25</v>
      </c>
      <c r="B135" s="1832" t="s">
        <v>833</v>
      </c>
      <c r="C135" s="1832">
        <f t="shared" ref="C135:D135" si="92">C62</f>
        <v>0</v>
      </c>
      <c r="D135" s="1832">
        <f t="shared" si="92"/>
        <v>0</v>
      </c>
      <c r="E135" s="1832">
        <v>0</v>
      </c>
      <c r="F135" s="1832">
        <f>'Cost-Benefit Tab_Digester'!$B$263*0.25</f>
        <v>945.92270410958906</v>
      </c>
      <c r="G135" s="1832">
        <f>E62</f>
        <v>2865522.1335057742</v>
      </c>
      <c r="H135" s="1832">
        <v>0</v>
      </c>
      <c r="I135" s="1832">
        <v>0</v>
      </c>
      <c r="J135" s="1832">
        <v>0</v>
      </c>
      <c r="K135" s="1832">
        <v>0</v>
      </c>
      <c r="L135" s="1832">
        <v>0</v>
      </c>
      <c r="M135" s="1832">
        <v>0</v>
      </c>
      <c r="N135" s="1832">
        <v>0</v>
      </c>
      <c r="O135" s="1832">
        <f>'Cost-Benefit Tab_Digester'!$B$147*0.25</f>
        <v>2656462.2719822102</v>
      </c>
      <c r="P135" s="1832">
        <v>0</v>
      </c>
      <c r="Q135" s="1832">
        <v>0</v>
      </c>
      <c r="R135" s="1832">
        <v>0</v>
      </c>
      <c r="S135" s="1832">
        <f>S132*0.25</f>
        <v>14.625603395115455</v>
      </c>
      <c r="T135" s="1832">
        <f t="shared" ref="T135:AA135" si="93">T132*0.25</f>
        <v>281.79604927745845</v>
      </c>
      <c r="U135" s="1832">
        <f t="shared" si="93"/>
        <v>-104.43897190715758</v>
      </c>
      <c r="V135" s="1832">
        <f t="shared" si="93"/>
        <v>-3.8997417297132646</v>
      </c>
      <c r="W135" s="1832">
        <f t="shared" si="93"/>
        <v>-3.8997417297132646</v>
      </c>
      <c r="X135" s="1832">
        <f t="shared" si="93"/>
        <v>-4079.7621707266135</v>
      </c>
      <c r="Y135" s="1832">
        <f t="shared" si="93"/>
        <v>0</v>
      </c>
      <c r="Z135" s="1832">
        <f t="shared" si="93"/>
        <v>-50489.869729332786</v>
      </c>
      <c r="AA135" s="1832">
        <f t="shared" si="93"/>
        <v>7.3803727191715307</v>
      </c>
      <c r="AB135" s="1832">
        <f>'Emission-Combustion Pipeline NG'!$X$6*0.25</f>
        <v>-48290.518659019668</v>
      </c>
      <c r="AC135" s="1887">
        <f>'Emission-Combustion Pipeline NG'!$X$15*0.25</f>
        <v>-2201088.001901038</v>
      </c>
    </row>
    <row r="136" spans="1:29" ht="15.75" thickBot="1" x14ac:dyDescent="0.3">
      <c r="A136" s="1835">
        <v>0</v>
      </c>
      <c r="B136" s="1833" t="s">
        <v>834</v>
      </c>
      <c r="C136" s="1833">
        <f t="shared" ref="C136:D136" si="94">C63</f>
        <v>0</v>
      </c>
      <c r="D136" s="1833">
        <f t="shared" si="94"/>
        <v>0</v>
      </c>
      <c r="E136" s="1833">
        <v>0</v>
      </c>
      <c r="F136" s="1833">
        <f>'Cost-Benefit Tab_Digester'!$B$263*0</f>
        <v>0</v>
      </c>
      <c r="G136" s="1833">
        <f>E63</f>
        <v>0</v>
      </c>
      <c r="H136" s="1833">
        <v>0</v>
      </c>
      <c r="I136" s="1833">
        <v>0</v>
      </c>
      <c r="J136" s="1833">
        <v>0</v>
      </c>
      <c r="K136" s="1833">
        <v>0</v>
      </c>
      <c r="L136" s="1833">
        <v>0</v>
      </c>
      <c r="M136" s="1833">
        <v>0</v>
      </c>
      <c r="N136" s="1833">
        <v>0</v>
      </c>
      <c r="O136" s="1833">
        <v>0</v>
      </c>
      <c r="P136" s="1833">
        <v>0</v>
      </c>
      <c r="Q136" s="1833">
        <v>0</v>
      </c>
      <c r="R136" s="1833">
        <v>0</v>
      </c>
      <c r="S136" s="1836">
        <v>0</v>
      </c>
      <c r="T136" s="1836">
        <v>0</v>
      </c>
      <c r="U136" s="1836">
        <v>0</v>
      </c>
      <c r="V136" s="1836">
        <v>0</v>
      </c>
      <c r="W136" s="1836">
        <v>0</v>
      </c>
      <c r="X136" s="1836">
        <v>0</v>
      </c>
      <c r="Y136" s="1836">
        <v>0</v>
      </c>
      <c r="Z136" s="1836">
        <v>0</v>
      </c>
      <c r="AA136" s="1836">
        <v>0</v>
      </c>
      <c r="AB136" s="1832">
        <f>'Emission-Combustion Pipeline NG'!$X$6*0</f>
        <v>0</v>
      </c>
      <c r="AC136" s="1888">
        <f>'Emission-Combustion Pipeline NG'!$X$15*0</f>
        <v>0</v>
      </c>
    </row>
  </sheetData>
  <mergeCells count="33">
    <mergeCell ref="A53:A56"/>
    <mergeCell ref="A49:A52"/>
    <mergeCell ref="A45:A48"/>
    <mergeCell ref="A41:A44"/>
    <mergeCell ref="A35:A38"/>
    <mergeCell ref="A27:A30"/>
    <mergeCell ref="A23:A26"/>
    <mergeCell ref="A31:A34"/>
    <mergeCell ref="A1:E2"/>
    <mergeCell ref="A5:A8"/>
    <mergeCell ref="A9:A12"/>
    <mergeCell ref="A13:A16"/>
    <mergeCell ref="A17:A20"/>
    <mergeCell ref="V110:W110"/>
    <mergeCell ref="V111:W111"/>
    <mergeCell ref="V112:W112"/>
    <mergeCell ref="V113:W113"/>
    <mergeCell ref="V114:W114"/>
    <mergeCell ref="V115:W115"/>
    <mergeCell ref="V116:W116"/>
    <mergeCell ref="V117:W117"/>
    <mergeCell ref="V118:W118"/>
    <mergeCell ref="V119:W119"/>
    <mergeCell ref="V120:W120"/>
    <mergeCell ref="V121:W121"/>
    <mergeCell ref="V122:W122"/>
    <mergeCell ref="V123:W123"/>
    <mergeCell ref="V124:W124"/>
    <mergeCell ref="V125:W125"/>
    <mergeCell ref="V126:W126"/>
    <mergeCell ref="V127:W127"/>
    <mergeCell ref="V128:W128"/>
    <mergeCell ref="V129:W129"/>
  </mergeCells>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47F91-A835-4ECE-A7EB-2883F0D6A29B}">
  <sheetPr codeName="Sheet15"/>
  <dimension ref="A1:AB803"/>
  <sheetViews>
    <sheetView topLeftCell="C82" zoomScale="84" zoomScaleNormal="84" workbookViewId="0">
      <selection activeCell="N33" sqref="N33:N83"/>
    </sheetView>
  </sheetViews>
  <sheetFormatPr defaultRowHeight="15" x14ac:dyDescent="0.25"/>
  <cols>
    <col min="1" max="1" width="88.140625" customWidth="1"/>
    <col min="2" max="2" width="21.42578125" customWidth="1"/>
    <col min="3" max="3" width="11.5703125" customWidth="1"/>
    <col min="4" max="4" width="13" customWidth="1"/>
    <col min="5" max="5" width="11" customWidth="1"/>
    <col min="6" max="6" width="11.5703125" customWidth="1"/>
    <col min="7" max="7" width="12.140625" customWidth="1"/>
    <col min="8" max="8" width="11.7109375" customWidth="1"/>
    <col min="9" max="9" width="12.7109375" customWidth="1"/>
    <col min="10" max="10" width="12" customWidth="1"/>
    <col min="11" max="11" width="14.5703125" customWidth="1"/>
    <col min="12" max="12" width="13.28515625" customWidth="1"/>
    <col min="13" max="13" width="12.42578125" customWidth="1"/>
    <col min="14" max="14" width="14.28515625" customWidth="1"/>
    <col min="15" max="15" width="12.28515625" customWidth="1"/>
    <col min="16" max="16" width="12.42578125" customWidth="1"/>
    <col min="17" max="17" width="13.5703125" customWidth="1"/>
    <col min="18" max="18" width="12.140625" customWidth="1"/>
    <col min="19" max="19" width="14.85546875" customWidth="1"/>
    <col min="20" max="20" width="14.7109375" customWidth="1"/>
    <col min="21" max="21" width="10.42578125" customWidth="1"/>
    <col min="22" max="22" width="10.5703125" customWidth="1"/>
    <col min="23" max="23" width="11.28515625" customWidth="1"/>
    <col min="24" max="24" width="10.85546875" customWidth="1"/>
    <col min="25" max="25" width="10.5703125" customWidth="1"/>
    <col min="26" max="26" width="11.42578125" customWidth="1"/>
    <col min="27" max="27" width="17.140625" customWidth="1"/>
  </cols>
  <sheetData>
    <row r="1" spans="1:21" ht="45" customHeight="1" thickBot="1" x14ac:dyDescent="0.3">
      <c r="A1" s="2729" t="s">
        <v>1163</v>
      </c>
      <c r="B1" s="2730"/>
      <c r="C1" s="2730"/>
      <c r="D1" s="2730"/>
      <c r="E1" s="2730"/>
      <c r="F1" s="2730"/>
      <c r="G1" s="2730"/>
      <c r="H1" s="2730"/>
      <c r="I1" s="2730"/>
      <c r="J1" s="2730"/>
      <c r="K1" s="2730"/>
      <c r="L1" s="2730"/>
      <c r="M1" s="2730"/>
      <c r="N1" s="2730"/>
      <c r="O1" s="2730"/>
      <c r="P1" s="2730"/>
      <c r="Q1" s="2730"/>
      <c r="R1" s="2730"/>
      <c r="S1" s="2730"/>
      <c r="T1" s="2730"/>
      <c r="U1" s="2731"/>
    </row>
    <row r="2" spans="1:21" s="230" customFormat="1" ht="45" customHeight="1" thickBot="1" x14ac:dyDescent="0.3">
      <c r="A2" s="2319" t="s">
        <v>1136</v>
      </c>
      <c r="B2" s="2478"/>
      <c r="C2" s="2478"/>
      <c r="D2" s="2478"/>
      <c r="E2" s="2478"/>
      <c r="F2" s="2478"/>
      <c r="G2" s="2478"/>
      <c r="H2" s="2478"/>
      <c r="I2" s="2478"/>
      <c r="J2" s="2478"/>
      <c r="K2" s="2478"/>
      <c r="L2" s="2478"/>
      <c r="M2" s="2478"/>
      <c r="N2" s="2478"/>
      <c r="O2" s="2478"/>
      <c r="P2" s="2478"/>
      <c r="Q2" s="2478"/>
      <c r="R2" s="2478"/>
      <c r="S2" s="2478"/>
      <c r="T2" s="2478"/>
      <c r="U2" s="2320"/>
    </row>
    <row r="3" spans="1:21" ht="29.25" customHeight="1" thickBot="1" x14ac:dyDescent="0.3">
      <c r="A3" s="2741" t="s">
        <v>91</v>
      </c>
      <c r="B3" s="2741" t="s">
        <v>101</v>
      </c>
      <c r="C3" s="2744" t="s">
        <v>1312</v>
      </c>
      <c r="D3" s="2636"/>
      <c r="E3" s="2636"/>
      <c r="F3" s="2636"/>
      <c r="G3" s="2636"/>
      <c r="H3" s="2636"/>
      <c r="I3" s="2636"/>
      <c r="J3" s="2636"/>
      <c r="K3" s="2745"/>
      <c r="L3" s="2746" t="s">
        <v>89</v>
      </c>
      <c r="M3" s="2747"/>
      <c r="N3" s="2747"/>
      <c r="O3" s="2747"/>
      <c r="P3" s="2747"/>
      <c r="Q3" s="2747"/>
      <c r="R3" s="2747"/>
      <c r="S3" s="2747"/>
      <c r="T3" s="2747"/>
      <c r="U3" s="2748"/>
    </row>
    <row r="4" spans="1:21" ht="18" x14ac:dyDescent="0.25">
      <c r="A4" s="2742"/>
      <c r="B4" s="2743"/>
      <c r="C4" s="635" t="s">
        <v>20</v>
      </c>
      <c r="D4" s="714" t="s">
        <v>21</v>
      </c>
      <c r="E4" s="714" t="s">
        <v>438</v>
      </c>
      <c r="F4" s="714" t="s">
        <v>439</v>
      </c>
      <c r="G4" s="714" t="s">
        <v>440</v>
      </c>
      <c r="H4" s="714" t="s">
        <v>441</v>
      </c>
      <c r="I4" s="714" t="s">
        <v>76</v>
      </c>
      <c r="J4" s="714" t="s">
        <v>77</v>
      </c>
      <c r="K4" s="281" t="s">
        <v>78</v>
      </c>
      <c r="L4" s="805" t="s">
        <v>20</v>
      </c>
      <c r="M4" s="748" t="s">
        <v>21</v>
      </c>
      <c r="N4" s="748" t="s">
        <v>79</v>
      </c>
      <c r="O4" s="748" t="s">
        <v>439</v>
      </c>
      <c r="P4" s="748" t="s">
        <v>440</v>
      </c>
      <c r="Q4" s="748" t="s">
        <v>19</v>
      </c>
      <c r="R4" s="748" t="s">
        <v>76</v>
      </c>
      <c r="S4" s="748" t="s">
        <v>77</v>
      </c>
      <c r="T4" s="749" t="s">
        <v>78</v>
      </c>
      <c r="U4" s="812" t="s">
        <v>1226</v>
      </c>
    </row>
    <row r="5" spans="1:21" ht="16.5" customHeight="1" x14ac:dyDescent="0.25">
      <c r="A5" s="606" t="s">
        <v>1061</v>
      </c>
      <c r="B5" s="590">
        <f>('Cost-Benefit Tab_Digester'!X6)</f>
        <v>0</v>
      </c>
      <c r="C5" s="249">
        <v>0.23</v>
      </c>
      <c r="D5" s="87">
        <v>0.93</v>
      </c>
      <c r="E5" s="87">
        <v>1.95</v>
      </c>
      <c r="F5" s="591">
        <f>75.19/1000</f>
        <v>7.5189999999999993E-2</v>
      </c>
      <c r="G5" s="591">
        <f>63.5/1000</f>
        <v>6.3500000000000001E-2</v>
      </c>
      <c r="H5" s="87">
        <v>0.35</v>
      </c>
      <c r="I5" s="87">
        <v>2.63</v>
      </c>
      <c r="J5" s="87">
        <f>2.12*1000</f>
        <v>2120</v>
      </c>
      <c r="K5" s="592">
        <f>7.58/1000</f>
        <v>7.5799999999999999E-3</v>
      </c>
      <c r="L5" s="589">
        <f>(C5*$B5)/1000</f>
        <v>0</v>
      </c>
      <c r="M5" s="588">
        <f t="shared" ref="L5:T9" si="0">(D5*$B5)/1000</f>
        <v>0</v>
      </c>
      <c r="N5" s="588">
        <f t="shared" si="0"/>
        <v>0</v>
      </c>
      <c r="O5" s="588">
        <f t="shared" si="0"/>
        <v>0</v>
      </c>
      <c r="P5" s="588">
        <f t="shared" si="0"/>
        <v>0</v>
      </c>
      <c r="Q5" s="588">
        <f t="shared" si="0"/>
        <v>0</v>
      </c>
      <c r="R5" s="588">
        <f>(I5*$B5)/1000</f>
        <v>0</v>
      </c>
      <c r="S5" s="588">
        <f t="shared" si="0"/>
        <v>0</v>
      </c>
      <c r="T5" s="810">
        <f t="shared" si="0"/>
        <v>0</v>
      </c>
      <c r="U5" s="813">
        <f>S5+(R5*28)+(T5*298)</f>
        <v>0</v>
      </c>
    </row>
    <row r="6" spans="1:21" s="230" customFormat="1" ht="16.5" customHeight="1" x14ac:dyDescent="0.25">
      <c r="A6" s="606" t="s">
        <v>1773</v>
      </c>
      <c r="B6" s="590">
        <f>('Cost-Benefit Tab_Digester'!X8)</f>
        <v>0</v>
      </c>
      <c r="C6" s="249">
        <v>0.35</v>
      </c>
      <c r="D6" s="87">
        <v>23.93</v>
      </c>
      <c r="E6" s="87">
        <v>2.09</v>
      </c>
      <c r="F6" s="591">
        <v>5.178E-2</v>
      </c>
      <c r="G6" s="591">
        <v>4.1750000000000002E-2</v>
      </c>
      <c r="H6" s="87">
        <v>0.47</v>
      </c>
      <c r="I6" s="87">
        <v>17.32</v>
      </c>
      <c r="J6" s="87">
        <v>1770</v>
      </c>
      <c r="K6" s="592">
        <v>4.3459999999999999E-2</v>
      </c>
      <c r="L6" s="589">
        <f>(C6*$B6)/1000</f>
        <v>0</v>
      </c>
      <c r="M6" s="588">
        <f>(D6*$B6)/1000</f>
        <v>0</v>
      </c>
      <c r="N6" s="588">
        <f t="shared" si="0"/>
        <v>0</v>
      </c>
      <c r="O6" s="588">
        <f t="shared" si="0"/>
        <v>0</v>
      </c>
      <c r="P6" s="588">
        <f t="shared" si="0"/>
        <v>0</v>
      </c>
      <c r="Q6" s="588">
        <f t="shared" si="0"/>
        <v>0</v>
      </c>
      <c r="R6" s="588">
        <f t="shared" si="0"/>
        <v>0</v>
      </c>
      <c r="S6" s="588">
        <f t="shared" si="0"/>
        <v>0</v>
      </c>
      <c r="T6" s="810">
        <f t="shared" si="0"/>
        <v>0</v>
      </c>
      <c r="U6" s="813">
        <f t="shared" ref="U6:U9" si="1">S6+(R6*28)+(T6*298)</f>
        <v>0</v>
      </c>
    </row>
    <row r="7" spans="1:21" s="230" customFormat="1" ht="16.5" customHeight="1" x14ac:dyDescent="0.25">
      <c r="A7" s="606" t="s">
        <v>1114</v>
      </c>
      <c r="B7" s="590">
        <f>('Cost-Benefit Tab_Digester'!X7)</f>
        <v>0</v>
      </c>
      <c r="C7" s="722">
        <v>0.22403665027272732</v>
      </c>
      <c r="D7" s="723">
        <v>0.6021523965454546</v>
      </c>
      <c r="E7" s="723">
        <v>0.76835712018181823</v>
      </c>
      <c r="F7" s="723">
        <v>1.1707502545454548E-2</v>
      </c>
      <c r="G7" s="723">
        <v>1.0426994454545457E-2</v>
      </c>
      <c r="H7" s="723">
        <v>0.29639842381818182</v>
      </c>
      <c r="I7" s="723">
        <v>4.9996262432727274</v>
      </c>
      <c r="J7" s="723">
        <v>0.13777221745454549</v>
      </c>
      <c r="K7" s="724">
        <v>2.0749457636363638E-2</v>
      </c>
      <c r="L7" s="589">
        <f>(C7*$B7)/1000</f>
        <v>0</v>
      </c>
      <c r="M7" s="588">
        <f>(D7*$B7)/1000</f>
        <v>0</v>
      </c>
      <c r="N7" s="588">
        <f t="shared" si="0"/>
        <v>0</v>
      </c>
      <c r="O7" s="588">
        <f t="shared" si="0"/>
        <v>0</v>
      </c>
      <c r="P7" s="588">
        <f t="shared" si="0"/>
        <v>0</v>
      </c>
      <c r="Q7" s="588">
        <f t="shared" si="0"/>
        <v>0</v>
      </c>
      <c r="R7" s="588">
        <f t="shared" si="0"/>
        <v>0</v>
      </c>
      <c r="S7" s="588">
        <f t="shared" si="0"/>
        <v>0</v>
      </c>
      <c r="T7" s="810">
        <f t="shared" si="0"/>
        <v>0</v>
      </c>
      <c r="U7" s="813">
        <f t="shared" si="1"/>
        <v>0</v>
      </c>
    </row>
    <row r="8" spans="1:21" x14ac:dyDescent="0.25">
      <c r="A8" s="607" t="s">
        <v>1112</v>
      </c>
      <c r="B8" s="605">
        <f>('Cost-Benefit Tab_Digester'!X10)</f>
        <v>0</v>
      </c>
      <c r="C8" s="249">
        <v>0.23400000000000001</v>
      </c>
      <c r="D8" s="87">
        <v>6.2610000000000001</v>
      </c>
      <c r="E8" s="87">
        <v>0.42099999999999999</v>
      </c>
      <c r="F8" s="591">
        <v>2.5999999999999999E-2</v>
      </c>
      <c r="G8" s="591">
        <v>1.4999999999999999E-2</v>
      </c>
      <c r="H8" s="87">
        <v>3.0000000000000001E-3</v>
      </c>
      <c r="I8" s="87">
        <v>1.7000000000000001E-2</v>
      </c>
      <c r="J8" s="87">
        <v>524</v>
      </c>
      <c r="K8" s="592">
        <v>4.1000000000000002E-2</v>
      </c>
      <c r="L8" s="589">
        <f>(C8*$B8)/1000</f>
        <v>0</v>
      </c>
      <c r="M8" s="588">
        <f t="shared" si="0"/>
        <v>0</v>
      </c>
      <c r="N8" s="588">
        <f t="shared" si="0"/>
        <v>0</v>
      </c>
      <c r="O8" s="588">
        <f t="shared" si="0"/>
        <v>0</v>
      </c>
      <c r="P8" s="588">
        <f t="shared" si="0"/>
        <v>0</v>
      </c>
      <c r="Q8" s="588">
        <f t="shared" si="0"/>
        <v>0</v>
      </c>
      <c r="R8" s="588">
        <f t="shared" si="0"/>
        <v>0</v>
      </c>
      <c r="S8" s="588">
        <f t="shared" si="0"/>
        <v>0</v>
      </c>
      <c r="T8" s="810">
        <f t="shared" si="0"/>
        <v>0</v>
      </c>
      <c r="U8" s="813">
        <f t="shared" si="1"/>
        <v>0</v>
      </c>
    </row>
    <row r="9" spans="1:21" ht="15.75" thickBot="1" x14ac:dyDescent="0.3">
      <c r="A9" s="608" t="s">
        <v>1113</v>
      </c>
      <c r="B9" s="609">
        <f>('Cost-Benefit Tab_Digester'!X9)</f>
        <v>0</v>
      </c>
      <c r="C9" s="497">
        <v>0.185</v>
      </c>
      <c r="D9" s="584">
        <v>2.6240000000000001</v>
      </c>
      <c r="E9" s="584">
        <v>0.14199999999999999</v>
      </c>
      <c r="F9" s="716">
        <v>2.3E-2</v>
      </c>
      <c r="G9" s="716">
        <v>1.0999999999999999E-2</v>
      </c>
      <c r="H9" s="584">
        <v>2E-3</v>
      </c>
      <c r="I9" s="584">
        <v>1.2E-2</v>
      </c>
      <c r="J9" s="584">
        <v>429</v>
      </c>
      <c r="K9" s="717">
        <v>0.01</v>
      </c>
      <c r="L9" s="585">
        <f t="shared" si="0"/>
        <v>0</v>
      </c>
      <c r="M9" s="586">
        <f t="shared" si="0"/>
        <v>0</v>
      </c>
      <c r="N9" s="586">
        <f t="shared" si="0"/>
        <v>0</v>
      </c>
      <c r="O9" s="586">
        <f t="shared" si="0"/>
        <v>0</v>
      </c>
      <c r="P9" s="586">
        <f>(G9*$B9)/1000</f>
        <v>0</v>
      </c>
      <c r="Q9" s="586">
        <f t="shared" si="0"/>
        <v>0</v>
      </c>
      <c r="R9" s="586">
        <f t="shared" si="0"/>
        <v>0</v>
      </c>
      <c r="S9" s="586">
        <f t="shared" si="0"/>
        <v>0</v>
      </c>
      <c r="T9" s="811">
        <f t="shared" si="0"/>
        <v>0</v>
      </c>
      <c r="U9" s="814">
        <f t="shared" si="1"/>
        <v>0</v>
      </c>
    </row>
    <row r="10" spans="1:21" s="230" customFormat="1" ht="15.75" thickBot="1" x14ac:dyDescent="0.3">
      <c r="A10" s="738"/>
      <c r="B10" s="785"/>
      <c r="C10" s="738"/>
      <c r="D10" s="738"/>
      <c r="E10" s="738"/>
      <c r="F10" s="786"/>
      <c r="G10" s="786"/>
      <c r="H10" s="738"/>
      <c r="I10" s="738"/>
      <c r="J10" s="738"/>
      <c r="K10" s="786"/>
      <c r="L10" s="787"/>
      <c r="M10" s="787"/>
      <c r="N10" s="787"/>
      <c r="O10" s="787"/>
      <c r="P10" s="787"/>
      <c r="Q10" s="787"/>
      <c r="R10" s="787"/>
      <c r="S10" s="787"/>
      <c r="T10" s="787"/>
    </row>
    <row r="11" spans="1:21" s="230" customFormat="1" ht="39.75" customHeight="1" thickBot="1" x14ac:dyDescent="0.3">
      <c r="A11" s="2688" t="s">
        <v>1143</v>
      </c>
      <c r="B11" s="2535"/>
      <c r="C11" s="2535"/>
      <c r="D11" s="2535"/>
      <c r="E11" s="2535"/>
      <c r="F11" s="2535"/>
      <c r="G11" s="2535"/>
      <c r="H11" s="2535"/>
      <c r="I11" s="2535"/>
      <c r="J11" s="2535"/>
      <c r="K11" s="2535"/>
      <c r="L11" s="2535"/>
      <c r="M11" s="2535"/>
      <c r="N11" s="2535"/>
      <c r="O11" s="2535"/>
      <c r="P11" s="2535"/>
      <c r="Q11" s="2535"/>
      <c r="R11" s="2535"/>
      <c r="S11" s="2535"/>
      <c r="T11" s="2535"/>
      <c r="U11" s="2689"/>
    </row>
    <row r="12" spans="1:21" s="230" customFormat="1" ht="19.5" thickBot="1" x14ac:dyDescent="0.3">
      <c r="A12" s="2688" t="s">
        <v>1136</v>
      </c>
      <c r="B12" s="2535"/>
      <c r="C12" s="2535"/>
      <c r="D12" s="2535"/>
      <c r="E12" s="2535"/>
      <c r="F12" s="2535"/>
      <c r="G12" s="2535"/>
      <c r="H12" s="2535"/>
      <c r="I12" s="2535"/>
      <c r="J12" s="2535"/>
      <c r="K12" s="2535"/>
      <c r="L12" s="2535"/>
      <c r="M12" s="2535"/>
      <c r="N12" s="2535"/>
      <c r="O12" s="2535"/>
      <c r="P12" s="2535"/>
      <c r="Q12" s="2535"/>
      <c r="R12" s="2535"/>
      <c r="S12" s="2535"/>
      <c r="T12" s="2535"/>
      <c r="U12" s="2689"/>
    </row>
    <row r="13" spans="1:21" s="230" customFormat="1" ht="44.25" customHeight="1" thickBot="1" x14ac:dyDescent="0.3">
      <c r="A13" s="2741" t="s">
        <v>91</v>
      </c>
      <c r="B13" s="2741" t="s">
        <v>101</v>
      </c>
      <c r="C13" s="2744" t="s">
        <v>1312</v>
      </c>
      <c r="D13" s="2636"/>
      <c r="E13" s="2636"/>
      <c r="F13" s="2636"/>
      <c r="G13" s="2636"/>
      <c r="H13" s="2636"/>
      <c r="I13" s="2636"/>
      <c r="J13" s="2636"/>
      <c r="K13" s="2745"/>
      <c r="L13" s="2746" t="s">
        <v>89</v>
      </c>
      <c r="M13" s="2747"/>
      <c r="N13" s="2747"/>
      <c r="O13" s="2747"/>
      <c r="P13" s="2747"/>
      <c r="Q13" s="2747"/>
      <c r="R13" s="2747"/>
      <c r="S13" s="2747"/>
      <c r="T13" s="2747"/>
      <c r="U13" s="2748"/>
    </row>
    <row r="14" spans="1:21" s="230" customFormat="1" ht="18" x14ac:dyDescent="0.25">
      <c r="A14" s="2742"/>
      <c r="B14" s="2743"/>
      <c r="C14" s="747" t="s">
        <v>20</v>
      </c>
      <c r="D14" s="748" t="s">
        <v>21</v>
      </c>
      <c r="E14" s="748" t="s">
        <v>438</v>
      </c>
      <c r="F14" s="748" t="s">
        <v>439</v>
      </c>
      <c r="G14" s="748" t="s">
        <v>440</v>
      </c>
      <c r="H14" s="748" t="s">
        <v>441</v>
      </c>
      <c r="I14" s="748" t="s">
        <v>76</v>
      </c>
      <c r="J14" s="748" t="s">
        <v>77</v>
      </c>
      <c r="K14" s="281" t="s">
        <v>78</v>
      </c>
      <c r="L14" s="805" t="s">
        <v>20</v>
      </c>
      <c r="M14" s="748" t="s">
        <v>21</v>
      </c>
      <c r="N14" s="748" t="s">
        <v>79</v>
      </c>
      <c r="O14" s="748" t="s">
        <v>439</v>
      </c>
      <c r="P14" s="748" t="s">
        <v>440</v>
      </c>
      <c r="Q14" s="748" t="s">
        <v>19</v>
      </c>
      <c r="R14" s="748" t="s">
        <v>76</v>
      </c>
      <c r="S14" s="748" t="s">
        <v>77</v>
      </c>
      <c r="T14" s="281" t="s">
        <v>78</v>
      </c>
      <c r="U14" s="812" t="s">
        <v>1226</v>
      </c>
    </row>
    <row r="15" spans="1:21" s="230" customFormat="1" x14ac:dyDescent="0.25">
      <c r="A15" s="606" t="s">
        <v>1061</v>
      </c>
      <c r="B15" s="590">
        <f>('Cost-Benefit Tab_Landfill'!X6)</f>
        <v>0</v>
      </c>
      <c r="C15" s="249">
        <v>0.23</v>
      </c>
      <c r="D15" s="735">
        <v>0.93</v>
      </c>
      <c r="E15" s="735">
        <v>1.95</v>
      </c>
      <c r="F15" s="591">
        <f>75.19/1000</f>
        <v>7.5189999999999993E-2</v>
      </c>
      <c r="G15" s="591">
        <f>63.5/1000</f>
        <v>6.3500000000000001E-2</v>
      </c>
      <c r="H15" s="735">
        <v>0.35</v>
      </c>
      <c r="I15" s="735">
        <v>2.63</v>
      </c>
      <c r="J15" s="735">
        <f>2.12*1000</f>
        <v>2120</v>
      </c>
      <c r="K15" s="592">
        <f>7.58/1000</f>
        <v>7.5799999999999999E-3</v>
      </c>
      <c r="L15" s="797">
        <f t="shared" ref="L15:T19" si="2">(C15*$B15)/1000</f>
        <v>0</v>
      </c>
      <c r="M15" s="798">
        <f t="shared" si="2"/>
        <v>0</v>
      </c>
      <c r="N15" s="798">
        <f t="shared" si="2"/>
        <v>0</v>
      </c>
      <c r="O15" s="798">
        <f t="shared" si="2"/>
        <v>0</v>
      </c>
      <c r="P15" s="798">
        <f t="shared" si="2"/>
        <v>0</v>
      </c>
      <c r="Q15" s="798">
        <f t="shared" si="2"/>
        <v>0</v>
      </c>
      <c r="R15" s="798">
        <f t="shared" si="2"/>
        <v>0</v>
      </c>
      <c r="S15" s="798">
        <f t="shared" si="2"/>
        <v>0</v>
      </c>
      <c r="T15" s="799">
        <f t="shared" si="2"/>
        <v>0</v>
      </c>
      <c r="U15" s="813">
        <f>S15+(R15*28)+(T15*298)</f>
        <v>0</v>
      </c>
    </row>
    <row r="16" spans="1:21" s="230" customFormat="1" x14ac:dyDescent="0.25">
      <c r="A16" s="606" t="s">
        <v>1773</v>
      </c>
      <c r="B16" s="590">
        <f>('Cost-Benefit Tab_Landfill'!X8)</f>
        <v>0</v>
      </c>
      <c r="C16" s="249">
        <v>0.35</v>
      </c>
      <c r="D16" s="735">
        <v>23.93</v>
      </c>
      <c r="E16" s="735">
        <v>2.09</v>
      </c>
      <c r="F16" s="591">
        <v>5.178E-2</v>
      </c>
      <c r="G16" s="591">
        <v>4.1750000000000002E-2</v>
      </c>
      <c r="H16" s="735">
        <v>0.47</v>
      </c>
      <c r="I16" s="735">
        <v>17.32</v>
      </c>
      <c r="J16" s="735">
        <v>1770</v>
      </c>
      <c r="K16" s="592">
        <v>4.3459999999999999E-2</v>
      </c>
      <c r="L16" s="797">
        <f t="shared" si="2"/>
        <v>0</v>
      </c>
      <c r="M16" s="798">
        <f t="shared" si="2"/>
        <v>0</v>
      </c>
      <c r="N16" s="798">
        <f t="shared" si="2"/>
        <v>0</v>
      </c>
      <c r="O16" s="798">
        <f t="shared" si="2"/>
        <v>0</v>
      </c>
      <c r="P16" s="798">
        <f t="shared" si="2"/>
        <v>0</v>
      </c>
      <c r="Q16" s="798">
        <f t="shared" si="2"/>
        <v>0</v>
      </c>
      <c r="R16" s="798">
        <f t="shared" si="2"/>
        <v>0</v>
      </c>
      <c r="S16" s="798">
        <f t="shared" si="2"/>
        <v>0</v>
      </c>
      <c r="T16" s="799">
        <f t="shared" si="2"/>
        <v>0</v>
      </c>
      <c r="U16" s="813">
        <f t="shared" ref="U16:U19" si="3">S16+(R16*28)+(T16*298)</f>
        <v>0</v>
      </c>
    </row>
    <row r="17" spans="1:28" s="230" customFormat="1" x14ac:dyDescent="0.25">
      <c r="A17" s="606" t="s">
        <v>1114</v>
      </c>
      <c r="B17" s="590">
        <f>('Cost-Benefit Tab_Landfill'!X7)</f>
        <v>0</v>
      </c>
      <c r="C17" s="722">
        <v>0.22403665027272732</v>
      </c>
      <c r="D17" s="723">
        <v>0.6021523965454546</v>
      </c>
      <c r="E17" s="723">
        <v>0.76835712018181823</v>
      </c>
      <c r="F17" s="723">
        <v>1.1707502545454548E-2</v>
      </c>
      <c r="G17" s="723">
        <v>1.0426994454545457E-2</v>
      </c>
      <c r="H17" s="723">
        <v>0.29639842381818182</v>
      </c>
      <c r="I17" s="723">
        <v>4.9996262432727274</v>
      </c>
      <c r="J17" s="723">
        <v>0.13777221745454549</v>
      </c>
      <c r="K17" s="724">
        <v>2.0749457636363638E-2</v>
      </c>
      <c r="L17" s="797">
        <f t="shared" si="2"/>
        <v>0</v>
      </c>
      <c r="M17" s="798">
        <f t="shared" si="2"/>
        <v>0</v>
      </c>
      <c r="N17" s="798">
        <f t="shared" si="2"/>
        <v>0</v>
      </c>
      <c r="O17" s="798">
        <f t="shared" si="2"/>
        <v>0</v>
      </c>
      <c r="P17" s="798">
        <f t="shared" si="2"/>
        <v>0</v>
      </c>
      <c r="Q17" s="798">
        <f t="shared" si="2"/>
        <v>0</v>
      </c>
      <c r="R17" s="798">
        <f t="shared" si="2"/>
        <v>0</v>
      </c>
      <c r="S17" s="798">
        <f t="shared" si="2"/>
        <v>0</v>
      </c>
      <c r="T17" s="799">
        <f t="shared" si="2"/>
        <v>0</v>
      </c>
      <c r="U17" s="813">
        <f t="shared" si="3"/>
        <v>0</v>
      </c>
    </row>
    <row r="18" spans="1:28" s="230" customFormat="1" x14ac:dyDescent="0.25">
      <c r="A18" s="1111" t="s">
        <v>1112</v>
      </c>
      <c r="B18" s="605">
        <f>('Cost-Benefit Tab_Landfill'!X10)</f>
        <v>0</v>
      </c>
      <c r="C18" s="249">
        <v>0.23400000000000001</v>
      </c>
      <c r="D18" s="735">
        <v>6.2610000000000001</v>
      </c>
      <c r="E18" s="735">
        <v>0.42099999999999999</v>
      </c>
      <c r="F18" s="591">
        <v>2.5999999999999999E-2</v>
      </c>
      <c r="G18" s="591">
        <v>1.4999999999999999E-2</v>
      </c>
      <c r="H18" s="735">
        <v>3.0000000000000001E-3</v>
      </c>
      <c r="I18" s="735">
        <v>1.7000000000000001E-2</v>
      </c>
      <c r="J18" s="735">
        <v>524</v>
      </c>
      <c r="K18" s="592">
        <v>4.1000000000000002E-2</v>
      </c>
      <c r="L18" s="797">
        <f t="shared" si="2"/>
        <v>0</v>
      </c>
      <c r="M18" s="798">
        <f t="shared" si="2"/>
        <v>0</v>
      </c>
      <c r="N18" s="798">
        <f t="shared" si="2"/>
        <v>0</v>
      </c>
      <c r="O18" s="798">
        <f t="shared" si="2"/>
        <v>0</v>
      </c>
      <c r="P18" s="798">
        <f t="shared" si="2"/>
        <v>0</v>
      </c>
      <c r="Q18" s="798">
        <f t="shared" si="2"/>
        <v>0</v>
      </c>
      <c r="R18" s="798">
        <f t="shared" si="2"/>
        <v>0</v>
      </c>
      <c r="S18" s="798">
        <f t="shared" si="2"/>
        <v>0</v>
      </c>
      <c r="T18" s="799">
        <f t="shared" si="2"/>
        <v>0</v>
      </c>
      <c r="U18" s="813">
        <f t="shared" si="3"/>
        <v>0</v>
      </c>
    </row>
    <row r="19" spans="1:28" s="230" customFormat="1" ht="15.75" thickBot="1" x14ac:dyDescent="0.3">
      <c r="A19" s="608" t="s">
        <v>1113</v>
      </c>
      <c r="B19" s="609">
        <f>('Cost-Benefit Tab_Landfill'!X9)</f>
        <v>0</v>
      </c>
      <c r="C19" s="497">
        <v>0.185</v>
      </c>
      <c r="D19" s="736">
        <v>2.6240000000000001</v>
      </c>
      <c r="E19" s="736">
        <v>0.14199999999999999</v>
      </c>
      <c r="F19" s="716">
        <v>2.3E-2</v>
      </c>
      <c r="G19" s="716">
        <v>1.0999999999999999E-2</v>
      </c>
      <c r="H19" s="736">
        <v>2E-3</v>
      </c>
      <c r="I19" s="736">
        <v>1.2E-2</v>
      </c>
      <c r="J19" s="736">
        <v>429</v>
      </c>
      <c r="K19" s="717">
        <v>0.01</v>
      </c>
      <c r="L19" s="800">
        <f t="shared" si="2"/>
        <v>0</v>
      </c>
      <c r="M19" s="801">
        <f t="shared" si="2"/>
        <v>0</v>
      </c>
      <c r="N19" s="801">
        <f t="shared" si="2"/>
        <v>0</v>
      </c>
      <c r="O19" s="801">
        <f t="shared" si="2"/>
        <v>0</v>
      </c>
      <c r="P19" s="801">
        <f t="shared" si="2"/>
        <v>0</v>
      </c>
      <c r="Q19" s="801">
        <f t="shared" si="2"/>
        <v>0</v>
      </c>
      <c r="R19" s="801">
        <f t="shared" si="2"/>
        <v>0</v>
      </c>
      <c r="S19" s="801">
        <f t="shared" si="2"/>
        <v>0</v>
      </c>
      <c r="T19" s="802">
        <f t="shared" si="2"/>
        <v>0</v>
      </c>
      <c r="U19" s="814">
        <f t="shared" si="3"/>
        <v>0</v>
      </c>
    </row>
    <row r="20" spans="1:28" s="230" customFormat="1" ht="15.75" thickBot="1" x14ac:dyDescent="0.3">
      <c r="A20" s="738"/>
      <c r="B20" s="785"/>
      <c r="C20" s="738"/>
      <c r="D20" s="738"/>
      <c r="E20" s="738"/>
      <c r="F20" s="786"/>
      <c r="G20" s="786"/>
      <c r="H20" s="738"/>
      <c r="I20" s="738"/>
      <c r="J20" s="738"/>
      <c r="K20" s="786"/>
      <c r="L20" s="787"/>
      <c r="M20" s="787"/>
      <c r="N20" s="787"/>
      <c r="O20" s="787"/>
      <c r="P20" s="787"/>
      <c r="Q20" s="787"/>
      <c r="R20" s="787"/>
      <c r="S20" s="787"/>
      <c r="T20" s="787"/>
    </row>
    <row r="21" spans="1:28" s="230" customFormat="1" ht="19.5" thickBot="1" x14ac:dyDescent="0.3">
      <c r="A21" s="2756" t="s">
        <v>1144</v>
      </c>
      <c r="B21" s="2757"/>
      <c r="C21" s="2757"/>
      <c r="D21" s="2757"/>
      <c r="E21" s="2757"/>
      <c r="F21" s="2757"/>
      <c r="G21" s="2757"/>
      <c r="H21" s="2757"/>
      <c r="I21" s="2757"/>
      <c r="J21" s="2757"/>
      <c r="K21" s="2757"/>
      <c r="L21" s="2757"/>
      <c r="M21" s="2757"/>
      <c r="N21" s="2757"/>
      <c r="O21" s="2757"/>
      <c r="P21" s="2757"/>
      <c r="Q21" s="2757"/>
      <c r="R21" s="2757"/>
      <c r="S21" s="2757"/>
      <c r="T21" s="2757"/>
      <c r="U21" s="2758"/>
    </row>
    <row r="22" spans="1:28" s="230" customFormat="1" ht="19.5" thickBot="1" x14ac:dyDescent="0.3">
      <c r="A22" s="2756" t="s">
        <v>1136</v>
      </c>
      <c r="B22" s="2757"/>
      <c r="C22" s="2757"/>
      <c r="D22" s="2757"/>
      <c r="E22" s="2757"/>
      <c r="F22" s="2757"/>
      <c r="G22" s="2757"/>
      <c r="H22" s="2757"/>
      <c r="I22" s="2757"/>
      <c r="J22" s="2757"/>
      <c r="K22" s="2757"/>
      <c r="L22" s="2759"/>
      <c r="M22" s="2759"/>
      <c r="N22" s="2759"/>
      <c r="O22" s="2759"/>
      <c r="P22" s="2759"/>
      <c r="Q22" s="2759"/>
      <c r="R22" s="2759"/>
      <c r="S22" s="2759"/>
      <c r="T22" s="2759"/>
      <c r="U22" s="2760"/>
    </row>
    <row r="23" spans="1:28" s="230" customFormat="1" ht="35.25" customHeight="1" thickBot="1" x14ac:dyDescent="0.3">
      <c r="A23" s="2755" t="s">
        <v>91</v>
      </c>
      <c r="B23" s="2755" t="s">
        <v>101</v>
      </c>
      <c r="C23" s="2744" t="s">
        <v>1312</v>
      </c>
      <c r="D23" s="2636"/>
      <c r="E23" s="2636"/>
      <c r="F23" s="2636"/>
      <c r="G23" s="2636"/>
      <c r="H23" s="2636"/>
      <c r="I23" s="2636"/>
      <c r="J23" s="2636"/>
      <c r="K23" s="2745"/>
      <c r="L23" s="2601" t="s">
        <v>89</v>
      </c>
      <c r="M23" s="2562"/>
      <c r="N23" s="2562"/>
      <c r="O23" s="2562"/>
      <c r="P23" s="2562"/>
      <c r="Q23" s="2562"/>
      <c r="R23" s="2562"/>
      <c r="S23" s="2562"/>
      <c r="T23" s="2562"/>
      <c r="U23" s="2748"/>
    </row>
    <row r="24" spans="1:28" s="230" customFormat="1" ht="18" x14ac:dyDescent="0.25">
      <c r="A24" s="2742"/>
      <c r="B24" s="2743"/>
      <c r="C24" s="747" t="s">
        <v>20</v>
      </c>
      <c r="D24" s="748" t="s">
        <v>21</v>
      </c>
      <c r="E24" s="748" t="s">
        <v>438</v>
      </c>
      <c r="F24" s="748" t="s">
        <v>439</v>
      </c>
      <c r="G24" s="748" t="s">
        <v>440</v>
      </c>
      <c r="H24" s="748" t="s">
        <v>441</v>
      </c>
      <c r="I24" s="748" t="s">
        <v>76</v>
      </c>
      <c r="J24" s="748" t="s">
        <v>77</v>
      </c>
      <c r="K24" s="281" t="s">
        <v>78</v>
      </c>
      <c r="L24" s="805" t="s">
        <v>20</v>
      </c>
      <c r="M24" s="748" t="s">
        <v>21</v>
      </c>
      <c r="N24" s="748" t="s">
        <v>79</v>
      </c>
      <c r="O24" s="748" t="s">
        <v>439</v>
      </c>
      <c r="P24" s="748" t="s">
        <v>440</v>
      </c>
      <c r="Q24" s="748" t="s">
        <v>19</v>
      </c>
      <c r="R24" s="748" t="s">
        <v>76</v>
      </c>
      <c r="S24" s="748" t="s">
        <v>77</v>
      </c>
      <c r="T24" s="749" t="s">
        <v>78</v>
      </c>
      <c r="U24" s="812" t="s">
        <v>1226</v>
      </c>
    </row>
    <row r="25" spans="1:28" s="230" customFormat="1" x14ac:dyDescent="0.25">
      <c r="A25" s="606" t="s">
        <v>1061</v>
      </c>
      <c r="B25" s="590">
        <f>('Cost-Benefit Tab_Composting'!L5)</f>
        <v>0</v>
      </c>
      <c r="C25" s="249">
        <v>0.23</v>
      </c>
      <c r="D25" s="735">
        <v>0.93</v>
      </c>
      <c r="E25" s="735">
        <v>1.95</v>
      </c>
      <c r="F25" s="591">
        <f>75.19/1000</f>
        <v>7.5189999999999993E-2</v>
      </c>
      <c r="G25" s="591">
        <f>63.5/1000</f>
        <v>6.3500000000000001E-2</v>
      </c>
      <c r="H25" s="735">
        <v>0.35</v>
      </c>
      <c r="I25" s="735">
        <v>2.63</v>
      </c>
      <c r="J25" s="735">
        <f>2.12*1000</f>
        <v>2120</v>
      </c>
      <c r="K25" s="592">
        <f>7.58/1000</f>
        <v>7.5799999999999999E-3</v>
      </c>
      <c r="L25" s="797">
        <f t="shared" ref="L25:T29" si="4">(C25*$B25)/1000</f>
        <v>0</v>
      </c>
      <c r="M25" s="798">
        <f t="shared" si="4"/>
        <v>0</v>
      </c>
      <c r="N25" s="798">
        <f t="shared" si="4"/>
        <v>0</v>
      </c>
      <c r="O25" s="798">
        <f t="shared" si="4"/>
        <v>0</v>
      </c>
      <c r="P25" s="798">
        <f t="shared" si="4"/>
        <v>0</v>
      </c>
      <c r="Q25" s="798">
        <f t="shared" si="4"/>
        <v>0</v>
      </c>
      <c r="R25" s="798">
        <f t="shared" si="4"/>
        <v>0</v>
      </c>
      <c r="S25" s="798">
        <f t="shared" si="4"/>
        <v>0</v>
      </c>
      <c r="T25" s="815">
        <f t="shared" si="4"/>
        <v>0</v>
      </c>
      <c r="U25" s="813">
        <f>S25+(R25*28)+(T25*298)</f>
        <v>0</v>
      </c>
    </row>
    <row r="26" spans="1:28" s="230" customFormat="1" x14ac:dyDescent="0.25">
      <c r="A26" s="606" t="s">
        <v>1773</v>
      </c>
      <c r="B26" s="590">
        <f>('Cost-Benefit Tab_Composting'!L7)</f>
        <v>0</v>
      </c>
      <c r="C26" s="249">
        <v>0.35</v>
      </c>
      <c r="D26" s="735">
        <v>23.93</v>
      </c>
      <c r="E26" s="735">
        <v>2.09</v>
      </c>
      <c r="F26" s="591">
        <v>5.178E-2</v>
      </c>
      <c r="G26" s="591">
        <v>4.1750000000000002E-2</v>
      </c>
      <c r="H26" s="735">
        <v>0.47</v>
      </c>
      <c r="I26" s="735">
        <v>17.32</v>
      </c>
      <c r="J26" s="735">
        <v>1770</v>
      </c>
      <c r="K26" s="592">
        <v>4.3459999999999999E-2</v>
      </c>
      <c r="L26" s="797">
        <f t="shared" si="4"/>
        <v>0</v>
      </c>
      <c r="M26" s="798">
        <f t="shared" si="4"/>
        <v>0</v>
      </c>
      <c r="N26" s="798">
        <f t="shared" si="4"/>
        <v>0</v>
      </c>
      <c r="O26" s="798">
        <f t="shared" si="4"/>
        <v>0</v>
      </c>
      <c r="P26" s="798">
        <f t="shared" si="4"/>
        <v>0</v>
      </c>
      <c r="Q26" s="798">
        <f t="shared" si="4"/>
        <v>0</v>
      </c>
      <c r="R26" s="798">
        <f t="shared" si="4"/>
        <v>0</v>
      </c>
      <c r="S26" s="798">
        <f t="shared" si="4"/>
        <v>0</v>
      </c>
      <c r="T26" s="815">
        <f t="shared" si="4"/>
        <v>0</v>
      </c>
      <c r="U26" s="813">
        <f t="shared" ref="U26:U29" si="5">S26+(R26*28)+(T26*298)</f>
        <v>0</v>
      </c>
    </row>
    <row r="27" spans="1:28" s="230" customFormat="1" x14ac:dyDescent="0.25">
      <c r="A27" s="606" t="s">
        <v>1114</v>
      </c>
      <c r="B27" s="590">
        <f>('Cost-Benefit Tab_Composting'!L6)</f>
        <v>0</v>
      </c>
      <c r="C27" s="722">
        <v>0.22403665027272732</v>
      </c>
      <c r="D27" s="723">
        <v>0.6021523965454546</v>
      </c>
      <c r="E27" s="723">
        <v>0.76835712018181823</v>
      </c>
      <c r="F27" s="723">
        <v>1.1707502545454548E-2</v>
      </c>
      <c r="G27" s="723">
        <v>1.0426994454545457E-2</v>
      </c>
      <c r="H27" s="723">
        <v>0.29639842381818182</v>
      </c>
      <c r="I27" s="723">
        <v>4.9996262432727274</v>
      </c>
      <c r="J27" s="723">
        <v>0.13777221745454549</v>
      </c>
      <c r="K27" s="724">
        <v>2.0749457636363638E-2</v>
      </c>
      <c r="L27" s="797">
        <f t="shared" si="4"/>
        <v>0</v>
      </c>
      <c r="M27" s="798">
        <f t="shared" si="4"/>
        <v>0</v>
      </c>
      <c r="N27" s="798">
        <f t="shared" si="4"/>
        <v>0</v>
      </c>
      <c r="O27" s="798">
        <f t="shared" si="4"/>
        <v>0</v>
      </c>
      <c r="P27" s="798">
        <f t="shared" si="4"/>
        <v>0</v>
      </c>
      <c r="Q27" s="798">
        <f t="shared" si="4"/>
        <v>0</v>
      </c>
      <c r="R27" s="798">
        <f t="shared" si="4"/>
        <v>0</v>
      </c>
      <c r="S27" s="798">
        <f t="shared" si="4"/>
        <v>0</v>
      </c>
      <c r="T27" s="815">
        <f t="shared" si="4"/>
        <v>0</v>
      </c>
      <c r="U27" s="813">
        <f t="shared" si="5"/>
        <v>0</v>
      </c>
    </row>
    <row r="28" spans="1:28" s="230" customFormat="1" x14ac:dyDescent="0.25">
      <c r="A28" s="607" t="s">
        <v>1112</v>
      </c>
      <c r="B28" s="605">
        <f>('Cost-Benefit Tab_Composting'!L9)</f>
        <v>0</v>
      </c>
      <c r="C28" s="249">
        <v>0.23400000000000001</v>
      </c>
      <c r="D28" s="735">
        <v>6.2610000000000001</v>
      </c>
      <c r="E28" s="735">
        <v>0.42099999999999999</v>
      </c>
      <c r="F28" s="591">
        <v>2.5999999999999999E-2</v>
      </c>
      <c r="G28" s="591">
        <v>1.4999999999999999E-2</v>
      </c>
      <c r="H28" s="735">
        <v>3.0000000000000001E-3</v>
      </c>
      <c r="I28" s="735">
        <v>1.7000000000000001E-2</v>
      </c>
      <c r="J28" s="735">
        <v>524</v>
      </c>
      <c r="K28" s="592">
        <v>4.1000000000000002E-2</v>
      </c>
      <c r="L28" s="797">
        <f t="shared" si="4"/>
        <v>0</v>
      </c>
      <c r="M28" s="798">
        <f t="shared" si="4"/>
        <v>0</v>
      </c>
      <c r="N28" s="798">
        <f t="shared" si="4"/>
        <v>0</v>
      </c>
      <c r="O28" s="798">
        <f t="shared" si="4"/>
        <v>0</v>
      </c>
      <c r="P28" s="798">
        <f t="shared" si="4"/>
        <v>0</v>
      </c>
      <c r="Q28" s="798">
        <f t="shared" si="4"/>
        <v>0</v>
      </c>
      <c r="R28" s="798">
        <f t="shared" si="4"/>
        <v>0</v>
      </c>
      <c r="S28" s="798">
        <f t="shared" si="4"/>
        <v>0</v>
      </c>
      <c r="T28" s="815">
        <f t="shared" si="4"/>
        <v>0</v>
      </c>
      <c r="U28" s="813">
        <f t="shared" si="5"/>
        <v>0</v>
      </c>
    </row>
    <row r="29" spans="1:28" s="230" customFormat="1" ht="15.75" thickBot="1" x14ac:dyDescent="0.3">
      <c r="A29" s="608" t="s">
        <v>1113</v>
      </c>
      <c r="B29" s="609">
        <f>('Cost-Benefit Tab_Composting'!L8)</f>
        <v>0</v>
      </c>
      <c r="C29" s="497">
        <v>0.185</v>
      </c>
      <c r="D29" s="736">
        <v>2.6240000000000001</v>
      </c>
      <c r="E29" s="736">
        <v>0.14199999999999999</v>
      </c>
      <c r="F29" s="716">
        <v>2.3E-2</v>
      </c>
      <c r="G29" s="716">
        <v>1.0999999999999999E-2</v>
      </c>
      <c r="H29" s="736">
        <v>2E-3</v>
      </c>
      <c r="I29" s="736">
        <v>1.2E-2</v>
      </c>
      <c r="J29" s="736">
        <v>429</v>
      </c>
      <c r="K29" s="717">
        <v>0.01</v>
      </c>
      <c r="L29" s="800">
        <f t="shared" si="4"/>
        <v>0</v>
      </c>
      <c r="M29" s="801">
        <f t="shared" si="4"/>
        <v>0</v>
      </c>
      <c r="N29" s="801">
        <f t="shared" si="4"/>
        <v>0</v>
      </c>
      <c r="O29" s="801">
        <f t="shared" si="4"/>
        <v>0</v>
      </c>
      <c r="P29" s="801">
        <f t="shared" si="4"/>
        <v>0</v>
      </c>
      <c r="Q29" s="801">
        <f t="shared" si="4"/>
        <v>0</v>
      </c>
      <c r="R29" s="801">
        <f t="shared" si="4"/>
        <v>0</v>
      </c>
      <c r="S29" s="801">
        <f t="shared" si="4"/>
        <v>0</v>
      </c>
      <c r="T29" s="816">
        <f t="shared" si="4"/>
        <v>0</v>
      </c>
      <c r="U29" s="814">
        <f t="shared" si="5"/>
        <v>0</v>
      </c>
    </row>
    <row r="30" spans="1:28" s="230" customFormat="1" ht="15.75" thickBot="1" x14ac:dyDescent="0.3">
      <c r="A30" s="738"/>
      <c r="B30" s="785"/>
      <c r="C30" s="738"/>
      <c r="D30" s="738"/>
      <c r="E30" s="738"/>
      <c r="F30" s="786"/>
      <c r="G30" s="786"/>
      <c r="H30" s="738"/>
      <c r="I30" s="738"/>
      <c r="J30" s="738"/>
      <c r="K30" s="786"/>
      <c r="L30" s="787"/>
      <c r="M30" s="787"/>
      <c r="N30" s="787"/>
      <c r="O30" s="787"/>
      <c r="P30" s="787"/>
      <c r="Q30" s="787"/>
      <c r="R30" s="787"/>
      <c r="S30" s="787"/>
      <c r="T30" s="787"/>
    </row>
    <row r="31" spans="1:28" ht="87" customHeight="1" thickBot="1" x14ac:dyDescent="0.3">
      <c r="A31" s="2729" t="s">
        <v>1182</v>
      </c>
      <c r="B31" s="2730"/>
      <c r="C31" s="2730"/>
      <c r="D31" s="2730"/>
      <c r="E31" s="2730"/>
      <c r="F31" s="2730"/>
      <c r="G31" s="2730"/>
      <c r="H31" s="2730"/>
      <c r="I31" s="2730"/>
      <c r="J31" s="2730"/>
      <c r="K31" s="2730"/>
      <c r="L31" s="2730"/>
      <c r="M31" s="2730"/>
      <c r="N31" s="2730"/>
      <c r="O31" s="2730"/>
      <c r="P31" s="2730"/>
      <c r="Q31" s="2730"/>
      <c r="R31" s="2730"/>
      <c r="S31" s="2730"/>
      <c r="T31" s="2730"/>
      <c r="U31" s="2730"/>
      <c r="V31" s="2730"/>
      <c r="W31" s="2730"/>
      <c r="X31" s="2730"/>
      <c r="Y31" s="2730"/>
      <c r="Z31" s="2730"/>
      <c r="AA31" s="2731"/>
      <c r="AB31" s="96"/>
    </row>
    <row r="32" spans="1:28" ht="135.75" thickBot="1" x14ac:dyDescent="0.3">
      <c r="A32" s="1853" t="s">
        <v>176</v>
      </c>
      <c r="B32" s="253" t="s">
        <v>177</v>
      </c>
      <c r="C32" s="1855" t="s">
        <v>1244</v>
      </c>
      <c r="D32" s="1855" t="s">
        <v>209</v>
      </c>
      <c r="E32" s="1855" t="s">
        <v>210</v>
      </c>
      <c r="F32" s="1855" t="s">
        <v>1245</v>
      </c>
      <c r="G32" s="1855" t="s">
        <v>1246</v>
      </c>
      <c r="H32" s="1855" t="s">
        <v>1247</v>
      </c>
      <c r="I32" s="1855" t="s">
        <v>1243</v>
      </c>
      <c r="J32" s="1855" t="s">
        <v>1242</v>
      </c>
      <c r="K32" s="1855" t="s">
        <v>1248</v>
      </c>
      <c r="L32" s="262" t="s">
        <v>1227</v>
      </c>
      <c r="M32" s="128" t="s">
        <v>272</v>
      </c>
      <c r="N32" s="1855" t="s">
        <v>318</v>
      </c>
      <c r="O32" s="1855" t="s">
        <v>319</v>
      </c>
      <c r="P32" s="1855" t="s">
        <v>273</v>
      </c>
      <c r="Q32" s="1855" t="s">
        <v>455</v>
      </c>
      <c r="R32" s="1855" t="s">
        <v>274</v>
      </c>
      <c r="S32" s="1855" t="s">
        <v>288</v>
      </c>
      <c r="T32" s="1855" t="s">
        <v>1228</v>
      </c>
      <c r="U32" s="1855" t="s">
        <v>276</v>
      </c>
      <c r="V32" s="1855" t="s">
        <v>317</v>
      </c>
      <c r="W32" s="1855" t="s">
        <v>271</v>
      </c>
      <c r="X32" s="1855" t="s">
        <v>277</v>
      </c>
      <c r="Y32" s="1855" t="s">
        <v>278</v>
      </c>
      <c r="Z32" s="1855" t="s">
        <v>315</v>
      </c>
      <c r="AA32" s="83" t="s">
        <v>316</v>
      </c>
    </row>
    <row r="33" spans="1:27" ht="18.75" x14ac:dyDescent="0.25">
      <c r="A33" s="2736" t="s">
        <v>1095</v>
      </c>
      <c r="B33" s="1867">
        <v>2019</v>
      </c>
      <c r="C33" s="216">
        <f>$S$5</f>
        <v>0</v>
      </c>
      <c r="D33" s="216">
        <f>$R$5*28</f>
        <v>0</v>
      </c>
      <c r="E33" s="216">
        <f>$T$5*298</f>
        <v>0</v>
      </c>
      <c r="F33" s="216">
        <f>$O$5</f>
        <v>0</v>
      </c>
      <c r="G33" s="216">
        <f>$P$5</f>
        <v>0</v>
      </c>
      <c r="H33" s="216">
        <f>$N$5</f>
        <v>0</v>
      </c>
      <c r="I33" s="216">
        <f>$Q$5</f>
        <v>0</v>
      </c>
      <c r="J33" s="216">
        <f>$L$5</f>
        <v>0</v>
      </c>
      <c r="K33" s="216">
        <f>$M$5</f>
        <v>0</v>
      </c>
      <c r="L33" s="217">
        <f>(C33/1000)+(D33/1000)+(E33/1000)</f>
        <v>0</v>
      </c>
      <c r="M33" s="643">
        <v>62</v>
      </c>
      <c r="N33" s="643">
        <f>29.53*1.02*1.0824</f>
        <v>32.602537440000006</v>
      </c>
      <c r="O33" s="643">
        <f>42.96*1.02*1.0824</f>
        <v>47.429902080000005</v>
      </c>
      <c r="P33" s="643">
        <f>16.43*1.02*1.0824</f>
        <v>18.139508640000003</v>
      </c>
      <c r="Q33" s="643">
        <f>12.76*1.02*1.0824</f>
        <v>14.087652480000001</v>
      </c>
      <c r="R33" s="643">
        <f>1.27*1.02*1.0824</f>
        <v>1.4021409600000001</v>
      </c>
      <c r="S33" s="643">
        <f>0.0584*1.02*1.0824</f>
        <v>6.4476403200000004E-2</v>
      </c>
      <c r="T33" s="644">
        <f>L33*M33</f>
        <v>0</v>
      </c>
      <c r="U33" s="644">
        <f>F33*N33</f>
        <v>0</v>
      </c>
      <c r="V33" s="644">
        <f>G33*O33</f>
        <v>0</v>
      </c>
      <c r="W33" s="644">
        <f t="shared" ref="U33:Y83" si="6">H33*P33</f>
        <v>0</v>
      </c>
      <c r="X33" s="644">
        <f t="shared" si="6"/>
        <v>0</v>
      </c>
      <c r="Y33" s="644">
        <f t="shared" si="6"/>
        <v>0</v>
      </c>
      <c r="Z33" s="644">
        <f t="shared" ref="Z33:Z198" si="7">S33*K33</f>
        <v>0</v>
      </c>
      <c r="AA33" s="2732">
        <f>(SUM(T33:T83)*1.2682)+(SUM(U33:U83))+(SUM(V33:V83))+(SUM(W33:W83))+(SUM(X33:X83))+(SUM(Y33:Y83))+(SUM(Z33:Z83))</f>
        <v>0</v>
      </c>
    </row>
    <row r="34" spans="1:27" ht="18.75" x14ac:dyDescent="0.25">
      <c r="A34" s="2456"/>
      <c r="B34" s="1849">
        <v>2020</v>
      </c>
      <c r="C34" s="218">
        <f t="shared" ref="C34:C83" si="8">$S$5</f>
        <v>0</v>
      </c>
      <c r="D34" s="221">
        <f t="shared" ref="D34:D83" si="9">$R$5*28</f>
        <v>0</v>
      </c>
      <c r="E34" s="218">
        <f t="shared" ref="E34:E83" si="10">$T$5*298</f>
        <v>0</v>
      </c>
      <c r="F34" s="218">
        <f t="shared" ref="F34:F83" si="11">$O$5</f>
        <v>0</v>
      </c>
      <c r="G34" s="218">
        <f t="shared" ref="G34:G83" si="12">$P$5</f>
        <v>0</v>
      </c>
      <c r="H34" s="218">
        <f t="shared" ref="H34:H83" si="13">$N$5</f>
        <v>0</v>
      </c>
      <c r="I34" s="218">
        <f t="shared" ref="I34:I83" si="14">$Q$5</f>
        <v>0</v>
      </c>
      <c r="J34" s="218">
        <f t="shared" ref="J34:J83" si="15">$L$5</f>
        <v>0</v>
      </c>
      <c r="K34" s="218">
        <f t="shared" ref="K34:K83" si="16">$M$5</f>
        <v>0</v>
      </c>
      <c r="L34" s="192">
        <f t="shared" ref="L34:L198" si="17">(C34/1000)+(D34/1000)+(E34/1000)</f>
        <v>0</v>
      </c>
      <c r="M34" s="211">
        <v>64</v>
      </c>
      <c r="N34" s="211">
        <f>(29.53*1.02)*0.9804*1.0824</f>
        <v>31.963527706176006</v>
      </c>
      <c r="O34" s="211">
        <f>(42.96*1.02)*0.9804*1.0824</f>
        <v>46.500275999232002</v>
      </c>
      <c r="P34" s="211">
        <f>(16.43*1.02)*0.9804*1.0824</f>
        <v>17.783974270656003</v>
      </c>
      <c r="Q34" s="211">
        <f>(12.76*1.02)*0.9804*1.0824</f>
        <v>13.811534491392001</v>
      </c>
      <c r="R34" s="211">
        <f>(1.27*1.02)*0.9804*1.0824</f>
        <v>1.3746589971840002</v>
      </c>
      <c r="S34" s="211">
        <f>(0.0584*1.02)*0.9804*1.0824</f>
        <v>6.3212665697280013E-2</v>
      </c>
      <c r="T34" s="1850">
        <f t="shared" ref="T34:T198" si="18">L34*M34</f>
        <v>0</v>
      </c>
      <c r="U34" s="1850">
        <f t="shared" si="6"/>
        <v>0</v>
      </c>
      <c r="V34" s="1850">
        <f t="shared" si="6"/>
        <v>0</v>
      </c>
      <c r="W34" s="1850">
        <f t="shared" si="6"/>
        <v>0</v>
      </c>
      <c r="X34" s="1850">
        <f t="shared" si="6"/>
        <v>0</v>
      </c>
      <c r="Y34" s="1850">
        <f t="shared" si="6"/>
        <v>0</v>
      </c>
      <c r="Z34" s="1850">
        <f t="shared" si="7"/>
        <v>0</v>
      </c>
      <c r="AA34" s="2733"/>
    </row>
    <row r="35" spans="1:27" ht="18.75" x14ac:dyDescent="0.25">
      <c r="A35" s="2456"/>
      <c r="B35" s="1849">
        <v>2021</v>
      </c>
      <c r="C35" s="218">
        <f t="shared" si="8"/>
        <v>0</v>
      </c>
      <c r="D35" s="221">
        <f t="shared" si="9"/>
        <v>0</v>
      </c>
      <c r="E35" s="218">
        <f t="shared" si="10"/>
        <v>0</v>
      </c>
      <c r="F35" s="218">
        <f t="shared" si="11"/>
        <v>0</v>
      </c>
      <c r="G35" s="218">
        <f t="shared" si="12"/>
        <v>0</v>
      </c>
      <c r="H35" s="218">
        <f t="shared" si="13"/>
        <v>0</v>
      </c>
      <c r="I35" s="218">
        <f t="shared" si="14"/>
        <v>0</v>
      </c>
      <c r="J35" s="218">
        <f t="shared" si="15"/>
        <v>0</v>
      </c>
      <c r="K35" s="218">
        <f t="shared" si="16"/>
        <v>0</v>
      </c>
      <c r="L35" s="192">
        <f t="shared" si="17"/>
        <v>0</v>
      </c>
      <c r="M35" s="211">
        <v>65</v>
      </c>
      <c r="N35" s="211">
        <f>(29.53*1.02)*0.9612*1.0824</f>
        <v>31.337558987328006</v>
      </c>
      <c r="O35" s="211">
        <f>(42.96*1.02)*0.9612*1.0824</f>
        <v>45.589621879296011</v>
      </c>
      <c r="P35" s="211">
        <f>(16.43*1.02)*0.9612*1.0824</f>
        <v>17.435695704768001</v>
      </c>
      <c r="Q35" s="211">
        <f>(12.76*1.02)*0.9612*1.0824</f>
        <v>13.541051563776001</v>
      </c>
      <c r="R35" s="211">
        <f>(1.27*1.02)*0.9612*1.0824</f>
        <v>1.3477378907520003</v>
      </c>
      <c r="S35" s="211">
        <f>(0.0584*1.02)*0.9612*1.0824</f>
        <v>6.1974718755840007E-2</v>
      </c>
      <c r="T35" s="1850">
        <f t="shared" si="18"/>
        <v>0</v>
      </c>
      <c r="U35" s="1850">
        <f t="shared" si="6"/>
        <v>0</v>
      </c>
      <c r="V35" s="1850">
        <f t="shared" si="6"/>
        <v>0</v>
      </c>
      <c r="W35" s="1850">
        <f t="shared" si="6"/>
        <v>0</v>
      </c>
      <c r="X35" s="1850">
        <f t="shared" si="6"/>
        <v>0</v>
      </c>
      <c r="Y35" s="1850">
        <f t="shared" si="6"/>
        <v>0</v>
      </c>
      <c r="Z35" s="1850">
        <f t="shared" si="7"/>
        <v>0</v>
      </c>
      <c r="AA35" s="2733"/>
    </row>
    <row r="36" spans="1:27" ht="18.75" x14ac:dyDescent="0.25">
      <c r="A36" s="2456"/>
      <c r="B36" s="1849">
        <v>2022</v>
      </c>
      <c r="C36" s="218">
        <f t="shared" si="8"/>
        <v>0</v>
      </c>
      <c r="D36" s="221">
        <f t="shared" si="9"/>
        <v>0</v>
      </c>
      <c r="E36" s="218">
        <f t="shared" si="10"/>
        <v>0</v>
      </c>
      <c r="F36" s="218">
        <f t="shared" si="11"/>
        <v>0</v>
      </c>
      <c r="G36" s="218">
        <f t="shared" si="12"/>
        <v>0</v>
      </c>
      <c r="H36" s="218">
        <f t="shared" si="13"/>
        <v>0</v>
      </c>
      <c r="I36" s="218">
        <f t="shared" si="14"/>
        <v>0</v>
      </c>
      <c r="J36" s="218">
        <f t="shared" si="15"/>
        <v>0</v>
      </c>
      <c r="K36" s="218">
        <f t="shared" si="16"/>
        <v>0</v>
      </c>
      <c r="L36" s="192">
        <f t="shared" si="17"/>
        <v>0</v>
      </c>
      <c r="M36" s="211">
        <v>66</v>
      </c>
      <c r="N36" s="211">
        <f>(29.53*1.02)*0.9423*1.0824</f>
        <v>30.721371029712003</v>
      </c>
      <c r="O36" s="211">
        <f>(42.96*1.02)*0.9423*1.0824</f>
        <v>44.693196729984003</v>
      </c>
      <c r="P36" s="211">
        <f>(16.43*1.02)*0.9423*1.0824</f>
        <v>17.092858991472003</v>
      </c>
      <c r="Q36" s="211">
        <f>(12.76*1.02)*0.9423*1.0824</f>
        <v>13.274794931903999</v>
      </c>
      <c r="R36" s="211">
        <f>(1.27*1.02)*0.9423*1.0824</f>
        <v>1.3212374266080003</v>
      </c>
      <c r="S36" s="211">
        <f>(0.0584*1.02)*0.9423*1.0824</f>
        <v>6.0756114735360002E-2</v>
      </c>
      <c r="T36" s="1850">
        <f t="shared" si="18"/>
        <v>0</v>
      </c>
      <c r="U36" s="1850">
        <f t="shared" si="6"/>
        <v>0</v>
      </c>
      <c r="V36" s="1850">
        <f t="shared" si="6"/>
        <v>0</v>
      </c>
      <c r="W36" s="1850">
        <f t="shared" si="6"/>
        <v>0</v>
      </c>
      <c r="X36" s="1850">
        <f t="shared" si="6"/>
        <v>0</v>
      </c>
      <c r="Y36" s="1850">
        <f t="shared" si="6"/>
        <v>0</v>
      </c>
      <c r="Z36" s="1850">
        <f t="shared" si="7"/>
        <v>0</v>
      </c>
      <c r="AA36" s="2733"/>
    </row>
    <row r="37" spans="1:27" ht="18.75" x14ac:dyDescent="0.25">
      <c r="A37" s="2456"/>
      <c r="B37" s="1849">
        <v>2023</v>
      </c>
      <c r="C37" s="218">
        <f t="shared" si="8"/>
        <v>0</v>
      </c>
      <c r="D37" s="221">
        <f t="shared" si="9"/>
        <v>0</v>
      </c>
      <c r="E37" s="218">
        <f t="shared" si="10"/>
        <v>0</v>
      </c>
      <c r="F37" s="218">
        <f t="shared" si="11"/>
        <v>0</v>
      </c>
      <c r="G37" s="218">
        <f t="shared" si="12"/>
        <v>0</v>
      </c>
      <c r="H37" s="218">
        <f t="shared" si="13"/>
        <v>0</v>
      </c>
      <c r="I37" s="218">
        <f t="shared" si="14"/>
        <v>0</v>
      </c>
      <c r="J37" s="218">
        <f t="shared" si="15"/>
        <v>0</v>
      </c>
      <c r="K37" s="218">
        <f t="shared" si="16"/>
        <v>0</v>
      </c>
      <c r="L37" s="192">
        <f t="shared" si="17"/>
        <v>0</v>
      </c>
      <c r="M37" s="211">
        <v>67</v>
      </c>
      <c r="N37" s="211">
        <f>(29.53*1.02)*0.9238*1.0824</f>
        <v>30.118224087072001</v>
      </c>
      <c r="O37" s="211">
        <f>(42.96*1.02)*0.9238*1.0824</f>
        <v>43.815743541504006</v>
      </c>
      <c r="P37" s="211">
        <f>(16.43*1.02)*0.9238*1.0824</f>
        <v>16.757278081632002</v>
      </c>
      <c r="Q37" s="211">
        <f>(12.76*1.02)*0.9238*1.0824</f>
        <v>13.014173361024</v>
      </c>
      <c r="R37" s="211">
        <f>(1.27*1.02)*0.9238*1.0824</f>
        <v>1.295297818848</v>
      </c>
      <c r="S37" s="211">
        <f>(0.0584*1.02)*0.9238*1.0824</f>
        <v>5.9563301276160004E-2</v>
      </c>
      <c r="T37" s="1850">
        <f t="shared" si="18"/>
        <v>0</v>
      </c>
      <c r="U37" s="1850">
        <f t="shared" si="6"/>
        <v>0</v>
      </c>
      <c r="V37" s="1850">
        <f t="shared" si="6"/>
        <v>0</v>
      </c>
      <c r="W37" s="1850">
        <f t="shared" si="6"/>
        <v>0</v>
      </c>
      <c r="X37" s="1850">
        <f t="shared" si="6"/>
        <v>0</v>
      </c>
      <c r="Y37" s="1850">
        <f t="shared" si="6"/>
        <v>0</v>
      </c>
      <c r="Z37" s="1850">
        <f t="shared" si="7"/>
        <v>0</v>
      </c>
      <c r="AA37" s="2733"/>
    </row>
    <row r="38" spans="1:27" ht="18.75" x14ac:dyDescent="0.25">
      <c r="A38" s="2456"/>
      <c r="B38" s="1849">
        <v>2024</v>
      </c>
      <c r="C38" s="218">
        <f t="shared" si="8"/>
        <v>0</v>
      </c>
      <c r="D38" s="221">
        <f t="shared" si="9"/>
        <v>0</v>
      </c>
      <c r="E38" s="218">
        <f t="shared" si="10"/>
        <v>0</v>
      </c>
      <c r="F38" s="218">
        <f t="shared" si="11"/>
        <v>0</v>
      </c>
      <c r="G38" s="218">
        <f t="shared" si="12"/>
        <v>0</v>
      </c>
      <c r="H38" s="218">
        <f t="shared" si="13"/>
        <v>0</v>
      </c>
      <c r="I38" s="218">
        <f t="shared" si="14"/>
        <v>0</v>
      </c>
      <c r="J38" s="218">
        <f t="shared" si="15"/>
        <v>0</v>
      </c>
      <c r="K38" s="218">
        <f t="shared" si="16"/>
        <v>0</v>
      </c>
      <c r="L38" s="192">
        <f t="shared" si="17"/>
        <v>0</v>
      </c>
      <c r="M38" s="211">
        <v>68</v>
      </c>
      <c r="N38" s="211">
        <f>(29.53*1.02)*0.9057*1.0824</f>
        <v>29.528118159408002</v>
      </c>
      <c r="O38" s="211">
        <f>(42.96*1.02)*0.9057*1.0824</f>
        <v>42.957262313856006</v>
      </c>
      <c r="P38" s="211">
        <f>(16.43*1.02)*0.9057*1.0824</f>
        <v>16.428952975248002</v>
      </c>
      <c r="Q38" s="211">
        <f>(12.76*1.02)*0.9057*1.0824</f>
        <v>12.759186851135999</v>
      </c>
      <c r="R38" s="211">
        <f>(1.27*1.02)*0.9057*1.0824</f>
        <v>1.269919067472</v>
      </c>
      <c r="S38" s="211">
        <f>(0.0584*1.02)*0.9057*1.0824</f>
        <v>5.8396278378240005E-2</v>
      </c>
      <c r="T38" s="1850">
        <f t="shared" si="18"/>
        <v>0</v>
      </c>
      <c r="U38" s="1850">
        <f t="shared" si="6"/>
        <v>0</v>
      </c>
      <c r="V38" s="1850">
        <f t="shared" si="6"/>
        <v>0</v>
      </c>
      <c r="W38" s="1850">
        <f t="shared" si="6"/>
        <v>0</v>
      </c>
      <c r="X38" s="1850">
        <f t="shared" si="6"/>
        <v>0</v>
      </c>
      <c r="Y38" s="1850">
        <f t="shared" si="6"/>
        <v>0</v>
      </c>
      <c r="Z38" s="1850">
        <f t="shared" si="7"/>
        <v>0</v>
      </c>
      <c r="AA38" s="2733"/>
    </row>
    <row r="39" spans="1:27" ht="18.75" x14ac:dyDescent="0.25">
      <c r="A39" s="2456"/>
      <c r="B39" s="1849">
        <v>2025</v>
      </c>
      <c r="C39" s="218">
        <f t="shared" si="8"/>
        <v>0</v>
      </c>
      <c r="D39" s="221">
        <f t="shared" si="9"/>
        <v>0</v>
      </c>
      <c r="E39" s="218">
        <f t="shared" si="10"/>
        <v>0</v>
      </c>
      <c r="F39" s="218">
        <f t="shared" si="11"/>
        <v>0</v>
      </c>
      <c r="G39" s="218">
        <f t="shared" si="12"/>
        <v>0</v>
      </c>
      <c r="H39" s="218">
        <f t="shared" si="13"/>
        <v>0</v>
      </c>
      <c r="I39" s="218">
        <f t="shared" si="14"/>
        <v>0</v>
      </c>
      <c r="J39" s="218">
        <f t="shared" si="15"/>
        <v>0</v>
      </c>
      <c r="K39" s="218">
        <f t="shared" si="16"/>
        <v>0</v>
      </c>
      <c r="L39" s="192">
        <f t="shared" si="17"/>
        <v>0</v>
      </c>
      <c r="M39" s="211">
        <v>69</v>
      </c>
      <c r="N39" s="211">
        <f>(29.53*1.02)*0.888*1.0824</f>
        <v>28.951053246720004</v>
      </c>
      <c r="O39" s="211">
        <f>(42.96*1.02)*0.888*1.0824</f>
        <v>42.117753047040004</v>
      </c>
      <c r="P39" s="211">
        <f>(16.43*1.02)*0.888*1.0824</f>
        <v>16.10788367232</v>
      </c>
      <c r="Q39" s="211">
        <f>(12.76*1.02)*0.888*1.0824</f>
        <v>12.50983540224</v>
      </c>
      <c r="R39" s="211">
        <f>(1.27*1.02)*0.888*1.0824</f>
        <v>1.2451011724800001</v>
      </c>
      <c r="S39" s="211">
        <f>(0.0584*1.02)*0.888*1.0824</f>
        <v>5.7255046041600005E-2</v>
      </c>
      <c r="T39" s="1850">
        <f t="shared" si="18"/>
        <v>0</v>
      </c>
      <c r="U39" s="1850">
        <f t="shared" si="6"/>
        <v>0</v>
      </c>
      <c r="V39" s="1850">
        <f t="shared" si="6"/>
        <v>0</v>
      </c>
      <c r="W39" s="1850">
        <f t="shared" si="6"/>
        <v>0</v>
      </c>
      <c r="X39" s="1850">
        <f t="shared" si="6"/>
        <v>0</v>
      </c>
      <c r="Y39" s="1850">
        <f t="shared" si="6"/>
        <v>0</v>
      </c>
      <c r="Z39" s="1850">
        <f t="shared" si="7"/>
        <v>0</v>
      </c>
      <c r="AA39" s="2733"/>
    </row>
    <row r="40" spans="1:27" ht="18.75" x14ac:dyDescent="0.25">
      <c r="A40" s="2456"/>
      <c r="B40" s="1849">
        <v>2026</v>
      </c>
      <c r="C40" s="218">
        <f t="shared" si="8"/>
        <v>0</v>
      </c>
      <c r="D40" s="221">
        <f t="shared" si="9"/>
        <v>0</v>
      </c>
      <c r="E40" s="218">
        <f t="shared" si="10"/>
        <v>0</v>
      </c>
      <c r="F40" s="218">
        <f t="shared" si="11"/>
        <v>0</v>
      </c>
      <c r="G40" s="218">
        <f t="shared" si="12"/>
        <v>0</v>
      </c>
      <c r="H40" s="218">
        <f t="shared" si="13"/>
        <v>0</v>
      </c>
      <c r="I40" s="218">
        <f t="shared" si="14"/>
        <v>0</v>
      </c>
      <c r="J40" s="218">
        <f t="shared" si="15"/>
        <v>0</v>
      </c>
      <c r="K40" s="218">
        <f t="shared" si="16"/>
        <v>0</v>
      </c>
      <c r="L40" s="192">
        <f t="shared" si="17"/>
        <v>0</v>
      </c>
      <c r="M40" s="211">
        <v>70</v>
      </c>
      <c r="N40" s="211">
        <f>(29.53*1.02)*0.8706*1.0824</f>
        <v>28.383769095264007</v>
      </c>
      <c r="O40" s="211">
        <f>(42.96*1.02)*0.8706*1.0824</f>
        <v>41.292472750848006</v>
      </c>
      <c r="P40" s="211">
        <f>(16.43*1.02)*0.8706*1.0824</f>
        <v>15.792256221984003</v>
      </c>
      <c r="Q40" s="211">
        <f>(12.76*1.02)*0.8706*1.0824</f>
        <v>12.264710249088001</v>
      </c>
      <c r="R40" s="211">
        <f>(1.27*1.02)*0.8706*1.0824</f>
        <v>1.2207039197760001</v>
      </c>
      <c r="S40" s="211">
        <f>(0.0584*1.02)*0.8706*1.0824</f>
        <v>5.6133156625920007E-2</v>
      </c>
      <c r="T40" s="1850">
        <f t="shared" si="18"/>
        <v>0</v>
      </c>
      <c r="U40" s="1850">
        <f t="shared" si="6"/>
        <v>0</v>
      </c>
      <c r="V40" s="1850">
        <f t="shared" si="6"/>
        <v>0</v>
      </c>
      <c r="W40" s="1850">
        <f t="shared" si="6"/>
        <v>0</v>
      </c>
      <c r="X40" s="1850">
        <f t="shared" si="6"/>
        <v>0</v>
      </c>
      <c r="Y40" s="1850">
        <f t="shared" si="6"/>
        <v>0</v>
      </c>
      <c r="Z40" s="1850">
        <f t="shared" si="7"/>
        <v>0</v>
      </c>
      <c r="AA40" s="2733"/>
    </row>
    <row r="41" spans="1:27" ht="18.75" x14ac:dyDescent="0.25">
      <c r="A41" s="2456"/>
      <c r="B41" s="1849">
        <v>2027</v>
      </c>
      <c r="C41" s="218">
        <f t="shared" si="8"/>
        <v>0</v>
      </c>
      <c r="D41" s="221">
        <f t="shared" si="9"/>
        <v>0</v>
      </c>
      <c r="E41" s="218">
        <f t="shared" si="10"/>
        <v>0</v>
      </c>
      <c r="F41" s="218">
        <f t="shared" si="11"/>
        <v>0</v>
      </c>
      <c r="G41" s="218">
        <f t="shared" si="12"/>
        <v>0</v>
      </c>
      <c r="H41" s="218">
        <f t="shared" si="13"/>
        <v>0</v>
      </c>
      <c r="I41" s="218">
        <f t="shared" si="14"/>
        <v>0</v>
      </c>
      <c r="J41" s="218">
        <f t="shared" si="15"/>
        <v>0</v>
      </c>
      <c r="K41" s="218">
        <f t="shared" si="16"/>
        <v>0</v>
      </c>
      <c r="L41" s="192">
        <f t="shared" si="17"/>
        <v>0</v>
      </c>
      <c r="M41" s="211">
        <v>71</v>
      </c>
      <c r="N41" s="211">
        <f>(29.53*1.02)*0.8535*1.0824</f>
        <v>27.826265705040004</v>
      </c>
      <c r="O41" s="211">
        <f>(42.96*1.02)*0.8535*1.0824</f>
        <v>40.481421425280004</v>
      </c>
      <c r="P41" s="211">
        <f>(16.43*1.02)*0.8535*1.0824</f>
        <v>15.482070624240002</v>
      </c>
      <c r="Q41" s="211">
        <f>(12.76*1.02)*0.8535*1.0824</f>
        <v>12.023811391680001</v>
      </c>
      <c r="R41" s="211">
        <f>(1.27*1.02)*0.8535*1.0824</f>
        <v>1.1967273093600002</v>
      </c>
      <c r="S41" s="211">
        <f>(0.0584*1.02)*0.8535*1.0824</f>
        <v>5.503061013120001E-2</v>
      </c>
      <c r="T41" s="1850">
        <f t="shared" si="18"/>
        <v>0</v>
      </c>
      <c r="U41" s="1850">
        <f t="shared" si="6"/>
        <v>0</v>
      </c>
      <c r="V41" s="1850">
        <f t="shared" si="6"/>
        <v>0</v>
      </c>
      <c r="W41" s="1850">
        <f t="shared" si="6"/>
        <v>0</v>
      </c>
      <c r="X41" s="1850">
        <f t="shared" si="6"/>
        <v>0</v>
      </c>
      <c r="Y41" s="1850">
        <f t="shared" si="6"/>
        <v>0</v>
      </c>
      <c r="Z41" s="1850">
        <f t="shared" si="7"/>
        <v>0</v>
      </c>
      <c r="AA41" s="2733"/>
    </row>
    <row r="42" spans="1:27" ht="18.75" x14ac:dyDescent="0.25">
      <c r="A42" s="2456"/>
      <c r="B42" s="1849">
        <v>2028</v>
      </c>
      <c r="C42" s="218">
        <f t="shared" si="8"/>
        <v>0</v>
      </c>
      <c r="D42" s="221">
        <f t="shared" si="9"/>
        <v>0</v>
      </c>
      <c r="E42" s="218">
        <f t="shared" si="10"/>
        <v>0</v>
      </c>
      <c r="F42" s="218">
        <f t="shared" si="11"/>
        <v>0</v>
      </c>
      <c r="G42" s="218">
        <f t="shared" si="12"/>
        <v>0</v>
      </c>
      <c r="H42" s="218">
        <f t="shared" si="13"/>
        <v>0</v>
      </c>
      <c r="I42" s="218">
        <f t="shared" si="14"/>
        <v>0</v>
      </c>
      <c r="J42" s="218">
        <f t="shared" si="15"/>
        <v>0</v>
      </c>
      <c r="K42" s="218">
        <f t="shared" si="16"/>
        <v>0</v>
      </c>
      <c r="L42" s="192">
        <f t="shared" si="17"/>
        <v>0</v>
      </c>
      <c r="M42" s="211">
        <v>72</v>
      </c>
      <c r="N42" s="211">
        <f>(29.53*1.02)*0.8368*1.0824</f>
        <v>27.281803329792002</v>
      </c>
      <c r="O42" s="211">
        <f>(42.96*1.02)*0.8368*1.0824</f>
        <v>39.689342060544</v>
      </c>
      <c r="P42" s="211">
        <f>(16.43*1.02)*0.8368*1.0824</f>
        <v>15.179140829952001</v>
      </c>
      <c r="Q42" s="211">
        <f>(12.76*1.02)*0.8368*1.0824</f>
        <v>11.788547595263999</v>
      </c>
      <c r="R42" s="211">
        <f>(1.27*1.02)*0.8368*1.0824</f>
        <v>1.173311555328</v>
      </c>
      <c r="S42" s="211">
        <f>(0.0584*1.02)*0.8368*1.0824</f>
        <v>5.3953854197759998E-2</v>
      </c>
      <c r="T42" s="1850">
        <f t="shared" si="18"/>
        <v>0</v>
      </c>
      <c r="U42" s="1850">
        <f t="shared" si="6"/>
        <v>0</v>
      </c>
      <c r="V42" s="1850">
        <f t="shared" si="6"/>
        <v>0</v>
      </c>
      <c r="W42" s="1850">
        <f t="shared" si="6"/>
        <v>0</v>
      </c>
      <c r="X42" s="1850">
        <f t="shared" si="6"/>
        <v>0</v>
      </c>
      <c r="Y42" s="1850">
        <f t="shared" si="6"/>
        <v>0</v>
      </c>
      <c r="Z42" s="1850">
        <f t="shared" si="7"/>
        <v>0</v>
      </c>
      <c r="AA42" s="2733"/>
    </row>
    <row r="43" spans="1:27" ht="18.75" x14ac:dyDescent="0.25">
      <c r="A43" s="2456"/>
      <c r="B43" s="1849">
        <v>2029</v>
      </c>
      <c r="C43" s="218">
        <f t="shared" si="8"/>
        <v>0</v>
      </c>
      <c r="D43" s="221">
        <f t="shared" si="9"/>
        <v>0</v>
      </c>
      <c r="E43" s="218">
        <f t="shared" si="10"/>
        <v>0</v>
      </c>
      <c r="F43" s="218">
        <f t="shared" si="11"/>
        <v>0</v>
      </c>
      <c r="G43" s="218">
        <f t="shared" si="12"/>
        <v>0</v>
      </c>
      <c r="H43" s="218">
        <f t="shared" si="13"/>
        <v>0</v>
      </c>
      <c r="I43" s="218">
        <f t="shared" si="14"/>
        <v>0</v>
      </c>
      <c r="J43" s="218">
        <f t="shared" si="15"/>
        <v>0</v>
      </c>
      <c r="K43" s="218">
        <f t="shared" si="16"/>
        <v>0</v>
      </c>
      <c r="L43" s="192">
        <f t="shared" si="17"/>
        <v>0</v>
      </c>
      <c r="M43" s="211">
        <v>73</v>
      </c>
      <c r="N43" s="211">
        <f>(29.53*1.02)*0.8203*1.0824</f>
        <v>26.743861462032005</v>
      </c>
      <c r="O43" s="211">
        <f>(42.96*1.02)*0.8203*1.0824</f>
        <v>38.906748676224005</v>
      </c>
      <c r="P43" s="211">
        <f>(16.43*1.02)*0.8203*1.0824</f>
        <v>14.879838937392002</v>
      </c>
      <c r="Q43" s="211">
        <f>(12.76*1.02)*0.8203*1.0824</f>
        <v>11.556101329344001</v>
      </c>
      <c r="R43" s="211">
        <f>(1.27*1.02)*0.8203*1.0824</f>
        <v>1.1501762294880002</v>
      </c>
      <c r="S43" s="211">
        <f>(0.0584*1.02)*0.8203*1.0824</f>
        <v>5.2889993544960004E-2</v>
      </c>
      <c r="T43" s="1850">
        <f t="shared" si="18"/>
        <v>0</v>
      </c>
      <c r="U43" s="1850">
        <f t="shared" si="6"/>
        <v>0</v>
      </c>
      <c r="V43" s="1850">
        <f t="shared" si="6"/>
        <v>0</v>
      </c>
      <c r="W43" s="1850">
        <f t="shared" si="6"/>
        <v>0</v>
      </c>
      <c r="X43" s="1850">
        <f t="shared" si="6"/>
        <v>0</v>
      </c>
      <c r="Y43" s="1850">
        <f t="shared" si="6"/>
        <v>0</v>
      </c>
      <c r="Z43" s="1850">
        <f t="shared" si="7"/>
        <v>0</v>
      </c>
      <c r="AA43" s="2733"/>
    </row>
    <row r="44" spans="1:27" ht="18.75" x14ac:dyDescent="0.25">
      <c r="A44" s="2456"/>
      <c r="B44" s="1849">
        <v>2030</v>
      </c>
      <c r="C44" s="218">
        <f t="shared" si="8"/>
        <v>0</v>
      </c>
      <c r="D44" s="221">
        <f t="shared" si="9"/>
        <v>0</v>
      </c>
      <c r="E44" s="218">
        <f t="shared" si="10"/>
        <v>0</v>
      </c>
      <c r="F44" s="218">
        <f t="shared" si="11"/>
        <v>0</v>
      </c>
      <c r="G44" s="218">
        <f t="shared" si="12"/>
        <v>0</v>
      </c>
      <c r="H44" s="218">
        <f t="shared" si="13"/>
        <v>0</v>
      </c>
      <c r="I44" s="218">
        <f t="shared" si="14"/>
        <v>0</v>
      </c>
      <c r="J44" s="218">
        <f t="shared" si="15"/>
        <v>0</v>
      </c>
      <c r="K44" s="218">
        <f t="shared" si="16"/>
        <v>0</v>
      </c>
      <c r="L44" s="192">
        <f t="shared" si="17"/>
        <v>0</v>
      </c>
      <c r="M44" s="211">
        <v>75</v>
      </c>
      <c r="N44" s="211">
        <f>(29.53*1.02)*0.8043*1.0824</f>
        <v>26.222220862992003</v>
      </c>
      <c r="O44" s="211">
        <f>(42.96*1.02)*0.8043*1.0824</f>
        <v>38.147870242944002</v>
      </c>
      <c r="P44" s="211">
        <f>(16.43*1.02)*0.8043*1.0824</f>
        <v>14.589606799152003</v>
      </c>
      <c r="Q44" s="211">
        <f>(12.76*1.02)*0.8043*1.0824</f>
        <v>11.330698889664001</v>
      </c>
      <c r="R44" s="211">
        <f>(1.27*1.02)*0.8043*1.0824</f>
        <v>1.1277419741280001</v>
      </c>
      <c r="S44" s="211">
        <f>(0.0584*1.02)*0.8043*1.0824</f>
        <v>5.1858371093760007E-2</v>
      </c>
      <c r="T44" s="1850">
        <f t="shared" si="18"/>
        <v>0</v>
      </c>
      <c r="U44" s="1850">
        <f t="shared" si="6"/>
        <v>0</v>
      </c>
      <c r="V44" s="1850">
        <f t="shared" si="6"/>
        <v>0</v>
      </c>
      <c r="W44" s="1850">
        <f t="shared" si="6"/>
        <v>0</v>
      </c>
      <c r="X44" s="1850">
        <f t="shared" si="6"/>
        <v>0</v>
      </c>
      <c r="Y44" s="1850">
        <f t="shared" si="6"/>
        <v>0</v>
      </c>
      <c r="Z44" s="1850">
        <f t="shared" si="7"/>
        <v>0</v>
      </c>
      <c r="AA44" s="2733"/>
    </row>
    <row r="45" spans="1:27" ht="18.75" x14ac:dyDescent="0.25">
      <c r="A45" s="2456"/>
      <c r="B45" s="1849">
        <v>2031</v>
      </c>
      <c r="C45" s="218">
        <f t="shared" si="8"/>
        <v>0</v>
      </c>
      <c r="D45" s="221">
        <f t="shared" si="9"/>
        <v>0</v>
      </c>
      <c r="E45" s="218">
        <f t="shared" si="10"/>
        <v>0</v>
      </c>
      <c r="F45" s="218">
        <f t="shared" si="11"/>
        <v>0</v>
      </c>
      <c r="G45" s="218">
        <f t="shared" si="12"/>
        <v>0</v>
      </c>
      <c r="H45" s="218">
        <f t="shared" si="13"/>
        <v>0</v>
      </c>
      <c r="I45" s="218">
        <f t="shared" si="14"/>
        <v>0</v>
      </c>
      <c r="J45" s="218">
        <f t="shared" si="15"/>
        <v>0</v>
      </c>
      <c r="K45" s="218">
        <f t="shared" si="16"/>
        <v>0</v>
      </c>
      <c r="L45" s="192">
        <f t="shared" si="17"/>
        <v>0</v>
      </c>
      <c r="M45" s="211">
        <v>76</v>
      </c>
      <c r="N45" s="211">
        <f>(29.53*1.02)*0.7885*1.0824</f>
        <v>25.70710077144</v>
      </c>
      <c r="O45" s="211">
        <f>(42.96*1.02)*0.7885*1.0824</f>
        <v>37.398477790080001</v>
      </c>
      <c r="P45" s="211">
        <f>(16.43*1.02)*0.7885*1.0824</f>
        <v>14.303002562640001</v>
      </c>
      <c r="Q45" s="211">
        <f>(12.76*1.02)*0.7885*1.0824</f>
        <v>11.108113980480001</v>
      </c>
      <c r="R45" s="211">
        <f>(1.27*1.02)*0.7885*1.0824</f>
        <v>1.1055881469600002</v>
      </c>
      <c r="S45" s="211">
        <f>(0.0584*1.02)*0.7885*1.0824</f>
        <v>5.0839643923200006E-2</v>
      </c>
      <c r="T45" s="1850">
        <f t="shared" si="18"/>
        <v>0</v>
      </c>
      <c r="U45" s="1850">
        <f t="shared" si="6"/>
        <v>0</v>
      </c>
      <c r="V45" s="1850">
        <f t="shared" si="6"/>
        <v>0</v>
      </c>
      <c r="W45" s="1850">
        <f t="shared" si="6"/>
        <v>0</v>
      </c>
      <c r="X45" s="1850">
        <f t="shared" si="6"/>
        <v>0</v>
      </c>
      <c r="Y45" s="1850">
        <f t="shared" si="6"/>
        <v>0</v>
      </c>
      <c r="Z45" s="1850">
        <f t="shared" si="7"/>
        <v>0</v>
      </c>
      <c r="AA45" s="2733"/>
    </row>
    <row r="46" spans="1:27" ht="18.75" x14ac:dyDescent="0.25">
      <c r="A46" s="2456"/>
      <c r="B46" s="1849">
        <v>2032</v>
      </c>
      <c r="C46" s="218">
        <f t="shared" si="8"/>
        <v>0</v>
      </c>
      <c r="D46" s="221">
        <f t="shared" si="9"/>
        <v>0</v>
      </c>
      <c r="E46" s="218">
        <f t="shared" si="10"/>
        <v>0</v>
      </c>
      <c r="F46" s="218">
        <f t="shared" si="11"/>
        <v>0</v>
      </c>
      <c r="G46" s="218">
        <f t="shared" si="12"/>
        <v>0</v>
      </c>
      <c r="H46" s="218">
        <f t="shared" si="13"/>
        <v>0</v>
      </c>
      <c r="I46" s="218">
        <f t="shared" si="14"/>
        <v>0</v>
      </c>
      <c r="J46" s="218">
        <f t="shared" si="15"/>
        <v>0</v>
      </c>
      <c r="K46" s="218">
        <f t="shared" si="16"/>
        <v>0</v>
      </c>
      <c r="L46" s="192">
        <f t="shared" si="17"/>
        <v>0</v>
      </c>
      <c r="M46" s="211">
        <v>77</v>
      </c>
      <c r="N46" s="211">
        <f>(29.53*1.02)*0.773*1.0824</f>
        <v>25.201761441120002</v>
      </c>
      <c r="O46" s="211">
        <f>(42.96*1.02)*0.773*1.0824</f>
        <v>36.663314307840004</v>
      </c>
      <c r="P46" s="211">
        <f>(16.43*1.02)*0.773*1.0824</f>
        <v>14.021840178720002</v>
      </c>
      <c r="Q46" s="211">
        <f>(12.76*1.02)*0.773*1.0824</f>
        <v>10.889755367040001</v>
      </c>
      <c r="R46" s="211">
        <f>(1.27*1.02)*0.773*1.0824</f>
        <v>1.0838549620800002</v>
      </c>
      <c r="S46" s="211">
        <f>(0.0584*1.02)*0.773*1.0824</f>
        <v>4.9840259673600007E-2</v>
      </c>
      <c r="T46" s="1850">
        <f t="shared" si="18"/>
        <v>0</v>
      </c>
      <c r="U46" s="1850">
        <f t="shared" si="6"/>
        <v>0</v>
      </c>
      <c r="V46" s="1850">
        <f t="shared" si="6"/>
        <v>0</v>
      </c>
      <c r="W46" s="1850">
        <f t="shared" si="6"/>
        <v>0</v>
      </c>
      <c r="X46" s="1850">
        <f t="shared" si="6"/>
        <v>0</v>
      </c>
      <c r="Y46" s="1850">
        <f t="shared" si="6"/>
        <v>0</v>
      </c>
      <c r="Z46" s="1850">
        <f t="shared" si="7"/>
        <v>0</v>
      </c>
      <c r="AA46" s="2733"/>
    </row>
    <row r="47" spans="1:27" ht="18.75" x14ac:dyDescent="0.25">
      <c r="A47" s="2456"/>
      <c r="B47" s="1849">
        <v>2033</v>
      </c>
      <c r="C47" s="218">
        <f t="shared" si="8"/>
        <v>0</v>
      </c>
      <c r="D47" s="221">
        <f t="shared" si="9"/>
        <v>0</v>
      </c>
      <c r="E47" s="218">
        <f t="shared" si="10"/>
        <v>0</v>
      </c>
      <c r="F47" s="218">
        <f t="shared" si="11"/>
        <v>0</v>
      </c>
      <c r="G47" s="218">
        <f t="shared" si="12"/>
        <v>0</v>
      </c>
      <c r="H47" s="218">
        <f t="shared" si="13"/>
        <v>0</v>
      </c>
      <c r="I47" s="218">
        <f t="shared" si="14"/>
        <v>0</v>
      </c>
      <c r="J47" s="218">
        <f t="shared" si="15"/>
        <v>0</v>
      </c>
      <c r="K47" s="218">
        <f t="shared" si="16"/>
        <v>0</v>
      </c>
      <c r="L47" s="192">
        <f t="shared" si="17"/>
        <v>0</v>
      </c>
      <c r="M47" s="211">
        <v>78</v>
      </c>
      <c r="N47" s="211">
        <f>(29.53*1.02)*0.7579*1.0824</f>
        <v>24.709463125776001</v>
      </c>
      <c r="O47" s="211">
        <f>(42.96*1.02)*0.7579*1.0824</f>
        <v>35.947122786432004</v>
      </c>
      <c r="P47" s="211">
        <f>(16.43*1.02)*0.7579*1.0824</f>
        <v>13.747933598256003</v>
      </c>
      <c r="Q47" s="211">
        <f>(12.76*1.02)*0.7579*1.0824</f>
        <v>10.677031814592</v>
      </c>
      <c r="R47" s="211">
        <f>(1.27*1.02)*0.7579*1.0824</f>
        <v>1.0626826335840001</v>
      </c>
      <c r="S47" s="211">
        <f>(0.0584*1.02)*0.7579*1.0824</f>
        <v>4.8866665985280007E-2</v>
      </c>
      <c r="T47" s="1850">
        <f t="shared" si="18"/>
        <v>0</v>
      </c>
      <c r="U47" s="1850">
        <f t="shared" si="6"/>
        <v>0</v>
      </c>
      <c r="V47" s="1850">
        <f t="shared" si="6"/>
        <v>0</v>
      </c>
      <c r="W47" s="1850">
        <f t="shared" si="6"/>
        <v>0</v>
      </c>
      <c r="X47" s="1850">
        <f t="shared" si="6"/>
        <v>0</v>
      </c>
      <c r="Y47" s="1850">
        <f t="shared" si="6"/>
        <v>0</v>
      </c>
      <c r="Z47" s="1850">
        <f t="shared" si="7"/>
        <v>0</v>
      </c>
      <c r="AA47" s="2733"/>
    </row>
    <row r="48" spans="1:27" ht="18.75" x14ac:dyDescent="0.25">
      <c r="A48" s="2456"/>
      <c r="B48" s="1849">
        <v>2034</v>
      </c>
      <c r="C48" s="218">
        <f t="shared" si="8"/>
        <v>0</v>
      </c>
      <c r="D48" s="221">
        <f t="shared" si="9"/>
        <v>0</v>
      </c>
      <c r="E48" s="218">
        <f t="shared" si="10"/>
        <v>0</v>
      </c>
      <c r="F48" s="218">
        <f t="shared" si="11"/>
        <v>0</v>
      </c>
      <c r="G48" s="218">
        <f t="shared" si="12"/>
        <v>0</v>
      </c>
      <c r="H48" s="218">
        <f t="shared" si="13"/>
        <v>0</v>
      </c>
      <c r="I48" s="218">
        <f t="shared" si="14"/>
        <v>0</v>
      </c>
      <c r="J48" s="218">
        <f t="shared" si="15"/>
        <v>0</v>
      </c>
      <c r="K48" s="218">
        <f t="shared" si="16"/>
        <v>0</v>
      </c>
      <c r="L48" s="192">
        <f t="shared" si="17"/>
        <v>0</v>
      </c>
      <c r="M48" s="211">
        <v>79</v>
      </c>
      <c r="N48" s="211">
        <f>(29.53*1.02)*0.743*1.0824</f>
        <v>24.223685317920005</v>
      </c>
      <c r="O48" s="211">
        <f>(42.96*1.02)*0.743*1.0824</f>
        <v>35.24041724544</v>
      </c>
      <c r="P48" s="211">
        <f>(16.43*1.02)*0.743*1.0824</f>
        <v>13.477654919520001</v>
      </c>
      <c r="Q48" s="211">
        <f>(12.76*1.02)*0.743*1.0824</f>
        <v>10.467125792640001</v>
      </c>
      <c r="R48" s="211">
        <f>(1.27*1.02)*0.743*1.0824</f>
        <v>1.04179073328</v>
      </c>
      <c r="S48" s="211">
        <f>(0.0584*1.02)*0.743*1.0824</f>
        <v>4.7905967577600003E-2</v>
      </c>
      <c r="T48" s="1850">
        <f t="shared" si="18"/>
        <v>0</v>
      </c>
      <c r="U48" s="1850">
        <f t="shared" si="6"/>
        <v>0</v>
      </c>
      <c r="V48" s="1850">
        <f t="shared" si="6"/>
        <v>0</v>
      </c>
      <c r="W48" s="1850">
        <f t="shared" si="6"/>
        <v>0</v>
      </c>
      <c r="X48" s="1850">
        <f t="shared" si="6"/>
        <v>0</v>
      </c>
      <c r="Y48" s="1850">
        <f t="shared" si="6"/>
        <v>0</v>
      </c>
      <c r="Z48" s="1850">
        <f t="shared" si="7"/>
        <v>0</v>
      </c>
      <c r="AA48" s="2733"/>
    </row>
    <row r="49" spans="1:27" ht="18.75" x14ac:dyDescent="0.25">
      <c r="A49" s="2456"/>
      <c r="B49" s="1849">
        <v>2035</v>
      </c>
      <c r="C49" s="218">
        <f t="shared" si="8"/>
        <v>0</v>
      </c>
      <c r="D49" s="221">
        <f t="shared" si="9"/>
        <v>0</v>
      </c>
      <c r="E49" s="218">
        <f t="shared" si="10"/>
        <v>0</v>
      </c>
      <c r="F49" s="218">
        <f t="shared" si="11"/>
        <v>0</v>
      </c>
      <c r="G49" s="218">
        <f t="shared" si="12"/>
        <v>0</v>
      </c>
      <c r="H49" s="218">
        <f t="shared" si="13"/>
        <v>0</v>
      </c>
      <c r="I49" s="218">
        <f t="shared" si="14"/>
        <v>0</v>
      </c>
      <c r="J49" s="218">
        <f t="shared" si="15"/>
        <v>0</v>
      </c>
      <c r="K49" s="218">
        <f t="shared" si="16"/>
        <v>0</v>
      </c>
      <c r="L49" s="192">
        <f t="shared" si="17"/>
        <v>0</v>
      </c>
      <c r="M49" s="211">
        <v>80</v>
      </c>
      <c r="N49" s="211">
        <f>(29.53*1.02)*0.7284*1.0824</f>
        <v>23.747688271296006</v>
      </c>
      <c r="O49" s="211">
        <f>(42.96*1.02)*0.7284*1.0824</f>
        <v>34.547940675072006</v>
      </c>
      <c r="P49" s="211">
        <f>(16.43*1.02)*0.7284*1.0824</f>
        <v>13.212818093376002</v>
      </c>
      <c r="Q49" s="211">
        <f>(12.76*1.02)*0.7284*1.0824</f>
        <v>10.261446066432002</v>
      </c>
      <c r="R49" s="211">
        <f>(1.27*1.02)*0.7284*1.0824</f>
        <v>1.0213194752640002</v>
      </c>
      <c r="S49" s="211">
        <f>(0.0584*1.02)*0.7284*1.0824</f>
        <v>4.6964612090880008E-2</v>
      </c>
      <c r="T49" s="1850">
        <f t="shared" si="18"/>
        <v>0</v>
      </c>
      <c r="U49" s="1850">
        <f t="shared" si="6"/>
        <v>0</v>
      </c>
      <c r="V49" s="1850">
        <f t="shared" si="6"/>
        <v>0</v>
      </c>
      <c r="W49" s="1850">
        <f t="shared" si="6"/>
        <v>0</v>
      </c>
      <c r="X49" s="1850">
        <f t="shared" si="6"/>
        <v>0</v>
      </c>
      <c r="Y49" s="1850">
        <f t="shared" si="6"/>
        <v>0</v>
      </c>
      <c r="Z49" s="1850">
        <f t="shared" si="7"/>
        <v>0</v>
      </c>
      <c r="AA49" s="2733"/>
    </row>
    <row r="50" spans="1:27" ht="18.75" x14ac:dyDescent="0.25">
      <c r="A50" s="2456"/>
      <c r="B50" s="1849">
        <v>2036</v>
      </c>
      <c r="C50" s="218">
        <f t="shared" si="8"/>
        <v>0</v>
      </c>
      <c r="D50" s="221">
        <f t="shared" si="9"/>
        <v>0</v>
      </c>
      <c r="E50" s="218">
        <f t="shared" si="10"/>
        <v>0</v>
      </c>
      <c r="F50" s="218">
        <f t="shared" si="11"/>
        <v>0</v>
      </c>
      <c r="G50" s="218">
        <f t="shared" si="12"/>
        <v>0</v>
      </c>
      <c r="H50" s="218">
        <f t="shared" si="13"/>
        <v>0</v>
      </c>
      <c r="I50" s="218">
        <f t="shared" si="14"/>
        <v>0</v>
      </c>
      <c r="J50" s="218">
        <f t="shared" si="15"/>
        <v>0</v>
      </c>
      <c r="K50" s="218">
        <f t="shared" si="16"/>
        <v>0</v>
      </c>
      <c r="L50" s="192">
        <f t="shared" si="17"/>
        <v>0</v>
      </c>
      <c r="M50" s="211">
        <v>81</v>
      </c>
      <c r="N50" s="211">
        <f>(29.53*1.02)*0.7142*1.0824</f>
        <v>23.284732239648001</v>
      </c>
      <c r="O50" s="211">
        <f>(42.96*1.02)*0.7142*1.0824</f>
        <v>33.874436065536003</v>
      </c>
      <c r="P50" s="211">
        <f>(16.43*1.02)*0.7142*1.0824</f>
        <v>12.955237070688</v>
      </c>
      <c r="Q50" s="211">
        <f>(12.76*1.02)*0.7142*1.0824</f>
        <v>10.061401401215999</v>
      </c>
      <c r="R50" s="211">
        <f>(1.27*1.02)*0.7142*1.0824</f>
        <v>1.001409073632</v>
      </c>
      <c r="S50" s="211">
        <f>(0.0584*1.02)*0.7142*1.0824</f>
        <v>4.6049047165439998E-2</v>
      </c>
      <c r="T50" s="1850">
        <f t="shared" si="18"/>
        <v>0</v>
      </c>
      <c r="U50" s="1850">
        <f t="shared" si="6"/>
        <v>0</v>
      </c>
      <c r="V50" s="1850">
        <f t="shared" si="6"/>
        <v>0</v>
      </c>
      <c r="W50" s="1850">
        <f t="shared" si="6"/>
        <v>0</v>
      </c>
      <c r="X50" s="1850">
        <f t="shared" si="6"/>
        <v>0</v>
      </c>
      <c r="Y50" s="1850">
        <f t="shared" si="6"/>
        <v>0</v>
      </c>
      <c r="Z50" s="1850">
        <f t="shared" si="7"/>
        <v>0</v>
      </c>
      <c r="AA50" s="2733"/>
    </row>
    <row r="51" spans="1:27" ht="18.75" x14ac:dyDescent="0.25">
      <c r="A51" s="2456"/>
      <c r="B51" s="1849">
        <v>2037</v>
      </c>
      <c r="C51" s="218">
        <f t="shared" si="8"/>
        <v>0</v>
      </c>
      <c r="D51" s="221">
        <f t="shared" si="9"/>
        <v>0</v>
      </c>
      <c r="E51" s="218">
        <f t="shared" si="10"/>
        <v>0</v>
      </c>
      <c r="F51" s="218">
        <f t="shared" si="11"/>
        <v>0</v>
      </c>
      <c r="G51" s="218">
        <f t="shared" si="12"/>
        <v>0</v>
      </c>
      <c r="H51" s="218">
        <f t="shared" si="13"/>
        <v>0</v>
      </c>
      <c r="I51" s="218">
        <f t="shared" si="14"/>
        <v>0</v>
      </c>
      <c r="J51" s="218">
        <f t="shared" si="15"/>
        <v>0</v>
      </c>
      <c r="K51" s="218">
        <f t="shared" si="16"/>
        <v>0</v>
      </c>
      <c r="L51" s="192">
        <f t="shared" si="17"/>
        <v>0</v>
      </c>
      <c r="M51" s="211">
        <v>83</v>
      </c>
      <c r="N51" s="211">
        <f>(29.53*1.02)*0.7002*1.0824</f>
        <v>22.828296715488005</v>
      </c>
      <c r="O51" s="211">
        <f>(42.96*1.02)*0.7002*1.0824</f>
        <v>33.210417436416002</v>
      </c>
      <c r="P51" s="211">
        <f>(16.43*1.02)*0.7002*1.0824</f>
        <v>12.701283949728003</v>
      </c>
      <c r="Q51" s="211">
        <f>(12.76*1.02)*0.7002*1.0824</f>
        <v>9.8641742664960006</v>
      </c>
      <c r="R51" s="211">
        <f>(1.27*1.02)*0.7002*1.0824</f>
        <v>0.9817791001920001</v>
      </c>
      <c r="S51" s="211">
        <f>(0.0584*1.02)*0.7002*1.0824</f>
        <v>4.5146377520640005E-2</v>
      </c>
      <c r="T51" s="1850">
        <f t="shared" si="18"/>
        <v>0</v>
      </c>
      <c r="U51" s="1850">
        <f t="shared" si="6"/>
        <v>0</v>
      </c>
      <c r="V51" s="1850">
        <f t="shared" si="6"/>
        <v>0</v>
      </c>
      <c r="W51" s="1850">
        <f t="shared" si="6"/>
        <v>0</v>
      </c>
      <c r="X51" s="1850">
        <f t="shared" si="6"/>
        <v>0</v>
      </c>
      <c r="Y51" s="1850">
        <f t="shared" si="6"/>
        <v>0</v>
      </c>
      <c r="Z51" s="1850">
        <f t="shared" si="7"/>
        <v>0</v>
      </c>
      <c r="AA51" s="2733"/>
    </row>
    <row r="52" spans="1:27" ht="18.75" x14ac:dyDescent="0.25">
      <c r="A52" s="2456"/>
      <c r="B52" s="1849">
        <v>2038</v>
      </c>
      <c r="C52" s="218">
        <f t="shared" si="8"/>
        <v>0</v>
      </c>
      <c r="D52" s="221">
        <f t="shared" si="9"/>
        <v>0</v>
      </c>
      <c r="E52" s="218">
        <f t="shared" si="10"/>
        <v>0</v>
      </c>
      <c r="F52" s="218">
        <f t="shared" si="11"/>
        <v>0</v>
      </c>
      <c r="G52" s="218">
        <f t="shared" si="12"/>
        <v>0</v>
      </c>
      <c r="H52" s="218">
        <f t="shared" si="13"/>
        <v>0</v>
      </c>
      <c r="I52" s="218">
        <f t="shared" si="14"/>
        <v>0</v>
      </c>
      <c r="J52" s="218">
        <f t="shared" si="15"/>
        <v>0</v>
      </c>
      <c r="K52" s="218">
        <f t="shared" si="16"/>
        <v>0</v>
      </c>
      <c r="L52" s="192">
        <f t="shared" si="17"/>
        <v>0</v>
      </c>
      <c r="M52" s="211">
        <v>84</v>
      </c>
      <c r="N52" s="211">
        <f>(29.53*1.02)*0.6864*1.0824</f>
        <v>22.378381698816003</v>
      </c>
      <c r="O52" s="211">
        <f>(42.96*1.02)*0.6864*1.0824</f>
        <v>32.555884787712003</v>
      </c>
      <c r="P52" s="211">
        <f>(16.43*1.02)*0.6864*1.0824</f>
        <v>12.450958730496001</v>
      </c>
      <c r="Q52" s="211">
        <f>(12.76*1.02)*0.6864*1.0824</f>
        <v>9.6697646622720015</v>
      </c>
      <c r="R52" s="211">
        <f>(1.27*1.02)*0.6864*1.0824</f>
        <v>0.96242955494400007</v>
      </c>
      <c r="S52" s="211">
        <f>(0.0584*1.02)*0.6864*1.0824</f>
        <v>4.4256603156480001E-2</v>
      </c>
      <c r="T52" s="1850">
        <f t="shared" si="18"/>
        <v>0</v>
      </c>
      <c r="U52" s="1850">
        <f t="shared" si="6"/>
        <v>0</v>
      </c>
      <c r="V52" s="1850">
        <f t="shared" si="6"/>
        <v>0</v>
      </c>
      <c r="W52" s="1850">
        <f t="shared" si="6"/>
        <v>0</v>
      </c>
      <c r="X52" s="1850">
        <f t="shared" si="6"/>
        <v>0</v>
      </c>
      <c r="Y52" s="1850">
        <f t="shared" si="6"/>
        <v>0</v>
      </c>
      <c r="Z52" s="1850">
        <f t="shared" si="7"/>
        <v>0</v>
      </c>
      <c r="AA52" s="2733"/>
    </row>
    <row r="53" spans="1:27" ht="18.75" x14ac:dyDescent="0.25">
      <c r="A53" s="2456"/>
      <c r="B53" s="1849">
        <v>2039</v>
      </c>
      <c r="C53" s="218">
        <f t="shared" si="8"/>
        <v>0</v>
      </c>
      <c r="D53" s="221">
        <f t="shared" si="9"/>
        <v>0</v>
      </c>
      <c r="E53" s="218">
        <f t="shared" si="10"/>
        <v>0</v>
      </c>
      <c r="F53" s="218">
        <f t="shared" si="11"/>
        <v>0</v>
      </c>
      <c r="G53" s="218">
        <f t="shared" si="12"/>
        <v>0</v>
      </c>
      <c r="H53" s="218">
        <f t="shared" si="13"/>
        <v>0</v>
      </c>
      <c r="I53" s="218">
        <f t="shared" si="14"/>
        <v>0</v>
      </c>
      <c r="J53" s="218">
        <f t="shared" si="15"/>
        <v>0</v>
      </c>
      <c r="K53" s="218">
        <f t="shared" si="16"/>
        <v>0</v>
      </c>
      <c r="L53" s="192">
        <f t="shared" si="17"/>
        <v>0</v>
      </c>
      <c r="M53" s="211">
        <v>85</v>
      </c>
      <c r="N53" s="211">
        <f>(29.53*1.02)*0.673*1.0824</f>
        <v>21.941507697120006</v>
      </c>
      <c r="O53" s="211">
        <f>(42.96*1.02)*0.673*1.0824</f>
        <v>31.920324099840006</v>
      </c>
      <c r="P53" s="211">
        <f>(16.43*1.02)*0.673*1.0824</f>
        <v>12.207889314720003</v>
      </c>
      <c r="Q53" s="211">
        <f>(12.76*1.02)*0.673*1.0824</f>
        <v>9.4809901190400012</v>
      </c>
      <c r="R53" s="211">
        <f>(1.27*1.02)*0.673*1.0824</f>
        <v>0.9436408660800002</v>
      </c>
      <c r="S53" s="211">
        <f>(0.0584*1.02)*0.673*1.0824</f>
        <v>4.3392619353600011E-2</v>
      </c>
      <c r="T53" s="1850">
        <f t="shared" si="18"/>
        <v>0</v>
      </c>
      <c r="U53" s="1850">
        <f t="shared" si="6"/>
        <v>0</v>
      </c>
      <c r="V53" s="1850">
        <f t="shared" si="6"/>
        <v>0</v>
      </c>
      <c r="W53" s="1850">
        <f t="shared" si="6"/>
        <v>0</v>
      </c>
      <c r="X53" s="1850">
        <f t="shared" si="6"/>
        <v>0</v>
      </c>
      <c r="Y53" s="1850">
        <f t="shared" si="6"/>
        <v>0</v>
      </c>
      <c r="Z53" s="1850">
        <f t="shared" si="7"/>
        <v>0</v>
      </c>
      <c r="AA53" s="2733"/>
    </row>
    <row r="54" spans="1:27" ht="18.75" x14ac:dyDescent="0.25">
      <c r="A54" s="2456"/>
      <c r="B54" s="1849">
        <v>2040</v>
      </c>
      <c r="C54" s="218">
        <f t="shared" si="8"/>
        <v>0</v>
      </c>
      <c r="D54" s="221">
        <f t="shared" si="9"/>
        <v>0</v>
      </c>
      <c r="E54" s="218">
        <f t="shared" si="10"/>
        <v>0</v>
      </c>
      <c r="F54" s="218">
        <f t="shared" si="11"/>
        <v>0</v>
      </c>
      <c r="G54" s="218">
        <f t="shared" si="12"/>
        <v>0</v>
      </c>
      <c r="H54" s="218">
        <f t="shared" si="13"/>
        <v>0</v>
      </c>
      <c r="I54" s="218">
        <f t="shared" si="14"/>
        <v>0</v>
      </c>
      <c r="J54" s="218">
        <f t="shared" si="15"/>
        <v>0</v>
      </c>
      <c r="K54" s="218">
        <f t="shared" si="16"/>
        <v>0</v>
      </c>
      <c r="L54" s="192">
        <f t="shared" si="17"/>
        <v>0</v>
      </c>
      <c r="M54" s="211">
        <v>86</v>
      </c>
      <c r="N54" s="211">
        <f>(29.53*1.02)*0.6598*1.0824</f>
        <v>21.511154202912003</v>
      </c>
      <c r="O54" s="211">
        <f>(42.96*1.02)*0.6598*1.0824</f>
        <v>31.294249392384003</v>
      </c>
      <c r="P54" s="211">
        <f>(16.43*1.02)*0.6598*1.0824</f>
        <v>11.968447800672001</v>
      </c>
      <c r="Q54" s="211">
        <f>(12.76*1.02)*0.6598*1.0824</f>
        <v>9.2950331063040004</v>
      </c>
      <c r="R54" s="211">
        <f>(1.27*1.02)*0.6598*1.0824</f>
        <v>0.92513260540800013</v>
      </c>
      <c r="S54" s="211">
        <f>(0.0584*1.02)*0.6598*1.0824</f>
        <v>4.254153083136001E-2</v>
      </c>
      <c r="T54" s="1850">
        <f t="shared" si="18"/>
        <v>0</v>
      </c>
      <c r="U54" s="1850">
        <f t="shared" si="6"/>
        <v>0</v>
      </c>
      <c r="V54" s="1850">
        <f t="shared" si="6"/>
        <v>0</v>
      </c>
      <c r="W54" s="1850">
        <f t="shared" si="6"/>
        <v>0</v>
      </c>
      <c r="X54" s="1850">
        <f t="shared" si="6"/>
        <v>0</v>
      </c>
      <c r="Y54" s="1850">
        <f t="shared" si="6"/>
        <v>0</v>
      </c>
      <c r="Z54" s="1850">
        <f t="shared" si="7"/>
        <v>0</v>
      </c>
      <c r="AA54" s="2733"/>
    </row>
    <row r="55" spans="1:27" ht="18.75" x14ac:dyDescent="0.25">
      <c r="A55" s="2456"/>
      <c r="B55" s="1849">
        <v>2041</v>
      </c>
      <c r="C55" s="218">
        <f t="shared" si="8"/>
        <v>0</v>
      </c>
      <c r="D55" s="221">
        <f t="shared" si="9"/>
        <v>0</v>
      </c>
      <c r="E55" s="218">
        <f t="shared" si="10"/>
        <v>0</v>
      </c>
      <c r="F55" s="218">
        <f t="shared" si="11"/>
        <v>0</v>
      </c>
      <c r="G55" s="218">
        <f t="shared" si="12"/>
        <v>0</v>
      </c>
      <c r="H55" s="218">
        <f t="shared" si="13"/>
        <v>0</v>
      </c>
      <c r="I55" s="218">
        <f t="shared" si="14"/>
        <v>0</v>
      </c>
      <c r="J55" s="218">
        <f t="shared" si="15"/>
        <v>0</v>
      </c>
      <c r="K55" s="218">
        <f t="shared" si="16"/>
        <v>0</v>
      </c>
      <c r="L55" s="192">
        <f t="shared" si="17"/>
        <v>0</v>
      </c>
      <c r="M55" s="211">
        <v>87</v>
      </c>
      <c r="N55" s="211">
        <f>(29.53*1.02)*0.6468*1.0824</f>
        <v>21.087321216192002</v>
      </c>
      <c r="O55" s="211">
        <f>(42.96*1.02)*0.6468*1.0824</f>
        <v>30.677660665344007</v>
      </c>
      <c r="P55" s="211">
        <f>(16.43*1.02)*0.6468*1.0824</f>
        <v>11.732634188352002</v>
      </c>
      <c r="Q55" s="211">
        <f>(12.76*1.02)*0.6468*1.0824</f>
        <v>9.1118936240640007</v>
      </c>
      <c r="R55" s="211">
        <f>(1.27*1.02)*0.6468*1.0824</f>
        <v>0.9069047729280002</v>
      </c>
      <c r="S55" s="211">
        <f>(0.0584*1.02)*0.6468*1.0824</f>
        <v>4.1703337589760005E-2</v>
      </c>
      <c r="T55" s="1850">
        <f t="shared" si="18"/>
        <v>0</v>
      </c>
      <c r="U55" s="1850">
        <f t="shared" si="6"/>
        <v>0</v>
      </c>
      <c r="V55" s="1850">
        <f t="shared" si="6"/>
        <v>0</v>
      </c>
      <c r="W55" s="1850">
        <f t="shared" si="6"/>
        <v>0</v>
      </c>
      <c r="X55" s="1850">
        <f t="shared" si="6"/>
        <v>0</v>
      </c>
      <c r="Y55" s="1850">
        <f t="shared" si="6"/>
        <v>0</v>
      </c>
      <c r="Z55" s="1850">
        <f t="shared" si="7"/>
        <v>0</v>
      </c>
      <c r="AA55" s="2733"/>
    </row>
    <row r="56" spans="1:27" ht="18.75" x14ac:dyDescent="0.25">
      <c r="A56" s="2456"/>
      <c r="B56" s="1849">
        <v>2042</v>
      </c>
      <c r="C56" s="218">
        <f t="shared" si="8"/>
        <v>0</v>
      </c>
      <c r="D56" s="221">
        <f t="shared" si="9"/>
        <v>0</v>
      </c>
      <c r="E56" s="218">
        <f t="shared" si="10"/>
        <v>0</v>
      </c>
      <c r="F56" s="218">
        <f t="shared" si="11"/>
        <v>0</v>
      </c>
      <c r="G56" s="218">
        <f t="shared" si="12"/>
        <v>0</v>
      </c>
      <c r="H56" s="218">
        <f t="shared" si="13"/>
        <v>0</v>
      </c>
      <c r="I56" s="218">
        <f t="shared" si="14"/>
        <v>0</v>
      </c>
      <c r="J56" s="218">
        <f t="shared" si="15"/>
        <v>0</v>
      </c>
      <c r="K56" s="218">
        <f t="shared" si="16"/>
        <v>0</v>
      </c>
      <c r="L56" s="192">
        <f t="shared" si="17"/>
        <v>0</v>
      </c>
      <c r="M56" s="211">
        <v>88</v>
      </c>
      <c r="N56" s="211">
        <f>(29.53*1.02)*0.6342*1.0824</f>
        <v>20.676529244448002</v>
      </c>
      <c r="O56" s="211">
        <f>(42.96*1.02)*0.6342*1.0824</f>
        <v>30.080043899136001</v>
      </c>
      <c r="P56" s="211">
        <f>(16.43*1.02)*0.6342*1.0824</f>
        <v>11.504076379488001</v>
      </c>
      <c r="Q56" s="211">
        <f>(12.76*1.02)*0.6342*1.0824</f>
        <v>8.9343892028159999</v>
      </c>
      <c r="R56" s="211">
        <f>(1.27*1.02)*0.6342*1.0824</f>
        <v>0.8892377968320001</v>
      </c>
      <c r="S56" s="211">
        <f>(0.0584*1.02)*0.6342*1.0824</f>
        <v>4.0890934909439999E-2</v>
      </c>
      <c r="T56" s="1850">
        <f t="shared" si="18"/>
        <v>0</v>
      </c>
      <c r="U56" s="1850">
        <f t="shared" si="6"/>
        <v>0</v>
      </c>
      <c r="V56" s="1850">
        <f t="shared" si="6"/>
        <v>0</v>
      </c>
      <c r="W56" s="1850">
        <f t="shared" si="6"/>
        <v>0</v>
      </c>
      <c r="X56" s="1850">
        <f t="shared" si="6"/>
        <v>0</v>
      </c>
      <c r="Y56" s="1850">
        <f t="shared" si="6"/>
        <v>0</v>
      </c>
      <c r="Z56" s="1850">
        <f t="shared" si="7"/>
        <v>0</v>
      </c>
      <c r="AA56" s="2733"/>
    </row>
    <row r="57" spans="1:27" ht="18.75" x14ac:dyDescent="0.25">
      <c r="A57" s="2456"/>
      <c r="B57" s="1849">
        <v>2043</v>
      </c>
      <c r="C57" s="218">
        <f t="shared" si="8"/>
        <v>0</v>
      </c>
      <c r="D57" s="221">
        <f t="shared" si="9"/>
        <v>0</v>
      </c>
      <c r="E57" s="218">
        <f t="shared" si="10"/>
        <v>0</v>
      </c>
      <c r="F57" s="218">
        <f t="shared" si="11"/>
        <v>0</v>
      </c>
      <c r="G57" s="218">
        <f t="shared" si="12"/>
        <v>0</v>
      </c>
      <c r="H57" s="218">
        <f t="shared" si="13"/>
        <v>0</v>
      </c>
      <c r="I57" s="218">
        <f t="shared" si="14"/>
        <v>0</v>
      </c>
      <c r="J57" s="218">
        <f t="shared" si="15"/>
        <v>0</v>
      </c>
      <c r="K57" s="218">
        <f t="shared" si="16"/>
        <v>0</v>
      </c>
      <c r="L57" s="192">
        <f t="shared" si="17"/>
        <v>0</v>
      </c>
      <c r="M57" s="211">
        <v>89</v>
      </c>
      <c r="N57" s="211">
        <f>(29.53*1.02)*0.6217*1.0824</f>
        <v>20.268997526448004</v>
      </c>
      <c r="O57" s="211">
        <f>(42.96*1.02)*0.6217*1.0824</f>
        <v>29.487170123136003</v>
      </c>
      <c r="P57" s="211">
        <f>(16.43*1.02)*0.6217*1.0824</f>
        <v>11.277332521488001</v>
      </c>
      <c r="Q57" s="211">
        <f>(12.76*1.02)*0.6217*1.0824</f>
        <v>8.7582935468160006</v>
      </c>
      <c r="R57" s="211">
        <f>(1.27*1.02)*0.6217*1.0824</f>
        <v>0.87171103483200019</v>
      </c>
      <c r="S57" s="211">
        <f>(0.0584*1.02)*0.6217*1.0824</f>
        <v>4.0084979869440006E-2</v>
      </c>
      <c r="T57" s="1850">
        <f t="shared" si="18"/>
        <v>0</v>
      </c>
      <c r="U57" s="1850">
        <f t="shared" si="6"/>
        <v>0</v>
      </c>
      <c r="V57" s="1850">
        <f t="shared" si="6"/>
        <v>0</v>
      </c>
      <c r="W57" s="1850">
        <f t="shared" si="6"/>
        <v>0</v>
      </c>
      <c r="X57" s="1850">
        <f t="shared" si="6"/>
        <v>0</v>
      </c>
      <c r="Y57" s="1850">
        <f t="shared" si="6"/>
        <v>0</v>
      </c>
      <c r="Z57" s="1850">
        <f t="shared" si="7"/>
        <v>0</v>
      </c>
      <c r="AA57" s="2733"/>
    </row>
    <row r="58" spans="1:27" ht="18.75" x14ac:dyDescent="0.25">
      <c r="A58" s="2456"/>
      <c r="B58" s="1849">
        <v>2044</v>
      </c>
      <c r="C58" s="218">
        <f t="shared" si="8"/>
        <v>0</v>
      </c>
      <c r="D58" s="221">
        <f t="shared" si="9"/>
        <v>0</v>
      </c>
      <c r="E58" s="218">
        <f t="shared" si="10"/>
        <v>0</v>
      </c>
      <c r="F58" s="218">
        <f t="shared" si="11"/>
        <v>0</v>
      </c>
      <c r="G58" s="218">
        <f t="shared" si="12"/>
        <v>0</v>
      </c>
      <c r="H58" s="218">
        <f t="shared" si="13"/>
        <v>0</v>
      </c>
      <c r="I58" s="218">
        <f t="shared" si="14"/>
        <v>0</v>
      </c>
      <c r="J58" s="218">
        <f t="shared" si="15"/>
        <v>0</v>
      </c>
      <c r="K58" s="218">
        <f t="shared" si="16"/>
        <v>0</v>
      </c>
      <c r="L58" s="192">
        <f t="shared" si="17"/>
        <v>0</v>
      </c>
      <c r="M58" s="211">
        <v>90</v>
      </c>
      <c r="N58" s="211">
        <f>(29.53*1.02)*0.6095*1.0824</f>
        <v>19.871246569680004</v>
      </c>
      <c r="O58" s="211">
        <f>(42.96*1.02)*0.6095*1.0824</f>
        <v>28.908525317760002</v>
      </c>
      <c r="P58" s="211">
        <f>(16.43*1.02)*0.6095*1.0824</f>
        <v>11.056030516080002</v>
      </c>
      <c r="Q58" s="211">
        <f>(12.76*1.02)*0.6095*1.0824</f>
        <v>8.5864241865600004</v>
      </c>
      <c r="R58" s="211">
        <f>(1.27*1.02)*0.6095*1.0824</f>
        <v>0.85460491512000014</v>
      </c>
      <c r="S58" s="211">
        <f>(0.0584*1.02)*0.6095*1.0824</f>
        <v>3.9298367750400007E-2</v>
      </c>
      <c r="T58" s="1850">
        <f t="shared" si="18"/>
        <v>0</v>
      </c>
      <c r="U58" s="1850">
        <f t="shared" si="6"/>
        <v>0</v>
      </c>
      <c r="V58" s="1850">
        <f t="shared" si="6"/>
        <v>0</v>
      </c>
      <c r="W58" s="1850">
        <f t="shared" si="6"/>
        <v>0</v>
      </c>
      <c r="X58" s="1850">
        <f t="shared" si="6"/>
        <v>0</v>
      </c>
      <c r="Y58" s="1850">
        <f t="shared" si="6"/>
        <v>0</v>
      </c>
      <c r="Z58" s="1850">
        <f t="shared" si="7"/>
        <v>0</v>
      </c>
      <c r="AA58" s="2733"/>
    </row>
    <row r="59" spans="1:27" ht="18.75" x14ac:dyDescent="0.25">
      <c r="A59" s="2456"/>
      <c r="B59" s="1849">
        <v>2045</v>
      </c>
      <c r="C59" s="218">
        <f t="shared" si="8"/>
        <v>0</v>
      </c>
      <c r="D59" s="221">
        <f t="shared" si="9"/>
        <v>0</v>
      </c>
      <c r="E59" s="218">
        <f t="shared" si="10"/>
        <v>0</v>
      </c>
      <c r="F59" s="218">
        <f t="shared" si="11"/>
        <v>0</v>
      </c>
      <c r="G59" s="218">
        <f t="shared" si="12"/>
        <v>0</v>
      </c>
      <c r="H59" s="218">
        <f t="shared" si="13"/>
        <v>0</v>
      </c>
      <c r="I59" s="218">
        <f t="shared" si="14"/>
        <v>0</v>
      </c>
      <c r="J59" s="218">
        <f t="shared" si="15"/>
        <v>0</v>
      </c>
      <c r="K59" s="218">
        <f t="shared" si="16"/>
        <v>0</v>
      </c>
      <c r="L59" s="192">
        <f t="shared" si="17"/>
        <v>0</v>
      </c>
      <c r="M59" s="211">
        <v>92</v>
      </c>
      <c r="N59" s="211">
        <f>(29.53*1.02)*0.5976*1.0824</f>
        <v>19.483276374144001</v>
      </c>
      <c r="O59" s="211">
        <f>(42.96*1.02)*0.5976*1.0824</f>
        <v>28.344109483008001</v>
      </c>
      <c r="P59" s="211">
        <f>(16.43*1.02)*0.5976*1.0824</f>
        <v>10.840170363264003</v>
      </c>
      <c r="Q59" s="211">
        <f>(12.76*1.02)*0.5976*1.0824</f>
        <v>8.4187811220480011</v>
      </c>
      <c r="R59" s="211">
        <f>(1.27*1.02)*0.5976*1.0824</f>
        <v>0.83791943769600008</v>
      </c>
      <c r="S59" s="211">
        <f>(0.0584*1.02)*0.5976*1.0824</f>
        <v>3.8531098552320009E-2</v>
      </c>
      <c r="T59" s="1850">
        <f t="shared" si="18"/>
        <v>0</v>
      </c>
      <c r="U59" s="1850">
        <f t="shared" si="6"/>
        <v>0</v>
      </c>
      <c r="V59" s="1850">
        <f t="shared" si="6"/>
        <v>0</v>
      </c>
      <c r="W59" s="1850">
        <f t="shared" si="6"/>
        <v>0</v>
      </c>
      <c r="X59" s="1850">
        <f t="shared" si="6"/>
        <v>0</v>
      </c>
      <c r="Y59" s="1850">
        <f t="shared" si="6"/>
        <v>0</v>
      </c>
      <c r="Z59" s="1850">
        <f t="shared" si="7"/>
        <v>0</v>
      </c>
      <c r="AA59" s="2733"/>
    </row>
    <row r="60" spans="1:27" ht="18.75" x14ac:dyDescent="0.25">
      <c r="A60" s="2456"/>
      <c r="B60" s="1849">
        <v>2046</v>
      </c>
      <c r="C60" s="218">
        <f t="shared" si="8"/>
        <v>0</v>
      </c>
      <c r="D60" s="221">
        <f t="shared" si="9"/>
        <v>0</v>
      </c>
      <c r="E60" s="218">
        <f t="shared" si="10"/>
        <v>0</v>
      </c>
      <c r="F60" s="218">
        <f t="shared" si="11"/>
        <v>0</v>
      </c>
      <c r="G60" s="218">
        <f t="shared" si="12"/>
        <v>0</v>
      </c>
      <c r="H60" s="218">
        <f t="shared" si="13"/>
        <v>0</v>
      </c>
      <c r="I60" s="218">
        <f t="shared" si="14"/>
        <v>0</v>
      </c>
      <c r="J60" s="218">
        <f t="shared" si="15"/>
        <v>0</v>
      </c>
      <c r="K60" s="218">
        <f t="shared" si="16"/>
        <v>0</v>
      </c>
      <c r="L60" s="192">
        <f t="shared" si="17"/>
        <v>0</v>
      </c>
      <c r="M60" s="211">
        <v>93</v>
      </c>
      <c r="N60" s="211">
        <f>(29.53*1.02)*0.5859*1.0824</f>
        <v>19.101826686096</v>
      </c>
      <c r="O60" s="211">
        <f>(42.96*1.02)*0.5859*1.0824</f>
        <v>27.789179628671999</v>
      </c>
      <c r="P60" s="211">
        <f>(16.43*1.02)*0.5859*1.0824</f>
        <v>10.627938112176002</v>
      </c>
      <c r="Q60" s="211">
        <f>(12.76*1.02)*0.5859*1.0824</f>
        <v>8.2539555880319995</v>
      </c>
      <c r="R60" s="211">
        <f>(1.27*1.02)*0.5859*1.0824</f>
        <v>0.82151438846400004</v>
      </c>
      <c r="S60" s="211">
        <f>(0.0584*1.02)*0.5859*1.0824</f>
        <v>3.777672463488E-2</v>
      </c>
      <c r="T60" s="1850">
        <f t="shared" si="18"/>
        <v>0</v>
      </c>
      <c r="U60" s="1850">
        <f t="shared" si="6"/>
        <v>0</v>
      </c>
      <c r="V60" s="1850">
        <f t="shared" si="6"/>
        <v>0</v>
      </c>
      <c r="W60" s="1850">
        <f t="shared" si="6"/>
        <v>0</v>
      </c>
      <c r="X60" s="1850">
        <f t="shared" si="6"/>
        <v>0</v>
      </c>
      <c r="Y60" s="1850">
        <f t="shared" si="6"/>
        <v>0</v>
      </c>
      <c r="Z60" s="1850">
        <f t="shared" si="7"/>
        <v>0</v>
      </c>
      <c r="AA60" s="2733"/>
    </row>
    <row r="61" spans="1:27" ht="18.75" x14ac:dyDescent="0.25">
      <c r="A61" s="2456"/>
      <c r="B61" s="1849">
        <v>2047</v>
      </c>
      <c r="C61" s="218">
        <f t="shared" si="8"/>
        <v>0</v>
      </c>
      <c r="D61" s="221">
        <f t="shared" si="9"/>
        <v>0</v>
      </c>
      <c r="E61" s="218">
        <f t="shared" si="10"/>
        <v>0</v>
      </c>
      <c r="F61" s="218">
        <f t="shared" si="11"/>
        <v>0</v>
      </c>
      <c r="G61" s="218">
        <f t="shared" si="12"/>
        <v>0</v>
      </c>
      <c r="H61" s="218">
        <f t="shared" si="13"/>
        <v>0</v>
      </c>
      <c r="I61" s="218">
        <f t="shared" si="14"/>
        <v>0</v>
      </c>
      <c r="J61" s="218">
        <f t="shared" si="15"/>
        <v>0</v>
      </c>
      <c r="K61" s="218">
        <f t="shared" si="16"/>
        <v>0</v>
      </c>
      <c r="L61" s="192">
        <f t="shared" si="17"/>
        <v>0</v>
      </c>
      <c r="M61" s="211">
        <v>94</v>
      </c>
      <c r="N61" s="211">
        <f>(29.53*1.02)*0.5744*1.0824</f>
        <v>18.726897505536005</v>
      </c>
      <c r="O61" s="211">
        <f>(42.96*1.02)*0.5744*1.0824</f>
        <v>27.243735754752002</v>
      </c>
      <c r="P61" s="211">
        <f>(16.43*1.02)*0.5744*1.0824</f>
        <v>10.419333762816001</v>
      </c>
      <c r="Q61" s="211">
        <f>(12.76*1.02)*0.5744*1.0824</f>
        <v>8.0919475845120008</v>
      </c>
      <c r="R61" s="211">
        <f>(1.27*1.02)*0.5744*1.0824</f>
        <v>0.80538976742400015</v>
      </c>
      <c r="S61" s="211">
        <f>(0.0584*1.02)*0.5744*1.0824</f>
        <v>3.7035245998080002E-2</v>
      </c>
      <c r="T61" s="1850">
        <f t="shared" si="18"/>
        <v>0</v>
      </c>
      <c r="U61" s="1850">
        <f t="shared" si="6"/>
        <v>0</v>
      </c>
      <c r="V61" s="1850">
        <f t="shared" si="6"/>
        <v>0</v>
      </c>
      <c r="W61" s="1850">
        <f t="shared" si="6"/>
        <v>0</v>
      </c>
      <c r="X61" s="1850">
        <f t="shared" si="6"/>
        <v>0</v>
      </c>
      <c r="Y61" s="1850">
        <f t="shared" si="6"/>
        <v>0</v>
      </c>
      <c r="Z61" s="1850">
        <f t="shared" si="7"/>
        <v>0</v>
      </c>
      <c r="AA61" s="2733"/>
    </row>
    <row r="62" spans="1:27" ht="18.75" x14ac:dyDescent="0.25">
      <c r="A62" s="2456"/>
      <c r="B62" s="1849">
        <v>2048</v>
      </c>
      <c r="C62" s="218">
        <f t="shared" si="8"/>
        <v>0</v>
      </c>
      <c r="D62" s="221">
        <f t="shared" si="9"/>
        <v>0</v>
      </c>
      <c r="E62" s="218">
        <f t="shared" si="10"/>
        <v>0</v>
      </c>
      <c r="F62" s="218">
        <f t="shared" si="11"/>
        <v>0</v>
      </c>
      <c r="G62" s="218">
        <f t="shared" si="12"/>
        <v>0</v>
      </c>
      <c r="H62" s="218">
        <f t="shared" si="13"/>
        <v>0</v>
      </c>
      <c r="I62" s="218">
        <f t="shared" si="14"/>
        <v>0</v>
      </c>
      <c r="J62" s="218">
        <f t="shared" si="15"/>
        <v>0</v>
      </c>
      <c r="K62" s="218">
        <f t="shared" si="16"/>
        <v>0</v>
      </c>
      <c r="L62" s="192">
        <f t="shared" si="17"/>
        <v>0</v>
      </c>
      <c r="M62" s="211">
        <v>95</v>
      </c>
      <c r="N62" s="211">
        <f>(29.53*1.02)*0.5631*1.0824</f>
        <v>18.358488832464005</v>
      </c>
      <c r="O62" s="211">
        <f>(42.96*1.02)*0.5631*1.0824</f>
        <v>26.707777861248005</v>
      </c>
      <c r="P62" s="211">
        <f>(16.43*1.02)*0.5631*1.0824</f>
        <v>10.214357315184001</v>
      </c>
      <c r="Q62" s="211">
        <f>(12.76*1.02)*0.5631*1.0824</f>
        <v>7.9327571114880007</v>
      </c>
      <c r="R62" s="211">
        <f>(1.27*1.02)*0.5631*1.0824</f>
        <v>0.78954557457600016</v>
      </c>
      <c r="S62" s="211">
        <f>(0.0584*1.02)*0.5631*1.0824</f>
        <v>3.6306662641920007E-2</v>
      </c>
      <c r="T62" s="1850">
        <f t="shared" si="18"/>
        <v>0</v>
      </c>
      <c r="U62" s="1850">
        <f t="shared" si="6"/>
        <v>0</v>
      </c>
      <c r="V62" s="1850">
        <f t="shared" si="6"/>
        <v>0</v>
      </c>
      <c r="W62" s="1850">
        <f t="shared" si="6"/>
        <v>0</v>
      </c>
      <c r="X62" s="1850">
        <f t="shared" si="6"/>
        <v>0</v>
      </c>
      <c r="Y62" s="1850">
        <f t="shared" si="6"/>
        <v>0</v>
      </c>
      <c r="Z62" s="1850">
        <f t="shared" si="7"/>
        <v>0</v>
      </c>
      <c r="AA62" s="2733"/>
    </row>
    <row r="63" spans="1:27" ht="18.75" x14ac:dyDescent="0.25">
      <c r="A63" s="2456"/>
      <c r="B63" s="1849">
        <v>2049</v>
      </c>
      <c r="C63" s="218">
        <f t="shared" si="8"/>
        <v>0</v>
      </c>
      <c r="D63" s="221">
        <f t="shared" si="9"/>
        <v>0</v>
      </c>
      <c r="E63" s="218">
        <f t="shared" si="10"/>
        <v>0</v>
      </c>
      <c r="F63" s="218">
        <f t="shared" si="11"/>
        <v>0</v>
      </c>
      <c r="G63" s="218">
        <f t="shared" si="12"/>
        <v>0</v>
      </c>
      <c r="H63" s="218">
        <f t="shared" si="13"/>
        <v>0</v>
      </c>
      <c r="I63" s="218">
        <f t="shared" si="14"/>
        <v>0</v>
      </c>
      <c r="J63" s="218">
        <f t="shared" si="15"/>
        <v>0</v>
      </c>
      <c r="K63" s="218">
        <f t="shared" si="16"/>
        <v>0</v>
      </c>
      <c r="L63" s="192">
        <f t="shared" si="17"/>
        <v>0</v>
      </c>
      <c r="M63" s="211">
        <v>96</v>
      </c>
      <c r="N63" s="211">
        <f>(29.53*1.02)*0.5521*1.0824</f>
        <v>17.999860920624005</v>
      </c>
      <c r="O63" s="211">
        <f>(42.96*1.02)*0.5521*1.0824</f>
        <v>26.186048938368003</v>
      </c>
      <c r="P63" s="211">
        <f>(16.43*1.02)*0.5521*1.0824</f>
        <v>10.014822720144002</v>
      </c>
      <c r="Q63" s="211">
        <f>(12.76*1.02)*0.5521*1.0824</f>
        <v>7.7777929342080014</v>
      </c>
      <c r="R63" s="211">
        <f>(1.27*1.02)*0.5521*1.0824</f>
        <v>0.77412202401600017</v>
      </c>
      <c r="S63" s="211">
        <f>(0.0584*1.02)*0.5521*1.0824</f>
        <v>3.5597422206719999E-2</v>
      </c>
      <c r="T63" s="1850">
        <f t="shared" si="18"/>
        <v>0</v>
      </c>
      <c r="U63" s="1850">
        <f t="shared" si="6"/>
        <v>0</v>
      </c>
      <c r="V63" s="1850">
        <f t="shared" si="6"/>
        <v>0</v>
      </c>
      <c r="W63" s="1850">
        <f t="shared" si="6"/>
        <v>0</v>
      </c>
      <c r="X63" s="1850">
        <f t="shared" si="6"/>
        <v>0</v>
      </c>
      <c r="Y63" s="1850">
        <f t="shared" si="6"/>
        <v>0</v>
      </c>
      <c r="Z63" s="1850">
        <f t="shared" si="7"/>
        <v>0</v>
      </c>
      <c r="AA63" s="2733"/>
    </row>
    <row r="64" spans="1:27" ht="18.75" x14ac:dyDescent="0.25">
      <c r="A64" s="2456"/>
      <c r="B64" s="1849">
        <v>2050</v>
      </c>
      <c r="C64" s="218">
        <f t="shared" si="8"/>
        <v>0</v>
      </c>
      <c r="D64" s="221">
        <f t="shared" si="9"/>
        <v>0</v>
      </c>
      <c r="E64" s="218">
        <f t="shared" si="10"/>
        <v>0</v>
      </c>
      <c r="F64" s="218">
        <f t="shared" si="11"/>
        <v>0</v>
      </c>
      <c r="G64" s="218">
        <f t="shared" si="12"/>
        <v>0</v>
      </c>
      <c r="H64" s="218">
        <f t="shared" si="13"/>
        <v>0</v>
      </c>
      <c r="I64" s="218">
        <f t="shared" si="14"/>
        <v>0</v>
      </c>
      <c r="J64" s="218">
        <f t="shared" si="15"/>
        <v>0</v>
      </c>
      <c r="K64" s="218">
        <f t="shared" si="16"/>
        <v>0</v>
      </c>
      <c r="L64" s="192">
        <f t="shared" si="17"/>
        <v>0</v>
      </c>
      <c r="M64" s="211">
        <v>97</v>
      </c>
      <c r="N64" s="211">
        <f>(29.53*1.02)*0.5412*1.0824</f>
        <v>17.644493262528005</v>
      </c>
      <c r="O64" s="211">
        <f>(42.96*1.02)*0.5412*1.0824</f>
        <v>25.669063005696003</v>
      </c>
      <c r="P64" s="211">
        <f>(16.43*1.02)*0.5412*1.0824</f>
        <v>9.8171020759680019</v>
      </c>
      <c r="Q64" s="211">
        <f>(12.76*1.02)*0.5412*1.0824</f>
        <v>7.624237522176001</v>
      </c>
      <c r="R64" s="211">
        <f>(1.27*1.02)*0.5412*1.0824</f>
        <v>0.75883868755200012</v>
      </c>
      <c r="S64" s="211">
        <f>(0.0584*1.02)*0.5412*1.0824</f>
        <v>3.4894629411840003E-2</v>
      </c>
      <c r="T64" s="1850">
        <f t="shared" si="18"/>
        <v>0</v>
      </c>
      <c r="U64" s="1850">
        <f t="shared" si="6"/>
        <v>0</v>
      </c>
      <c r="V64" s="1850">
        <f t="shared" si="6"/>
        <v>0</v>
      </c>
      <c r="W64" s="1850">
        <f t="shared" si="6"/>
        <v>0</v>
      </c>
      <c r="X64" s="1850">
        <f t="shared" si="6"/>
        <v>0</v>
      </c>
      <c r="Y64" s="1850">
        <f t="shared" si="6"/>
        <v>0</v>
      </c>
      <c r="Z64" s="1850">
        <f t="shared" si="7"/>
        <v>0</v>
      </c>
      <c r="AA64" s="2733"/>
    </row>
    <row r="65" spans="1:27" ht="18.75" x14ac:dyDescent="0.25">
      <c r="A65" s="2456"/>
      <c r="B65" s="1849">
        <v>2051</v>
      </c>
      <c r="C65" s="218">
        <f t="shared" si="8"/>
        <v>0</v>
      </c>
      <c r="D65" s="221">
        <f t="shared" si="9"/>
        <v>0</v>
      </c>
      <c r="E65" s="218">
        <f t="shared" si="10"/>
        <v>0</v>
      </c>
      <c r="F65" s="218">
        <f t="shared" si="11"/>
        <v>0</v>
      </c>
      <c r="G65" s="218">
        <f t="shared" si="12"/>
        <v>0</v>
      </c>
      <c r="H65" s="218">
        <f t="shared" si="13"/>
        <v>0</v>
      </c>
      <c r="I65" s="218">
        <f t="shared" si="14"/>
        <v>0</v>
      </c>
      <c r="J65" s="218">
        <f t="shared" si="15"/>
        <v>0</v>
      </c>
      <c r="K65" s="218">
        <f t="shared" si="16"/>
        <v>0</v>
      </c>
      <c r="L65" s="192">
        <f t="shared" si="17"/>
        <v>0</v>
      </c>
      <c r="M65" s="211">
        <v>97</v>
      </c>
      <c r="N65" s="211">
        <f>(29.53*1.02)*0.5306*1.0824</f>
        <v>17.298906365664003</v>
      </c>
      <c r="O65" s="211">
        <f>(42.96*1.02)*0.5306*1.0824</f>
        <v>25.166306043648003</v>
      </c>
      <c r="P65" s="211">
        <f>(16.43*1.02)*0.5306*1.0824</f>
        <v>9.624823284384</v>
      </c>
      <c r="Q65" s="211">
        <f>(12.76*1.02)*0.5306*1.0824</f>
        <v>7.4749084058879998</v>
      </c>
      <c r="R65" s="211">
        <f>(1.27*1.02)*0.5306*1.0824</f>
        <v>0.74397599337600007</v>
      </c>
      <c r="S65" s="211">
        <f>(0.0584*1.02)*0.5306*1.0824</f>
        <v>3.4211179537920001E-2</v>
      </c>
      <c r="T65" s="1850">
        <f t="shared" si="18"/>
        <v>0</v>
      </c>
      <c r="U65" s="1850">
        <f t="shared" si="6"/>
        <v>0</v>
      </c>
      <c r="V65" s="1850">
        <f t="shared" si="6"/>
        <v>0</v>
      </c>
      <c r="W65" s="1850">
        <f t="shared" si="6"/>
        <v>0</v>
      </c>
      <c r="X65" s="1850">
        <f t="shared" si="6"/>
        <v>0</v>
      </c>
      <c r="Y65" s="1850">
        <f t="shared" si="6"/>
        <v>0</v>
      </c>
      <c r="Z65" s="1850">
        <f t="shared" si="7"/>
        <v>0</v>
      </c>
      <c r="AA65" s="2733"/>
    </row>
    <row r="66" spans="1:27" ht="18.75" x14ac:dyDescent="0.25">
      <c r="A66" s="2456"/>
      <c r="B66" s="1849">
        <v>2052</v>
      </c>
      <c r="C66" s="218">
        <f t="shared" si="8"/>
        <v>0</v>
      </c>
      <c r="D66" s="221">
        <f t="shared" si="9"/>
        <v>0</v>
      </c>
      <c r="E66" s="218">
        <f t="shared" si="10"/>
        <v>0</v>
      </c>
      <c r="F66" s="218">
        <f t="shared" si="11"/>
        <v>0</v>
      </c>
      <c r="G66" s="218">
        <f t="shared" si="12"/>
        <v>0</v>
      </c>
      <c r="H66" s="218">
        <f t="shared" si="13"/>
        <v>0</v>
      </c>
      <c r="I66" s="218">
        <f t="shared" si="14"/>
        <v>0</v>
      </c>
      <c r="J66" s="218">
        <f t="shared" si="15"/>
        <v>0</v>
      </c>
      <c r="K66" s="218">
        <f t="shared" si="16"/>
        <v>0</v>
      </c>
      <c r="L66" s="192">
        <f t="shared" si="17"/>
        <v>0</v>
      </c>
      <c r="M66" s="211">
        <v>97</v>
      </c>
      <c r="N66" s="211">
        <f>(29.53*1.02)*0.5202*1.0824</f>
        <v>16.959839976288002</v>
      </c>
      <c r="O66" s="211">
        <f>(42.96*1.02)*0.5202*1.0824</f>
        <v>24.673035062016002</v>
      </c>
      <c r="P66" s="211">
        <f>(16.43*1.02)*0.5202*1.0824</f>
        <v>9.4361723945280005</v>
      </c>
      <c r="Q66" s="211">
        <f>(12.76*1.02)*0.5202*1.0824</f>
        <v>7.3283968200960006</v>
      </c>
      <c r="R66" s="211">
        <f>(1.27*1.02)*0.5202*1.0824</f>
        <v>0.72939372739200004</v>
      </c>
      <c r="S66" s="211">
        <f>(0.0584*1.02)*0.5202*1.0824</f>
        <v>3.3540624944640003E-2</v>
      </c>
      <c r="T66" s="1850">
        <f t="shared" si="18"/>
        <v>0</v>
      </c>
      <c r="U66" s="1850">
        <f t="shared" si="6"/>
        <v>0</v>
      </c>
      <c r="V66" s="1850">
        <f t="shared" si="6"/>
        <v>0</v>
      </c>
      <c r="W66" s="1850">
        <f t="shared" si="6"/>
        <v>0</v>
      </c>
      <c r="X66" s="1850">
        <f t="shared" si="6"/>
        <v>0</v>
      </c>
      <c r="Y66" s="1850">
        <f t="shared" si="6"/>
        <v>0</v>
      </c>
      <c r="Z66" s="1850">
        <f t="shared" si="7"/>
        <v>0</v>
      </c>
      <c r="AA66" s="2733"/>
    </row>
    <row r="67" spans="1:27" ht="18.75" x14ac:dyDescent="0.25">
      <c r="A67" s="2456"/>
      <c r="B67" s="1849">
        <v>2053</v>
      </c>
      <c r="C67" s="218">
        <f t="shared" si="8"/>
        <v>0</v>
      </c>
      <c r="D67" s="221">
        <f t="shared" si="9"/>
        <v>0</v>
      </c>
      <c r="E67" s="218">
        <f t="shared" si="10"/>
        <v>0</v>
      </c>
      <c r="F67" s="218">
        <f t="shared" si="11"/>
        <v>0</v>
      </c>
      <c r="G67" s="218">
        <f t="shared" si="12"/>
        <v>0</v>
      </c>
      <c r="H67" s="218">
        <f t="shared" si="13"/>
        <v>0</v>
      </c>
      <c r="I67" s="218">
        <f t="shared" si="14"/>
        <v>0</v>
      </c>
      <c r="J67" s="218">
        <f t="shared" si="15"/>
        <v>0</v>
      </c>
      <c r="K67" s="218">
        <f t="shared" si="16"/>
        <v>0</v>
      </c>
      <c r="L67" s="192">
        <f t="shared" si="17"/>
        <v>0</v>
      </c>
      <c r="M67" s="211">
        <v>97</v>
      </c>
      <c r="N67" s="211">
        <f>(29.53*1.02)*0.51*1</f>
        <v>15.361506000000002</v>
      </c>
      <c r="O67" s="211">
        <f>(42.96*1.02)*0.51*1.0824</f>
        <v>24.189250060800003</v>
      </c>
      <c r="P67" s="211">
        <f>(16.43*1.02)*0.51*1.0824</f>
        <v>9.2511494064000015</v>
      </c>
      <c r="Q67" s="211">
        <f>(12.76*1.02)*0.51*1.0824</f>
        <v>7.1847027647999999</v>
      </c>
      <c r="R67" s="211">
        <f>(1.27*1.02)*0.51*1.0824</f>
        <v>0.71509188960000014</v>
      </c>
      <c r="S67" s="211">
        <f>(0.0584*1.02)*0.51*1.0824</f>
        <v>3.2882965632000001E-2</v>
      </c>
      <c r="T67" s="1850">
        <f t="shared" si="18"/>
        <v>0</v>
      </c>
      <c r="U67" s="1850">
        <f t="shared" si="6"/>
        <v>0</v>
      </c>
      <c r="V67" s="1850">
        <f t="shared" si="6"/>
        <v>0</v>
      </c>
      <c r="W67" s="1850">
        <f t="shared" si="6"/>
        <v>0</v>
      </c>
      <c r="X67" s="1850">
        <f t="shared" si="6"/>
        <v>0</v>
      </c>
      <c r="Y67" s="1850">
        <f t="shared" si="6"/>
        <v>0</v>
      </c>
      <c r="Z67" s="1850">
        <f t="shared" si="7"/>
        <v>0</v>
      </c>
      <c r="AA67" s="2733"/>
    </row>
    <row r="68" spans="1:27" ht="18.75" x14ac:dyDescent="0.25">
      <c r="A68" s="2456"/>
      <c r="B68" s="1849">
        <v>2054</v>
      </c>
      <c r="C68" s="218">
        <f t="shared" si="8"/>
        <v>0</v>
      </c>
      <c r="D68" s="221">
        <f t="shared" si="9"/>
        <v>0</v>
      </c>
      <c r="E68" s="218">
        <f t="shared" si="10"/>
        <v>0</v>
      </c>
      <c r="F68" s="218">
        <f t="shared" si="11"/>
        <v>0</v>
      </c>
      <c r="G68" s="218">
        <f t="shared" si="12"/>
        <v>0</v>
      </c>
      <c r="H68" s="218">
        <f t="shared" si="13"/>
        <v>0</v>
      </c>
      <c r="I68" s="218">
        <f t="shared" si="14"/>
        <v>0</v>
      </c>
      <c r="J68" s="218">
        <f t="shared" si="15"/>
        <v>0</v>
      </c>
      <c r="K68" s="218">
        <f t="shared" si="16"/>
        <v>0</v>
      </c>
      <c r="L68" s="192">
        <f t="shared" si="17"/>
        <v>0</v>
      </c>
      <c r="M68" s="211">
        <v>97</v>
      </c>
      <c r="N68" s="211">
        <f>(29.53*1.02)*0.5*1.0824</f>
        <v>16.301268720000003</v>
      </c>
      <c r="O68" s="211">
        <f>(42.96*1.02)*0.5*1.0824</f>
        <v>23.714951040000003</v>
      </c>
      <c r="P68" s="211">
        <f>(16.43*1.02)*0.5*1.0824</f>
        <v>9.0697543200000013</v>
      </c>
      <c r="Q68" s="211">
        <f>(12.76*1.02)*0.5*1.0824</f>
        <v>7.0438262400000005</v>
      </c>
      <c r="R68" s="211">
        <f>(1.27*1.02)*0.5*1.0824</f>
        <v>0.70107048000000005</v>
      </c>
      <c r="S68" s="211">
        <f>(0.0584*1.02)*0.5*1.0824</f>
        <v>3.2238201600000002E-2</v>
      </c>
      <c r="T68" s="1850">
        <f t="shared" si="18"/>
        <v>0</v>
      </c>
      <c r="U68" s="1850">
        <f t="shared" si="6"/>
        <v>0</v>
      </c>
      <c r="V68" s="1850">
        <f t="shared" si="6"/>
        <v>0</v>
      </c>
      <c r="W68" s="1850">
        <f t="shared" si="6"/>
        <v>0</v>
      </c>
      <c r="X68" s="1850">
        <f t="shared" si="6"/>
        <v>0</v>
      </c>
      <c r="Y68" s="1850">
        <f t="shared" si="6"/>
        <v>0</v>
      </c>
      <c r="Z68" s="1850">
        <f t="shared" si="7"/>
        <v>0</v>
      </c>
      <c r="AA68" s="2733"/>
    </row>
    <row r="69" spans="1:27" ht="18.75" x14ac:dyDescent="0.25">
      <c r="A69" s="2456"/>
      <c r="B69" s="1849">
        <v>2055</v>
      </c>
      <c r="C69" s="218">
        <f t="shared" si="8"/>
        <v>0</v>
      </c>
      <c r="D69" s="221">
        <f t="shared" si="9"/>
        <v>0</v>
      </c>
      <c r="E69" s="218">
        <f t="shared" si="10"/>
        <v>0</v>
      </c>
      <c r="F69" s="218">
        <f t="shared" si="11"/>
        <v>0</v>
      </c>
      <c r="G69" s="218">
        <f t="shared" si="12"/>
        <v>0</v>
      </c>
      <c r="H69" s="218">
        <f t="shared" si="13"/>
        <v>0</v>
      </c>
      <c r="I69" s="218">
        <f t="shared" si="14"/>
        <v>0</v>
      </c>
      <c r="J69" s="218">
        <f t="shared" si="15"/>
        <v>0</v>
      </c>
      <c r="K69" s="218">
        <f t="shared" si="16"/>
        <v>0</v>
      </c>
      <c r="L69" s="192">
        <f t="shared" si="17"/>
        <v>0</v>
      </c>
      <c r="M69" s="211">
        <v>97</v>
      </c>
      <c r="N69" s="211">
        <f>(29.53*1.02)*0.4902*1.0824</f>
        <v>15.981763853088003</v>
      </c>
      <c r="O69" s="211">
        <f>(42.96*1.02)*0.4902*1.0824</f>
        <v>23.250137999616001</v>
      </c>
      <c r="P69" s="211">
        <f>(16.43*1.02)*0.4902*1.0824</f>
        <v>8.8919871353280016</v>
      </c>
      <c r="Q69" s="211">
        <f>(12.76*1.02)*0.4902*1.0824</f>
        <v>6.9057672456960004</v>
      </c>
      <c r="R69" s="211">
        <f>(1.27*1.02)*0.4902*1.0824</f>
        <v>0.6873294985920001</v>
      </c>
      <c r="S69" s="211">
        <f>(0.0584*1.02)*0.4902*1.0824</f>
        <v>3.1606332848640006E-2</v>
      </c>
      <c r="T69" s="1850">
        <f t="shared" si="18"/>
        <v>0</v>
      </c>
      <c r="U69" s="1850">
        <f t="shared" si="6"/>
        <v>0</v>
      </c>
      <c r="V69" s="1850">
        <f t="shared" si="6"/>
        <v>0</v>
      </c>
      <c r="W69" s="1850">
        <f t="shared" si="6"/>
        <v>0</v>
      </c>
      <c r="X69" s="1850">
        <f t="shared" si="6"/>
        <v>0</v>
      </c>
      <c r="Y69" s="1850">
        <f t="shared" si="6"/>
        <v>0</v>
      </c>
      <c r="Z69" s="1850">
        <f t="shared" si="7"/>
        <v>0</v>
      </c>
      <c r="AA69" s="2733"/>
    </row>
    <row r="70" spans="1:27" ht="18.75" x14ac:dyDescent="0.25">
      <c r="A70" s="2456"/>
      <c r="B70" s="1849">
        <v>2056</v>
      </c>
      <c r="C70" s="218">
        <f t="shared" si="8"/>
        <v>0</v>
      </c>
      <c r="D70" s="221">
        <f t="shared" si="9"/>
        <v>0</v>
      </c>
      <c r="E70" s="218">
        <f t="shared" si="10"/>
        <v>0</v>
      </c>
      <c r="F70" s="218">
        <f t="shared" si="11"/>
        <v>0</v>
      </c>
      <c r="G70" s="218">
        <f t="shared" si="12"/>
        <v>0</v>
      </c>
      <c r="H70" s="218">
        <f t="shared" si="13"/>
        <v>0</v>
      </c>
      <c r="I70" s="218">
        <f t="shared" si="14"/>
        <v>0</v>
      </c>
      <c r="J70" s="218">
        <f t="shared" si="15"/>
        <v>0</v>
      </c>
      <c r="K70" s="218">
        <f t="shared" si="16"/>
        <v>0</v>
      </c>
      <c r="L70" s="192">
        <f t="shared" si="17"/>
        <v>0</v>
      </c>
      <c r="M70" s="211">
        <v>97</v>
      </c>
      <c r="N70" s="211">
        <f>(29.53*1.02)*0.4806*1.0824</f>
        <v>15.668779493664003</v>
      </c>
      <c r="O70" s="211">
        <f>(42.96*1.02)*0.4806*1.0824</f>
        <v>22.794810939648006</v>
      </c>
      <c r="P70" s="211">
        <f>(16.43*1.02)*0.4806*1.0824</f>
        <v>8.7178478523840006</v>
      </c>
      <c r="Q70" s="211">
        <f>(12.76*1.02)*0.4806*1.0824</f>
        <v>6.7705257818880007</v>
      </c>
      <c r="R70" s="211">
        <f>(1.27*1.02)*0.4806*1.0824</f>
        <v>0.67386894537600017</v>
      </c>
      <c r="S70" s="211">
        <f>(0.0584*1.02)*0.4806*1.0824</f>
        <v>3.0987359377920003E-2</v>
      </c>
      <c r="T70" s="1850">
        <f t="shared" si="18"/>
        <v>0</v>
      </c>
      <c r="U70" s="1850">
        <f t="shared" si="6"/>
        <v>0</v>
      </c>
      <c r="V70" s="1850">
        <f t="shared" si="6"/>
        <v>0</v>
      </c>
      <c r="W70" s="1850">
        <f t="shared" si="6"/>
        <v>0</v>
      </c>
      <c r="X70" s="1850">
        <f t="shared" si="6"/>
        <v>0</v>
      </c>
      <c r="Y70" s="1850">
        <f t="shared" si="6"/>
        <v>0</v>
      </c>
      <c r="Z70" s="1850">
        <f t="shared" si="7"/>
        <v>0</v>
      </c>
      <c r="AA70" s="2733"/>
    </row>
    <row r="71" spans="1:27" ht="18.75" x14ac:dyDescent="0.25">
      <c r="A71" s="2456"/>
      <c r="B71" s="1849">
        <v>2057</v>
      </c>
      <c r="C71" s="218">
        <f t="shared" si="8"/>
        <v>0</v>
      </c>
      <c r="D71" s="221">
        <f t="shared" si="9"/>
        <v>0</v>
      </c>
      <c r="E71" s="218">
        <f t="shared" si="10"/>
        <v>0</v>
      </c>
      <c r="F71" s="218">
        <f t="shared" si="11"/>
        <v>0</v>
      </c>
      <c r="G71" s="218">
        <f t="shared" si="12"/>
        <v>0</v>
      </c>
      <c r="H71" s="218">
        <f t="shared" si="13"/>
        <v>0</v>
      </c>
      <c r="I71" s="218">
        <f t="shared" si="14"/>
        <v>0</v>
      </c>
      <c r="J71" s="218">
        <f t="shared" si="15"/>
        <v>0</v>
      </c>
      <c r="K71" s="218">
        <f t="shared" si="16"/>
        <v>0</v>
      </c>
      <c r="L71" s="192">
        <f t="shared" si="17"/>
        <v>0</v>
      </c>
      <c r="M71" s="211">
        <v>97</v>
      </c>
      <c r="N71" s="211">
        <f>(29.53*1.02)*0.4712*1.0824</f>
        <v>15.362315641728001</v>
      </c>
      <c r="O71" s="211">
        <f>(42.96*1.02)*0.4712*1.0824</f>
        <v>22.348969860096002</v>
      </c>
      <c r="P71" s="211">
        <f>(16.43*1.02)*0.4712*1.0824</f>
        <v>8.547336471168002</v>
      </c>
      <c r="Q71" s="211">
        <f>(12.76*1.02)*0.4712*1.0824</f>
        <v>6.6381018485760004</v>
      </c>
      <c r="R71" s="211">
        <f>(1.27*1.02)*0.4712*1.0824</f>
        <v>0.66068882035200005</v>
      </c>
      <c r="S71" s="211">
        <f>(0.0584*1.02)*0.4712*1.0824</f>
        <v>3.038128118784E-2</v>
      </c>
      <c r="T71" s="1850">
        <f t="shared" si="18"/>
        <v>0</v>
      </c>
      <c r="U71" s="1850">
        <f t="shared" si="6"/>
        <v>0</v>
      </c>
      <c r="V71" s="1850">
        <f t="shared" si="6"/>
        <v>0</v>
      </c>
      <c r="W71" s="1850">
        <f t="shared" si="6"/>
        <v>0</v>
      </c>
      <c r="X71" s="1850">
        <f t="shared" si="6"/>
        <v>0</v>
      </c>
      <c r="Y71" s="1850">
        <f t="shared" si="6"/>
        <v>0</v>
      </c>
      <c r="Z71" s="1850">
        <f t="shared" si="7"/>
        <v>0</v>
      </c>
      <c r="AA71" s="2733"/>
    </row>
    <row r="72" spans="1:27" ht="18.75" x14ac:dyDescent="0.25">
      <c r="A72" s="2456"/>
      <c r="B72" s="1849">
        <v>2058</v>
      </c>
      <c r="C72" s="218">
        <f t="shared" si="8"/>
        <v>0</v>
      </c>
      <c r="D72" s="221">
        <f t="shared" si="9"/>
        <v>0</v>
      </c>
      <c r="E72" s="218">
        <f t="shared" si="10"/>
        <v>0</v>
      </c>
      <c r="F72" s="218">
        <f t="shared" si="11"/>
        <v>0</v>
      </c>
      <c r="G72" s="218">
        <f t="shared" si="12"/>
        <v>0</v>
      </c>
      <c r="H72" s="218">
        <f t="shared" si="13"/>
        <v>0</v>
      </c>
      <c r="I72" s="218">
        <f t="shared" si="14"/>
        <v>0</v>
      </c>
      <c r="J72" s="218">
        <f t="shared" si="15"/>
        <v>0</v>
      </c>
      <c r="K72" s="218">
        <f t="shared" si="16"/>
        <v>0</v>
      </c>
      <c r="L72" s="192">
        <f t="shared" si="17"/>
        <v>0</v>
      </c>
      <c r="M72" s="211">
        <v>97</v>
      </c>
      <c r="N72" s="211">
        <f>(29.53*1.02)*0.4619*1.0824</f>
        <v>15.059112043536</v>
      </c>
      <c r="O72" s="211">
        <f>(42.96*1.02)*0.4619*1.0824</f>
        <v>21.907871770752003</v>
      </c>
      <c r="P72" s="211">
        <f>(16.43*1.02)*0.4619*1.0824</f>
        <v>8.378639040816001</v>
      </c>
      <c r="Q72" s="211">
        <f>(12.76*1.02)*0.4619*1.0824</f>
        <v>6.5070866805119998</v>
      </c>
      <c r="R72" s="211">
        <f>(1.27*1.02)*0.4619*1.0824</f>
        <v>0.647648909424</v>
      </c>
      <c r="S72" s="211">
        <f>(0.0584*1.02)*0.4619*1.0824</f>
        <v>2.9781650638080002E-2</v>
      </c>
      <c r="T72" s="1850">
        <f t="shared" si="18"/>
        <v>0</v>
      </c>
      <c r="U72" s="1850">
        <f t="shared" si="6"/>
        <v>0</v>
      </c>
      <c r="V72" s="1850">
        <f t="shared" si="6"/>
        <v>0</v>
      </c>
      <c r="W72" s="1850">
        <f t="shared" si="6"/>
        <v>0</v>
      </c>
      <c r="X72" s="1850">
        <f t="shared" si="6"/>
        <v>0</v>
      </c>
      <c r="Y72" s="1850">
        <f t="shared" si="6"/>
        <v>0</v>
      </c>
      <c r="Z72" s="1850">
        <f t="shared" si="7"/>
        <v>0</v>
      </c>
      <c r="AA72" s="2733"/>
    </row>
    <row r="73" spans="1:27" ht="18.75" x14ac:dyDescent="0.25">
      <c r="A73" s="2456"/>
      <c r="B73" s="1849">
        <v>2059</v>
      </c>
      <c r="C73" s="218">
        <f t="shared" si="8"/>
        <v>0</v>
      </c>
      <c r="D73" s="221">
        <f t="shared" si="9"/>
        <v>0</v>
      </c>
      <c r="E73" s="218">
        <f t="shared" si="10"/>
        <v>0</v>
      </c>
      <c r="F73" s="218">
        <f t="shared" si="11"/>
        <v>0</v>
      </c>
      <c r="G73" s="218">
        <f t="shared" si="12"/>
        <v>0</v>
      </c>
      <c r="H73" s="218">
        <f t="shared" si="13"/>
        <v>0</v>
      </c>
      <c r="I73" s="218">
        <f t="shared" si="14"/>
        <v>0</v>
      </c>
      <c r="J73" s="218">
        <f t="shared" si="15"/>
        <v>0</v>
      </c>
      <c r="K73" s="218">
        <f t="shared" si="16"/>
        <v>0</v>
      </c>
      <c r="L73" s="192">
        <f t="shared" si="17"/>
        <v>0</v>
      </c>
      <c r="M73" s="211">
        <v>97</v>
      </c>
      <c r="N73" s="211">
        <f>(29.53*1.02)*0.4529*1.0824</f>
        <v>14.765689206576004</v>
      </c>
      <c r="O73" s="211">
        <f>(42.96*1.02)*0.4529*1.0824</f>
        <v>21.481002652032004</v>
      </c>
      <c r="P73" s="211">
        <f>(16.43*1.02)*0.4529*1.0824</f>
        <v>8.2153834630560016</v>
      </c>
      <c r="Q73" s="211">
        <f>(12.76*1.02)*0.4529*1.0824</f>
        <v>6.380297808192001</v>
      </c>
      <c r="R73" s="211">
        <f>(1.27*1.02)*0.4529*1.0824</f>
        <v>0.63502964078400004</v>
      </c>
      <c r="S73" s="211">
        <f>(0.0584*1.02)*0.4529*1.0824</f>
        <v>2.9201363009280005E-2</v>
      </c>
      <c r="T73" s="1850">
        <f t="shared" si="18"/>
        <v>0</v>
      </c>
      <c r="U73" s="1850">
        <f t="shared" si="6"/>
        <v>0</v>
      </c>
      <c r="V73" s="1850">
        <f t="shared" si="6"/>
        <v>0</v>
      </c>
      <c r="W73" s="1850">
        <f t="shared" si="6"/>
        <v>0</v>
      </c>
      <c r="X73" s="1850">
        <f t="shared" si="6"/>
        <v>0</v>
      </c>
      <c r="Y73" s="1850">
        <f t="shared" si="6"/>
        <v>0</v>
      </c>
      <c r="Z73" s="1850">
        <f t="shared" si="7"/>
        <v>0</v>
      </c>
      <c r="AA73" s="2733"/>
    </row>
    <row r="74" spans="1:27" ht="18.75" x14ac:dyDescent="0.25">
      <c r="A74" s="2456"/>
      <c r="B74" s="1849">
        <v>2060</v>
      </c>
      <c r="C74" s="218">
        <f t="shared" si="8"/>
        <v>0</v>
      </c>
      <c r="D74" s="221">
        <f t="shared" si="9"/>
        <v>0</v>
      </c>
      <c r="E74" s="218">
        <f t="shared" si="10"/>
        <v>0</v>
      </c>
      <c r="F74" s="218">
        <f t="shared" si="11"/>
        <v>0</v>
      </c>
      <c r="G74" s="218">
        <f t="shared" si="12"/>
        <v>0</v>
      </c>
      <c r="H74" s="218">
        <f t="shared" si="13"/>
        <v>0</v>
      </c>
      <c r="I74" s="218">
        <f t="shared" si="14"/>
        <v>0</v>
      </c>
      <c r="J74" s="218">
        <f t="shared" si="15"/>
        <v>0</v>
      </c>
      <c r="K74" s="218">
        <f t="shared" si="16"/>
        <v>0</v>
      </c>
      <c r="L74" s="192">
        <f t="shared" si="17"/>
        <v>0</v>
      </c>
      <c r="M74" s="211">
        <v>97</v>
      </c>
      <c r="N74" s="211">
        <f>(29.53*1.02)*0.444*1.0824</f>
        <v>14.475526623360002</v>
      </c>
      <c r="O74" s="211">
        <f>(42.96*1.02)*0.444*1.0824</f>
        <v>21.058876523520002</v>
      </c>
      <c r="P74" s="211">
        <f>(16.43*1.02)*0.444*1.0824</f>
        <v>8.0539418361599999</v>
      </c>
      <c r="Q74" s="211">
        <f>(12.76*1.02)*0.444*1.0824</f>
        <v>6.2549177011200001</v>
      </c>
      <c r="R74" s="211">
        <f>(1.27*1.02)*0.444*1.0824</f>
        <v>0.62255058624000004</v>
      </c>
      <c r="S74" s="211">
        <f>(0.0584*1.02)*0.444*1.0824</f>
        <v>2.8627523020800003E-2</v>
      </c>
      <c r="T74" s="1850">
        <f t="shared" si="18"/>
        <v>0</v>
      </c>
      <c r="U74" s="1850">
        <f t="shared" si="6"/>
        <v>0</v>
      </c>
      <c r="V74" s="1850">
        <f t="shared" si="6"/>
        <v>0</v>
      </c>
      <c r="W74" s="1850">
        <f t="shared" si="6"/>
        <v>0</v>
      </c>
      <c r="X74" s="1850">
        <f t="shared" si="6"/>
        <v>0</v>
      </c>
      <c r="Y74" s="1850">
        <f t="shared" si="6"/>
        <v>0</v>
      </c>
      <c r="Z74" s="1850">
        <f t="shared" si="7"/>
        <v>0</v>
      </c>
      <c r="AA74" s="2733"/>
    </row>
    <row r="75" spans="1:27" ht="18.75" x14ac:dyDescent="0.25">
      <c r="A75" s="2456"/>
      <c r="B75" s="1849">
        <v>2061</v>
      </c>
      <c r="C75" s="218">
        <f t="shared" si="8"/>
        <v>0</v>
      </c>
      <c r="D75" s="221">
        <f t="shared" si="9"/>
        <v>0</v>
      </c>
      <c r="E75" s="218">
        <f t="shared" si="10"/>
        <v>0</v>
      </c>
      <c r="F75" s="218">
        <f t="shared" si="11"/>
        <v>0</v>
      </c>
      <c r="G75" s="218">
        <f t="shared" si="12"/>
        <v>0</v>
      </c>
      <c r="H75" s="218">
        <f t="shared" si="13"/>
        <v>0</v>
      </c>
      <c r="I75" s="218">
        <f t="shared" si="14"/>
        <v>0</v>
      </c>
      <c r="J75" s="218">
        <f t="shared" si="15"/>
        <v>0</v>
      </c>
      <c r="K75" s="218">
        <f t="shared" si="16"/>
        <v>0</v>
      </c>
      <c r="L75" s="192">
        <f t="shared" si="17"/>
        <v>0</v>
      </c>
      <c r="M75" s="211">
        <v>97</v>
      </c>
      <c r="N75" s="211">
        <f>(29.53*1.02)*0.4353*1.0824</f>
        <v>14.191884547632004</v>
      </c>
      <c r="O75" s="211">
        <f>(42.96*1.02)*0.4353*1.0824</f>
        <v>20.646236375424003</v>
      </c>
      <c r="P75" s="211">
        <f>(16.43*1.02)*0.4353*1.0824</f>
        <v>7.8961281109920014</v>
      </c>
      <c r="Q75" s="211">
        <f>(12.76*1.02)*0.4353*1.0824</f>
        <v>6.1323551245440004</v>
      </c>
      <c r="R75" s="211">
        <f>(1.27*1.02)*0.4353*1.0824</f>
        <v>0.61035195988800006</v>
      </c>
      <c r="S75" s="211">
        <f>(0.0584*1.02)*0.4353*1.0824</f>
        <v>2.8066578312960003E-2</v>
      </c>
      <c r="T75" s="1850">
        <f t="shared" si="18"/>
        <v>0</v>
      </c>
      <c r="U75" s="1850">
        <f t="shared" si="6"/>
        <v>0</v>
      </c>
      <c r="V75" s="1850">
        <f t="shared" si="6"/>
        <v>0</v>
      </c>
      <c r="W75" s="1850">
        <f t="shared" si="6"/>
        <v>0</v>
      </c>
      <c r="X75" s="1850">
        <f t="shared" si="6"/>
        <v>0</v>
      </c>
      <c r="Y75" s="1850">
        <f t="shared" si="6"/>
        <v>0</v>
      </c>
      <c r="Z75" s="1850">
        <f t="shared" si="7"/>
        <v>0</v>
      </c>
      <c r="AA75" s="2733"/>
    </row>
    <row r="76" spans="1:27" ht="18.75" x14ac:dyDescent="0.25">
      <c r="A76" s="2456"/>
      <c r="B76" s="1849">
        <v>2062</v>
      </c>
      <c r="C76" s="218">
        <f t="shared" si="8"/>
        <v>0</v>
      </c>
      <c r="D76" s="221">
        <f t="shared" si="9"/>
        <v>0</v>
      </c>
      <c r="E76" s="218">
        <f t="shared" si="10"/>
        <v>0</v>
      </c>
      <c r="F76" s="218">
        <f t="shared" si="11"/>
        <v>0</v>
      </c>
      <c r="G76" s="218">
        <f t="shared" si="12"/>
        <v>0</v>
      </c>
      <c r="H76" s="218">
        <f t="shared" si="13"/>
        <v>0</v>
      </c>
      <c r="I76" s="218">
        <f t="shared" si="14"/>
        <v>0</v>
      </c>
      <c r="J76" s="218">
        <f t="shared" si="15"/>
        <v>0</v>
      </c>
      <c r="K76" s="218">
        <f t="shared" si="16"/>
        <v>0</v>
      </c>
      <c r="L76" s="192">
        <f t="shared" si="17"/>
        <v>0</v>
      </c>
      <c r="M76" s="211">
        <v>97</v>
      </c>
      <c r="N76" s="211">
        <f>(29.53*1.02)*0.4268*1.0824</f>
        <v>13.914762979392002</v>
      </c>
      <c r="O76" s="211">
        <f>(42.96*1.02)*0.4268*1.0824</f>
        <v>20.243082207744003</v>
      </c>
      <c r="P76" s="211">
        <f>(16.43*1.02)*0.4268*1.0824</f>
        <v>7.7419422875520008</v>
      </c>
      <c r="Q76" s="211">
        <f>(12.76*1.02)*0.4268*1.0824</f>
        <v>6.0126100784640002</v>
      </c>
      <c r="R76" s="211">
        <f>(1.27*1.02)*0.4268*1.0824</f>
        <v>0.59843376172800011</v>
      </c>
      <c r="S76" s="211">
        <f>(0.0584*1.02)*0.4268*1.0824</f>
        <v>2.7518528885760004E-2</v>
      </c>
      <c r="T76" s="1850">
        <f t="shared" si="18"/>
        <v>0</v>
      </c>
      <c r="U76" s="1850">
        <f t="shared" si="6"/>
        <v>0</v>
      </c>
      <c r="V76" s="1850">
        <f t="shared" si="6"/>
        <v>0</v>
      </c>
      <c r="W76" s="1850">
        <f t="shared" si="6"/>
        <v>0</v>
      </c>
      <c r="X76" s="1850">
        <f t="shared" si="6"/>
        <v>0</v>
      </c>
      <c r="Y76" s="1850">
        <f t="shared" si="6"/>
        <v>0</v>
      </c>
      <c r="Z76" s="1850">
        <f t="shared" si="7"/>
        <v>0</v>
      </c>
      <c r="AA76" s="2733"/>
    </row>
    <row r="77" spans="1:27" ht="18.75" x14ac:dyDescent="0.25">
      <c r="A77" s="2456"/>
      <c r="B77" s="1849">
        <v>2063</v>
      </c>
      <c r="C77" s="218">
        <f t="shared" si="8"/>
        <v>0</v>
      </c>
      <c r="D77" s="221">
        <f t="shared" si="9"/>
        <v>0</v>
      </c>
      <c r="E77" s="218">
        <f t="shared" si="10"/>
        <v>0</v>
      </c>
      <c r="F77" s="218">
        <f t="shared" si="11"/>
        <v>0</v>
      </c>
      <c r="G77" s="218">
        <f t="shared" si="12"/>
        <v>0</v>
      </c>
      <c r="H77" s="218">
        <f t="shared" si="13"/>
        <v>0</v>
      </c>
      <c r="I77" s="218">
        <f t="shared" si="14"/>
        <v>0</v>
      </c>
      <c r="J77" s="218">
        <f t="shared" si="15"/>
        <v>0</v>
      </c>
      <c r="K77" s="218">
        <f t="shared" si="16"/>
        <v>0</v>
      </c>
      <c r="L77" s="192">
        <f t="shared" si="17"/>
        <v>0</v>
      </c>
      <c r="M77" s="211">
        <v>97</v>
      </c>
      <c r="N77" s="211">
        <f>(29.53*1.02)*0.4184*1.0824</f>
        <v>13.640901664896001</v>
      </c>
      <c r="O77" s="211">
        <f>(42.96*1.02)*0.4184*1.0824</f>
        <v>19.844671030272</v>
      </c>
      <c r="P77" s="211">
        <f>(16.43*1.02)*0.4184*1.0824</f>
        <v>7.5895704149760004</v>
      </c>
      <c r="Q77" s="211">
        <f>(12.76*1.02)*0.4184*1.0824</f>
        <v>5.8942737976319997</v>
      </c>
      <c r="R77" s="211">
        <f>(1.27*1.02)*0.4184*1.0824</f>
        <v>0.58665577766400001</v>
      </c>
      <c r="S77" s="211">
        <f>(0.0584*1.02)*0.4184*1.0824</f>
        <v>2.6976927098879999E-2</v>
      </c>
      <c r="T77" s="1850">
        <f t="shared" si="18"/>
        <v>0</v>
      </c>
      <c r="U77" s="1850">
        <f t="shared" si="6"/>
        <v>0</v>
      </c>
      <c r="V77" s="1850">
        <f t="shared" si="6"/>
        <v>0</v>
      </c>
      <c r="W77" s="1850">
        <f t="shared" si="6"/>
        <v>0</v>
      </c>
      <c r="X77" s="1850">
        <f t="shared" si="6"/>
        <v>0</v>
      </c>
      <c r="Y77" s="1850">
        <f t="shared" si="6"/>
        <v>0</v>
      </c>
      <c r="Z77" s="1850">
        <f t="shared" si="7"/>
        <v>0</v>
      </c>
      <c r="AA77" s="2733"/>
    </row>
    <row r="78" spans="1:27" ht="18.75" x14ac:dyDescent="0.25">
      <c r="A78" s="2456"/>
      <c r="B78" s="1849">
        <v>2064</v>
      </c>
      <c r="C78" s="218">
        <f t="shared" si="8"/>
        <v>0</v>
      </c>
      <c r="D78" s="221">
        <f t="shared" si="9"/>
        <v>0</v>
      </c>
      <c r="E78" s="218">
        <f t="shared" si="10"/>
        <v>0</v>
      </c>
      <c r="F78" s="218">
        <f t="shared" si="11"/>
        <v>0</v>
      </c>
      <c r="G78" s="218">
        <f t="shared" si="12"/>
        <v>0</v>
      </c>
      <c r="H78" s="218">
        <f t="shared" si="13"/>
        <v>0</v>
      </c>
      <c r="I78" s="218">
        <f t="shared" si="14"/>
        <v>0</v>
      </c>
      <c r="J78" s="218">
        <f t="shared" si="15"/>
        <v>0</v>
      </c>
      <c r="K78" s="218">
        <f t="shared" si="16"/>
        <v>0</v>
      </c>
      <c r="L78" s="192">
        <f t="shared" si="17"/>
        <v>0</v>
      </c>
      <c r="M78" s="211">
        <v>97</v>
      </c>
      <c r="N78" s="211">
        <f>(29.53*1.02)*0.4102*1.0824</f>
        <v>13.373560857888002</v>
      </c>
      <c r="O78" s="211">
        <f>(42.96*1.02)*0.4102*1.0824</f>
        <v>19.455745833216003</v>
      </c>
      <c r="P78" s="211">
        <f>(16.43*1.02)*0.4102*1.0824</f>
        <v>7.4408264441280014</v>
      </c>
      <c r="Q78" s="211">
        <f>(12.76*1.02)*0.4102*1.0824</f>
        <v>5.7787550472960003</v>
      </c>
      <c r="R78" s="211">
        <f>(1.27*1.02)*0.4102*1.0824</f>
        <v>0.57515822179200005</v>
      </c>
      <c r="S78" s="211">
        <f>(0.0584*1.02)*0.4102*1.0824</f>
        <v>2.6448220592640001E-2</v>
      </c>
      <c r="T78" s="1850">
        <f t="shared" si="18"/>
        <v>0</v>
      </c>
      <c r="U78" s="1850">
        <f t="shared" si="6"/>
        <v>0</v>
      </c>
      <c r="V78" s="1850">
        <f t="shared" si="6"/>
        <v>0</v>
      </c>
      <c r="W78" s="1850">
        <f t="shared" si="6"/>
        <v>0</v>
      </c>
      <c r="X78" s="1850">
        <f t="shared" si="6"/>
        <v>0</v>
      </c>
      <c r="Y78" s="1850">
        <f t="shared" si="6"/>
        <v>0</v>
      </c>
      <c r="Z78" s="1850">
        <f t="shared" si="7"/>
        <v>0</v>
      </c>
      <c r="AA78" s="2733"/>
    </row>
    <row r="79" spans="1:27" ht="18.75" x14ac:dyDescent="0.25">
      <c r="A79" s="2456"/>
      <c r="B79" s="1849">
        <v>2065</v>
      </c>
      <c r="C79" s="218">
        <f t="shared" si="8"/>
        <v>0</v>
      </c>
      <c r="D79" s="221">
        <f t="shared" si="9"/>
        <v>0</v>
      </c>
      <c r="E79" s="218">
        <f t="shared" si="10"/>
        <v>0</v>
      </c>
      <c r="F79" s="218">
        <f t="shared" si="11"/>
        <v>0</v>
      </c>
      <c r="G79" s="218">
        <f t="shared" si="12"/>
        <v>0</v>
      </c>
      <c r="H79" s="218">
        <f t="shared" si="13"/>
        <v>0</v>
      </c>
      <c r="I79" s="218">
        <f t="shared" si="14"/>
        <v>0</v>
      </c>
      <c r="J79" s="218">
        <f t="shared" si="15"/>
        <v>0</v>
      </c>
      <c r="K79" s="218">
        <f t="shared" si="16"/>
        <v>0</v>
      </c>
      <c r="L79" s="192">
        <f t="shared" si="17"/>
        <v>0</v>
      </c>
      <c r="M79" s="211">
        <v>97</v>
      </c>
      <c r="N79" s="211">
        <f>(29.53*1.02)*0.4022*1.0824</f>
        <v>13.112740558368001</v>
      </c>
      <c r="O79" s="211">
        <f>(42.96*1.02)*0.4022*1.0824</f>
        <v>19.076306616576002</v>
      </c>
      <c r="P79" s="211">
        <f>(16.43*1.02)*0.4022*1.0824</f>
        <v>7.2957103750080003</v>
      </c>
      <c r="Q79" s="211">
        <f>(12.76*1.02)*0.4022*1.0824</f>
        <v>5.6660538274560004</v>
      </c>
      <c r="R79" s="211">
        <f>(1.27*1.02)*0.4022*1.0824</f>
        <v>0.56394109411200011</v>
      </c>
      <c r="S79" s="211">
        <f>(0.0584*1.02)*0.4022*1.0824</f>
        <v>2.5932409367040003E-2</v>
      </c>
      <c r="T79" s="1850">
        <f t="shared" si="18"/>
        <v>0</v>
      </c>
      <c r="U79" s="1850">
        <f t="shared" si="6"/>
        <v>0</v>
      </c>
      <c r="V79" s="1850">
        <f t="shared" si="6"/>
        <v>0</v>
      </c>
      <c r="W79" s="1850">
        <f t="shared" si="6"/>
        <v>0</v>
      </c>
      <c r="X79" s="1850">
        <f t="shared" si="6"/>
        <v>0</v>
      </c>
      <c r="Y79" s="1850">
        <f t="shared" si="6"/>
        <v>0</v>
      </c>
      <c r="Z79" s="1850">
        <f t="shared" si="7"/>
        <v>0</v>
      </c>
      <c r="AA79" s="2733"/>
    </row>
    <row r="80" spans="1:27" ht="18.75" x14ac:dyDescent="0.25">
      <c r="A80" s="2456"/>
      <c r="B80" s="1849">
        <v>2066</v>
      </c>
      <c r="C80" s="218">
        <f t="shared" si="8"/>
        <v>0</v>
      </c>
      <c r="D80" s="221">
        <f t="shared" si="9"/>
        <v>0</v>
      </c>
      <c r="E80" s="218">
        <f t="shared" si="10"/>
        <v>0</v>
      </c>
      <c r="F80" s="218">
        <f t="shared" si="11"/>
        <v>0</v>
      </c>
      <c r="G80" s="218">
        <f t="shared" si="12"/>
        <v>0</v>
      </c>
      <c r="H80" s="218">
        <f t="shared" si="13"/>
        <v>0</v>
      </c>
      <c r="I80" s="218">
        <f t="shared" si="14"/>
        <v>0</v>
      </c>
      <c r="J80" s="218">
        <f t="shared" si="15"/>
        <v>0</v>
      </c>
      <c r="K80" s="218">
        <f t="shared" si="16"/>
        <v>0</v>
      </c>
      <c r="L80" s="192">
        <f t="shared" si="17"/>
        <v>0</v>
      </c>
      <c r="M80" s="211">
        <v>97</v>
      </c>
      <c r="N80" s="211">
        <f>(29.53*1.02)*0.3943*1.0824</f>
        <v>12.855180512592</v>
      </c>
      <c r="O80" s="211">
        <f>(42.96*1.02)*0.3943*1.0824</f>
        <v>18.701610390143998</v>
      </c>
      <c r="P80" s="211">
        <f>(16.43*1.02)*0.3943*1.0824</f>
        <v>7.1524082567520004</v>
      </c>
      <c r="Q80" s="211">
        <f>(12.76*1.02)*0.3943*1.0824</f>
        <v>5.5547613728639993</v>
      </c>
      <c r="R80" s="211">
        <f>(1.27*1.02)*0.3943*1.0824</f>
        <v>0.55286418052800002</v>
      </c>
      <c r="S80" s="211">
        <f>(0.0584*1.02)*0.3943*1.0824</f>
        <v>2.5423045781760002E-2</v>
      </c>
      <c r="T80" s="1850">
        <f t="shared" si="18"/>
        <v>0</v>
      </c>
      <c r="U80" s="1850">
        <f t="shared" si="6"/>
        <v>0</v>
      </c>
      <c r="V80" s="1850">
        <f t="shared" si="6"/>
        <v>0</v>
      </c>
      <c r="W80" s="1850">
        <f t="shared" si="6"/>
        <v>0</v>
      </c>
      <c r="X80" s="1850">
        <f t="shared" si="6"/>
        <v>0</v>
      </c>
      <c r="Y80" s="1850">
        <f t="shared" si="6"/>
        <v>0</v>
      </c>
      <c r="Z80" s="1850">
        <f t="shared" si="7"/>
        <v>0</v>
      </c>
      <c r="AA80" s="2733"/>
    </row>
    <row r="81" spans="1:27" ht="18.75" x14ac:dyDescent="0.25">
      <c r="A81" s="2456"/>
      <c r="B81" s="1849">
        <v>2067</v>
      </c>
      <c r="C81" s="218">
        <f t="shared" si="8"/>
        <v>0</v>
      </c>
      <c r="D81" s="221">
        <f t="shared" si="9"/>
        <v>0</v>
      </c>
      <c r="E81" s="218">
        <f t="shared" si="10"/>
        <v>0</v>
      </c>
      <c r="F81" s="218">
        <f t="shared" si="11"/>
        <v>0</v>
      </c>
      <c r="G81" s="218">
        <f t="shared" si="12"/>
        <v>0</v>
      </c>
      <c r="H81" s="218">
        <f t="shared" si="13"/>
        <v>0</v>
      </c>
      <c r="I81" s="218">
        <f t="shared" si="14"/>
        <v>0</v>
      </c>
      <c r="J81" s="218">
        <f t="shared" si="15"/>
        <v>0</v>
      </c>
      <c r="K81" s="218">
        <f t="shared" si="16"/>
        <v>0</v>
      </c>
      <c r="L81" s="192">
        <f t="shared" si="17"/>
        <v>0</v>
      </c>
      <c r="M81" s="211">
        <v>97</v>
      </c>
      <c r="N81" s="211">
        <f>(29.53*1.02)*0.3865*1.0824</f>
        <v>12.600880720560001</v>
      </c>
      <c r="O81" s="211">
        <f>(42.96*1.02)*0.3865*1.0824</f>
        <v>18.331657153920002</v>
      </c>
      <c r="P81" s="211">
        <f>(16.43*1.02)*0.3865*1.0824</f>
        <v>7.0109200893600008</v>
      </c>
      <c r="Q81" s="211">
        <f>(12.76*1.02)*0.3865*1.0824</f>
        <v>5.4448776835200006</v>
      </c>
      <c r="R81" s="211">
        <f>(1.27*1.02)*0.3865*1.0824</f>
        <v>0.5419274810400001</v>
      </c>
      <c r="S81" s="211">
        <f>(0.0584*1.02)*0.3865*1.0824</f>
        <v>2.4920129836800003E-2</v>
      </c>
      <c r="T81" s="1850">
        <f t="shared" si="18"/>
        <v>0</v>
      </c>
      <c r="U81" s="1850">
        <f t="shared" si="6"/>
        <v>0</v>
      </c>
      <c r="V81" s="1850">
        <f t="shared" si="6"/>
        <v>0</v>
      </c>
      <c r="W81" s="1850">
        <f t="shared" si="6"/>
        <v>0</v>
      </c>
      <c r="X81" s="1850">
        <f t="shared" si="6"/>
        <v>0</v>
      </c>
      <c r="Y81" s="1850">
        <f t="shared" si="6"/>
        <v>0</v>
      </c>
      <c r="Z81" s="1850">
        <f t="shared" si="7"/>
        <v>0</v>
      </c>
      <c r="AA81" s="2733"/>
    </row>
    <row r="82" spans="1:27" ht="18.75" x14ac:dyDescent="0.25">
      <c r="A82" s="2456"/>
      <c r="B82" s="1849">
        <v>2068</v>
      </c>
      <c r="C82" s="218">
        <f t="shared" si="8"/>
        <v>0</v>
      </c>
      <c r="D82" s="221">
        <f t="shared" si="9"/>
        <v>0</v>
      </c>
      <c r="E82" s="218">
        <f t="shared" si="10"/>
        <v>0</v>
      </c>
      <c r="F82" s="218">
        <f t="shared" si="11"/>
        <v>0</v>
      </c>
      <c r="G82" s="218">
        <f t="shared" si="12"/>
        <v>0</v>
      </c>
      <c r="H82" s="218">
        <f t="shared" si="13"/>
        <v>0</v>
      </c>
      <c r="I82" s="218">
        <f t="shared" si="14"/>
        <v>0</v>
      </c>
      <c r="J82" s="218">
        <f t="shared" si="15"/>
        <v>0</v>
      </c>
      <c r="K82" s="218">
        <f t="shared" si="16"/>
        <v>0</v>
      </c>
      <c r="L82" s="192">
        <f t="shared" si="17"/>
        <v>0</v>
      </c>
      <c r="M82" s="211">
        <v>97</v>
      </c>
      <c r="N82" s="211">
        <f>(29.53*1.02)*0.379*1.0824</f>
        <v>12.356361689760002</v>
      </c>
      <c r="O82" s="211">
        <f>(42.96*1.02)*0.379*1.0824</f>
        <v>17.975932888320003</v>
      </c>
      <c r="P82" s="211">
        <f>(16.43*1.02)*0.379*1.0824</f>
        <v>6.8748737745600002</v>
      </c>
      <c r="Q82" s="211">
        <f>(12.76*1.02)*0.379*1.0824</f>
        <v>5.339220289920001</v>
      </c>
      <c r="R82" s="211">
        <f>(1.27*1.02)*0.379*1.0824</f>
        <v>0.53141142384000006</v>
      </c>
      <c r="S82" s="211">
        <f>(0.0584*1.02)*0.379*1.0824</f>
        <v>2.4436556812800003E-2</v>
      </c>
      <c r="T82" s="1850">
        <f t="shared" si="18"/>
        <v>0</v>
      </c>
      <c r="U82" s="1850">
        <f t="shared" si="6"/>
        <v>0</v>
      </c>
      <c r="V82" s="1850">
        <f t="shared" si="6"/>
        <v>0</v>
      </c>
      <c r="W82" s="1850">
        <f t="shared" si="6"/>
        <v>0</v>
      </c>
      <c r="X82" s="1850">
        <f t="shared" si="6"/>
        <v>0</v>
      </c>
      <c r="Y82" s="1850">
        <f t="shared" si="6"/>
        <v>0</v>
      </c>
      <c r="Z82" s="1850">
        <f t="shared" si="7"/>
        <v>0</v>
      </c>
      <c r="AA82" s="2733"/>
    </row>
    <row r="83" spans="1:27" ht="19.5" thickBot="1" x14ac:dyDescent="0.3">
      <c r="A83" s="2457"/>
      <c r="B83" s="1851">
        <v>2069</v>
      </c>
      <c r="C83" s="222">
        <f t="shared" si="8"/>
        <v>0</v>
      </c>
      <c r="D83" s="328">
        <f t="shared" si="9"/>
        <v>0</v>
      </c>
      <c r="E83" s="222">
        <f t="shared" si="10"/>
        <v>0</v>
      </c>
      <c r="F83" s="222">
        <f t="shared" si="11"/>
        <v>0</v>
      </c>
      <c r="G83" s="222">
        <f t="shared" si="12"/>
        <v>0</v>
      </c>
      <c r="H83" s="222">
        <f t="shared" si="13"/>
        <v>0</v>
      </c>
      <c r="I83" s="222">
        <f t="shared" si="14"/>
        <v>0</v>
      </c>
      <c r="J83" s="222">
        <f t="shared" si="15"/>
        <v>0</v>
      </c>
      <c r="K83" s="222">
        <f t="shared" si="16"/>
        <v>0</v>
      </c>
      <c r="L83" s="220">
        <f t="shared" si="17"/>
        <v>0</v>
      </c>
      <c r="M83" s="416">
        <v>97</v>
      </c>
      <c r="N83" s="416">
        <f>(29.53*1.02)*0.3715*1.0824</f>
        <v>12.111842658960002</v>
      </c>
      <c r="O83" s="416">
        <f>(42.96*1.02)*0.3715*1.0824</f>
        <v>17.62020862272</v>
      </c>
      <c r="P83" s="416">
        <f>(16.43*1.02)*0.3715*1.0824</f>
        <v>6.7388274597600004</v>
      </c>
      <c r="Q83" s="416">
        <f>(12.76*1.02)*0.3715*1.0824</f>
        <v>5.2335628963200005</v>
      </c>
      <c r="R83" s="416">
        <f>(1.27*1.02)*0.3715*1.0824</f>
        <v>0.52089536664000002</v>
      </c>
      <c r="S83" s="416">
        <f>(0.0584*1.02)*0.3715*1.0824</f>
        <v>2.3952983788800002E-2</v>
      </c>
      <c r="T83" s="175">
        <f t="shared" si="18"/>
        <v>0</v>
      </c>
      <c r="U83" s="175">
        <f t="shared" si="6"/>
        <v>0</v>
      </c>
      <c r="V83" s="175">
        <f t="shared" si="6"/>
        <v>0</v>
      </c>
      <c r="W83" s="175">
        <f t="shared" si="6"/>
        <v>0</v>
      </c>
      <c r="X83" s="175">
        <f t="shared" si="6"/>
        <v>0</v>
      </c>
      <c r="Y83" s="175">
        <f t="shared" si="6"/>
        <v>0</v>
      </c>
      <c r="Z83" s="175">
        <f t="shared" si="7"/>
        <v>0</v>
      </c>
      <c r="AA83" s="2735"/>
    </row>
    <row r="84" spans="1:27" s="230" customFormat="1" ht="18.75" x14ac:dyDescent="0.25">
      <c r="A84" s="2456" t="s">
        <v>1774</v>
      </c>
      <c r="B84" s="1852">
        <v>2019</v>
      </c>
      <c r="C84" s="221">
        <f>$S$6</f>
        <v>0</v>
      </c>
      <c r="D84" s="221">
        <f>$R$6*28</f>
        <v>0</v>
      </c>
      <c r="E84" s="221">
        <f>$T$6*298</f>
        <v>0</v>
      </c>
      <c r="F84" s="221">
        <f>$O$6</f>
        <v>0</v>
      </c>
      <c r="G84" s="221">
        <f>$P$6</f>
        <v>0</v>
      </c>
      <c r="H84" s="221">
        <f>$N$6</f>
        <v>0</v>
      </c>
      <c r="I84" s="221">
        <f>$Q$6</f>
        <v>0</v>
      </c>
      <c r="J84" s="221">
        <f>$L$6</f>
        <v>0</v>
      </c>
      <c r="K84" s="221">
        <f>$M$6</f>
        <v>0</v>
      </c>
      <c r="L84" s="354">
        <f>(C84/1000)+(D84/1000)+(E84/1000)</f>
        <v>0</v>
      </c>
      <c r="M84" s="726">
        <v>62</v>
      </c>
      <c r="N84" s="726">
        <f>29.53*1.02*1.0824</f>
        <v>32.602537440000006</v>
      </c>
      <c r="O84" s="726">
        <f>42.96*1.02*1.0824</f>
        <v>47.429902080000005</v>
      </c>
      <c r="P84" s="726">
        <f>16.43*1.02*1.0824</f>
        <v>18.139508640000003</v>
      </c>
      <c r="Q84" s="726">
        <f>12.76*1.02*1.0824</f>
        <v>14.087652480000001</v>
      </c>
      <c r="R84" s="726">
        <f>1.27*1.02*1.0824</f>
        <v>1.4021409600000001</v>
      </c>
      <c r="S84" s="726">
        <f>0.0584*1.02*1.0824</f>
        <v>6.4476403200000004E-2</v>
      </c>
      <c r="T84" s="1848">
        <f>L84*M84</f>
        <v>0</v>
      </c>
      <c r="U84" s="1848">
        <f t="shared" ref="U84:Y134" si="19">F84*N84</f>
        <v>0</v>
      </c>
      <c r="V84" s="1848">
        <f t="shared" si="19"/>
        <v>0</v>
      </c>
      <c r="W84" s="1848">
        <f t="shared" si="19"/>
        <v>0</v>
      </c>
      <c r="X84" s="1848">
        <f t="shared" si="19"/>
        <v>0</v>
      </c>
      <c r="Y84" s="1848">
        <f t="shared" si="19"/>
        <v>0</v>
      </c>
      <c r="Z84" s="1848">
        <f t="shared" ref="Z84:Z134" si="20">S84*K84</f>
        <v>0</v>
      </c>
      <c r="AA84" s="2740">
        <f>(SUM(T84:T134)*1.2682)+(SUM(U84:U134))+(SUM(V84:V134))+(SUM(W84:W134))+(SUM(X84:X134))+(SUM(Y84:Y134))+(SUM(Z84:Z134))</f>
        <v>0</v>
      </c>
    </row>
    <row r="85" spans="1:27" s="230" customFormat="1" ht="18.75" x14ac:dyDescent="0.25">
      <c r="A85" s="2456"/>
      <c r="B85" s="1849">
        <v>2020</v>
      </c>
      <c r="C85" s="218">
        <f t="shared" ref="C85:C134" si="21">$S$6</f>
        <v>0</v>
      </c>
      <c r="D85" s="218">
        <f t="shared" ref="D85:D134" si="22">$R$6*28</f>
        <v>0</v>
      </c>
      <c r="E85" s="221">
        <f t="shared" ref="E85:E134" si="23">$T$6*298</f>
        <v>0</v>
      </c>
      <c r="F85" s="218">
        <f t="shared" ref="F85:F134" si="24">$O$6</f>
        <v>0</v>
      </c>
      <c r="G85" s="218">
        <f t="shared" ref="G85:G134" si="25">$P$6</f>
        <v>0</v>
      </c>
      <c r="H85" s="218">
        <f t="shared" ref="H85:H134" si="26">$N$6</f>
        <v>0</v>
      </c>
      <c r="I85" s="218">
        <f t="shared" ref="I85:I134" si="27">$Q$6</f>
        <v>0</v>
      </c>
      <c r="J85" s="218">
        <f t="shared" ref="J85:J134" si="28">$L$6</f>
        <v>0</v>
      </c>
      <c r="K85" s="218">
        <f t="shared" ref="K85:K134" si="29">$M$6</f>
        <v>0</v>
      </c>
      <c r="L85" s="192">
        <f t="shared" ref="L85:L134" si="30">(C85/1000)+(D85/1000)+(E85/1000)</f>
        <v>0</v>
      </c>
      <c r="M85" s="211">
        <v>64</v>
      </c>
      <c r="N85" s="211">
        <f>(29.53*1.02)*0.9804*1.0824</f>
        <v>31.963527706176006</v>
      </c>
      <c r="O85" s="211">
        <f>(42.96*1.02)*0.9804*1.0824</f>
        <v>46.500275999232002</v>
      </c>
      <c r="P85" s="211">
        <f>(16.43*1.02)*0.9804*1.0824</f>
        <v>17.783974270656003</v>
      </c>
      <c r="Q85" s="211">
        <f>(12.76*1.02)*0.9804*1.0824</f>
        <v>13.811534491392001</v>
      </c>
      <c r="R85" s="211">
        <f>(1.27*1.02)*0.9804*1.0824</f>
        <v>1.3746589971840002</v>
      </c>
      <c r="S85" s="211">
        <f>(0.0584*1.02)*0.9804*1.0824</f>
        <v>6.3212665697280013E-2</v>
      </c>
      <c r="T85" s="1850">
        <f t="shared" ref="T85:T134" si="31">L85*M85</f>
        <v>0</v>
      </c>
      <c r="U85" s="1850">
        <f t="shared" si="19"/>
        <v>0</v>
      </c>
      <c r="V85" s="1850">
        <f t="shared" si="19"/>
        <v>0</v>
      </c>
      <c r="W85" s="1850">
        <f t="shared" si="19"/>
        <v>0</v>
      </c>
      <c r="X85" s="1850">
        <f t="shared" si="19"/>
        <v>0</v>
      </c>
      <c r="Y85" s="1850">
        <f t="shared" si="19"/>
        <v>0</v>
      </c>
      <c r="Z85" s="1850">
        <f t="shared" si="20"/>
        <v>0</v>
      </c>
      <c r="AA85" s="2733"/>
    </row>
    <row r="86" spans="1:27" s="230" customFormat="1" ht="18.75" x14ac:dyDescent="0.25">
      <c r="A86" s="2456"/>
      <c r="B86" s="1849">
        <v>2021</v>
      </c>
      <c r="C86" s="218">
        <f t="shared" si="21"/>
        <v>0</v>
      </c>
      <c r="D86" s="218">
        <f t="shared" si="22"/>
        <v>0</v>
      </c>
      <c r="E86" s="221">
        <f t="shared" si="23"/>
        <v>0</v>
      </c>
      <c r="F86" s="218">
        <f t="shared" si="24"/>
        <v>0</v>
      </c>
      <c r="G86" s="218">
        <f t="shared" si="25"/>
        <v>0</v>
      </c>
      <c r="H86" s="218">
        <f t="shared" si="26"/>
        <v>0</v>
      </c>
      <c r="I86" s="218">
        <f t="shared" si="27"/>
        <v>0</v>
      </c>
      <c r="J86" s="218">
        <f t="shared" si="28"/>
        <v>0</v>
      </c>
      <c r="K86" s="218">
        <f t="shared" si="29"/>
        <v>0</v>
      </c>
      <c r="L86" s="192">
        <f t="shared" si="30"/>
        <v>0</v>
      </c>
      <c r="M86" s="211">
        <v>65</v>
      </c>
      <c r="N86" s="211">
        <f>(29.53*1.02)*0.9612*1.0824</f>
        <v>31.337558987328006</v>
      </c>
      <c r="O86" s="211">
        <f>(42.96*1.02)*0.9612*1.0824</f>
        <v>45.589621879296011</v>
      </c>
      <c r="P86" s="211">
        <f>(16.43*1.02)*0.9612*1.0824</f>
        <v>17.435695704768001</v>
      </c>
      <c r="Q86" s="211">
        <f>(12.76*1.02)*0.9612*1.0824</f>
        <v>13.541051563776001</v>
      </c>
      <c r="R86" s="211">
        <f>(1.27*1.02)*0.9612*1.0824</f>
        <v>1.3477378907520003</v>
      </c>
      <c r="S86" s="211">
        <f>(0.0584*1.02)*0.9612*1.0824</f>
        <v>6.1974718755840007E-2</v>
      </c>
      <c r="T86" s="1850">
        <f t="shared" si="31"/>
        <v>0</v>
      </c>
      <c r="U86" s="1850">
        <f t="shared" si="19"/>
        <v>0</v>
      </c>
      <c r="V86" s="1850">
        <f t="shared" si="19"/>
        <v>0</v>
      </c>
      <c r="W86" s="1850">
        <f t="shared" si="19"/>
        <v>0</v>
      </c>
      <c r="X86" s="1850">
        <f t="shared" si="19"/>
        <v>0</v>
      </c>
      <c r="Y86" s="1850">
        <f t="shared" si="19"/>
        <v>0</v>
      </c>
      <c r="Z86" s="1850">
        <f t="shared" si="20"/>
        <v>0</v>
      </c>
      <c r="AA86" s="2733"/>
    </row>
    <row r="87" spans="1:27" s="230" customFormat="1" ht="18.75" x14ac:dyDescent="0.25">
      <c r="A87" s="2456"/>
      <c r="B87" s="1849">
        <v>2022</v>
      </c>
      <c r="C87" s="218">
        <f t="shared" si="21"/>
        <v>0</v>
      </c>
      <c r="D87" s="218">
        <f t="shared" si="22"/>
        <v>0</v>
      </c>
      <c r="E87" s="221">
        <f t="shared" si="23"/>
        <v>0</v>
      </c>
      <c r="F87" s="218">
        <f t="shared" si="24"/>
        <v>0</v>
      </c>
      <c r="G87" s="218">
        <f t="shared" si="25"/>
        <v>0</v>
      </c>
      <c r="H87" s="218">
        <f t="shared" si="26"/>
        <v>0</v>
      </c>
      <c r="I87" s="218">
        <f t="shared" si="27"/>
        <v>0</v>
      </c>
      <c r="J87" s="218">
        <f t="shared" si="28"/>
        <v>0</v>
      </c>
      <c r="K87" s="218">
        <f t="shared" si="29"/>
        <v>0</v>
      </c>
      <c r="L87" s="192">
        <f t="shared" si="30"/>
        <v>0</v>
      </c>
      <c r="M87" s="211">
        <v>66</v>
      </c>
      <c r="N87" s="211">
        <f>(29.53*1.02)*0.9423*1.0824</f>
        <v>30.721371029712003</v>
      </c>
      <c r="O87" s="211">
        <f>(42.96*1.02)*0.9423*1.0824</f>
        <v>44.693196729984003</v>
      </c>
      <c r="P87" s="211">
        <f>(16.43*1.02)*0.9423*1.0824</f>
        <v>17.092858991472003</v>
      </c>
      <c r="Q87" s="211">
        <f>(12.76*1.02)*0.9423*1.0824</f>
        <v>13.274794931903999</v>
      </c>
      <c r="R87" s="211">
        <f>(1.27*1.02)*0.9423*1.0824</f>
        <v>1.3212374266080003</v>
      </c>
      <c r="S87" s="211">
        <f>(0.0584*1.02)*0.9423*1.0824</f>
        <v>6.0756114735360002E-2</v>
      </c>
      <c r="T87" s="1850">
        <f t="shared" si="31"/>
        <v>0</v>
      </c>
      <c r="U87" s="1850">
        <f t="shared" si="19"/>
        <v>0</v>
      </c>
      <c r="V87" s="1850">
        <f t="shared" si="19"/>
        <v>0</v>
      </c>
      <c r="W87" s="1850">
        <f t="shared" si="19"/>
        <v>0</v>
      </c>
      <c r="X87" s="1850">
        <f t="shared" si="19"/>
        <v>0</v>
      </c>
      <c r="Y87" s="1850">
        <f t="shared" si="19"/>
        <v>0</v>
      </c>
      <c r="Z87" s="1850">
        <f t="shared" si="20"/>
        <v>0</v>
      </c>
      <c r="AA87" s="2733"/>
    </row>
    <row r="88" spans="1:27" s="230" customFormat="1" ht="18.75" x14ac:dyDescent="0.25">
      <c r="A88" s="2456"/>
      <c r="B88" s="1849">
        <v>2023</v>
      </c>
      <c r="C88" s="218">
        <f t="shared" si="21"/>
        <v>0</v>
      </c>
      <c r="D88" s="218">
        <f t="shared" si="22"/>
        <v>0</v>
      </c>
      <c r="E88" s="221">
        <f t="shared" si="23"/>
        <v>0</v>
      </c>
      <c r="F88" s="218">
        <f t="shared" si="24"/>
        <v>0</v>
      </c>
      <c r="G88" s="218">
        <f t="shared" si="25"/>
        <v>0</v>
      </c>
      <c r="H88" s="218">
        <f t="shared" si="26"/>
        <v>0</v>
      </c>
      <c r="I88" s="218">
        <f t="shared" si="27"/>
        <v>0</v>
      </c>
      <c r="J88" s="218">
        <f t="shared" si="28"/>
        <v>0</v>
      </c>
      <c r="K88" s="218">
        <f t="shared" si="29"/>
        <v>0</v>
      </c>
      <c r="L88" s="192">
        <f t="shared" si="30"/>
        <v>0</v>
      </c>
      <c r="M88" s="211">
        <v>67</v>
      </c>
      <c r="N88" s="211">
        <f>(29.53*1.02)*0.9238*1.0824</f>
        <v>30.118224087072001</v>
      </c>
      <c r="O88" s="211">
        <f>(42.96*1.02)*0.9238*1.0824</f>
        <v>43.815743541504006</v>
      </c>
      <c r="P88" s="211">
        <f>(16.43*1.02)*0.9238*1.0824</f>
        <v>16.757278081632002</v>
      </c>
      <c r="Q88" s="211">
        <f>(12.76*1.02)*0.9238*1.0824</f>
        <v>13.014173361024</v>
      </c>
      <c r="R88" s="211">
        <f>(1.27*1.02)*0.9238*1.0824</f>
        <v>1.295297818848</v>
      </c>
      <c r="S88" s="211">
        <f>(0.0584*1.02)*0.9238*1.0824</f>
        <v>5.9563301276160004E-2</v>
      </c>
      <c r="T88" s="1850">
        <f t="shared" si="31"/>
        <v>0</v>
      </c>
      <c r="U88" s="1850">
        <f t="shared" si="19"/>
        <v>0</v>
      </c>
      <c r="V88" s="1850">
        <f t="shared" si="19"/>
        <v>0</v>
      </c>
      <c r="W88" s="1850">
        <f t="shared" si="19"/>
        <v>0</v>
      </c>
      <c r="X88" s="1850">
        <f t="shared" si="19"/>
        <v>0</v>
      </c>
      <c r="Y88" s="1850">
        <f t="shared" si="19"/>
        <v>0</v>
      </c>
      <c r="Z88" s="1850">
        <f t="shared" si="20"/>
        <v>0</v>
      </c>
      <c r="AA88" s="2733"/>
    </row>
    <row r="89" spans="1:27" s="230" customFormat="1" ht="18.75" x14ac:dyDescent="0.25">
      <c r="A89" s="2456"/>
      <c r="B89" s="1849">
        <v>2024</v>
      </c>
      <c r="C89" s="218">
        <f t="shared" si="21"/>
        <v>0</v>
      </c>
      <c r="D89" s="218">
        <f t="shared" si="22"/>
        <v>0</v>
      </c>
      <c r="E89" s="221">
        <f t="shared" si="23"/>
        <v>0</v>
      </c>
      <c r="F89" s="218">
        <f t="shared" si="24"/>
        <v>0</v>
      </c>
      <c r="G89" s="218">
        <f t="shared" si="25"/>
        <v>0</v>
      </c>
      <c r="H89" s="218">
        <f t="shared" si="26"/>
        <v>0</v>
      </c>
      <c r="I89" s="218">
        <f t="shared" si="27"/>
        <v>0</v>
      </c>
      <c r="J89" s="218">
        <f t="shared" si="28"/>
        <v>0</v>
      </c>
      <c r="K89" s="218">
        <f t="shared" si="29"/>
        <v>0</v>
      </c>
      <c r="L89" s="192">
        <f t="shared" si="30"/>
        <v>0</v>
      </c>
      <c r="M89" s="211">
        <v>68</v>
      </c>
      <c r="N89" s="211">
        <f>(29.53*1.02)*0.9057*1.0824</f>
        <v>29.528118159408002</v>
      </c>
      <c r="O89" s="211">
        <f>(42.96*1.02)*0.9057*1.0824</f>
        <v>42.957262313856006</v>
      </c>
      <c r="P89" s="211">
        <f>(16.43*1.02)*0.9057*1.0824</f>
        <v>16.428952975248002</v>
      </c>
      <c r="Q89" s="211">
        <f>(12.76*1.02)*0.9057*1.0824</f>
        <v>12.759186851135999</v>
      </c>
      <c r="R89" s="211">
        <f>(1.27*1.02)*0.9057*1.0824</f>
        <v>1.269919067472</v>
      </c>
      <c r="S89" s="211">
        <f>(0.0584*1.02)*0.9057*1.0824</f>
        <v>5.8396278378240005E-2</v>
      </c>
      <c r="T89" s="1850">
        <f t="shared" si="31"/>
        <v>0</v>
      </c>
      <c r="U89" s="1850">
        <f t="shared" si="19"/>
        <v>0</v>
      </c>
      <c r="V89" s="1850">
        <f t="shared" si="19"/>
        <v>0</v>
      </c>
      <c r="W89" s="1850">
        <f t="shared" si="19"/>
        <v>0</v>
      </c>
      <c r="X89" s="1850">
        <f t="shared" si="19"/>
        <v>0</v>
      </c>
      <c r="Y89" s="1850">
        <f t="shared" si="19"/>
        <v>0</v>
      </c>
      <c r="Z89" s="1850">
        <f t="shared" si="20"/>
        <v>0</v>
      </c>
      <c r="AA89" s="2733"/>
    </row>
    <row r="90" spans="1:27" s="230" customFormat="1" ht="18.75" x14ac:dyDescent="0.25">
      <c r="A90" s="2456"/>
      <c r="B90" s="1849">
        <v>2025</v>
      </c>
      <c r="C90" s="218">
        <f t="shared" si="21"/>
        <v>0</v>
      </c>
      <c r="D90" s="218">
        <f t="shared" si="22"/>
        <v>0</v>
      </c>
      <c r="E90" s="221">
        <f t="shared" si="23"/>
        <v>0</v>
      </c>
      <c r="F90" s="218">
        <f t="shared" si="24"/>
        <v>0</v>
      </c>
      <c r="G90" s="218">
        <f t="shared" si="25"/>
        <v>0</v>
      </c>
      <c r="H90" s="218">
        <f t="shared" si="26"/>
        <v>0</v>
      </c>
      <c r="I90" s="218">
        <f t="shared" si="27"/>
        <v>0</v>
      </c>
      <c r="J90" s="218">
        <f t="shared" si="28"/>
        <v>0</v>
      </c>
      <c r="K90" s="218">
        <f t="shared" si="29"/>
        <v>0</v>
      </c>
      <c r="L90" s="192">
        <f t="shared" si="30"/>
        <v>0</v>
      </c>
      <c r="M90" s="211">
        <v>69</v>
      </c>
      <c r="N90" s="211">
        <f>(29.53*1.02)*0.888*1.0824</f>
        <v>28.951053246720004</v>
      </c>
      <c r="O90" s="211">
        <f>(42.96*1.02)*0.888*1.0824</f>
        <v>42.117753047040004</v>
      </c>
      <c r="P90" s="211">
        <f>(16.43*1.02)*0.888*1.0824</f>
        <v>16.10788367232</v>
      </c>
      <c r="Q90" s="211">
        <f>(12.76*1.02)*0.888*1.0824</f>
        <v>12.50983540224</v>
      </c>
      <c r="R90" s="211">
        <f>(1.27*1.02)*0.888*1.0824</f>
        <v>1.2451011724800001</v>
      </c>
      <c r="S90" s="211">
        <f>(0.0584*1.02)*0.888*1.0824</f>
        <v>5.7255046041600005E-2</v>
      </c>
      <c r="T90" s="1850">
        <f t="shared" si="31"/>
        <v>0</v>
      </c>
      <c r="U90" s="1850">
        <f t="shared" si="19"/>
        <v>0</v>
      </c>
      <c r="V90" s="1850">
        <f t="shared" si="19"/>
        <v>0</v>
      </c>
      <c r="W90" s="1850">
        <f t="shared" si="19"/>
        <v>0</v>
      </c>
      <c r="X90" s="1850">
        <f t="shared" si="19"/>
        <v>0</v>
      </c>
      <c r="Y90" s="1850">
        <f t="shared" si="19"/>
        <v>0</v>
      </c>
      <c r="Z90" s="1850">
        <f t="shared" si="20"/>
        <v>0</v>
      </c>
      <c r="AA90" s="2733"/>
    </row>
    <row r="91" spans="1:27" s="230" customFormat="1" ht="18.75" x14ac:dyDescent="0.25">
      <c r="A91" s="2456"/>
      <c r="B91" s="1849">
        <v>2026</v>
      </c>
      <c r="C91" s="218">
        <f t="shared" si="21"/>
        <v>0</v>
      </c>
      <c r="D91" s="218">
        <f t="shared" si="22"/>
        <v>0</v>
      </c>
      <c r="E91" s="221">
        <f t="shared" si="23"/>
        <v>0</v>
      </c>
      <c r="F91" s="218">
        <f t="shared" si="24"/>
        <v>0</v>
      </c>
      <c r="G91" s="218">
        <f t="shared" si="25"/>
        <v>0</v>
      </c>
      <c r="H91" s="218">
        <f t="shared" si="26"/>
        <v>0</v>
      </c>
      <c r="I91" s="218">
        <f t="shared" si="27"/>
        <v>0</v>
      </c>
      <c r="J91" s="218">
        <f t="shared" si="28"/>
        <v>0</v>
      </c>
      <c r="K91" s="218">
        <f t="shared" si="29"/>
        <v>0</v>
      </c>
      <c r="L91" s="192">
        <f t="shared" si="30"/>
        <v>0</v>
      </c>
      <c r="M91" s="211">
        <v>70</v>
      </c>
      <c r="N91" s="211">
        <f>(29.53*1.02)*0.8706*1.0824</f>
        <v>28.383769095264007</v>
      </c>
      <c r="O91" s="211">
        <f>(42.96*1.02)*0.8706*1.0824</f>
        <v>41.292472750848006</v>
      </c>
      <c r="P91" s="211">
        <f>(16.43*1.02)*0.8706*1.0824</f>
        <v>15.792256221984003</v>
      </c>
      <c r="Q91" s="211">
        <f>(12.76*1.02)*0.8706*1.0824</f>
        <v>12.264710249088001</v>
      </c>
      <c r="R91" s="211">
        <f>(1.27*1.02)*0.8706*1.0824</f>
        <v>1.2207039197760001</v>
      </c>
      <c r="S91" s="211">
        <f>(0.0584*1.02)*0.8706*1.0824</f>
        <v>5.6133156625920007E-2</v>
      </c>
      <c r="T91" s="1850">
        <f t="shared" si="31"/>
        <v>0</v>
      </c>
      <c r="U91" s="1850">
        <f t="shared" si="19"/>
        <v>0</v>
      </c>
      <c r="V91" s="1850">
        <f t="shared" si="19"/>
        <v>0</v>
      </c>
      <c r="W91" s="1850">
        <f t="shared" si="19"/>
        <v>0</v>
      </c>
      <c r="X91" s="1850">
        <f t="shared" si="19"/>
        <v>0</v>
      </c>
      <c r="Y91" s="1850">
        <f t="shared" si="19"/>
        <v>0</v>
      </c>
      <c r="Z91" s="1850">
        <f t="shared" si="20"/>
        <v>0</v>
      </c>
      <c r="AA91" s="2733"/>
    </row>
    <row r="92" spans="1:27" s="230" customFormat="1" ht="18.75" x14ac:dyDescent="0.25">
      <c r="A92" s="2456"/>
      <c r="B92" s="1849">
        <v>2027</v>
      </c>
      <c r="C92" s="218">
        <f t="shared" si="21"/>
        <v>0</v>
      </c>
      <c r="D92" s="218">
        <f t="shared" si="22"/>
        <v>0</v>
      </c>
      <c r="E92" s="221">
        <f t="shared" si="23"/>
        <v>0</v>
      </c>
      <c r="F92" s="218">
        <f t="shared" si="24"/>
        <v>0</v>
      </c>
      <c r="G92" s="218">
        <f t="shared" si="25"/>
        <v>0</v>
      </c>
      <c r="H92" s="218">
        <f t="shared" si="26"/>
        <v>0</v>
      </c>
      <c r="I92" s="218">
        <f t="shared" si="27"/>
        <v>0</v>
      </c>
      <c r="J92" s="218">
        <f t="shared" si="28"/>
        <v>0</v>
      </c>
      <c r="K92" s="218">
        <f t="shared" si="29"/>
        <v>0</v>
      </c>
      <c r="L92" s="192">
        <f t="shared" si="30"/>
        <v>0</v>
      </c>
      <c r="M92" s="211">
        <v>71</v>
      </c>
      <c r="N92" s="211">
        <f>(29.53*1.02)*0.8535*1.0824</f>
        <v>27.826265705040004</v>
      </c>
      <c r="O92" s="211">
        <f>(42.96*1.02)*0.8535*1.0824</f>
        <v>40.481421425280004</v>
      </c>
      <c r="P92" s="211">
        <f>(16.43*1.02)*0.8535*1.0824</f>
        <v>15.482070624240002</v>
      </c>
      <c r="Q92" s="211">
        <f>(12.76*1.02)*0.8535*1.0824</f>
        <v>12.023811391680001</v>
      </c>
      <c r="R92" s="211">
        <f>(1.27*1.02)*0.8535*1.0824</f>
        <v>1.1967273093600002</v>
      </c>
      <c r="S92" s="211">
        <f>(0.0584*1.02)*0.8535*1.0824</f>
        <v>5.503061013120001E-2</v>
      </c>
      <c r="T92" s="1850">
        <f t="shared" si="31"/>
        <v>0</v>
      </c>
      <c r="U92" s="1850">
        <f t="shared" si="19"/>
        <v>0</v>
      </c>
      <c r="V92" s="1850">
        <f t="shared" si="19"/>
        <v>0</v>
      </c>
      <c r="W92" s="1850">
        <f t="shared" si="19"/>
        <v>0</v>
      </c>
      <c r="X92" s="1850">
        <f t="shared" si="19"/>
        <v>0</v>
      </c>
      <c r="Y92" s="1850">
        <f t="shared" si="19"/>
        <v>0</v>
      </c>
      <c r="Z92" s="1850">
        <f t="shared" si="20"/>
        <v>0</v>
      </c>
      <c r="AA92" s="2733"/>
    </row>
    <row r="93" spans="1:27" s="230" customFormat="1" ht="18.75" x14ac:dyDescent="0.25">
      <c r="A93" s="2456"/>
      <c r="B93" s="1849">
        <v>2028</v>
      </c>
      <c r="C93" s="218">
        <f t="shared" si="21"/>
        <v>0</v>
      </c>
      <c r="D93" s="218">
        <f t="shared" si="22"/>
        <v>0</v>
      </c>
      <c r="E93" s="221">
        <f t="shared" si="23"/>
        <v>0</v>
      </c>
      <c r="F93" s="218">
        <f t="shared" si="24"/>
        <v>0</v>
      </c>
      <c r="G93" s="218">
        <f t="shared" si="25"/>
        <v>0</v>
      </c>
      <c r="H93" s="218">
        <f t="shared" si="26"/>
        <v>0</v>
      </c>
      <c r="I93" s="218">
        <f t="shared" si="27"/>
        <v>0</v>
      </c>
      <c r="J93" s="218">
        <f t="shared" si="28"/>
        <v>0</v>
      </c>
      <c r="K93" s="218">
        <f t="shared" si="29"/>
        <v>0</v>
      </c>
      <c r="L93" s="192">
        <f t="shared" si="30"/>
        <v>0</v>
      </c>
      <c r="M93" s="211">
        <v>72</v>
      </c>
      <c r="N93" s="211">
        <f>(29.53*1.02)*0.8368*1.0824</f>
        <v>27.281803329792002</v>
      </c>
      <c r="O93" s="211">
        <f>(42.96*1.02)*0.8368*1.0824</f>
        <v>39.689342060544</v>
      </c>
      <c r="P93" s="211">
        <f>(16.43*1.02)*0.8368*1.0824</f>
        <v>15.179140829952001</v>
      </c>
      <c r="Q93" s="211">
        <f>(12.76*1.02)*0.8368*1.0824</f>
        <v>11.788547595263999</v>
      </c>
      <c r="R93" s="211">
        <f>(1.27*1.02)*0.8368*1.0824</f>
        <v>1.173311555328</v>
      </c>
      <c r="S93" s="211">
        <f>(0.0584*1.02)*0.8368*1.0824</f>
        <v>5.3953854197759998E-2</v>
      </c>
      <c r="T93" s="1850">
        <f t="shared" si="31"/>
        <v>0</v>
      </c>
      <c r="U93" s="1850">
        <f t="shared" si="19"/>
        <v>0</v>
      </c>
      <c r="V93" s="1850">
        <f t="shared" si="19"/>
        <v>0</v>
      </c>
      <c r="W93" s="1850">
        <f t="shared" si="19"/>
        <v>0</v>
      </c>
      <c r="X93" s="1850">
        <f t="shared" si="19"/>
        <v>0</v>
      </c>
      <c r="Y93" s="1850">
        <f t="shared" si="19"/>
        <v>0</v>
      </c>
      <c r="Z93" s="1850">
        <f t="shared" si="20"/>
        <v>0</v>
      </c>
      <c r="AA93" s="2733"/>
    </row>
    <row r="94" spans="1:27" s="230" customFormat="1" ht="18.75" x14ac:dyDescent="0.25">
      <c r="A94" s="2456"/>
      <c r="B94" s="1849">
        <v>2029</v>
      </c>
      <c r="C94" s="218">
        <f t="shared" si="21"/>
        <v>0</v>
      </c>
      <c r="D94" s="218">
        <f t="shared" si="22"/>
        <v>0</v>
      </c>
      <c r="E94" s="221">
        <f t="shared" si="23"/>
        <v>0</v>
      </c>
      <c r="F94" s="218">
        <f t="shared" si="24"/>
        <v>0</v>
      </c>
      <c r="G94" s="218">
        <f t="shared" si="25"/>
        <v>0</v>
      </c>
      <c r="H94" s="218">
        <f t="shared" si="26"/>
        <v>0</v>
      </c>
      <c r="I94" s="218">
        <f t="shared" si="27"/>
        <v>0</v>
      </c>
      <c r="J94" s="218">
        <f t="shared" si="28"/>
        <v>0</v>
      </c>
      <c r="K94" s="218">
        <f t="shared" si="29"/>
        <v>0</v>
      </c>
      <c r="L94" s="192">
        <f t="shared" si="30"/>
        <v>0</v>
      </c>
      <c r="M94" s="211">
        <v>73</v>
      </c>
      <c r="N94" s="211">
        <f>(29.53*1.02)*0.8203*1.0824</f>
        <v>26.743861462032005</v>
      </c>
      <c r="O94" s="211">
        <f>(42.96*1.02)*0.8203*1.0824</f>
        <v>38.906748676224005</v>
      </c>
      <c r="P94" s="211">
        <f>(16.43*1.02)*0.8203*1.0824</f>
        <v>14.879838937392002</v>
      </c>
      <c r="Q94" s="211">
        <f>(12.76*1.02)*0.8203*1.0824</f>
        <v>11.556101329344001</v>
      </c>
      <c r="R94" s="211">
        <f>(1.27*1.02)*0.8203*1.0824</f>
        <v>1.1501762294880002</v>
      </c>
      <c r="S94" s="211">
        <f>(0.0584*1.02)*0.8203*1.0824</f>
        <v>5.2889993544960004E-2</v>
      </c>
      <c r="T94" s="1850">
        <f t="shared" si="31"/>
        <v>0</v>
      </c>
      <c r="U94" s="1850">
        <f t="shared" si="19"/>
        <v>0</v>
      </c>
      <c r="V94" s="1850">
        <f t="shared" si="19"/>
        <v>0</v>
      </c>
      <c r="W94" s="1850">
        <f t="shared" si="19"/>
        <v>0</v>
      </c>
      <c r="X94" s="1850">
        <f t="shared" si="19"/>
        <v>0</v>
      </c>
      <c r="Y94" s="1850">
        <f t="shared" si="19"/>
        <v>0</v>
      </c>
      <c r="Z94" s="1850">
        <f t="shared" si="20"/>
        <v>0</v>
      </c>
      <c r="AA94" s="2733"/>
    </row>
    <row r="95" spans="1:27" s="230" customFormat="1" ht="18.75" x14ac:dyDescent="0.25">
      <c r="A95" s="2456"/>
      <c r="B95" s="1849">
        <v>2030</v>
      </c>
      <c r="C95" s="218">
        <f t="shared" si="21"/>
        <v>0</v>
      </c>
      <c r="D95" s="218">
        <f t="shared" si="22"/>
        <v>0</v>
      </c>
      <c r="E95" s="221">
        <f t="shared" si="23"/>
        <v>0</v>
      </c>
      <c r="F95" s="218">
        <f t="shared" si="24"/>
        <v>0</v>
      </c>
      <c r="G95" s="218">
        <f t="shared" si="25"/>
        <v>0</v>
      </c>
      <c r="H95" s="218">
        <f t="shared" si="26"/>
        <v>0</v>
      </c>
      <c r="I95" s="218">
        <f t="shared" si="27"/>
        <v>0</v>
      </c>
      <c r="J95" s="218">
        <f t="shared" si="28"/>
        <v>0</v>
      </c>
      <c r="K95" s="218">
        <f t="shared" si="29"/>
        <v>0</v>
      </c>
      <c r="L95" s="192">
        <f t="shared" si="30"/>
        <v>0</v>
      </c>
      <c r="M95" s="211">
        <v>75</v>
      </c>
      <c r="N95" s="211">
        <f>(29.53*1.02)*0.8043*1.0824</f>
        <v>26.222220862992003</v>
      </c>
      <c r="O95" s="211">
        <f>(42.96*1.02)*0.8043*1.0824</f>
        <v>38.147870242944002</v>
      </c>
      <c r="P95" s="211">
        <f>(16.43*1.02)*0.8043*1.0824</f>
        <v>14.589606799152003</v>
      </c>
      <c r="Q95" s="211">
        <f>(12.76*1.02)*0.8043*1.0824</f>
        <v>11.330698889664001</v>
      </c>
      <c r="R95" s="211">
        <f>(1.27*1.02)*0.8043*1.0824</f>
        <v>1.1277419741280001</v>
      </c>
      <c r="S95" s="211">
        <f>(0.0584*1.02)*0.8043*1.0824</f>
        <v>5.1858371093760007E-2</v>
      </c>
      <c r="T95" s="1850">
        <f t="shared" si="31"/>
        <v>0</v>
      </c>
      <c r="U95" s="1850">
        <f t="shared" si="19"/>
        <v>0</v>
      </c>
      <c r="V95" s="1850">
        <f t="shared" si="19"/>
        <v>0</v>
      </c>
      <c r="W95" s="1850">
        <f t="shared" si="19"/>
        <v>0</v>
      </c>
      <c r="X95" s="1850">
        <f t="shared" si="19"/>
        <v>0</v>
      </c>
      <c r="Y95" s="1850">
        <f t="shared" si="19"/>
        <v>0</v>
      </c>
      <c r="Z95" s="1850">
        <f t="shared" si="20"/>
        <v>0</v>
      </c>
      <c r="AA95" s="2733"/>
    </row>
    <row r="96" spans="1:27" s="230" customFormat="1" ht="18.75" x14ac:dyDescent="0.25">
      <c r="A96" s="2456"/>
      <c r="B96" s="1849">
        <v>2031</v>
      </c>
      <c r="C96" s="218">
        <f t="shared" si="21"/>
        <v>0</v>
      </c>
      <c r="D96" s="218">
        <f t="shared" si="22"/>
        <v>0</v>
      </c>
      <c r="E96" s="221">
        <f t="shared" si="23"/>
        <v>0</v>
      </c>
      <c r="F96" s="218">
        <f t="shared" si="24"/>
        <v>0</v>
      </c>
      <c r="G96" s="218">
        <f t="shared" si="25"/>
        <v>0</v>
      </c>
      <c r="H96" s="218">
        <f t="shared" si="26"/>
        <v>0</v>
      </c>
      <c r="I96" s="218">
        <f t="shared" si="27"/>
        <v>0</v>
      </c>
      <c r="J96" s="218">
        <f t="shared" si="28"/>
        <v>0</v>
      </c>
      <c r="K96" s="218">
        <f t="shared" si="29"/>
        <v>0</v>
      </c>
      <c r="L96" s="192">
        <f t="shared" si="30"/>
        <v>0</v>
      </c>
      <c r="M96" s="211">
        <v>76</v>
      </c>
      <c r="N96" s="211">
        <f>(29.53*1.02)*0.7885*1.0824</f>
        <v>25.70710077144</v>
      </c>
      <c r="O96" s="211">
        <f>(42.96*1.02)*0.7885*1.0824</f>
        <v>37.398477790080001</v>
      </c>
      <c r="P96" s="211">
        <f>(16.43*1.02)*0.7885*1.0824</f>
        <v>14.303002562640001</v>
      </c>
      <c r="Q96" s="211">
        <f>(12.76*1.02)*0.7885*1.0824</f>
        <v>11.108113980480001</v>
      </c>
      <c r="R96" s="211">
        <f>(1.27*1.02)*0.7885*1.0824</f>
        <v>1.1055881469600002</v>
      </c>
      <c r="S96" s="211">
        <f>(0.0584*1.02)*0.7885*1.0824</f>
        <v>5.0839643923200006E-2</v>
      </c>
      <c r="T96" s="1850">
        <f t="shared" si="31"/>
        <v>0</v>
      </c>
      <c r="U96" s="1850">
        <f t="shared" si="19"/>
        <v>0</v>
      </c>
      <c r="V96" s="1850">
        <f t="shared" si="19"/>
        <v>0</v>
      </c>
      <c r="W96" s="1850">
        <f t="shared" si="19"/>
        <v>0</v>
      </c>
      <c r="X96" s="1850">
        <f t="shared" si="19"/>
        <v>0</v>
      </c>
      <c r="Y96" s="1850">
        <f t="shared" si="19"/>
        <v>0</v>
      </c>
      <c r="Z96" s="1850">
        <f t="shared" si="20"/>
        <v>0</v>
      </c>
      <c r="AA96" s="2733"/>
    </row>
    <row r="97" spans="1:27" s="230" customFormat="1" ht="18.75" x14ac:dyDescent="0.25">
      <c r="A97" s="2456"/>
      <c r="B97" s="1849">
        <v>2032</v>
      </c>
      <c r="C97" s="218">
        <f t="shared" si="21"/>
        <v>0</v>
      </c>
      <c r="D97" s="218">
        <f t="shared" si="22"/>
        <v>0</v>
      </c>
      <c r="E97" s="221">
        <f t="shared" si="23"/>
        <v>0</v>
      </c>
      <c r="F97" s="218">
        <f t="shared" si="24"/>
        <v>0</v>
      </c>
      <c r="G97" s="218">
        <f t="shared" si="25"/>
        <v>0</v>
      </c>
      <c r="H97" s="218">
        <f t="shared" si="26"/>
        <v>0</v>
      </c>
      <c r="I97" s="218">
        <f t="shared" si="27"/>
        <v>0</v>
      </c>
      <c r="J97" s="218">
        <f t="shared" si="28"/>
        <v>0</v>
      </c>
      <c r="K97" s="218">
        <f t="shared" si="29"/>
        <v>0</v>
      </c>
      <c r="L97" s="192">
        <f t="shared" si="30"/>
        <v>0</v>
      </c>
      <c r="M97" s="211">
        <v>77</v>
      </c>
      <c r="N97" s="211">
        <f>(29.53*1.02)*0.773*1.0824</f>
        <v>25.201761441120002</v>
      </c>
      <c r="O97" s="211">
        <f>(42.96*1.02)*0.773*1.0824</f>
        <v>36.663314307840004</v>
      </c>
      <c r="P97" s="211">
        <f>(16.43*1.02)*0.773*1.0824</f>
        <v>14.021840178720002</v>
      </c>
      <c r="Q97" s="211">
        <f>(12.76*1.02)*0.773*1.0824</f>
        <v>10.889755367040001</v>
      </c>
      <c r="R97" s="211">
        <f>(1.27*1.02)*0.773*1.0824</f>
        <v>1.0838549620800002</v>
      </c>
      <c r="S97" s="211">
        <f>(0.0584*1.02)*0.773*1.0824</f>
        <v>4.9840259673600007E-2</v>
      </c>
      <c r="T97" s="1850">
        <f t="shared" si="31"/>
        <v>0</v>
      </c>
      <c r="U97" s="1850">
        <f t="shared" si="19"/>
        <v>0</v>
      </c>
      <c r="V97" s="1850">
        <f t="shared" si="19"/>
        <v>0</v>
      </c>
      <c r="W97" s="1850">
        <f t="shared" si="19"/>
        <v>0</v>
      </c>
      <c r="X97" s="1850">
        <f t="shared" si="19"/>
        <v>0</v>
      </c>
      <c r="Y97" s="1850">
        <f t="shared" si="19"/>
        <v>0</v>
      </c>
      <c r="Z97" s="1850">
        <f t="shared" si="20"/>
        <v>0</v>
      </c>
      <c r="AA97" s="2733"/>
    </row>
    <row r="98" spans="1:27" s="230" customFormat="1" ht="18.75" x14ac:dyDescent="0.25">
      <c r="A98" s="2456"/>
      <c r="B98" s="1849">
        <v>2033</v>
      </c>
      <c r="C98" s="218">
        <f t="shared" si="21"/>
        <v>0</v>
      </c>
      <c r="D98" s="218">
        <f t="shared" si="22"/>
        <v>0</v>
      </c>
      <c r="E98" s="221">
        <f t="shared" si="23"/>
        <v>0</v>
      </c>
      <c r="F98" s="218">
        <f t="shared" si="24"/>
        <v>0</v>
      </c>
      <c r="G98" s="218">
        <f t="shared" si="25"/>
        <v>0</v>
      </c>
      <c r="H98" s="218">
        <f t="shared" si="26"/>
        <v>0</v>
      </c>
      <c r="I98" s="218">
        <f t="shared" si="27"/>
        <v>0</v>
      </c>
      <c r="J98" s="218">
        <f t="shared" si="28"/>
        <v>0</v>
      </c>
      <c r="K98" s="218">
        <f t="shared" si="29"/>
        <v>0</v>
      </c>
      <c r="L98" s="192">
        <f t="shared" si="30"/>
        <v>0</v>
      </c>
      <c r="M98" s="211">
        <v>78</v>
      </c>
      <c r="N98" s="211">
        <f>(29.53*1.02)*0.7579*1.0824</f>
        <v>24.709463125776001</v>
      </c>
      <c r="O98" s="211">
        <f>(42.96*1.02)*0.7579*1.0824</f>
        <v>35.947122786432004</v>
      </c>
      <c r="P98" s="211">
        <f>(16.43*1.02)*0.7579*1.0824</f>
        <v>13.747933598256003</v>
      </c>
      <c r="Q98" s="211">
        <f>(12.76*1.02)*0.7579*1.0824</f>
        <v>10.677031814592</v>
      </c>
      <c r="R98" s="211">
        <f>(1.27*1.02)*0.7579*1.0824</f>
        <v>1.0626826335840001</v>
      </c>
      <c r="S98" s="211">
        <f>(0.0584*1.02)*0.7579*1.0824</f>
        <v>4.8866665985280007E-2</v>
      </c>
      <c r="T98" s="1850">
        <f t="shared" si="31"/>
        <v>0</v>
      </c>
      <c r="U98" s="1850">
        <f t="shared" si="19"/>
        <v>0</v>
      </c>
      <c r="V98" s="1850">
        <f t="shared" si="19"/>
        <v>0</v>
      </c>
      <c r="W98" s="1850">
        <f t="shared" si="19"/>
        <v>0</v>
      </c>
      <c r="X98" s="1850">
        <f t="shared" si="19"/>
        <v>0</v>
      </c>
      <c r="Y98" s="1850">
        <f t="shared" si="19"/>
        <v>0</v>
      </c>
      <c r="Z98" s="1850">
        <f t="shared" si="20"/>
        <v>0</v>
      </c>
      <c r="AA98" s="2733"/>
    </row>
    <row r="99" spans="1:27" s="230" customFormat="1" ht="18.75" x14ac:dyDescent="0.25">
      <c r="A99" s="2456"/>
      <c r="B99" s="1849">
        <v>2034</v>
      </c>
      <c r="C99" s="218">
        <f t="shared" si="21"/>
        <v>0</v>
      </c>
      <c r="D99" s="218">
        <f t="shared" si="22"/>
        <v>0</v>
      </c>
      <c r="E99" s="221">
        <f t="shared" si="23"/>
        <v>0</v>
      </c>
      <c r="F99" s="218">
        <f t="shared" si="24"/>
        <v>0</v>
      </c>
      <c r="G99" s="218">
        <f t="shared" si="25"/>
        <v>0</v>
      </c>
      <c r="H99" s="218">
        <f t="shared" si="26"/>
        <v>0</v>
      </c>
      <c r="I99" s="218">
        <f t="shared" si="27"/>
        <v>0</v>
      </c>
      <c r="J99" s="218">
        <f t="shared" si="28"/>
        <v>0</v>
      </c>
      <c r="K99" s="218">
        <f t="shared" si="29"/>
        <v>0</v>
      </c>
      <c r="L99" s="192">
        <f t="shared" si="30"/>
        <v>0</v>
      </c>
      <c r="M99" s="211">
        <v>79</v>
      </c>
      <c r="N99" s="211">
        <f>(29.53*1.02)*0.743*1.0824</f>
        <v>24.223685317920005</v>
      </c>
      <c r="O99" s="211">
        <f>(42.96*1.02)*0.743*1.0824</f>
        <v>35.24041724544</v>
      </c>
      <c r="P99" s="211">
        <f>(16.43*1.02)*0.743*1.0824</f>
        <v>13.477654919520001</v>
      </c>
      <c r="Q99" s="211">
        <f>(12.76*1.02)*0.743*1.0824</f>
        <v>10.467125792640001</v>
      </c>
      <c r="R99" s="211">
        <f>(1.27*1.02)*0.743*1.0824</f>
        <v>1.04179073328</v>
      </c>
      <c r="S99" s="211">
        <f>(0.0584*1.02)*0.743*1.0824</f>
        <v>4.7905967577600003E-2</v>
      </c>
      <c r="T99" s="1850">
        <f t="shared" si="31"/>
        <v>0</v>
      </c>
      <c r="U99" s="1850">
        <f t="shared" si="19"/>
        <v>0</v>
      </c>
      <c r="V99" s="1850">
        <f t="shared" si="19"/>
        <v>0</v>
      </c>
      <c r="W99" s="1850">
        <f t="shared" si="19"/>
        <v>0</v>
      </c>
      <c r="X99" s="1850">
        <f t="shared" si="19"/>
        <v>0</v>
      </c>
      <c r="Y99" s="1850">
        <f t="shared" si="19"/>
        <v>0</v>
      </c>
      <c r="Z99" s="1850">
        <f t="shared" si="20"/>
        <v>0</v>
      </c>
      <c r="AA99" s="2733"/>
    </row>
    <row r="100" spans="1:27" s="230" customFormat="1" ht="18.75" x14ac:dyDescent="0.25">
      <c r="A100" s="2456"/>
      <c r="B100" s="1849">
        <v>2035</v>
      </c>
      <c r="C100" s="218">
        <f t="shared" si="21"/>
        <v>0</v>
      </c>
      <c r="D100" s="218">
        <f t="shared" si="22"/>
        <v>0</v>
      </c>
      <c r="E100" s="221">
        <f t="shared" si="23"/>
        <v>0</v>
      </c>
      <c r="F100" s="218">
        <f t="shared" si="24"/>
        <v>0</v>
      </c>
      <c r="G100" s="218">
        <f t="shared" si="25"/>
        <v>0</v>
      </c>
      <c r="H100" s="218">
        <f t="shared" si="26"/>
        <v>0</v>
      </c>
      <c r="I100" s="218">
        <f t="shared" si="27"/>
        <v>0</v>
      </c>
      <c r="J100" s="218">
        <f t="shared" si="28"/>
        <v>0</v>
      </c>
      <c r="K100" s="218">
        <f t="shared" si="29"/>
        <v>0</v>
      </c>
      <c r="L100" s="192">
        <f t="shared" si="30"/>
        <v>0</v>
      </c>
      <c r="M100" s="211">
        <v>80</v>
      </c>
      <c r="N100" s="211">
        <f>(29.53*1.02)*0.7284*1.0824</f>
        <v>23.747688271296006</v>
      </c>
      <c r="O100" s="211">
        <f>(42.96*1.02)*0.7284*1.0824</f>
        <v>34.547940675072006</v>
      </c>
      <c r="P100" s="211">
        <f>(16.43*1.02)*0.7284*1.0824</f>
        <v>13.212818093376002</v>
      </c>
      <c r="Q100" s="211">
        <f>(12.76*1.02)*0.7284*1.0824</f>
        <v>10.261446066432002</v>
      </c>
      <c r="R100" s="211">
        <f>(1.27*1.02)*0.7284*1.0824</f>
        <v>1.0213194752640002</v>
      </c>
      <c r="S100" s="211">
        <f>(0.0584*1.02)*0.7284*1.0824</f>
        <v>4.6964612090880008E-2</v>
      </c>
      <c r="T100" s="1850">
        <f t="shared" si="31"/>
        <v>0</v>
      </c>
      <c r="U100" s="1850">
        <f t="shared" si="19"/>
        <v>0</v>
      </c>
      <c r="V100" s="1850">
        <f t="shared" si="19"/>
        <v>0</v>
      </c>
      <c r="W100" s="1850">
        <f t="shared" si="19"/>
        <v>0</v>
      </c>
      <c r="X100" s="1850">
        <f t="shared" si="19"/>
        <v>0</v>
      </c>
      <c r="Y100" s="1850">
        <f t="shared" si="19"/>
        <v>0</v>
      </c>
      <c r="Z100" s="1850">
        <f t="shared" si="20"/>
        <v>0</v>
      </c>
      <c r="AA100" s="2733"/>
    </row>
    <row r="101" spans="1:27" s="230" customFormat="1" ht="18.75" x14ac:dyDescent="0.25">
      <c r="A101" s="2456"/>
      <c r="B101" s="1849">
        <v>2036</v>
      </c>
      <c r="C101" s="218">
        <f t="shared" si="21"/>
        <v>0</v>
      </c>
      <c r="D101" s="218">
        <f t="shared" si="22"/>
        <v>0</v>
      </c>
      <c r="E101" s="221">
        <f t="shared" si="23"/>
        <v>0</v>
      </c>
      <c r="F101" s="218">
        <f t="shared" si="24"/>
        <v>0</v>
      </c>
      <c r="G101" s="218">
        <f t="shared" si="25"/>
        <v>0</v>
      </c>
      <c r="H101" s="218">
        <f t="shared" si="26"/>
        <v>0</v>
      </c>
      <c r="I101" s="218">
        <f t="shared" si="27"/>
        <v>0</v>
      </c>
      <c r="J101" s="218">
        <f t="shared" si="28"/>
        <v>0</v>
      </c>
      <c r="K101" s="218">
        <f t="shared" si="29"/>
        <v>0</v>
      </c>
      <c r="L101" s="192">
        <f t="shared" si="30"/>
        <v>0</v>
      </c>
      <c r="M101" s="211">
        <v>81</v>
      </c>
      <c r="N101" s="211">
        <f>(29.53*1.02)*0.7142*1.0824</f>
        <v>23.284732239648001</v>
      </c>
      <c r="O101" s="211">
        <f>(42.96*1.02)*0.7142*1.0824</f>
        <v>33.874436065536003</v>
      </c>
      <c r="P101" s="211">
        <f>(16.43*1.02)*0.7142*1.0824</f>
        <v>12.955237070688</v>
      </c>
      <c r="Q101" s="211">
        <f>(12.76*1.02)*0.7142*1.0824</f>
        <v>10.061401401215999</v>
      </c>
      <c r="R101" s="211">
        <f>(1.27*1.02)*0.7142*1.0824</f>
        <v>1.001409073632</v>
      </c>
      <c r="S101" s="211">
        <f>(0.0584*1.02)*0.7142*1.0824</f>
        <v>4.6049047165439998E-2</v>
      </c>
      <c r="T101" s="1850">
        <f t="shared" si="31"/>
        <v>0</v>
      </c>
      <c r="U101" s="1850">
        <f t="shared" si="19"/>
        <v>0</v>
      </c>
      <c r="V101" s="1850">
        <f t="shared" si="19"/>
        <v>0</v>
      </c>
      <c r="W101" s="1850">
        <f t="shared" si="19"/>
        <v>0</v>
      </c>
      <c r="X101" s="1850">
        <f t="shared" si="19"/>
        <v>0</v>
      </c>
      <c r="Y101" s="1850">
        <f t="shared" si="19"/>
        <v>0</v>
      </c>
      <c r="Z101" s="1850">
        <f t="shared" si="20"/>
        <v>0</v>
      </c>
      <c r="AA101" s="2733"/>
    </row>
    <row r="102" spans="1:27" s="230" customFormat="1" ht="18.75" x14ac:dyDescent="0.25">
      <c r="A102" s="2456"/>
      <c r="B102" s="1849">
        <v>2037</v>
      </c>
      <c r="C102" s="218">
        <f t="shared" si="21"/>
        <v>0</v>
      </c>
      <c r="D102" s="218">
        <f t="shared" si="22"/>
        <v>0</v>
      </c>
      <c r="E102" s="221">
        <f t="shared" si="23"/>
        <v>0</v>
      </c>
      <c r="F102" s="218">
        <f t="shared" si="24"/>
        <v>0</v>
      </c>
      <c r="G102" s="218">
        <f t="shared" si="25"/>
        <v>0</v>
      </c>
      <c r="H102" s="218">
        <f t="shared" si="26"/>
        <v>0</v>
      </c>
      <c r="I102" s="218">
        <f t="shared" si="27"/>
        <v>0</v>
      </c>
      <c r="J102" s="218">
        <f t="shared" si="28"/>
        <v>0</v>
      </c>
      <c r="K102" s="218">
        <f t="shared" si="29"/>
        <v>0</v>
      </c>
      <c r="L102" s="192">
        <f t="shared" si="30"/>
        <v>0</v>
      </c>
      <c r="M102" s="211">
        <v>83</v>
      </c>
      <c r="N102" s="211">
        <f>(29.53*1.02)*0.7002*1.0824</f>
        <v>22.828296715488005</v>
      </c>
      <c r="O102" s="211">
        <f>(42.96*1.02)*0.7002*1.0824</f>
        <v>33.210417436416002</v>
      </c>
      <c r="P102" s="211">
        <f>(16.43*1.02)*0.7002*1.0824</f>
        <v>12.701283949728003</v>
      </c>
      <c r="Q102" s="211">
        <f>(12.76*1.02)*0.7002*1.0824</f>
        <v>9.8641742664960006</v>
      </c>
      <c r="R102" s="211">
        <f>(1.27*1.02)*0.7002*1.0824</f>
        <v>0.9817791001920001</v>
      </c>
      <c r="S102" s="211">
        <f>(0.0584*1.02)*0.7002*1.0824</f>
        <v>4.5146377520640005E-2</v>
      </c>
      <c r="T102" s="1850">
        <f t="shared" si="31"/>
        <v>0</v>
      </c>
      <c r="U102" s="1850">
        <f t="shared" si="19"/>
        <v>0</v>
      </c>
      <c r="V102" s="1850">
        <f t="shared" si="19"/>
        <v>0</v>
      </c>
      <c r="W102" s="1850">
        <f t="shared" si="19"/>
        <v>0</v>
      </c>
      <c r="X102" s="1850">
        <f t="shared" si="19"/>
        <v>0</v>
      </c>
      <c r="Y102" s="1850">
        <f t="shared" si="19"/>
        <v>0</v>
      </c>
      <c r="Z102" s="1850">
        <f t="shared" si="20"/>
        <v>0</v>
      </c>
      <c r="AA102" s="2733"/>
    </row>
    <row r="103" spans="1:27" s="230" customFormat="1" ht="18.75" x14ac:dyDescent="0.25">
      <c r="A103" s="2456"/>
      <c r="B103" s="1849">
        <v>2038</v>
      </c>
      <c r="C103" s="218">
        <f t="shared" si="21"/>
        <v>0</v>
      </c>
      <c r="D103" s="218">
        <f t="shared" si="22"/>
        <v>0</v>
      </c>
      <c r="E103" s="221">
        <f t="shared" si="23"/>
        <v>0</v>
      </c>
      <c r="F103" s="218">
        <f t="shared" si="24"/>
        <v>0</v>
      </c>
      <c r="G103" s="218">
        <f t="shared" si="25"/>
        <v>0</v>
      </c>
      <c r="H103" s="218">
        <f t="shared" si="26"/>
        <v>0</v>
      </c>
      <c r="I103" s="218">
        <f t="shared" si="27"/>
        <v>0</v>
      </c>
      <c r="J103" s="218">
        <f t="shared" si="28"/>
        <v>0</v>
      </c>
      <c r="K103" s="218">
        <f t="shared" si="29"/>
        <v>0</v>
      </c>
      <c r="L103" s="192">
        <f t="shared" si="30"/>
        <v>0</v>
      </c>
      <c r="M103" s="211">
        <v>84</v>
      </c>
      <c r="N103" s="211">
        <f>(29.53*1.02)*0.6864*1.0824</f>
        <v>22.378381698816003</v>
      </c>
      <c r="O103" s="211">
        <f>(42.96*1.02)*0.6864*1.0824</f>
        <v>32.555884787712003</v>
      </c>
      <c r="P103" s="211">
        <f>(16.43*1.02)*0.6864*1.0824</f>
        <v>12.450958730496001</v>
      </c>
      <c r="Q103" s="211">
        <f>(12.76*1.02)*0.6864*1.0824</f>
        <v>9.6697646622720015</v>
      </c>
      <c r="R103" s="211">
        <f>(1.27*1.02)*0.6864*1.0824</f>
        <v>0.96242955494400007</v>
      </c>
      <c r="S103" s="211">
        <f>(0.0584*1.02)*0.6864*1.0824</f>
        <v>4.4256603156480001E-2</v>
      </c>
      <c r="T103" s="1850">
        <f t="shared" si="31"/>
        <v>0</v>
      </c>
      <c r="U103" s="1850">
        <f t="shared" si="19"/>
        <v>0</v>
      </c>
      <c r="V103" s="1850">
        <f t="shared" si="19"/>
        <v>0</v>
      </c>
      <c r="W103" s="1850">
        <f t="shared" si="19"/>
        <v>0</v>
      </c>
      <c r="X103" s="1850">
        <f t="shared" si="19"/>
        <v>0</v>
      </c>
      <c r="Y103" s="1850">
        <f t="shared" si="19"/>
        <v>0</v>
      </c>
      <c r="Z103" s="1850">
        <f t="shared" si="20"/>
        <v>0</v>
      </c>
      <c r="AA103" s="2733"/>
    </row>
    <row r="104" spans="1:27" s="230" customFormat="1" ht="18.75" x14ac:dyDescent="0.25">
      <c r="A104" s="2456"/>
      <c r="B104" s="1849">
        <v>2039</v>
      </c>
      <c r="C104" s="218">
        <f t="shared" si="21"/>
        <v>0</v>
      </c>
      <c r="D104" s="218">
        <f t="shared" si="22"/>
        <v>0</v>
      </c>
      <c r="E104" s="221">
        <f t="shared" si="23"/>
        <v>0</v>
      </c>
      <c r="F104" s="218">
        <f t="shared" si="24"/>
        <v>0</v>
      </c>
      <c r="G104" s="218">
        <f t="shared" si="25"/>
        <v>0</v>
      </c>
      <c r="H104" s="218">
        <f t="shared" si="26"/>
        <v>0</v>
      </c>
      <c r="I104" s="218">
        <f t="shared" si="27"/>
        <v>0</v>
      </c>
      <c r="J104" s="218">
        <f t="shared" si="28"/>
        <v>0</v>
      </c>
      <c r="K104" s="218">
        <f t="shared" si="29"/>
        <v>0</v>
      </c>
      <c r="L104" s="192">
        <f t="shared" si="30"/>
        <v>0</v>
      </c>
      <c r="M104" s="211">
        <v>85</v>
      </c>
      <c r="N104" s="211">
        <f>(29.53*1.02)*0.673*1.0824</f>
        <v>21.941507697120006</v>
      </c>
      <c r="O104" s="211">
        <f>(42.96*1.02)*0.673*1.0824</f>
        <v>31.920324099840006</v>
      </c>
      <c r="P104" s="211">
        <f>(16.43*1.02)*0.673*1.0824</f>
        <v>12.207889314720003</v>
      </c>
      <c r="Q104" s="211">
        <f>(12.76*1.02)*0.673*1.0824</f>
        <v>9.4809901190400012</v>
      </c>
      <c r="R104" s="211">
        <f>(1.27*1.02)*0.673*1.0824</f>
        <v>0.9436408660800002</v>
      </c>
      <c r="S104" s="211">
        <f>(0.0584*1.02)*0.673*1.0824</f>
        <v>4.3392619353600011E-2</v>
      </c>
      <c r="T104" s="1850">
        <f t="shared" si="31"/>
        <v>0</v>
      </c>
      <c r="U104" s="1850">
        <f t="shared" si="19"/>
        <v>0</v>
      </c>
      <c r="V104" s="1850">
        <f t="shared" si="19"/>
        <v>0</v>
      </c>
      <c r="W104" s="1850">
        <f t="shared" si="19"/>
        <v>0</v>
      </c>
      <c r="X104" s="1850">
        <f t="shared" si="19"/>
        <v>0</v>
      </c>
      <c r="Y104" s="1850">
        <f t="shared" si="19"/>
        <v>0</v>
      </c>
      <c r="Z104" s="1850">
        <f t="shared" si="20"/>
        <v>0</v>
      </c>
      <c r="AA104" s="2733"/>
    </row>
    <row r="105" spans="1:27" s="230" customFormat="1" ht="18.75" x14ac:dyDescent="0.25">
      <c r="A105" s="2456"/>
      <c r="B105" s="1849">
        <v>2040</v>
      </c>
      <c r="C105" s="218">
        <f t="shared" si="21"/>
        <v>0</v>
      </c>
      <c r="D105" s="218">
        <f t="shared" si="22"/>
        <v>0</v>
      </c>
      <c r="E105" s="221">
        <f t="shared" si="23"/>
        <v>0</v>
      </c>
      <c r="F105" s="218">
        <f t="shared" si="24"/>
        <v>0</v>
      </c>
      <c r="G105" s="218">
        <f t="shared" si="25"/>
        <v>0</v>
      </c>
      <c r="H105" s="218">
        <f t="shared" si="26"/>
        <v>0</v>
      </c>
      <c r="I105" s="218">
        <f t="shared" si="27"/>
        <v>0</v>
      </c>
      <c r="J105" s="218">
        <f t="shared" si="28"/>
        <v>0</v>
      </c>
      <c r="K105" s="218">
        <f t="shared" si="29"/>
        <v>0</v>
      </c>
      <c r="L105" s="192">
        <f t="shared" si="30"/>
        <v>0</v>
      </c>
      <c r="M105" s="211">
        <v>86</v>
      </c>
      <c r="N105" s="211">
        <f>(29.53*1.02)*0.6598*1.0824</f>
        <v>21.511154202912003</v>
      </c>
      <c r="O105" s="211">
        <f>(42.96*1.02)*0.6598*1.0824</f>
        <v>31.294249392384003</v>
      </c>
      <c r="P105" s="211">
        <f>(16.43*1.02)*0.6598*1.0824</f>
        <v>11.968447800672001</v>
      </c>
      <c r="Q105" s="211">
        <f>(12.76*1.02)*0.6598*1.0824</f>
        <v>9.2950331063040004</v>
      </c>
      <c r="R105" s="211">
        <f>(1.27*1.02)*0.6598*1.0824</f>
        <v>0.92513260540800013</v>
      </c>
      <c r="S105" s="211">
        <f>(0.0584*1.02)*0.6598*1.0824</f>
        <v>4.254153083136001E-2</v>
      </c>
      <c r="T105" s="1850">
        <f t="shared" si="31"/>
        <v>0</v>
      </c>
      <c r="U105" s="1850">
        <f t="shared" si="19"/>
        <v>0</v>
      </c>
      <c r="V105" s="1850">
        <f t="shared" si="19"/>
        <v>0</v>
      </c>
      <c r="W105" s="1850">
        <f t="shared" si="19"/>
        <v>0</v>
      </c>
      <c r="X105" s="1850">
        <f t="shared" si="19"/>
        <v>0</v>
      </c>
      <c r="Y105" s="1850">
        <f t="shared" si="19"/>
        <v>0</v>
      </c>
      <c r="Z105" s="1850">
        <f t="shared" si="20"/>
        <v>0</v>
      </c>
      <c r="AA105" s="2733"/>
    </row>
    <row r="106" spans="1:27" s="230" customFormat="1" ht="18.75" x14ac:dyDescent="0.25">
      <c r="A106" s="2456"/>
      <c r="B106" s="1849">
        <v>2041</v>
      </c>
      <c r="C106" s="218">
        <f t="shared" si="21"/>
        <v>0</v>
      </c>
      <c r="D106" s="218">
        <f t="shared" si="22"/>
        <v>0</v>
      </c>
      <c r="E106" s="221">
        <f t="shared" si="23"/>
        <v>0</v>
      </c>
      <c r="F106" s="218">
        <f t="shared" si="24"/>
        <v>0</v>
      </c>
      <c r="G106" s="218">
        <f t="shared" si="25"/>
        <v>0</v>
      </c>
      <c r="H106" s="218">
        <f t="shared" si="26"/>
        <v>0</v>
      </c>
      <c r="I106" s="218">
        <f t="shared" si="27"/>
        <v>0</v>
      </c>
      <c r="J106" s="218">
        <f t="shared" si="28"/>
        <v>0</v>
      </c>
      <c r="K106" s="218">
        <f t="shared" si="29"/>
        <v>0</v>
      </c>
      <c r="L106" s="192">
        <f t="shared" si="30"/>
        <v>0</v>
      </c>
      <c r="M106" s="211">
        <v>87</v>
      </c>
      <c r="N106" s="211">
        <f>(29.53*1.02)*0.6468*1.0824</f>
        <v>21.087321216192002</v>
      </c>
      <c r="O106" s="211">
        <f>(42.96*1.02)*0.6468*1.0824</f>
        <v>30.677660665344007</v>
      </c>
      <c r="P106" s="211">
        <f>(16.43*1.02)*0.6468*1.0824</f>
        <v>11.732634188352002</v>
      </c>
      <c r="Q106" s="211">
        <f>(12.76*1.02)*0.6468*1.0824</f>
        <v>9.1118936240640007</v>
      </c>
      <c r="R106" s="211">
        <f>(1.27*1.02)*0.6468*1.0824</f>
        <v>0.9069047729280002</v>
      </c>
      <c r="S106" s="211">
        <f>(0.0584*1.02)*0.6468*1.0824</f>
        <v>4.1703337589760005E-2</v>
      </c>
      <c r="T106" s="1850">
        <f t="shared" si="31"/>
        <v>0</v>
      </c>
      <c r="U106" s="1850">
        <f t="shared" si="19"/>
        <v>0</v>
      </c>
      <c r="V106" s="1850">
        <f t="shared" si="19"/>
        <v>0</v>
      </c>
      <c r="W106" s="1850">
        <f t="shared" si="19"/>
        <v>0</v>
      </c>
      <c r="X106" s="1850">
        <f t="shared" si="19"/>
        <v>0</v>
      </c>
      <c r="Y106" s="1850">
        <f t="shared" si="19"/>
        <v>0</v>
      </c>
      <c r="Z106" s="1850">
        <f t="shared" si="20"/>
        <v>0</v>
      </c>
      <c r="AA106" s="2733"/>
    </row>
    <row r="107" spans="1:27" s="230" customFormat="1" ht="18.75" x14ac:dyDescent="0.25">
      <c r="A107" s="2456"/>
      <c r="B107" s="1849">
        <v>2042</v>
      </c>
      <c r="C107" s="218">
        <f t="shared" si="21"/>
        <v>0</v>
      </c>
      <c r="D107" s="218">
        <f t="shared" si="22"/>
        <v>0</v>
      </c>
      <c r="E107" s="221">
        <f t="shared" si="23"/>
        <v>0</v>
      </c>
      <c r="F107" s="218">
        <f t="shared" si="24"/>
        <v>0</v>
      </c>
      <c r="G107" s="218">
        <f t="shared" si="25"/>
        <v>0</v>
      </c>
      <c r="H107" s="218">
        <f t="shared" si="26"/>
        <v>0</v>
      </c>
      <c r="I107" s="218">
        <f t="shared" si="27"/>
        <v>0</v>
      </c>
      <c r="J107" s="218">
        <f t="shared" si="28"/>
        <v>0</v>
      </c>
      <c r="K107" s="218">
        <f t="shared" si="29"/>
        <v>0</v>
      </c>
      <c r="L107" s="192">
        <f t="shared" si="30"/>
        <v>0</v>
      </c>
      <c r="M107" s="211">
        <v>88</v>
      </c>
      <c r="N107" s="211">
        <f>(29.53*1.02)*0.6342*1.0824</f>
        <v>20.676529244448002</v>
      </c>
      <c r="O107" s="211">
        <f>(42.96*1.02)*0.6342*1.0824</f>
        <v>30.080043899136001</v>
      </c>
      <c r="P107" s="211">
        <f>(16.43*1.02)*0.6342*1.0824</f>
        <v>11.504076379488001</v>
      </c>
      <c r="Q107" s="211">
        <f>(12.76*1.02)*0.6342*1.0824</f>
        <v>8.9343892028159999</v>
      </c>
      <c r="R107" s="211">
        <f>(1.27*1.02)*0.6342*1.0824</f>
        <v>0.8892377968320001</v>
      </c>
      <c r="S107" s="211">
        <f>(0.0584*1.02)*0.6342*1.0824</f>
        <v>4.0890934909439999E-2</v>
      </c>
      <c r="T107" s="1850">
        <f t="shared" si="31"/>
        <v>0</v>
      </c>
      <c r="U107" s="1850">
        <f t="shared" si="19"/>
        <v>0</v>
      </c>
      <c r="V107" s="1850">
        <f t="shared" si="19"/>
        <v>0</v>
      </c>
      <c r="W107" s="1850">
        <f t="shared" si="19"/>
        <v>0</v>
      </c>
      <c r="X107" s="1850">
        <f t="shared" si="19"/>
        <v>0</v>
      </c>
      <c r="Y107" s="1850">
        <f t="shared" si="19"/>
        <v>0</v>
      </c>
      <c r="Z107" s="1850">
        <f t="shared" si="20"/>
        <v>0</v>
      </c>
      <c r="AA107" s="2733"/>
    </row>
    <row r="108" spans="1:27" s="230" customFormat="1" ht="18.75" x14ac:dyDescent="0.25">
      <c r="A108" s="2456"/>
      <c r="B108" s="1849">
        <v>2043</v>
      </c>
      <c r="C108" s="218">
        <f t="shared" si="21"/>
        <v>0</v>
      </c>
      <c r="D108" s="218">
        <f t="shared" si="22"/>
        <v>0</v>
      </c>
      <c r="E108" s="221">
        <f t="shared" si="23"/>
        <v>0</v>
      </c>
      <c r="F108" s="218">
        <f t="shared" si="24"/>
        <v>0</v>
      </c>
      <c r="G108" s="218">
        <f t="shared" si="25"/>
        <v>0</v>
      </c>
      <c r="H108" s="218">
        <f t="shared" si="26"/>
        <v>0</v>
      </c>
      <c r="I108" s="218">
        <f t="shared" si="27"/>
        <v>0</v>
      </c>
      <c r="J108" s="218">
        <f t="shared" si="28"/>
        <v>0</v>
      </c>
      <c r="K108" s="218">
        <f t="shared" si="29"/>
        <v>0</v>
      </c>
      <c r="L108" s="192">
        <f t="shared" si="30"/>
        <v>0</v>
      </c>
      <c r="M108" s="211">
        <v>89</v>
      </c>
      <c r="N108" s="211">
        <f>(29.53*1.02)*0.6217*1.0824</f>
        <v>20.268997526448004</v>
      </c>
      <c r="O108" s="211">
        <f>(42.96*1.02)*0.6217*1.0824</f>
        <v>29.487170123136003</v>
      </c>
      <c r="P108" s="211">
        <f>(16.43*1.02)*0.6217*1.0824</f>
        <v>11.277332521488001</v>
      </c>
      <c r="Q108" s="211">
        <f>(12.76*1.02)*0.6217*1.0824</f>
        <v>8.7582935468160006</v>
      </c>
      <c r="R108" s="211">
        <f>(1.27*1.02)*0.6217*1.0824</f>
        <v>0.87171103483200019</v>
      </c>
      <c r="S108" s="211">
        <f>(0.0584*1.02)*0.6217*1.0824</f>
        <v>4.0084979869440006E-2</v>
      </c>
      <c r="T108" s="1850">
        <f t="shared" si="31"/>
        <v>0</v>
      </c>
      <c r="U108" s="1850">
        <f t="shared" si="19"/>
        <v>0</v>
      </c>
      <c r="V108" s="1850">
        <f t="shared" si="19"/>
        <v>0</v>
      </c>
      <c r="W108" s="1850">
        <f t="shared" si="19"/>
        <v>0</v>
      </c>
      <c r="X108" s="1850">
        <f t="shared" si="19"/>
        <v>0</v>
      </c>
      <c r="Y108" s="1850">
        <f t="shared" si="19"/>
        <v>0</v>
      </c>
      <c r="Z108" s="1850">
        <f t="shared" si="20"/>
        <v>0</v>
      </c>
      <c r="AA108" s="2733"/>
    </row>
    <row r="109" spans="1:27" s="230" customFormat="1" ht="18.75" x14ac:dyDescent="0.25">
      <c r="A109" s="2456"/>
      <c r="B109" s="1849">
        <v>2044</v>
      </c>
      <c r="C109" s="218">
        <f t="shared" si="21"/>
        <v>0</v>
      </c>
      <c r="D109" s="218">
        <f t="shared" si="22"/>
        <v>0</v>
      </c>
      <c r="E109" s="221">
        <f t="shared" si="23"/>
        <v>0</v>
      </c>
      <c r="F109" s="218">
        <f t="shared" si="24"/>
        <v>0</v>
      </c>
      <c r="G109" s="218">
        <f t="shared" si="25"/>
        <v>0</v>
      </c>
      <c r="H109" s="218">
        <f t="shared" si="26"/>
        <v>0</v>
      </c>
      <c r="I109" s="218">
        <f t="shared" si="27"/>
        <v>0</v>
      </c>
      <c r="J109" s="218">
        <f t="shared" si="28"/>
        <v>0</v>
      </c>
      <c r="K109" s="218">
        <f t="shared" si="29"/>
        <v>0</v>
      </c>
      <c r="L109" s="192">
        <f t="shared" si="30"/>
        <v>0</v>
      </c>
      <c r="M109" s="211">
        <v>90</v>
      </c>
      <c r="N109" s="211">
        <f>(29.53*1.02)*0.6095*1.0824</f>
        <v>19.871246569680004</v>
      </c>
      <c r="O109" s="211">
        <f>(42.96*1.02)*0.6095*1.0824</f>
        <v>28.908525317760002</v>
      </c>
      <c r="P109" s="211">
        <f>(16.43*1.02)*0.6095*1.0824</f>
        <v>11.056030516080002</v>
      </c>
      <c r="Q109" s="211">
        <f>(12.76*1.02)*0.6095*1.0824</f>
        <v>8.5864241865600004</v>
      </c>
      <c r="R109" s="211">
        <f>(1.27*1.02)*0.6095*1.0824</f>
        <v>0.85460491512000014</v>
      </c>
      <c r="S109" s="211">
        <f>(0.0584*1.02)*0.6095*1.0824</f>
        <v>3.9298367750400007E-2</v>
      </c>
      <c r="T109" s="1850">
        <f t="shared" si="31"/>
        <v>0</v>
      </c>
      <c r="U109" s="1850">
        <f t="shared" si="19"/>
        <v>0</v>
      </c>
      <c r="V109" s="1850">
        <f t="shared" si="19"/>
        <v>0</v>
      </c>
      <c r="W109" s="1850">
        <f t="shared" si="19"/>
        <v>0</v>
      </c>
      <c r="X109" s="1850">
        <f t="shared" si="19"/>
        <v>0</v>
      </c>
      <c r="Y109" s="1850">
        <f t="shared" si="19"/>
        <v>0</v>
      </c>
      <c r="Z109" s="1850">
        <f t="shared" si="20"/>
        <v>0</v>
      </c>
      <c r="AA109" s="2733"/>
    </row>
    <row r="110" spans="1:27" s="230" customFormat="1" ht="18.75" x14ac:dyDescent="0.25">
      <c r="A110" s="2456"/>
      <c r="B110" s="1849">
        <v>2045</v>
      </c>
      <c r="C110" s="218">
        <f t="shared" si="21"/>
        <v>0</v>
      </c>
      <c r="D110" s="218">
        <f t="shared" si="22"/>
        <v>0</v>
      </c>
      <c r="E110" s="221">
        <f t="shared" si="23"/>
        <v>0</v>
      </c>
      <c r="F110" s="218">
        <f t="shared" si="24"/>
        <v>0</v>
      </c>
      <c r="G110" s="218">
        <f t="shared" si="25"/>
        <v>0</v>
      </c>
      <c r="H110" s="218">
        <f t="shared" si="26"/>
        <v>0</v>
      </c>
      <c r="I110" s="218">
        <f t="shared" si="27"/>
        <v>0</v>
      </c>
      <c r="J110" s="218">
        <f t="shared" si="28"/>
        <v>0</v>
      </c>
      <c r="K110" s="218">
        <f t="shared" si="29"/>
        <v>0</v>
      </c>
      <c r="L110" s="192">
        <f t="shared" si="30"/>
        <v>0</v>
      </c>
      <c r="M110" s="211">
        <v>92</v>
      </c>
      <c r="N110" s="211">
        <f>(29.53*1.02)*0.5976*1.0824</f>
        <v>19.483276374144001</v>
      </c>
      <c r="O110" s="211">
        <f>(42.96*1.02)*0.5976*1.0824</f>
        <v>28.344109483008001</v>
      </c>
      <c r="P110" s="211">
        <f>(16.43*1.02)*0.5976*1.0824</f>
        <v>10.840170363264003</v>
      </c>
      <c r="Q110" s="211">
        <f>(12.76*1.02)*0.5976*1.0824</f>
        <v>8.4187811220480011</v>
      </c>
      <c r="R110" s="211">
        <f>(1.27*1.02)*0.5976*1.0824</f>
        <v>0.83791943769600008</v>
      </c>
      <c r="S110" s="211">
        <f>(0.0584*1.02)*0.5976*1.0824</f>
        <v>3.8531098552320009E-2</v>
      </c>
      <c r="T110" s="1850">
        <f t="shared" si="31"/>
        <v>0</v>
      </c>
      <c r="U110" s="1850">
        <f t="shared" si="19"/>
        <v>0</v>
      </c>
      <c r="V110" s="1850">
        <f t="shared" si="19"/>
        <v>0</v>
      </c>
      <c r="W110" s="1850">
        <f t="shared" si="19"/>
        <v>0</v>
      </c>
      <c r="X110" s="1850">
        <f t="shared" si="19"/>
        <v>0</v>
      </c>
      <c r="Y110" s="1850">
        <f t="shared" si="19"/>
        <v>0</v>
      </c>
      <c r="Z110" s="1850">
        <f t="shared" si="20"/>
        <v>0</v>
      </c>
      <c r="AA110" s="2733"/>
    </row>
    <row r="111" spans="1:27" s="230" customFormat="1" ht="18.75" x14ac:dyDescent="0.25">
      <c r="A111" s="2456"/>
      <c r="B111" s="1849">
        <v>2046</v>
      </c>
      <c r="C111" s="218">
        <f t="shared" si="21"/>
        <v>0</v>
      </c>
      <c r="D111" s="218">
        <f t="shared" si="22"/>
        <v>0</v>
      </c>
      <c r="E111" s="221">
        <f t="shared" si="23"/>
        <v>0</v>
      </c>
      <c r="F111" s="218">
        <f t="shared" si="24"/>
        <v>0</v>
      </c>
      <c r="G111" s="218">
        <f t="shared" si="25"/>
        <v>0</v>
      </c>
      <c r="H111" s="218">
        <f t="shared" si="26"/>
        <v>0</v>
      </c>
      <c r="I111" s="218">
        <f t="shared" si="27"/>
        <v>0</v>
      </c>
      <c r="J111" s="218">
        <f t="shared" si="28"/>
        <v>0</v>
      </c>
      <c r="K111" s="218">
        <f t="shared" si="29"/>
        <v>0</v>
      </c>
      <c r="L111" s="192">
        <f t="shared" si="30"/>
        <v>0</v>
      </c>
      <c r="M111" s="211">
        <v>93</v>
      </c>
      <c r="N111" s="211">
        <f>(29.53*1.02)*0.5859*1.0824</f>
        <v>19.101826686096</v>
      </c>
      <c r="O111" s="211">
        <f>(42.96*1.02)*0.5859*1.0824</f>
        <v>27.789179628671999</v>
      </c>
      <c r="P111" s="211">
        <f>(16.43*1.02)*0.5859*1.0824</f>
        <v>10.627938112176002</v>
      </c>
      <c r="Q111" s="211">
        <f>(12.76*1.02)*0.5859*1.0824</f>
        <v>8.2539555880319995</v>
      </c>
      <c r="R111" s="211">
        <f>(1.27*1.02)*0.5859*1.0824</f>
        <v>0.82151438846400004</v>
      </c>
      <c r="S111" s="211">
        <f>(0.0584*1.02)*0.5859*1.0824</f>
        <v>3.777672463488E-2</v>
      </c>
      <c r="T111" s="1850">
        <f t="shared" si="31"/>
        <v>0</v>
      </c>
      <c r="U111" s="1850">
        <f t="shared" si="19"/>
        <v>0</v>
      </c>
      <c r="V111" s="1850">
        <f t="shared" si="19"/>
        <v>0</v>
      </c>
      <c r="W111" s="1850">
        <f t="shared" si="19"/>
        <v>0</v>
      </c>
      <c r="X111" s="1850">
        <f t="shared" si="19"/>
        <v>0</v>
      </c>
      <c r="Y111" s="1850">
        <f t="shared" si="19"/>
        <v>0</v>
      </c>
      <c r="Z111" s="1850">
        <f t="shared" si="20"/>
        <v>0</v>
      </c>
      <c r="AA111" s="2733"/>
    </row>
    <row r="112" spans="1:27" s="230" customFormat="1" ht="18.75" x14ac:dyDescent="0.25">
      <c r="A112" s="2456"/>
      <c r="B112" s="1849">
        <v>2047</v>
      </c>
      <c r="C112" s="218">
        <f t="shared" si="21"/>
        <v>0</v>
      </c>
      <c r="D112" s="218">
        <f t="shared" si="22"/>
        <v>0</v>
      </c>
      <c r="E112" s="221">
        <f t="shared" si="23"/>
        <v>0</v>
      </c>
      <c r="F112" s="218">
        <f t="shared" si="24"/>
        <v>0</v>
      </c>
      <c r="G112" s="218">
        <f t="shared" si="25"/>
        <v>0</v>
      </c>
      <c r="H112" s="218">
        <f t="shared" si="26"/>
        <v>0</v>
      </c>
      <c r="I112" s="218">
        <f t="shared" si="27"/>
        <v>0</v>
      </c>
      <c r="J112" s="218">
        <f t="shared" si="28"/>
        <v>0</v>
      </c>
      <c r="K112" s="218">
        <f t="shared" si="29"/>
        <v>0</v>
      </c>
      <c r="L112" s="192">
        <f t="shared" si="30"/>
        <v>0</v>
      </c>
      <c r="M112" s="211">
        <v>94</v>
      </c>
      <c r="N112" s="211">
        <f>(29.53*1.02)*0.5744*1.0824</f>
        <v>18.726897505536005</v>
      </c>
      <c r="O112" s="211">
        <f>(42.96*1.02)*0.5744*1.0824</f>
        <v>27.243735754752002</v>
      </c>
      <c r="P112" s="211">
        <f>(16.43*1.02)*0.5744*1.0824</f>
        <v>10.419333762816001</v>
      </c>
      <c r="Q112" s="211">
        <f>(12.76*1.02)*0.5744*1.0824</f>
        <v>8.0919475845120008</v>
      </c>
      <c r="R112" s="211">
        <f>(1.27*1.02)*0.5744*1.0824</f>
        <v>0.80538976742400015</v>
      </c>
      <c r="S112" s="211">
        <f>(0.0584*1.02)*0.5744*1.0824</f>
        <v>3.7035245998080002E-2</v>
      </c>
      <c r="T112" s="1850">
        <f t="shared" si="31"/>
        <v>0</v>
      </c>
      <c r="U112" s="1850">
        <f t="shared" si="19"/>
        <v>0</v>
      </c>
      <c r="V112" s="1850">
        <f t="shared" si="19"/>
        <v>0</v>
      </c>
      <c r="W112" s="1850">
        <f t="shared" si="19"/>
        <v>0</v>
      </c>
      <c r="X112" s="1850">
        <f t="shared" si="19"/>
        <v>0</v>
      </c>
      <c r="Y112" s="1850">
        <f t="shared" si="19"/>
        <v>0</v>
      </c>
      <c r="Z112" s="1850">
        <f t="shared" si="20"/>
        <v>0</v>
      </c>
      <c r="AA112" s="2733"/>
    </row>
    <row r="113" spans="1:27" s="230" customFormat="1" ht="18.75" x14ac:dyDescent="0.25">
      <c r="A113" s="2456"/>
      <c r="B113" s="1849">
        <v>2048</v>
      </c>
      <c r="C113" s="218">
        <f t="shared" si="21"/>
        <v>0</v>
      </c>
      <c r="D113" s="218">
        <f t="shared" si="22"/>
        <v>0</v>
      </c>
      <c r="E113" s="221">
        <f t="shared" si="23"/>
        <v>0</v>
      </c>
      <c r="F113" s="218">
        <f t="shared" si="24"/>
        <v>0</v>
      </c>
      <c r="G113" s="218">
        <f t="shared" si="25"/>
        <v>0</v>
      </c>
      <c r="H113" s="218">
        <f t="shared" si="26"/>
        <v>0</v>
      </c>
      <c r="I113" s="218">
        <f t="shared" si="27"/>
        <v>0</v>
      </c>
      <c r="J113" s="218">
        <f t="shared" si="28"/>
        <v>0</v>
      </c>
      <c r="K113" s="218">
        <f t="shared" si="29"/>
        <v>0</v>
      </c>
      <c r="L113" s="192">
        <f t="shared" si="30"/>
        <v>0</v>
      </c>
      <c r="M113" s="211">
        <v>95</v>
      </c>
      <c r="N113" s="211">
        <f>(29.53*1.02)*0.5631*1.0824</f>
        <v>18.358488832464005</v>
      </c>
      <c r="O113" s="211">
        <f>(42.96*1.02)*0.5631*1.0824</f>
        <v>26.707777861248005</v>
      </c>
      <c r="P113" s="211">
        <f>(16.43*1.02)*0.5631*1.0824</f>
        <v>10.214357315184001</v>
      </c>
      <c r="Q113" s="211">
        <f>(12.76*1.02)*0.5631*1.0824</f>
        <v>7.9327571114880007</v>
      </c>
      <c r="R113" s="211">
        <f>(1.27*1.02)*0.5631*1.0824</f>
        <v>0.78954557457600016</v>
      </c>
      <c r="S113" s="211">
        <f>(0.0584*1.02)*0.5631*1.0824</f>
        <v>3.6306662641920007E-2</v>
      </c>
      <c r="T113" s="1850">
        <f t="shared" si="31"/>
        <v>0</v>
      </c>
      <c r="U113" s="1850">
        <f t="shared" si="19"/>
        <v>0</v>
      </c>
      <c r="V113" s="1850">
        <f t="shared" si="19"/>
        <v>0</v>
      </c>
      <c r="W113" s="1850">
        <f t="shared" si="19"/>
        <v>0</v>
      </c>
      <c r="X113" s="1850">
        <f t="shared" si="19"/>
        <v>0</v>
      </c>
      <c r="Y113" s="1850">
        <f t="shared" si="19"/>
        <v>0</v>
      </c>
      <c r="Z113" s="1850">
        <f t="shared" si="20"/>
        <v>0</v>
      </c>
      <c r="AA113" s="2733"/>
    </row>
    <row r="114" spans="1:27" s="230" customFormat="1" ht="18.75" x14ac:dyDescent="0.25">
      <c r="A114" s="2456"/>
      <c r="B114" s="1849">
        <v>2049</v>
      </c>
      <c r="C114" s="218">
        <f t="shared" si="21"/>
        <v>0</v>
      </c>
      <c r="D114" s="218">
        <f t="shared" si="22"/>
        <v>0</v>
      </c>
      <c r="E114" s="221">
        <f t="shared" si="23"/>
        <v>0</v>
      </c>
      <c r="F114" s="218">
        <f t="shared" si="24"/>
        <v>0</v>
      </c>
      <c r="G114" s="218">
        <f t="shared" si="25"/>
        <v>0</v>
      </c>
      <c r="H114" s="218">
        <f t="shared" si="26"/>
        <v>0</v>
      </c>
      <c r="I114" s="218">
        <f t="shared" si="27"/>
        <v>0</v>
      </c>
      <c r="J114" s="218">
        <f t="shared" si="28"/>
        <v>0</v>
      </c>
      <c r="K114" s="218">
        <f t="shared" si="29"/>
        <v>0</v>
      </c>
      <c r="L114" s="192">
        <f t="shared" si="30"/>
        <v>0</v>
      </c>
      <c r="M114" s="211">
        <v>96</v>
      </c>
      <c r="N114" s="211">
        <f>(29.53*1.02)*0.5521*1.0824</f>
        <v>17.999860920624005</v>
      </c>
      <c r="O114" s="211">
        <f>(42.96*1.02)*0.5521*1.0824</f>
        <v>26.186048938368003</v>
      </c>
      <c r="P114" s="211">
        <f>(16.43*1.02)*0.5521*1.0824</f>
        <v>10.014822720144002</v>
      </c>
      <c r="Q114" s="211">
        <f>(12.76*1.02)*0.5521*1.0824</f>
        <v>7.7777929342080014</v>
      </c>
      <c r="R114" s="211">
        <f>(1.27*1.02)*0.5521*1.0824</f>
        <v>0.77412202401600017</v>
      </c>
      <c r="S114" s="211">
        <f>(0.0584*1.02)*0.5521*1.0824</f>
        <v>3.5597422206719999E-2</v>
      </c>
      <c r="T114" s="1850">
        <f t="shared" si="31"/>
        <v>0</v>
      </c>
      <c r="U114" s="1850">
        <f t="shared" si="19"/>
        <v>0</v>
      </c>
      <c r="V114" s="1850">
        <f t="shared" si="19"/>
        <v>0</v>
      </c>
      <c r="W114" s="1850">
        <f t="shared" si="19"/>
        <v>0</v>
      </c>
      <c r="X114" s="1850">
        <f t="shared" si="19"/>
        <v>0</v>
      </c>
      <c r="Y114" s="1850">
        <f t="shared" si="19"/>
        <v>0</v>
      </c>
      <c r="Z114" s="1850">
        <f t="shared" si="20"/>
        <v>0</v>
      </c>
      <c r="AA114" s="2733"/>
    </row>
    <row r="115" spans="1:27" s="230" customFormat="1" ht="18.75" x14ac:dyDescent="0.25">
      <c r="A115" s="2456"/>
      <c r="B115" s="1849">
        <v>2050</v>
      </c>
      <c r="C115" s="218">
        <f t="shared" si="21"/>
        <v>0</v>
      </c>
      <c r="D115" s="218">
        <f t="shared" si="22"/>
        <v>0</v>
      </c>
      <c r="E115" s="221">
        <f t="shared" si="23"/>
        <v>0</v>
      </c>
      <c r="F115" s="218">
        <f t="shared" si="24"/>
        <v>0</v>
      </c>
      <c r="G115" s="218">
        <f t="shared" si="25"/>
        <v>0</v>
      </c>
      <c r="H115" s="218">
        <f t="shared" si="26"/>
        <v>0</v>
      </c>
      <c r="I115" s="218">
        <f t="shared" si="27"/>
        <v>0</v>
      </c>
      <c r="J115" s="218">
        <f t="shared" si="28"/>
        <v>0</v>
      </c>
      <c r="K115" s="218">
        <f t="shared" si="29"/>
        <v>0</v>
      </c>
      <c r="L115" s="192">
        <f t="shared" si="30"/>
        <v>0</v>
      </c>
      <c r="M115" s="211">
        <v>97</v>
      </c>
      <c r="N115" s="211">
        <f>(29.53*1.02)*0.5412*1.0824</f>
        <v>17.644493262528005</v>
      </c>
      <c r="O115" s="211">
        <f>(42.96*1.02)*0.5412*1.0824</f>
        <v>25.669063005696003</v>
      </c>
      <c r="P115" s="211">
        <f>(16.43*1.02)*0.5412*1.0824</f>
        <v>9.8171020759680019</v>
      </c>
      <c r="Q115" s="211">
        <f>(12.76*1.02)*0.5412*1.0824</f>
        <v>7.624237522176001</v>
      </c>
      <c r="R115" s="211">
        <f>(1.27*1.02)*0.5412*1.0824</f>
        <v>0.75883868755200012</v>
      </c>
      <c r="S115" s="211">
        <f>(0.0584*1.02)*0.5412*1.0824</f>
        <v>3.4894629411840003E-2</v>
      </c>
      <c r="T115" s="1850">
        <f t="shared" si="31"/>
        <v>0</v>
      </c>
      <c r="U115" s="1850">
        <f t="shared" si="19"/>
        <v>0</v>
      </c>
      <c r="V115" s="1850">
        <f t="shared" si="19"/>
        <v>0</v>
      </c>
      <c r="W115" s="1850">
        <f t="shared" si="19"/>
        <v>0</v>
      </c>
      <c r="X115" s="1850">
        <f t="shared" si="19"/>
        <v>0</v>
      </c>
      <c r="Y115" s="1850">
        <f t="shared" si="19"/>
        <v>0</v>
      </c>
      <c r="Z115" s="1850">
        <f t="shared" si="20"/>
        <v>0</v>
      </c>
      <c r="AA115" s="2733"/>
    </row>
    <row r="116" spans="1:27" s="230" customFormat="1" ht="18.75" x14ac:dyDescent="0.25">
      <c r="A116" s="2456"/>
      <c r="B116" s="1849">
        <v>2051</v>
      </c>
      <c r="C116" s="218">
        <f t="shared" si="21"/>
        <v>0</v>
      </c>
      <c r="D116" s="218">
        <f t="shared" si="22"/>
        <v>0</v>
      </c>
      <c r="E116" s="221">
        <f t="shared" si="23"/>
        <v>0</v>
      </c>
      <c r="F116" s="218">
        <f t="shared" si="24"/>
        <v>0</v>
      </c>
      <c r="G116" s="218">
        <f t="shared" si="25"/>
        <v>0</v>
      </c>
      <c r="H116" s="218">
        <f t="shared" si="26"/>
        <v>0</v>
      </c>
      <c r="I116" s="218">
        <f t="shared" si="27"/>
        <v>0</v>
      </c>
      <c r="J116" s="218">
        <f t="shared" si="28"/>
        <v>0</v>
      </c>
      <c r="K116" s="218">
        <f t="shared" si="29"/>
        <v>0</v>
      </c>
      <c r="L116" s="192">
        <f t="shared" si="30"/>
        <v>0</v>
      </c>
      <c r="M116" s="211">
        <v>97</v>
      </c>
      <c r="N116" s="211">
        <f>(29.53*1.02)*0.5306*1.0824</f>
        <v>17.298906365664003</v>
      </c>
      <c r="O116" s="211">
        <f>(42.96*1.02)*0.5306*1.0824</f>
        <v>25.166306043648003</v>
      </c>
      <c r="P116" s="211">
        <f>(16.43*1.02)*0.5306*1.0824</f>
        <v>9.624823284384</v>
      </c>
      <c r="Q116" s="211">
        <f>(12.76*1.02)*0.5306*1.0824</f>
        <v>7.4749084058879998</v>
      </c>
      <c r="R116" s="211">
        <f>(1.27*1.02)*0.5306*1.0824</f>
        <v>0.74397599337600007</v>
      </c>
      <c r="S116" s="211">
        <f>(0.0584*1.02)*0.5306*1.0824</f>
        <v>3.4211179537920001E-2</v>
      </c>
      <c r="T116" s="1850">
        <f t="shared" si="31"/>
        <v>0</v>
      </c>
      <c r="U116" s="1850">
        <f t="shared" si="19"/>
        <v>0</v>
      </c>
      <c r="V116" s="1850">
        <f t="shared" si="19"/>
        <v>0</v>
      </c>
      <c r="W116" s="1850">
        <f t="shared" si="19"/>
        <v>0</v>
      </c>
      <c r="X116" s="1850">
        <f t="shared" si="19"/>
        <v>0</v>
      </c>
      <c r="Y116" s="1850">
        <f t="shared" si="19"/>
        <v>0</v>
      </c>
      <c r="Z116" s="1850">
        <f t="shared" si="20"/>
        <v>0</v>
      </c>
      <c r="AA116" s="2733"/>
    </row>
    <row r="117" spans="1:27" s="230" customFormat="1" ht="18.75" x14ac:dyDescent="0.25">
      <c r="A117" s="2456"/>
      <c r="B117" s="1849">
        <v>2052</v>
      </c>
      <c r="C117" s="218">
        <f t="shared" si="21"/>
        <v>0</v>
      </c>
      <c r="D117" s="218">
        <f t="shared" si="22"/>
        <v>0</v>
      </c>
      <c r="E117" s="221">
        <f t="shared" si="23"/>
        <v>0</v>
      </c>
      <c r="F117" s="218">
        <f t="shared" si="24"/>
        <v>0</v>
      </c>
      <c r="G117" s="218">
        <f t="shared" si="25"/>
        <v>0</v>
      </c>
      <c r="H117" s="218">
        <f t="shared" si="26"/>
        <v>0</v>
      </c>
      <c r="I117" s="218">
        <f t="shared" si="27"/>
        <v>0</v>
      </c>
      <c r="J117" s="218">
        <f t="shared" si="28"/>
        <v>0</v>
      </c>
      <c r="K117" s="218">
        <f t="shared" si="29"/>
        <v>0</v>
      </c>
      <c r="L117" s="192">
        <f t="shared" si="30"/>
        <v>0</v>
      </c>
      <c r="M117" s="211">
        <v>97</v>
      </c>
      <c r="N117" s="211">
        <f>(29.53*1.02)*0.5202*1.0824</f>
        <v>16.959839976288002</v>
      </c>
      <c r="O117" s="211">
        <f>(42.96*1.02)*0.5202*1.0824</f>
        <v>24.673035062016002</v>
      </c>
      <c r="P117" s="211">
        <f>(16.43*1.02)*0.5202*1.0824</f>
        <v>9.4361723945280005</v>
      </c>
      <c r="Q117" s="211">
        <f>(12.76*1.02)*0.5202*1.0824</f>
        <v>7.3283968200960006</v>
      </c>
      <c r="R117" s="211">
        <f>(1.27*1.02)*0.5202*1.0824</f>
        <v>0.72939372739200004</v>
      </c>
      <c r="S117" s="211">
        <f>(0.0584*1.02)*0.5202*1.0824</f>
        <v>3.3540624944640003E-2</v>
      </c>
      <c r="T117" s="1850">
        <f t="shared" si="31"/>
        <v>0</v>
      </c>
      <c r="U117" s="1850">
        <f t="shared" si="19"/>
        <v>0</v>
      </c>
      <c r="V117" s="1850">
        <f t="shared" si="19"/>
        <v>0</v>
      </c>
      <c r="W117" s="1850">
        <f t="shared" si="19"/>
        <v>0</v>
      </c>
      <c r="X117" s="1850">
        <f t="shared" si="19"/>
        <v>0</v>
      </c>
      <c r="Y117" s="1850">
        <f t="shared" si="19"/>
        <v>0</v>
      </c>
      <c r="Z117" s="1850">
        <f t="shared" si="20"/>
        <v>0</v>
      </c>
      <c r="AA117" s="2733"/>
    </row>
    <row r="118" spans="1:27" s="230" customFormat="1" ht="18.75" x14ac:dyDescent="0.25">
      <c r="A118" s="2456"/>
      <c r="B118" s="1849">
        <v>2053</v>
      </c>
      <c r="C118" s="218">
        <f t="shared" si="21"/>
        <v>0</v>
      </c>
      <c r="D118" s="218">
        <f t="shared" si="22"/>
        <v>0</v>
      </c>
      <c r="E118" s="221">
        <f t="shared" si="23"/>
        <v>0</v>
      </c>
      <c r="F118" s="218">
        <f t="shared" si="24"/>
        <v>0</v>
      </c>
      <c r="G118" s="218">
        <f t="shared" si="25"/>
        <v>0</v>
      </c>
      <c r="H118" s="218">
        <f t="shared" si="26"/>
        <v>0</v>
      </c>
      <c r="I118" s="218">
        <f t="shared" si="27"/>
        <v>0</v>
      </c>
      <c r="J118" s="218">
        <f t="shared" si="28"/>
        <v>0</v>
      </c>
      <c r="K118" s="218">
        <f t="shared" si="29"/>
        <v>0</v>
      </c>
      <c r="L118" s="192">
        <f t="shared" si="30"/>
        <v>0</v>
      </c>
      <c r="M118" s="211">
        <v>97</v>
      </c>
      <c r="N118" s="211">
        <f>(29.53*1.02)*0.51*1.0824</f>
        <v>16.627294094400003</v>
      </c>
      <c r="O118" s="211">
        <f>(42.96*1.02)*0.51*1.0824</f>
        <v>24.189250060800003</v>
      </c>
      <c r="P118" s="211">
        <f>(16.43*1.02)*0.51*1.0824</f>
        <v>9.2511494064000015</v>
      </c>
      <c r="Q118" s="211">
        <f>(12.76*1.02)*0.51*1.0824</f>
        <v>7.1847027647999999</v>
      </c>
      <c r="R118" s="211">
        <f>(1.27*1.02)*0.51*1.0824</f>
        <v>0.71509188960000014</v>
      </c>
      <c r="S118" s="211">
        <f>(0.0584*1.02)*0.51*1.0824</f>
        <v>3.2882965632000001E-2</v>
      </c>
      <c r="T118" s="1850">
        <f t="shared" si="31"/>
        <v>0</v>
      </c>
      <c r="U118" s="1850">
        <f t="shared" si="19"/>
        <v>0</v>
      </c>
      <c r="V118" s="1850">
        <f t="shared" si="19"/>
        <v>0</v>
      </c>
      <c r="W118" s="1850">
        <f t="shared" si="19"/>
        <v>0</v>
      </c>
      <c r="X118" s="1850">
        <f t="shared" si="19"/>
        <v>0</v>
      </c>
      <c r="Y118" s="1850">
        <f t="shared" si="19"/>
        <v>0</v>
      </c>
      <c r="Z118" s="1850">
        <f t="shared" si="20"/>
        <v>0</v>
      </c>
      <c r="AA118" s="2733"/>
    </row>
    <row r="119" spans="1:27" s="230" customFormat="1" ht="18.75" x14ac:dyDescent="0.25">
      <c r="A119" s="2456"/>
      <c r="B119" s="1849">
        <v>2054</v>
      </c>
      <c r="C119" s="218">
        <f t="shared" si="21"/>
        <v>0</v>
      </c>
      <c r="D119" s="218">
        <f t="shared" si="22"/>
        <v>0</v>
      </c>
      <c r="E119" s="221">
        <f t="shared" si="23"/>
        <v>0</v>
      </c>
      <c r="F119" s="218">
        <f t="shared" si="24"/>
        <v>0</v>
      </c>
      <c r="G119" s="218">
        <f t="shared" si="25"/>
        <v>0</v>
      </c>
      <c r="H119" s="218">
        <f t="shared" si="26"/>
        <v>0</v>
      </c>
      <c r="I119" s="218">
        <f t="shared" si="27"/>
        <v>0</v>
      </c>
      <c r="J119" s="218">
        <f t="shared" si="28"/>
        <v>0</v>
      </c>
      <c r="K119" s="218">
        <f t="shared" si="29"/>
        <v>0</v>
      </c>
      <c r="L119" s="192">
        <f t="shared" si="30"/>
        <v>0</v>
      </c>
      <c r="M119" s="211">
        <v>97</v>
      </c>
      <c r="N119" s="211">
        <f>(29.53*1.02)*0.5*1.0824</f>
        <v>16.301268720000003</v>
      </c>
      <c r="O119" s="211">
        <f>(42.96*1.02)*0.5*1.0824</f>
        <v>23.714951040000003</v>
      </c>
      <c r="P119" s="211">
        <f>(16.43*1.02)*0.5*1.0824</f>
        <v>9.0697543200000013</v>
      </c>
      <c r="Q119" s="211">
        <f>(12.76*1.02)*0.5*1.0824</f>
        <v>7.0438262400000005</v>
      </c>
      <c r="R119" s="211">
        <f>(1.27*1.02)*0.5*1.0824</f>
        <v>0.70107048000000005</v>
      </c>
      <c r="S119" s="211">
        <f>(0.0584*1.02)*0.5*1.0824</f>
        <v>3.2238201600000002E-2</v>
      </c>
      <c r="T119" s="1850">
        <f t="shared" si="31"/>
        <v>0</v>
      </c>
      <c r="U119" s="1850">
        <f t="shared" si="19"/>
        <v>0</v>
      </c>
      <c r="V119" s="1850">
        <f t="shared" si="19"/>
        <v>0</v>
      </c>
      <c r="W119" s="1850">
        <f t="shared" si="19"/>
        <v>0</v>
      </c>
      <c r="X119" s="1850">
        <f t="shared" si="19"/>
        <v>0</v>
      </c>
      <c r="Y119" s="1850">
        <f t="shared" si="19"/>
        <v>0</v>
      </c>
      <c r="Z119" s="1850">
        <f t="shared" si="20"/>
        <v>0</v>
      </c>
      <c r="AA119" s="2733"/>
    </row>
    <row r="120" spans="1:27" s="230" customFormat="1" ht="18.75" x14ac:dyDescent="0.25">
      <c r="A120" s="2456"/>
      <c r="B120" s="1849">
        <v>2055</v>
      </c>
      <c r="C120" s="218">
        <f t="shared" si="21"/>
        <v>0</v>
      </c>
      <c r="D120" s="218">
        <f t="shared" si="22"/>
        <v>0</v>
      </c>
      <c r="E120" s="221">
        <f t="shared" si="23"/>
        <v>0</v>
      </c>
      <c r="F120" s="218">
        <f t="shared" si="24"/>
        <v>0</v>
      </c>
      <c r="G120" s="218">
        <f t="shared" si="25"/>
        <v>0</v>
      </c>
      <c r="H120" s="218">
        <f t="shared" si="26"/>
        <v>0</v>
      </c>
      <c r="I120" s="218">
        <f t="shared" si="27"/>
        <v>0</v>
      </c>
      <c r="J120" s="218">
        <f t="shared" si="28"/>
        <v>0</v>
      </c>
      <c r="K120" s="218">
        <f t="shared" si="29"/>
        <v>0</v>
      </c>
      <c r="L120" s="192">
        <f t="shared" si="30"/>
        <v>0</v>
      </c>
      <c r="M120" s="211">
        <v>97</v>
      </c>
      <c r="N120" s="211">
        <f>(29.53*1.02)*0.4902*1.0824</f>
        <v>15.981763853088003</v>
      </c>
      <c r="O120" s="211">
        <f>(42.96*1.02)*0.4902*1.0824</f>
        <v>23.250137999616001</v>
      </c>
      <c r="P120" s="211">
        <f>(16.43*1.02)*0.4902*1.0824</f>
        <v>8.8919871353280016</v>
      </c>
      <c r="Q120" s="211">
        <f>(12.76*1.02)*0.4902*1.0824</f>
        <v>6.9057672456960004</v>
      </c>
      <c r="R120" s="211">
        <f>(1.27*1.02)*0.4902*1.0824</f>
        <v>0.6873294985920001</v>
      </c>
      <c r="S120" s="211">
        <f>(0.0584*1.02)*0.4902*1.0824</f>
        <v>3.1606332848640006E-2</v>
      </c>
      <c r="T120" s="1850">
        <f t="shared" si="31"/>
        <v>0</v>
      </c>
      <c r="U120" s="1850">
        <f t="shared" si="19"/>
        <v>0</v>
      </c>
      <c r="V120" s="1850">
        <f t="shared" si="19"/>
        <v>0</v>
      </c>
      <c r="W120" s="1850">
        <f t="shared" si="19"/>
        <v>0</v>
      </c>
      <c r="X120" s="1850">
        <f t="shared" si="19"/>
        <v>0</v>
      </c>
      <c r="Y120" s="1850">
        <f t="shared" si="19"/>
        <v>0</v>
      </c>
      <c r="Z120" s="1850">
        <f t="shared" si="20"/>
        <v>0</v>
      </c>
      <c r="AA120" s="2733"/>
    </row>
    <row r="121" spans="1:27" s="230" customFormat="1" ht="18.75" x14ac:dyDescent="0.25">
      <c r="A121" s="2456"/>
      <c r="B121" s="1849">
        <v>2056</v>
      </c>
      <c r="C121" s="218">
        <f t="shared" si="21"/>
        <v>0</v>
      </c>
      <c r="D121" s="218">
        <f t="shared" si="22"/>
        <v>0</v>
      </c>
      <c r="E121" s="221">
        <f t="shared" si="23"/>
        <v>0</v>
      </c>
      <c r="F121" s="218">
        <f t="shared" si="24"/>
        <v>0</v>
      </c>
      <c r="G121" s="218">
        <f t="shared" si="25"/>
        <v>0</v>
      </c>
      <c r="H121" s="218">
        <f t="shared" si="26"/>
        <v>0</v>
      </c>
      <c r="I121" s="218">
        <f t="shared" si="27"/>
        <v>0</v>
      </c>
      <c r="J121" s="218">
        <f t="shared" si="28"/>
        <v>0</v>
      </c>
      <c r="K121" s="218">
        <f t="shared" si="29"/>
        <v>0</v>
      </c>
      <c r="L121" s="192">
        <f t="shared" si="30"/>
        <v>0</v>
      </c>
      <c r="M121" s="211">
        <v>97</v>
      </c>
      <c r="N121" s="211">
        <f>(29.53*1.02)*0.4806*1.0824</f>
        <v>15.668779493664003</v>
      </c>
      <c r="O121" s="211">
        <f>(42.96*1.02)*0.4806*1.0824</f>
        <v>22.794810939648006</v>
      </c>
      <c r="P121" s="211">
        <f>(16.43*1.02)*0.4806*1.0824</f>
        <v>8.7178478523840006</v>
      </c>
      <c r="Q121" s="211">
        <f>(12.76*1.02)*0.4806*1.0824</f>
        <v>6.7705257818880007</v>
      </c>
      <c r="R121" s="211">
        <f>(1.27*1.02)*0.4806*1.0824</f>
        <v>0.67386894537600017</v>
      </c>
      <c r="S121" s="211">
        <f>(0.0584*1.02)*0.4806*1.0824</f>
        <v>3.0987359377920003E-2</v>
      </c>
      <c r="T121" s="1850">
        <f t="shared" si="31"/>
        <v>0</v>
      </c>
      <c r="U121" s="1850">
        <f t="shared" si="19"/>
        <v>0</v>
      </c>
      <c r="V121" s="1850">
        <f t="shared" si="19"/>
        <v>0</v>
      </c>
      <c r="W121" s="1850">
        <f t="shared" si="19"/>
        <v>0</v>
      </c>
      <c r="X121" s="1850">
        <f t="shared" si="19"/>
        <v>0</v>
      </c>
      <c r="Y121" s="1850">
        <f t="shared" si="19"/>
        <v>0</v>
      </c>
      <c r="Z121" s="1850">
        <f t="shared" si="20"/>
        <v>0</v>
      </c>
      <c r="AA121" s="2733"/>
    </row>
    <row r="122" spans="1:27" s="230" customFormat="1" ht="18.75" x14ac:dyDescent="0.25">
      <c r="A122" s="2456"/>
      <c r="B122" s="1849">
        <v>2057</v>
      </c>
      <c r="C122" s="218">
        <f t="shared" si="21"/>
        <v>0</v>
      </c>
      <c r="D122" s="218">
        <f t="shared" si="22"/>
        <v>0</v>
      </c>
      <c r="E122" s="221">
        <f t="shared" si="23"/>
        <v>0</v>
      </c>
      <c r="F122" s="218">
        <f t="shared" si="24"/>
        <v>0</v>
      </c>
      <c r="G122" s="218">
        <f t="shared" si="25"/>
        <v>0</v>
      </c>
      <c r="H122" s="218">
        <f t="shared" si="26"/>
        <v>0</v>
      </c>
      <c r="I122" s="218">
        <f t="shared" si="27"/>
        <v>0</v>
      </c>
      <c r="J122" s="218">
        <f t="shared" si="28"/>
        <v>0</v>
      </c>
      <c r="K122" s="218">
        <f t="shared" si="29"/>
        <v>0</v>
      </c>
      <c r="L122" s="192">
        <f t="shared" si="30"/>
        <v>0</v>
      </c>
      <c r="M122" s="211">
        <v>97</v>
      </c>
      <c r="N122" s="211">
        <f>(29.53*1.02)*0.4712*1.0824</f>
        <v>15.362315641728001</v>
      </c>
      <c r="O122" s="211">
        <f>(42.96*1.02)*0.4712*1.0824</f>
        <v>22.348969860096002</v>
      </c>
      <c r="P122" s="211">
        <f>(16.43*1.02)*0.4712*1.0824</f>
        <v>8.547336471168002</v>
      </c>
      <c r="Q122" s="211">
        <f>(12.76*1.02)*0.4712*1.0824</f>
        <v>6.6381018485760004</v>
      </c>
      <c r="R122" s="211">
        <f>(1.27*1.02)*0.4712*1.0824</f>
        <v>0.66068882035200005</v>
      </c>
      <c r="S122" s="211">
        <f>(0.0584*1.02)*0.4712*1.0824</f>
        <v>3.038128118784E-2</v>
      </c>
      <c r="T122" s="1850">
        <f t="shared" si="31"/>
        <v>0</v>
      </c>
      <c r="U122" s="1850">
        <f t="shared" si="19"/>
        <v>0</v>
      </c>
      <c r="V122" s="1850">
        <f t="shared" si="19"/>
        <v>0</v>
      </c>
      <c r="W122" s="1850">
        <f t="shared" si="19"/>
        <v>0</v>
      </c>
      <c r="X122" s="1850">
        <f t="shared" si="19"/>
        <v>0</v>
      </c>
      <c r="Y122" s="1850">
        <f t="shared" si="19"/>
        <v>0</v>
      </c>
      <c r="Z122" s="1850">
        <f t="shared" si="20"/>
        <v>0</v>
      </c>
      <c r="AA122" s="2733"/>
    </row>
    <row r="123" spans="1:27" s="230" customFormat="1" ht="18.75" x14ac:dyDescent="0.25">
      <c r="A123" s="2456"/>
      <c r="B123" s="1849">
        <v>2058</v>
      </c>
      <c r="C123" s="218">
        <f t="shared" si="21"/>
        <v>0</v>
      </c>
      <c r="D123" s="218">
        <f t="shared" si="22"/>
        <v>0</v>
      </c>
      <c r="E123" s="221">
        <f t="shared" si="23"/>
        <v>0</v>
      </c>
      <c r="F123" s="218">
        <f t="shared" si="24"/>
        <v>0</v>
      </c>
      <c r="G123" s="218">
        <f t="shared" si="25"/>
        <v>0</v>
      </c>
      <c r="H123" s="218">
        <f t="shared" si="26"/>
        <v>0</v>
      </c>
      <c r="I123" s="218">
        <f t="shared" si="27"/>
        <v>0</v>
      </c>
      <c r="J123" s="218">
        <f t="shared" si="28"/>
        <v>0</v>
      </c>
      <c r="K123" s="218">
        <f t="shared" si="29"/>
        <v>0</v>
      </c>
      <c r="L123" s="192">
        <f t="shared" si="30"/>
        <v>0</v>
      </c>
      <c r="M123" s="211">
        <v>97</v>
      </c>
      <c r="N123" s="211">
        <f>(29.53*1.02)*0.4619*1.0824</f>
        <v>15.059112043536</v>
      </c>
      <c r="O123" s="211">
        <f>(42.96*1.02)*0.4619*1.0824</f>
        <v>21.907871770752003</v>
      </c>
      <c r="P123" s="211">
        <f>(16.43*1.02)*0.4619*1.0824</f>
        <v>8.378639040816001</v>
      </c>
      <c r="Q123" s="211">
        <f>(12.76*1.02)*0.4619*1.0824</f>
        <v>6.5070866805119998</v>
      </c>
      <c r="R123" s="211">
        <f>(1.27*1.02)*0.4619*1.0824</f>
        <v>0.647648909424</v>
      </c>
      <c r="S123" s="211">
        <f>(0.0584*1.02)*0.4619*1.0824</f>
        <v>2.9781650638080002E-2</v>
      </c>
      <c r="T123" s="1850">
        <f t="shared" si="31"/>
        <v>0</v>
      </c>
      <c r="U123" s="1850">
        <f t="shared" si="19"/>
        <v>0</v>
      </c>
      <c r="V123" s="1850">
        <f t="shared" si="19"/>
        <v>0</v>
      </c>
      <c r="W123" s="1850">
        <f t="shared" si="19"/>
        <v>0</v>
      </c>
      <c r="X123" s="1850">
        <f t="shared" si="19"/>
        <v>0</v>
      </c>
      <c r="Y123" s="1850">
        <f t="shared" si="19"/>
        <v>0</v>
      </c>
      <c r="Z123" s="1850">
        <f t="shared" si="20"/>
        <v>0</v>
      </c>
      <c r="AA123" s="2733"/>
    </row>
    <row r="124" spans="1:27" s="230" customFormat="1" ht="18.75" x14ac:dyDescent="0.25">
      <c r="A124" s="2456"/>
      <c r="B124" s="1849">
        <v>2059</v>
      </c>
      <c r="C124" s="218">
        <f t="shared" si="21"/>
        <v>0</v>
      </c>
      <c r="D124" s="218">
        <f t="shared" si="22"/>
        <v>0</v>
      </c>
      <c r="E124" s="221">
        <f t="shared" si="23"/>
        <v>0</v>
      </c>
      <c r="F124" s="218">
        <f t="shared" si="24"/>
        <v>0</v>
      </c>
      <c r="G124" s="218">
        <f t="shared" si="25"/>
        <v>0</v>
      </c>
      <c r="H124" s="218">
        <f t="shared" si="26"/>
        <v>0</v>
      </c>
      <c r="I124" s="218">
        <f t="shared" si="27"/>
        <v>0</v>
      </c>
      <c r="J124" s="218">
        <f t="shared" si="28"/>
        <v>0</v>
      </c>
      <c r="K124" s="218">
        <f t="shared" si="29"/>
        <v>0</v>
      </c>
      <c r="L124" s="192">
        <f t="shared" si="30"/>
        <v>0</v>
      </c>
      <c r="M124" s="211">
        <v>97</v>
      </c>
      <c r="N124" s="211">
        <f>(29.53*1.02)*0.4529*1.0824</f>
        <v>14.765689206576004</v>
      </c>
      <c r="O124" s="211">
        <f>(42.96*1.02)*0.4529*1.0824</f>
        <v>21.481002652032004</v>
      </c>
      <c r="P124" s="211">
        <f>(16.43*1.02)*0.4529*1.0824</f>
        <v>8.2153834630560016</v>
      </c>
      <c r="Q124" s="211">
        <f>(12.76*1.02)*0.4529*1.0824</f>
        <v>6.380297808192001</v>
      </c>
      <c r="R124" s="211">
        <f>(1.27*1.02)*0.4529*1.0824</f>
        <v>0.63502964078400004</v>
      </c>
      <c r="S124" s="211">
        <f>(0.0584*1.02)*0.4529*1.0824</f>
        <v>2.9201363009280005E-2</v>
      </c>
      <c r="T124" s="1850">
        <f t="shared" si="31"/>
        <v>0</v>
      </c>
      <c r="U124" s="1850">
        <f t="shared" si="19"/>
        <v>0</v>
      </c>
      <c r="V124" s="1850">
        <f t="shared" si="19"/>
        <v>0</v>
      </c>
      <c r="W124" s="1850">
        <f t="shared" si="19"/>
        <v>0</v>
      </c>
      <c r="X124" s="1850">
        <f t="shared" si="19"/>
        <v>0</v>
      </c>
      <c r="Y124" s="1850">
        <f t="shared" si="19"/>
        <v>0</v>
      </c>
      <c r="Z124" s="1850">
        <f t="shared" si="20"/>
        <v>0</v>
      </c>
      <c r="AA124" s="2733"/>
    </row>
    <row r="125" spans="1:27" s="230" customFormat="1" ht="18.75" x14ac:dyDescent="0.25">
      <c r="A125" s="2456"/>
      <c r="B125" s="1849">
        <v>2060</v>
      </c>
      <c r="C125" s="218">
        <f t="shared" si="21"/>
        <v>0</v>
      </c>
      <c r="D125" s="218">
        <f t="shared" si="22"/>
        <v>0</v>
      </c>
      <c r="E125" s="221">
        <f t="shared" si="23"/>
        <v>0</v>
      </c>
      <c r="F125" s="218">
        <f t="shared" si="24"/>
        <v>0</v>
      </c>
      <c r="G125" s="218">
        <f t="shared" si="25"/>
        <v>0</v>
      </c>
      <c r="H125" s="218">
        <f t="shared" si="26"/>
        <v>0</v>
      </c>
      <c r="I125" s="218">
        <f t="shared" si="27"/>
        <v>0</v>
      </c>
      <c r="J125" s="218">
        <f t="shared" si="28"/>
        <v>0</v>
      </c>
      <c r="K125" s="218">
        <f t="shared" si="29"/>
        <v>0</v>
      </c>
      <c r="L125" s="192">
        <f t="shared" si="30"/>
        <v>0</v>
      </c>
      <c r="M125" s="211">
        <v>97</v>
      </c>
      <c r="N125" s="211">
        <f>(29.53*1.02)*0.444*1.0824</f>
        <v>14.475526623360002</v>
      </c>
      <c r="O125" s="211">
        <f>(42.96*1.02)*0.444*1.0824</f>
        <v>21.058876523520002</v>
      </c>
      <c r="P125" s="211">
        <f>(16.43*1.02)*0.444*1.0824</f>
        <v>8.0539418361599999</v>
      </c>
      <c r="Q125" s="211">
        <f>(12.76*1.02)*0.444*1.0824</f>
        <v>6.2549177011200001</v>
      </c>
      <c r="R125" s="211">
        <f>(1.27*1.02)*0.444*1.0824</f>
        <v>0.62255058624000004</v>
      </c>
      <c r="S125" s="211">
        <f>(0.0584*1.02)*0.444*1.0824</f>
        <v>2.8627523020800003E-2</v>
      </c>
      <c r="T125" s="1850">
        <f t="shared" si="31"/>
        <v>0</v>
      </c>
      <c r="U125" s="1850">
        <f t="shared" si="19"/>
        <v>0</v>
      </c>
      <c r="V125" s="1850">
        <f t="shared" si="19"/>
        <v>0</v>
      </c>
      <c r="W125" s="1850">
        <f t="shared" si="19"/>
        <v>0</v>
      </c>
      <c r="X125" s="1850">
        <f t="shared" si="19"/>
        <v>0</v>
      </c>
      <c r="Y125" s="1850">
        <f t="shared" si="19"/>
        <v>0</v>
      </c>
      <c r="Z125" s="1850">
        <f t="shared" si="20"/>
        <v>0</v>
      </c>
      <c r="AA125" s="2733"/>
    </row>
    <row r="126" spans="1:27" s="230" customFormat="1" ht="18.75" x14ac:dyDescent="0.25">
      <c r="A126" s="2456"/>
      <c r="B126" s="1849">
        <v>2061</v>
      </c>
      <c r="C126" s="218">
        <f t="shared" si="21"/>
        <v>0</v>
      </c>
      <c r="D126" s="218">
        <f t="shared" si="22"/>
        <v>0</v>
      </c>
      <c r="E126" s="221">
        <f t="shared" si="23"/>
        <v>0</v>
      </c>
      <c r="F126" s="218">
        <f t="shared" si="24"/>
        <v>0</v>
      </c>
      <c r="G126" s="218">
        <f t="shared" si="25"/>
        <v>0</v>
      </c>
      <c r="H126" s="218">
        <f t="shared" si="26"/>
        <v>0</v>
      </c>
      <c r="I126" s="218">
        <f t="shared" si="27"/>
        <v>0</v>
      </c>
      <c r="J126" s="218">
        <f t="shared" si="28"/>
        <v>0</v>
      </c>
      <c r="K126" s="218">
        <f t="shared" si="29"/>
        <v>0</v>
      </c>
      <c r="L126" s="192">
        <f t="shared" si="30"/>
        <v>0</v>
      </c>
      <c r="M126" s="211">
        <v>97</v>
      </c>
      <c r="N126" s="211">
        <f>(29.53*1.02)*0.4353*1.0824</f>
        <v>14.191884547632004</v>
      </c>
      <c r="O126" s="211">
        <f>(42.96*1.02)*0.4353*1.0824</f>
        <v>20.646236375424003</v>
      </c>
      <c r="P126" s="211">
        <f>(16.43*1.02)*0.4353*1.0824</f>
        <v>7.8961281109920014</v>
      </c>
      <c r="Q126" s="211">
        <f>(12.76*1.02)*0.4353*1.0824</f>
        <v>6.1323551245440004</v>
      </c>
      <c r="R126" s="211">
        <f>(1.27*1.02)*0.4353*1.0824</f>
        <v>0.61035195988800006</v>
      </c>
      <c r="S126" s="211">
        <f>(0.0584*1.02)*0.4353*1.0824</f>
        <v>2.8066578312960003E-2</v>
      </c>
      <c r="T126" s="1850">
        <f t="shared" si="31"/>
        <v>0</v>
      </c>
      <c r="U126" s="1850">
        <f t="shared" si="19"/>
        <v>0</v>
      </c>
      <c r="V126" s="1850">
        <f t="shared" si="19"/>
        <v>0</v>
      </c>
      <c r="W126" s="1850">
        <f t="shared" si="19"/>
        <v>0</v>
      </c>
      <c r="X126" s="1850">
        <f t="shared" si="19"/>
        <v>0</v>
      </c>
      <c r="Y126" s="1850">
        <f t="shared" si="19"/>
        <v>0</v>
      </c>
      <c r="Z126" s="1850">
        <f t="shared" si="20"/>
        <v>0</v>
      </c>
      <c r="AA126" s="2733"/>
    </row>
    <row r="127" spans="1:27" s="230" customFormat="1" ht="18.75" x14ac:dyDescent="0.25">
      <c r="A127" s="2456"/>
      <c r="B127" s="1849">
        <v>2062</v>
      </c>
      <c r="C127" s="218">
        <f t="shared" si="21"/>
        <v>0</v>
      </c>
      <c r="D127" s="218">
        <f t="shared" si="22"/>
        <v>0</v>
      </c>
      <c r="E127" s="221">
        <f t="shared" si="23"/>
        <v>0</v>
      </c>
      <c r="F127" s="218">
        <f t="shared" si="24"/>
        <v>0</v>
      </c>
      <c r="G127" s="218">
        <f t="shared" si="25"/>
        <v>0</v>
      </c>
      <c r="H127" s="218">
        <f t="shared" si="26"/>
        <v>0</v>
      </c>
      <c r="I127" s="218">
        <f t="shared" si="27"/>
        <v>0</v>
      </c>
      <c r="J127" s="218">
        <f t="shared" si="28"/>
        <v>0</v>
      </c>
      <c r="K127" s="218">
        <f t="shared" si="29"/>
        <v>0</v>
      </c>
      <c r="L127" s="192">
        <f t="shared" si="30"/>
        <v>0</v>
      </c>
      <c r="M127" s="211">
        <v>97</v>
      </c>
      <c r="N127" s="211">
        <f>(29.53*1.02)*0.4268*1.0824</f>
        <v>13.914762979392002</v>
      </c>
      <c r="O127" s="211">
        <f>(42.96*1.02)*0.4268*1.0824</f>
        <v>20.243082207744003</v>
      </c>
      <c r="P127" s="211">
        <f>(16.43*1.02)*0.4268*1.0824</f>
        <v>7.7419422875520008</v>
      </c>
      <c r="Q127" s="211">
        <f>(12.76*1.02)*0.4268*1.0824</f>
        <v>6.0126100784640002</v>
      </c>
      <c r="R127" s="211">
        <f>(1.27*1.02)*0.4268*1.0824</f>
        <v>0.59843376172800011</v>
      </c>
      <c r="S127" s="211">
        <f>(0.0584*1.02)*0.4268*1.0824</f>
        <v>2.7518528885760004E-2</v>
      </c>
      <c r="T127" s="1850">
        <f t="shared" si="31"/>
        <v>0</v>
      </c>
      <c r="U127" s="1850">
        <f t="shared" si="19"/>
        <v>0</v>
      </c>
      <c r="V127" s="1850">
        <f t="shared" si="19"/>
        <v>0</v>
      </c>
      <c r="W127" s="1850">
        <f t="shared" si="19"/>
        <v>0</v>
      </c>
      <c r="X127" s="1850">
        <f t="shared" si="19"/>
        <v>0</v>
      </c>
      <c r="Y127" s="1850">
        <f t="shared" si="19"/>
        <v>0</v>
      </c>
      <c r="Z127" s="1850">
        <f t="shared" si="20"/>
        <v>0</v>
      </c>
      <c r="AA127" s="2733"/>
    </row>
    <row r="128" spans="1:27" s="230" customFormat="1" ht="18.75" x14ac:dyDescent="0.25">
      <c r="A128" s="2456"/>
      <c r="B128" s="1849">
        <v>2063</v>
      </c>
      <c r="C128" s="218">
        <f t="shared" si="21"/>
        <v>0</v>
      </c>
      <c r="D128" s="218">
        <f t="shared" si="22"/>
        <v>0</v>
      </c>
      <c r="E128" s="221">
        <f t="shared" si="23"/>
        <v>0</v>
      </c>
      <c r="F128" s="218">
        <f t="shared" si="24"/>
        <v>0</v>
      </c>
      <c r="G128" s="218">
        <f t="shared" si="25"/>
        <v>0</v>
      </c>
      <c r="H128" s="218">
        <f t="shared" si="26"/>
        <v>0</v>
      </c>
      <c r="I128" s="218">
        <f t="shared" si="27"/>
        <v>0</v>
      </c>
      <c r="J128" s="218">
        <f t="shared" si="28"/>
        <v>0</v>
      </c>
      <c r="K128" s="218">
        <f t="shared" si="29"/>
        <v>0</v>
      </c>
      <c r="L128" s="192">
        <f t="shared" si="30"/>
        <v>0</v>
      </c>
      <c r="M128" s="211">
        <v>97</v>
      </c>
      <c r="N128" s="211">
        <f>(29.53*1.02)*0.4184*1.0824</f>
        <v>13.640901664896001</v>
      </c>
      <c r="O128" s="211">
        <f>(42.96*1.02)*0.4184*1.0824</f>
        <v>19.844671030272</v>
      </c>
      <c r="P128" s="211">
        <f>(16.43*1.02)*0.4184*1.0824</f>
        <v>7.5895704149760004</v>
      </c>
      <c r="Q128" s="211">
        <f>(12.76*1.02)*0.4184*1.0824</f>
        <v>5.8942737976319997</v>
      </c>
      <c r="R128" s="211">
        <f>(1.27*1.02)*0.4184*1.0824</f>
        <v>0.58665577766400001</v>
      </c>
      <c r="S128" s="211">
        <f>(0.0584*1.02)*0.4184*1.0824</f>
        <v>2.6976927098879999E-2</v>
      </c>
      <c r="T128" s="1850">
        <f t="shared" si="31"/>
        <v>0</v>
      </c>
      <c r="U128" s="1850">
        <f t="shared" si="19"/>
        <v>0</v>
      </c>
      <c r="V128" s="1850">
        <f t="shared" si="19"/>
        <v>0</v>
      </c>
      <c r="W128" s="1850">
        <f t="shared" si="19"/>
        <v>0</v>
      </c>
      <c r="X128" s="1850">
        <f t="shared" si="19"/>
        <v>0</v>
      </c>
      <c r="Y128" s="1850">
        <f t="shared" si="19"/>
        <v>0</v>
      </c>
      <c r="Z128" s="1850">
        <f t="shared" si="20"/>
        <v>0</v>
      </c>
      <c r="AA128" s="2733"/>
    </row>
    <row r="129" spans="1:27" s="230" customFormat="1" ht="18.75" x14ac:dyDescent="0.25">
      <c r="A129" s="2456"/>
      <c r="B129" s="1849">
        <v>2064</v>
      </c>
      <c r="C129" s="218">
        <f t="shared" si="21"/>
        <v>0</v>
      </c>
      <c r="D129" s="218">
        <f t="shared" si="22"/>
        <v>0</v>
      </c>
      <c r="E129" s="221">
        <f t="shared" si="23"/>
        <v>0</v>
      </c>
      <c r="F129" s="218">
        <f t="shared" si="24"/>
        <v>0</v>
      </c>
      <c r="G129" s="218">
        <f t="shared" si="25"/>
        <v>0</v>
      </c>
      <c r="H129" s="218">
        <f t="shared" si="26"/>
        <v>0</v>
      </c>
      <c r="I129" s="218">
        <f t="shared" si="27"/>
        <v>0</v>
      </c>
      <c r="J129" s="218">
        <f t="shared" si="28"/>
        <v>0</v>
      </c>
      <c r="K129" s="218">
        <f t="shared" si="29"/>
        <v>0</v>
      </c>
      <c r="L129" s="192">
        <f t="shared" si="30"/>
        <v>0</v>
      </c>
      <c r="M129" s="211">
        <v>97</v>
      </c>
      <c r="N129" s="211">
        <f>(29.53*1.02)*0.4102*1.0824</f>
        <v>13.373560857888002</v>
      </c>
      <c r="O129" s="211">
        <f>(42.96*1.02)*0.4102*1.0824</f>
        <v>19.455745833216003</v>
      </c>
      <c r="P129" s="211">
        <f>(16.43*1.02)*0.4102*1.0824</f>
        <v>7.4408264441280014</v>
      </c>
      <c r="Q129" s="211">
        <f>(12.76*1.02)*0.4102*1.0824</f>
        <v>5.7787550472960003</v>
      </c>
      <c r="R129" s="211">
        <f>(1.27*1.02)*0.4102*1.0824</f>
        <v>0.57515822179200005</v>
      </c>
      <c r="S129" s="211">
        <f>(0.0584*1.02)*0.4102*1.0824</f>
        <v>2.6448220592640001E-2</v>
      </c>
      <c r="T129" s="1850">
        <f t="shared" si="31"/>
        <v>0</v>
      </c>
      <c r="U129" s="1850">
        <f t="shared" si="19"/>
        <v>0</v>
      </c>
      <c r="V129" s="1850">
        <f t="shared" si="19"/>
        <v>0</v>
      </c>
      <c r="W129" s="1850">
        <f t="shared" si="19"/>
        <v>0</v>
      </c>
      <c r="X129" s="1850">
        <f t="shared" si="19"/>
        <v>0</v>
      </c>
      <c r="Y129" s="1850">
        <f t="shared" si="19"/>
        <v>0</v>
      </c>
      <c r="Z129" s="1850">
        <f t="shared" si="20"/>
        <v>0</v>
      </c>
      <c r="AA129" s="2733"/>
    </row>
    <row r="130" spans="1:27" s="230" customFormat="1" ht="18.75" x14ac:dyDescent="0.25">
      <c r="A130" s="2456"/>
      <c r="B130" s="1849">
        <v>2065</v>
      </c>
      <c r="C130" s="218">
        <f t="shared" si="21"/>
        <v>0</v>
      </c>
      <c r="D130" s="218">
        <f t="shared" si="22"/>
        <v>0</v>
      </c>
      <c r="E130" s="221">
        <f t="shared" si="23"/>
        <v>0</v>
      </c>
      <c r="F130" s="218">
        <f t="shared" si="24"/>
        <v>0</v>
      </c>
      <c r="G130" s="218">
        <f t="shared" si="25"/>
        <v>0</v>
      </c>
      <c r="H130" s="218">
        <f t="shared" si="26"/>
        <v>0</v>
      </c>
      <c r="I130" s="218">
        <f t="shared" si="27"/>
        <v>0</v>
      </c>
      <c r="J130" s="218">
        <f t="shared" si="28"/>
        <v>0</v>
      </c>
      <c r="K130" s="218">
        <f t="shared" si="29"/>
        <v>0</v>
      </c>
      <c r="L130" s="192">
        <f t="shared" si="30"/>
        <v>0</v>
      </c>
      <c r="M130" s="211">
        <v>97</v>
      </c>
      <c r="N130" s="211">
        <f>(29.53*1.02)*0.4022*1.0824</f>
        <v>13.112740558368001</v>
      </c>
      <c r="O130" s="211">
        <f>(42.96*1.02)*0.4022*1.0824</f>
        <v>19.076306616576002</v>
      </c>
      <c r="P130" s="211">
        <f>(16.43*1.02)*0.4022*1.0824</f>
        <v>7.2957103750080003</v>
      </c>
      <c r="Q130" s="211">
        <f>(12.76*1.02)*0.4022*1.0824</f>
        <v>5.6660538274560004</v>
      </c>
      <c r="R130" s="211">
        <f>(1.27*1.02)*0.4022*1.0824</f>
        <v>0.56394109411200011</v>
      </c>
      <c r="S130" s="211">
        <f>(0.0584*1.02)*0.4022*1.0824</f>
        <v>2.5932409367040003E-2</v>
      </c>
      <c r="T130" s="1850">
        <f t="shared" si="31"/>
        <v>0</v>
      </c>
      <c r="U130" s="1850">
        <f t="shared" si="19"/>
        <v>0</v>
      </c>
      <c r="V130" s="1850">
        <f t="shared" si="19"/>
        <v>0</v>
      </c>
      <c r="W130" s="1850">
        <f t="shared" si="19"/>
        <v>0</v>
      </c>
      <c r="X130" s="1850">
        <f t="shared" si="19"/>
        <v>0</v>
      </c>
      <c r="Y130" s="1850">
        <f t="shared" si="19"/>
        <v>0</v>
      </c>
      <c r="Z130" s="1850">
        <f t="shared" si="20"/>
        <v>0</v>
      </c>
      <c r="AA130" s="2733"/>
    </row>
    <row r="131" spans="1:27" s="230" customFormat="1" ht="18.75" x14ac:dyDescent="0.25">
      <c r="A131" s="2456"/>
      <c r="B131" s="1849">
        <v>2066</v>
      </c>
      <c r="C131" s="218">
        <f t="shared" si="21"/>
        <v>0</v>
      </c>
      <c r="D131" s="218">
        <f t="shared" si="22"/>
        <v>0</v>
      </c>
      <c r="E131" s="221">
        <f t="shared" si="23"/>
        <v>0</v>
      </c>
      <c r="F131" s="218">
        <f t="shared" si="24"/>
        <v>0</v>
      </c>
      <c r="G131" s="218">
        <f t="shared" si="25"/>
        <v>0</v>
      </c>
      <c r="H131" s="218">
        <f t="shared" si="26"/>
        <v>0</v>
      </c>
      <c r="I131" s="218">
        <f t="shared" si="27"/>
        <v>0</v>
      </c>
      <c r="J131" s="218">
        <f t="shared" si="28"/>
        <v>0</v>
      </c>
      <c r="K131" s="218">
        <f t="shared" si="29"/>
        <v>0</v>
      </c>
      <c r="L131" s="192">
        <f t="shared" si="30"/>
        <v>0</v>
      </c>
      <c r="M131" s="211">
        <v>97</v>
      </c>
      <c r="N131" s="211">
        <f>(29.53*1.02)*0.3943*1.0824</f>
        <v>12.855180512592</v>
      </c>
      <c r="O131" s="211">
        <f>(42.96*1.02)*0.3943*1.0824</f>
        <v>18.701610390143998</v>
      </c>
      <c r="P131" s="211">
        <f>(16.43*1.02)*0.3943*1.0824</f>
        <v>7.1524082567520004</v>
      </c>
      <c r="Q131" s="211">
        <f>(12.76*1.02)*0.3943*1.0824</f>
        <v>5.5547613728639993</v>
      </c>
      <c r="R131" s="211">
        <f>(1.27*1.02)*0.3943*1.0824</f>
        <v>0.55286418052800002</v>
      </c>
      <c r="S131" s="211">
        <f>(0.0584*1.02)*0.3943*1.0824</f>
        <v>2.5423045781760002E-2</v>
      </c>
      <c r="T131" s="1850">
        <f t="shared" si="31"/>
        <v>0</v>
      </c>
      <c r="U131" s="1850">
        <f t="shared" si="19"/>
        <v>0</v>
      </c>
      <c r="V131" s="1850">
        <f t="shared" si="19"/>
        <v>0</v>
      </c>
      <c r="W131" s="1850">
        <f t="shared" si="19"/>
        <v>0</v>
      </c>
      <c r="X131" s="1850">
        <f t="shared" si="19"/>
        <v>0</v>
      </c>
      <c r="Y131" s="1850">
        <f t="shared" si="19"/>
        <v>0</v>
      </c>
      <c r="Z131" s="1850">
        <f t="shared" si="20"/>
        <v>0</v>
      </c>
      <c r="AA131" s="2733"/>
    </row>
    <row r="132" spans="1:27" s="230" customFormat="1" ht="18.75" x14ac:dyDescent="0.25">
      <c r="A132" s="2456"/>
      <c r="B132" s="1849">
        <v>2067</v>
      </c>
      <c r="C132" s="218">
        <f t="shared" si="21"/>
        <v>0</v>
      </c>
      <c r="D132" s="218">
        <f t="shared" si="22"/>
        <v>0</v>
      </c>
      <c r="E132" s="221">
        <f t="shared" si="23"/>
        <v>0</v>
      </c>
      <c r="F132" s="218">
        <f t="shared" si="24"/>
        <v>0</v>
      </c>
      <c r="G132" s="218">
        <f t="shared" si="25"/>
        <v>0</v>
      </c>
      <c r="H132" s="218">
        <f t="shared" si="26"/>
        <v>0</v>
      </c>
      <c r="I132" s="218">
        <f t="shared" si="27"/>
        <v>0</v>
      </c>
      <c r="J132" s="218">
        <f t="shared" si="28"/>
        <v>0</v>
      </c>
      <c r="K132" s="218">
        <f t="shared" si="29"/>
        <v>0</v>
      </c>
      <c r="L132" s="192">
        <f t="shared" si="30"/>
        <v>0</v>
      </c>
      <c r="M132" s="211">
        <v>97</v>
      </c>
      <c r="N132" s="211">
        <f>(29.53*1.02)*0.3865*1.0824</f>
        <v>12.600880720560001</v>
      </c>
      <c r="O132" s="211">
        <f>(42.96*1.02)*0.3865*1.0824</f>
        <v>18.331657153920002</v>
      </c>
      <c r="P132" s="211">
        <f>(16.43*1.02)*0.3865*1.0824</f>
        <v>7.0109200893600008</v>
      </c>
      <c r="Q132" s="211">
        <f>(12.76*1.02)*0.3865*1.0824</f>
        <v>5.4448776835200006</v>
      </c>
      <c r="R132" s="211">
        <f>(1.27*1.02)*0.3865*1.0824</f>
        <v>0.5419274810400001</v>
      </c>
      <c r="S132" s="211">
        <f>(0.0584*1.02)*0.3865*1.0824</f>
        <v>2.4920129836800003E-2</v>
      </c>
      <c r="T132" s="1850">
        <f t="shared" si="31"/>
        <v>0</v>
      </c>
      <c r="U132" s="1850">
        <f t="shared" si="19"/>
        <v>0</v>
      </c>
      <c r="V132" s="1850">
        <f t="shared" si="19"/>
        <v>0</v>
      </c>
      <c r="W132" s="1850">
        <f t="shared" si="19"/>
        <v>0</v>
      </c>
      <c r="X132" s="1850">
        <f t="shared" si="19"/>
        <v>0</v>
      </c>
      <c r="Y132" s="1850">
        <f t="shared" si="19"/>
        <v>0</v>
      </c>
      <c r="Z132" s="1850">
        <f t="shared" si="20"/>
        <v>0</v>
      </c>
      <c r="AA132" s="2733"/>
    </row>
    <row r="133" spans="1:27" s="230" customFormat="1" ht="18.75" x14ac:dyDescent="0.25">
      <c r="A133" s="2456"/>
      <c r="B133" s="1849">
        <v>2068</v>
      </c>
      <c r="C133" s="218">
        <f t="shared" si="21"/>
        <v>0</v>
      </c>
      <c r="D133" s="218">
        <f t="shared" si="22"/>
        <v>0</v>
      </c>
      <c r="E133" s="221">
        <f t="shared" si="23"/>
        <v>0</v>
      </c>
      <c r="F133" s="218">
        <f t="shared" si="24"/>
        <v>0</v>
      </c>
      <c r="G133" s="218">
        <f t="shared" si="25"/>
        <v>0</v>
      </c>
      <c r="H133" s="218">
        <f t="shared" si="26"/>
        <v>0</v>
      </c>
      <c r="I133" s="218">
        <f t="shared" si="27"/>
        <v>0</v>
      </c>
      <c r="J133" s="218">
        <f t="shared" si="28"/>
        <v>0</v>
      </c>
      <c r="K133" s="218">
        <f t="shared" si="29"/>
        <v>0</v>
      </c>
      <c r="L133" s="192">
        <f t="shared" si="30"/>
        <v>0</v>
      </c>
      <c r="M133" s="211">
        <v>97</v>
      </c>
      <c r="N133" s="211">
        <f>(29.53*1.02)*0.379*1.0824</f>
        <v>12.356361689760002</v>
      </c>
      <c r="O133" s="211">
        <f>(42.96*1.02)*0.379*1.0824</f>
        <v>17.975932888320003</v>
      </c>
      <c r="P133" s="211">
        <f>(16.43*1.02)*0.379*1.0824</f>
        <v>6.8748737745600002</v>
      </c>
      <c r="Q133" s="211">
        <f>(12.76*1.02)*0.379*1.0824</f>
        <v>5.339220289920001</v>
      </c>
      <c r="R133" s="211">
        <f>(1.27*1.02)*0.379*1.0824</f>
        <v>0.53141142384000006</v>
      </c>
      <c r="S133" s="211">
        <f>(0.0584*1.02)*0.379*1.0824</f>
        <v>2.4436556812800003E-2</v>
      </c>
      <c r="T133" s="1850">
        <f t="shared" si="31"/>
        <v>0</v>
      </c>
      <c r="U133" s="1850">
        <f t="shared" si="19"/>
        <v>0</v>
      </c>
      <c r="V133" s="1850">
        <f t="shared" si="19"/>
        <v>0</v>
      </c>
      <c r="W133" s="1850">
        <f t="shared" si="19"/>
        <v>0</v>
      </c>
      <c r="X133" s="1850">
        <f t="shared" si="19"/>
        <v>0</v>
      </c>
      <c r="Y133" s="1850">
        <f t="shared" si="19"/>
        <v>0</v>
      </c>
      <c r="Z133" s="1850">
        <f t="shared" si="20"/>
        <v>0</v>
      </c>
      <c r="AA133" s="2733"/>
    </row>
    <row r="134" spans="1:27" s="230" customFormat="1" ht="19.5" thickBot="1" x14ac:dyDescent="0.3">
      <c r="A134" s="2457"/>
      <c r="B134" s="1851">
        <v>2069</v>
      </c>
      <c r="C134" s="222">
        <f t="shared" si="21"/>
        <v>0</v>
      </c>
      <c r="D134" s="222">
        <f t="shared" si="22"/>
        <v>0</v>
      </c>
      <c r="E134" s="221">
        <f t="shared" si="23"/>
        <v>0</v>
      </c>
      <c r="F134" s="222">
        <f t="shared" si="24"/>
        <v>0</v>
      </c>
      <c r="G134" s="222">
        <f t="shared" si="25"/>
        <v>0</v>
      </c>
      <c r="H134" s="222">
        <f t="shared" si="26"/>
        <v>0</v>
      </c>
      <c r="I134" s="222">
        <f t="shared" si="27"/>
        <v>0</v>
      </c>
      <c r="J134" s="222">
        <f t="shared" si="28"/>
        <v>0</v>
      </c>
      <c r="K134" s="222">
        <f t="shared" si="29"/>
        <v>0</v>
      </c>
      <c r="L134" s="220">
        <f t="shared" si="30"/>
        <v>0</v>
      </c>
      <c r="M134" s="416">
        <v>97</v>
      </c>
      <c r="N134" s="416">
        <f>(29.53*1.02)*0.3715*1.0824</f>
        <v>12.111842658960002</v>
      </c>
      <c r="O134" s="416">
        <f>(42.96*1.02)*0.3715*1.0824</f>
        <v>17.62020862272</v>
      </c>
      <c r="P134" s="416">
        <f>(16.43*1.02)*0.3715*1.0824</f>
        <v>6.7388274597600004</v>
      </c>
      <c r="Q134" s="416">
        <f>(12.76*1.02)*0.3715*1.0824</f>
        <v>5.2335628963200005</v>
      </c>
      <c r="R134" s="416">
        <f>(1.27*1.02)*0.3715*1.0824</f>
        <v>0.52089536664000002</v>
      </c>
      <c r="S134" s="416">
        <f>(0.0584*1.02)*0.3715*1.0824</f>
        <v>2.3952983788800002E-2</v>
      </c>
      <c r="T134" s="175">
        <f t="shared" si="31"/>
        <v>0</v>
      </c>
      <c r="U134" s="175">
        <f t="shared" si="19"/>
        <v>0</v>
      </c>
      <c r="V134" s="175">
        <f t="shared" si="19"/>
        <v>0</v>
      </c>
      <c r="W134" s="175">
        <f t="shared" si="19"/>
        <v>0</v>
      </c>
      <c r="X134" s="175">
        <f t="shared" si="19"/>
        <v>0</v>
      </c>
      <c r="Y134" s="175">
        <f t="shared" si="19"/>
        <v>0</v>
      </c>
      <c r="Z134" s="175">
        <f t="shared" si="20"/>
        <v>0</v>
      </c>
      <c r="AA134" s="2735"/>
    </row>
    <row r="135" spans="1:27" ht="18.75" x14ac:dyDescent="0.25">
      <c r="A135" s="2297" t="s">
        <v>285</v>
      </c>
      <c r="B135" s="725">
        <v>2019</v>
      </c>
      <c r="C135" s="221">
        <f>$S$7</f>
        <v>0</v>
      </c>
      <c r="D135" s="221">
        <f>$R$7*28</f>
        <v>0</v>
      </c>
      <c r="E135" s="221">
        <f>$T$7*298</f>
        <v>0</v>
      </c>
      <c r="F135" s="221">
        <f>$O$7</f>
        <v>0</v>
      </c>
      <c r="G135" s="221">
        <f>$P$7</f>
        <v>0</v>
      </c>
      <c r="H135" s="221">
        <f>$N$7</f>
        <v>0</v>
      </c>
      <c r="I135" s="221">
        <f>$Q$7</f>
        <v>0</v>
      </c>
      <c r="J135" s="221">
        <f>$L$7</f>
        <v>0</v>
      </c>
      <c r="K135" s="221">
        <f>$M$7</f>
        <v>0</v>
      </c>
      <c r="L135" s="354">
        <f>(C135/1000)+(D135/1000)+(E135/1000)</f>
        <v>0</v>
      </c>
      <c r="M135" s="726">
        <v>62</v>
      </c>
      <c r="N135" s="726">
        <f>29.53*1.02*1.0824</f>
        <v>32.602537440000006</v>
      </c>
      <c r="O135" s="726">
        <f>42.96*1.02*1.0824</f>
        <v>47.429902080000005</v>
      </c>
      <c r="P135" s="726">
        <f>16.43*1.02*1.0824</f>
        <v>18.139508640000003</v>
      </c>
      <c r="Q135" s="726">
        <f>12.76*1.02*1.0824</f>
        <v>14.087652480000001</v>
      </c>
      <c r="R135" s="726">
        <f>1.27*1.02*1.0824</f>
        <v>1.4021409600000001</v>
      </c>
      <c r="S135" s="726">
        <f>0.0584*1.02*1.0824</f>
        <v>6.4476403200000004E-2</v>
      </c>
      <c r="T135" s="727">
        <f>L135*M135</f>
        <v>0</v>
      </c>
      <c r="U135" s="727">
        <f t="shared" ref="U135:Y185" si="32">F135*N135</f>
        <v>0</v>
      </c>
      <c r="V135" s="727">
        <f t="shared" si="32"/>
        <v>0</v>
      </c>
      <c r="W135" s="727">
        <f t="shared" si="32"/>
        <v>0</v>
      </c>
      <c r="X135" s="727">
        <f t="shared" si="32"/>
        <v>0</v>
      </c>
      <c r="Y135" s="727">
        <f t="shared" si="32"/>
        <v>0</v>
      </c>
      <c r="Z135" s="727">
        <f t="shared" ref="Z135:Z185" si="33">S135*K135</f>
        <v>0</v>
      </c>
      <c r="AA135" s="2740">
        <f>(SUM(T135:T185)*1.2682)+(SUM(U135:U185))+(SUM(V135:V185))+(SUM(W135:W185))+(SUM(X135:X185))+(SUM(Y135:Y185))+(SUM(Z135:Z185))</f>
        <v>0</v>
      </c>
    </row>
    <row r="136" spans="1:27" ht="18.75" x14ac:dyDescent="0.25">
      <c r="A136" s="2297"/>
      <c r="B136" s="720">
        <v>2020</v>
      </c>
      <c r="C136" s="221">
        <f t="shared" ref="C136:C185" si="34">$S$7</f>
        <v>0</v>
      </c>
      <c r="D136" s="221">
        <f t="shared" ref="D136:D185" si="35">$R$7*28</f>
        <v>0</v>
      </c>
      <c r="E136" s="221">
        <f t="shared" ref="E136:E185" si="36">$T$7*298</f>
        <v>0</v>
      </c>
      <c r="F136" s="221">
        <f t="shared" ref="F136:F185" si="37">$O$7</f>
        <v>0</v>
      </c>
      <c r="G136" s="221">
        <f t="shared" ref="G136:G185" si="38">$P$7</f>
        <v>0</v>
      </c>
      <c r="H136" s="221">
        <f t="shared" ref="H136:H185" si="39">$N$7</f>
        <v>0</v>
      </c>
      <c r="I136" s="221">
        <f t="shared" ref="I136:I185" si="40">$Q$7</f>
        <v>0</v>
      </c>
      <c r="J136" s="221">
        <f t="shared" ref="J136:J185" si="41">$L$7</f>
        <v>0</v>
      </c>
      <c r="K136" s="221">
        <f t="shared" ref="K136:K185" si="42">$M$7</f>
        <v>0</v>
      </c>
      <c r="L136" s="192">
        <f t="shared" ref="L136:L185" si="43">(C136/1000)+(D136/1000)+(E136/1000)</f>
        <v>0</v>
      </c>
      <c r="M136" s="211">
        <v>64</v>
      </c>
      <c r="N136" s="211">
        <f>(29.53*1.02)*0.9804*1.0824</f>
        <v>31.963527706176006</v>
      </c>
      <c r="O136" s="211">
        <f>(42.96*1.02)*0.9804*1.0824</f>
        <v>46.500275999232002</v>
      </c>
      <c r="P136" s="211">
        <f>(16.43*1.02)*0.9804*1.0824</f>
        <v>17.783974270656003</v>
      </c>
      <c r="Q136" s="211">
        <f>(12.76*1.02)*0.9804*1.0824</f>
        <v>13.811534491392001</v>
      </c>
      <c r="R136" s="211">
        <f>(1.27*1.02)*0.9804*1.0824</f>
        <v>1.3746589971840002</v>
      </c>
      <c r="S136" s="211">
        <f>(0.0584*1.02)*0.9804*1.0824</f>
        <v>6.3212665697280013E-2</v>
      </c>
      <c r="T136" s="358">
        <f t="shared" ref="T136:T185" si="44">L136*M136</f>
        <v>0</v>
      </c>
      <c r="U136" s="358">
        <f t="shared" si="32"/>
        <v>0</v>
      </c>
      <c r="V136" s="358">
        <f t="shared" si="32"/>
        <v>0</v>
      </c>
      <c r="W136" s="358">
        <f t="shared" si="32"/>
        <v>0</v>
      </c>
      <c r="X136" s="358">
        <f t="shared" si="32"/>
        <v>0</v>
      </c>
      <c r="Y136" s="358">
        <f t="shared" si="32"/>
        <v>0</v>
      </c>
      <c r="Z136" s="358">
        <f t="shared" si="33"/>
        <v>0</v>
      </c>
      <c r="AA136" s="2733"/>
    </row>
    <row r="137" spans="1:27" ht="18.75" x14ac:dyDescent="0.25">
      <c r="A137" s="2297"/>
      <c r="B137" s="720">
        <v>2021</v>
      </c>
      <c r="C137" s="221">
        <f t="shared" si="34"/>
        <v>0</v>
      </c>
      <c r="D137" s="221">
        <f t="shared" si="35"/>
        <v>0</v>
      </c>
      <c r="E137" s="221">
        <f t="shared" si="36"/>
        <v>0</v>
      </c>
      <c r="F137" s="221">
        <f t="shared" si="37"/>
        <v>0</v>
      </c>
      <c r="G137" s="221">
        <f t="shared" si="38"/>
        <v>0</v>
      </c>
      <c r="H137" s="221">
        <f t="shared" si="39"/>
        <v>0</v>
      </c>
      <c r="I137" s="221">
        <f t="shared" si="40"/>
        <v>0</v>
      </c>
      <c r="J137" s="221">
        <f t="shared" si="41"/>
        <v>0</v>
      </c>
      <c r="K137" s="221">
        <f t="shared" si="42"/>
        <v>0</v>
      </c>
      <c r="L137" s="192">
        <f t="shared" si="43"/>
        <v>0</v>
      </c>
      <c r="M137" s="211">
        <v>65</v>
      </c>
      <c r="N137" s="211">
        <f>(29.53*1.02)*0.9612*1.0824</f>
        <v>31.337558987328006</v>
      </c>
      <c r="O137" s="211">
        <f>(42.96*1.02)*0.9612*1.0824</f>
        <v>45.589621879296011</v>
      </c>
      <c r="P137" s="211">
        <f>(16.43*1.02)*0.9612*1.0824</f>
        <v>17.435695704768001</v>
      </c>
      <c r="Q137" s="211">
        <f>(12.76*1.02)*0.9612*1.0824</f>
        <v>13.541051563776001</v>
      </c>
      <c r="R137" s="211">
        <f>(1.27*1.02)*0.9612*1.0824</f>
        <v>1.3477378907520003</v>
      </c>
      <c r="S137" s="211">
        <f>(0.0584*1.02)*0.9612*1.0824</f>
        <v>6.1974718755840007E-2</v>
      </c>
      <c r="T137" s="358">
        <f t="shared" si="44"/>
        <v>0</v>
      </c>
      <c r="U137" s="358">
        <f t="shared" si="32"/>
        <v>0</v>
      </c>
      <c r="V137" s="358">
        <f t="shared" si="32"/>
        <v>0</v>
      </c>
      <c r="W137" s="358">
        <f t="shared" si="32"/>
        <v>0</v>
      </c>
      <c r="X137" s="358">
        <f t="shared" si="32"/>
        <v>0</v>
      </c>
      <c r="Y137" s="358">
        <f t="shared" si="32"/>
        <v>0</v>
      </c>
      <c r="Z137" s="358">
        <f t="shared" si="33"/>
        <v>0</v>
      </c>
      <c r="AA137" s="2733"/>
    </row>
    <row r="138" spans="1:27" ht="18.75" x14ac:dyDescent="0.25">
      <c r="A138" s="2297"/>
      <c r="B138" s="720">
        <v>2022</v>
      </c>
      <c r="C138" s="221">
        <f t="shared" si="34"/>
        <v>0</v>
      </c>
      <c r="D138" s="221">
        <f t="shared" si="35"/>
        <v>0</v>
      </c>
      <c r="E138" s="221">
        <f t="shared" si="36"/>
        <v>0</v>
      </c>
      <c r="F138" s="221">
        <f t="shared" si="37"/>
        <v>0</v>
      </c>
      <c r="G138" s="221">
        <f t="shared" si="38"/>
        <v>0</v>
      </c>
      <c r="H138" s="221">
        <f t="shared" si="39"/>
        <v>0</v>
      </c>
      <c r="I138" s="221">
        <f t="shared" si="40"/>
        <v>0</v>
      </c>
      <c r="J138" s="221">
        <f t="shared" si="41"/>
        <v>0</v>
      </c>
      <c r="K138" s="221">
        <f t="shared" si="42"/>
        <v>0</v>
      </c>
      <c r="L138" s="192">
        <f t="shared" si="43"/>
        <v>0</v>
      </c>
      <c r="M138" s="211">
        <v>66</v>
      </c>
      <c r="N138" s="211">
        <f>(29.53*1.02)*0.9423*1.0824</f>
        <v>30.721371029712003</v>
      </c>
      <c r="O138" s="211">
        <f>(42.96*1.02)*0.9423*1.0824</f>
        <v>44.693196729984003</v>
      </c>
      <c r="P138" s="211">
        <f>(16.43*1.02)*0.9423*1.0824</f>
        <v>17.092858991472003</v>
      </c>
      <c r="Q138" s="211">
        <f>(12.76*1.02)*0.9423*1.0824</f>
        <v>13.274794931903999</v>
      </c>
      <c r="R138" s="211">
        <f>(1.27*1.02)*0.9423*1.0824</f>
        <v>1.3212374266080003</v>
      </c>
      <c r="S138" s="211">
        <f>(0.0584*1.02)*0.9423*1.0824</f>
        <v>6.0756114735360002E-2</v>
      </c>
      <c r="T138" s="358">
        <f t="shared" si="44"/>
        <v>0</v>
      </c>
      <c r="U138" s="358">
        <f t="shared" si="32"/>
        <v>0</v>
      </c>
      <c r="V138" s="358">
        <f t="shared" si="32"/>
        <v>0</v>
      </c>
      <c r="W138" s="358">
        <f t="shared" si="32"/>
        <v>0</v>
      </c>
      <c r="X138" s="358">
        <f t="shared" si="32"/>
        <v>0</v>
      </c>
      <c r="Y138" s="358">
        <f t="shared" si="32"/>
        <v>0</v>
      </c>
      <c r="Z138" s="358">
        <f t="shared" si="33"/>
        <v>0</v>
      </c>
      <c r="AA138" s="2733"/>
    </row>
    <row r="139" spans="1:27" ht="18.75" x14ac:dyDescent="0.25">
      <c r="A139" s="2297"/>
      <c r="B139" s="720">
        <v>2023</v>
      </c>
      <c r="C139" s="221">
        <f t="shared" si="34"/>
        <v>0</v>
      </c>
      <c r="D139" s="221">
        <f t="shared" si="35"/>
        <v>0</v>
      </c>
      <c r="E139" s="221">
        <f t="shared" si="36"/>
        <v>0</v>
      </c>
      <c r="F139" s="221">
        <f t="shared" si="37"/>
        <v>0</v>
      </c>
      <c r="G139" s="221">
        <f t="shared" si="38"/>
        <v>0</v>
      </c>
      <c r="H139" s="221">
        <f t="shared" si="39"/>
        <v>0</v>
      </c>
      <c r="I139" s="221">
        <f t="shared" si="40"/>
        <v>0</v>
      </c>
      <c r="J139" s="221">
        <f t="shared" si="41"/>
        <v>0</v>
      </c>
      <c r="K139" s="221">
        <f t="shared" si="42"/>
        <v>0</v>
      </c>
      <c r="L139" s="192">
        <f t="shared" si="43"/>
        <v>0</v>
      </c>
      <c r="M139" s="211">
        <v>67</v>
      </c>
      <c r="N139" s="211">
        <f>(29.53*1.02)*0.9238*1.0824</f>
        <v>30.118224087072001</v>
      </c>
      <c r="O139" s="211">
        <f>(42.96*1.02)*0.9238*1.0824</f>
        <v>43.815743541504006</v>
      </c>
      <c r="P139" s="211">
        <f>(16.43*1.02)*0.9238*1.0824</f>
        <v>16.757278081632002</v>
      </c>
      <c r="Q139" s="211">
        <f>(12.76*1.02)*0.9238*1.0824</f>
        <v>13.014173361024</v>
      </c>
      <c r="R139" s="211">
        <f>(1.27*1.02)*0.9238*1.0824</f>
        <v>1.295297818848</v>
      </c>
      <c r="S139" s="211">
        <f>(0.0584*1.02)*0.9238*1.0824</f>
        <v>5.9563301276160004E-2</v>
      </c>
      <c r="T139" s="358">
        <f t="shared" si="44"/>
        <v>0</v>
      </c>
      <c r="U139" s="358">
        <f t="shared" si="32"/>
        <v>0</v>
      </c>
      <c r="V139" s="358">
        <f t="shared" si="32"/>
        <v>0</v>
      </c>
      <c r="W139" s="358">
        <f t="shared" si="32"/>
        <v>0</v>
      </c>
      <c r="X139" s="358">
        <f t="shared" si="32"/>
        <v>0</v>
      </c>
      <c r="Y139" s="358">
        <f t="shared" si="32"/>
        <v>0</v>
      </c>
      <c r="Z139" s="358">
        <f t="shared" si="33"/>
        <v>0</v>
      </c>
      <c r="AA139" s="2733"/>
    </row>
    <row r="140" spans="1:27" ht="18.75" x14ac:dyDescent="0.25">
      <c r="A140" s="2297"/>
      <c r="B140" s="720">
        <v>2024</v>
      </c>
      <c r="C140" s="221">
        <f t="shared" si="34"/>
        <v>0</v>
      </c>
      <c r="D140" s="221">
        <f t="shared" si="35"/>
        <v>0</v>
      </c>
      <c r="E140" s="221">
        <f t="shared" si="36"/>
        <v>0</v>
      </c>
      <c r="F140" s="221">
        <f t="shared" si="37"/>
        <v>0</v>
      </c>
      <c r="G140" s="221">
        <f t="shared" si="38"/>
        <v>0</v>
      </c>
      <c r="H140" s="221">
        <f t="shared" si="39"/>
        <v>0</v>
      </c>
      <c r="I140" s="221">
        <f t="shared" si="40"/>
        <v>0</v>
      </c>
      <c r="J140" s="221">
        <f t="shared" si="41"/>
        <v>0</v>
      </c>
      <c r="K140" s="221">
        <f t="shared" si="42"/>
        <v>0</v>
      </c>
      <c r="L140" s="192">
        <f t="shared" si="43"/>
        <v>0</v>
      </c>
      <c r="M140" s="211">
        <v>68</v>
      </c>
      <c r="N140" s="211">
        <f>(29.53*1.02)*0.9057*1.0824</f>
        <v>29.528118159408002</v>
      </c>
      <c r="O140" s="211">
        <f>(42.96*1.02)*0.9057*1.0824</f>
        <v>42.957262313856006</v>
      </c>
      <c r="P140" s="211">
        <f>(16.43*1.02)*0.9057*1.0824</f>
        <v>16.428952975248002</v>
      </c>
      <c r="Q140" s="211">
        <f>(12.76*1.02)*0.9057*1.0824</f>
        <v>12.759186851135999</v>
      </c>
      <c r="R140" s="211">
        <f>(1.27*1.02)*0.9057*1.0824</f>
        <v>1.269919067472</v>
      </c>
      <c r="S140" s="211">
        <f>(0.0584*1.02)*0.9057*1.0824</f>
        <v>5.8396278378240005E-2</v>
      </c>
      <c r="T140" s="358">
        <f t="shared" si="44"/>
        <v>0</v>
      </c>
      <c r="U140" s="358">
        <f t="shared" si="32"/>
        <v>0</v>
      </c>
      <c r="V140" s="358">
        <f t="shared" si="32"/>
        <v>0</v>
      </c>
      <c r="W140" s="358">
        <f t="shared" si="32"/>
        <v>0</v>
      </c>
      <c r="X140" s="358">
        <f t="shared" si="32"/>
        <v>0</v>
      </c>
      <c r="Y140" s="358">
        <f t="shared" si="32"/>
        <v>0</v>
      </c>
      <c r="Z140" s="358">
        <f t="shared" si="33"/>
        <v>0</v>
      </c>
      <c r="AA140" s="2733"/>
    </row>
    <row r="141" spans="1:27" ht="18.75" x14ac:dyDescent="0.25">
      <c r="A141" s="2297"/>
      <c r="B141" s="720">
        <v>2025</v>
      </c>
      <c r="C141" s="221">
        <f t="shared" si="34"/>
        <v>0</v>
      </c>
      <c r="D141" s="221">
        <f t="shared" si="35"/>
        <v>0</v>
      </c>
      <c r="E141" s="221">
        <f t="shared" si="36"/>
        <v>0</v>
      </c>
      <c r="F141" s="221">
        <f t="shared" si="37"/>
        <v>0</v>
      </c>
      <c r="G141" s="221">
        <f t="shared" si="38"/>
        <v>0</v>
      </c>
      <c r="H141" s="221">
        <f t="shared" si="39"/>
        <v>0</v>
      </c>
      <c r="I141" s="221">
        <f t="shared" si="40"/>
        <v>0</v>
      </c>
      <c r="J141" s="221">
        <f t="shared" si="41"/>
        <v>0</v>
      </c>
      <c r="K141" s="221">
        <f t="shared" si="42"/>
        <v>0</v>
      </c>
      <c r="L141" s="192">
        <f t="shared" si="43"/>
        <v>0</v>
      </c>
      <c r="M141" s="211">
        <v>69</v>
      </c>
      <c r="N141" s="211">
        <f>(29.53*1.02)*0.888*1.0824</f>
        <v>28.951053246720004</v>
      </c>
      <c r="O141" s="211">
        <f>(42.96*1.02)*0.888*1.0824</f>
        <v>42.117753047040004</v>
      </c>
      <c r="P141" s="211">
        <f>(16.43*1.02)*0.888*1.0824</f>
        <v>16.10788367232</v>
      </c>
      <c r="Q141" s="211">
        <f>(12.76*1.02)*0.888*1.0824</f>
        <v>12.50983540224</v>
      </c>
      <c r="R141" s="211">
        <f>(1.27*1.02)*0.888*1.0824</f>
        <v>1.2451011724800001</v>
      </c>
      <c r="S141" s="211">
        <f>(0.0584*1.02)*0.888*1.0824</f>
        <v>5.7255046041600005E-2</v>
      </c>
      <c r="T141" s="358">
        <f t="shared" si="44"/>
        <v>0</v>
      </c>
      <c r="U141" s="358">
        <f t="shared" si="32"/>
        <v>0</v>
      </c>
      <c r="V141" s="358">
        <f t="shared" si="32"/>
        <v>0</v>
      </c>
      <c r="W141" s="358">
        <f t="shared" si="32"/>
        <v>0</v>
      </c>
      <c r="X141" s="358">
        <f t="shared" si="32"/>
        <v>0</v>
      </c>
      <c r="Y141" s="358">
        <f t="shared" si="32"/>
        <v>0</v>
      </c>
      <c r="Z141" s="358">
        <f t="shared" si="33"/>
        <v>0</v>
      </c>
      <c r="AA141" s="2733"/>
    </row>
    <row r="142" spans="1:27" ht="18.75" x14ac:dyDescent="0.25">
      <c r="A142" s="2297"/>
      <c r="B142" s="720">
        <v>2026</v>
      </c>
      <c r="C142" s="221">
        <f t="shared" si="34"/>
        <v>0</v>
      </c>
      <c r="D142" s="221">
        <f t="shared" si="35"/>
        <v>0</v>
      </c>
      <c r="E142" s="221">
        <f t="shared" si="36"/>
        <v>0</v>
      </c>
      <c r="F142" s="221">
        <f t="shared" si="37"/>
        <v>0</v>
      </c>
      <c r="G142" s="221">
        <f t="shared" si="38"/>
        <v>0</v>
      </c>
      <c r="H142" s="221">
        <f t="shared" si="39"/>
        <v>0</v>
      </c>
      <c r="I142" s="221">
        <f t="shared" si="40"/>
        <v>0</v>
      </c>
      <c r="J142" s="221">
        <f t="shared" si="41"/>
        <v>0</v>
      </c>
      <c r="K142" s="221">
        <f t="shared" si="42"/>
        <v>0</v>
      </c>
      <c r="L142" s="192">
        <f t="shared" si="43"/>
        <v>0</v>
      </c>
      <c r="M142" s="211">
        <v>70</v>
      </c>
      <c r="N142" s="211">
        <f>(29.53*1.02)*0.8706*1.0824</f>
        <v>28.383769095264007</v>
      </c>
      <c r="O142" s="211">
        <f>(42.96*1.02)*0.8706*1.0824</f>
        <v>41.292472750848006</v>
      </c>
      <c r="P142" s="211">
        <f>(16.43*1.02)*0.8706*1.0824</f>
        <v>15.792256221984003</v>
      </c>
      <c r="Q142" s="211">
        <f>(12.76*1.02)*0.8706*1.0824</f>
        <v>12.264710249088001</v>
      </c>
      <c r="R142" s="211">
        <f>(1.27*1.02)*0.8706*1.0824</f>
        <v>1.2207039197760001</v>
      </c>
      <c r="S142" s="211">
        <f>(0.0584*1.02)*0.8706*1.0824</f>
        <v>5.6133156625920007E-2</v>
      </c>
      <c r="T142" s="358">
        <f t="shared" si="44"/>
        <v>0</v>
      </c>
      <c r="U142" s="358">
        <f t="shared" si="32"/>
        <v>0</v>
      </c>
      <c r="V142" s="358">
        <f t="shared" si="32"/>
        <v>0</v>
      </c>
      <c r="W142" s="358">
        <f t="shared" si="32"/>
        <v>0</v>
      </c>
      <c r="X142" s="358">
        <f t="shared" si="32"/>
        <v>0</v>
      </c>
      <c r="Y142" s="358">
        <f t="shared" si="32"/>
        <v>0</v>
      </c>
      <c r="Z142" s="358">
        <f t="shared" si="33"/>
        <v>0</v>
      </c>
      <c r="AA142" s="2733"/>
    </row>
    <row r="143" spans="1:27" ht="18.75" x14ac:dyDescent="0.25">
      <c r="A143" s="2297"/>
      <c r="B143" s="720">
        <v>2027</v>
      </c>
      <c r="C143" s="221">
        <f t="shared" si="34"/>
        <v>0</v>
      </c>
      <c r="D143" s="221">
        <f t="shared" si="35"/>
        <v>0</v>
      </c>
      <c r="E143" s="221">
        <f t="shared" si="36"/>
        <v>0</v>
      </c>
      <c r="F143" s="221">
        <f t="shared" si="37"/>
        <v>0</v>
      </c>
      <c r="G143" s="221">
        <f t="shared" si="38"/>
        <v>0</v>
      </c>
      <c r="H143" s="221">
        <f t="shared" si="39"/>
        <v>0</v>
      </c>
      <c r="I143" s="221">
        <f t="shared" si="40"/>
        <v>0</v>
      </c>
      <c r="J143" s="221">
        <f t="shared" si="41"/>
        <v>0</v>
      </c>
      <c r="K143" s="221">
        <f t="shared" si="42"/>
        <v>0</v>
      </c>
      <c r="L143" s="192">
        <f t="shared" si="43"/>
        <v>0</v>
      </c>
      <c r="M143" s="211">
        <v>71</v>
      </c>
      <c r="N143" s="211">
        <f>(29.53*1.02)*0.8535*1.0824</f>
        <v>27.826265705040004</v>
      </c>
      <c r="O143" s="211">
        <f>(42.96*1.02)*0.8535*1.0824</f>
        <v>40.481421425280004</v>
      </c>
      <c r="P143" s="211">
        <f>(16.43*1.02)*0.8535*1.0824</f>
        <v>15.482070624240002</v>
      </c>
      <c r="Q143" s="211">
        <f>(12.76*1.02)*0.8535*1.0824</f>
        <v>12.023811391680001</v>
      </c>
      <c r="R143" s="211">
        <f>(1.27*1.02)*0.8535*1.0824</f>
        <v>1.1967273093600002</v>
      </c>
      <c r="S143" s="211">
        <f>(0.0584*1.02)*0.8535*1.0824</f>
        <v>5.503061013120001E-2</v>
      </c>
      <c r="T143" s="358">
        <f t="shared" si="44"/>
        <v>0</v>
      </c>
      <c r="U143" s="358">
        <f t="shared" si="32"/>
        <v>0</v>
      </c>
      <c r="V143" s="358">
        <f t="shared" si="32"/>
        <v>0</v>
      </c>
      <c r="W143" s="358">
        <f t="shared" si="32"/>
        <v>0</v>
      </c>
      <c r="X143" s="358">
        <f t="shared" si="32"/>
        <v>0</v>
      </c>
      <c r="Y143" s="358">
        <f t="shared" si="32"/>
        <v>0</v>
      </c>
      <c r="Z143" s="358">
        <f t="shared" si="33"/>
        <v>0</v>
      </c>
      <c r="AA143" s="2733"/>
    </row>
    <row r="144" spans="1:27" ht="18.75" x14ac:dyDescent="0.25">
      <c r="A144" s="2297"/>
      <c r="B144" s="720">
        <v>2028</v>
      </c>
      <c r="C144" s="221">
        <f t="shared" si="34"/>
        <v>0</v>
      </c>
      <c r="D144" s="221">
        <f t="shared" si="35"/>
        <v>0</v>
      </c>
      <c r="E144" s="221">
        <f t="shared" si="36"/>
        <v>0</v>
      </c>
      <c r="F144" s="221">
        <f t="shared" si="37"/>
        <v>0</v>
      </c>
      <c r="G144" s="221">
        <f t="shared" si="38"/>
        <v>0</v>
      </c>
      <c r="H144" s="221">
        <f t="shared" si="39"/>
        <v>0</v>
      </c>
      <c r="I144" s="221">
        <f t="shared" si="40"/>
        <v>0</v>
      </c>
      <c r="J144" s="221">
        <f t="shared" si="41"/>
        <v>0</v>
      </c>
      <c r="K144" s="221">
        <f t="shared" si="42"/>
        <v>0</v>
      </c>
      <c r="L144" s="192">
        <f t="shared" si="43"/>
        <v>0</v>
      </c>
      <c r="M144" s="211">
        <v>72</v>
      </c>
      <c r="N144" s="211">
        <f>(29.53*1.02)*0.8368*1.0824</f>
        <v>27.281803329792002</v>
      </c>
      <c r="O144" s="211">
        <f>(42.96*1.02)*0.8368*1.0824</f>
        <v>39.689342060544</v>
      </c>
      <c r="P144" s="211">
        <f>(16.43*1.02)*0.8368*1.0824</f>
        <v>15.179140829952001</v>
      </c>
      <c r="Q144" s="211">
        <f>(12.76*1.02)*0.8368*1.0824</f>
        <v>11.788547595263999</v>
      </c>
      <c r="R144" s="211">
        <f>(1.27*1.02)*0.8368*1.0824</f>
        <v>1.173311555328</v>
      </c>
      <c r="S144" s="211">
        <f>(0.0584*1.02)*0.8368*1.0824</f>
        <v>5.3953854197759998E-2</v>
      </c>
      <c r="T144" s="358">
        <f t="shared" si="44"/>
        <v>0</v>
      </c>
      <c r="U144" s="358">
        <f t="shared" si="32"/>
        <v>0</v>
      </c>
      <c r="V144" s="358">
        <f t="shared" si="32"/>
        <v>0</v>
      </c>
      <c r="W144" s="358">
        <f t="shared" si="32"/>
        <v>0</v>
      </c>
      <c r="X144" s="358">
        <f t="shared" si="32"/>
        <v>0</v>
      </c>
      <c r="Y144" s="358">
        <f t="shared" si="32"/>
        <v>0</v>
      </c>
      <c r="Z144" s="358">
        <f t="shared" si="33"/>
        <v>0</v>
      </c>
      <c r="AA144" s="2733"/>
    </row>
    <row r="145" spans="1:27" ht="18.75" x14ac:dyDescent="0.25">
      <c r="A145" s="2297"/>
      <c r="B145" s="720">
        <v>2029</v>
      </c>
      <c r="C145" s="221">
        <f t="shared" si="34"/>
        <v>0</v>
      </c>
      <c r="D145" s="221">
        <f t="shared" si="35"/>
        <v>0</v>
      </c>
      <c r="E145" s="221">
        <f t="shared" si="36"/>
        <v>0</v>
      </c>
      <c r="F145" s="221">
        <f t="shared" si="37"/>
        <v>0</v>
      </c>
      <c r="G145" s="221">
        <f t="shared" si="38"/>
        <v>0</v>
      </c>
      <c r="H145" s="221">
        <f t="shared" si="39"/>
        <v>0</v>
      </c>
      <c r="I145" s="221">
        <f t="shared" si="40"/>
        <v>0</v>
      </c>
      <c r="J145" s="221">
        <f t="shared" si="41"/>
        <v>0</v>
      </c>
      <c r="K145" s="221">
        <f t="shared" si="42"/>
        <v>0</v>
      </c>
      <c r="L145" s="192">
        <f t="shared" si="43"/>
        <v>0</v>
      </c>
      <c r="M145" s="211">
        <v>73</v>
      </c>
      <c r="N145" s="211">
        <f>(29.53*1.02)*0.8203*1.0824</f>
        <v>26.743861462032005</v>
      </c>
      <c r="O145" s="211">
        <f>(42.96*1.02)*0.8203*1.0824</f>
        <v>38.906748676224005</v>
      </c>
      <c r="P145" s="211">
        <f>(16.43*1.02)*0.8203*1.0824</f>
        <v>14.879838937392002</v>
      </c>
      <c r="Q145" s="211">
        <f>(12.76*1.02)*0.8203*1.0824</f>
        <v>11.556101329344001</v>
      </c>
      <c r="R145" s="211">
        <f>(1.27*1.02)*0.8203*1.0824</f>
        <v>1.1501762294880002</v>
      </c>
      <c r="S145" s="211">
        <f>(0.0584*1.02)*0.8203*1.0824</f>
        <v>5.2889993544960004E-2</v>
      </c>
      <c r="T145" s="358">
        <f t="shared" si="44"/>
        <v>0</v>
      </c>
      <c r="U145" s="358">
        <f t="shared" si="32"/>
        <v>0</v>
      </c>
      <c r="V145" s="358">
        <f t="shared" si="32"/>
        <v>0</v>
      </c>
      <c r="W145" s="358">
        <f t="shared" si="32"/>
        <v>0</v>
      </c>
      <c r="X145" s="358">
        <f t="shared" si="32"/>
        <v>0</v>
      </c>
      <c r="Y145" s="358">
        <f t="shared" si="32"/>
        <v>0</v>
      </c>
      <c r="Z145" s="358">
        <f t="shared" si="33"/>
        <v>0</v>
      </c>
      <c r="AA145" s="2733"/>
    </row>
    <row r="146" spans="1:27" ht="18.75" x14ac:dyDescent="0.25">
      <c r="A146" s="2297"/>
      <c r="B146" s="720">
        <v>2030</v>
      </c>
      <c r="C146" s="221">
        <f t="shared" si="34"/>
        <v>0</v>
      </c>
      <c r="D146" s="221">
        <f t="shared" si="35"/>
        <v>0</v>
      </c>
      <c r="E146" s="221">
        <f t="shared" si="36"/>
        <v>0</v>
      </c>
      <c r="F146" s="221">
        <f t="shared" si="37"/>
        <v>0</v>
      </c>
      <c r="G146" s="221">
        <f t="shared" si="38"/>
        <v>0</v>
      </c>
      <c r="H146" s="221">
        <f t="shared" si="39"/>
        <v>0</v>
      </c>
      <c r="I146" s="221">
        <f t="shared" si="40"/>
        <v>0</v>
      </c>
      <c r="J146" s="221">
        <f t="shared" si="41"/>
        <v>0</v>
      </c>
      <c r="K146" s="221">
        <f t="shared" si="42"/>
        <v>0</v>
      </c>
      <c r="L146" s="192">
        <f t="shared" si="43"/>
        <v>0</v>
      </c>
      <c r="M146" s="211">
        <v>75</v>
      </c>
      <c r="N146" s="211">
        <f>(29.53*1.02)*0.8043*1.0824</f>
        <v>26.222220862992003</v>
      </c>
      <c r="O146" s="211">
        <f>(42.96*1.02)*0.8043*1.0824</f>
        <v>38.147870242944002</v>
      </c>
      <c r="P146" s="211">
        <f>(16.43*1.02)*0.8043*1.0824</f>
        <v>14.589606799152003</v>
      </c>
      <c r="Q146" s="211">
        <f>(12.76*1.02)*0.8043*1.0824</f>
        <v>11.330698889664001</v>
      </c>
      <c r="R146" s="211">
        <f>(1.27*1.02)*0.8043*1.0824</f>
        <v>1.1277419741280001</v>
      </c>
      <c r="S146" s="211">
        <f>(0.0584*1.02)*0.8043*1.0824</f>
        <v>5.1858371093760007E-2</v>
      </c>
      <c r="T146" s="358">
        <f t="shared" si="44"/>
        <v>0</v>
      </c>
      <c r="U146" s="358">
        <f t="shared" si="32"/>
        <v>0</v>
      </c>
      <c r="V146" s="358">
        <f t="shared" si="32"/>
        <v>0</v>
      </c>
      <c r="W146" s="358">
        <f t="shared" si="32"/>
        <v>0</v>
      </c>
      <c r="X146" s="358">
        <f t="shared" si="32"/>
        <v>0</v>
      </c>
      <c r="Y146" s="358">
        <f t="shared" si="32"/>
        <v>0</v>
      </c>
      <c r="Z146" s="358">
        <f t="shared" si="33"/>
        <v>0</v>
      </c>
      <c r="AA146" s="2733"/>
    </row>
    <row r="147" spans="1:27" ht="18.75" x14ac:dyDescent="0.25">
      <c r="A147" s="2297"/>
      <c r="B147" s="720">
        <v>2031</v>
      </c>
      <c r="C147" s="221">
        <f t="shared" si="34"/>
        <v>0</v>
      </c>
      <c r="D147" s="221">
        <f t="shared" si="35"/>
        <v>0</v>
      </c>
      <c r="E147" s="221">
        <f t="shared" si="36"/>
        <v>0</v>
      </c>
      <c r="F147" s="221">
        <f t="shared" si="37"/>
        <v>0</v>
      </c>
      <c r="G147" s="221">
        <f t="shared" si="38"/>
        <v>0</v>
      </c>
      <c r="H147" s="221">
        <f t="shared" si="39"/>
        <v>0</v>
      </c>
      <c r="I147" s="221">
        <f t="shared" si="40"/>
        <v>0</v>
      </c>
      <c r="J147" s="221">
        <f t="shared" si="41"/>
        <v>0</v>
      </c>
      <c r="K147" s="221">
        <f t="shared" si="42"/>
        <v>0</v>
      </c>
      <c r="L147" s="192">
        <f t="shared" si="43"/>
        <v>0</v>
      </c>
      <c r="M147" s="211">
        <v>76</v>
      </c>
      <c r="N147" s="211">
        <f>(29.53*1.02)*0.7885*1.0824</f>
        <v>25.70710077144</v>
      </c>
      <c r="O147" s="211">
        <f>(42.96*1.02)*0.7885*1.0824</f>
        <v>37.398477790080001</v>
      </c>
      <c r="P147" s="211">
        <f>(16.43*1.02)*0.7885*1.0824</f>
        <v>14.303002562640001</v>
      </c>
      <c r="Q147" s="211">
        <f>(12.76*1.02)*0.7885*1.0824</f>
        <v>11.108113980480001</v>
      </c>
      <c r="R147" s="211">
        <f>(1.27*1.02)*0.7885*1.0824</f>
        <v>1.1055881469600002</v>
      </c>
      <c r="S147" s="211">
        <f>(0.0584*1.02)*0.7885*1.0824</f>
        <v>5.0839643923200006E-2</v>
      </c>
      <c r="T147" s="358">
        <f t="shared" si="44"/>
        <v>0</v>
      </c>
      <c r="U147" s="358">
        <f t="shared" si="32"/>
        <v>0</v>
      </c>
      <c r="V147" s="358">
        <f t="shared" si="32"/>
        <v>0</v>
      </c>
      <c r="W147" s="358">
        <f t="shared" si="32"/>
        <v>0</v>
      </c>
      <c r="X147" s="358">
        <f t="shared" si="32"/>
        <v>0</v>
      </c>
      <c r="Y147" s="358">
        <f t="shared" si="32"/>
        <v>0</v>
      </c>
      <c r="Z147" s="358">
        <f t="shared" si="33"/>
        <v>0</v>
      </c>
      <c r="AA147" s="2733"/>
    </row>
    <row r="148" spans="1:27" ht="18.75" x14ac:dyDescent="0.25">
      <c r="A148" s="2297"/>
      <c r="B148" s="720">
        <v>2032</v>
      </c>
      <c r="C148" s="221">
        <f t="shared" si="34"/>
        <v>0</v>
      </c>
      <c r="D148" s="221">
        <f t="shared" si="35"/>
        <v>0</v>
      </c>
      <c r="E148" s="221">
        <f t="shared" si="36"/>
        <v>0</v>
      </c>
      <c r="F148" s="221">
        <f t="shared" si="37"/>
        <v>0</v>
      </c>
      <c r="G148" s="221">
        <f t="shared" si="38"/>
        <v>0</v>
      </c>
      <c r="H148" s="221">
        <f t="shared" si="39"/>
        <v>0</v>
      </c>
      <c r="I148" s="221">
        <f t="shared" si="40"/>
        <v>0</v>
      </c>
      <c r="J148" s="221">
        <f t="shared" si="41"/>
        <v>0</v>
      </c>
      <c r="K148" s="221">
        <f t="shared" si="42"/>
        <v>0</v>
      </c>
      <c r="L148" s="192">
        <f t="shared" si="43"/>
        <v>0</v>
      </c>
      <c r="M148" s="211">
        <v>77</v>
      </c>
      <c r="N148" s="211">
        <f>(29.53*1.02)*0.773*1.0824</f>
        <v>25.201761441120002</v>
      </c>
      <c r="O148" s="211">
        <f>(42.96*1.02)*0.773*1.0824</f>
        <v>36.663314307840004</v>
      </c>
      <c r="P148" s="211">
        <f>(16.43*1.02)*0.773*1.0824</f>
        <v>14.021840178720002</v>
      </c>
      <c r="Q148" s="211">
        <f>(12.76*1.02)*0.773*1.0824</f>
        <v>10.889755367040001</v>
      </c>
      <c r="R148" s="211">
        <f>(1.27*1.02)*0.773*1.0824</f>
        <v>1.0838549620800002</v>
      </c>
      <c r="S148" s="211">
        <f>(0.0584*1.02)*0.773*1.0824</f>
        <v>4.9840259673600007E-2</v>
      </c>
      <c r="T148" s="358">
        <f t="shared" si="44"/>
        <v>0</v>
      </c>
      <c r="U148" s="358">
        <f t="shared" si="32"/>
        <v>0</v>
      </c>
      <c r="V148" s="358">
        <f t="shared" si="32"/>
        <v>0</v>
      </c>
      <c r="W148" s="358">
        <f t="shared" si="32"/>
        <v>0</v>
      </c>
      <c r="X148" s="358">
        <f t="shared" si="32"/>
        <v>0</v>
      </c>
      <c r="Y148" s="358">
        <f t="shared" si="32"/>
        <v>0</v>
      </c>
      <c r="Z148" s="358">
        <f t="shared" si="33"/>
        <v>0</v>
      </c>
      <c r="AA148" s="2733"/>
    </row>
    <row r="149" spans="1:27" ht="18.75" x14ac:dyDescent="0.25">
      <c r="A149" s="2297"/>
      <c r="B149" s="720">
        <v>2033</v>
      </c>
      <c r="C149" s="221">
        <f t="shared" si="34"/>
        <v>0</v>
      </c>
      <c r="D149" s="221">
        <f t="shared" si="35"/>
        <v>0</v>
      </c>
      <c r="E149" s="221">
        <f t="shared" si="36"/>
        <v>0</v>
      </c>
      <c r="F149" s="221">
        <f t="shared" si="37"/>
        <v>0</v>
      </c>
      <c r="G149" s="221">
        <f t="shared" si="38"/>
        <v>0</v>
      </c>
      <c r="H149" s="221">
        <f t="shared" si="39"/>
        <v>0</v>
      </c>
      <c r="I149" s="221">
        <f t="shared" si="40"/>
        <v>0</v>
      </c>
      <c r="J149" s="221">
        <f t="shared" si="41"/>
        <v>0</v>
      </c>
      <c r="K149" s="221">
        <f t="shared" si="42"/>
        <v>0</v>
      </c>
      <c r="L149" s="192">
        <f t="shared" si="43"/>
        <v>0</v>
      </c>
      <c r="M149" s="211">
        <v>78</v>
      </c>
      <c r="N149" s="211">
        <f>(29.53*1.02)*0.7579*1.0824</f>
        <v>24.709463125776001</v>
      </c>
      <c r="O149" s="211">
        <f>(42.96*1.02)*0.7579*1.0824</f>
        <v>35.947122786432004</v>
      </c>
      <c r="P149" s="211">
        <f>(16.43*1.02)*0.7579*1.0824</f>
        <v>13.747933598256003</v>
      </c>
      <c r="Q149" s="211">
        <f>(12.76*1.02)*0.7579*1.0824</f>
        <v>10.677031814592</v>
      </c>
      <c r="R149" s="211">
        <f>(1.27*1.02)*0.7579*1.0824</f>
        <v>1.0626826335840001</v>
      </c>
      <c r="S149" s="211">
        <f>(0.0584*1.02)*0.7579*1.0824</f>
        <v>4.8866665985280007E-2</v>
      </c>
      <c r="T149" s="358">
        <f t="shared" si="44"/>
        <v>0</v>
      </c>
      <c r="U149" s="358">
        <f t="shared" si="32"/>
        <v>0</v>
      </c>
      <c r="V149" s="358">
        <f t="shared" si="32"/>
        <v>0</v>
      </c>
      <c r="W149" s="358">
        <f t="shared" si="32"/>
        <v>0</v>
      </c>
      <c r="X149" s="358">
        <f t="shared" si="32"/>
        <v>0</v>
      </c>
      <c r="Y149" s="358">
        <f t="shared" si="32"/>
        <v>0</v>
      </c>
      <c r="Z149" s="358">
        <f t="shared" si="33"/>
        <v>0</v>
      </c>
      <c r="AA149" s="2733"/>
    </row>
    <row r="150" spans="1:27" ht="18.75" x14ac:dyDescent="0.25">
      <c r="A150" s="2297"/>
      <c r="B150" s="720">
        <v>2034</v>
      </c>
      <c r="C150" s="221">
        <f t="shared" si="34"/>
        <v>0</v>
      </c>
      <c r="D150" s="221">
        <f t="shared" si="35"/>
        <v>0</v>
      </c>
      <c r="E150" s="221">
        <f t="shared" si="36"/>
        <v>0</v>
      </c>
      <c r="F150" s="221">
        <f t="shared" si="37"/>
        <v>0</v>
      </c>
      <c r="G150" s="221">
        <f t="shared" si="38"/>
        <v>0</v>
      </c>
      <c r="H150" s="221">
        <f t="shared" si="39"/>
        <v>0</v>
      </c>
      <c r="I150" s="221">
        <f t="shared" si="40"/>
        <v>0</v>
      </c>
      <c r="J150" s="221">
        <f t="shared" si="41"/>
        <v>0</v>
      </c>
      <c r="K150" s="221">
        <f t="shared" si="42"/>
        <v>0</v>
      </c>
      <c r="L150" s="192">
        <f t="shared" si="43"/>
        <v>0</v>
      </c>
      <c r="M150" s="211">
        <v>79</v>
      </c>
      <c r="N150" s="211">
        <f>(29.53*1.02)*0.743*1.0824</f>
        <v>24.223685317920005</v>
      </c>
      <c r="O150" s="211">
        <f>(42.96*1.02)*0.743*1.0824</f>
        <v>35.24041724544</v>
      </c>
      <c r="P150" s="211">
        <f>(16.43*1.02)*0.743*1.0824</f>
        <v>13.477654919520001</v>
      </c>
      <c r="Q150" s="211">
        <f>(12.76*1.02)*0.743*1.0824</f>
        <v>10.467125792640001</v>
      </c>
      <c r="R150" s="211">
        <f>(1.27*1.02)*0.743*1.0824</f>
        <v>1.04179073328</v>
      </c>
      <c r="S150" s="211">
        <f>(0.0584*1.02)*0.743*1.0824</f>
        <v>4.7905967577600003E-2</v>
      </c>
      <c r="T150" s="358">
        <f t="shared" si="44"/>
        <v>0</v>
      </c>
      <c r="U150" s="358">
        <f t="shared" si="32"/>
        <v>0</v>
      </c>
      <c r="V150" s="358">
        <f t="shared" si="32"/>
        <v>0</v>
      </c>
      <c r="W150" s="358">
        <f t="shared" si="32"/>
        <v>0</v>
      </c>
      <c r="X150" s="358">
        <f t="shared" si="32"/>
        <v>0</v>
      </c>
      <c r="Y150" s="358">
        <f t="shared" si="32"/>
        <v>0</v>
      </c>
      <c r="Z150" s="358">
        <f t="shared" si="33"/>
        <v>0</v>
      </c>
      <c r="AA150" s="2733"/>
    </row>
    <row r="151" spans="1:27" ht="18.75" x14ac:dyDescent="0.25">
      <c r="A151" s="2297"/>
      <c r="B151" s="720">
        <v>2035</v>
      </c>
      <c r="C151" s="221">
        <f t="shared" si="34"/>
        <v>0</v>
      </c>
      <c r="D151" s="221">
        <f t="shared" si="35"/>
        <v>0</v>
      </c>
      <c r="E151" s="221">
        <f t="shared" si="36"/>
        <v>0</v>
      </c>
      <c r="F151" s="221">
        <f t="shared" si="37"/>
        <v>0</v>
      </c>
      <c r="G151" s="221">
        <f t="shared" si="38"/>
        <v>0</v>
      </c>
      <c r="H151" s="221">
        <f t="shared" si="39"/>
        <v>0</v>
      </c>
      <c r="I151" s="221">
        <f t="shared" si="40"/>
        <v>0</v>
      </c>
      <c r="J151" s="221">
        <f t="shared" si="41"/>
        <v>0</v>
      </c>
      <c r="K151" s="221">
        <f t="shared" si="42"/>
        <v>0</v>
      </c>
      <c r="L151" s="192">
        <f t="shared" si="43"/>
        <v>0</v>
      </c>
      <c r="M151" s="211">
        <v>80</v>
      </c>
      <c r="N151" s="211">
        <f>(29.53*1.02)*0.7284*1.0824</f>
        <v>23.747688271296006</v>
      </c>
      <c r="O151" s="211">
        <f>(42.96*1.02)*0.7284*1.0824</f>
        <v>34.547940675072006</v>
      </c>
      <c r="P151" s="211">
        <f>(16.43*1.02)*0.7284*1.0824</f>
        <v>13.212818093376002</v>
      </c>
      <c r="Q151" s="211">
        <f>(12.76*1.02)*0.7284*1.0824</f>
        <v>10.261446066432002</v>
      </c>
      <c r="R151" s="211">
        <f>(1.27*1.02)*0.7284*1.0824</f>
        <v>1.0213194752640002</v>
      </c>
      <c r="S151" s="211">
        <f>(0.0584*1.02)*0.7284*1.0824</f>
        <v>4.6964612090880008E-2</v>
      </c>
      <c r="T151" s="358">
        <f t="shared" si="44"/>
        <v>0</v>
      </c>
      <c r="U151" s="358">
        <f t="shared" si="32"/>
        <v>0</v>
      </c>
      <c r="V151" s="358">
        <f t="shared" si="32"/>
        <v>0</v>
      </c>
      <c r="W151" s="358">
        <f t="shared" si="32"/>
        <v>0</v>
      </c>
      <c r="X151" s="358">
        <f t="shared" si="32"/>
        <v>0</v>
      </c>
      <c r="Y151" s="358">
        <f t="shared" si="32"/>
        <v>0</v>
      </c>
      <c r="Z151" s="358">
        <f t="shared" si="33"/>
        <v>0</v>
      </c>
      <c r="AA151" s="2733"/>
    </row>
    <row r="152" spans="1:27" ht="18.75" x14ac:dyDescent="0.25">
      <c r="A152" s="2297"/>
      <c r="B152" s="720">
        <v>2036</v>
      </c>
      <c r="C152" s="221">
        <f t="shared" si="34"/>
        <v>0</v>
      </c>
      <c r="D152" s="221">
        <f t="shared" si="35"/>
        <v>0</v>
      </c>
      <c r="E152" s="221">
        <f t="shared" si="36"/>
        <v>0</v>
      </c>
      <c r="F152" s="221">
        <f t="shared" si="37"/>
        <v>0</v>
      </c>
      <c r="G152" s="221">
        <f t="shared" si="38"/>
        <v>0</v>
      </c>
      <c r="H152" s="221">
        <f t="shared" si="39"/>
        <v>0</v>
      </c>
      <c r="I152" s="221">
        <f t="shared" si="40"/>
        <v>0</v>
      </c>
      <c r="J152" s="221">
        <f t="shared" si="41"/>
        <v>0</v>
      </c>
      <c r="K152" s="221">
        <f t="shared" si="42"/>
        <v>0</v>
      </c>
      <c r="L152" s="192">
        <f t="shared" si="43"/>
        <v>0</v>
      </c>
      <c r="M152" s="211">
        <v>81</v>
      </c>
      <c r="N152" s="211">
        <f>(29.53*1.02)*0.7142*1.0824</f>
        <v>23.284732239648001</v>
      </c>
      <c r="O152" s="211">
        <f>(42.96*1.02)*0.7142*1.0824</f>
        <v>33.874436065536003</v>
      </c>
      <c r="P152" s="211">
        <f>(16.43*1.02)*0.7142*1.0824</f>
        <v>12.955237070688</v>
      </c>
      <c r="Q152" s="211">
        <f>(12.76*1.02)*0.7142*1.0824</f>
        <v>10.061401401215999</v>
      </c>
      <c r="R152" s="211">
        <f>(1.27*1.02)*0.7142*1.0824</f>
        <v>1.001409073632</v>
      </c>
      <c r="S152" s="211">
        <f>(0.0584*1.02)*0.7142*1.0824</f>
        <v>4.6049047165439998E-2</v>
      </c>
      <c r="T152" s="358">
        <f t="shared" si="44"/>
        <v>0</v>
      </c>
      <c r="U152" s="358">
        <f t="shared" si="32"/>
        <v>0</v>
      </c>
      <c r="V152" s="358">
        <f t="shared" si="32"/>
        <v>0</v>
      </c>
      <c r="W152" s="358">
        <f t="shared" si="32"/>
        <v>0</v>
      </c>
      <c r="X152" s="358">
        <f t="shared" si="32"/>
        <v>0</v>
      </c>
      <c r="Y152" s="358">
        <f t="shared" si="32"/>
        <v>0</v>
      </c>
      <c r="Z152" s="358">
        <f t="shared" si="33"/>
        <v>0</v>
      </c>
      <c r="AA152" s="2733"/>
    </row>
    <row r="153" spans="1:27" ht="18.75" x14ac:dyDescent="0.25">
      <c r="A153" s="2297"/>
      <c r="B153" s="720">
        <v>2037</v>
      </c>
      <c r="C153" s="221">
        <f t="shared" si="34"/>
        <v>0</v>
      </c>
      <c r="D153" s="221">
        <f t="shared" si="35"/>
        <v>0</v>
      </c>
      <c r="E153" s="221">
        <f t="shared" si="36"/>
        <v>0</v>
      </c>
      <c r="F153" s="221">
        <f t="shared" si="37"/>
        <v>0</v>
      </c>
      <c r="G153" s="221">
        <f t="shared" si="38"/>
        <v>0</v>
      </c>
      <c r="H153" s="221">
        <f t="shared" si="39"/>
        <v>0</v>
      </c>
      <c r="I153" s="221">
        <f t="shared" si="40"/>
        <v>0</v>
      </c>
      <c r="J153" s="221">
        <f t="shared" si="41"/>
        <v>0</v>
      </c>
      <c r="K153" s="221">
        <f t="shared" si="42"/>
        <v>0</v>
      </c>
      <c r="L153" s="192">
        <f t="shared" si="43"/>
        <v>0</v>
      </c>
      <c r="M153" s="211">
        <v>83</v>
      </c>
      <c r="N153" s="211">
        <f>(29.53*1.02)*0.7002*1.0824</f>
        <v>22.828296715488005</v>
      </c>
      <c r="O153" s="211">
        <f>(42.96*1.02)*0.7002*1.0824</f>
        <v>33.210417436416002</v>
      </c>
      <c r="P153" s="211">
        <f>(16.43*1.02)*0.7002*1.0824</f>
        <v>12.701283949728003</v>
      </c>
      <c r="Q153" s="211">
        <f>(12.76*1.02)*0.7002*1.0824</f>
        <v>9.8641742664960006</v>
      </c>
      <c r="R153" s="211">
        <f>(1.27*1.02)*0.7002*1.0824</f>
        <v>0.9817791001920001</v>
      </c>
      <c r="S153" s="211">
        <f>(0.0584*1.02)*0.7002*1.0824</f>
        <v>4.5146377520640005E-2</v>
      </c>
      <c r="T153" s="358">
        <f t="shared" si="44"/>
        <v>0</v>
      </c>
      <c r="U153" s="358">
        <f t="shared" si="32"/>
        <v>0</v>
      </c>
      <c r="V153" s="358">
        <f t="shared" si="32"/>
        <v>0</v>
      </c>
      <c r="W153" s="358">
        <f t="shared" si="32"/>
        <v>0</v>
      </c>
      <c r="X153" s="358">
        <f t="shared" si="32"/>
        <v>0</v>
      </c>
      <c r="Y153" s="358">
        <f t="shared" si="32"/>
        <v>0</v>
      </c>
      <c r="Z153" s="358">
        <f t="shared" si="33"/>
        <v>0</v>
      </c>
      <c r="AA153" s="2733"/>
    </row>
    <row r="154" spans="1:27" ht="18.75" x14ac:dyDescent="0.25">
      <c r="A154" s="2297"/>
      <c r="B154" s="720">
        <v>2038</v>
      </c>
      <c r="C154" s="221">
        <f t="shared" si="34"/>
        <v>0</v>
      </c>
      <c r="D154" s="221">
        <f t="shared" si="35"/>
        <v>0</v>
      </c>
      <c r="E154" s="221">
        <f t="shared" si="36"/>
        <v>0</v>
      </c>
      <c r="F154" s="221">
        <f t="shared" si="37"/>
        <v>0</v>
      </c>
      <c r="G154" s="221">
        <f t="shared" si="38"/>
        <v>0</v>
      </c>
      <c r="H154" s="221">
        <f t="shared" si="39"/>
        <v>0</v>
      </c>
      <c r="I154" s="221">
        <f t="shared" si="40"/>
        <v>0</v>
      </c>
      <c r="J154" s="221">
        <f t="shared" si="41"/>
        <v>0</v>
      </c>
      <c r="K154" s="221">
        <f t="shared" si="42"/>
        <v>0</v>
      </c>
      <c r="L154" s="192">
        <f t="shared" si="43"/>
        <v>0</v>
      </c>
      <c r="M154" s="211">
        <v>84</v>
      </c>
      <c r="N154" s="211">
        <f>(29.53*1.02)*0.6864*1.0824</f>
        <v>22.378381698816003</v>
      </c>
      <c r="O154" s="211">
        <f>(42.96*1.02)*0.6864*1.0824</f>
        <v>32.555884787712003</v>
      </c>
      <c r="P154" s="211">
        <f>(16.43*1.02)*0.6864*1.0824</f>
        <v>12.450958730496001</v>
      </c>
      <c r="Q154" s="211">
        <f>(12.76*1.02)*0.6864*1.0824</f>
        <v>9.6697646622720015</v>
      </c>
      <c r="R154" s="211">
        <f>(1.27*1.02)*0.6864*1.0824</f>
        <v>0.96242955494400007</v>
      </c>
      <c r="S154" s="211">
        <f>(0.0584*1.02)*0.6864*1.0824</f>
        <v>4.4256603156480001E-2</v>
      </c>
      <c r="T154" s="358">
        <f t="shared" si="44"/>
        <v>0</v>
      </c>
      <c r="U154" s="358">
        <f t="shared" si="32"/>
        <v>0</v>
      </c>
      <c r="V154" s="358">
        <f t="shared" si="32"/>
        <v>0</v>
      </c>
      <c r="W154" s="358">
        <f t="shared" si="32"/>
        <v>0</v>
      </c>
      <c r="X154" s="358">
        <f t="shared" si="32"/>
        <v>0</v>
      </c>
      <c r="Y154" s="358">
        <f t="shared" si="32"/>
        <v>0</v>
      </c>
      <c r="Z154" s="358">
        <f t="shared" si="33"/>
        <v>0</v>
      </c>
      <c r="AA154" s="2733"/>
    </row>
    <row r="155" spans="1:27" ht="18.75" x14ac:dyDescent="0.25">
      <c r="A155" s="2297"/>
      <c r="B155" s="720">
        <v>2039</v>
      </c>
      <c r="C155" s="221">
        <f t="shared" si="34"/>
        <v>0</v>
      </c>
      <c r="D155" s="221">
        <f t="shared" si="35"/>
        <v>0</v>
      </c>
      <c r="E155" s="221">
        <f t="shared" si="36"/>
        <v>0</v>
      </c>
      <c r="F155" s="221">
        <f t="shared" si="37"/>
        <v>0</v>
      </c>
      <c r="G155" s="221">
        <f t="shared" si="38"/>
        <v>0</v>
      </c>
      <c r="H155" s="221">
        <f t="shared" si="39"/>
        <v>0</v>
      </c>
      <c r="I155" s="221">
        <f t="shared" si="40"/>
        <v>0</v>
      </c>
      <c r="J155" s="221">
        <f t="shared" si="41"/>
        <v>0</v>
      </c>
      <c r="K155" s="221">
        <f t="shared" si="42"/>
        <v>0</v>
      </c>
      <c r="L155" s="192">
        <f t="shared" si="43"/>
        <v>0</v>
      </c>
      <c r="M155" s="211">
        <v>85</v>
      </c>
      <c r="N155" s="211">
        <f>(29.53*1.02)*0.673*1.0824</f>
        <v>21.941507697120006</v>
      </c>
      <c r="O155" s="211">
        <f>(42.96*1.02)*0.673*1.0824</f>
        <v>31.920324099840006</v>
      </c>
      <c r="P155" s="211">
        <f>(16.43*1.02)*0.673*1.0824</f>
        <v>12.207889314720003</v>
      </c>
      <c r="Q155" s="211">
        <f>(12.76*1.02)*0.673*1.0824</f>
        <v>9.4809901190400012</v>
      </c>
      <c r="R155" s="211">
        <f>(1.27*1.02)*0.673*1.0824</f>
        <v>0.9436408660800002</v>
      </c>
      <c r="S155" s="211">
        <f>(0.0584*1.02)*0.673*1.0824</f>
        <v>4.3392619353600011E-2</v>
      </c>
      <c r="T155" s="358">
        <f t="shared" si="44"/>
        <v>0</v>
      </c>
      <c r="U155" s="358">
        <f t="shared" si="32"/>
        <v>0</v>
      </c>
      <c r="V155" s="358">
        <f t="shared" si="32"/>
        <v>0</v>
      </c>
      <c r="W155" s="358">
        <f t="shared" si="32"/>
        <v>0</v>
      </c>
      <c r="X155" s="358">
        <f t="shared" si="32"/>
        <v>0</v>
      </c>
      <c r="Y155" s="358">
        <f t="shared" si="32"/>
        <v>0</v>
      </c>
      <c r="Z155" s="358">
        <f t="shared" si="33"/>
        <v>0</v>
      </c>
      <c r="AA155" s="2733"/>
    </row>
    <row r="156" spans="1:27" ht="18.75" x14ac:dyDescent="0.25">
      <c r="A156" s="2297"/>
      <c r="B156" s="720">
        <v>2040</v>
      </c>
      <c r="C156" s="221">
        <f t="shared" si="34"/>
        <v>0</v>
      </c>
      <c r="D156" s="221">
        <f t="shared" si="35"/>
        <v>0</v>
      </c>
      <c r="E156" s="221">
        <f t="shared" si="36"/>
        <v>0</v>
      </c>
      <c r="F156" s="221">
        <f t="shared" si="37"/>
        <v>0</v>
      </c>
      <c r="G156" s="221">
        <f t="shared" si="38"/>
        <v>0</v>
      </c>
      <c r="H156" s="221">
        <f t="shared" si="39"/>
        <v>0</v>
      </c>
      <c r="I156" s="221">
        <f t="shared" si="40"/>
        <v>0</v>
      </c>
      <c r="J156" s="221">
        <f t="shared" si="41"/>
        <v>0</v>
      </c>
      <c r="K156" s="221">
        <f t="shared" si="42"/>
        <v>0</v>
      </c>
      <c r="L156" s="192">
        <f t="shared" si="43"/>
        <v>0</v>
      </c>
      <c r="M156" s="211">
        <v>86</v>
      </c>
      <c r="N156" s="211">
        <f>(29.53*1.02)*0.6598*1.0824</f>
        <v>21.511154202912003</v>
      </c>
      <c r="O156" s="211">
        <f>(42.96*1.02)*0.6598*1.0824</f>
        <v>31.294249392384003</v>
      </c>
      <c r="P156" s="211">
        <f>(16.43*1.02)*0.6598*1.0824</f>
        <v>11.968447800672001</v>
      </c>
      <c r="Q156" s="211">
        <f>(12.76*1.02)*0.6598*1.0824</f>
        <v>9.2950331063040004</v>
      </c>
      <c r="R156" s="211">
        <f>(1.27*1.02)*0.6598*1.0824</f>
        <v>0.92513260540800013</v>
      </c>
      <c r="S156" s="211">
        <f>(0.0584*1.02)*0.6598*1.0824</f>
        <v>4.254153083136001E-2</v>
      </c>
      <c r="T156" s="358">
        <f t="shared" si="44"/>
        <v>0</v>
      </c>
      <c r="U156" s="358">
        <f t="shared" si="32"/>
        <v>0</v>
      </c>
      <c r="V156" s="358">
        <f t="shared" si="32"/>
        <v>0</v>
      </c>
      <c r="W156" s="358">
        <f t="shared" si="32"/>
        <v>0</v>
      </c>
      <c r="X156" s="358">
        <f t="shared" si="32"/>
        <v>0</v>
      </c>
      <c r="Y156" s="358">
        <f t="shared" si="32"/>
        <v>0</v>
      </c>
      <c r="Z156" s="358">
        <f t="shared" si="33"/>
        <v>0</v>
      </c>
      <c r="AA156" s="2733"/>
    </row>
    <row r="157" spans="1:27" ht="18.75" x14ac:dyDescent="0.25">
      <c r="A157" s="2297"/>
      <c r="B157" s="720">
        <v>2041</v>
      </c>
      <c r="C157" s="221">
        <f t="shared" si="34"/>
        <v>0</v>
      </c>
      <c r="D157" s="221">
        <f t="shared" si="35"/>
        <v>0</v>
      </c>
      <c r="E157" s="221">
        <f t="shared" si="36"/>
        <v>0</v>
      </c>
      <c r="F157" s="221">
        <f t="shared" si="37"/>
        <v>0</v>
      </c>
      <c r="G157" s="221">
        <f t="shared" si="38"/>
        <v>0</v>
      </c>
      <c r="H157" s="221">
        <f t="shared" si="39"/>
        <v>0</v>
      </c>
      <c r="I157" s="221">
        <f t="shared" si="40"/>
        <v>0</v>
      </c>
      <c r="J157" s="221">
        <f t="shared" si="41"/>
        <v>0</v>
      </c>
      <c r="K157" s="221">
        <f t="shared" si="42"/>
        <v>0</v>
      </c>
      <c r="L157" s="192">
        <f t="shared" si="43"/>
        <v>0</v>
      </c>
      <c r="M157" s="211">
        <v>87</v>
      </c>
      <c r="N157" s="211">
        <f>(29.53*1.02)*0.6468*1.0824</f>
        <v>21.087321216192002</v>
      </c>
      <c r="O157" s="211">
        <f>(42.96*1.02)*0.6468*1.0824</f>
        <v>30.677660665344007</v>
      </c>
      <c r="P157" s="211">
        <f>(16.43*1.02)*0.6468*1.0824</f>
        <v>11.732634188352002</v>
      </c>
      <c r="Q157" s="211">
        <f>(12.76*1.02)*0.6468*1.0824</f>
        <v>9.1118936240640007</v>
      </c>
      <c r="R157" s="211">
        <f>(1.27*1.02)*0.6468*1.0824</f>
        <v>0.9069047729280002</v>
      </c>
      <c r="S157" s="211">
        <f>(0.0584*1.02)*0.6468*1.0824</f>
        <v>4.1703337589760005E-2</v>
      </c>
      <c r="T157" s="358">
        <f t="shared" si="44"/>
        <v>0</v>
      </c>
      <c r="U157" s="358">
        <f t="shared" si="32"/>
        <v>0</v>
      </c>
      <c r="V157" s="358">
        <f t="shared" si="32"/>
        <v>0</v>
      </c>
      <c r="W157" s="358">
        <f t="shared" si="32"/>
        <v>0</v>
      </c>
      <c r="X157" s="358">
        <f t="shared" si="32"/>
        <v>0</v>
      </c>
      <c r="Y157" s="358">
        <f t="shared" si="32"/>
        <v>0</v>
      </c>
      <c r="Z157" s="358">
        <f t="shared" si="33"/>
        <v>0</v>
      </c>
      <c r="AA157" s="2733"/>
    </row>
    <row r="158" spans="1:27" ht="18.75" x14ac:dyDescent="0.25">
      <c r="A158" s="2297"/>
      <c r="B158" s="720">
        <v>2042</v>
      </c>
      <c r="C158" s="221">
        <f t="shared" si="34"/>
        <v>0</v>
      </c>
      <c r="D158" s="221">
        <f t="shared" si="35"/>
        <v>0</v>
      </c>
      <c r="E158" s="221">
        <f t="shared" si="36"/>
        <v>0</v>
      </c>
      <c r="F158" s="221">
        <f t="shared" si="37"/>
        <v>0</v>
      </c>
      <c r="G158" s="221">
        <f t="shared" si="38"/>
        <v>0</v>
      </c>
      <c r="H158" s="221">
        <f t="shared" si="39"/>
        <v>0</v>
      </c>
      <c r="I158" s="221">
        <f t="shared" si="40"/>
        <v>0</v>
      </c>
      <c r="J158" s="221">
        <f t="shared" si="41"/>
        <v>0</v>
      </c>
      <c r="K158" s="221">
        <f t="shared" si="42"/>
        <v>0</v>
      </c>
      <c r="L158" s="192">
        <f t="shared" si="43"/>
        <v>0</v>
      </c>
      <c r="M158" s="211">
        <v>88</v>
      </c>
      <c r="N158" s="211">
        <f>(29.53*1.02)*0.6342*1.0824</f>
        <v>20.676529244448002</v>
      </c>
      <c r="O158" s="211">
        <f>(42.96*1.02)*0.6342*1.0824</f>
        <v>30.080043899136001</v>
      </c>
      <c r="P158" s="211">
        <f>(16.43*1.02)*0.6342*1.0824</f>
        <v>11.504076379488001</v>
      </c>
      <c r="Q158" s="211">
        <f>(12.76*1.02)*0.6342*1.0824</f>
        <v>8.9343892028159999</v>
      </c>
      <c r="R158" s="211">
        <f>(1.27*1.02)*0.6342*1.0824</f>
        <v>0.8892377968320001</v>
      </c>
      <c r="S158" s="211">
        <f>(0.0584*1.02)*0.6342*1.0824</f>
        <v>4.0890934909439999E-2</v>
      </c>
      <c r="T158" s="358">
        <f t="shared" si="44"/>
        <v>0</v>
      </c>
      <c r="U158" s="358">
        <f t="shared" si="32"/>
        <v>0</v>
      </c>
      <c r="V158" s="358">
        <f t="shared" si="32"/>
        <v>0</v>
      </c>
      <c r="W158" s="358">
        <f t="shared" si="32"/>
        <v>0</v>
      </c>
      <c r="X158" s="358">
        <f t="shared" si="32"/>
        <v>0</v>
      </c>
      <c r="Y158" s="358">
        <f t="shared" si="32"/>
        <v>0</v>
      </c>
      <c r="Z158" s="358">
        <f t="shared" si="33"/>
        <v>0</v>
      </c>
      <c r="AA158" s="2733"/>
    </row>
    <row r="159" spans="1:27" ht="18.75" x14ac:dyDescent="0.25">
      <c r="A159" s="2297"/>
      <c r="B159" s="720">
        <v>2043</v>
      </c>
      <c r="C159" s="221">
        <f t="shared" si="34"/>
        <v>0</v>
      </c>
      <c r="D159" s="221">
        <f t="shared" si="35"/>
        <v>0</v>
      </c>
      <c r="E159" s="221">
        <f t="shared" si="36"/>
        <v>0</v>
      </c>
      <c r="F159" s="221">
        <f t="shared" si="37"/>
        <v>0</v>
      </c>
      <c r="G159" s="221">
        <f t="shared" si="38"/>
        <v>0</v>
      </c>
      <c r="H159" s="221">
        <f t="shared" si="39"/>
        <v>0</v>
      </c>
      <c r="I159" s="221">
        <f t="shared" si="40"/>
        <v>0</v>
      </c>
      <c r="J159" s="221">
        <f t="shared" si="41"/>
        <v>0</v>
      </c>
      <c r="K159" s="221">
        <f t="shared" si="42"/>
        <v>0</v>
      </c>
      <c r="L159" s="192">
        <f t="shared" si="43"/>
        <v>0</v>
      </c>
      <c r="M159" s="211">
        <v>89</v>
      </c>
      <c r="N159" s="211">
        <f>(29.53*1.02)*0.6217*1.0824</f>
        <v>20.268997526448004</v>
      </c>
      <c r="O159" s="211">
        <f>(42.96*1.02)*0.6217*1.0824</f>
        <v>29.487170123136003</v>
      </c>
      <c r="P159" s="211">
        <f>(16.43*1.02)*0.6217*1.0824</f>
        <v>11.277332521488001</v>
      </c>
      <c r="Q159" s="211">
        <f>(12.76*1.02)*0.6217*1.0824</f>
        <v>8.7582935468160006</v>
      </c>
      <c r="R159" s="211">
        <f>(1.27*1.02)*0.6217*1.0824</f>
        <v>0.87171103483200019</v>
      </c>
      <c r="S159" s="211">
        <f>(0.0584*1.02)*0.6217*1.0824</f>
        <v>4.0084979869440006E-2</v>
      </c>
      <c r="T159" s="358">
        <f t="shared" si="44"/>
        <v>0</v>
      </c>
      <c r="U159" s="358">
        <f t="shared" si="32"/>
        <v>0</v>
      </c>
      <c r="V159" s="358">
        <f t="shared" si="32"/>
        <v>0</v>
      </c>
      <c r="W159" s="358">
        <f t="shared" si="32"/>
        <v>0</v>
      </c>
      <c r="X159" s="358">
        <f t="shared" si="32"/>
        <v>0</v>
      </c>
      <c r="Y159" s="358">
        <f t="shared" si="32"/>
        <v>0</v>
      </c>
      <c r="Z159" s="358">
        <f t="shared" si="33"/>
        <v>0</v>
      </c>
      <c r="AA159" s="2733"/>
    </row>
    <row r="160" spans="1:27" ht="18.75" x14ac:dyDescent="0.25">
      <c r="A160" s="2297"/>
      <c r="B160" s="720">
        <v>2044</v>
      </c>
      <c r="C160" s="221">
        <f t="shared" si="34"/>
        <v>0</v>
      </c>
      <c r="D160" s="221">
        <f t="shared" si="35"/>
        <v>0</v>
      </c>
      <c r="E160" s="221">
        <f t="shared" si="36"/>
        <v>0</v>
      </c>
      <c r="F160" s="221">
        <f t="shared" si="37"/>
        <v>0</v>
      </c>
      <c r="G160" s="221">
        <f t="shared" si="38"/>
        <v>0</v>
      </c>
      <c r="H160" s="221">
        <f t="shared" si="39"/>
        <v>0</v>
      </c>
      <c r="I160" s="221">
        <f t="shared" si="40"/>
        <v>0</v>
      </c>
      <c r="J160" s="221">
        <f t="shared" si="41"/>
        <v>0</v>
      </c>
      <c r="K160" s="221">
        <f t="shared" si="42"/>
        <v>0</v>
      </c>
      <c r="L160" s="192">
        <f t="shared" si="43"/>
        <v>0</v>
      </c>
      <c r="M160" s="211">
        <v>90</v>
      </c>
      <c r="N160" s="211">
        <f>(29.53*1.02)*0.6095*1.0824</f>
        <v>19.871246569680004</v>
      </c>
      <c r="O160" s="211">
        <f>(42.96*1.02)*0.6095*1.0824</f>
        <v>28.908525317760002</v>
      </c>
      <c r="P160" s="211">
        <f>(16.43*1.02)*0.6095*1.0824</f>
        <v>11.056030516080002</v>
      </c>
      <c r="Q160" s="211">
        <f>(12.76*1.02)*0.6095*1.0824</f>
        <v>8.5864241865600004</v>
      </c>
      <c r="R160" s="211">
        <f>(1.27*1.02)*0.6095*1.0824</f>
        <v>0.85460491512000014</v>
      </c>
      <c r="S160" s="211">
        <f>(0.0584*1.02)*0.6095*1.0824</f>
        <v>3.9298367750400007E-2</v>
      </c>
      <c r="T160" s="358">
        <f t="shared" si="44"/>
        <v>0</v>
      </c>
      <c r="U160" s="358">
        <f t="shared" si="32"/>
        <v>0</v>
      </c>
      <c r="V160" s="358">
        <f t="shared" si="32"/>
        <v>0</v>
      </c>
      <c r="W160" s="358">
        <f t="shared" si="32"/>
        <v>0</v>
      </c>
      <c r="X160" s="358">
        <f t="shared" si="32"/>
        <v>0</v>
      </c>
      <c r="Y160" s="358">
        <f t="shared" si="32"/>
        <v>0</v>
      </c>
      <c r="Z160" s="358">
        <f t="shared" si="33"/>
        <v>0</v>
      </c>
      <c r="AA160" s="2733"/>
    </row>
    <row r="161" spans="1:27" ht="18.75" x14ac:dyDescent="0.25">
      <c r="A161" s="2297"/>
      <c r="B161" s="720">
        <v>2045</v>
      </c>
      <c r="C161" s="221">
        <f t="shared" si="34"/>
        <v>0</v>
      </c>
      <c r="D161" s="221">
        <f t="shared" si="35"/>
        <v>0</v>
      </c>
      <c r="E161" s="221">
        <f t="shared" si="36"/>
        <v>0</v>
      </c>
      <c r="F161" s="221">
        <f t="shared" si="37"/>
        <v>0</v>
      </c>
      <c r="G161" s="221">
        <f t="shared" si="38"/>
        <v>0</v>
      </c>
      <c r="H161" s="221">
        <f t="shared" si="39"/>
        <v>0</v>
      </c>
      <c r="I161" s="221">
        <f t="shared" si="40"/>
        <v>0</v>
      </c>
      <c r="J161" s="221">
        <f t="shared" si="41"/>
        <v>0</v>
      </c>
      <c r="K161" s="221">
        <f t="shared" si="42"/>
        <v>0</v>
      </c>
      <c r="L161" s="192">
        <f t="shared" si="43"/>
        <v>0</v>
      </c>
      <c r="M161" s="211">
        <v>92</v>
      </c>
      <c r="N161" s="211">
        <f>(29.53*1.02)*0.5976*1.0824</f>
        <v>19.483276374144001</v>
      </c>
      <c r="O161" s="211">
        <f>(42.96*1.02)*0.5976*1.0824</f>
        <v>28.344109483008001</v>
      </c>
      <c r="P161" s="211">
        <f>(16.43*1.02)*0.5976*1.0824</f>
        <v>10.840170363264003</v>
      </c>
      <c r="Q161" s="211">
        <f>(12.76*1.02)*0.5976*1.0824</f>
        <v>8.4187811220480011</v>
      </c>
      <c r="R161" s="211">
        <f>(1.27*1.02)*0.5976*1.0824</f>
        <v>0.83791943769600008</v>
      </c>
      <c r="S161" s="211">
        <f>(0.0584*1.02)*0.5976*1.0824</f>
        <v>3.8531098552320009E-2</v>
      </c>
      <c r="T161" s="358">
        <f t="shared" si="44"/>
        <v>0</v>
      </c>
      <c r="U161" s="358">
        <f t="shared" si="32"/>
        <v>0</v>
      </c>
      <c r="V161" s="358">
        <f t="shared" si="32"/>
        <v>0</v>
      </c>
      <c r="W161" s="358">
        <f t="shared" si="32"/>
        <v>0</v>
      </c>
      <c r="X161" s="358">
        <f t="shared" si="32"/>
        <v>0</v>
      </c>
      <c r="Y161" s="358">
        <f t="shared" si="32"/>
        <v>0</v>
      </c>
      <c r="Z161" s="358">
        <f t="shared" si="33"/>
        <v>0</v>
      </c>
      <c r="AA161" s="2733"/>
    </row>
    <row r="162" spans="1:27" ht="18.75" x14ac:dyDescent="0.25">
      <c r="A162" s="2297"/>
      <c r="B162" s="720">
        <v>2046</v>
      </c>
      <c r="C162" s="221">
        <f t="shared" si="34"/>
        <v>0</v>
      </c>
      <c r="D162" s="221">
        <f t="shared" si="35"/>
        <v>0</v>
      </c>
      <c r="E162" s="221">
        <f t="shared" si="36"/>
        <v>0</v>
      </c>
      <c r="F162" s="221">
        <f t="shared" si="37"/>
        <v>0</v>
      </c>
      <c r="G162" s="221">
        <f t="shared" si="38"/>
        <v>0</v>
      </c>
      <c r="H162" s="221">
        <f t="shared" si="39"/>
        <v>0</v>
      </c>
      <c r="I162" s="221">
        <f t="shared" si="40"/>
        <v>0</v>
      </c>
      <c r="J162" s="221">
        <f t="shared" si="41"/>
        <v>0</v>
      </c>
      <c r="K162" s="221">
        <f t="shared" si="42"/>
        <v>0</v>
      </c>
      <c r="L162" s="192">
        <f t="shared" si="43"/>
        <v>0</v>
      </c>
      <c r="M162" s="211">
        <v>93</v>
      </c>
      <c r="N162" s="211">
        <f>(29.53*1.02)*0.5859*1.0824</f>
        <v>19.101826686096</v>
      </c>
      <c r="O162" s="211">
        <f>(42.96*1.02)*0.5859*1.0824</f>
        <v>27.789179628671999</v>
      </c>
      <c r="P162" s="211">
        <f>(16.43*1.02)*0.5859*1.0824</f>
        <v>10.627938112176002</v>
      </c>
      <c r="Q162" s="211">
        <f>(12.76*1.02)*0.5859*1.0824</f>
        <v>8.2539555880319995</v>
      </c>
      <c r="R162" s="211">
        <f>(1.27*1.02)*0.5859*1.0824</f>
        <v>0.82151438846400004</v>
      </c>
      <c r="S162" s="211">
        <f>(0.0584*1.02)*0.5859*1.0824</f>
        <v>3.777672463488E-2</v>
      </c>
      <c r="T162" s="358">
        <f t="shared" si="44"/>
        <v>0</v>
      </c>
      <c r="U162" s="358">
        <f t="shared" si="32"/>
        <v>0</v>
      </c>
      <c r="V162" s="358">
        <f t="shared" si="32"/>
        <v>0</v>
      </c>
      <c r="W162" s="358">
        <f t="shared" si="32"/>
        <v>0</v>
      </c>
      <c r="X162" s="358">
        <f t="shared" si="32"/>
        <v>0</v>
      </c>
      <c r="Y162" s="358">
        <f t="shared" si="32"/>
        <v>0</v>
      </c>
      <c r="Z162" s="358">
        <f t="shared" si="33"/>
        <v>0</v>
      </c>
      <c r="AA162" s="2733"/>
    </row>
    <row r="163" spans="1:27" ht="18.75" x14ac:dyDescent="0.25">
      <c r="A163" s="2297"/>
      <c r="B163" s="720">
        <v>2047</v>
      </c>
      <c r="C163" s="221">
        <f t="shared" si="34"/>
        <v>0</v>
      </c>
      <c r="D163" s="221">
        <f t="shared" si="35"/>
        <v>0</v>
      </c>
      <c r="E163" s="221">
        <f t="shared" si="36"/>
        <v>0</v>
      </c>
      <c r="F163" s="221">
        <f t="shared" si="37"/>
        <v>0</v>
      </c>
      <c r="G163" s="221">
        <f t="shared" si="38"/>
        <v>0</v>
      </c>
      <c r="H163" s="221">
        <f t="shared" si="39"/>
        <v>0</v>
      </c>
      <c r="I163" s="221">
        <f t="shared" si="40"/>
        <v>0</v>
      </c>
      <c r="J163" s="221">
        <f t="shared" si="41"/>
        <v>0</v>
      </c>
      <c r="K163" s="221">
        <f t="shared" si="42"/>
        <v>0</v>
      </c>
      <c r="L163" s="192">
        <f t="shared" si="43"/>
        <v>0</v>
      </c>
      <c r="M163" s="211">
        <v>94</v>
      </c>
      <c r="N163" s="211">
        <f>(29.53*1.02)*0.5744*1.0824</f>
        <v>18.726897505536005</v>
      </c>
      <c r="O163" s="211">
        <f>(42.96*1.02)*0.5744*1.0824</f>
        <v>27.243735754752002</v>
      </c>
      <c r="P163" s="211">
        <f>(16.43*1.02)*0.5744*1.0824</f>
        <v>10.419333762816001</v>
      </c>
      <c r="Q163" s="211">
        <f>(12.76*1.02)*0.5744*1.0824</f>
        <v>8.0919475845120008</v>
      </c>
      <c r="R163" s="211">
        <f>(1.27*1.02)*0.5744*1.0824</f>
        <v>0.80538976742400015</v>
      </c>
      <c r="S163" s="211">
        <f>(0.0584*1.02)*0.5744*1.0824</f>
        <v>3.7035245998080002E-2</v>
      </c>
      <c r="T163" s="358">
        <f t="shared" si="44"/>
        <v>0</v>
      </c>
      <c r="U163" s="358">
        <f t="shared" si="32"/>
        <v>0</v>
      </c>
      <c r="V163" s="358">
        <f t="shared" si="32"/>
        <v>0</v>
      </c>
      <c r="W163" s="358">
        <f t="shared" si="32"/>
        <v>0</v>
      </c>
      <c r="X163" s="358">
        <f t="shared" si="32"/>
        <v>0</v>
      </c>
      <c r="Y163" s="358">
        <f t="shared" si="32"/>
        <v>0</v>
      </c>
      <c r="Z163" s="358">
        <f t="shared" si="33"/>
        <v>0</v>
      </c>
      <c r="AA163" s="2733"/>
    </row>
    <row r="164" spans="1:27" ht="18.75" x14ac:dyDescent="0.25">
      <c r="A164" s="2297"/>
      <c r="B164" s="720">
        <v>2048</v>
      </c>
      <c r="C164" s="221">
        <f t="shared" si="34"/>
        <v>0</v>
      </c>
      <c r="D164" s="221">
        <f t="shared" si="35"/>
        <v>0</v>
      </c>
      <c r="E164" s="221">
        <f t="shared" si="36"/>
        <v>0</v>
      </c>
      <c r="F164" s="221">
        <f t="shared" si="37"/>
        <v>0</v>
      </c>
      <c r="G164" s="221">
        <f t="shared" si="38"/>
        <v>0</v>
      </c>
      <c r="H164" s="221">
        <f t="shared" si="39"/>
        <v>0</v>
      </c>
      <c r="I164" s="221">
        <f t="shared" si="40"/>
        <v>0</v>
      </c>
      <c r="J164" s="221">
        <f t="shared" si="41"/>
        <v>0</v>
      </c>
      <c r="K164" s="221">
        <f t="shared" si="42"/>
        <v>0</v>
      </c>
      <c r="L164" s="192">
        <f t="shared" si="43"/>
        <v>0</v>
      </c>
      <c r="M164" s="211">
        <v>95</v>
      </c>
      <c r="N164" s="211">
        <f>(29.53*1.02)*0.5631*1.0824</f>
        <v>18.358488832464005</v>
      </c>
      <c r="O164" s="211">
        <f>(42.96*1.02)*0.5631*1.0824</f>
        <v>26.707777861248005</v>
      </c>
      <c r="P164" s="211">
        <f>(16.43*1.02)*0.5631*1.0824</f>
        <v>10.214357315184001</v>
      </c>
      <c r="Q164" s="211">
        <f>(12.76*1.02)*0.5631*1.0824</f>
        <v>7.9327571114880007</v>
      </c>
      <c r="R164" s="211">
        <f>(1.27*1.02)*0.5631*1.0824</f>
        <v>0.78954557457600016</v>
      </c>
      <c r="S164" s="211">
        <f>(0.0584*1.02)*0.5631*1.0824</f>
        <v>3.6306662641920007E-2</v>
      </c>
      <c r="T164" s="358">
        <f t="shared" si="44"/>
        <v>0</v>
      </c>
      <c r="U164" s="358">
        <f t="shared" si="32"/>
        <v>0</v>
      </c>
      <c r="V164" s="358">
        <f t="shared" si="32"/>
        <v>0</v>
      </c>
      <c r="W164" s="358">
        <f t="shared" si="32"/>
        <v>0</v>
      </c>
      <c r="X164" s="358">
        <f t="shared" si="32"/>
        <v>0</v>
      </c>
      <c r="Y164" s="358">
        <f t="shared" si="32"/>
        <v>0</v>
      </c>
      <c r="Z164" s="358">
        <f t="shared" si="33"/>
        <v>0</v>
      </c>
      <c r="AA164" s="2733"/>
    </row>
    <row r="165" spans="1:27" ht="18.75" x14ac:dyDescent="0.25">
      <c r="A165" s="2297"/>
      <c r="B165" s="720">
        <v>2049</v>
      </c>
      <c r="C165" s="221">
        <f t="shared" si="34"/>
        <v>0</v>
      </c>
      <c r="D165" s="221">
        <f t="shared" si="35"/>
        <v>0</v>
      </c>
      <c r="E165" s="221">
        <f t="shared" si="36"/>
        <v>0</v>
      </c>
      <c r="F165" s="221">
        <f t="shared" si="37"/>
        <v>0</v>
      </c>
      <c r="G165" s="221">
        <f t="shared" si="38"/>
        <v>0</v>
      </c>
      <c r="H165" s="221">
        <f t="shared" si="39"/>
        <v>0</v>
      </c>
      <c r="I165" s="221">
        <f t="shared" si="40"/>
        <v>0</v>
      </c>
      <c r="J165" s="221">
        <f t="shared" si="41"/>
        <v>0</v>
      </c>
      <c r="K165" s="221">
        <f t="shared" si="42"/>
        <v>0</v>
      </c>
      <c r="L165" s="192">
        <f t="shared" si="43"/>
        <v>0</v>
      </c>
      <c r="M165" s="211">
        <v>96</v>
      </c>
      <c r="N165" s="211">
        <f>(29.53*1.02)*0.5521*1.0824</f>
        <v>17.999860920624005</v>
      </c>
      <c r="O165" s="211">
        <f>(42.96*1.02)*0.5521*1.0824</f>
        <v>26.186048938368003</v>
      </c>
      <c r="P165" s="211">
        <f>(16.43*1.02)*0.5521*1.0824</f>
        <v>10.014822720144002</v>
      </c>
      <c r="Q165" s="211">
        <f>(12.76*1.02)*0.5521*1.0824</f>
        <v>7.7777929342080014</v>
      </c>
      <c r="R165" s="211">
        <f>(1.27*1.02)*0.5521*1.0824</f>
        <v>0.77412202401600017</v>
      </c>
      <c r="S165" s="211">
        <f>(0.0584*1.02)*0.5521*1.0824</f>
        <v>3.5597422206719999E-2</v>
      </c>
      <c r="T165" s="358">
        <f t="shared" si="44"/>
        <v>0</v>
      </c>
      <c r="U165" s="358">
        <f t="shared" si="32"/>
        <v>0</v>
      </c>
      <c r="V165" s="358">
        <f t="shared" si="32"/>
        <v>0</v>
      </c>
      <c r="W165" s="358">
        <f t="shared" si="32"/>
        <v>0</v>
      </c>
      <c r="X165" s="358">
        <f t="shared" si="32"/>
        <v>0</v>
      </c>
      <c r="Y165" s="358">
        <f t="shared" si="32"/>
        <v>0</v>
      </c>
      <c r="Z165" s="358">
        <f t="shared" si="33"/>
        <v>0</v>
      </c>
      <c r="AA165" s="2733"/>
    </row>
    <row r="166" spans="1:27" ht="18.75" x14ac:dyDescent="0.25">
      <c r="A166" s="2297"/>
      <c r="B166" s="720">
        <v>2050</v>
      </c>
      <c r="C166" s="221">
        <f t="shared" si="34"/>
        <v>0</v>
      </c>
      <c r="D166" s="221">
        <f t="shared" si="35"/>
        <v>0</v>
      </c>
      <c r="E166" s="221">
        <f t="shared" si="36"/>
        <v>0</v>
      </c>
      <c r="F166" s="221">
        <f t="shared" si="37"/>
        <v>0</v>
      </c>
      <c r="G166" s="221">
        <f t="shared" si="38"/>
        <v>0</v>
      </c>
      <c r="H166" s="221">
        <f t="shared" si="39"/>
        <v>0</v>
      </c>
      <c r="I166" s="221">
        <f t="shared" si="40"/>
        <v>0</v>
      </c>
      <c r="J166" s="221">
        <f t="shared" si="41"/>
        <v>0</v>
      </c>
      <c r="K166" s="221">
        <f t="shared" si="42"/>
        <v>0</v>
      </c>
      <c r="L166" s="192">
        <f t="shared" si="43"/>
        <v>0</v>
      </c>
      <c r="M166" s="211">
        <v>97</v>
      </c>
      <c r="N166" s="211">
        <f>(29.53*1.02)*0.5412*1.0824</f>
        <v>17.644493262528005</v>
      </c>
      <c r="O166" s="211">
        <f>(42.96*1.02)*0.5412*1.0824</f>
        <v>25.669063005696003</v>
      </c>
      <c r="P166" s="211">
        <f>(16.43*1.02)*0.5412*1.0824</f>
        <v>9.8171020759680019</v>
      </c>
      <c r="Q166" s="211">
        <f>(12.76*1.02)*0.5412*1.0824</f>
        <v>7.624237522176001</v>
      </c>
      <c r="R166" s="211">
        <f>(1.27*1.02)*0.5412*1.0824</f>
        <v>0.75883868755200012</v>
      </c>
      <c r="S166" s="211">
        <f>(0.0584*1.02)*0.5412*1.0824</f>
        <v>3.4894629411840003E-2</v>
      </c>
      <c r="T166" s="358">
        <f t="shared" si="44"/>
        <v>0</v>
      </c>
      <c r="U166" s="358">
        <f t="shared" si="32"/>
        <v>0</v>
      </c>
      <c r="V166" s="358">
        <f t="shared" si="32"/>
        <v>0</v>
      </c>
      <c r="W166" s="358">
        <f t="shared" si="32"/>
        <v>0</v>
      </c>
      <c r="X166" s="358">
        <f t="shared" si="32"/>
        <v>0</v>
      </c>
      <c r="Y166" s="358">
        <f t="shared" si="32"/>
        <v>0</v>
      </c>
      <c r="Z166" s="358">
        <f t="shared" si="33"/>
        <v>0</v>
      </c>
      <c r="AA166" s="2733"/>
    </row>
    <row r="167" spans="1:27" ht="18.75" x14ac:dyDescent="0.25">
      <c r="A167" s="2297"/>
      <c r="B167" s="720">
        <v>2051</v>
      </c>
      <c r="C167" s="221">
        <f t="shared" si="34"/>
        <v>0</v>
      </c>
      <c r="D167" s="221">
        <f t="shared" si="35"/>
        <v>0</v>
      </c>
      <c r="E167" s="221">
        <f t="shared" si="36"/>
        <v>0</v>
      </c>
      <c r="F167" s="221">
        <f t="shared" si="37"/>
        <v>0</v>
      </c>
      <c r="G167" s="221">
        <f t="shared" si="38"/>
        <v>0</v>
      </c>
      <c r="H167" s="221">
        <f t="shared" si="39"/>
        <v>0</v>
      </c>
      <c r="I167" s="221">
        <f t="shared" si="40"/>
        <v>0</v>
      </c>
      <c r="J167" s="221">
        <f t="shared" si="41"/>
        <v>0</v>
      </c>
      <c r="K167" s="221">
        <f t="shared" si="42"/>
        <v>0</v>
      </c>
      <c r="L167" s="192">
        <f t="shared" si="43"/>
        <v>0</v>
      </c>
      <c r="M167" s="211">
        <v>97</v>
      </c>
      <c r="N167" s="211">
        <f>(29.53*1.02)*0.5306*1.0824</f>
        <v>17.298906365664003</v>
      </c>
      <c r="O167" s="211">
        <f>(42.96*1.02)*0.5306*1.0824</f>
        <v>25.166306043648003</v>
      </c>
      <c r="P167" s="211">
        <f>(16.43*1.02)*0.5306*1.0824</f>
        <v>9.624823284384</v>
      </c>
      <c r="Q167" s="211">
        <f>(12.76*1.02)*0.5306*1.0824</f>
        <v>7.4749084058879998</v>
      </c>
      <c r="R167" s="211">
        <f>(1.27*1.02)*0.5306*1.0824</f>
        <v>0.74397599337600007</v>
      </c>
      <c r="S167" s="211">
        <f>(0.0584*1.02)*0.5306*1.0824</f>
        <v>3.4211179537920001E-2</v>
      </c>
      <c r="T167" s="358">
        <f t="shared" si="44"/>
        <v>0</v>
      </c>
      <c r="U167" s="358">
        <f t="shared" si="32"/>
        <v>0</v>
      </c>
      <c r="V167" s="358">
        <f t="shared" si="32"/>
        <v>0</v>
      </c>
      <c r="W167" s="358">
        <f t="shared" si="32"/>
        <v>0</v>
      </c>
      <c r="X167" s="358">
        <f t="shared" si="32"/>
        <v>0</v>
      </c>
      <c r="Y167" s="358">
        <f t="shared" si="32"/>
        <v>0</v>
      </c>
      <c r="Z167" s="358">
        <f t="shared" si="33"/>
        <v>0</v>
      </c>
      <c r="AA167" s="2733"/>
    </row>
    <row r="168" spans="1:27" ht="18.75" x14ac:dyDescent="0.25">
      <c r="A168" s="2297"/>
      <c r="B168" s="720">
        <v>2052</v>
      </c>
      <c r="C168" s="221">
        <f t="shared" si="34"/>
        <v>0</v>
      </c>
      <c r="D168" s="221">
        <f t="shared" si="35"/>
        <v>0</v>
      </c>
      <c r="E168" s="221">
        <f t="shared" si="36"/>
        <v>0</v>
      </c>
      <c r="F168" s="221">
        <f t="shared" si="37"/>
        <v>0</v>
      </c>
      <c r="G168" s="221">
        <f t="shared" si="38"/>
        <v>0</v>
      </c>
      <c r="H168" s="221">
        <f t="shared" si="39"/>
        <v>0</v>
      </c>
      <c r="I168" s="221">
        <f t="shared" si="40"/>
        <v>0</v>
      </c>
      <c r="J168" s="221">
        <f t="shared" si="41"/>
        <v>0</v>
      </c>
      <c r="K168" s="221">
        <f t="shared" si="42"/>
        <v>0</v>
      </c>
      <c r="L168" s="192">
        <f t="shared" si="43"/>
        <v>0</v>
      </c>
      <c r="M168" s="211">
        <v>97</v>
      </c>
      <c r="N168" s="211">
        <f>(29.53*1.02)*0.5202*1.0824</f>
        <v>16.959839976288002</v>
      </c>
      <c r="O168" s="211">
        <f>(42.96*1.02)*0.5202*1.0824</f>
        <v>24.673035062016002</v>
      </c>
      <c r="P168" s="211">
        <f>(16.43*1.02)*0.5202*1.0824</f>
        <v>9.4361723945280005</v>
      </c>
      <c r="Q168" s="211">
        <f>(12.76*1.02)*0.5202*1.0824</f>
        <v>7.3283968200960006</v>
      </c>
      <c r="R168" s="211">
        <f>(1.27*1.02)*0.5202*1.0824</f>
        <v>0.72939372739200004</v>
      </c>
      <c r="S168" s="211">
        <f>(0.0584*1.02)*0.5202*1.0824</f>
        <v>3.3540624944640003E-2</v>
      </c>
      <c r="T168" s="358">
        <f t="shared" si="44"/>
        <v>0</v>
      </c>
      <c r="U168" s="358">
        <f t="shared" si="32"/>
        <v>0</v>
      </c>
      <c r="V168" s="358">
        <f t="shared" si="32"/>
        <v>0</v>
      </c>
      <c r="W168" s="358">
        <f t="shared" si="32"/>
        <v>0</v>
      </c>
      <c r="X168" s="358">
        <f t="shared" si="32"/>
        <v>0</v>
      </c>
      <c r="Y168" s="358">
        <f t="shared" si="32"/>
        <v>0</v>
      </c>
      <c r="Z168" s="358">
        <f t="shared" si="33"/>
        <v>0</v>
      </c>
      <c r="AA168" s="2733"/>
    </row>
    <row r="169" spans="1:27" ht="18.75" x14ac:dyDescent="0.25">
      <c r="A169" s="2297"/>
      <c r="B169" s="720">
        <v>2053</v>
      </c>
      <c r="C169" s="221">
        <f t="shared" si="34"/>
        <v>0</v>
      </c>
      <c r="D169" s="221">
        <f t="shared" si="35"/>
        <v>0</v>
      </c>
      <c r="E169" s="221">
        <f t="shared" si="36"/>
        <v>0</v>
      </c>
      <c r="F169" s="221">
        <f t="shared" si="37"/>
        <v>0</v>
      </c>
      <c r="G169" s="221">
        <f t="shared" si="38"/>
        <v>0</v>
      </c>
      <c r="H169" s="221">
        <f t="shared" si="39"/>
        <v>0</v>
      </c>
      <c r="I169" s="221">
        <f t="shared" si="40"/>
        <v>0</v>
      </c>
      <c r="J169" s="221">
        <f t="shared" si="41"/>
        <v>0</v>
      </c>
      <c r="K169" s="221">
        <f t="shared" si="42"/>
        <v>0</v>
      </c>
      <c r="L169" s="192">
        <f t="shared" si="43"/>
        <v>0</v>
      </c>
      <c r="M169" s="211">
        <v>97</v>
      </c>
      <c r="N169" s="211">
        <f>(29.53*1.02)*0.51*1.0824</f>
        <v>16.627294094400003</v>
      </c>
      <c r="O169" s="211">
        <f>(42.96*1.02)*0.51*1.0824</f>
        <v>24.189250060800003</v>
      </c>
      <c r="P169" s="211">
        <f>(16.43*1.02)*0.51*1.0824</f>
        <v>9.2511494064000015</v>
      </c>
      <c r="Q169" s="211">
        <f>(12.76*1.02)*0.51*1.0824</f>
        <v>7.1847027647999999</v>
      </c>
      <c r="R169" s="211">
        <f>(1.27*1.02)*0.51*1.0824</f>
        <v>0.71509188960000014</v>
      </c>
      <c r="S169" s="211">
        <f>(0.0584*1.02)*0.51*1.0824</f>
        <v>3.2882965632000001E-2</v>
      </c>
      <c r="T169" s="358">
        <f t="shared" si="44"/>
        <v>0</v>
      </c>
      <c r="U169" s="358">
        <f t="shared" si="32"/>
        <v>0</v>
      </c>
      <c r="V169" s="358">
        <f t="shared" si="32"/>
        <v>0</v>
      </c>
      <c r="W169" s="358">
        <f t="shared" si="32"/>
        <v>0</v>
      </c>
      <c r="X169" s="358">
        <f t="shared" si="32"/>
        <v>0</v>
      </c>
      <c r="Y169" s="358">
        <f t="shared" si="32"/>
        <v>0</v>
      </c>
      <c r="Z169" s="358">
        <f t="shared" si="33"/>
        <v>0</v>
      </c>
      <c r="AA169" s="2733"/>
    </row>
    <row r="170" spans="1:27" ht="18.75" x14ac:dyDescent="0.25">
      <c r="A170" s="2297"/>
      <c r="B170" s="720">
        <v>2054</v>
      </c>
      <c r="C170" s="221">
        <f t="shared" si="34"/>
        <v>0</v>
      </c>
      <c r="D170" s="221">
        <f t="shared" si="35"/>
        <v>0</v>
      </c>
      <c r="E170" s="221">
        <f t="shared" si="36"/>
        <v>0</v>
      </c>
      <c r="F170" s="221">
        <f t="shared" si="37"/>
        <v>0</v>
      </c>
      <c r="G170" s="221">
        <f t="shared" si="38"/>
        <v>0</v>
      </c>
      <c r="H170" s="221">
        <f t="shared" si="39"/>
        <v>0</v>
      </c>
      <c r="I170" s="221">
        <f t="shared" si="40"/>
        <v>0</v>
      </c>
      <c r="J170" s="221">
        <f t="shared" si="41"/>
        <v>0</v>
      </c>
      <c r="K170" s="221">
        <f t="shared" si="42"/>
        <v>0</v>
      </c>
      <c r="L170" s="192">
        <f t="shared" si="43"/>
        <v>0</v>
      </c>
      <c r="M170" s="211">
        <v>97</v>
      </c>
      <c r="N170" s="211">
        <f>(29.53*1.02)*0.5*1.0824</f>
        <v>16.301268720000003</v>
      </c>
      <c r="O170" s="211">
        <f>(42.96*1.02)*0.5*1.0824</f>
        <v>23.714951040000003</v>
      </c>
      <c r="P170" s="211">
        <f>(16.43*1.02)*0.5*1.0824</f>
        <v>9.0697543200000013</v>
      </c>
      <c r="Q170" s="211">
        <f>(12.76*1.02)*0.5*1.0824</f>
        <v>7.0438262400000005</v>
      </c>
      <c r="R170" s="211">
        <f>(1.27*1.02)*0.5*1.0824</f>
        <v>0.70107048000000005</v>
      </c>
      <c r="S170" s="211">
        <f>(0.0584*1.02)*0.5*1.0824</f>
        <v>3.2238201600000002E-2</v>
      </c>
      <c r="T170" s="358">
        <f t="shared" si="44"/>
        <v>0</v>
      </c>
      <c r="U170" s="358">
        <f t="shared" si="32"/>
        <v>0</v>
      </c>
      <c r="V170" s="358">
        <f t="shared" si="32"/>
        <v>0</v>
      </c>
      <c r="W170" s="358">
        <f t="shared" si="32"/>
        <v>0</v>
      </c>
      <c r="X170" s="358">
        <f t="shared" si="32"/>
        <v>0</v>
      </c>
      <c r="Y170" s="358">
        <f t="shared" si="32"/>
        <v>0</v>
      </c>
      <c r="Z170" s="358">
        <f t="shared" si="33"/>
        <v>0</v>
      </c>
      <c r="AA170" s="2733"/>
    </row>
    <row r="171" spans="1:27" ht="18.75" x14ac:dyDescent="0.25">
      <c r="A171" s="2297"/>
      <c r="B171" s="720">
        <v>2055</v>
      </c>
      <c r="C171" s="221">
        <f t="shared" si="34"/>
        <v>0</v>
      </c>
      <c r="D171" s="221">
        <f t="shared" si="35"/>
        <v>0</v>
      </c>
      <c r="E171" s="221">
        <f t="shared" si="36"/>
        <v>0</v>
      </c>
      <c r="F171" s="221">
        <f t="shared" si="37"/>
        <v>0</v>
      </c>
      <c r="G171" s="221">
        <f t="shared" si="38"/>
        <v>0</v>
      </c>
      <c r="H171" s="221">
        <f t="shared" si="39"/>
        <v>0</v>
      </c>
      <c r="I171" s="221">
        <f t="shared" si="40"/>
        <v>0</v>
      </c>
      <c r="J171" s="221">
        <f t="shared" si="41"/>
        <v>0</v>
      </c>
      <c r="K171" s="221">
        <f t="shared" si="42"/>
        <v>0</v>
      </c>
      <c r="L171" s="192">
        <f t="shared" si="43"/>
        <v>0</v>
      </c>
      <c r="M171" s="211">
        <v>97</v>
      </c>
      <c r="N171" s="211">
        <f>(29.53*1.02)*0.4902*1.0824</f>
        <v>15.981763853088003</v>
      </c>
      <c r="O171" s="211">
        <f>(42.96*1.02)*0.4902*1.0824</f>
        <v>23.250137999616001</v>
      </c>
      <c r="P171" s="211">
        <f>(16.43*1.02)*0.4902*1.0824</f>
        <v>8.8919871353280016</v>
      </c>
      <c r="Q171" s="211">
        <f>(12.76*1.02)*0.4902*1.0824</f>
        <v>6.9057672456960004</v>
      </c>
      <c r="R171" s="211">
        <f>(1.27*1.02)*0.4902*1.0824</f>
        <v>0.6873294985920001</v>
      </c>
      <c r="S171" s="211">
        <f>(0.0584*1.02)*0.4902*1.0824</f>
        <v>3.1606332848640006E-2</v>
      </c>
      <c r="T171" s="358">
        <f t="shared" si="44"/>
        <v>0</v>
      </c>
      <c r="U171" s="358">
        <f t="shared" si="32"/>
        <v>0</v>
      </c>
      <c r="V171" s="358">
        <f t="shared" si="32"/>
        <v>0</v>
      </c>
      <c r="W171" s="358">
        <f t="shared" si="32"/>
        <v>0</v>
      </c>
      <c r="X171" s="358">
        <f t="shared" si="32"/>
        <v>0</v>
      </c>
      <c r="Y171" s="358">
        <f t="shared" si="32"/>
        <v>0</v>
      </c>
      <c r="Z171" s="358">
        <f t="shared" si="33"/>
        <v>0</v>
      </c>
      <c r="AA171" s="2733"/>
    </row>
    <row r="172" spans="1:27" ht="18.75" x14ac:dyDescent="0.25">
      <c r="A172" s="2297"/>
      <c r="B172" s="720">
        <v>2056</v>
      </c>
      <c r="C172" s="221">
        <f t="shared" si="34"/>
        <v>0</v>
      </c>
      <c r="D172" s="221">
        <f t="shared" si="35"/>
        <v>0</v>
      </c>
      <c r="E172" s="221">
        <f t="shared" si="36"/>
        <v>0</v>
      </c>
      <c r="F172" s="221">
        <f t="shared" si="37"/>
        <v>0</v>
      </c>
      <c r="G172" s="221">
        <f t="shared" si="38"/>
        <v>0</v>
      </c>
      <c r="H172" s="221">
        <f t="shared" si="39"/>
        <v>0</v>
      </c>
      <c r="I172" s="221">
        <f t="shared" si="40"/>
        <v>0</v>
      </c>
      <c r="J172" s="221">
        <f t="shared" si="41"/>
        <v>0</v>
      </c>
      <c r="K172" s="221">
        <f t="shared" si="42"/>
        <v>0</v>
      </c>
      <c r="L172" s="192">
        <f t="shared" si="43"/>
        <v>0</v>
      </c>
      <c r="M172" s="211">
        <v>97</v>
      </c>
      <c r="N172" s="211">
        <f>(29.53*1.02)*0.4806*1.0824</f>
        <v>15.668779493664003</v>
      </c>
      <c r="O172" s="211">
        <f>(42.96*1.02)*0.4806*1.0824</f>
        <v>22.794810939648006</v>
      </c>
      <c r="P172" s="211">
        <f>(16.43*1.02)*0.4806*1.0824</f>
        <v>8.7178478523840006</v>
      </c>
      <c r="Q172" s="211">
        <f>(12.76*1.02)*0.4806*1.0824</f>
        <v>6.7705257818880007</v>
      </c>
      <c r="R172" s="211">
        <f>(1.27*1.02)*0.4806*1.0824</f>
        <v>0.67386894537600017</v>
      </c>
      <c r="S172" s="211">
        <f>(0.0584*1.02)*0.4806*1.0824</f>
        <v>3.0987359377920003E-2</v>
      </c>
      <c r="T172" s="358">
        <f t="shared" si="44"/>
        <v>0</v>
      </c>
      <c r="U172" s="358">
        <f t="shared" si="32"/>
        <v>0</v>
      </c>
      <c r="V172" s="358">
        <f t="shared" si="32"/>
        <v>0</v>
      </c>
      <c r="W172" s="358">
        <f t="shared" si="32"/>
        <v>0</v>
      </c>
      <c r="X172" s="358">
        <f t="shared" si="32"/>
        <v>0</v>
      </c>
      <c r="Y172" s="358">
        <f t="shared" si="32"/>
        <v>0</v>
      </c>
      <c r="Z172" s="358">
        <f t="shared" si="33"/>
        <v>0</v>
      </c>
      <c r="AA172" s="2733"/>
    </row>
    <row r="173" spans="1:27" ht="18.75" x14ac:dyDescent="0.25">
      <c r="A173" s="2297"/>
      <c r="B173" s="720">
        <v>2057</v>
      </c>
      <c r="C173" s="221">
        <f t="shared" si="34"/>
        <v>0</v>
      </c>
      <c r="D173" s="221">
        <f t="shared" si="35"/>
        <v>0</v>
      </c>
      <c r="E173" s="221">
        <f t="shared" si="36"/>
        <v>0</v>
      </c>
      <c r="F173" s="221">
        <f t="shared" si="37"/>
        <v>0</v>
      </c>
      <c r="G173" s="221">
        <f t="shared" si="38"/>
        <v>0</v>
      </c>
      <c r="H173" s="221">
        <f t="shared" si="39"/>
        <v>0</v>
      </c>
      <c r="I173" s="221">
        <f t="shared" si="40"/>
        <v>0</v>
      </c>
      <c r="J173" s="221">
        <f t="shared" si="41"/>
        <v>0</v>
      </c>
      <c r="K173" s="221">
        <f t="shared" si="42"/>
        <v>0</v>
      </c>
      <c r="L173" s="192">
        <f t="shared" si="43"/>
        <v>0</v>
      </c>
      <c r="M173" s="211">
        <v>97</v>
      </c>
      <c r="N173" s="211">
        <f>(29.53*1.02)*0.4712*1.0824</f>
        <v>15.362315641728001</v>
      </c>
      <c r="O173" s="211">
        <f>(42.96*1.02)*0.4712*1.0824</f>
        <v>22.348969860096002</v>
      </c>
      <c r="P173" s="211">
        <f>(16.43*1.02)*0.4712*1.0824</f>
        <v>8.547336471168002</v>
      </c>
      <c r="Q173" s="211">
        <f>(12.76*1.02)*0.4712*1.0824</f>
        <v>6.6381018485760004</v>
      </c>
      <c r="R173" s="211">
        <f>(1.27*1.02)*0.4712*1.0824</f>
        <v>0.66068882035200005</v>
      </c>
      <c r="S173" s="211">
        <f>(0.0584*1.02)*0.4712*1.0824</f>
        <v>3.038128118784E-2</v>
      </c>
      <c r="T173" s="358">
        <f t="shared" si="44"/>
        <v>0</v>
      </c>
      <c r="U173" s="358">
        <f t="shared" si="32"/>
        <v>0</v>
      </c>
      <c r="V173" s="358">
        <f t="shared" si="32"/>
        <v>0</v>
      </c>
      <c r="W173" s="358">
        <f t="shared" si="32"/>
        <v>0</v>
      </c>
      <c r="X173" s="358">
        <f t="shared" si="32"/>
        <v>0</v>
      </c>
      <c r="Y173" s="358">
        <f t="shared" si="32"/>
        <v>0</v>
      </c>
      <c r="Z173" s="358">
        <f t="shared" si="33"/>
        <v>0</v>
      </c>
      <c r="AA173" s="2733"/>
    </row>
    <row r="174" spans="1:27" ht="18.75" x14ac:dyDescent="0.25">
      <c r="A174" s="2297"/>
      <c r="B174" s="720">
        <v>2058</v>
      </c>
      <c r="C174" s="221">
        <f t="shared" si="34"/>
        <v>0</v>
      </c>
      <c r="D174" s="221">
        <f t="shared" si="35"/>
        <v>0</v>
      </c>
      <c r="E174" s="221">
        <f t="shared" si="36"/>
        <v>0</v>
      </c>
      <c r="F174" s="221">
        <f t="shared" si="37"/>
        <v>0</v>
      </c>
      <c r="G174" s="221">
        <f t="shared" si="38"/>
        <v>0</v>
      </c>
      <c r="H174" s="221">
        <f t="shared" si="39"/>
        <v>0</v>
      </c>
      <c r="I174" s="221">
        <f t="shared" si="40"/>
        <v>0</v>
      </c>
      <c r="J174" s="221">
        <f t="shared" si="41"/>
        <v>0</v>
      </c>
      <c r="K174" s="221">
        <f t="shared" si="42"/>
        <v>0</v>
      </c>
      <c r="L174" s="192">
        <f t="shared" si="43"/>
        <v>0</v>
      </c>
      <c r="M174" s="211">
        <v>97</v>
      </c>
      <c r="N174" s="211">
        <f>(29.53*1.02)*0.4619*1.0824</f>
        <v>15.059112043536</v>
      </c>
      <c r="O174" s="211">
        <f>(42.96*1.02)*0.4619*1.0824</f>
        <v>21.907871770752003</v>
      </c>
      <c r="P174" s="211">
        <f>(16.43*1.02)*0.4619*1.0824</f>
        <v>8.378639040816001</v>
      </c>
      <c r="Q174" s="211">
        <f>(12.76*1.02)*0.4619*1.0824</f>
        <v>6.5070866805119998</v>
      </c>
      <c r="R174" s="211">
        <f>(1.27*1.02)*0.4619*1.0824</f>
        <v>0.647648909424</v>
      </c>
      <c r="S174" s="211">
        <f>(0.0584*1.02)*0.4619*1.0824</f>
        <v>2.9781650638080002E-2</v>
      </c>
      <c r="T174" s="358">
        <f t="shared" si="44"/>
        <v>0</v>
      </c>
      <c r="U174" s="358">
        <f t="shared" si="32"/>
        <v>0</v>
      </c>
      <c r="V174" s="358">
        <f t="shared" si="32"/>
        <v>0</v>
      </c>
      <c r="W174" s="358">
        <f t="shared" si="32"/>
        <v>0</v>
      </c>
      <c r="X174" s="358">
        <f t="shared" si="32"/>
        <v>0</v>
      </c>
      <c r="Y174" s="358">
        <f t="shared" si="32"/>
        <v>0</v>
      </c>
      <c r="Z174" s="358">
        <f t="shared" si="33"/>
        <v>0</v>
      </c>
      <c r="AA174" s="2733"/>
    </row>
    <row r="175" spans="1:27" ht="18.75" x14ac:dyDescent="0.25">
      <c r="A175" s="2297"/>
      <c r="B175" s="720">
        <v>2059</v>
      </c>
      <c r="C175" s="221">
        <f t="shared" si="34"/>
        <v>0</v>
      </c>
      <c r="D175" s="221">
        <f t="shared" si="35"/>
        <v>0</v>
      </c>
      <c r="E175" s="221">
        <f t="shared" si="36"/>
        <v>0</v>
      </c>
      <c r="F175" s="221">
        <f t="shared" si="37"/>
        <v>0</v>
      </c>
      <c r="G175" s="221">
        <f t="shared" si="38"/>
        <v>0</v>
      </c>
      <c r="H175" s="221">
        <f t="shared" si="39"/>
        <v>0</v>
      </c>
      <c r="I175" s="221">
        <f t="shared" si="40"/>
        <v>0</v>
      </c>
      <c r="J175" s="221">
        <f t="shared" si="41"/>
        <v>0</v>
      </c>
      <c r="K175" s="221">
        <f t="shared" si="42"/>
        <v>0</v>
      </c>
      <c r="L175" s="192">
        <f t="shared" si="43"/>
        <v>0</v>
      </c>
      <c r="M175" s="211">
        <v>97</v>
      </c>
      <c r="N175" s="211">
        <f>(29.53*1.02)*0.4529*1.0824</f>
        <v>14.765689206576004</v>
      </c>
      <c r="O175" s="211">
        <f>(42.96*1.02)*0.4529*1.0824</f>
        <v>21.481002652032004</v>
      </c>
      <c r="P175" s="211">
        <f>(16.43*1.02)*0.4529*1.0824</f>
        <v>8.2153834630560016</v>
      </c>
      <c r="Q175" s="211">
        <f>(12.76*1.02)*0.4529*1.0824</f>
        <v>6.380297808192001</v>
      </c>
      <c r="R175" s="211">
        <f>(1.27*1.02)*0.4529*1.0824</f>
        <v>0.63502964078400004</v>
      </c>
      <c r="S175" s="211">
        <f>(0.0584*1.02)*0.4529*1.0824</f>
        <v>2.9201363009280005E-2</v>
      </c>
      <c r="T175" s="358">
        <f t="shared" si="44"/>
        <v>0</v>
      </c>
      <c r="U175" s="358">
        <f t="shared" si="32"/>
        <v>0</v>
      </c>
      <c r="V175" s="358">
        <f t="shared" si="32"/>
        <v>0</v>
      </c>
      <c r="W175" s="358">
        <f t="shared" si="32"/>
        <v>0</v>
      </c>
      <c r="X175" s="358">
        <f t="shared" si="32"/>
        <v>0</v>
      </c>
      <c r="Y175" s="358">
        <f t="shared" si="32"/>
        <v>0</v>
      </c>
      <c r="Z175" s="358">
        <f t="shared" si="33"/>
        <v>0</v>
      </c>
      <c r="AA175" s="2733"/>
    </row>
    <row r="176" spans="1:27" ht="18.75" x14ac:dyDescent="0.25">
      <c r="A176" s="2297"/>
      <c r="B176" s="720">
        <v>2060</v>
      </c>
      <c r="C176" s="221">
        <f t="shared" si="34"/>
        <v>0</v>
      </c>
      <c r="D176" s="221">
        <f t="shared" si="35"/>
        <v>0</v>
      </c>
      <c r="E176" s="221">
        <f t="shared" si="36"/>
        <v>0</v>
      </c>
      <c r="F176" s="221">
        <f t="shared" si="37"/>
        <v>0</v>
      </c>
      <c r="G176" s="221">
        <f t="shared" si="38"/>
        <v>0</v>
      </c>
      <c r="H176" s="221">
        <f t="shared" si="39"/>
        <v>0</v>
      </c>
      <c r="I176" s="221">
        <f t="shared" si="40"/>
        <v>0</v>
      </c>
      <c r="J176" s="221">
        <f t="shared" si="41"/>
        <v>0</v>
      </c>
      <c r="K176" s="221">
        <f t="shared" si="42"/>
        <v>0</v>
      </c>
      <c r="L176" s="192">
        <f t="shared" si="43"/>
        <v>0</v>
      </c>
      <c r="M176" s="211">
        <v>97</v>
      </c>
      <c r="N176" s="211">
        <f>(29.53*1.02)*0.444*1.0824</f>
        <v>14.475526623360002</v>
      </c>
      <c r="O176" s="211">
        <f>(42.96*1.02)*0.444*1.0824</f>
        <v>21.058876523520002</v>
      </c>
      <c r="P176" s="211">
        <f>(16.43*1.02)*0.444*1.0824</f>
        <v>8.0539418361599999</v>
      </c>
      <c r="Q176" s="211">
        <f>(12.76*1.02)*0.444*1.0824</f>
        <v>6.2549177011200001</v>
      </c>
      <c r="R176" s="211">
        <f>(1.27*1.02)*0.444*1.0824</f>
        <v>0.62255058624000004</v>
      </c>
      <c r="S176" s="211">
        <f>(0.0584*1.02)*0.444*1.0824</f>
        <v>2.8627523020800003E-2</v>
      </c>
      <c r="T176" s="358">
        <f t="shared" si="44"/>
        <v>0</v>
      </c>
      <c r="U176" s="358">
        <f t="shared" si="32"/>
        <v>0</v>
      </c>
      <c r="V176" s="358">
        <f t="shared" si="32"/>
        <v>0</v>
      </c>
      <c r="W176" s="358">
        <f t="shared" si="32"/>
        <v>0</v>
      </c>
      <c r="X176" s="358">
        <f t="shared" si="32"/>
        <v>0</v>
      </c>
      <c r="Y176" s="358">
        <f t="shared" si="32"/>
        <v>0</v>
      </c>
      <c r="Z176" s="358">
        <f t="shared" si="33"/>
        <v>0</v>
      </c>
      <c r="AA176" s="2733"/>
    </row>
    <row r="177" spans="1:27" ht="18.75" x14ac:dyDescent="0.25">
      <c r="A177" s="2297"/>
      <c r="B177" s="720">
        <v>2061</v>
      </c>
      <c r="C177" s="221">
        <f t="shared" si="34"/>
        <v>0</v>
      </c>
      <c r="D177" s="221">
        <f t="shared" si="35"/>
        <v>0</v>
      </c>
      <c r="E177" s="221">
        <f t="shared" si="36"/>
        <v>0</v>
      </c>
      <c r="F177" s="221">
        <f t="shared" si="37"/>
        <v>0</v>
      </c>
      <c r="G177" s="221">
        <f t="shared" si="38"/>
        <v>0</v>
      </c>
      <c r="H177" s="221">
        <f t="shared" si="39"/>
        <v>0</v>
      </c>
      <c r="I177" s="221">
        <f t="shared" si="40"/>
        <v>0</v>
      </c>
      <c r="J177" s="221">
        <f t="shared" si="41"/>
        <v>0</v>
      </c>
      <c r="K177" s="221">
        <f t="shared" si="42"/>
        <v>0</v>
      </c>
      <c r="L177" s="192">
        <f t="shared" si="43"/>
        <v>0</v>
      </c>
      <c r="M177" s="211">
        <v>97</v>
      </c>
      <c r="N177" s="211">
        <f>(29.53*1.02)*0.4353*1.0824</f>
        <v>14.191884547632004</v>
      </c>
      <c r="O177" s="211">
        <f>(42.96*1.02)*0.4353*1.0824</f>
        <v>20.646236375424003</v>
      </c>
      <c r="P177" s="211">
        <f>(16.43*1.02)*0.4353*1.0824</f>
        <v>7.8961281109920014</v>
      </c>
      <c r="Q177" s="211">
        <f>(12.76*1.02)*0.4353*1.0824</f>
        <v>6.1323551245440004</v>
      </c>
      <c r="R177" s="211">
        <f>(1.27*1.02)*0.4353*1.0824</f>
        <v>0.61035195988800006</v>
      </c>
      <c r="S177" s="211">
        <f>(0.0584*1.02)*0.4353*1.0824</f>
        <v>2.8066578312960003E-2</v>
      </c>
      <c r="T177" s="358">
        <f t="shared" si="44"/>
        <v>0</v>
      </c>
      <c r="U177" s="358">
        <f t="shared" si="32"/>
        <v>0</v>
      </c>
      <c r="V177" s="358">
        <f t="shared" si="32"/>
        <v>0</v>
      </c>
      <c r="W177" s="358">
        <f t="shared" si="32"/>
        <v>0</v>
      </c>
      <c r="X177" s="358">
        <f t="shared" si="32"/>
        <v>0</v>
      </c>
      <c r="Y177" s="358">
        <f t="shared" si="32"/>
        <v>0</v>
      </c>
      <c r="Z177" s="358">
        <f t="shared" si="33"/>
        <v>0</v>
      </c>
      <c r="AA177" s="2733"/>
    </row>
    <row r="178" spans="1:27" ht="18.75" x14ac:dyDescent="0.25">
      <c r="A178" s="2297"/>
      <c r="B178" s="720">
        <v>2062</v>
      </c>
      <c r="C178" s="221">
        <f t="shared" si="34"/>
        <v>0</v>
      </c>
      <c r="D178" s="221">
        <f t="shared" si="35"/>
        <v>0</v>
      </c>
      <c r="E178" s="221">
        <f t="shared" si="36"/>
        <v>0</v>
      </c>
      <c r="F178" s="221">
        <f t="shared" si="37"/>
        <v>0</v>
      </c>
      <c r="G178" s="221">
        <f t="shared" si="38"/>
        <v>0</v>
      </c>
      <c r="H178" s="221">
        <f t="shared" si="39"/>
        <v>0</v>
      </c>
      <c r="I178" s="221">
        <f t="shared" si="40"/>
        <v>0</v>
      </c>
      <c r="J178" s="221">
        <f t="shared" si="41"/>
        <v>0</v>
      </c>
      <c r="K178" s="221">
        <f t="shared" si="42"/>
        <v>0</v>
      </c>
      <c r="L178" s="192">
        <f t="shared" si="43"/>
        <v>0</v>
      </c>
      <c r="M178" s="211">
        <v>97</v>
      </c>
      <c r="N178" s="211">
        <f>(29.53*1.02)*0.4268*1.0824</f>
        <v>13.914762979392002</v>
      </c>
      <c r="O178" s="211">
        <f>(42.96*1.02)*0.4268*1.0824</f>
        <v>20.243082207744003</v>
      </c>
      <c r="P178" s="211">
        <f>(16.43*1.02)*0.4268*1.0824</f>
        <v>7.7419422875520008</v>
      </c>
      <c r="Q178" s="211">
        <f>(12.76*1.02)*0.4268*1.0824</f>
        <v>6.0126100784640002</v>
      </c>
      <c r="R178" s="211">
        <f>(1.27*1.02)*0.4268*1.0824</f>
        <v>0.59843376172800011</v>
      </c>
      <c r="S178" s="211">
        <f>(0.0584*1.02)*0.4268*1.0824</f>
        <v>2.7518528885760004E-2</v>
      </c>
      <c r="T178" s="358">
        <f t="shared" si="44"/>
        <v>0</v>
      </c>
      <c r="U178" s="358">
        <f t="shared" si="32"/>
        <v>0</v>
      </c>
      <c r="V178" s="358">
        <f t="shared" si="32"/>
        <v>0</v>
      </c>
      <c r="W178" s="358">
        <f t="shared" si="32"/>
        <v>0</v>
      </c>
      <c r="X178" s="358">
        <f t="shared" si="32"/>
        <v>0</v>
      </c>
      <c r="Y178" s="358">
        <f t="shared" si="32"/>
        <v>0</v>
      </c>
      <c r="Z178" s="358">
        <f t="shared" si="33"/>
        <v>0</v>
      </c>
      <c r="AA178" s="2733"/>
    </row>
    <row r="179" spans="1:27" ht="18.75" x14ac:dyDescent="0.25">
      <c r="A179" s="2297"/>
      <c r="B179" s="720">
        <v>2063</v>
      </c>
      <c r="C179" s="221">
        <f t="shared" si="34"/>
        <v>0</v>
      </c>
      <c r="D179" s="221">
        <f t="shared" si="35"/>
        <v>0</v>
      </c>
      <c r="E179" s="221">
        <f t="shared" si="36"/>
        <v>0</v>
      </c>
      <c r="F179" s="221">
        <f t="shared" si="37"/>
        <v>0</v>
      </c>
      <c r="G179" s="221">
        <f t="shared" si="38"/>
        <v>0</v>
      </c>
      <c r="H179" s="221">
        <f t="shared" si="39"/>
        <v>0</v>
      </c>
      <c r="I179" s="221">
        <f t="shared" si="40"/>
        <v>0</v>
      </c>
      <c r="J179" s="221">
        <f t="shared" si="41"/>
        <v>0</v>
      </c>
      <c r="K179" s="221">
        <f t="shared" si="42"/>
        <v>0</v>
      </c>
      <c r="L179" s="192">
        <f t="shared" si="43"/>
        <v>0</v>
      </c>
      <c r="M179" s="211">
        <v>97</v>
      </c>
      <c r="N179" s="211">
        <f>(29.53*1.02)*0.4184*1.0824</f>
        <v>13.640901664896001</v>
      </c>
      <c r="O179" s="211">
        <f>(42.96*1.02)*0.4184*1.0824</f>
        <v>19.844671030272</v>
      </c>
      <c r="P179" s="211">
        <f>(16.43*1.02)*0.4184*1.0824</f>
        <v>7.5895704149760004</v>
      </c>
      <c r="Q179" s="211">
        <f>(12.76*1.02)*0.4184*1.0824</f>
        <v>5.8942737976319997</v>
      </c>
      <c r="R179" s="211">
        <f>(1.27*1.02)*0.4184*1.0824</f>
        <v>0.58665577766400001</v>
      </c>
      <c r="S179" s="211">
        <f>(0.0584*1.02)*0.4184*1.0824</f>
        <v>2.6976927098879999E-2</v>
      </c>
      <c r="T179" s="358">
        <f t="shared" si="44"/>
        <v>0</v>
      </c>
      <c r="U179" s="358">
        <f t="shared" si="32"/>
        <v>0</v>
      </c>
      <c r="V179" s="358">
        <f t="shared" si="32"/>
        <v>0</v>
      </c>
      <c r="W179" s="358">
        <f t="shared" si="32"/>
        <v>0</v>
      </c>
      <c r="X179" s="358">
        <f t="shared" si="32"/>
        <v>0</v>
      </c>
      <c r="Y179" s="358">
        <f t="shared" si="32"/>
        <v>0</v>
      </c>
      <c r="Z179" s="358">
        <f t="shared" si="33"/>
        <v>0</v>
      </c>
      <c r="AA179" s="2733"/>
    </row>
    <row r="180" spans="1:27" ht="18.75" x14ac:dyDescent="0.25">
      <c r="A180" s="2297"/>
      <c r="B180" s="720">
        <v>2064</v>
      </c>
      <c r="C180" s="221">
        <f t="shared" si="34"/>
        <v>0</v>
      </c>
      <c r="D180" s="221">
        <f t="shared" si="35"/>
        <v>0</v>
      </c>
      <c r="E180" s="221">
        <f t="shared" si="36"/>
        <v>0</v>
      </c>
      <c r="F180" s="221">
        <f t="shared" si="37"/>
        <v>0</v>
      </c>
      <c r="G180" s="221">
        <f t="shared" si="38"/>
        <v>0</v>
      </c>
      <c r="H180" s="221">
        <f t="shared" si="39"/>
        <v>0</v>
      </c>
      <c r="I180" s="221">
        <f t="shared" si="40"/>
        <v>0</v>
      </c>
      <c r="J180" s="221">
        <f t="shared" si="41"/>
        <v>0</v>
      </c>
      <c r="K180" s="221">
        <f t="shared" si="42"/>
        <v>0</v>
      </c>
      <c r="L180" s="192">
        <f t="shared" si="43"/>
        <v>0</v>
      </c>
      <c r="M180" s="211">
        <v>97</v>
      </c>
      <c r="N180" s="211">
        <f>(29.53*1.02)*0.4102*1.0824</f>
        <v>13.373560857888002</v>
      </c>
      <c r="O180" s="211">
        <f>(42.96*1.02)*0.4102*1.0824</f>
        <v>19.455745833216003</v>
      </c>
      <c r="P180" s="211">
        <f>(16.43*1.02)*0.4102*1.0824</f>
        <v>7.4408264441280014</v>
      </c>
      <c r="Q180" s="211">
        <f>(12.76*1.02)*0.4102*1.0824</f>
        <v>5.7787550472960003</v>
      </c>
      <c r="R180" s="211">
        <f>(1.27*1.02)*0.4102*1.0824</f>
        <v>0.57515822179200005</v>
      </c>
      <c r="S180" s="211">
        <f>(0.0584*1.02)*0.4102*1.0824</f>
        <v>2.6448220592640001E-2</v>
      </c>
      <c r="T180" s="358">
        <f t="shared" si="44"/>
        <v>0</v>
      </c>
      <c r="U180" s="358">
        <f t="shared" si="32"/>
        <v>0</v>
      </c>
      <c r="V180" s="358">
        <f t="shared" si="32"/>
        <v>0</v>
      </c>
      <c r="W180" s="358">
        <f t="shared" si="32"/>
        <v>0</v>
      </c>
      <c r="X180" s="358">
        <f t="shared" si="32"/>
        <v>0</v>
      </c>
      <c r="Y180" s="358">
        <f t="shared" si="32"/>
        <v>0</v>
      </c>
      <c r="Z180" s="358">
        <f t="shared" si="33"/>
        <v>0</v>
      </c>
      <c r="AA180" s="2733"/>
    </row>
    <row r="181" spans="1:27" ht="18.75" x14ac:dyDescent="0.25">
      <c r="A181" s="2297"/>
      <c r="B181" s="720">
        <v>2065</v>
      </c>
      <c r="C181" s="221">
        <f t="shared" si="34"/>
        <v>0</v>
      </c>
      <c r="D181" s="221">
        <f t="shared" si="35"/>
        <v>0</v>
      </c>
      <c r="E181" s="221">
        <f t="shared" si="36"/>
        <v>0</v>
      </c>
      <c r="F181" s="221">
        <f t="shared" si="37"/>
        <v>0</v>
      </c>
      <c r="G181" s="221">
        <f t="shared" si="38"/>
        <v>0</v>
      </c>
      <c r="H181" s="221">
        <f t="shared" si="39"/>
        <v>0</v>
      </c>
      <c r="I181" s="221">
        <f t="shared" si="40"/>
        <v>0</v>
      </c>
      <c r="J181" s="221">
        <f t="shared" si="41"/>
        <v>0</v>
      </c>
      <c r="K181" s="221">
        <f t="shared" si="42"/>
        <v>0</v>
      </c>
      <c r="L181" s="192">
        <f t="shared" si="43"/>
        <v>0</v>
      </c>
      <c r="M181" s="211">
        <v>97</v>
      </c>
      <c r="N181" s="211">
        <f>(29.53*1.02)*0.4022*1.0824</f>
        <v>13.112740558368001</v>
      </c>
      <c r="O181" s="211">
        <f>(42.96*1.02)*0.4022*1.0824</f>
        <v>19.076306616576002</v>
      </c>
      <c r="P181" s="211">
        <f>(16.43*1.02)*0.4022*1.0824</f>
        <v>7.2957103750080003</v>
      </c>
      <c r="Q181" s="211">
        <f>(12.76*1.02)*0.4022*1.0824</f>
        <v>5.6660538274560004</v>
      </c>
      <c r="R181" s="211">
        <f>(1.27*1.02)*0.4022*1.0824</f>
        <v>0.56394109411200011</v>
      </c>
      <c r="S181" s="211">
        <f>(0.0584*1.02)*0.4022*1.0824</f>
        <v>2.5932409367040003E-2</v>
      </c>
      <c r="T181" s="358">
        <f t="shared" si="44"/>
        <v>0</v>
      </c>
      <c r="U181" s="358">
        <f t="shared" si="32"/>
        <v>0</v>
      </c>
      <c r="V181" s="358">
        <f t="shared" si="32"/>
        <v>0</v>
      </c>
      <c r="W181" s="358">
        <f t="shared" si="32"/>
        <v>0</v>
      </c>
      <c r="X181" s="358">
        <f t="shared" si="32"/>
        <v>0</v>
      </c>
      <c r="Y181" s="358">
        <f t="shared" si="32"/>
        <v>0</v>
      </c>
      <c r="Z181" s="358">
        <f t="shared" si="33"/>
        <v>0</v>
      </c>
      <c r="AA181" s="2733"/>
    </row>
    <row r="182" spans="1:27" ht="18.75" x14ac:dyDescent="0.25">
      <c r="A182" s="2297"/>
      <c r="B182" s="720">
        <v>2066</v>
      </c>
      <c r="C182" s="221">
        <f t="shared" si="34"/>
        <v>0</v>
      </c>
      <c r="D182" s="221">
        <f t="shared" si="35"/>
        <v>0</v>
      </c>
      <c r="E182" s="221">
        <f t="shared" si="36"/>
        <v>0</v>
      </c>
      <c r="F182" s="221">
        <f t="shared" si="37"/>
        <v>0</v>
      </c>
      <c r="G182" s="221">
        <f t="shared" si="38"/>
        <v>0</v>
      </c>
      <c r="H182" s="221">
        <f t="shared" si="39"/>
        <v>0</v>
      </c>
      <c r="I182" s="221">
        <f t="shared" si="40"/>
        <v>0</v>
      </c>
      <c r="J182" s="221">
        <f t="shared" si="41"/>
        <v>0</v>
      </c>
      <c r="K182" s="221">
        <f t="shared" si="42"/>
        <v>0</v>
      </c>
      <c r="L182" s="192">
        <f t="shared" si="43"/>
        <v>0</v>
      </c>
      <c r="M182" s="211">
        <v>97</v>
      </c>
      <c r="N182" s="211">
        <f>(29.53*1.02)*0.3943*1.0824</f>
        <v>12.855180512592</v>
      </c>
      <c r="O182" s="211">
        <f>(42.96*1.02)*0.3943*1.0824</f>
        <v>18.701610390143998</v>
      </c>
      <c r="P182" s="211">
        <f>(16.43*1.02)*0.3943*1.0824</f>
        <v>7.1524082567520004</v>
      </c>
      <c r="Q182" s="211">
        <f>(12.76*1.02)*0.3943*1.0824</f>
        <v>5.5547613728639993</v>
      </c>
      <c r="R182" s="211">
        <f>(1.27*1.02)*0.3943*1.0824</f>
        <v>0.55286418052800002</v>
      </c>
      <c r="S182" s="211">
        <f>(0.0584*1.02)*0.3943*1.0824</f>
        <v>2.5423045781760002E-2</v>
      </c>
      <c r="T182" s="358">
        <f t="shared" si="44"/>
        <v>0</v>
      </c>
      <c r="U182" s="358">
        <f t="shared" si="32"/>
        <v>0</v>
      </c>
      <c r="V182" s="358">
        <f t="shared" si="32"/>
        <v>0</v>
      </c>
      <c r="W182" s="358">
        <f t="shared" si="32"/>
        <v>0</v>
      </c>
      <c r="X182" s="358">
        <f t="shared" si="32"/>
        <v>0</v>
      </c>
      <c r="Y182" s="358">
        <f t="shared" si="32"/>
        <v>0</v>
      </c>
      <c r="Z182" s="358">
        <f t="shared" si="33"/>
        <v>0</v>
      </c>
      <c r="AA182" s="2733"/>
    </row>
    <row r="183" spans="1:27" ht="18.75" x14ac:dyDescent="0.25">
      <c r="A183" s="2297"/>
      <c r="B183" s="720">
        <v>2067</v>
      </c>
      <c r="C183" s="221">
        <f t="shared" si="34"/>
        <v>0</v>
      </c>
      <c r="D183" s="221">
        <f t="shared" si="35"/>
        <v>0</v>
      </c>
      <c r="E183" s="221">
        <f t="shared" si="36"/>
        <v>0</v>
      </c>
      <c r="F183" s="221">
        <f t="shared" si="37"/>
        <v>0</v>
      </c>
      <c r="G183" s="221">
        <f t="shared" si="38"/>
        <v>0</v>
      </c>
      <c r="H183" s="221">
        <f t="shared" si="39"/>
        <v>0</v>
      </c>
      <c r="I183" s="221">
        <f t="shared" si="40"/>
        <v>0</v>
      </c>
      <c r="J183" s="221">
        <f t="shared" si="41"/>
        <v>0</v>
      </c>
      <c r="K183" s="221">
        <f t="shared" si="42"/>
        <v>0</v>
      </c>
      <c r="L183" s="192">
        <f t="shared" si="43"/>
        <v>0</v>
      </c>
      <c r="M183" s="211">
        <v>97</v>
      </c>
      <c r="N183" s="211">
        <f>(29.53*1.02)*0.3865*1.0824</f>
        <v>12.600880720560001</v>
      </c>
      <c r="O183" s="211">
        <f>(42.96*1.02)*0.3865*1.0824</f>
        <v>18.331657153920002</v>
      </c>
      <c r="P183" s="211">
        <f>(16.43*1.02)*0.3865*1.0824</f>
        <v>7.0109200893600008</v>
      </c>
      <c r="Q183" s="211">
        <f>(12.76*1.02)*0.3865*1.0824</f>
        <v>5.4448776835200006</v>
      </c>
      <c r="R183" s="211">
        <f>(1.27*1.02)*0.3865*1.0824</f>
        <v>0.5419274810400001</v>
      </c>
      <c r="S183" s="211">
        <f>(0.0584*1.02)*0.3865*1.0824</f>
        <v>2.4920129836800003E-2</v>
      </c>
      <c r="T183" s="358">
        <f t="shared" si="44"/>
        <v>0</v>
      </c>
      <c r="U183" s="358">
        <f t="shared" si="32"/>
        <v>0</v>
      </c>
      <c r="V183" s="358">
        <f t="shared" si="32"/>
        <v>0</v>
      </c>
      <c r="W183" s="358">
        <f t="shared" si="32"/>
        <v>0</v>
      </c>
      <c r="X183" s="358">
        <f t="shared" si="32"/>
        <v>0</v>
      </c>
      <c r="Y183" s="358">
        <f t="shared" si="32"/>
        <v>0</v>
      </c>
      <c r="Z183" s="358">
        <f t="shared" si="33"/>
        <v>0</v>
      </c>
      <c r="AA183" s="2733"/>
    </row>
    <row r="184" spans="1:27" ht="18.75" x14ac:dyDescent="0.25">
      <c r="A184" s="2297"/>
      <c r="B184" s="720">
        <v>2068</v>
      </c>
      <c r="C184" s="221">
        <f t="shared" si="34"/>
        <v>0</v>
      </c>
      <c r="D184" s="221">
        <f t="shared" si="35"/>
        <v>0</v>
      </c>
      <c r="E184" s="221">
        <f t="shared" si="36"/>
        <v>0</v>
      </c>
      <c r="F184" s="221">
        <f t="shared" si="37"/>
        <v>0</v>
      </c>
      <c r="G184" s="221">
        <f t="shared" si="38"/>
        <v>0</v>
      </c>
      <c r="H184" s="221">
        <f t="shared" si="39"/>
        <v>0</v>
      </c>
      <c r="I184" s="221">
        <f t="shared" si="40"/>
        <v>0</v>
      </c>
      <c r="J184" s="221">
        <f t="shared" si="41"/>
        <v>0</v>
      </c>
      <c r="K184" s="221">
        <f t="shared" si="42"/>
        <v>0</v>
      </c>
      <c r="L184" s="192">
        <f t="shared" si="43"/>
        <v>0</v>
      </c>
      <c r="M184" s="211">
        <v>97</v>
      </c>
      <c r="N184" s="211">
        <f>(29.53*1.02)*0.379*1.0824</f>
        <v>12.356361689760002</v>
      </c>
      <c r="O184" s="211">
        <f>(42.96*1.02)*0.379*1.0824</f>
        <v>17.975932888320003</v>
      </c>
      <c r="P184" s="211">
        <f>(16.43*1.02)*0.379*1.0824</f>
        <v>6.8748737745600002</v>
      </c>
      <c r="Q184" s="211">
        <f>(12.76*1.02)*0.379*1.0824</f>
        <v>5.339220289920001</v>
      </c>
      <c r="R184" s="211">
        <f>(1.27*1.02)*0.379*1.0824</f>
        <v>0.53141142384000006</v>
      </c>
      <c r="S184" s="211">
        <f>(0.0584*1.02)*0.379*1.0824</f>
        <v>2.4436556812800003E-2</v>
      </c>
      <c r="T184" s="358">
        <f t="shared" si="44"/>
        <v>0</v>
      </c>
      <c r="U184" s="358">
        <f t="shared" si="32"/>
        <v>0</v>
      </c>
      <c r="V184" s="358">
        <f t="shared" si="32"/>
        <v>0</v>
      </c>
      <c r="W184" s="358">
        <f t="shared" si="32"/>
        <v>0</v>
      </c>
      <c r="X184" s="358">
        <f t="shared" si="32"/>
        <v>0</v>
      </c>
      <c r="Y184" s="358">
        <f t="shared" si="32"/>
        <v>0</v>
      </c>
      <c r="Z184" s="358">
        <f t="shared" si="33"/>
        <v>0</v>
      </c>
      <c r="AA184" s="2733"/>
    </row>
    <row r="185" spans="1:27" ht="19.5" thickBot="1" x14ac:dyDescent="0.3">
      <c r="A185" s="2297"/>
      <c r="B185" s="719">
        <v>2069</v>
      </c>
      <c r="C185" s="648">
        <f t="shared" si="34"/>
        <v>0</v>
      </c>
      <c r="D185" s="648">
        <f t="shared" si="35"/>
        <v>0</v>
      </c>
      <c r="E185" s="648">
        <f t="shared" si="36"/>
        <v>0</v>
      </c>
      <c r="F185" s="648">
        <f t="shared" si="37"/>
        <v>0</v>
      </c>
      <c r="G185" s="648">
        <f t="shared" si="38"/>
        <v>0</v>
      </c>
      <c r="H185" s="648">
        <f t="shared" si="39"/>
        <v>0</v>
      </c>
      <c r="I185" s="648">
        <f t="shared" si="40"/>
        <v>0</v>
      </c>
      <c r="J185" s="648">
        <f t="shared" si="41"/>
        <v>0</v>
      </c>
      <c r="K185" s="648">
        <f t="shared" si="42"/>
        <v>0</v>
      </c>
      <c r="L185" s="219">
        <f t="shared" si="43"/>
        <v>0</v>
      </c>
      <c r="M185" s="646">
        <v>97</v>
      </c>
      <c r="N185" s="646">
        <f>(29.53*1.02)*0.3715*1.0824</f>
        <v>12.111842658960002</v>
      </c>
      <c r="O185" s="646">
        <f>(42.96*1.02)*0.3715*1.0824</f>
        <v>17.62020862272</v>
      </c>
      <c r="P185" s="646">
        <f>(16.43*1.02)*0.3715*1.0824</f>
        <v>6.7388274597600004</v>
      </c>
      <c r="Q185" s="646">
        <f>(12.76*1.02)*0.3715*1.0824</f>
        <v>5.2335628963200005</v>
      </c>
      <c r="R185" s="646">
        <f>(1.27*1.02)*0.3715*1.0824</f>
        <v>0.52089536664000002</v>
      </c>
      <c r="S185" s="646">
        <f>(0.0584*1.02)*0.3715*1.0824</f>
        <v>2.3952983788800002E-2</v>
      </c>
      <c r="T185" s="721">
        <f t="shared" si="44"/>
        <v>0</v>
      </c>
      <c r="U185" s="721">
        <f t="shared" si="32"/>
        <v>0</v>
      </c>
      <c r="V185" s="721">
        <f t="shared" si="32"/>
        <v>0</v>
      </c>
      <c r="W185" s="721">
        <f t="shared" si="32"/>
        <v>0</v>
      </c>
      <c r="X185" s="721">
        <f t="shared" si="32"/>
        <v>0</v>
      </c>
      <c r="Y185" s="721">
        <f t="shared" si="32"/>
        <v>0</v>
      </c>
      <c r="Z185" s="721">
        <f t="shared" si="33"/>
        <v>0</v>
      </c>
      <c r="AA185" s="2734"/>
    </row>
    <row r="186" spans="1:27" ht="18.75" x14ac:dyDescent="0.25">
      <c r="A186" s="2737" t="s">
        <v>1096</v>
      </c>
      <c r="B186" s="1862">
        <v>2019</v>
      </c>
      <c r="C186" s="216">
        <f>$S$8</f>
        <v>0</v>
      </c>
      <c r="D186" s="216">
        <f>$R$8*28</f>
        <v>0</v>
      </c>
      <c r="E186" s="216">
        <f>$T$8*298</f>
        <v>0</v>
      </c>
      <c r="F186" s="216">
        <f>$O$8</f>
        <v>0</v>
      </c>
      <c r="G186" s="216">
        <f>$P$8</f>
        <v>0</v>
      </c>
      <c r="H186" s="216">
        <f>$N$8</f>
        <v>0</v>
      </c>
      <c r="I186" s="216">
        <f>$Q$8</f>
        <v>0</v>
      </c>
      <c r="J186" s="216">
        <f>$L$8</f>
        <v>0</v>
      </c>
      <c r="K186" s="216">
        <f>$M$8</f>
        <v>0</v>
      </c>
      <c r="L186" s="217">
        <f t="shared" si="17"/>
        <v>0</v>
      </c>
      <c r="M186" s="643">
        <v>62</v>
      </c>
      <c r="N186" s="643">
        <f>N33</f>
        <v>32.602537440000006</v>
      </c>
      <c r="O186" s="643">
        <f t="shared" ref="N186:S195" si="45">O33</f>
        <v>47.429902080000005</v>
      </c>
      <c r="P186" s="643">
        <f>P33</f>
        <v>18.139508640000003</v>
      </c>
      <c r="Q186" s="643">
        <f t="shared" si="45"/>
        <v>14.087652480000001</v>
      </c>
      <c r="R186" s="643">
        <f>R33</f>
        <v>1.4021409600000001</v>
      </c>
      <c r="S186" s="643">
        <f t="shared" si="45"/>
        <v>6.4476403200000004E-2</v>
      </c>
      <c r="T186" s="645">
        <f t="shared" si="18"/>
        <v>0</v>
      </c>
      <c r="U186" s="644">
        <f t="shared" ref="U186:Y236" si="46">F186*N186</f>
        <v>0</v>
      </c>
      <c r="V186" s="644">
        <f t="shared" si="46"/>
        <v>0</v>
      </c>
      <c r="W186" s="644">
        <f t="shared" si="46"/>
        <v>0</v>
      </c>
      <c r="X186" s="644">
        <f t="shared" si="46"/>
        <v>0</v>
      </c>
      <c r="Y186" s="644">
        <f t="shared" si="46"/>
        <v>0</v>
      </c>
      <c r="Z186" s="644">
        <f t="shared" si="7"/>
        <v>0</v>
      </c>
      <c r="AA186" s="2732">
        <f>(SUM(T186:T236)*1.2682)+(SUM(U186:U236))+(SUM(V186:V236))+(SUM(W186:W236))+(SUM(X186:X236))+(SUM(Y186:Y236))+(SUM(Z186:Z236))</f>
        <v>0</v>
      </c>
    </row>
    <row r="187" spans="1:27" ht="18.75" x14ac:dyDescent="0.25">
      <c r="A187" s="2738"/>
      <c r="B187" s="1863">
        <v>2020</v>
      </c>
      <c r="C187" s="221">
        <f t="shared" ref="C187:C235" si="47">$S$8</f>
        <v>0</v>
      </c>
      <c r="D187" s="218">
        <f t="shared" ref="D187:D236" si="48">$R$8*28</f>
        <v>0</v>
      </c>
      <c r="E187" s="218">
        <f>$T$8*298</f>
        <v>0</v>
      </c>
      <c r="F187" s="221">
        <f t="shared" ref="F187:F236" si="49">$O$8</f>
        <v>0</v>
      </c>
      <c r="G187" s="221">
        <f t="shared" ref="G187:G236" si="50">$P$8</f>
        <v>0</v>
      </c>
      <c r="H187" s="221">
        <f t="shared" ref="H187:H236" si="51">$N$8</f>
        <v>0</v>
      </c>
      <c r="I187" s="221">
        <f t="shared" ref="I187:I236" si="52">$Q$8</f>
        <v>0</v>
      </c>
      <c r="J187" s="221">
        <f t="shared" ref="J187:J236" si="53">$L$8</f>
        <v>0</v>
      </c>
      <c r="K187" s="221">
        <f t="shared" ref="K187:K236" si="54">$M$8</f>
        <v>0</v>
      </c>
      <c r="L187" s="192">
        <f t="shared" si="17"/>
        <v>0</v>
      </c>
      <c r="M187" s="211">
        <v>64</v>
      </c>
      <c r="N187" s="211">
        <f t="shared" si="45"/>
        <v>31.963527706176006</v>
      </c>
      <c r="O187" s="211">
        <f t="shared" si="45"/>
        <v>46.500275999232002</v>
      </c>
      <c r="P187" s="211">
        <f t="shared" si="45"/>
        <v>17.783974270656003</v>
      </c>
      <c r="Q187" s="211">
        <f t="shared" si="45"/>
        <v>13.811534491392001</v>
      </c>
      <c r="R187" s="211">
        <f t="shared" si="45"/>
        <v>1.3746589971840002</v>
      </c>
      <c r="S187" s="211">
        <f t="shared" si="45"/>
        <v>6.3212665697280013E-2</v>
      </c>
      <c r="T187" s="174">
        <f t="shared" si="18"/>
        <v>0</v>
      </c>
      <c r="U187" s="1850">
        <f t="shared" si="46"/>
        <v>0</v>
      </c>
      <c r="V187" s="1850">
        <f t="shared" si="46"/>
        <v>0</v>
      </c>
      <c r="W187" s="1850">
        <f t="shared" si="46"/>
        <v>0</v>
      </c>
      <c r="X187" s="1850">
        <f t="shared" si="46"/>
        <v>0</v>
      </c>
      <c r="Y187" s="1850">
        <f t="shared" si="46"/>
        <v>0</v>
      </c>
      <c r="Z187" s="1850">
        <f t="shared" si="7"/>
        <v>0</v>
      </c>
      <c r="AA187" s="2733"/>
    </row>
    <row r="188" spans="1:27" ht="18.75" x14ac:dyDescent="0.25">
      <c r="A188" s="2738"/>
      <c r="B188" s="1863">
        <v>2021</v>
      </c>
      <c r="C188" s="221">
        <f t="shared" si="47"/>
        <v>0</v>
      </c>
      <c r="D188" s="218">
        <f t="shared" si="48"/>
        <v>0</v>
      </c>
      <c r="E188" s="218">
        <f t="shared" ref="E188:E236" si="55">$T$8*298</f>
        <v>0</v>
      </c>
      <c r="F188" s="221">
        <f t="shared" si="49"/>
        <v>0</v>
      </c>
      <c r="G188" s="221">
        <f t="shared" si="50"/>
        <v>0</v>
      </c>
      <c r="H188" s="221">
        <f t="shared" si="51"/>
        <v>0</v>
      </c>
      <c r="I188" s="221">
        <f t="shared" si="52"/>
        <v>0</v>
      </c>
      <c r="J188" s="221">
        <f t="shared" si="53"/>
        <v>0</v>
      </c>
      <c r="K188" s="221">
        <f t="shared" si="54"/>
        <v>0</v>
      </c>
      <c r="L188" s="192">
        <f t="shared" si="17"/>
        <v>0</v>
      </c>
      <c r="M188" s="211">
        <v>65</v>
      </c>
      <c r="N188" s="211">
        <f t="shared" si="45"/>
        <v>31.337558987328006</v>
      </c>
      <c r="O188" s="211">
        <f t="shared" si="45"/>
        <v>45.589621879296011</v>
      </c>
      <c r="P188" s="211">
        <f t="shared" si="45"/>
        <v>17.435695704768001</v>
      </c>
      <c r="Q188" s="211">
        <f t="shared" si="45"/>
        <v>13.541051563776001</v>
      </c>
      <c r="R188" s="211">
        <f t="shared" si="45"/>
        <v>1.3477378907520003</v>
      </c>
      <c r="S188" s="211">
        <f t="shared" si="45"/>
        <v>6.1974718755840007E-2</v>
      </c>
      <c r="T188" s="174">
        <f t="shared" si="18"/>
        <v>0</v>
      </c>
      <c r="U188" s="1850">
        <f t="shared" si="46"/>
        <v>0</v>
      </c>
      <c r="V188" s="1850">
        <f t="shared" si="46"/>
        <v>0</v>
      </c>
      <c r="W188" s="1850">
        <f t="shared" si="46"/>
        <v>0</v>
      </c>
      <c r="X188" s="1850">
        <f t="shared" si="46"/>
        <v>0</v>
      </c>
      <c r="Y188" s="1850">
        <f t="shared" si="46"/>
        <v>0</v>
      </c>
      <c r="Z188" s="1850">
        <f t="shared" si="7"/>
        <v>0</v>
      </c>
      <c r="AA188" s="2733"/>
    </row>
    <row r="189" spans="1:27" ht="18.75" x14ac:dyDescent="0.25">
      <c r="A189" s="2738"/>
      <c r="B189" s="1863">
        <v>2022</v>
      </c>
      <c r="C189" s="221">
        <f t="shared" si="47"/>
        <v>0</v>
      </c>
      <c r="D189" s="218">
        <f t="shared" si="48"/>
        <v>0</v>
      </c>
      <c r="E189" s="218">
        <f t="shared" si="55"/>
        <v>0</v>
      </c>
      <c r="F189" s="221">
        <f t="shared" si="49"/>
        <v>0</v>
      </c>
      <c r="G189" s="221">
        <f t="shared" si="50"/>
        <v>0</v>
      </c>
      <c r="H189" s="221">
        <f t="shared" si="51"/>
        <v>0</v>
      </c>
      <c r="I189" s="221">
        <f t="shared" si="52"/>
        <v>0</v>
      </c>
      <c r="J189" s="221">
        <f t="shared" si="53"/>
        <v>0</v>
      </c>
      <c r="K189" s="221">
        <f t="shared" si="54"/>
        <v>0</v>
      </c>
      <c r="L189" s="192">
        <f t="shared" si="17"/>
        <v>0</v>
      </c>
      <c r="M189" s="211">
        <v>66</v>
      </c>
      <c r="N189" s="211">
        <f t="shared" si="45"/>
        <v>30.721371029712003</v>
      </c>
      <c r="O189" s="211">
        <f t="shared" si="45"/>
        <v>44.693196729984003</v>
      </c>
      <c r="P189" s="211">
        <f t="shared" si="45"/>
        <v>17.092858991472003</v>
      </c>
      <c r="Q189" s="211">
        <f t="shared" si="45"/>
        <v>13.274794931903999</v>
      </c>
      <c r="R189" s="211">
        <f t="shared" si="45"/>
        <v>1.3212374266080003</v>
      </c>
      <c r="S189" s="211">
        <f t="shared" si="45"/>
        <v>6.0756114735360002E-2</v>
      </c>
      <c r="T189" s="174">
        <f t="shared" si="18"/>
        <v>0</v>
      </c>
      <c r="U189" s="1850">
        <f t="shared" si="46"/>
        <v>0</v>
      </c>
      <c r="V189" s="1850">
        <f t="shared" si="46"/>
        <v>0</v>
      </c>
      <c r="W189" s="1850">
        <f t="shared" si="46"/>
        <v>0</v>
      </c>
      <c r="X189" s="1850">
        <f t="shared" si="46"/>
        <v>0</v>
      </c>
      <c r="Y189" s="1850">
        <f t="shared" si="46"/>
        <v>0</v>
      </c>
      <c r="Z189" s="1850">
        <f t="shared" si="7"/>
        <v>0</v>
      </c>
      <c r="AA189" s="2733"/>
    </row>
    <row r="190" spans="1:27" ht="18.75" x14ac:dyDescent="0.25">
      <c r="A190" s="2738"/>
      <c r="B190" s="1863">
        <v>2023</v>
      </c>
      <c r="C190" s="221">
        <f t="shared" si="47"/>
        <v>0</v>
      </c>
      <c r="D190" s="218">
        <f t="shared" si="48"/>
        <v>0</v>
      </c>
      <c r="E190" s="218">
        <f t="shared" si="55"/>
        <v>0</v>
      </c>
      <c r="F190" s="221">
        <f t="shared" si="49"/>
        <v>0</v>
      </c>
      <c r="G190" s="221">
        <f t="shared" si="50"/>
        <v>0</v>
      </c>
      <c r="H190" s="221">
        <f t="shared" si="51"/>
        <v>0</v>
      </c>
      <c r="I190" s="221">
        <f t="shared" si="52"/>
        <v>0</v>
      </c>
      <c r="J190" s="221">
        <f t="shared" si="53"/>
        <v>0</v>
      </c>
      <c r="K190" s="221">
        <f t="shared" si="54"/>
        <v>0</v>
      </c>
      <c r="L190" s="192">
        <f t="shared" si="17"/>
        <v>0</v>
      </c>
      <c r="M190" s="211">
        <v>67</v>
      </c>
      <c r="N190" s="211">
        <f t="shared" si="45"/>
        <v>30.118224087072001</v>
      </c>
      <c r="O190" s="211">
        <f t="shared" si="45"/>
        <v>43.815743541504006</v>
      </c>
      <c r="P190" s="211">
        <f t="shared" si="45"/>
        <v>16.757278081632002</v>
      </c>
      <c r="Q190" s="211">
        <f t="shared" si="45"/>
        <v>13.014173361024</v>
      </c>
      <c r="R190" s="211">
        <f t="shared" si="45"/>
        <v>1.295297818848</v>
      </c>
      <c r="S190" s="211">
        <f t="shared" si="45"/>
        <v>5.9563301276160004E-2</v>
      </c>
      <c r="T190" s="174">
        <f t="shared" si="18"/>
        <v>0</v>
      </c>
      <c r="U190" s="1850">
        <f t="shared" si="46"/>
        <v>0</v>
      </c>
      <c r="V190" s="1850">
        <f t="shared" si="46"/>
        <v>0</v>
      </c>
      <c r="W190" s="1850">
        <f t="shared" si="46"/>
        <v>0</v>
      </c>
      <c r="X190" s="1850">
        <f t="shared" si="46"/>
        <v>0</v>
      </c>
      <c r="Y190" s="1850">
        <f t="shared" si="46"/>
        <v>0</v>
      </c>
      <c r="Z190" s="1850">
        <f t="shared" si="7"/>
        <v>0</v>
      </c>
      <c r="AA190" s="2733"/>
    </row>
    <row r="191" spans="1:27" ht="18.75" x14ac:dyDescent="0.25">
      <c r="A191" s="2738"/>
      <c r="B191" s="1863">
        <v>2024</v>
      </c>
      <c r="C191" s="221">
        <f t="shared" si="47"/>
        <v>0</v>
      </c>
      <c r="D191" s="218">
        <f t="shared" si="48"/>
        <v>0</v>
      </c>
      <c r="E191" s="218">
        <f t="shared" si="55"/>
        <v>0</v>
      </c>
      <c r="F191" s="221">
        <f t="shared" si="49"/>
        <v>0</v>
      </c>
      <c r="G191" s="221">
        <f t="shared" si="50"/>
        <v>0</v>
      </c>
      <c r="H191" s="221">
        <f t="shared" si="51"/>
        <v>0</v>
      </c>
      <c r="I191" s="221">
        <f t="shared" si="52"/>
        <v>0</v>
      </c>
      <c r="J191" s="221">
        <f t="shared" si="53"/>
        <v>0</v>
      </c>
      <c r="K191" s="221">
        <f t="shared" si="54"/>
        <v>0</v>
      </c>
      <c r="L191" s="192">
        <f t="shared" si="17"/>
        <v>0</v>
      </c>
      <c r="M191" s="211">
        <v>68</v>
      </c>
      <c r="N191" s="211">
        <f t="shared" si="45"/>
        <v>29.528118159408002</v>
      </c>
      <c r="O191" s="211">
        <f t="shared" si="45"/>
        <v>42.957262313856006</v>
      </c>
      <c r="P191" s="211">
        <f t="shared" si="45"/>
        <v>16.428952975248002</v>
      </c>
      <c r="Q191" s="211">
        <f t="shared" si="45"/>
        <v>12.759186851135999</v>
      </c>
      <c r="R191" s="211">
        <f t="shared" si="45"/>
        <v>1.269919067472</v>
      </c>
      <c r="S191" s="211">
        <f t="shared" si="45"/>
        <v>5.8396278378240005E-2</v>
      </c>
      <c r="T191" s="174">
        <f t="shared" si="18"/>
        <v>0</v>
      </c>
      <c r="U191" s="1850">
        <f t="shared" si="46"/>
        <v>0</v>
      </c>
      <c r="V191" s="1850">
        <f t="shared" si="46"/>
        <v>0</v>
      </c>
      <c r="W191" s="1850">
        <f t="shared" si="46"/>
        <v>0</v>
      </c>
      <c r="X191" s="1850">
        <f t="shared" si="46"/>
        <v>0</v>
      </c>
      <c r="Y191" s="1850">
        <f t="shared" si="46"/>
        <v>0</v>
      </c>
      <c r="Z191" s="1850">
        <f t="shared" si="7"/>
        <v>0</v>
      </c>
      <c r="AA191" s="2733"/>
    </row>
    <row r="192" spans="1:27" ht="18.75" x14ac:dyDescent="0.25">
      <c r="A192" s="2738"/>
      <c r="B192" s="1863">
        <v>2025</v>
      </c>
      <c r="C192" s="221">
        <f t="shared" si="47"/>
        <v>0</v>
      </c>
      <c r="D192" s="218">
        <f t="shared" si="48"/>
        <v>0</v>
      </c>
      <c r="E192" s="218">
        <f t="shared" si="55"/>
        <v>0</v>
      </c>
      <c r="F192" s="221">
        <f t="shared" si="49"/>
        <v>0</v>
      </c>
      <c r="G192" s="221">
        <f t="shared" si="50"/>
        <v>0</v>
      </c>
      <c r="H192" s="221">
        <f t="shared" si="51"/>
        <v>0</v>
      </c>
      <c r="I192" s="221">
        <f t="shared" si="52"/>
        <v>0</v>
      </c>
      <c r="J192" s="221">
        <f t="shared" si="53"/>
        <v>0</v>
      </c>
      <c r="K192" s="221">
        <f t="shared" si="54"/>
        <v>0</v>
      </c>
      <c r="L192" s="192">
        <f t="shared" si="17"/>
        <v>0</v>
      </c>
      <c r="M192" s="211">
        <v>69</v>
      </c>
      <c r="N192" s="211">
        <f t="shared" si="45"/>
        <v>28.951053246720004</v>
      </c>
      <c r="O192" s="211">
        <f t="shared" si="45"/>
        <v>42.117753047040004</v>
      </c>
      <c r="P192" s="211">
        <f t="shared" si="45"/>
        <v>16.10788367232</v>
      </c>
      <c r="Q192" s="211">
        <f t="shared" si="45"/>
        <v>12.50983540224</v>
      </c>
      <c r="R192" s="211">
        <f t="shared" si="45"/>
        <v>1.2451011724800001</v>
      </c>
      <c r="S192" s="211">
        <f t="shared" si="45"/>
        <v>5.7255046041600005E-2</v>
      </c>
      <c r="T192" s="174">
        <f t="shared" si="18"/>
        <v>0</v>
      </c>
      <c r="U192" s="1850">
        <f t="shared" si="46"/>
        <v>0</v>
      </c>
      <c r="V192" s="1850">
        <f t="shared" si="46"/>
        <v>0</v>
      </c>
      <c r="W192" s="1850">
        <f t="shared" si="46"/>
        <v>0</v>
      </c>
      <c r="X192" s="1850">
        <f t="shared" si="46"/>
        <v>0</v>
      </c>
      <c r="Y192" s="1850">
        <f t="shared" si="46"/>
        <v>0</v>
      </c>
      <c r="Z192" s="1850">
        <f t="shared" si="7"/>
        <v>0</v>
      </c>
      <c r="AA192" s="2733"/>
    </row>
    <row r="193" spans="1:27" ht="18.75" x14ac:dyDescent="0.25">
      <c r="A193" s="2738"/>
      <c r="B193" s="1863">
        <v>2026</v>
      </c>
      <c r="C193" s="221">
        <f t="shared" si="47"/>
        <v>0</v>
      </c>
      <c r="D193" s="218">
        <f t="shared" si="48"/>
        <v>0</v>
      </c>
      <c r="E193" s="218">
        <f t="shared" si="55"/>
        <v>0</v>
      </c>
      <c r="F193" s="221">
        <f t="shared" si="49"/>
        <v>0</v>
      </c>
      <c r="G193" s="221">
        <f t="shared" si="50"/>
        <v>0</v>
      </c>
      <c r="H193" s="221">
        <f t="shared" si="51"/>
        <v>0</v>
      </c>
      <c r="I193" s="221">
        <f t="shared" si="52"/>
        <v>0</v>
      </c>
      <c r="J193" s="221">
        <f t="shared" si="53"/>
        <v>0</v>
      </c>
      <c r="K193" s="221">
        <f t="shared" si="54"/>
        <v>0</v>
      </c>
      <c r="L193" s="192">
        <f t="shared" si="17"/>
        <v>0</v>
      </c>
      <c r="M193" s="211">
        <v>70</v>
      </c>
      <c r="N193" s="211">
        <f t="shared" si="45"/>
        <v>28.383769095264007</v>
      </c>
      <c r="O193" s="211">
        <f t="shared" si="45"/>
        <v>41.292472750848006</v>
      </c>
      <c r="P193" s="211">
        <f t="shared" si="45"/>
        <v>15.792256221984003</v>
      </c>
      <c r="Q193" s="211">
        <f t="shared" si="45"/>
        <v>12.264710249088001</v>
      </c>
      <c r="R193" s="211">
        <f t="shared" si="45"/>
        <v>1.2207039197760001</v>
      </c>
      <c r="S193" s="211">
        <f t="shared" si="45"/>
        <v>5.6133156625920007E-2</v>
      </c>
      <c r="T193" s="174">
        <f t="shared" si="18"/>
        <v>0</v>
      </c>
      <c r="U193" s="1850">
        <f t="shared" si="46"/>
        <v>0</v>
      </c>
      <c r="V193" s="1850">
        <f t="shared" si="46"/>
        <v>0</v>
      </c>
      <c r="W193" s="1850">
        <f t="shared" si="46"/>
        <v>0</v>
      </c>
      <c r="X193" s="1850">
        <f t="shared" si="46"/>
        <v>0</v>
      </c>
      <c r="Y193" s="1850">
        <f t="shared" si="46"/>
        <v>0</v>
      </c>
      <c r="Z193" s="1850">
        <f t="shared" si="7"/>
        <v>0</v>
      </c>
      <c r="AA193" s="2733"/>
    </row>
    <row r="194" spans="1:27" ht="18.75" x14ac:dyDescent="0.25">
      <c r="A194" s="2738"/>
      <c r="B194" s="1863">
        <v>2027</v>
      </c>
      <c r="C194" s="221">
        <f t="shared" si="47"/>
        <v>0</v>
      </c>
      <c r="D194" s="218">
        <f t="shared" si="48"/>
        <v>0</v>
      </c>
      <c r="E194" s="218">
        <f t="shared" si="55"/>
        <v>0</v>
      </c>
      <c r="F194" s="221">
        <f t="shared" si="49"/>
        <v>0</v>
      </c>
      <c r="G194" s="221">
        <f t="shared" si="50"/>
        <v>0</v>
      </c>
      <c r="H194" s="221">
        <f t="shared" si="51"/>
        <v>0</v>
      </c>
      <c r="I194" s="221">
        <f t="shared" si="52"/>
        <v>0</v>
      </c>
      <c r="J194" s="221">
        <f t="shared" si="53"/>
        <v>0</v>
      </c>
      <c r="K194" s="221">
        <f t="shared" si="54"/>
        <v>0</v>
      </c>
      <c r="L194" s="192">
        <f t="shared" si="17"/>
        <v>0</v>
      </c>
      <c r="M194" s="211">
        <v>71</v>
      </c>
      <c r="N194" s="211">
        <f t="shared" si="45"/>
        <v>27.826265705040004</v>
      </c>
      <c r="O194" s="211">
        <f t="shared" si="45"/>
        <v>40.481421425280004</v>
      </c>
      <c r="P194" s="211">
        <f t="shared" si="45"/>
        <v>15.482070624240002</v>
      </c>
      <c r="Q194" s="211">
        <f t="shared" si="45"/>
        <v>12.023811391680001</v>
      </c>
      <c r="R194" s="211">
        <f t="shared" si="45"/>
        <v>1.1967273093600002</v>
      </c>
      <c r="S194" s="211">
        <f t="shared" si="45"/>
        <v>5.503061013120001E-2</v>
      </c>
      <c r="T194" s="174">
        <f t="shared" si="18"/>
        <v>0</v>
      </c>
      <c r="U194" s="1850">
        <f t="shared" si="46"/>
        <v>0</v>
      </c>
      <c r="V194" s="1850">
        <f t="shared" si="46"/>
        <v>0</v>
      </c>
      <c r="W194" s="1850">
        <f t="shared" si="46"/>
        <v>0</v>
      </c>
      <c r="X194" s="1850">
        <f t="shared" si="46"/>
        <v>0</v>
      </c>
      <c r="Y194" s="1850">
        <f t="shared" si="46"/>
        <v>0</v>
      </c>
      <c r="Z194" s="1850">
        <f t="shared" si="7"/>
        <v>0</v>
      </c>
      <c r="AA194" s="2733"/>
    </row>
    <row r="195" spans="1:27" ht="18.75" x14ac:dyDescent="0.25">
      <c r="A195" s="2738"/>
      <c r="B195" s="1863">
        <v>2028</v>
      </c>
      <c r="C195" s="221">
        <f t="shared" si="47"/>
        <v>0</v>
      </c>
      <c r="D195" s="218">
        <f t="shared" si="48"/>
        <v>0</v>
      </c>
      <c r="E195" s="218">
        <f t="shared" si="55"/>
        <v>0</v>
      </c>
      <c r="F195" s="221">
        <f t="shared" si="49"/>
        <v>0</v>
      </c>
      <c r="G195" s="221">
        <f t="shared" si="50"/>
        <v>0</v>
      </c>
      <c r="H195" s="221">
        <f t="shared" si="51"/>
        <v>0</v>
      </c>
      <c r="I195" s="221">
        <f t="shared" si="52"/>
        <v>0</v>
      </c>
      <c r="J195" s="221">
        <f t="shared" si="53"/>
        <v>0</v>
      </c>
      <c r="K195" s="221">
        <f t="shared" si="54"/>
        <v>0</v>
      </c>
      <c r="L195" s="192">
        <f t="shared" si="17"/>
        <v>0</v>
      </c>
      <c r="M195" s="211">
        <v>72</v>
      </c>
      <c r="N195" s="211">
        <f t="shared" si="45"/>
        <v>27.281803329792002</v>
      </c>
      <c r="O195" s="211">
        <f t="shared" si="45"/>
        <v>39.689342060544</v>
      </c>
      <c r="P195" s="211">
        <f t="shared" si="45"/>
        <v>15.179140829952001</v>
      </c>
      <c r="Q195" s="211">
        <f t="shared" si="45"/>
        <v>11.788547595263999</v>
      </c>
      <c r="R195" s="211">
        <f t="shared" si="45"/>
        <v>1.173311555328</v>
      </c>
      <c r="S195" s="211">
        <f t="shared" si="45"/>
        <v>5.3953854197759998E-2</v>
      </c>
      <c r="T195" s="174">
        <f t="shared" si="18"/>
        <v>0</v>
      </c>
      <c r="U195" s="1850">
        <f t="shared" si="46"/>
        <v>0</v>
      </c>
      <c r="V195" s="1850">
        <f t="shared" si="46"/>
        <v>0</v>
      </c>
      <c r="W195" s="1850">
        <f t="shared" si="46"/>
        <v>0</v>
      </c>
      <c r="X195" s="1850">
        <f t="shared" si="46"/>
        <v>0</v>
      </c>
      <c r="Y195" s="1850">
        <f t="shared" si="46"/>
        <v>0</v>
      </c>
      <c r="Z195" s="1850">
        <f t="shared" si="7"/>
        <v>0</v>
      </c>
      <c r="AA195" s="2733"/>
    </row>
    <row r="196" spans="1:27" ht="18.75" x14ac:dyDescent="0.25">
      <c r="A196" s="2738"/>
      <c r="B196" s="1863">
        <v>2029</v>
      </c>
      <c r="C196" s="221">
        <f t="shared" si="47"/>
        <v>0</v>
      </c>
      <c r="D196" s="218">
        <f t="shared" si="48"/>
        <v>0</v>
      </c>
      <c r="E196" s="218">
        <f t="shared" si="55"/>
        <v>0</v>
      </c>
      <c r="F196" s="221">
        <f t="shared" si="49"/>
        <v>0</v>
      </c>
      <c r="G196" s="221">
        <f t="shared" si="50"/>
        <v>0</v>
      </c>
      <c r="H196" s="221">
        <f t="shared" si="51"/>
        <v>0</v>
      </c>
      <c r="I196" s="221">
        <f t="shared" si="52"/>
        <v>0</v>
      </c>
      <c r="J196" s="221">
        <f t="shared" si="53"/>
        <v>0</v>
      </c>
      <c r="K196" s="221">
        <f t="shared" si="54"/>
        <v>0</v>
      </c>
      <c r="L196" s="192">
        <f t="shared" si="17"/>
        <v>0</v>
      </c>
      <c r="M196" s="211">
        <v>73</v>
      </c>
      <c r="N196" s="211">
        <f t="shared" ref="N196:S205" si="56">N43</f>
        <v>26.743861462032005</v>
      </c>
      <c r="O196" s="211">
        <f t="shared" si="56"/>
        <v>38.906748676224005</v>
      </c>
      <c r="P196" s="211">
        <f t="shared" si="56"/>
        <v>14.879838937392002</v>
      </c>
      <c r="Q196" s="211">
        <f t="shared" si="56"/>
        <v>11.556101329344001</v>
      </c>
      <c r="R196" s="211">
        <f t="shared" si="56"/>
        <v>1.1501762294880002</v>
      </c>
      <c r="S196" s="211">
        <f t="shared" si="56"/>
        <v>5.2889993544960004E-2</v>
      </c>
      <c r="T196" s="174">
        <f t="shared" si="18"/>
        <v>0</v>
      </c>
      <c r="U196" s="1850">
        <f t="shared" si="46"/>
        <v>0</v>
      </c>
      <c r="V196" s="1850">
        <f t="shared" si="46"/>
        <v>0</v>
      </c>
      <c r="W196" s="1850">
        <f t="shared" si="46"/>
        <v>0</v>
      </c>
      <c r="X196" s="1850">
        <f t="shared" si="46"/>
        <v>0</v>
      </c>
      <c r="Y196" s="1850">
        <f t="shared" si="46"/>
        <v>0</v>
      </c>
      <c r="Z196" s="1850">
        <f t="shared" si="7"/>
        <v>0</v>
      </c>
      <c r="AA196" s="2733"/>
    </row>
    <row r="197" spans="1:27" ht="18.75" x14ac:dyDescent="0.25">
      <c r="A197" s="2738"/>
      <c r="B197" s="1863">
        <v>2030</v>
      </c>
      <c r="C197" s="221">
        <f t="shared" si="47"/>
        <v>0</v>
      </c>
      <c r="D197" s="218">
        <f t="shared" si="48"/>
        <v>0</v>
      </c>
      <c r="E197" s="218">
        <f t="shared" si="55"/>
        <v>0</v>
      </c>
      <c r="F197" s="221">
        <f t="shared" si="49"/>
        <v>0</v>
      </c>
      <c r="G197" s="221">
        <f t="shared" si="50"/>
        <v>0</v>
      </c>
      <c r="H197" s="221">
        <f t="shared" si="51"/>
        <v>0</v>
      </c>
      <c r="I197" s="221">
        <f t="shared" si="52"/>
        <v>0</v>
      </c>
      <c r="J197" s="221">
        <f t="shared" si="53"/>
        <v>0</v>
      </c>
      <c r="K197" s="221">
        <f t="shared" si="54"/>
        <v>0</v>
      </c>
      <c r="L197" s="192">
        <f t="shared" si="17"/>
        <v>0</v>
      </c>
      <c r="M197" s="211">
        <v>75</v>
      </c>
      <c r="N197" s="211">
        <f t="shared" si="56"/>
        <v>26.222220862992003</v>
      </c>
      <c r="O197" s="211">
        <f t="shared" si="56"/>
        <v>38.147870242944002</v>
      </c>
      <c r="P197" s="211">
        <f t="shared" si="56"/>
        <v>14.589606799152003</v>
      </c>
      <c r="Q197" s="211">
        <f t="shared" si="56"/>
        <v>11.330698889664001</v>
      </c>
      <c r="R197" s="211">
        <f t="shared" si="56"/>
        <v>1.1277419741280001</v>
      </c>
      <c r="S197" s="211">
        <f t="shared" si="56"/>
        <v>5.1858371093760007E-2</v>
      </c>
      <c r="T197" s="174">
        <f t="shared" si="18"/>
        <v>0</v>
      </c>
      <c r="U197" s="1850">
        <f t="shared" si="46"/>
        <v>0</v>
      </c>
      <c r="V197" s="1850">
        <f t="shared" si="46"/>
        <v>0</v>
      </c>
      <c r="W197" s="1850">
        <f t="shared" si="46"/>
        <v>0</v>
      </c>
      <c r="X197" s="1850">
        <f t="shared" si="46"/>
        <v>0</v>
      </c>
      <c r="Y197" s="1850">
        <f t="shared" si="46"/>
        <v>0</v>
      </c>
      <c r="Z197" s="1850">
        <f t="shared" si="7"/>
        <v>0</v>
      </c>
      <c r="AA197" s="2733"/>
    </row>
    <row r="198" spans="1:27" ht="18.75" x14ac:dyDescent="0.25">
      <c r="A198" s="2738"/>
      <c r="B198" s="1863">
        <v>2031</v>
      </c>
      <c r="C198" s="221">
        <f t="shared" si="47"/>
        <v>0</v>
      </c>
      <c r="D198" s="218">
        <f t="shared" si="48"/>
        <v>0</v>
      </c>
      <c r="E198" s="218">
        <f t="shared" si="55"/>
        <v>0</v>
      </c>
      <c r="F198" s="221">
        <f t="shared" si="49"/>
        <v>0</v>
      </c>
      <c r="G198" s="221">
        <f t="shared" si="50"/>
        <v>0</v>
      </c>
      <c r="H198" s="221">
        <f t="shared" si="51"/>
        <v>0</v>
      </c>
      <c r="I198" s="221">
        <f t="shared" si="52"/>
        <v>0</v>
      </c>
      <c r="J198" s="221">
        <f t="shared" si="53"/>
        <v>0</v>
      </c>
      <c r="K198" s="221">
        <f t="shared" si="54"/>
        <v>0</v>
      </c>
      <c r="L198" s="192">
        <f t="shared" si="17"/>
        <v>0</v>
      </c>
      <c r="M198" s="211">
        <v>76</v>
      </c>
      <c r="N198" s="211">
        <f t="shared" si="56"/>
        <v>25.70710077144</v>
      </c>
      <c r="O198" s="211">
        <f t="shared" si="56"/>
        <v>37.398477790080001</v>
      </c>
      <c r="P198" s="211">
        <f t="shared" si="56"/>
        <v>14.303002562640001</v>
      </c>
      <c r="Q198" s="211">
        <f t="shared" si="56"/>
        <v>11.108113980480001</v>
      </c>
      <c r="R198" s="211">
        <f t="shared" si="56"/>
        <v>1.1055881469600002</v>
      </c>
      <c r="S198" s="211">
        <f t="shared" si="56"/>
        <v>5.0839643923200006E-2</v>
      </c>
      <c r="T198" s="174">
        <f t="shared" si="18"/>
        <v>0</v>
      </c>
      <c r="U198" s="1850">
        <f t="shared" si="46"/>
        <v>0</v>
      </c>
      <c r="V198" s="1850">
        <f t="shared" si="46"/>
        <v>0</v>
      </c>
      <c r="W198" s="1850">
        <f t="shared" si="46"/>
        <v>0</v>
      </c>
      <c r="X198" s="1850">
        <f t="shared" si="46"/>
        <v>0</v>
      </c>
      <c r="Y198" s="1850">
        <f t="shared" si="46"/>
        <v>0</v>
      </c>
      <c r="Z198" s="1850">
        <f t="shared" si="7"/>
        <v>0</v>
      </c>
      <c r="AA198" s="2733"/>
    </row>
    <row r="199" spans="1:27" ht="18.75" x14ac:dyDescent="0.25">
      <c r="A199" s="2738"/>
      <c r="B199" s="1863">
        <v>2032</v>
      </c>
      <c r="C199" s="221">
        <f t="shared" si="47"/>
        <v>0</v>
      </c>
      <c r="D199" s="218">
        <f t="shared" si="48"/>
        <v>0</v>
      </c>
      <c r="E199" s="218">
        <f t="shared" si="55"/>
        <v>0</v>
      </c>
      <c r="F199" s="221">
        <f t="shared" si="49"/>
        <v>0</v>
      </c>
      <c r="G199" s="221">
        <f t="shared" si="50"/>
        <v>0</v>
      </c>
      <c r="H199" s="221">
        <f t="shared" si="51"/>
        <v>0</v>
      </c>
      <c r="I199" s="221">
        <f t="shared" si="52"/>
        <v>0</v>
      </c>
      <c r="J199" s="221">
        <f t="shared" si="53"/>
        <v>0</v>
      </c>
      <c r="K199" s="221">
        <f t="shared" si="54"/>
        <v>0</v>
      </c>
      <c r="L199" s="192">
        <f t="shared" ref="L199:L262" si="57">(C199/1000)+(D199/1000)+(E199/1000)</f>
        <v>0</v>
      </c>
      <c r="M199" s="211">
        <v>77</v>
      </c>
      <c r="N199" s="211">
        <f t="shared" si="56"/>
        <v>25.201761441120002</v>
      </c>
      <c r="O199" s="211">
        <f t="shared" si="56"/>
        <v>36.663314307840004</v>
      </c>
      <c r="P199" s="211">
        <f t="shared" si="56"/>
        <v>14.021840178720002</v>
      </c>
      <c r="Q199" s="211">
        <f t="shared" si="56"/>
        <v>10.889755367040001</v>
      </c>
      <c r="R199" s="211">
        <f t="shared" si="56"/>
        <v>1.0838549620800002</v>
      </c>
      <c r="S199" s="211">
        <f t="shared" si="56"/>
        <v>4.9840259673600007E-2</v>
      </c>
      <c r="T199" s="174">
        <f t="shared" ref="T199:T262" si="58">L199*M199</f>
        <v>0</v>
      </c>
      <c r="U199" s="1850">
        <f t="shared" si="46"/>
        <v>0</v>
      </c>
      <c r="V199" s="1850">
        <f t="shared" si="46"/>
        <v>0</v>
      </c>
      <c r="W199" s="1850">
        <f t="shared" si="46"/>
        <v>0</v>
      </c>
      <c r="X199" s="1850">
        <f t="shared" si="46"/>
        <v>0</v>
      </c>
      <c r="Y199" s="1850">
        <f t="shared" si="46"/>
        <v>0</v>
      </c>
      <c r="Z199" s="1850">
        <f t="shared" ref="Z199:Z262" si="59">S199*K199</f>
        <v>0</v>
      </c>
      <c r="AA199" s="2733"/>
    </row>
    <row r="200" spans="1:27" ht="18.75" x14ac:dyDescent="0.25">
      <c r="A200" s="2738"/>
      <c r="B200" s="1863">
        <v>2033</v>
      </c>
      <c r="C200" s="221">
        <f t="shared" si="47"/>
        <v>0</v>
      </c>
      <c r="D200" s="218">
        <f t="shared" si="48"/>
        <v>0</v>
      </c>
      <c r="E200" s="218">
        <f t="shared" si="55"/>
        <v>0</v>
      </c>
      <c r="F200" s="221">
        <f t="shared" si="49"/>
        <v>0</v>
      </c>
      <c r="G200" s="221">
        <f t="shared" si="50"/>
        <v>0</v>
      </c>
      <c r="H200" s="221">
        <f t="shared" si="51"/>
        <v>0</v>
      </c>
      <c r="I200" s="221">
        <f t="shared" si="52"/>
        <v>0</v>
      </c>
      <c r="J200" s="221">
        <f t="shared" si="53"/>
        <v>0</v>
      </c>
      <c r="K200" s="221">
        <f t="shared" si="54"/>
        <v>0</v>
      </c>
      <c r="L200" s="192">
        <f t="shared" si="57"/>
        <v>0</v>
      </c>
      <c r="M200" s="211">
        <v>78</v>
      </c>
      <c r="N200" s="211">
        <f t="shared" si="56"/>
        <v>24.709463125776001</v>
      </c>
      <c r="O200" s="211">
        <f t="shared" si="56"/>
        <v>35.947122786432004</v>
      </c>
      <c r="P200" s="211">
        <f t="shared" si="56"/>
        <v>13.747933598256003</v>
      </c>
      <c r="Q200" s="211">
        <f t="shared" si="56"/>
        <v>10.677031814592</v>
      </c>
      <c r="R200" s="211">
        <f t="shared" si="56"/>
        <v>1.0626826335840001</v>
      </c>
      <c r="S200" s="211">
        <f t="shared" si="56"/>
        <v>4.8866665985280007E-2</v>
      </c>
      <c r="T200" s="174">
        <f t="shared" si="58"/>
        <v>0</v>
      </c>
      <c r="U200" s="1850">
        <f t="shared" si="46"/>
        <v>0</v>
      </c>
      <c r="V200" s="1850">
        <f t="shared" si="46"/>
        <v>0</v>
      </c>
      <c r="W200" s="1850">
        <f t="shared" si="46"/>
        <v>0</v>
      </c>
      <c r="X200" s="1850">
        <f t="shared" si="46"/>
        <v>0</v>
      </c>
      <c r="Y200" s="1850">
        <f t="shared" si="46"/>
        <v>0</v>
      </c>
      <c r="Z200" s="1850">
        <f t="shared" si="59"/>
        <v>0</v>
      </c>
      <c r="AA200" s="2733"/>
    </row>
    <row r="201" spans="1:27" ht="18.75" x14ac:dyDescent="0.25">
      <c r="A201" s="2738"/>
      <c r="B201" s="1863">
        <v>2034</v>
      </c>
      <c r="C201" s="221">
        <f t="shared" si="47"/>
        <v>0</v>
      </c>
      <c r="D201" s="218">
        <f t="shared" si="48"/>
        <v>0</v>
      </c>
      <c r="E201" s="218">
        <f t="shared" si="55"/>
        <v>0</v>
      </c>
      <c r="F201" s="221">
        <f t="shared" si="49"/>
        <v>0</v>
      </c>
      <c r="G201" s="221">
        <f t="shared" si="50"/>
        <v>0</v>
      </c>
      <c r="H201" s="221">
        <f t="shared" si="51"/>
        <v>0</v>
      </c>
      <c r="I201" s="221">
        <f t="shared" si="52"/>
        <v>0</v>
      </c>
      <c r="J201" s="221">
        <f t="shared" si="53"/>
        <v>0</v>
      </c>
      <c r="K201" s="221">
        <f t="shared" si="54"/>
        <v>0</v>
      </c>
      <c r="L201" s="192">
        <f t="shared" si="57"/>
        <v>0</v>
      </c>
      <c r="M201" s="211">
        <v>79</v>
      </c>
      <c r="N201" s="211">
        <f t="shared" si="56"/>
        <v>24.223685317920005</v>
      </c>
      <c r="O201" s="211">
        <f t="shared" si="56"/>
        <v>35.24041724544</v>
      </c>
      <c r="P201" s="211">
        <f t="shared" si="56"/>
        <v>13.477654919520001</v>
      </c>
      <c r="Q201" s="211">
        <f t="shared" si="56"/>
        <v>10.467125792640001</v>
      </c>
      <c r="R201" s="211">
        <f t="shared" si="56"/>
        <v>1.04179073328</v>
      </c>
      <c r="S201" s="211">
        <f t="shared" si="56"/>
        <v>4.7905967577600003E-2</v>
      </c>
      <c r="T201" s="174">
        <f t="shared" si="58"/>
        <v>0</v>
      </c>
      <c r="U201" s="1850">
        <f t="shared" si="46"/>
        <v>0</v>
      </c>
      <c r="V201" s="1850">
        <f t="shared" si="46"/>
        <v>0</v>
      </c>
      <c r="W201" s="1850">
        <f t="shared" si="46"/>
        <v>0</v>
      </c>
      <c r="X201" s="1850">
        <f t="shared" si="46"/>
        <v>0</v>
      </c>
      <c r="Y201" s="1850">
        <f t="shared" si="46"/>
        <v>0</v>
      </c>
      <c r="Z201" s="1850">
        <f t="shared" si="59"/>
        <v>0</v>
      </c>
      <c r="AA201" s="2733"/>
    </row>
    <row r="202" spans="1:27" ht="18.75" x14ac:dyDescent="0.25">
      <c r="A202" s="2738"/>
      <c r="B202" s="1863">
        <v>2035</v>
      </c>
      <c r="C202" s="221">
        <f t="shared" si="47"/>
        <v>0</v>
      </c>
      <c r="D202" s="218">
        <f t="shared" si="48"/>
        <v>0</v>
      </c>
      <c r="E202" s="218">
        <f t="shared" si="55"/>
        <v>0</v>
      </c>
      <c r="F202" s="221">
        <f t="shared" si="49"/>
        <v>0</v>
      </c>
      <c r="G202" s="221">
        <f t="shared" si="50"/>
        <v>0</v>
      </c>
      <c r="H202" s="221">
        <f t="shared" si="51"/>
        <v>0</v>
      </c>
      <c r="I202" s="221">
        <f t="shared" si="52"/>
        <v>0</v>
      </c>
      <c r="J202" s="221">
        <f t="shared" si="53"/>
        <v>0</v>
      </c>
      <c r="K202" s="221">
        <f t="shared" si="54"/>
        <v>0</v>
      </c>
      <c r="L202" s="192">
        <f t="shared" si="57"/>
        <v>0</v>
      </c>
      <c r="M202" s="211">
        <v>80</v>
      </c>
      <c r="N202" s="211">
        <f t="shared" si="56"/>
        <v>23.747688271296006</v>
      </c>
      <c r="O202" s="211">
        <f t="shared" si="56"/>
        <v>34.547940675072006</v>
      </c>
      <c r="P202" s="211">
        <f t="shared" si="56"/>
        <v>13.212818093376002</v>
      </c>
      <c r="Q202" s="211">
        <f t="shared" si="56"/>
        <v>10.261446066432002</v>
      </c>
      <c r="R202" s="211">
        <f t="shared" si="56"/>
        <v>1.0213194752640002</v>
      </c>
      <c r="S202" s="211">
        <f t="shared" si="56"/>
        <v>4.6964612090880008E-2</v>
      </c>
      <c r="T202" s="174">
        <f t="shared" si="58"/>
        <v>0</v>
      </c>
      <c r="U202" s="1850">
        <f t="shared" si="46"/>
        <v>0</v>
      </c>
      <c r="V202" s="1850">
        <f t="shared" si="46"/>
        <v>0</v>
      </c>
      <c r="W202" s="1850">
        <f t="shared" si="46"/>
        <v>0</v>
      </c>
      <c r="X202" s="1850">
        <f t="shared" si="46"/>
        <v>0</v>
      </c>
      <c r="Y202" s="1850">
        <f t="shared" si="46"/>
        <v>0</v>
      </c>
      <c r="Z202" s="1850">
        <f t="shared" si="59"/>
        <v>0</v>
      </c>
      <c r="AA202" s="2733"/>
    </row>
    <row r="203" spans="1:27" ht="18.75" x14ac:dyDescent="0.25">
      <c r="A203" s="2738"/>
      <c r="B203" s="1863">
        <v>2036</v>
      </c>
      <c r="C203" s="221">
        <f t="shared" si="47"/>
        <v>0</v>
      </c>
      <c r="D203" s="218">
        <f t="shared" si="48"/>
        <v>0</v>
      </c>
      <c r="E203" s="218">
        <f t="shared" si="55"/>
        <v>0</v>
      </c>
      <c r="F203" s="221">
        <f t="shared" si="49"/>
        <v>0</v>
      </c>
      <c r="G203" s="221">
        <f t="shared" si="50"/>
        <v>0</v>
      </c>
      <c r="H203" s="221">
        <f t="shared" si="51"/>
        <v>0</v>
      </c>
      <c r="I203" s="221">
        <f t="shared" si="52"/>
        <v>0</v>
      </c>
      <c r="J203" s="221">
        <f t="shared" si="53"/>
        <v>0</v>
      </c>
      <c r="K203" s="221">
        <f t="shared" si="54"/>
        <v>0</v>
      </c>
      <c r="L203" s="192">
        <f t="shared" si="57"/>
        <v>0</v>
      </c>
      <c r="M203" s="211">
        <v>81</v>
      </c>
      <c r="N203" s="211">
        <f t="shared" si="56"/>
        <v>23.284732239648001</v>
      </c>
      <c r="O203" s="211">
        <f t="shared" si="56"/>
        <v>33.874436065536003</v>
      </c>
      <c r="P203" s="211">
        <f t="shared" si="56"/>
        <v>12.955237070688</v>
      </c>
      <c r="Q203" s="211">
        <f t="shared" si="56"/>
        <v>10.061401401215999</v>
      </c>
      <c r="R203" s="211">
        <f t="shared" si="56"/>
        <v>1.001409073632</v>
      </c>
      <c r="S203" s="211">
        <f t="shared" si="56"/>
        <v>4.6049047165439998E-2</v>
      </c>
      <c r="T203" s="174">
        <f t="shared" si="58"/>
        <v>0</v>
      </c>
      <c r="U203" s="1850">
        <f t="shared" si="46"/>
        <v>0</v>
      </c>
      <c r="V203" s="1850">
        <f t="shared" si="46"/>
        <v>0</v>
      </c>
      <c r="W203" s="1850">
        <f t="shared" si="46"/>
        <v>0</v>
      </c>
      <c r="X203" s="1850">
        <f t="shared" si="46"/>
        <v>0</v>
      </c>
      <c r="Y203" s="1850">
        <f t="shared" si="46"/>
        <v>0</v>
      </c>
      <c r="Z203" s="1850">
        <f t="shared" si="59"/>
        <v>0</v>
      </c>
      <c r="AA203" s="2733"/>
    </row>
    <row r="204" spans="1:27" ht="18.75" x14ac:dyDescent="0.25">
      <c r="A204" s="2738"/>
      <c r="B204" s="1863">
        <v>2037</v>
      </c>
      <c r="C204" s="221">
        <f t="shared" si="47"/>
        <v>0</v>
      </c>
      <c r="D204" s="218">
        <f t="shared" si="48"/>
        <v>0</v>
      </c>
      <c r="E204" s="218">
        <f t="shared" si="55"/>
        <v>0</v>
      </c>
      <c r="F204" s="221">
        <f t="shared" si="49"/>
        <v>0</v>
      </c>
      <c r="G204" s="221">
        <f t="shared" si="50"/>
        <v>0</v>
      </c>
      <c r="H204" s="221">
        <f t="shared" si="51"/>
        <v>0</v>
      </c>
      <c r="I204" s="221">
        <f t="shared" si="52"/>
        <v>0</v>
      </c>
      <c r="J204" s="221">
        <f t="shared" si="53"/>
        <v>0</v>
      </c>
      <c r="K204" s="221">
        <f t="shared" si="54"/>
        <v>0</v>
      </c>
      <c r="L204" s="192">
        <f t="shared" si="57"/>
        <v>0</v>
      </c>
      <c r="M204" s="211">
        <v>83</v>
      </c>
      <c r="N204" s="211">
        <f t="shared" si="56"/>
        <v>22.828296715488005</v>
      </c>
      <c r="O204" s="211">
        <f t="shared" si="56"/>
        <v>33.210417436416002</v>
      </c>
      <c r="P204" s="211">
        <f t="shared" si="56"/>
        <v>12.701283949728003</v>
      </c>
      <c r="Q204" s="211">
        <f t="shared" si="56"/>
        <v>9.8641742664960006</v>
      </c>
      <c r="R204" s="211">
        <f t="shared" si="56"/>
        <v>0.9817791001920001</v>
      </c>
      <c r="S204" s="211">
        <f t="shared" si="56"/>
        <v>4.5146377520640005E-2</v>
      </c>
      <c r="T204" s="174">
        <f t="shared" si="58"/>
        <v>0</v>
      </c>
      <c r="U204" s="1850">
        <f t="shared" si="46"/>
        <v>0</v>
      </c>
      <c r="V204" s="1850">
        <f t="shared" si="46"/>
        <v>0</v>
      </c>
      <c r="W204" s="1850">
        <f t="shared" si="46"/>
        <v>0</v>
      </c>
      <c r="X204" s="1850">
        <f t="shared" si="46"/>
        <v>0</v>
      </c>
      <c r="Y204" s="1850">
        <f t="shared" si="46"/>
        <v>0</v>
      </c>
      <c r="Z204" s="1850">
        <f t="shared" si="59"/>
        <v>0</v>
      </c>
      <c r="AA204" s="2733"/>
    </row>
    <row r="205" spans="1:27" ht="18.75" x14ac:dyDescent="0.25">
      <c r="A205" s="2738"/>
      <c r="B205" s="1863">
        <v>2038</v>
      </c>
      <c r="C205" s="221">
        <f t="shared" si="47"/>
        <v>0</v>
      </c>
      <c r="D205" s="218">
        <f t="shared" si="48"/>
        <v>0</v>
      </c>
      <c r="E205" s="218">
        <f t="shared" si="55"/>
        <v>0</v>
      </c>
      <c r="F205" s="221">
        <f t="shared" si="49"/>
        <v>0</v>
      </c>
      <c r="G205" s="221">
        <f t="shared" si="50"/>
        <v>0</v>
      </c>
      <c r="H205" s="221">
        <f t="shared" si="51"/>
        <v>0</v>
      </c>
      <c r="I205" s="221">
        <f t="shared" si="52"/>
        <v>0</v>
      </c>
      <c r="J205" s="221">
        <f t="shared" si="53"/>
        <v>0</v>
      </c>
      <c r="K205" s="221">
        <f t="shared" si="54"/>
        <v>0</v>
      </c>
      <c r="L205" s="192">
        <f t="shared" si="57"/>
        <v>0</v>
      </c>
      <c r="M205" s="211">
        <v>84</v>
      </c>
      <c r="N205" s="211">
        <f t="shared" si="56"/>
        <v>22.378381698816003</v>
      </c>
      <c r="O205" s="211">
        <f t="shared" si="56"/>
        <v>32.555884787712003</v>
      </c>
      <c r="P205" s="211">
        <f t="shared" si="56"/>
        <v>12.450958730496001</v>
      </c>
      <c r="Q205" s="211">
        <f t="shared" si="56"/>
        <v>9.6697646622720015</v>
      </c>
      <c r="R205" s="211">
        <f t="shared" si="56"/>
        <v>0.96242955494400007</v>
      </c>
      <c r="S205" s="211">
        <f t="shared" si="56"/>
        <v>4.4256603156480001E-2</v>
      </c>
      <c r="T205" s="174">
        <f t="shared" si="58"/>
        <v>0</v>
      </c>
      <c r="U205" s="1850">
        <f t="shared" si="46"/>
        <v>0</v>
      </c>
      <c r="V205" s="1850">
        <f t="shared" si="46"/>
        <v>0</v>
      </c>
      <c r="W205" s="1850">
        <f t="shared" si="46"/>
        <v>0</v>
      </c>
      <c r="X205" s="1850">
        <f t="shared" si="46"/>
        <v>0</v>
      </c>
      <c r="Y205" s="1850">
        <f t="shared" si="46"/>
        <v>0</v>
      </c>
      <c r="Z205" s="1850">
        <f t="shared" si="59"/>
        <v>0</v>
      </c>
      <c r="AA205" s="2733"/>
    </row>
    <row r="206" spans="1:27" ht="18.75" x14ac:dyDescent="0.25">
      <c r="A206" s="2738"/>
      <c r="B206" s="1863">
        <v>2039</v>
      </c>
      <c r="C206" s="221">
        <f t="shared" si="47"/>
        <v>0</v>
      </c>
      <c r="D206" s="218">
        <f t="shared" si="48"/>
        <v>0</v>
      </c>
      <c r="E206" s="218">
        <f t="shared" si="55"/>
        <v>0</v>
      </c>
      <c r="F206" s="221">
        <f t="shared" si="49"/>
        <v>0</v>
      </c>
      <c r="G206" s="221">
        <f t="shared" si="50"/>
        <v>0</v>
      </c>
      <c r="H206" s="221">
        <f t="shared" si="51"/>
        <v>0</v>
      </c>
      <c r="I206" s="221">
        <f t="shared" si="52"/>
        <v>0</v>
      </c>
      <c r="J206" s="221">
        <f t="shared" si="53"/>
        <v>0</v>
      </c>
      <c r="K206" s="221">
        <f t="shared" si="54"/>
        <v>0</v>
      </c>
      <c r="L206" s="192">
        <f t="shared" si="57"/>
        <v>0</v>
      </c>
      <c r="M206" s="211">
        <v>85</v>
      </c>
      <c r="N206" s="211">
        <f t="shared" ref="N206:S215" si="60">N53</f>
        <v>21.941507697120006</v>
      </c>
      <c r="O206" s="211">
        <f t="shared" si="60"/>
        <v>31.920324099840006</v>
      </c>
      <c r="P206" s="211">
        <f t="shared" si="60"/>
        <v>12.207889314720003</v>
      </c>
      <c r="Q206" s="211">
        <f t="shared" si="60"/>
        <v>9.4809901190400012</v>
      </c>
      <c r="R206" s="211">
        <f t="shared" si="60"/>
        <v>0.9436408660800002</v>
      </c>
      <c r="S206" s="211">
        <f t="shared" si="60"/>
        <v>4.3392619353600011E-2</v>
      </c>
      <c r="T206" s="174">
        <f t="shared" si="58"/>
        <v>0</v>
      </c>
      <c r="U206" s="1850">
        <f t="shared" si="46"/>
        <v>0</v>
      </c>
      <c r="V206" s="1850">
        <f t="shared" si="46"/>
        <v>0</v>
      </c>
      <c r="W206" s="1850">
        <f t="shared" si="46"/>
        <v>0</v>
      </c>
      <c r="X206" s="1850">
        <f t="shared" si="46"/>
        <v>0</v>
      </c>
      <c r="Y206" s="1850">
        <f t="shared" si="46"/>
        <v>0</v>
      </c>
      <c r="Z206" s="1850">
        <f t="shared" si="59"/>
        <v>0</v>
      </c>
      <c r="AA206" s="2733"/>
    </row>
    <row r="207" spans="1:27" ht="18.75" x14ac:dyDescent="0.25">
      <c r="A207" s="2738"/>
      <c r="B207" s="1863">
        <v>2040</v>
      </c>
      <c r="C207" s="221">
        <f t="shared" si="47"/>
        <v>0</v>
      </c>
      <c r="D207" s="218">
        <f t="shared" si="48"/>
        <v>0</v>
      </c>
      <c r="E207" s="218">
        <f t="shared" si="55"/>
        <v>0</v>
      </c>
      <c r="F207" s="221">
        <f t="shared" si="49"/>
        <v>0</v>
      </c>
      <c r="G207" s="221">
        <f t="shared" si="50"/>
        <v>0</v>
      </c>
      <c r="H207" s="221">
        <f t="shared" si="51"/>
        <v>0</v>
      </c>
      <c r="I207" s="221">
        <f t="shared" si="52"/>
        <v>0</v>
      </c>
      <c r="J207" s="221">
        <f t="shared" si="53"/>
        <v>0</v>
      </c>
      <c r="K207" s="221">
        <f t="shared" si="54"/>
        <v>0</v>
      </c>
      <c r="L207" s="192">
        <f t="shared" si="57"/>
        <v>0</v>
      </c>
      <c r="M207" s="211">
        <v>86</v>
      </c>
      <c r="N207" s="211">
        <f t="shared" si="60"/>
        <v>21.511154202912003</v>
      </c>
      <c r="O207" s="211">
        <f t="shared" si="60"/>
        <v>31.294249392384003</v>
      </c>
      <c r="P207" s="211">
        <f t="shared" si="60"/>
        <v>11.968447800672001</v>
      </c>
      <c r="Q207" s="211">
        <f t="shared" si="60"/>
        <v>9.2950331063040004</v>
      </c>
      <c r="R207" s="211">
        <f t="shared" si="60"/>
        <v>0.92513260540800013</v>
      </c>
      <c r="S207" s="211">
        <f t="shared" si="60"/>
        <v>4.254153083136001E-2</v>
      </c>
      <c r="T207" s="174">
        <f t="shared" si="58"/>
        <v>0</v>
      </c>
      <c r="U207" s="1850">
        <f t="shared" si="46"/>
        <v>0</v>
      </c>
      <c r="V207" s="1850">
        <f t="shared" si="46"/>
        <v>0</v>
      </c>
      <c r="W207" s="1850">
        <f t="shared" si="46"/>
        <v>0</v>
      </c>
      <c r="X207" s="1850">
        <f t="shared" si="46"/>
        <v>0</v>
      </c>
      <c r="Y207" s="1850">
        <f t="shared" si="46"/>
        <v>0</v>
      </c>
      <c r="Z207" s="1850">
        <f t="shared" si="59"/>
        <v>0</v>
      </c>
      <c r="AA207" s="2733"/>
    </row>
    <row r="208" spans="1:27" ht="18.75" x14ac:dyDescent="0.25">
      <c r="A208" s="2738"/>
      <c r="B208" s="1863">
        <v>2041</v>
      </c>
      <c r="C208" s="221">
        <f t="shared" si="47"/>
        <v>0</v>
      </c>
      <c r="D208" s="218">
        <f t="shared" si="48"/>
        <v>0</v>
      </c>
      <c r="E208" s="218">
        <f t="shared" si="55"/>
        <v>0</v>
      </c>
      <c r="F208" s="221">
        <f t="shared" si="49"/>
        <v>0</v>
      </c>
      <c r="G208" s="221">
        <f t="shared" si="50"/>
        <v>0</v>
      </c>
      <c r="H208" s="221">
        <f t="shared" si="51"/>
        <v>0</v>
      </c>
      <c r="I208" s="221">
        <f t="shared" si="52"/>
        <v>0</v>
      </c>
      <c r="J208" s="221">
        <f t="shared" si="53"/>
        <v>0</v>
      </c>
      <c r="K208" s="221">
        <f t="shared" si="54"/>
        <v>0</v>
      </c>
      <c r="L208" s="192">
        <f t="shared" si="57"/>
        <v>0</v>
      </c>
      <c r="M208" s="211">
        <v>87</v>
      </c>
      <c r="N208" s="211">
        <f t="shared" si="60"/>
        <v>21.087321216192002</v>
      </c>
      <c r="O208" s="211">
        <f t="shared" si="60"/>
        <v>30.677660665344007</v>
      </c>
      <c r="P208" s="211">
        <f t="shared" si="60"/>
        <v>11.732634188352002</v>
      </c>
      <c r="Q208" s="211">
        <f t="shared" si="60"/>
        <v>9.1118936240640007</v>
      </c>
      <c r="R208" s="211">
        <f t="shared" si="60"/>
        <v>0.9069047729280002</v>
      </c>
      <c r="S208" s="211">
        <f t="shared" si="60"/>
        <v>4.1703337589760005E-2</v>
      </c>
      <c r="T208" s="174">
        <f t="shared" si="58"/>
        <v>0</v>
      </c>
      <c r="U208" s="1850">
        <f t="shared" si="46"/>
        <v>0</v>
      </c>
      <c r="V208" s="1850">
        <f t="shared" si="46"/>
        <v>0</v>
      </c>
      <c r="W208" s="1850">
        <f t="shared" si="46"/>
        <v>0</v>
      </c>
      <c r="X208" s="1850">
        <f t="shared" si="46"/>
        <v>0</v>
      </c>
      <c r="Y208" s="1850">
        <f t="shared" si="46"/>
        <v>0</v>
      </c>
      <c r="Z208" s="1850">
        <f t="shared" si="59"/>
        <v>0</v>
      </c>
      <c r="AA208" s="2733"/>
    </row>
    <row r="209" spans="1:27" ht="18.75" x14ac:dyDescent="0.25">
      <c r="A209" s="2738"/>
      <c r="B209" s="1863">
        <v>2042</v>
      </c>
      <c r="C209" s="221">
        <f t="shared" si="47"/>
        <v>0</v>
      </c>
      <c r="D209" s="218">
        <f t="shared" si="48"/>
        <v>0</v>
      </c>
      <c r="E209" s="218">
        <f t="shared" si="55"/>
        <v>0</v>
      </c>
      <c r="F209" s="221">
        <f t="shared" si="49"/>
        <v>0</v>
      </c>
      <c r="G209" s="221">
        <f t="shared" si="50"/>
        <v>0</v>
      </c>
      <c r="H209" s="221">
        <f t="shared" si="51"/>
        <v>0</v>
      </c>
      <c r="I209" s="221">
        <f t="shared" si="52"/>
        <v>0</v>
      </c>
      <c r="J209" s="221">
        <f t="shared" si="53"/>
        <v>0</v>
      </c>
      <c r="K209" s="221">
        <f t="shared" si="54"/>
        <v>0</v>
      </c>
      <c r="L209" s="192">
        <f t="shared" si="57"/>
        <v>0</v>
      </c>
      <c r="M209" s="211">
        <v>88</v>
      </c>
      <c r="N209" s="211">
        <f t="shared" si="60"/>
        <v>20.676529244448002</v>
      </c>
      <c r="O209" s="211">
        <f t="shared" si="60"/>
        <v>30.080043899136001</v>
      </c>
      <c r="P209" s="211">
        <f t="shared" si="60"/>
        <v>11.504076379488001</v>
      </c>
      <c r="Q209" s="211">
        <f t="shared" si="60"/>
        <v>8.9343892028159999</v>
      </c>
      <c r="R209" s="211">
        <f t="shared" si="60"/>
        <v>0.8892377968320001</v>
      </c>
      <c r="S209" s="211">
        <f t="shared" si="60"/>
        <v>4.0890934909439999E-2</v>
      </c>
      <c r="T209" s="174">
        <f t="shared" si="58"/>
        <v>0</v>
      </c>
      <c r="U209" s="1850">
        <f t="shared" si="46"/>
        <v>0</v>
      </c>
      <c r="V209" s="1850">
        <f t="shared" si="46"/>
        <v>0</v>
      </c>
      <c r="W209" s="1850">
        <f t="shared" si="46"/>
        <v>0</v>
      </c>
      <c r="X209" s="1850">
        <f t="shared" si="46"/>
        <v>0</v>
      </c>
      <c r="Y209" s="1850">
        <f t="shared" si="46"/>
        <v>0</v>
      </c>
      <c r="Z209" s="1850">
        <f t="shared" si="59"/>
        <v>0</v>
      </c>
      <c r="AA209" s="2733"/>
    </row>
    <row r="210" spans="1:27" ht="18.75" x14ac:dyDescent="0.25">
      <c r="A210" s="2738"/>
      <c r="B210" s="1863">
        <v>2043</v>
      </c>
      <c r="C210" s="221">
        <f t="shared" si="47"/>
        <v>0</v>
      </c>
      <c r="D210" s="218">
        <f t="shared" si="48"/>
        <v>0</v>
      </c>
      <c r="E210" s="218">
        <f t="shared" si="55"/>
        <v>0</v>
      </c>
      <c r="F210" s="221">
        <f t="shared" si="49"/>
        <v>0</v>
      </c>
      <c r="G210" s="221">
        <f t="shared" si="50"/>
        <v>0</v>
      </c>
      <c r="H210" s="221">
        <f t="shared" si="51"/>
        <v>0</v>
      </c>
      <c r="I210" s="221">
        <f t="shared" si="52"/>
        <v>0</v>
      </c>
      <c r="J210" s="221">
        <f t="shared" si="53"/>
        <v>0</v>
      </c>
      <c r="K210" s="221">
        <f t="shared" si="54"/>
        <v>0</v>
      </c>
      <c r="L210" s="192">
        <f t="shared" si="57"/>
        <v>0</v>
      </c>
      <c r="M210" s="211">
        <v>89</v>
      </c>
      <c r="N210" s="211">
        <f t="shared" si="60"/>
        <v>20.268997526448004</v>
      </c>
      <c r="O210" s="211">
        <f t="shared" si="60"/>
        <v>29.487170123136003</v>
      </c>
      <c r="P210" s="211">
        <f t="shared" si="60"/>
        <v>11.277332521488001</v>
      </c>
      <c r="Q210" s="211">
        <f t="shared" si="60"/>
        <v>8.7582935468160006</v>
      </c>
      <c r="R210" s="211">
        <f t="shared" si="60"/>
        <v>0.87171103483200019</v>
      </c>
      <c r="S210" s="211">
        <f t="shared" si="60"/>
        <v>4.0084979869440006E-2</v>
      </c>
      <c r="T210" s="174">
        <f t="shared" si="58"/>
        <v>0</v>
      </c>
      <c r="U210" s="1850">
        <f t="shared" si="46"/>
        <v>0</v>
      </c>
      <c r="V210" s="1850">
        <f t="shared" si="46"/>
        <v>0</v>
      </c>
      <c r="W210" s="1850">
        <f t="shared" si="46"/>
        <v>0</v>
      </c>
      <c r="X210" s="1850">
        <f t="shared" si="46"/>
        <v>0</v>
      </c>
      <c r="Y210" s="1850">
        <f t="shared" si="46"/>
        <v>0</v>
      </c>
      <c r="Z210" s="1850">
        <f t="shared" si="59"/>
        <v>0</v>
      </c>
      <c r="AA210" s="2733"/>
    </row>
    <row r="211" spans="1:27" ht="18.75" x14ac:dyDescent="0.25">
      <c r="A211" s="2738"/>
      <c r="B211" s="1863">
        <v>2044</v>
      </c>
      <c r="C211" s="221">
        <f t="shared" si="47"/>
        <v>0</v>
      </c>
      <c r="D211" s="218">
        <f t="shared" si="48"/>
        <v>0</v>
      </c>
      <c r="E211" s="218">
        <f t="shared" si="55"/>
        <v>0</v>
      </c>
      <c r="F211" s="221">
        <f t="shared" si="49"/>
        <v>0</v>
      </c>
      <c r="G211" s="221">
        <f t="shared" si="50"/>
        <v>0</v>
      </c>
      <c r="H211" s="221">
        <f t="shared" si="51"/>
        <v>0</v>
      </c>
      <c r="I211" s="221">
        <f t="shared" si="52"/>
        <v>0</v>
      </c>
      <c r="J211" s="221">
        <f t="shared" si="53"/>
        <v>0</v>
      </c>
      <c r="K211" s="221">
        <f t="shared" si="54"/>
        <v>0</v>
      </c>
      <c r="L211" s="192">
        <f t="shared" si="57"/>
        <v>0</v>
      </c>
      <c r="M211" s="211">
        <v>90</v>
      </c>
      <c r="N211" s="211">
        <f t="shared" si="60"/>
        <v>19.871246569680004</v>
      </c>
      <c r="O211" s="211">
        <f t="shared" si="60"/>
        <v>28.908525317760002</v>
      </c>
      <c r="P211" s="211">
        <f t="shared" si="60"/>
        <v>11.056030516080002</v>
      </c>
      <c r="Q211" s="211">
        <f t="shared" si="60"/>
        <v>8.5864241865600004</v>
      </c>
      <c r="R211" s="211">
        <f t="shared" si="60"/>
        <v>0.85460491512000014</v>
      </c>
      <c r="S211" s="211">
        <f t="shared" si="60"/>
        <v>3.9298367750400007E-2</v>
      </c>
      <c r="T211" s="174">
        <f t="shared" si="58"/>
        <v>0</v>
      </c>
      <c r="U211" s="1850">
        <f t="shared" si="46"/>
        <v>0</v>
      </c>
      <c r="V211" s="1850">
        <f t="shared" si="46"/>
        <v>0</v>
      </c>
      <c r="W211" s="1850">
        <f t="shared" si="46"/>
        <v>0</v>
      </c>
      <c r="X211" s="1850">
        <f t="shared" si="46"/>
        <v>0</v>
      </c>
      <c r="Y211" s="1850">
        <f t="shared" si="46"/>
        <v>0</v>
      </c>
      <c r="Z211" s="1850">
        <f t="shared" si="59"/>
        <v>0</v>
      </c>
      <c r="AA211" s="2733"/>
    </row>
    <row r="212" spans="1:27" ht="18.75" x14ac:dyDescent="0.25">
      <c r="A212" s="2738"/>
      <c r="B212" s="1863">
        <v>2045</v>
      </c>
      <c r="C212" s="221">
        <f t="shared" si="47"/>
        <v>0</v>
      </c>
      <c r="D212" s="218">
        <f t="shared" si="48"/>
        <v>0</v>
      </c>
      <c r="E212" s="218">
        <f t="shared" si="55"/>
        <v>0</v>
      </c>
      <c r="F212" s="221">
        <f t="shared" si="49"/>
        <v>0</v>
      </c>
      <c r="G212" s="221">
        <f t="shared" si="50"/>
        <v>0</v>
      </c>
      <c r="H212" s="221">
        <f t="shared" si="51"/>
        <v>0</v>
      </c>
      <c r="I212" s="221">
        <f t="shared" si="52"/>
        <v>0</v>
      </c>
      <c r="J212" s="221">
        <f t="shared" si="53"/>
        <v>0</v>
      </c>
      <c r="K212" s="221">
        <f t="shared" si="54"/>
        <v>0</v>
      </c>
      <c r="L212" s="192">
        <f t="shared" si="57"/>
        <v>0</v>
      </c>
      <c r="M212" s="211">
        <v>92</v>
      </c>
      <c r="N212" s="211">
        <f t="shared" si="60"/>
        <v>19.483276374144001</v>
      </c>
      <c r="O212" s="211">
        <f t="shared" si="60"/>
        <v>28.344109483008001</v>
      </c>
      <c r="P212" s="211">
        <f t="shared" si="60"/>
        <v>10.840170363264003</v>
      </c>
      <c r="Q212" s="211">
        <f t="shared" si="60"/>
        <v>8.4187811220480011</v>
      </c>
      <c r="R212" s="211">
        <f t="shared" si="60"/>
        <v>0.83791943769600008</v>
      </c>
      <c r="S212" s="211">
        <f t="shared" si="60"/>
        <v>3.8531098552320009E-2</v>
      </c>
      <c r="T212" s="174">
        <f t="shared" si="58"/>
        <v>0</v>
      </c>
      <c r="U212" s="1850">
        <f t="shared" si="46"/>
        <v>0</v>
      </c>
      <c r="V212" s="1850">
        <f t="shared" si="46"/>
        <v>0</v>
      </c>
      <c r="W212" s="1850">
        <f t="shared" si="46"/>
        <v>0</v>
      </c>
      <c r="X212" s="1850">
        <f t="shared" si="46"/>
        <v>0</v>
      </c>
      <c r="Y212" s="1850">
        <f t="shared" si="46"/>
        <v>0</v>
      </c>
      <c r="Z212" s="1850">
        <f t="shared" si="59"/>
        <v>0</v>
      </c>
      <c r="AA212" s="2733"/>
    </row>
    <row r="213" spans="1:27" ht="18.75" x14ac:dyDescent="0.25">
      <c r="A213" s="2738"/>
      <c r="B213" s="1863">
        <v>2046</v>
      </c>
      <c r="C213" s="221">
        <f t="shared" si="47"/>
        <v>0</v>
      </c>
      <c r="D213" s="218">
        <f t="shared" si="48"/>
        <v>0</v>
      </c>
      <c r="E213" s="218">
        <f t="shared" si="55"/>
        <v>0</v>
      </c>
      <c r="F213" s="221">
        <f t="shared" si="49"/>
        <v>0</v>
      </c>
      <c r="G213" s="221">
        <f t="shared" si="50"/>
        <v>0</v>
      </c>
      <c r="H213" s="221">
        <f t="shared" si="51"/>
        <v>0</v>
      </c>
      <c r="I213" s="221">
        <f t="shared" si="52"/>
        <v>0</v>
      </c>
      <c r="J213" s="221">
        <f t="shared" si="53"/>
        <v>0</v>
      </c>
      <c r="K213" s="221">
        <f t="shared" si="54"/>
        <v>0</v>
      </c>
      <c r="L213" s="192">
        <f t="shared" si="57"/>
        <v>0</v>
      </c>
      <c r="M213" s="211">
        <v>93</v>
      </c>
      <c r="N213" s="211">
        <f t="shared" si="60"/>
        <v>19.101826686096</v>
      </c>
      <c r="O213" s="211">
        <f t="shared" si="60"/>
        <v>27.789179628671999</v>
      </c>
      <c r="P213" s="211">
        <f t="shared" si="60"/>
        <v>10.627938112176002</v>
      </c>
      <c r="Q213" s="211">
        <f t="shared" si="60"/>
        <v>8.2539555880319995</v>
      </c>
      <c r="R213" s="211">
        <f t="shared" si="60"/>
        <v>0.82151438846400004</v>
      </c>
      <c r="S213" s="211">
        <f t="shared" si="60"/>
        <v>3.777672463488E-2</v>
      </c>
      <c r="T213" s="174">
        <f t="shared" si="58"/>
        <v>0</v>
      </c>
      <c r="U213" s="1850">
        <f t="shared" si="46"/>
        <v>0</v>
      </c>
      <c r="V213" s="1850">
        <f t="shared" si="46"/>
        <v>0</v>
      </c>
      <c r="W213" s="1850">
        <f t="shared" si="46"/>
        <v>0</v>
      </c>
      <c r="X213" s="1850">
        <f t="shared" si="46"/>
        <v>0</v>
      </c>
      <c r="Y213" s="1850">
        <f t="shared" si="46"/>
        <v>0</v>
      </c>
      <c r="Z213" s="1850">
        <f t="shared" si="59"/>
        <v>0</v>
      </c>
      <c r="AA213" s="2733"/>
    </row>
    <row r="214" spans="1:27" ht="18.75" x14ac:dyDescent="0.25">
      <c r="A214" s="2738"/>
      <c r="B214" s="1863">
        <v>2047</v>
      </c>
      <c r="C214" s="221">
        <f t="shared" si="47"/>
        <v>0</v>
      </c>
      <c r="D214" s="218">
        <f t="shared" si="48"/>
        <v>0</v>
      </c>
      <c r="E214" s="218">
        <f t="shared" si="55"/>
        <v>0</v>
      </c>
      <c r="F214" s="221">
        <f t="shared" si="49"/>
        <v>0</v>
      </c>
      <c r="G214" s="221">
        <f t="shared" si="50"/>
        <v>0</v>
      </c>
      <c r="H214" s="221">
        <f t="shared" si="51"/>
        <v>0</v>
      </c>
      <c r="I214" s="221">
        <f t="shared" si="52"/>
        <v>0</v>
      </c>
      <c r="J214" s="221">
        <f t="shared" si="53"/>
        <v>0</v>
      </c>
      <c r="K214" s="221">
        <f t="shared" si="54"/>
        <v>0</v>
      </c>
      <c r="L214" s="192">
        <f t="shared" si="57"/>
        <v>0</v>
      </c>
      <c r="M214" s="211">
        <v>94</v>
      </c>
      <c r="N214" s="211">
        <f t="shared" si="60"/>
        <v>18.726897505536005</v>
      </c>
      <c r="O214" s="211">
        <f t="shared" si="60"/>
        <v>27.243735754752002</v>
      </c>
      <c r="P214" s="211">
        <f t="shared" si="60"/>
        <v>10.419333762816001</v>
      </c>
      <c r="Q214" s="211">
        <f t="shared" si="60"/>
        <v>8.0919475845120008</v>
      </c>
      <c r="R214" s="211">
        <f t="shared" si="60"/>
        <v>0.80538976742400015</v>
      </c>
      <c r="S214" s="211">
        <f t="shared" si="60"/>
        <v>3.7035245998080002E-2</v>
      </c>
      <c r="T214" s="174">
        <f t="shared" si="58"/>
        <v>0</v>
      </c>
      <c r="U214" s="1850">
        <f t="shared" si="46"/>
        <v>0</v>
      </c>
      <c r="V214" s="1850">
        <f t="shared" si="46"/>
        <v>0</v>
      </c>
      <c r="W214" s="1850">
        <f t="shared" si="46"/>
        <v>0</v>
      </c>
      <c r="X214" s="1850">
        <f t="shared" si="46"/>
        <v>0</v>
      </c>
      <c r="Y214" s="1850">
        <f t="shared" si="46"/>
        <v>0</v>
      </c>
      <c r="Z214" s="1850">
        <f t="shared" si="59"/>
        <v>0</v>
      </c>
      <c r="AA214" s="2733"/>
    </row>
    <row r="215" spans="1:27" ht="18.75" x14ac:dyDescent="0.25">
      <c r="A215" s="2738"/>
      <c r="B215" s="1863">
        <v>2048</v>
      </c>
      <c r="C215" s="221">
        <f t="shared" si="47"/>
        <v>0</v>
      </c>
      <c r="D215" s="218">
        <f t="shared" si="48"/>
        <v>0</v>
      </c>
      <c r="E215" s="218">
        <f t="shared" si="55"/>
        <v>0</v>
      </c>
      <c r="F215" s="221">
        <f t="shared" si="49"/>
        <v>0</v>
      </c>
      <c r="G215" s="221">
        <f t="shared" si="50"/>
        <v>0</v>
      </c>
      <c r="H215" s="221">
        <f t="shared" si="51"/>
        <v>0</v>
      </c>
      <c r="I215" s="221">
        <f t="shared" si="52"/>
        <v>0</v>
      </c>
      <c r="J215" s="221">
        <f t="shared" si="53"/>
        <v>0</v>
      </c>
      <c r="K215" s="221">
        <f t="shared" si="54"/>
        <v>0</v>
      </c>
      <c r="L215" s="192">
        <f t="shared" si="57"/>
        <v>0</v>
      </c>
      <c r="M215" s="211">
        <v>95</v>
      </c>
      <c r="N215" s="211">
        <f t="shared" si="60"/>
        <v>18.358488832464005</v>
      </c>
      <c r="O215" s="211">
        <f t="shared" si="60"/>
        <v>26.707777861248005</v>
      </c>
      <c r="P215" s="211">
        <f t="shared" si="60"/>
        <v>10.214357315184001</v>
      </c>
      <c r="Q215" s="211">
        <f t="shared" si="60"/>
        <v>7.9327571114880007</v>
      </c>
      <c r="R215" s="211">
        <f t="shared" si="60"/>
        <v>0.78954557457600016</v>
      </c>
      <c r="S215" s="211">
        <f t="shared" si="60"/>
        <v>3.6306662641920007E-2</v>
      </c>
      <c r="T215" s="174">
        <f t="shared" si="58"/>
        <v>0</v>
      </c>
      <c r="U215" s="1850">
        <f t="shared" si="46"/>
        <v>0</v>
      </c>
      <c r="V215" s="1850">
        <f t="shared" si="46"/>
        <v>0</v>
      </c>
      <c r="W215" s="1850">
        <f t="shared" si="46"/>
        <v>0</v>
      </c>
      <c r="X215" s="1850">
        <f t="shared" si="46"/>
        <v>0</v>
      </c>
      <c r="Y215" s="1850">
        <f t="shared" si="46"/>
        <v>0</v>
      </c>
      <c r="Z215" s="1850">
        <f t="shared" si="59"/>
        <v>0</v>
      </c>
      <c r="AA215" s="2733"/>
    </row>
    <row r="216" spans="1:27" ht="18.75" x14ac:dyDescent="0.25">
      <c r="A216" s="2738"/>
      <c r="B216" s="1863">
        <v>2049</v>
      </c>
      <c r="C216" s="221">
        <f t="shared" si="47"/>
        <v>0</v>
      </c>
      <c r="D216" s="218">
        <f t="shared" si="48"/>
        <v>0</v>
      </c>
      <c r="E216" s="218">
        <f t="shared" si="55"/>
        <v>0</v>
      </c>
      <c r="F216" s="221">
        <f t="shared" si="49"/>
        <v>0</v>
      </c>
      <c r="G216" s="221">
        <f t="shared" si="50"/>
        <v>0</v>
      </c>
      <c r="H216" s="221">
        <f t="shared" si="51"/>
        <v>0</v>
      </c>
      <c r="I216" s="221">
        <f t="shared" si="52"/>
        <v>0</v>
      </c>
      <c r="J216" s="221">
        <f t="shared" si="53"/>
        <v>0</v>
      </c>
      <c r="K216" s="221">
        <f t="shared" si="54"/>
        <v>0</v>
      </c>
      <c r="L216" s="192">
        <f t="shared" si="57"/>
        <v>0</v>
      </c>
      <c r="M216" s="211">
        <v>96</v>
      </c>
      <c r="N216" s="211">
        <f t="shared" ref="N216:S225" si="61">N63</f>
        <v>17.999860920624005</v>
      </c>
      <c r="O216" s="211">
        <f t="shared" si="61"/>
        <v>26.186048938368003</v>
      </c>
      <c r="P216" s="211">
        <f t="shared" si="61"/>
        <v>10.014822720144002</v>
      </c>
      <c r="Q216" s="211">
        <f t="shared" si="61"/>
        <v>7.7777929342080014</v>
      </c>
      <c r="R216" s="211">
        <f t="shared" si="61"/>
        <v>0.77412202401600017</v>
      </c>
      <c r="S216" s="211">
        <f t="shared" si="61"/>
        <v>3.5597422206719999E-2</v>
      </c>
      <c r="T216" s="174">
        <f t="shared" si="58"/>
        <v>0</v>
      </c>
      <c r="U216" s="1850">
        <f t="shared" si="46"/>
        <v>0</v>
      </c>
      <c r="V216" s="1850">
        <f t="shared" si="46"/>
        <v>0</v>
      </c>
      <c r="W216" s="1850">
        <f t="shared" si="46"/>
        <v>0</v>
      </c>
      <c r="X216" s="1850">
        <f t="shared" si="46"/>
        <v>0</v>
      </c>
      <c r="Y216" s="1850">
        <f t="shared" si="46"/>
        <v>0</v>
      </c>
      <c r="Z216" s="1850">
        <f t="shared" si="59"/>
        <v>0</v>
      </c>
      <c r="AA216" s="2733"/>
    </row>
    <row r="217" spans="1:27" ht="18.75" x14ac:dyDescent="0.25">
      <c r="A217" s="2738"/>
      <c r="B217" s="1863">
        <v>2050</v>
      </c>
      <c r="C217" s="221">
        <f t="shared" si="47"/>
        <v>0</v>
      </c>
      <c r="D217" s="218">
        <f t="shared" si="48"/>
        <v>0</v>
      </c>
      <c r="E217" s="218">
        <f t="shared" si="55"/>
        <v>0</v>
      </c>
      <c r="F217" s="221">
        <f t="shared" si="49"/>
        <v>0</v>
      </c>
      <c r="G217" s="221">
        <f t="shared" si="50"/>
        <v>0</v>
      </c>
      <c r="H217" s="221">
        <f t="shared" si="51"/>
        <v>0</v>
      </c>
      <c r="I217" s="221">
        <f t="shared" si="52"/>
        <v>0</v>
      </c>
      <c r="J217" s="221">
        <f t="shared" si="53"/>
        <v>0</v>
      </c>
      <c r="K217" s="221">
        <f t="shared" si="54"/>
        <v>0</v>
      </c>
      <c r="L217" s="192">
        <f t="shared" si="57"/>
        <v>0</v>
      </c>
      <c r="M217" s="211">
        <v>97</v>
      </c>
      <c r="N217" s="211">
        <f t="shared" si="61"/>
        <v>17.644493262528005</v>
      </c>
      <c r="O217" s="211">
        <f t="shared" si="61"/>
        <v>25.669063005696003</v>
      </c>
      <c r="P217" s="211">
        <f t="shared" si="61"/>
        <v>9.8171020759680019</v>
      </c>
      <c r="Q217" s="211">
        <f t="shared" si="61"/>
        <v>7.624237522176001</v>
      </c>
      <c r="R217" s="211">
        <f t="shared" si="61"/>
        <v>0.75883868755200012</v>
      </c>
      <c r="S217" s="211">
        <f t="shared" si="61"/>
        <v>3.4894629411840003E-2</v>
      </c>
      <c r="T217" s="174">
        <f t="shared" si="58"/>
        <v>0</v>
      </c>
      <c r="U217" s="1850">
        <f t="shared" si="46"/>
        <v>0</v>
      </c>
      <c r="V217" s="1850">
        <f t="shared" si="46"/>
        <v>0</v>
      </c>
      <c r="W217" s="1850">
        <f t="shared" si="46"/>
        <v>0</v>
      </c>
      <c r="X217" s="1850">
        <f t="shared" si="46"/>
        <v>0</v>
      </c>
      <c r="Y217" s="1850">
        <f t="shared" si="46"/>
        <v>0</v>
      </c>
      <c r="Z217" s="1850">
        <f t="shared" si="59"/>
        <v>0</v>
      </c>
      <c r="AA217" s="2733"/>
    </row>
    <row r="218" spans="1:27" ht="18.75" x14ac:dyDescent="0.25">
      <c r="A218" s="2738"/>
      <c r="B218" s="1863">
        <v>2051</v>
      </c>
      <c r="C218" s="221">
        <f t="shared" si="47"/>
        <v>0</v>
      </c>
      <c r="D218" s="218">
        <f t="shared" si="48"/>
        <v>0</v>
      </c>
      <c r="E218" s="218">
        <f t="shared" si="55"/>
        <v>0</v>
      </c>
      <c r="F218" s="221">
        <f t="shared" si="49"/>
        <v>0</v>
      </c>
      <c r="G218" s="221">
        <f t="shared" si="50"/>
        <v>0</v>
      </c>
      <c r="H218" s="221">
        <f t="shared" si="51"/>
        <v>0</v>
      </c>
      <c r="I218" s="221">
        <f t="shared" si="52"/>
        <v>0</v>
      </c>
      <c r="J218" s="221">
        <f t="shared" si="53"/>
        <v>0</v>
      </c>
      <c r="K218" s="221">
        <f t="shared" si="54"/>
        <v>0</v>
      </c>
      <c r="L218" s="192">
        <f t="shared" si="57"/>
        <v>0</v>
      </c>
      <c r="M218" s="211">
        <v>97</v>
      </c>
      <c r="N218" s="211">
        <f t="shared" si="61"/>
        <v>17.298906365664003</v>
      </c>
      <c r="O218" s="211">
        <f t="shared" si="61"/>
        <v>25.166306043648003</v>
      </c>
      <c r="P218" s="211">
        <f t="shared" si="61"/>
        <v>9.624823284384</v>
      </c>
      <c r="Q218" s="211">
        <f t="shared" si="61"/>
        <v>7.4749084058879998</v>
      </c>
      <c r="R218" s="211">
        <f t="shared" si="61"/>
        <v>0.74397599337600007</v>
      </c>
      <c r="S218" s="211">
        <f t="shared" si="61"/>
        <v>3.4211179537920001E-2</v>
      </c>
      <c r="T218" s="174">
        <f t="shared" si="58"/>
        <v>0</v>
      </c>
      <c r="U218" s="1850">
        <f t="shared" si="46"/>
        <v>0</v>
      </c>
      <c r="V218" s="1850">
        <f t="shared" si="46"/>
        <v>0</v>
      </c>
      <c r="W218" s="1850">
        <f t="shared" si="46"/>
        <v>0</v>
      </c>
      <c r="X218" s="1850">
        <f t="shared" si="46"/>
        <v>0</v>
      </c>
      <c r="Y218" s="1850">
        <f t="shared" si="46"/>
        <v>0</v>
      </c>
      <c r="Z218" s="1850">
        <f t="shared" si="59"/>
        <v>0</v>
      </c>
      <c r="AA218" s="2733"/>
    </row>
    <row r="219" spans="1:27" ht="18.75" x14ac:dyDescent="0.25">
      <c r="A219" s="2738"/>
      <c r="B219" s="1863">
        <v>2052</v>
      </c>
      <c r="C219" s="221">
        <f t="shared" si="47"/>
        <v>0</v>
      </c>
      <c r="D219" s="218">
        <f t="shared" si="48"/>
        <v>0</v>
      </c>
      <c r="E219" s="218">
        <f t="shared" si="55"/>
        <v>0</v>
      </c>
      <c r="F219" s="221">
        <f t="shared" si="49"/>
        <v>0</v>
      </c>
      <c r="G219" s="221">
        <f t="shared" si="50"/>
        <v>0</v>
      </c>
      <c r="H219" s="221">
        <f t="shared" si="51"/>
        <v>0</v>
      </c>
      <c r="I219" s="221">
        <f t="shared" si="52"/>
        <v>0</v>
      </c>
      <c r="J219" s="221">
        <f t="shared" si="53"/>
        <v>0</v>
      </c>
      <c r="K219" s="221">
        <f t="shared" si="54"/>
        <v>0</v>
      </c>
      <c r="L219" s="192">
        <f t="shared" si="57"/>
        <v>0</v>
      </c>
      <c r="M219" s="211">
        <v>97</v>
      </c>
      <c r="N219" s="211">
        <f t="shared" si="61"/>
        <v>16.959839976288002</v>
      </c>
      <c r="O219" s="211">
        <f t="shared" si="61"/>
        <v>24.673035062016002</v>
      </c>
      <c r="P219" s="211">
        <f t="shared" si="61"/>
        <v>9.4361723945280005</v>
      </c>
      <c r="Q219" s="211">
        <f t="shared" si="61"/>
        <v>7.3283968200960006</v>
      </c>
      <c r="R219" s="211">
        <f t="shared" si="61"/>
        <v>0.72939372739200004</v>
      </c>
      <c r="S219" s="211">
        <f t="shared" si="61"/>
        <v>3.3540624944640003E-2</v>
      </c>
      <c r="T219" s="174">
        <f t="shared" si="58"/>
        <v>0</v>
      </c>
      <c r="U219" s="1850">
        <f t="shared" si="46"/>
        <v>0</v>
      </c>
      <c r="V219" s="1850">
        <f t="shared" si="46"/>
        <v>0</v>
      </c>
      <c r="W219" s="1850">
        <f t="shared" si="46"/>
        <v>0</v>
      </c>
      <c r="X219" s="1850">
        <f t="shared" si="46"/>
        <v>0</v>
      </c>
      <c r="Y219" s="1850">
        <f t="shared" si="46"/>
        <v>0</v>
      </c>
      <c r="Z219" s="1850">
        <f t="shared" si="59"/>
        <v>0</v>
      </c>
      <c r="AA219" s="2733"/>
    </row>
    <row r="220" spans="1:27" ht="18.75" x14ac:dyDescent="0.25">
      <c r="A220" s="2738"/>
      <c r="B220" s="1863">
        <v>2053</v>
      </c>
      <c r="C220" s="221">
        <f t="shared" si="47"/>
        <v>0</v>
      </c>
      <c r="D220" s="218">
        <f t="shared" si="48"/>
        <v>0</v>
      </c>
      <c r="E220" s="218">
        <f t="shared" si="55"/>
        <v>0</v>
      </c>
      <c r="F220" s="221">
        <f t="shared" si="49"/>
        <v>0</v>
      </c>
      <c r="G220" s="221">
        <f t="shared" si="50"/>
        <v>0</v>
      </c>
      <c r="H220" s="221">
        <f t="shared" si="51"/>
        <v>0</v>
      </c>
      <c r="I220" s="221">
        <f t="shared" si="52"/>
        <v>0</v>
      </c>
      <c r="J220" s="221">
        <f t="shared" si="53"/>
        <v>0</v>
      </c>
      <c r="K220" s="221">
        <f t="shared" si="54"/>
        <v>0</v>
      </c>
      <c r="L220" s="192">
        <f t="shared" si="57"/>
        <v>0</v>
      </c>
      <c r="M220" s="211">
        <v>97</v>
      </c>
      <c r="N220" s="211">
        <f t="shared" si="61"/>
        <v>15.361506000000002</v>
      </c>
      <c r="O220" s="211">
        <f t="shared" si="61"/>
        <v>24.189250060800003</v>
      </c>
      <c r="P220" s="211">
        <f t="shared" si="61"/>
        <v>9.2511494064000015</v>
      </c>
      <c r="Q220" s="211">
        <f t="shared" si="61"/>
        <v>7.1847027647999999</v>
      </c>
      <c r="R220" s="211">
        <f t="shared" si="61"/>
        <v>0.71509188960000014</v>
      </c>
      <c r="S220" s="211">
        <f t="shared" si="61"/>
        <v>3.2882965632000001E-2</v>
      </c>
      <c r="T220" s="174">
        <f t="shared" si="58"/>
        <v>0</v>
      </c>
      <c r="U220" s="1850">
        <f t="shared" si="46"/>
        <v>0</v>
      </c>
      <c r="V220" s="1850">
        <f t="shared" si="46"/>
        <v>0</v>
      </c>
      <c r="W220" s="1850">
        <f t="shared" si="46"/>
        <v>0</v>
      </c>
      <c r="X220" s="1850">
        <f t="shared" si="46"/>
        <v>0</v>
      </c>
      <c r="Y220" s="1850">
        <f t="shared" si="46"/>
        <v>0</v>
      </c>
      <c r="Z220" s="1850">
        <f t="shared" si="59"/>
        <v>0</v>
      </c>
      <c r="AA220" s="2733"/>
    </row>
    <row r="221" spans="1:27" ht="18.75" x14ac:dyDescent="0.25">
      <c r="A221" s="2738"/>
      <c r="B221" s="1863">
        <v>2054</v>
      </c>
      <c r="C221" s="221">
        <f t="shared" si="47"/>
        <v>0</v>
      </c>
      <c r="D221" s="218">
        <f t="shared" si="48"/>
        <v>0</v>
      </c>
      <c r="E221" s="218">
        <f t="shared" si="55"/>
        <v>0</v>
      </c>
      <c r="F221" s="221">
        <f t="shared" si="49"/>
        <v>0</v>
      </c>
      <c r="G221" s="221">
        <f t="shared" si="50"/>
        <v>0</v>
      </c>
      <c r="H221" s="221">
        <f t="shared" si="51"/>
        <v>0</v>
      </c>
      <c r="I221" s="221">
        <f t="shared" si="52"/>
        <v>0</v>
      </c>
      <c r="J221" s="221">
        <f t="shared" si="53"/>
        <v>0</v>
      </c>
      <c r="K221" s="221">
        <f t="shared" si="54"/>
        <v>0</v>
      </c>
      <c r="L221" s="192">
        <f t="shared" si="57"/>
        <v>0</v>
      </c>
      <c r="M221" s="211">
        <v>97</v>
      </c>
      <c r="N221" s="211">
        <f t="shared" si="61"/>
        <v>16.301268720000003</v>
      </c>
      <c r="O221" s="211">
        <f t="shared" si="61"/>
        <v>23.714951040000003</v>
      </c>
      <c r="P221" s="211">
        <f t="shared" si="61"/>
        <v>9.0697543200000013</v>
      </c>
      <c r="Q221" s="211">
        <f t="shared" si="61"/>
        <v>7.0438262400000005</v>
      </c>
      <c r="R221" s="211">
        <f t="shared" si="61"/>
        <v>0.70107048000000005</v>
      </c>
      <c r="S221" s="211">
        <f t="shared" si="61"/>
        <v>3.2238201600000002E-2</v>
      </c>
      <c r="T221" s="174">
        <f t="shared" si="58"/>
        <v>0</v>
      </c>
      <c r="U221" s="1850">
        <f t="shared" si="46"/>
        <v>0</v>
      </c>
      <c r="V221" s="1850">
        <f t="shared" si="46"/>
        <v>0</v>
      </c>
      <c r="W221" s="1850">
        <f t="shared" si="46"/>
        <v>0</v>
      </c>
      <c r="X221" s="1850">
        <f t="shared" si="46"/>
        <v>0</v>
      </c>
      <c r="Y221" s="1850">
        <f t="shared" si="46"/>
        <v>0</v>
      </c>
      <c r="Z221" s="1850">
        <f t="shared" si="59"/>
        <v>0</v>
      </c>
      <c r="AA221" s="2733"/>
    </row>
    <row r="222" spans="1:27" ht="18.75" x14ac:dyDescent="0.25">
      <c r="A222" s="2738"/>
      <c r="B222" s="1863">
        <v>2055</v>
      </c>
      <c r="C222" s="221">
        <f t="shared" si="47"/>
        <v>0</v>
      </c>
      <c r="D222" s="218">
        <f t="shared" si="48"/>
        <v>0</v>
      </c>
      <c r="E222" s="218">
        <f t="shared" si="55"/>
        <v>0</v>
      </c>
      <c r="F222" s="221">
        <f t="shared" si="49"/>
        <v>0</v>
      </c>
      <c r="G222" s="221">
        <f t="shared" si="50"/>
        <v>0</v>
      </c>
      <c r="H222" s="221">
        <f t="shared" si="51"/>
        <v>0</v>
      </c>
      <c r="I222" s="221">
        <f t="shared" si="52"/>
        <v>0</v>
      </c>
      <c r="J222" s="221">
        <f t="shared" si="53"/>
        <v>0</v>
      </c>
      <c r="K222" s="221">
        <f t="shared" si="54"/>
        <v>0</v>
      </c>
      <c r="L222" s="192">
        <f t="shared" si="57"/>
        <v>0</v>
      </c>
      <c r="M222" s="211">
        <v>97</v>
      </c>
      <c r="N222" s="211">
        <f t="shared" si="61"/>
        <v>15.981763853088003</v>
      </c>
      <c r="O222" s="211">
        <f t="shared" si="61"/>
        <v>23.250137999616001</v>
      </c>
      <c r="P222" s="211">
        <f t="shared" si="61"/>
        <v>8.8919871353280016</v>
      </c>
      <c r="Q222" s="211">
        <f t="shared" si="61"/>
        <v>6.9057672456960004</v>
      </c>
      <c r="R222" s="211">
        <f t="shared" si="61"/>
        <v>0.6873294985920001</v>
      </c>
      <c r="S222" s="211">
        <f t="shared" si="61"/>
        <v>3.1606332848640006E-2</v>
      </c>
      <c r="T222" s="174">
        <f t="shared" si="58"/>
        <v>0</v>
      </c>
      <c r="U222" s="1850">
        <f t="shared" si="46"/>
        <v>0</v>
      </c>
      <c r="V222" s="1850">
        <f t="shared" si="46"/>
        <v>0</v>
      </c>
      <c r="W222" s="1850">
        <f t="shared" si="46"/>
        <v>0</v>
      </c>
      <c r="X222" s="1850">
        <f t="shared" si="46"/>
        <v>0</v>
      </c>
      <c r="Y222" s="1850">
        <f t="shared" si="46"/>
        <v>0</v>
      </c>
      <c r="Z222" s="1850">
        <f t="shared" si="59"/>
        <v>0</v>
      </c>
      <c r="AA222" s="2733"/>
    </row>
    <row r="223" spans="1:27" ht="18.75" x14ac:dyDescent="0.25">
      <c r="A223" s="2738"/>
      <c r="B223" s="1863">
        <v>2056</v>
      </c>
      <c r="C223" s="221">
        <f t="shared" si="47"/>
        <v>0</v>
      </c>
      <c r="D223" s="218">
        <f t="shared" si="48"/>
        <v>0</v>
      </c>
      <c r="E223" s="218">
        <f t="shared" si="55"/>
        <v>0</v>
      </c>
      <c r="F223" s="221">
        <f t="shared" si="49"/>
        <v>0</v>
      </c>
      <c r="G223" s="221">
        <f t="shared" si="50"/>
        <v>0</v>
      </c>
      <c r="H223" s="221">
        <f t="shared" si="51"/>
        <v>0</v>
      </c>
      <c r="I223" s="221">
        <f t="shared" si="52"/>
        <v>0</v>
      </c>
      <c r="J223" s="221">
        <f t="shared" si="53"/>
        <v>0</v>
      </c>
      <c r="K223" s="221">
        <f t="shared" si="54"/>
        <v>0</v>
      </c>
      <c r="L223" s="192">
        <f t="shared" si="57"/>
        <v>0</v>
      </c>
      <c r="M223" s="211">
        <v>97</v>
      </c>
      <c r="N223" s="211">
        <f t="shared" si="61"/>
        <v>15.668779493664003</v>
      </c>
      <c r="O223" s="211">
        <f t="shared" si="61"/>
        <v>22.794810939648006</v>
      </c>
      <c r="P223" s="211">
        <f t="shared" si="61"/>
        <v>8.7178478523840006</v>
      </c>
      <c r="Q223" s="211">
        <f t="shared" si="61"/>
        <v>6.7705257818880007</v>
      </c>
      <c r="R223" s="211">
        <f t="shared" si="61"/>
        <v>0.67386894537600017</v>
      </c>
      <c r="S223" s="211">
        <f t="shared" si="61"/>
        <v>3.0987359377920003E-2</v>
      </c>
      <c r="T223" s="174">
        <f t="shared" si="58"/>
        <v>0</v>
      </c>
      <c r="U223" s="1850">
        <f t="shared" si="46"/>
        <v>0</v>
      </c>
      <c r="V223" s="1850">
        <f t="shared" si="46"/>
        <v>0</v>
      </c>
      <c r="W223" s="1850">
        <f t="shared" si="46"/>
        <v>0</v>
      </c>
      <c r="X223" s="1850">
        <f t="shared" si="46"/>
        <v>0</v>
      </c>
      <c r="Y223" s="1850">
        <f t="shared" si="46"/>
        <v>0</v>
      </c>
      <c r="Z223" s="1850">
        <f t="shared" si="59"/>
        <v>0</v>
      </c>
      <c r="AA223" s="2733"/>
    </row>
    <row r="224" spans="1:27" ht="18.75" x14ac:dyDescent="0.25">
      <c r="A224" s="2738"/>
      <c r="B224" s="1863">
        <v>2057</v>
      </c>
      <c r="C224" s="221">
        <f t="shared" si="47"/>
        <v>0</v>
      </c>
      <c r="D224" s="218">
        <f t="shared" si="48"/>
        <v>0</v>
      </c>
      <c r="E224" s="218">
        <f t="shared" si="55"/>
        <v>0</v>
      </c>
      <c r="F224" s="221">
        <f t="shared" si="49"/>
        <v>0</v>
      </c>
      <c r="G224" s="221">
        <f t="shared" si="50"/>
        <v>0</v>
      </c>
      <c r="H224" s="221">
        <f t="shared" si="51"/>
        <v>0</v>
      </c>
      <c r="I224" s="221">
        <f t="shared" si="52"/>
        <v>0</v>
      </c>
      <c r="J224" s="221">
        <f t="shared" si="53"/>
        <v>0</v>
      </c>
      <c r="K224" s="221">
        <f t="shared" si="54"/>
        <v>0</v>
      </c>
      <c r="L224" s="192">
        <f t="shared" si="57"/>
        <v>0</v>
      </c>
      <c r="M224" s="211">
        <v>97</v>
      </c>
      <c r="N224" s="211">
        <f t="shared" si="61"/>
        <v>15.362315641728001</v>
      </c>
      <c r="O224" s="211">
        <f t="shared" si="61"/>
        <v>22.348969860096002</v>
      </c>
      <c r="P224" s="211">
        <f t="shared" si="61"/>
        <v>8.547336471168002</v>
      </c>
      <c r="Q224" s="211">
        <f t="shared" si="61"/>
        <v>6.6381018485760004</v>
      </c>
      <c r="R224" s="211">
        <f t="shared" si="61"/>
        <v>0.66068882035200005</v>
      </c>
      <c r="S224" s="211">
        <f t="shared" si="61"/>
        <v>3.038128118784E-2</v>
      </c>
      <c r="T224" s="174">
        <f t="shared" si="58"/>
        <v>0</v>
      </c>
      <c r="U224" s="1850">
        <f t="shared" si="46"/>
        <v>0</v>
      </c>
      <c r="V224" s="1850">
        <f t="shared" si="46"/>
        <v>0</v>
      </c>
      <c r="W224" s="1850">
        <f t="shared" si="46"/>
        <v>0</v>
      </c>
      <c r="X224" s="1850">
        <f t="shared" si="46"/>
        <v>0</v>
      </c>
      <c r="Y224" s="1850">
        <f t="shared" si="46"/>
        <v>0</v>
      </c>
      <c r="Z224" s="1850">
        <f t="shared" si="59"/>
        <v>0</v>
      </c>
      <c r="AA224" s="2733"/>
    </row>
    <row r="225" spans="1:27" ht="18.75" x14ac:dyDescent="0.25">
      <c r="A225" s="2738"/>
      <c r="B225" s="1863">
        <v>2058</v>
      </c>
      <c r="C225" s="221">
        <f t="shared" si="47"/>
        <v>0</v>
      </c>
      <c r="D225" s="218">
        <f t="shared" si="48"/>
        <v>0</v>
      </c>
      <c r="E225" s="218">
        <f t="shared" si="55"/>
        <v>0</v>
      </c>
      <c r="F225" s="221">
        <f t="shared" si="49"/>
        <v>0</v>
      </c>
      <c r="G225" s="221">
        <f t="shared" si="50"/>
        <v>0</v>
      </c>
      <c r="H225" s="221">
        <f t="shared" si="51"/>
        <v>0</v>
      </c>
      <c r="I225" s="221">
        <f t="shared" si="52"/>
        <v>0</v>
      </c>
      <c r="J225" s="221">
        <f t="shared" si="53"/>
        <v>0</v>
      </c>
      <c r="K225" s="221">
        <f t="shared" si="54"/>
        <v>0</v>
      </c>
      <c r="L225" s="192">
        <f t="shared" si="57"/>
        <v>0</v>
      </c>
      <c r="M225" s="211">
        <v>97</v>
      </c>
      <c r="N225" s="211">
        <f t="shared" si="61"/>
        <v>15.059112043536</v>
      </c>
      <c r="O225" s="211">
        <f t="shared" si="61"/>
        <v>21.907871770752003</v>
      </c>
      <c r="P225" s="211">
        <f t="shared" si="61"/>
        <v>8.378639040816001</v>
      </c>
      <c r="Q225" s="211">
        <f t="shared" si="61"/>
        <v>6.5070866805119998</v>
      </c>
      <c r="R225" s="211">
        <f t="shared" si="61"/>
        <v>0.647648909424</v>
      </c>
      <c r="S225" s="211">
        <f t="shared" si="61"/>
        <v>2.9781650638080002E-2</v>
      </c>
      <c r="T225" s="174">
        <f t="shared" si="58"/>
        <v>0</v>
      </c>
      <c r="U225" s="1850">
        <f t="shared" si="46"/>
        <v>0</v>
      </c>
      <c r="V225" s="1850">
        <f t="shared" si="46"/>
        <v>0</v>
      </c>
      <c r="W225" s="1850">
        <f t="shared" si="46"/>
        <v>0</v>
      </c>
      <c r="X225" s="1850">
        <f t="shared" si="46"/>
        <v>0</v>
      </c>
      <c r="Y225" s="1850">
        <f t="shared" si="46"/>
        <v>0</v>
      </c>
      <c r="Z225" s="1850">
        <f t="shared" si="59"/>
        <v>0</v>
      </c>
      <c r="AA225" s="2733"/>
    </row>
    <row r="226" spans="1:27" ht="18.75" x14ac:dyDescent="0.25">
      <c r="A226" s="2738"/>
      <c r="B226" s="1863">
        <v>2059</v>
      </c>
      <c r="C226" s="221">
        <f t="shared" si="47"/>
        <v>0</v>
      </c>
      <c r="D226" s="218">
        <f t="shared" si="48"/>
        <v>0</v>
      </c>
      <c r="E226" s="218">
        <f t="shared" si="55"/>
        <v>0</v>
      </c>
      <c r="F226" s="221">
        <f t="shared" si="49"/>
        <v>0</v>
      </c>
      <c r="G226" s="221">
        <f t="shared" si="50"/>
        <v>0</v>
      </c>
      <c r="H226" s="221">
        <f t="shared" si="51"/>
        <v>0</v>
      </c>
      <c r="I226" s="221">
        <f t="shared" si="52"/>
        <v>0</v>
      </c>
      <c r="J226" s="221">
        <f t="shared" si="53"/>
        <v>0</v>
      </c>
      <c r="K226" s="221">
        <f t="shared" si="54"/>
        <v>0</v>
      </c>
      <c r="L226" s="192">
        <f t="shared" si="57"/>
        <v>0</v>
      </c>
      <c r="M226" s="211">
        <v>97</v>
      </c>
      <c r="N226" s="211">
        <f t="shared" ref="N226:S235" si="62">N73</f>
        <v>14.765689206576004</v>
      </c>
      <c r="O226" s="211">
        <f t="shared" si="62"/>
        <v>21.481002652032004</v>
      </c>
      <c r="P226" s="211">
        <f t="shared" si="62"/>
        <v>8.2153834630560016</v>
      </c>
      <c r="Q226" s="211">
        <f t="shared" si="62"/>
        <v>6.380297808192001</v>
      </c>
      <c r="R226" s="211">
        <f t="shared" si="62"/>
        <v>0.63502964078400004</v>
      </c>
      <c r="S226" s="211">
        <f t="shared" si="62"/>
        <v>2.9201363009280005E-2</v>
      </c>
      <c r="T226" s="174">
        <f t="shared" si="58"/>
        <v>0</v>
      </c>
      <c r="U226" s="1850">
        <f t="shared" si="46"/>
        <v>0</v>
      </c>
      <c r="V226" s="1850">
        <f t="shared" si="46"/>
        <v>0</v>
      </c>
      <c r="W226" s="1850">
        <f t="shared" si="46"/>
        <v>0</v>
      </c>
      <c r="X226" s="1850">
        <f t="shared" si="46"/>
        <v>0</v>
      </c>
      <c r="Y226" s="1850">
        <f t="shared" si="46"/>
        <v>0</v>
      </c>
      <c r="Z226" s="1850">
        <f t="shared" si="59"/>
        <v>0</v>
      </c>
      <c r="AA226" s="2733"/>
    </row>
    <row r="227" spans="1:27" ht="18.75" x14ac:dyDescent="0.25">
      <c r="A227" s="2738"/>
      <c r="B227" s="1863">
        <v>2060</v>
      </c>
      <c r="C227" s="221">
        <f t="shared" si="47"/>
        <v>0</v>
      </c>
      <c r="D227" s="218">
        <f t="shared" si="48"/>
        <v>0</v>
      </c>
      <c r="E227" s="218">
        <f t="shared" si="55"/>
        <v>0</v>
      </c>
      <c r="F227" s="221">
        <f t="shared" si="49"/>
        <v>0</v>
      </c>
      <c r="G227" s="221">
        <f t="shared" si="50"/>
        <v>0</v>
      </c>
      <c r="H227" s="221">
        <f t="shared" si="51"/>
        <v>0</v>
      </c>
      <c r="I227" s="221">
        <f t="shared" si="52"/>
        <v>0</v>
      </c>
      <c r="J227" s="221">
        <f t="shared" si="53"/>
        <v>0</v>
      </c>
      <c r="K227" s="221">
        <f t="shared" si="54"/>
        <v>0</v>
      </c>
      <c r="L227" s="192">
        <f t="shared" si="57"/>
        <v>0</v>
      </c>
      <c r="M227" s="211">
        <v>97</v>
      </c>
      <c r="N227" s="211">
        <f t="shared" si="62"/>
        <v>14.475526623360002</v>
      </c>
      <c r="O227" s="211">
        <f t="shared" si="62"/>
        <v>21.058876523520002</v>
      </c>
      <c r="P227" s="211">
        <f t="shared" si="62"/>
        <v>8.0539418361599999</v>
      </c>
      <c r="Q227" s="211">
        <f t="shared" si="62"/>
        <v>6.2549177011200001</v>
      </c>
      <c r="R227" s="211">
        <f t="shared" si="62"/>
        <v>0.62255058624000004</v>
      </c>
      <c r="S227" s="211">
        <f t="shared" si="62"/>
        <v>2.8627523020800003E-2</v>
      </c>
      <c r="T227" s="174">
        <f t="shared" si="58"/>
        <v>0</v>
      </c>
      <c r="U227" s="1850">
        <f t="shared" si="46"/>
        <v>0</v>
      </c>
      <c r="V227" s="1850">
        <f t="shared" si="46"/>
        <v>0</v>
      </c>
      <c r="W227" s="1850">
        <f t="shared" si="46"/>
        <v>0</v>
      </c>
      <c r="X227" s="1850">
        <f t="shared" si="46"/>
        <v>0</v>
      </c>
      <c r="Y227" s="1850">
        <f t="shared" si="46"/>
        <v>0</v>
      </c>
      <c r="Z227" s="1850">
        <f t="shared" si="59"/>
        <v>0</v>
      </c>
      <c r="AA227" s="2733"/>
    </row>
    <row r="228" spans="1:27" ht="18.75" x14ac:dyDescent="0.25">
      <c r="A228" s="2738"/>
      <c r="B228" s="1863">
        <v>2061</v>
      </c>
      <c r="C228" s="221">
        <f t="shared" si="47"/>
        <v>0</v>
      </c>
      <c r="D228" s="218">
        <f t="shared" si="48"/>
        <v>0</v>
      </c>
      <c r="E228" s="218">
        <f t="shared" si="55"/>
        <v>0</v>
      </c>
      <c r="F228" s="221">
        <f t="shared" si="49"/>
        <v>0</v>
      </c>
      <c r="G228" s="221">
        <f t="shared" si="50"/>
        <v>0</v>
      </c>
      <c r="H228" s="221">
        <f t="shared" si="51"/>
        <v>0</v>
      </c>
      <c r="I228" s="221">
        <f t="shared" si="52"/>
        <v>0</v>
      </c>
      <c r="J228" s="221">
        <f t="shared" si="53"/>
        <v>0</v>
      </c>
      <c r="K228" s="221">
        <f t="shared" si="54"/>
        <v>0</v>
      </c>
      <c r="L228" s="192">
        <f t="shared" si="57"/>
        <v>0</v>
      </c>
      <c r="M228" s="211">
        <v>97</v>
      </c>
      <c r="N228" s="211">
        <f t="shared" si="62"/>
        <v>14.191884547632004</v>
      </c>
      <c r="O228" s="211">
        <f t="shared" si="62"/>
        <v>20.646236375424003</v>
      </c>
      <c r="P228" s="211">
        <f t="shared" si="62"/>
        <v>7.8961281109920014</v>
      </c>
      <c r="Q228" s="211">
        <f t="shared" si="62"/>
        <v>6.1323551245440004</v>
      </c>
      <c r="R228" s="211">
        <f t="shared" si="62"/>
        <v>0.61035195988800006</v>
      </c>
      <c r="S228" s="211">
        <f t="shared" si="62"/>
        <v>2.8066578312960003E-2</v>
      </c>
      <c r="T228" s="174">
        <f t="shared" si="58"/>
        <v>0</v>
      </c>
      <c r="U228" s="1850">
        <f t="shared" si="46"/>
        <v>0</v>
      </c>
      <c r="V228" s="1850">
        <f t="shared" si="46"/>
        <v>0</v>
      </c>
      <c r="W228" s="1850">
        <f t="shared" si="46"/>
        <v>0</v>
      </c>
      <c r="X228" s="1850">
        <f t="shared" si="46"/>
        <v>0</v>
      </c>
      <c r="Y228" s="1850">
        <f t="shared" si="46"/>
        <v>0</v>
      </c>
      <c r="Z228" s="1850">
        <f t="shared" si="59"/>
        <v>0</v>
      </c>
      <c r="AA228" s="2733"/>
    </row>
    <row r="229" spans="1:27" ht="18.75" x14ac:dyDescent="0.25">
      <c r="A229" s="2738"/>
      <c r="B229" s="1863">
        <v>2062</v>
      </c>
      <c r="C229" s="221">
        <f t="shared" si="47"/>
        <v>0</v>
      </c>
      <c r="D229" s="218">
        <f t="shared" si="48"/>
        <v>0</v>
      </c>
      <c r="E229" s="218">
        <f t="shared" si="55"/>
        <v>0</v>
      </c>
      <c r="F229" s="221">
        <f t="shared" si="49"/>
        <v>0</v>
      </c>
      <c r="G229" s="221">
        <f t="shared" si="50"/>
        <v>0</v>
      </c>
      <c r="H229" s="221">
        <f t="shared" si="51"/>
        <v>0</v>
      </c>
      <c r="I229" s="221">
        <f t="shared" si="52"/>
        <v>0</v>
      </c>
      <c r="J229" s="221">
        <f t="shared" si="53"/>
        <v>0</v>
      </c>
      <c r="K229" s="221">
        <f t="shared" si="54"/>
        <v>0</v>
      </c>
      <c r="L229" s="192">
        <f t="shared" si="57"/>
        <v>0</v>
      </c>
      <c r="M229" s="211">
        <v>97</v>
      </c>
      <c r="N229" s="211">
        <f t="shared" si="62"/>
        <v>13.914762979392002</v>
      </c>
      <c r="O229" s="211">
        <f t="shared" si="62"/>
        <v>20.243082207744003</v>
      </c>
      <c r="P229" s="211">
        <f t="shared" si="62"/>
        <v>7.7419422875520008</v>
      </c>
      <c r="Q229" s="211">
        <f t="shared" si="62"/>
        <v>6.0126100784640002</v>
      </c>
      <c r="R229" s="211">
        <f t="shared" si="62"/>
        <v>0.59843376172800011</v>
      </c>
      <c r="S229" s="211">
        <f t="shared" si="62"/>
        <v>2.7518528885760004E-2</v>
      </c>
      <c r="T229" s="174">
        <f t="shared" si="58"/>
        <v>0</v>
      </c>
      <c r="U229" s="1850">
        <f t="shared" si="46"/>
        <v>0</v>
      </c>
      <c r="V229" s="1850">
        <f t="shared" si="46"/>
        <v>0</v>
      </c>
      <c r="W229" s="1850">
        <f t="shared" si="46"/>
        <v>0</v>
      </c>
      <c r="X229" s="1850">
        <f t="shared" si="46"/>
        <v>0</v>
      </c>
      <c r="Y229" s="1850">
        <f t="shared" si="46"/>
        <v>0</v>
      </c>
      <c r="Z229" s="1850">
        <f t="shared" si="59"/>
        <v>0</v>
      </c>
      <c r="AA229" s="2733"/>
    </row>
    <row r="230" spans="1:27" ht="18.75" x14ac:dyDescent="0.25">
      <c r="A230" s="2738"/>
      <c r="B230" s="1863">
        <v>2063</v>
      </c>
      <c r="C230" s="221">
        <f t="shared" si="47"/>
        <v>0</v>
      </c>
      <c r="D230" s="218">
        <f t="shared" si="48"/>
        <v>0</v>
      </c>
      <c r="E230" s="218">
        <f t="shared" si="55"/>
        <v>0</v>
      </c>
      <c r="F230" s="221">
        <f t="shared" si="49"/>
        <v>0</v>
      </c>
      <c r="G230" s="221">
        <f t="shared" si="50"/>
        <v>0</v>
      </c>
      <c r="H230" s="221">
        <f t="shared" si="51"/>
        <v>0</v>
      </c>
      <c r="I230" s="221">
        <f t="shared" si="52"/>
        <v>0</v>
      </c>
      <c r="J230" s="221">
        <f t="shared" si="53"/>
        <v>0</v>
      </c>
      <c r="K230" s="221">
        <f t="shared" si="54"/>
        <v>0</v>
      </c>
      <c r="L230" s="192">
        <f t="shared" si="57"/>
        <v>0</v>
      </c>
      <c r="M230" s="211">
        <v>97</v>
      </c>
      <c r="N230" s="211">
        <f t="shared" si="62"/>
        <v>13.640901664896001</v>
      </c>
      <c r="O230" s="211">
        <f t="shared" si="62"/>
        <v>19.844671030272</v>
      </c>
      <c r="P230" s="211">
        <f t="shared" si="62"/>
        <v>7.5895704149760004</v>
      </c>
      <c r="Q230" s="211">
        <f t="shared" si="62"/>
        <v>5.8942737976319997</v>
      </c>
      <c r="R230" s="211">
        <f t="shared" si="62"/>
        <v>0.58665577766400001</v>
      </c>
      <c r="S230" s="211">
        <f t="shared" si="62"/>
        <v>2.6976927098879999E-2</v>
      </c>
      <c r="T230" s="174">
        <f t="shared" si="58"/>
        <v>0</v>
      </c>
      <c r="U230" s="1850">
        <f t="shared" si="46"/>
        <v>0</v>
      </c>
      <c r="V230" s="1850">
        <f t="shared" si="46"/>
        <v>0</v>
      </c>
      <c r="W230" s="1850">
        <f t="shared" si="46"/>
        <v>0</v>
      </c>
      <c r="X230" s="1850">
        <f t="shared" si="46"/>
        <v>0</v>
      </c>
      <c r="Y230" s="1850">
        <f t="shared" si="46"/>
        <v>0</v>
      </c>
      <c r="Z230" s="1850">
        <f t="shared" si="59"/>
        <v>0</v>
      </c>
      <c r="AA230" s="2733"/>
    </row>
    <row r="231" spans="1:27" ht="18.75" x14ac:dyDescent="0.25">
      <c r="A231" s="2738"/>
      <c r="B231" s="1863">
        <v>2064</v>
      </c>
      <c r="C231" s="221">
        <f t="shared" si="47"/>
        <v>0</v>
      </c>
      <c r="D231" s="218">
        <f t="shared" si="48"/>
        <v>0</v>
      </c>
      <c r="E231" s="218">
        <f t="shared" si="55"/>
        <v>0</v>
      </c>
      <c r="F231" s="221">
        <f t="shared" si="49"/>
        <v>0</v>
      </c>
      <c r="G231" s="221">
        <f t="shared" si="50"/>
        <v>0</v>
      </c>
      <c r="H231" s="221">
        <f t="shared" si="51"/>
        <v>0</v>
      </c>
      <c r="I231" s="221">
        <f t="shared" si="52"/>
        <v>0</v>
      </c>
      <c r="J231" s="221">
        <f t="shared" si="53"/>
        <v>0</v>
      </c>
      <c r="K231" s="221">
        <f t="shared" si="54"/>
        <v>0</v>
      </c>
      <c r="L231" s="192">
        <f t="shared" si="57"/>
        <v>0</v>
      </c>
      <c r="M231" s="211">
        <v>97</v>
      </c>
      <c r="N231" s="211">
        <f t="shared" si="62"/>
        <v>13.373560857888002</v>
      </c>
      <c r="O231" s="211">
        <f t="shared" si="62"/>
        <v>19.455745833216003</v>
      </c>
      <c r="P231" s="211">
        <f t="shared" si="62"/>
        <v>7.4408264441280014</v>
      </c>
      <c r="Q231" s="211">
        <f t="shared" si="62"/>
        <v>5.7787550472960003</v>
      </c>
      <c r="R231" s="211">
        <f t="shared" si="62"/>
        <v>0.57515822179200005</v>
      </c>
      <c r="S231" s="211">
        <f t="shared" si="62"/>
        <v>2.6448220592640001E-2</v>
      </c>
      <c r="T231" s="174">
        <f t="shared" si="58"/>
        <v>0</v>
      </c>
      <c r="U231" s="1850">
        <f t="shared" si="46"/>
        <v>0</v>
      </c>
      <c r="V231" s="1850">
        <f t="shared" si="46"/>
        <v>0</v>
      </c>
      <c r="W231" s="1850">
        <f t="shared" si="46"/>
        <v>0</v>
      </c>
      <c r="X231" s="1850">
        <f t="shared" si="46"/>
        <v>0</v>
      </c>
      <c r="Y231" s="1850">
        <f t="shared" si="46"/>
        <v>0</v>
      </c>
      <c r="Z231" s="1850">
        <f t="shared" si="59"/>
        <v>0</v>
      </c>
      <c r="AA231" s="2733"/>
    </row>
    <row r="232" spans="1:27" ht="18.75" x14ac:dyDescent="0.25">
      <c r="A232" s="2738"/>
      <c r="B232" s="1863">
        <v>2065</v>
      </c>
      <c r="C232" s="221">
        <f t="shared" si="47"/>
        <v>0</v>
      </c>
      <c r="D232" s="218">
        <f t="shared" si="48"/>
        <v>0</v>
      </c>
      <c r="E232" s="218">
        <f t="shared" si="55"/>
        <v>0</v>
      </c>
      <c r="F232" s="221">
        <f t="shared" si="49"/>
        <v>0</v>
      </c>
      <c r="G232" s="221">
        <f t="shared" si="50"/>
        <v>0</v>
      </c>
      <c r="H232" s="221">
        <f t="shared" si="51"/>
        <v>0</v>
      </c>
      <c r="I232" s="221">
        <f t="shared" si="52"/>
        <v>0</v>
      </c>
      <c r="J232" s="221">
        <f t="shared" si="53"/>
        <v>0</v>
      </c>
      <c r="K232" s="221">
        <f t="shared" si="54"/>
        <v>0</v>
      </c>
      <c r="L232" s="192">
        <f t="shared" si="57"/>
        <v>0</v>
      </c>
      <c r="M232" s="211">
        <v>97</v>
      </c>
      <c r="N232" s="211">
        <f t="shared" si="62"/>
        <v>13.112740558368001</v>
      </c>
      <c r="O232" s="211">
        <f t="shared" si="62"/>
        <v>19.076306616576002</v>
      </c>
      <c r="P232" s="211">
        <f t="shared" si="62"/>
        <v>7.2957103750080003</v>
      </c>
      <c r="Q232" s="211">
        <f t="shared" si="62"/>
        <v>5.6660538274560004</v>
      </c>
      <c r="R232" s="211">
        <f t="shared" si="62"/>
        <v>0.56394109411200011</v>
      </c>
      <c r="S232" s="211">
        <f t="shared" si="62"/>
        <v>2.5932409367040003E-2</v>
      </c>
      <c r="T232" s="174">
        <f t="shared" si="58"/>
        <v>0</v>
      </c>
      <c r="U232" s="1850">
        <f t="shared" si="46"/>
        <v>0</v>
      </c>
      <c r="V232" s="1850">
        <f t="shared" si="46"/>
        <v>0</v>
      </c>
      <c r="W232" s="1850">
        <f t="shared" si="46"/>
        <v>0</v>
      </c>
      <c r="X232" s="1850">
        <f t="shared" si="46"/>
        <v>0</v>
      </c>
      <c r="Y232" s="1850">
        <f t="shared" si="46"/>
        <v>0</v>
      </c>
      <c r="Z232" s="1850">
        <f t="shared" si="59"/>
        <v>0</v>
      </c>
      <c r="AA232" s="2733"/>
    </row>
    <row r="233" spans="1:27" ht="18.75" x14ac:dyDescent="0.25">
      <c r="A233" s="2738"/>
      <c r="B233" s="1863">
        <v>2066</v>
      </c>
      <c r="C233" s="221">
        <f t="shared" si="47"/>
        <v>0</v>
      </c>
      <c r="D233" s="218">
        <f t="shared" si="48"/>
        <v>0</v>
      </c>
      <c r="E233" s="218">
        <f t="shared" si="55"/>
        <v>0</v>
      </c>
      <c r="F233" s="221">
        <f t="shared" si="49"/>
        <v>0</v>
      </c>
      <c r="G233" s="221">
        <f t="shared" si="50"/>
        <v>0</v>
      </c>
      <c r="H233" s="221">
        <f t="shared" si="51"/>
        <v>0</v>
      </c>
      <c r="I233" s="221">
        <f t="shared" si="52"/>
        <v>0</v>
      </c>
      <c r="J233" s="221">
        <f t="shared" si="53"/>
        <v>0</v>
      </c>
      <c r="K233" s="221">
        <f t="shared" si="54"/>
        <v>0</v>
      </c>
      <c r="L233" s="192">
        <f t="shared" si="57"/>
        <v>0</v>
      </c>
      <c r="M233" s="211">
        <v>97</v>
      </c>
      <c r="N233" s="211">
        <f t="shared" si="62"/>
        <v>12.855180512592</v>
      </c>
      <c r="O233" s="211">
        <f t="shared" si="62"/>
        <v>18.701610390143998</v>
      </c>
      <c r="P233" s="211">
        <f t="shared" si="62"/>
        <v>7.1524082567520004</v>
      </c>
      <c r="Q233" s="211">
        <f t="shared" si="62"/>
        <v>5.5547613728639993</v>
      </c>
      <c r="R233" s="211">
        <f t="shared" si="62"/>
        <v>0.55286418052800002</v>
      </c>
      <c r="S233" s="211">
        <f t="shared" si="62"/>
        <v>2.5423045781760002E-2</v>
      </c>
      <c r="T233" s="174">
        <f t="shared" si="58"/>
        <v>0</v>
      </c>
      <c r="U233" s="1850">
        <f t="shared" si="46"/>
        <v>0</v>
      </c>
      <c r="V233" s="1850">
        <f t="shared" si="46"/>
        <v>0</v>
      </c>
      <c r="W233" s="1850">
        <f t="shared" si="46"/>
        <v>0</v>
      </c>
      <c r="X233" s="1850">
        <f t="shared" si="46"/>
        <v>0</v>
      </c>
      <c r="Y233" s="1850">
        <f t="shared" si="46"/>
        <v>0</v>
      </c>
      <c r="Z233" s="1850">
        <f t="shared" si="59"/>
        <v>0</v>
      </c>
      <c r="AA233" s="2733"/>
    </row>
    <row r="234" spans="1:27" ht="18.75" x14ac:dyDescent="0.25">
      <c r="A234" s="2738"/>
      <c r="B234" s="1863">
        <v>2067</v>
      </c>
      <c r="C234" s="221">
        <f t="shared" si="47"/>
        <v>0</v>
      </c>
      <c r="D234" s="218">
        <f t="shared" si="48"/>
        <v>0</v>
      </c>
      <c r="E234" s="218">
        <f t="shared" si="55"/>
        <v>0</v>
      </c>
      <c r="F234" s="221">
        <f t="shared" si="49"/>
        <v>0</v>
      </c>
      <c r="G234" s="221">
        <f t="shared" si="50"/>
        <v>0</v>
      </c>
      <c r="H234" s="221">
        <f t="shared" si="51"/>
        <v>0</v>
      </c>
      <c r="I234" s="221">
        <f t="shared" si="52"/>
        <v>0</v>
      </c>
      <c r="J234" s="221">
        <f t="shared" si="53"/>
        <v>0</v>
      </c>
      <c r="K234" s="221">
        <f t="shared" si="54"/>
        <v>0</v>
      </c>
      <c r="L234" s="192">
        <f t="shared" si="57"/>
        <v>0</v>
      </c>
      <c r="M234" s="211">
        <v>97</v>
      </c>
      <c r="N234" s="211">
        <f t="shared" si="62"/>
        <v>12.600880720560001</v>
      </c>
      <c r="O234" s="211">
        <f t="shared" si="62"/>
        <v>18.331657153920002</v>
      </c>
      <c r="P234" s="211">
        <f t="shared" si="62"/>
        <v>7.0109200893600008</v>
      </c>
      <c r="Q234" s="211">
        <f t="shared" si="62"/>
        <v>5.4448776835200006</v>
      </c>
      <c r="R234" s="211">
        <f t="shared" si="62"/>
        <v>0.5419274810400001</v>
      </c>
      <c r="S234" s="211">
        <f t="shared" si="62"/>
        <v>2.4920129836800003E-2</v>
      </c>
      <c r="T234" s="174">
        <f t="shared" si="58"/>
        <v>0</v>
      </c>
      <c r="U234" s="1850">
        <f t="shared" si="46"/>
        <v>0</v>
      </c>
      <c r="V234" s="1850">
        <f t="shared" si="46"/>
        <v>0</v>
      </c>
      <c r="W234" s="1850">
        <f t="shared" si="46"/>
        <v>0</v>
      </c>
      <c r="X234" s="1850">
        <f t="shared" si="46"/>
        <v>0</v>
      </c>
      <c r="Y234" s="1850">
        <f t="shared" si="46"/>
        <v>0</v>
      </c>
      <c r="Z234" s="1850">
        <f t="shared" si="59"/>
        <v>0</v>
      </c>
      <c r="AA234" s="2733"/>
    </row>
    <row r="235" spans="1:27" ht="18.75" x14ac:dyDescent="0.25">
      <c r="A235" s="2738"/>
      <c r="B235" s="1863">
        <v>2068</v>
      </c>
      <c r="C235" s="221">
        <f t="shared" si="47"/>
        <v>0</v>
      </c>
      <c r="D235" s="218">
        <f t="shared" si="48"/>
        <v>0</v>
      </c>
      <c r="E235" s="218">
        <f t="shared" si="55"/>
        <v>0</v>
      </c>
      <c r="F235" s="221">
        <f t="shared" si="49"/>
        <v>0</v>
      </c>
      <c r="G235" s="221">
        <f t="shared" si="50"/>
        <v>0</v>
      </c>
      <c r="H235" s="221">
        <f t="shared" si="51"/>
        <v>0</v>
      </c>
      <c r="I235" s="221">
        <f t="shared" si="52"/>
        <v>0</v>
      </c>
      <c r="J235" s="221">
        <f t="shared" si="53"/>
        <v>0</v>
      </c>
      <c r="K235" s="221">
        <f t="shared" si="54"/>
        <v>0</v>
      </c>
      <c r="L235" s="192">
        <f t="shared" si="57"/>
        <v>0</v>
      </c>
      <c r="M235" s="211">
        <v>97</v>
      </c>
      <c r="N235" s="211">
        <f t="shared" si="62"/>
        <v>12.356361689760002</v>
      </c>
      <c r="O235" s="211">
        <f t="shared" si="62"/>
        <v>17.975932888320003</v>
      </c>
      <c r="P235" s="211">
        <f t="shared" si="62"/>
        <v>6.8748737745600002</v>
      </c>
      <c r="Q235" s="211">
        <f t="shared" si="62"/>
        <v>5.339220289920001</v>
      </c>
      <c r="R235" s="211">
        <f t="shared" si="62"/>
        <v>0.53141142384000006</v>
      </c>
      <c r="S235" s="211">
        <f t="shared" si="62"/>
        <v>2.4436556812800003E-2</v>
      </c>
      <c r="T235" s="174">
        <f t="shared" si="58"/>
        <v>0</v>
      </c>
      <c r="U235" s="1850">
        <f t="shared" si="46"/>
        <v>0</v>
      </c>
      <c r="V235" s="1850">
        <f t="shared" si="46"/>
        <v>0</v>
      </c>
      <c r="W235" s="1850">
        <f t="shared" si="46"/>
        <v>0</v>
      </c>
      <c r="X235" s="1850">
        <f t="shared" si="46"/>
        <v>0</v>
      </c>
      <c r="Y235" s="1850">
        <f t="shared" si="46"/>
        <v>0</v>
      </c>
      <c r="Z235" s="1850">
        <f t="shared" si="59"/>
        <v>0</v>
      </c>
      <c r="AA235" s="2733"/>
    </row>
    <row r="236" spans="1:27" ht="19.5" thickBot="1" x14ac:dyDescent="0.3">
      <c r="A236" s="2738"/>
      <c r="B236" s="1866">
        <v>2069</v>
      </c>
      <c r="C236" s="648">
        <f>$S$8</f>
        <v>0</v>
      </c>
      <c r="D236" s="327">
        <f t="shared" si="48"/>
        <v>0</v>
      </c>
      <c r="E236" s="327">
        <f t="shared" si="55"/>
        <v>0</v>
      </c>
      <c r="F236" s="648">
        <f t="shared" si="49"/>
        <v>0</v>
      </c>
      <c r="G236" s="648">
        <f t="shared" si="50"/>
        <v>0</v>
      </c>
      <c r="H236" s="648">
        <f t="shared" si="51"/>
        <v>0</v>
      </c>
      <c r="I236" s="648">
        <f t="shared" si="52"/>
        <v>0</v>
      </c>
      <c r="J236" s="648">
        <f t="shared" si="53"/>
        <v>0</v>
      </c>
      <c r="K236" s="648">
        <f t="shared" si="54"/>
        <v>0</v>
      </c>
      <c r="L236" s="219">
        <f t="shared" si="57"/>
        <v>0</v>
      </c>
      <c r="M236" s="646">
        <v>97</v>
      </c>
      <c r="N236" s="646">
        <f t="shared" ref="N236:S236" si="63">N83</f>
        <v>12.111842658960002</v>
      </c>
      <c r="O236" s="646">
        <f t="shared" si="63"/>
        <v>17.62020862272</v>
      </c>
      <c r="P236" s="646">
        <f t="shared" si="63"/>
        <v>6.7388274597600004</v>
      </c>
      <c r="Q236" s="646">
        <f t="shared" si="63"/>
        <v>5.2335628963200005</v>
      </c>
      <c r="R236" s="646">
        <f t="shared" si="63"/>
        <v>0.52089536664000002</v>
      </c>
      <c r="S236" s="646">
        <f t="shared" si="63"/>
        <v>2.3952983788800002E-2</v>
      </c>
      <c r="T236" s="758">
        <f t="shared" si="58"/>
        <v>0</v>
      </c>
      <c r="U236" s="1847">
        <f t="shared" si="46"/>
        <v>0</v>
      </c>
      <c r="V236" s="1847">
        <f t="shared" si="46"/>
        <v>0</v>
      </c>
      <c r="W236" s="1847">
        <f t="shared" si="46"/>
        <v>0</v>
      </c>
      <c r="X236" s="1847">
        <f t="shared" si="46"/>
        <v>0</v>
      </c>
      <c r="Y236" s="1847">
        <f t="shared" si="46"/>
        <v>0</v>
      </c>
      <c r="Z236" s="1847">
        <f t="shared" si="59"/>
        <v>0</v>
      </c>
      <c r="AA236" s="2734"/>
    </row>
    <row r="237" spans="1:27" ht="18.75" x14ac:dyDescent="0.25">
      <c r="A237" s="2737" t="s">
        <v>1097</v>
      </c>
      <c r="B237" s="1862">
        <v>2019</v>
      </c>
      <c r="C237" s="216">
        <f>$S$9</f>
        <v>0</v>
      </c>
      <c r="D237" s="216">
        <f>$R$9*28</f>
        <v>0</v>
      </c>
      <c r="E237" s="216">
        <f>$T$9*298</f>
        <v>0</v>
      </c>
      <c r="F237" s="216">
        <f>$O$9</f>
        <v>0</v>
      </c>
      <c r="G237" s="216">
        <f>$P$9</f>
        <v>0</v>
      </c>
      <c r="H237" s="216">
        <f>$N$9</f>
        <v>0</v>
      </c>
      <c r="I237" s="216">
        <f>$Q$9</f>
        <v>0</v>
      </c>
      <c r="J237" s="216">
        <f>$L$9</f>
        <v>0</v>
      </c>
      <c r="K237" s="216">
        <f>$M$9</f>
        <v>0</v>
      </c>
      <c r="L237" s="217">
        <f t="shared" si="57"/>
        <v>0</v>
      </c>
      <c r="M237" s="643">
        <v>62</v>
      </c>
      <c r="N237" s="643">
        <f t="shared" ref="N237:S249" si="64">N186</f>
        <v>32.602537440000006</v>
      </c>
      <c r="O237" s="643">
        <f>O186</f>
        <v>47.429902080000005</v>
      </c>
      <c r="P237" s="643">
        <f t="shared" si="64"/>
        <v>18.139508640000003</v>
      </c>
      <c r="Q237" s="643">
        <f t="shared" si="64"/>
        <v>14.087652480000001</v>
      </c>
      <c r="R237" s="643">
        <f t="shared" si="64"/>
        <v>1.4021409600000001</v>
      </c>
      <c r="S237" s="643">
        <f t="shared" si="64"/>
        <v>6.4476403200000004E-2</v>
      </c>
      <c r="T237" s="645">
        <f t="shared" si="58"/>
        <v>0</v>
      </c>
      <c r="U237" s="644">
        <f t="shared" ref="U237:Y287" si="65">F237*N237</f>
        <v>0</v>
      </c>
      <c r="V237" s="644">
        <f t="shared" si="65"/>
        <v>0</v>
      </c>
      <c r="W237" s="644">
        <f t="shared" si="65"/>
        <v>0</v>
      </c>
      <c r="X237" s="644">
        <f t="shared" si="65"/>
        <v>0</v>
      </c>
      <c r="Y237" s="644">
        <f>J237*R237</f>
        <v>0</v>
      </c>
      <c r="Z237" s="644">
        <f t="shared" si="59"/>
        <v>0</v>
      </c>
      <c r="AA237" s="2732">
        <f>(SUM(T237:T287)*1.2682)+(SUM(U237:U287))+(SUM(V237:V287))+(SUM(W237:W287))+(SUM(X237:X287))+(SUM(Y237:Y287))+(SUM(Z237:Z287))</f>
        <v>0</v>
      </c>
    </row>
    <row r="238" spans="1:27" ht="18.75" x14ac:dyDescent="0.25">
      <c r="A238" s="2738"/>
      <c r="B238" s="1863">
        <v>2020</v>
      </c>
      <c r="C238" s="218">
        <f t="shared" ref="C238:C287" si="66">$S$9</f>
        <v>0</v>
      </c>
      <c r="D238" s="221">
        <f t="shared" ref="D238:D287" si="67">$R$9*28</f>
        <v>0</v>
      </c>
      <c r="E238" s="221">
        <f t="shared" ref="E238:E287" si="68">$T$9*298</f>
        <v>0</v>
      </c>
      <c r="F238" s="218">
        <f t="shared" ref="F238:F287" si="69">$O$9</f>
        <v>0</v>
      </c>
      <c r="G238" s="218">
        <f t="shared" ref="G238:G287" si="70">$P$9</f>
        <v>0</v>
      </c>
      <c r="H238" s="218">
        <f t="shared" ref="H238:H287" si="71">$N$9</f>
        <v>0</v>
      </c>
      <c r="I238" s="218">
        <f t="shared" ref="I238:I287" si="72">$Q$9</f>
        <v>0</v>
      </c>
      <c r="J238" s="218">
        <f t="shared" ref="J238:J287" si="73">$L$9</f>
        <v>0</v>
      </c>
      <c r="K238" s="218">
        <f t="shared" ref="K238:K287" si="74">$M$9</f>
        <v>0</v>
      </c>
      <c r="L238" s="192">
        <f t="shared" si="57"/>
        <v>0</v>
      </c>
      <c r="M238" s="211">
        <v>64</v>
      </c>
      <c r="N238" s="211">
        <f t="shared" si="64"/>
        <v>31.963527706176006</v>
      </c>
      <c r="O238" s="211">
        <f t="shared" si="64"/>
        <v>46.500275999232002</v>
      </c>
      <c r="P238" s="211">
        <f t="shared" si="64"/>
        <v>17.783974270656003</v>
      </c>
      <c r="Q238" s="211">
        <f t="shared" si="64"/>
        <v>13.811534491392001</v>
      </c>
      <c r="R238" s="211">
        <f t="shared" si="64"/>
        <v>1.3746589971840002</v>
      </c>
      <c r="S238" s="211">
        <f t="shared" si="64"/>
        <v>6.3212665697280013E-2</v>
      </c>
      <c r="T238" s="174">
        <f t="shared" si="58"/>
        <v>0</v>
      </c>
      <c r="U238" s="1850">
        <f t="shared" si="65"/>
        <v>0</v>
      </c>
      <c r="V238" s="1850">
        <f t="shared" si="65"/>
        <v>0</v>
      </c>
      <c r="W238" s="1850">
        <f t="shared" si="65"/>
        <v>0</v>
      </c>
      <c r="X238" s="1850">
        <f t="shared" si="65"/>
        <v>0</v>
      </c>
      <c r="Y238" s="1850">
        <f t="shared" si="65"/>
        <v>0</v>
      </c>
      <c r="Z238" s="1850">
        <f t="shared" si="59"/>
        <v>0</v>
      </c>
      <c r="AA238" s="2733"/>
    </row>
    <row r="239" spans="1:27" ht="18.75" x14ac:dyDescent="0.25">
      <c r="A239" s="2738"/>
      <c r="B239" s="1863">
        <v>2021</v>
      </c>
      <c r="C239" s="218">
        <f t="shared" si="66"/>
        <v>0</v>
      </c>
      <c r="D239" s="221">
        <f t="shared" si="67"/>
        <v>0</v>
      </c>
      <c r="E239" s="221">
        <f t="shared" si="68"/>
        <v>0</v>
      </c>
      <c r="F239" s="218">
        <f t="shared" si="69"/>
        <v>0</v>
      </c>
      <c r="G239" s="218">
        <f t="shared" si="70"/>
        <v>0</v>
      </c>
      <c r="H239" s="218">
        <f t="shared" si="71"/>
        <v>0</v>
      </c>
      <c r="I239" s="218">
        <f t="shared" si="72"/>
        <v>0</v>
      </c>
      <c r="J239" s="218">
        <f t="shared" si="73"/>
        <v>0</v>
      </c>
      <c r="K239" s="218">
        <f t="shared" si="74"/>
        <v>0</v>
      </c>
      <c r="L239" s="192">
        <f t="shared" si="57"/>
        <v>0</v>
      </c>
      <c r="M239" s="211">
        <v>65</v>
      </c>
      <c r="N239" s="211">
        <f t="shared" si="64"/>
        <v>31.337558987328006</v>
      </c>
      <c r="O239" s="211">
        <f t="shared" si="64"/>
        <v>45.589621879296011</v>
      </c>
      <c r="P239" s="211">
        <f t="shared" si="64"/>
        <v>17.435695704768001</v>
      </c>
      <c r="Q239" s="211">
        <f t="shared" si="64"/>
        <v>13.541051563776001</v>
      </c>
      <c r="R239" s="211">
        <f t="shared" si="64"/>
        <v>1.3477378907520003</v>
      </c>
      <c r="S239" s="211">
        <f t="shared" si="64"/>
        <v>6.1974718755840007E-2</v>
      </c>
      <c r="T239" s="174">
        <f t="shared" si="58"/>
        <v>0</v>
      </c>
      <c r="U239" s="1850">
        <f t="shared" si="65"/>
        <v>0</v>
      </c>
      <c r="V239" s="1850">
        <f t="shared" si="65"/>
        <v>0</v>
      </c>
      <c r="W239" s="1850">
        <f t="shared" si="65"/>
        <v>0</v>
      </c>
      <c r="X239" s="1850">
        <f t="shared" si="65"/>
        <v>0</v>
      </c>
      <c r="Y239" s="1850">
        <f t="shared" si="65"/>
        <v>0</v>
      </c>
      <c r="Z239" s="1850">
        <f t="shared" si="59"/>
        <v>0</v>
      </c>
      <c r="AA239" s="2733"/>
    </row>
    <row r="240" spans="1:27" ht="18.75" x14ac:dyDescent="0.25">
      <c r="A240" s="2738"/>
      <c r="B240" s="1863">
        <v>2022</v>
      </c>
      <c r="C240" s="218">
        <f t="shared" si="66"/>
        <v>0</v>
      </c>
      <c r="D240" s="221">
        <f t="shared" si="67"/>
        <v>0</v>
      </c>
      <c r="E240" s="221">
        <f t="shared" si="68"/>
        <v>0</v>
      </c>
      <c r="F240" s="218">
        <f t="shared" si="69"/>
        <v>0</v>
      </c>
      <c r="G240" s="218">
        <f t="shared" si="70"/>
        <v>0</v>
      </c>
      <c r="H240" s="218">
        <f t="shared" si="71"/>
        <v>0</v>
      </c>
      <c r="I240" s="218">
        <f t="shared" si="72"/>
        <v>0</v>
      </c>
      <c r="J240" s="218">
        <f t="shared" si="73"/>
        <v>0</v>
      </c>
      <c r="K240" s="218">
        <f t="shared" si="74"/>
        <v>0</v>
      </c>
      <c r="L240" s="192">
        <f t="shared" si="57"/>
        <v>0</v>
      </c>
      <c r="M240" s="211">
        <v>66</v>
      </c>
      <c r="N240" s="211">
        <f t="shared" si="64"/>
        <v>30.721371029712003</v>
      </c>
      <c r="O240" s="211">
        <f t="shared" si="64"/>
        <v>44.693196729984003</v>
      </c>
      <c r="P240" s="211">
        <f t="shared" si="64"/>
        <v>17.092858991472003</v>
      </c>
      <c r="Q240" s="211">
        <f t="shared" si="64"/>
        <v>13.274794931903999</v>
      </c>
      <c r="R240" s="211">
        <f t="shared" si="64"/>
        <v>1.3212374266080003</v>
      </c>
      <c r="S240" s="211">
        <f t="shared" si="64"/>
        <v>6.0756114735360002E-2</v>
      </c>
      <c r="T240" s="174">
        <f t="shared" si="58"/>
        <v>0</v>
      </c>
      <c r="U240" s="1850">
        <f t="shared" si="65"/>
        <v>0</v>
      </c>
      <c r="V240" s="1850">
        <f t="shared" si="65"/>
        <v>0</v>
      </c>
      <c r="W240" s="1850">
        <f t="shared" si="65"/>
        <v>0</v>
      </c>
      <c r="X240" s="1850">
        <f t="shared" si="65"/>
        <v>0</v>
      </c>
      <c r="Y240" s="1850">
        <f t="shared" si="65"/>
        <v>0</v>
      </c>
      <c r="Z240" s="1850">
        <f t="shared" si="59"/>
        <v>0</v>
      </c>
      <c r="AA240" s="2733"/>
    </row>
    <row r="241" spans="1:27" ht="18.75" x14ac:dyDescent="0.25">
      <c r="A241" s="2738"/>
      <c r="B241" s="1863">
        <v>2023</v>
      </c>
      <c r="C241" s="218">
        <f t="shared" si="66"/>
        <v>0</v>
      </c>
      <c r="D241" s="221">
        <f t="shared" si="67"/>
        <v>0</v>
      </c>
      <c r="E241" s="221">
        <f t="shared" si="68"/>
        <v>0</v>
      </c>
      <c r="F241" s="218">
        <f t="shared" si="69"/>
        <v>0</v>
      </c>
      <c r="G241" s="218">
        <f t="shared" si="70"/>
        <v>0</v>
      </c>
      <c r="H241" s="218">
        <f t="shared" si="71"/>
        <v>0</v>
      </c>
      <c r="I241" s="218">
        <f t="shared" si="72"/>
        <v>0</v>
      </c>
      <c r="J241" s="218">
        <f t="shared" si="73"/>
        <v>0</v>
      </c>
      <c r="K241" s="218">
        <f t="shared" si="74"/>
        <v>0</v>
      </c>
      <c r="L241" s="192">
        <f t="shared" si="57"/>
        <v>0</v>
      </c>
      <c r="M241" s="211">
        <v>67</v>
      </c>
      <c r="N241" s="211">
        <f t="shared" si="64"/>
        <v>30.118224087072001</v>
      </c>
      <c r="O241" s="211">
        <f t="shared" si="64"/>
        <v>43.815743541504006</v>
      </c>
      <c r="P241" s="211">
        <f t="shared" si="64"/>
        <v>16.757278081632002</v>
      </c>
      <c r="Q241" s="211">
        <f t="shared" si="64"/>
        <v>13.014173361024</v>
      </c>
      <c r="R241" s="211">
        <f t="shared" si="64"/>
        <v>1.295297818848</v>
      </c>
      <c r="S241" s="211">
        <f t="shared" si="64"/>
        <v>5.9563301276160004E-2</v>
      </c>
      <c r="T241" s="174">
        <f t="shared" si="58"/>
        <v>0</v>
      </c>
      <c r="U241" s="1850">
        <f t="shared" si="65"/>
        <v>0</v>
      </c>
      <c r="V241" s="1850">
        <f t="shared" si="65"/>
        <v>0</v>
      </c>
      <c r="W241" s="1850">
        <f t="shared" si="65"/>
        <v>0</v>
      </c>
      <c r="X241" s="1850">
        <f t="shared" si="65"/>
        <v>0</v>
      </c>
      <c r="Y241" s="1850">
        <f t="shared" si="65"/>
        <v>0</v>
      </c>
      <c r="Z241" s="1850">
        <f t="shared" si="59"/>
        <v>0</v>
      </c>
      <c r="AA241" s="2733"/>
    </row>
    <row r="242" spans="1:27" ht="18.75" x14ac:dyDescent="0.25">
      <c r="A242" s="2738"/>
      <c r="B242" s="1863">
        <v>2024</v>
      </c>
      <c r="C242" s="218">
        <f t="shared" si="66"/>
        <v>0</v>
      </c>
      <c r="D242" s="221">
        <f t="shared" si="67"/>
        <v>0</v>
      </c>
      <c r="E242" s="221">
        <f t="shared" si="68"/>
        <v>0</v>
      </c>
      <c r="F242" s="218">
        <f t="shared" si="69"/>
        <v>0</v>
      </c>
      <c r="G242" s="218">
        <f t="shared" si="70"/>
        <v>0</v>
      </c>
      <c r="H242" s="218">
        <f t="shared" si="71"/>
        <v>0</v>
      </c>
      <c r="I242" s="218">
        <f t="shared" si="72"/>
        <v>0</v>
      </c>
      <c r="J242" s="218">
        <f t="shared" si="73"/>
        <v>0</v>
      </c>
      <c r="K242" s="218">
        <f t="shared" si="74"/>
        <v>0</v>
      </c>
      <c r="L242" s="192">
        <f t="shared" si="57"/>
        <v>0</v>
      </c>
      <c r="M242" s="211">
        <v>68</v>
      </c>
      <c r="N242" s="211">
        <f t="shared" si="64"/>
        <v>29.528118159408002</v>
      </c>
      <c r="O242" s="211">
        <f t="shared" si="64"/>
        <v>42.957262313856006</v>
      </c>
      <c r="P242" s="211">
        <f t="shared" si="64"/>
        <v>16.428952975248002</v>
      </c>
      <c r="Q242" s="211">
        <f t="shared" si="64"/>
        <v>12.759186851135999</v>
      </c>
      <c r="R242" s="211">
        <f t="shared" si="64"/>
        <v>1.269919067472</v>
      </c>
      <c r="S242" s="211">
        <f t="shared" si="64"/>
        <v>5.8396278378240005E-2</v>
      </c>
      <c r="T242" s="174">
        <f t="shared" si="58"/>
        <v>0</v>
      </c>
      <c r="U242" s="1850">
        <f t="shared" si="65"/>
        <v>0</v>
      </c>
      <c r="V242" s="1850">
        <f t="shared" si="65"/>
        <v>0</v>
      </c>
      <c r="W242" s="1850">
        <f t="shared" si="65"/>
        <v>0</v>
      </c>
      <c r="X242" s="1850">
        <f t="shared" si="65"/>
        <v>0</v>
      </c>
      <c r="Y242" s="1850">
        <f t="shared" si="65"/>
        <v>0</v>
      </c>
      <c r="Z242" s="1850">
        <f t="shared" si="59"/>
        <v>0</v>
      </c>
      <c r="AA242" s="2733"/>
    </row>
    <row r="243" spans="1:27" ht="18.75" x14ac:dyDescent="0.25">
      <c r="A243" s="2738"/>
      <c r="B243" s="1863">
        <v>2025</v>
      </c>
      <c r="C243" s="218">
        <f t="shared" si="66"/>
        <v>0</v>
      </c>
      <c r="D243" s="221">
        <f t="shared" si="67"/>
        <v>0</v>
      </c>
      <c r="E243" s="221">
        <f t="shared" si="68"/>
        <v>0</v>
      </c>
      <c r="F243" s="218">
        <f t="shared" si="69"/>
        <v>0</v>
      </c>
      <c r="G243" s="218">
        <f t="shared" si="70"/>
        <v>0</v>
      </c>
      <c r="H243" s="218">
        <f t="shared" si="71"/>
        <v>0</v>
      </c>
      <c r="I243" s="218">
        <f t="shared" si="72"/>
        <v>0</v>
      </c>
      <c r="J243" s="218">
        <f t="shared" si="73"/>
        <v>0</v>
      </c>
      <c r="K243" s="218">
        <f t="shared" si="74"/>
        <v>0</v>
      </c>
      <c r="L243" s="192">
        <f t="shared" si="57"/>
        <v>0</v>
      </c>
      <c r="M243" s="211">
        <v>69</v>
      </c>
      <c r="N243" s="211">
        <f t="shared" si="64"/>
        <v>28.951053246720004</v>
      </c>
      <c r="O243" s="211">
        <f t="shared" si="64"/>
        <v>42.117753047040004</v>
      </c>
      <c r="P243" s="211">
        <f t="shared" si="64"/>
        <v>16.10788367232</v>
      </c>
      <c r="Q243" s="211">
        <f t="shared" si="64"/>
        <v>12.50983540224</v>
      </c>
      <c r="R243" s="211">
        <f t="shared" si="64"/>
        <v>1.2451011724800001</v>
      </c>
      <c r="S243" s="211">
        <f t="shared" si="64"/>
        <v>5.7255046041600005E-2</v>
      </c>
      <c r="T243" s="174">
        <f t="shared" si="58"/>
        <v>0</v>
      </c>
      <c r="U243" s="1850">
        <f t="shared" si="65"/>
        <v>0</v>
      </c>
      <c r="V243" s="1850">
        <f t="shared" si="65"/>
        <v>0</v>
      </c>
      <c r="W243" s="1850">
        <f t="shared" si="65"/>
        <v>0</v>
      </c>
      <c r="X243" s="1850">
        <f t="shared" si="65"/>
        <v>0</v>
      </c>
      <c r="Y243" s="1850">
        <f t="shared" si="65"/>
        <v>0</v>
      </c>
      <c r="Z243" s="1850">
        <f t="shared" si="59"/>
        <v>0</v>
      </c>
      <c r="AA243" s="2733"/>
    </row>
    <row r="244" spans="1:27" ht="18.75" x14ac:dyDescent="0.25">
      <c r="A244" s="2738"/>
      <c r="B244" s="1863">
        <v>2026</v>
      </c>
      <c r="C244" s="218">
        <f t="shared" si="66"/>
        <v>0</v>
      </c>
      <c r="D244" s="221">
        <f t="shared" si="67"/>
        <v>0</v>
      </c>
      <c r="E244" s="221">
        <f t="shared" si="68"/>
        <v>0</v>
      </c>
      <c r="F244" s="218">
        <f t="shared" si="69"/>
        <v>0</v>
      </c>
      <c r="G244" s="218">
        <f t="shared" si="70"/>
        <v>0</v>
      </c>
      <c r="H244" s="218">
        <f t="shared" si="71"/>
        <v>0</v>
      </c>
      <c r="I244" s="218">
        <f t="shared" si="72"/>
        <v>0</v>
      </c>
      <c r="J244" s="218">
        <f t="shared" si="73"/>
        <v>0</v>
      </c>
      <c r="K244" s="218">
        <f t="shared" si="74"/>
        <v>0</v>
      </c>
      <c r="L244" s="192">
        <f t="shared" si="57"/>
        <v>0</v>
      </c>
      <c r="M244" s="211">
        <v>70</v>
      </c>
      <c r="N244" s="211">
        <f t="shared" si="64"/>
        <v>28.383769095264007</v>
      </c>
      <c r="O244" s="211">
        <f t="shared" si="64"/>
        <v>41.292472750848006</v>
      </c>
      <c r="P244" s="211">
        <f t="shared" si="64"/>
        <v>15.792256221984003</v>
      </c>
      <c r="Q244" s="211">
        <f t="shared" si="64"/>
        <v>12.264710249088001</v>
      </c>
      <c r="R244" s="211">
        <f t="shared" si="64"/>
        <v>1.2207039197760001</v>
      </c>
      <c r="S244" s="211">
        <f t="shared" si="64"/>
        <v>5.6133156625920007E-2</v>
      </c>
      <c r="T244" s="174">
        <f t="shared" si="58"/>
        <v>0</v>
      </c>
      <c r="U244" s="1850">
        <f t="shared" si="65"/>
        <v>0</v>
      </c>
      <c r="V244" s="1850">
        <f t="shared" si="65"/>
        <v>0</v>
      </c>
      <c r="W244" s="1850">
        <f t="shared" si="65"/>
        <v>0</v>
      </c>
      <c r="X244" s="1850">
        <f t="shared" si="65"/>
        <v>0</v>
      </c>
      <c r="Y244" s="1850">
        <f t="shared" si="65"/>
        <v>0</v>
      </c>
      <c r="Z244" s="1850">
        <f t="shared" si="59"/>
        <v>0</v>
      </c>
      <c r="AA244" s="2733"/>
    </row>
    <row r="245" spans="1:27" ht="18.75" x14ac:dyDescent="0.25">
      <c r="A245" s="2738"/>
      <c r="B245" s="1863">
        <v>2027</v>
      </c>
      <c r="C245" s="218">
        <f t="shared" si="66"/>
        <v>0</v>
      </c>
      <c r="D245" s="221">
        <f t="shared" si="67"/>
        <v>0</v>
      </c>
      <c r="E245" s="221">
        <f t="shared" si="68"/>
        <v>0</v>
      </c>
      <c r="F245" s="218">
        <f t="shared" si="69"/>
        <v>0</v>
      </c>
      <c r="G245" s="218">
        <f t="shared" si="70"/>
        <v>0</v>
      </c>
      <c r="H245" s="218">
        <f t="shared" si="71"/>
        <v>0</v>
      </c>
      <c r="I245" s="218">
        <f t="shared" si="72"/>
        <v>0</v>
      </c>
      <c r="J245" s="218">
        <f t="shared" si="73"/>
        <v>0</v>
      </c>
      <c r="K245" s="218">
        <f t="shared" si="74"/>
        <v>0</v>
      </c>
      <c r="L245" s="192">
        <f t="shared" si="57"/>
        <v>0</v>
      </c>
      <c r="M245" s="211">
        <v>71</v>
      </c>
      <c r="N245" s="211">
        <f t="shared" si="64"/>
        <v>27.826265705040004</v>
      </c>
      <c r="O245" s="211">
        <f t="shared" si="64"/>
        <v>40.481421425280004</v>
      </c>
      <c r="P245" s="211">
        <f t="shared" si="64"/>
        <v>15.482070624240002</v>
      </c>
      <c r="Q245" s="211">
        <f t="shared" si="64"/>
        <v>12.023811391680001</v>
      </c>
      <c r="R245" s="211">
        <f t="shared" si="64"/>
        <v>1.1967273093600002</v>
      </c>
      <c r="S245" s="211">
        <f t="shared" si="64"/>
        <v>5.503061013120001E-2</v>
      </c>
      <c r="T245" s="174">
        <f t="shared" si="58"/>
        <v>0</v>
      </c>
      <c r="U245" s="1850">
        <f t="shared" si="65"/>
        <v>0</v>
      </c>
      <c r="V245" s="1850">
        <f t="shared" si="65"/>
        <v>0</v>
      </c>
      <c r="W245" s="1850">
        <f t="shared" si="65"/>
        <v>0</v>
      </c>
      <c r="X245" s="1850">
        <f t="shared" si="65"/>
        <v>0</v>
      </c>
      <c r="Y245" s="1850">
        <f t="shared" si="65"/>
        <v>0</v>
      </c>
      <c r="Z245" s="1850">
        <f t="shared" si="59"/>
        <v>0</v>
      </c>
      <c r="AA245" s="2733"/>
    </row>
    <row r="246" spans="1:27" ht="18.75" x14ac:dyDescent="0.25">
      <c r="A246" s="2738"/>
      <c r="B246" s="1863">
        <v>2028</v>
      </c>
      <c r="C246" s="218">
        <f t="shared" si="66"/>
        <v>0</v>
      </c>
      <c r="D246" s="221">
        <f t="shared" si="67"/>
        <v>0</v>
      </c>
      <c r="E246" s="221">
        <f t="shared" si="68"/>
        <v>0</v>
      </c>
      <c r="F246" s="218">
        <f t="shared" si="69"/>
        <v>0</v>
      </c>
      <c r="G246" s="218">
        <f t="shared" si="70"/>
        <v>0</v>
      </c>
      <c r="H246" s="218">
        <f t="shared" si="71"/>
        <v>0</v>
      </c>
      <c r="I246" s="218">
        <f t="shared" si="72"/>
        <v>0</v>
      </c>
      <c r="J246" s="218">
        <f t="shared" si="73"/>
        <v>0</v>
      </c>
      <c r="K246" s="218">
        <f t="shared" si="74"/>
        <v>0</v>
      </c>
      <c r="L246" s="192">
        <f t="shared" si="57"/>
        <v>0</v>
      </c>
      <c r="M246" s="211">
        <v>72</v>
      </c>
      <c r="N246" s="211">
        <f t="shared" si="64"/>
        <v>27.281803329792002</v>
      </c>
      <c r="O246" s="211">
        <f t="shared" si="64"/>
        <v>39.689342060544</v>
      </c>
      <c r="P246" s="211">
        <f t="shared" si="64"/>
        <v>15.179140829952001</v>
      </c>
      <c r="Q246" s="211">
        <f t="shared" si="64"/>
        <v>11.788547595263999</v>
      </c>
      <c r="R246" s="211">
        <f t="shared" si="64"/>
        <v>1.173311555328</v>
      </c>
      <c r="S246" s="211">
        <f t="shared" si="64"/>
        <v>5.3953854197759998E-2</v>
      </c>
      <c r="T246" s="174">
        <f t="shared" si="58"/>
        <v>0</v>
      </c>
      <c r="U246" s="1850">
        <f t="shared" si="65"/>
        <v>0</v>
      </c>
      <c r="V246" s="1850">
        <f t="shared" si="65"/>
        <v>0</v>
      </c>
      <c r="W246" s="1850">
        <f t="shared" si="65"/>
        <v>0</v>
      </c>
      <c r="X246" s="1850">
        <f t="shared" si="65"/>
        <v>0</v>
      </c>
      <c r="Y246" s="1850">
        <f t="shared" si="65"/>
        <v>0</v>
      </c>
      <c r="Z246" s="1850">
        <f t="shared" si="59"/>
        <v>0</v>
      </c>
      <c r="AA246" s="2733"/>
    </row>
    <row r="247" spans="1:27" ht="18.75" x14ac:dyDescent="0.25">
      <c r="A247" s="2738"/>
      <c r="B247" s="1863">
        <v>2029</v>
      </c>
      <c r="C247" s="218">
        <f t="shared" si="66"/>
        <v>0</v>
      </c>
      <c r="D247" s="221">
        <f t="shared" si="67"/>
        <v>0</v>
      </c>
      <c r="E247" s="221">
        <f t="shared" si="68"/>
        <v>0</v>
      </c>
      <c r="F247" s="218">
        <f t="shared" si="69"/>
        <v>0</v>
      </c>
      <c r="G247" s="218">
        <f t="shared" si="70"/>
        <v>0</v>
      </c>
      <c r="H247" s="218">
        <f t="shared" si="71"/>
        <v>0</v>
      </c>
      <c r="I247" s="218">
        <f t="shared" si="72"/>
        <v>0</v>
      </c>
      <c r="J247" s="218">
        <f t="shared" si="73"/>
        <v>0</v>
      </c>
      <c r="K247" s="218">
        <f t="shared" si="74"/>
        <v>0</v>
      </c>
      <c r="L247" s="192">
        <f t="shared" si="57"/>
        <v>0</v>
      </c>
      <c r="M247" s="211">
        <v>73</v>
      </c>
      <c r="N247" s="211">
        <f t="shared" si="64"/>
        <v>26.743861462032005</v>
      </c>
      <c r="O247" s="211">
        <f t="shared" si="64"/>
        <v>38.906748676224005</v>
      </c>
      <c r="P247" s="211">
        <f t="shared" si="64"/>
        <v>14.879838937392002</v>
      </c>
      <c r="Q247" s="211">
        <f t="shared" si="64"/>
        <v>11.556101329344001</v>
      </c>
      <c r="R247" s="211">
        <f t="shared" si="64"/>
        <v>1.1501762294880002</v>
      </c>
      <c r="S247" s="211">
        <f t="shared" si="64"/>
        <v>5.2889993544960004E-2</v>
      </c>
      <c r="T247" s="174">
        <f t="shared" si="58"/>
        <v>0</v>
      </c>
      <c r="U247" s="1850">
        <f t="shared" si="65"/>
        <v>0</v>
      </c>
      <c r="V247" s="1850">
        <f t="shared" si="65"/>
        <v>0</v>
      </c>
      <c r="W247" s="1850">
        <f t="shared" si="65"/>
        <v>0</v>
      </c>
      <c r="X247" s="1850">
        <f t="shared" si="65"/>
        <v>0</v>
      </c>
      <c r="Y247" s="1850">
        <f t="shared" si="65"/>
        <v>0</v>
      </c>
      <c r="Z247" s="1850">
        <f t="shared" si="59"/>
        <v>0</v>
      </c>
      <c r="AA247" s="2733"/>
    </row>
    <row r="248" spans="1:27" ht="18.75" x14ac:dyDescent="0.25">
      <c r="A248" s="2738"/>
      <c r="B248" s="1863">
        <v>2030</v>
      </c>
      <c r="C248" s="218">
        <f t="shared" si="66"/>
        <v>0</v>
      </c>
      <c r="D248" s="221">
        <f t="shared" si="67"/>
        <v>0</v>
      </c>
      <c r="E248" s="221">
        <f t="shared" si="68"/>
        <v>0</v>
      </c>
      <c r="F248" s="218">
        <f t="shared" si="69"/>
        <v>0</v>
      </c>
      <c r="G248" s="218">
        <f t="shared" si="70"/>
        <v>0</v>
      </c>
      <c r="H248" s="218">
        <f t="shared" si="71"/>
        <v>0</v>
      </c>
      <c r="I248" s="218">
        <f t="shared" si="72"/>
        <v>0</v>
      </c>
      <c r="J248" s="218">
        <f t="shared" si="73"/>
        <v>0</v>
      </c>
      <c r="K248" s="218">
        <f t="shared" si="74"/>
        <v>0</v>
      </c>
      <c r="L248" s="192">
        <f t="shared" si="57"/>
        <v>0</v>
      </c>
      <c r="M248" s="211">
        <v>75</v>
      </c>
      <c r="N248" s="211">
        <f t="shared" si="64"/>
        <v>26.222220862992003</v>
      </c>
      <c r="O248" s="211">
        <f t="shared" si="64"/>
        <v>38.147870242944002</v>
      </c>
      <c r="P248" s="211">
        <f t="shared" si="64"/>
        <v>14.589606799152003</v>
      </c>
      <c r="Q248" s="211">
        <f t="shared" si="64"/>
        <v>11.330698889664001</v>
      </c>
      <c r="R248" s="211">
        <f t="shared" si="64"/>
        <v>1.1277419741280001</v>
      </c>
      <c r="S248" s="211">
        <f t="shared" si="64"/>
        <v>5.1858371093760007E-2</v>
      </c>
      <c r="T248" s="174">
        <f t="shared" si="58"/>
        <v>0</v>
      </c>
      <c r="U248" s="1850">
        <f t="shared" si="65"/>
        <v>0</v>
      </c>
      <c r="V248" s="1850">
        <f t="shared" si="65"/>
        <v>0</v>
      </c>
      <c r="W248" s="1850">
        <f t="shared" si="65"/>
        <v>0</v>
      </c>
      <c r="X248" s="1850">
        <f t="shared" si="65"/>
        <v>0</v>
      </c>
      <c r="Y248" s="1850">
        <f t="shared" si="65"/>
        <v>0</v>
      </c>
      <c r="Z248" s="1850">
        <f t="shared" si="59"/>
        <v>0</v>
      </c>
      <c r="AA248" s="2733"/>
    </row>
    <row r="249" spans="1:27" ht="18.75" x14ac:dyDescent="0.25">
      <c r="A249" s="2738"/>
      <c r="B249" s="1863">
        <v>2031</v>
      </c>
      <c r="C249" s="218">
        <f t="shared" si="66"/>
        <v>0</v>
      </c>
      <c r="D249" s="221">
        <f t="shared" si="67"/>
        <v>0</v>
      </c>
      <c r="E249" s="221">
        <f t="shared" si="68"/>
        <v>0</v>
      </c>
      <c r="F249" s="218">
        <f t="shared" si="69"/>
        <v>0</v>
      </c>
      <c r="G249" s="218">
        <f t="shared" si="70"/>
        <v>0</v>
      </c>
      <c r="H249" s="218">
        <f t="shared" si="71"/>
        <v>0</v>
      </c>
      <c r="I249" s="218">
        <f t="shared" si="72"/>
        <v>0</v>
      </c>
      <c r="J249" s="218">
        <f t="shared" si="73"/>
        <v>0</v>
      </c>
      <c r="K249" s="218">
        <f t="shared" si="74"/>
        <v>0</v>
      </c>
      <c r="L249" s="192">
        <f t="shared" si="57"/>
        <v>0</v>
      </c>
      <c r="M249" s="211">
        <v>76</v>
      </c>
      <c r="N249" s="211">
        <f t="shared" si="64"/>
        <v>25.70710077144</v>
      </c>
      <c r="O249" s="211">
        <f t="shared" si="64"/>
        <v>37.398477790080001</v>
      </c>
      <c r="P249" s="211">
        <f t="shared" si="64"/>
        <v>14.303002562640001</v>
      </c>
      <c r="Q249" s="211">
        <f t="shared" si="64"/>
        <v>11.108113980480001</v>
      </c>
      <c r="R249" s="211">
        <f t="shared" si="64"/>
        <v>1.1055881469600002</v>
      </c>
      <c r="S249" s="211">
        <f t="shared" si="64"/>
        <v>5.0839643923200006E-2</v>
      </c>
      <c r="T249" s="174">
        <f t="shared" si="58"/>
        <v>0</v>
      </c>
      <c r="U249" s="1850">
        <f t="shared" si="65"/>
        <v>0</v>
      </c>
      <c r="V249" s="1850">
        <f t="shared" si="65"/>
        <v>0</v>
      </c>
      <c r="W249" s="1850">
        <f t="shared" si="65"/>
        <v>0</v>
      </c>
      <c r="X249" s="1850">
        <f t="shared" si="65"/>
        <v>0</v>
      </c>
      <c r="Y249" s="1850">
        <f t="shared" si="65"/>
        <v>0</v>
      </c>
      <c r="Z249" s="1850">
        <f t="shared" si="59"/>
        <v>0</v>
      </c>
      <c r="AA249" s="2733"/>
    </row>
    <row r="250" spans="1:27" ht="18.75" x14ac:dyDescent="0.25">
      <c r="A250" s="2738"/>
      <c r="B250" s="1863">
        <v>2032</v>
      </c>
      <c r="C250" s="218">
        <f t="shared" si="66"/>
        <v>0</v>
      </c>
      <c r="D250" s="221">
        <f t="shared" si="67"/>
        <v>0</v>
      </c>
      <c r="E250" s="221">
        <f t="shared" si="68"/>
        <v>0</v>
      </c>
      <c r="F250" s="218">
        <f t="shared" si="69"/>
        <v>0</v>
      </c>
      <c r="G250" s="218">
        <f t="shared" si="70"/>
        <v>0</v>
      </c>
      <c r="H250" s="218">
        <f t="shared" si="71"/>
        <v>0</v>
      </c>
      <c r="I250" s="218">
        <f t="shared" si="72"/>
        <v>0</v>
      </c>
      <c r="J250" s="218">
        <f t="shared" si="73"/>
        <v>0</v>
      </c>
      <c r="K250" s="218">
        <f t="shared" si="74"/>
        <v>0</v>
      </c>
      <c r="L250" s="192">
        <f t="shared" si="57"/>
        <v>0</v>
      </c>
      <c r="M250" s="211">
        <v>77</v>
      </c>
      <c r="N250" s="211">
        <f t="shared" ref="N250:S265" si="75">N199</f>
        <v>25.201761441120002</v>
      </c>
      <c r="O250" s="211">
        <f t="shared" si="75"/>
        <v>36.663314307840004</v>
      </c>
      <c r="P250" s="211">
        <f t="shared" si="75"/>
        <v>14.021840178720002</v>
      </c>
      <c r="Q250" s="211">
        <f t="shared" si="75"/>
        <v>10.889755367040001</v>
      </c>
      <c r="R250" s="211">
        <f t="shared" si="75"/>
        <v>1.0838549620800002</v>
      </c>
      <c r="S250" s="211">
        <f t="shared" si="75"/>
        <v>4.9840259673600007E-2</v>
      </c>
      <c r="T250" s="174">
        <f t="shared" si="58"/>
        <v>0</v>
      </c>
      <c r="U250" s="1850">
        <f t="shared" si="65"/>
        <v>0</v>
      </c>
      <c r="V250" s="1850">
        <f t="shared" si="65"/>
        <v>0</v>
      </c>
      <c r="W250" s="1850">
        <f t="shared" si="65"/>
        <v>0</v>
      </c>
      <c r="X250" s="1850">
        <f t="shared" si="65"/>
        <v>0</v>
      </c>
      <c r="Y250" s="1850">
        <f t="shared" si="65"/>
        <v>0</v>
      </c>
      <c r="Z250" s="1850">
        <f t="shared" si="59"/>
        <v>0</v>
      </c>
      <c r="AA250" s="2733"/>
    </row>
    <row r="251" spans="1:27" ht="18.75" x14ac:dyDescent="0.25">
      <c r="A251" s="2738"/>
      <c r="B251" s="1863">
        <v>2033</v>
      </c>
      <c r="C251" s="218">
        <f t="shared" si="66"/>
        <v>0</v>
      </c>
      <c r="D251" s="221">
        <f t="shared" si="67"/>
        <v>0</v>
      </c>
      <c r="E251" s="221">
        <f t="shared" si="68"/>
        <v>0</v>
      </c>
      <c r="F251" s="218">
        <f t="shared" si="69"/>
        <v>0</v>
      </c>
      <c r="G251" s="218">
        <f t="shared" si="70"/>
        <v>0</v>
      </c>
      <c r="H251" s="218">
        <f t="shared" si="71"/>
        <v>0</v>
      </c>
      <c r="I251" s="218">
        <f t="shared" si="72"/>
        <v>0</v>
      </c>
      <c r="J251" s="218">
        <f t="shared" si="73"/>
        <v>0</v>
      </c>
      <c r="K251" s="218">
        <f t="shared" si="74"/>
        <v>0</v>
      </c>
      <c r="L251" s="192">
        <f t="shared" si="57"/>
        <v>0</v>
      </c>
      <c r="M251" s="211">
        <v>78</v>
      </c>
      <c r="N251" s="211">
        <f t="shared" si="75"/>
        <v>24.709463125776001</v>
      </c>
      <c r="O251" s="211">
        <f t="shared" si="75"/>
        <v>35.947122786432004</v>
      </c>
      <c r="P251" s="211">
        <f t="shared" si="75"/>
        <v>13.747933598256003</v>
      </c>
      <c r="Q251" s="211">
        <f t="shared" si="75"/>
        <v>10.677031814592</v>
      </c>
      <c r="R251" s="211">
        <f t="shared" si="75"/>
        <v>1.0626826335840001</v>
      </c>
      <c r="S251" s="211">
        <f t="shared" si="75"/>
        <v>4.8866665985280007E-2</v>
      </c>
      <c r="T251" s="174">
        <f t="shared" si="58"/>
        <v>0</v>
      </c>
      <c r="U251" s="1850">
        <f t="shared" si="65"/>
        <v>0</v>
      </c>
      <c r="V251" s="1850">
        <f t="shared" si="65"/>
        <v>0</v>
      </c>
      <c r="W251" s="1850">
        <f t="shared" si="65"/>
        <v>0</v>
      </c>
      <c r="X251" s="1850">
        <f t="shared" si="65"/>
        <v>0</v>
      </c>
      <c r="Y251" s="1850">
        <f t="shared" si="65"/>
        <v>0</v>
      </c>
      <c r="Z251" s="1850">
        <f t="shared" si="59"/>
        <v>0</v>
      </c>
      <c r="AA251" s="2733"/>
    </row>
    <row r="252" spans="1:27" ht="18.75" x14ac:dyDescent="0.25">
      <c r="A252" s="2738"/>
      <c r="B252" s="1863">
        <v>2034</v>
      </c>
      <c r="C252" s="218">
        <f t="shared" si="66"/>
        <v>0</v>
      </c>
      <c r="D252" s="221">
        <f t="shared" si="67"/>
        <v>0</v>
      </c>
      <c r="E252" s="221">
        <f t="shared" si="68"/>
        <v>0</v>
      </c>
      <c r="F252" s="218">
        <f t="shared" si="69"/>
        <v>0</v>
      </c>
      <c r="G252" s="218">
        <f t="shared" si="70"/>
        <v>0</v>
      </c>
      <c r="H252" s="218">
        <f t="shared" si="71"/>
        <v>0</v>
      </c>
      <c r="I252" s="218">
        <f t="shared" si="72"/>
        <v>0</v>
      </c>
      <c r="J252" s="218">
        <f t="shared" si="73"/>
        <v>0</v>
      </c>
      <c r="K252" s="218">
        <f t="shared" si="74"/>
        <v>0</v>
      </c>
      <c r="L252" s="192">
        <f t="shared" si="57"/>
        <v>0</v>
      </c>
      <c r="M252" s="211">
        <v>79</v>
      </c>
      <c r="N252" s="211">
        <f t="shared" si="75"/>
        <v>24.223685317920005</v>
      </c>
      <c r="O252" s="211">
        <f t="shared" si="75"/>
        <v>35.24041724544</v>
      </c>
      <c r="P252" s="211">
        <f t="shared" si="75"/>
        <v>13.477654919520001</v>
      </c>
      <c r="Q252" s="211">
        <f t="shared" si="75"/>
        <v>10.467125792640001</v>
      </c>
      <c r="R252" s="211">
        <f t="shared" si="75"/>
        <v>1.04179073328</v>
      </c>
      <c r="S252" s="211">
        <f t="shared" si="75"/>
        <v>4.7905967577600003E-2</v>
      </c>
      <c r="T252" s="174">
        <f t="shared" si="58"/>
        <v>0</v>
      </c>
      <c r="U252" s="1850">
        <f t="shared" si="65"/>
        <v>0</v>
      </c>
      <c r="V252" s="1850">
        <f t="shared" si="65"/>
        <v>0</v>
      </c>
      <c r="W252" s="1850">
        <f t="shared" si="65"/>
        <v>0</v>
      </c>
      <c r="X252" s="1850">
        <f t="shared" si="65"/>
        <v>0</v>
      </c>
      <c r="Y252" s="1850">
        <f t="shared" si="65"/>
        <v>0</v>
      </c>
      <c r="Z252" s="1850">
        <f t="shared" si="59"/>
        <v>0</v>
      </c>
      <c r="AA252" s="2733"/>
    </row>
    <row r="253" spans="1:27" ht="18.75" x14ac:dyDescent="0.25">
      <c r="A253" s="2738"/>
      <c r="B253" s="1863">
        <v>2035</v>
      </c>
      <c r="C253" s="218">
        <f t="shared" si="66"/>
        <v>0</v>
      </c>
      <c r="D253" s="221">
        <f t="shared" si="67"/>
        <v>0</v>
      </c>
      <c r="E253" s="221">
        <f t="shared" si="68"/>
        <v>0</v>
      </c>
      <c r="F253" s="218">
        <f t="shared" si="69"/>
        <v>0</v>
      </c>
      <c r="G253" s="218">
        <f t="shared" si="70"/>
        <v>0</v>
      </c>
      <c r="H253" s="218">
        <f t="shared" si="71"/>
        <v>0</v>
      </c>
      <c r="I253" s="218">
        <f t="shared" si="72"/>
        <v>0</v>
      </c>
      <c r="J253" s="218">
        <f t="shared" si="73"/>
        <v>0</v>
      </c>
      <c r="K253" s="218">
        <f t="shared" si="74"/>
        <v>0</v>
      </c>
      <c r="L253" s="192">
        <f t="shared" si="57"/>
        <v>0</v>
      </c>
      <c r="M253" s="211">
        <v>80</v>
      </c>
      <c r="N253" s="211">
        <f t="shared" si="75"/>
        <v>23.747688271296006</v>
      </c>
      <c r="O253" s="211">
        <f t="shared" si="75"/>
        <v>34.547940675072006</v>
      </c>
      <c r="P253" s="211">
        <f t="shared" si="75"/>
        <v>13.212818093376002</v>
      </c>
      <c r="Q253" s="211">
        <f t="shared" si="75"/>
        <v>10.261446066432002</v>
      </c>
      <c r="R253" s="211">
        <f t="shared" si="75"/>
        <v>1.0213194752640002</v>
      </c>
      <c r="S253" s="211">
        <f t="shared" si="75"/>
        <v>4.6964612090880008E-2</v>
      </c>
      <c r="T253" s="174">
        <f t="shared" si="58"/>
        <v>0</v>
      </c>
      <c r="U253" s="1850">
        <f t="shared" si="65"/>
        <v>0</v>
      </c>
      <c r="V253" s="1850">
        <f t="shared" si="65"/>
        <v>0</v>
      </c>
      <c r="W253" s="1850">
        <f t="shared" si="65"/>
        <v>0</v>
      </c>
      <c r="X253" s="1850">
        <f t="shared" si="65"/>
        <v>0</v>
      </c>
      <c r="Y253" s="1850">
        <f t="shared" si="65"/>
        <v>0</v>
      </c>
      <c r="Z253" s="1850">
        <f t="shared" si="59"/>
        <v>0</v>
      </c>
      <c r="AA253" s="2733"/>
    </row>
    <row r="254" spans="1:27" ht="18.75" x14ac:dyDescent="0.25">
      <c r="A254" s="2738"/>
      <c r="B254" s="1863">
        <v>2036</v>
      </c>
      <c r="C254" s="218">
        <f t="shared" si="66"/>
        <v>0</v>
      </c>
      <c r="D254" s="221">
        <f t="shared" si="67"/>
        <v>0</v>
      </c>
      <c r="E254" s="221">
        <f t="shared" si="68"/>
        <v>0</v>
      </c>
      <c r="F254" s="218">
        <f t="shared" si="69"/>
        <v>0</v>
      </c>
      <c r="G254" s="218">
        <f t="shared" si="70"/>
        <v>0</v>
      </c>
      <c r="H254" s="218">
        <f t="shared" si="71"/>
        <v>0</v>
      </c>
      <c r="I254" s="218">
        <f t="shared" si="72"/>
        <v>0</v>
      </c>
      <c r="J254" s="218">
        <f t="shared" si="73"/>
        <v>0</v>
      </c>
      <c r="K254" s="218">
        <f t="shared" si="74"/>
        <v>0</v>
      </c>
      <c r="L254" s="192">
        <f t="shared" si="57"/>
        <v>0</v>
      </c>
      <c r="M254" s="211">
        <v>81</v>
      </c>
      <c r="N254" s="211">
        <f t="shared" si="75"/>
        <v>23.284732239648001</v>
      </c>
      <c r="O254" s="211">
        <f t="shared" si="75"/>
        <v>33.874436065536003</v>
      </c>
      <c r="P254" s="211">
        <f t="shared" si="75"/>
        <v>12.955237070688</v>
      </c>
      <c r="Q254" s="211">
        <f t="shared" si="75"/>
        <v>10.061401401215999</v>
      </c>
      <c r="R254" s="211">
        <f t="shared" si="75"/>
        <v>1.001409073632</v>
      </c>
      <c r="S254" s="211">
        <f t="shared" si="75"/>
        <v>4.6049047165439998E-2</v>
      </c>
      <c r="T254" s="174">
        <f t="shared" si="58"/>
        <v>0</v>
      </c>
      <c r="U254" s="1850">
        <f t="shared" si="65"/>
        <v>0</v>
      </c>
      <c r="V254" s="1850">
        <f t="shared" si="65"/>
        <v>0</v>
      </c>
      <c r="W254" s="1850">
        <f t="shared" si="65"/>
        <v>0</v>
      </c>
      <c r="X254" s="1850">
        <f t="shared" si="65"/>
        <v>0</v>
      </c>
      <c r="Y254" s="1850">
        <f t="shared" si="65"/>
        <v>0</v>
      </c>
      <c r="Z254" s="1850">
        <f t="shared" si="59"/>
        <v>0</v>
      </c>
      <c r="AA254" s="2733"/>
    </row>
    <row r="255" spans="1:27" ht="18.75" x14ac:dyDescent="0.25">
      <c r="A255" s="2738"/>
      <c r="B255" s="1863">
        <v>2037</v>
      </c>
      <c r="C255" s="218">
        <f t="shared" si="66"/>
        <v>0</v>
      </c>
      <c r="D255" s="221">
        <f t="shared" si="67"/>
        <v>0</v>
      </c>
      <c r="E255" s="221">
        <f t="shared" si="68"/>
        <v>0</v>
      </c>
      <c r="F255" s="218">
        <f t="shared" si="69"/>
        <v>0</v>
      </c>
      <c r="G255" s="218">
        <f t="shared" si="70"/>
        <v>0</v>
      </c>
      <c r="H255" s="218">
        <f t="shared" si="71"/>
        <v>0</v>
      </c>
      <c r="I255" s="218">
        <f t="shared" si="72"/>
        <v>0</v>
      </c>
      <c r="J255" s="218">
        <f t="shared" si="73"/>
        <v>0</v>
      </c>
      <c r="K255" s="218">
        <f t="shared" si="74"/>
        <v>0</v>
      </c>
      <c r="L255" s="192">
        <f t="shared" si="57"/>
        <v>0</v>
      </c>
      <c r="M255" s="211">
        <v>83</v>
      </c>
      <c r="N255" s="211">
        <f t="shared" si="75"/>
        <v>22.828296715488005</v>
      </c>
      <c r="O255" s="211">
        <f t="shared" si="75"/>
        <v>33.210417436416002</v>
      </c>
      <c r="P255" s="211">
        <f t="shared" si="75"/>
        <v>12.701283949728003</v>
      </c>
      <c r="Q255" s="211">
        <f t="shared" si="75"/>
        <v>9.8641742664960006</v>
      </c>
      <c r="R255" s="211">
        <f t="shared" si="75"/>
        <v>0.9817791001920001</v>
      </c>
      <c r="S255" s="211">
        <f t="shared" si="75"/>
        <v>4.5146377520640005E-2</v>
      </c>
      <c r="T255" s="174">
        <f t="shared" si="58"/>
        <v>0</v>
      </c>
      <c r="U255" s="1850">
        <f t="shared" si="65"/>
        <v>0</v>
      </c>
      <c r="V255" s="1850">
        <f t="shared" si="65"/>
        <v>0</v>
      </c>
      <c r="W255" s="1850">
        <f t="shared" si="65"/>
        <v>0</v>
      </c>
      <c r="X255" s="1850">
        <f t="shared" si="65"/>
        <v>0</v>
      </c>
      <c r="Y255" s="1850">
        <f t="shared" si="65"/>
        <v>0</v>
      </c>
      <c r="Z255" s="1850">
        <f t="shared" si="59"/>
        <v>0</v>
      </c>
      <c r="AA255" s="2733"/>
    </row>
    <row r="256" spans="1:27" ht="18.75" x14ac:dyDescent="0.25">
      <c r="A256" s="2738"/>
      <c r="B256" s="1863">
        <v>2038</v>
      </c>
      <c r="C256" s="218">
        <f t="shared" si="66"/>
        <v>0</v>
      </c>
      <c r="D256" s="221">
        <f t="shared" si="67"/>
        <v>0</v>
      </c>
      <c r="E256" s="221">
        <f t="shared" si="68"/>
        <v>0</v>
      </c>
      <c r="F256" s="218">
        <f t="shared" si="69"/>
        <v>0</v>
      </c>
      <c r="G256" s="218">
        <f t="shared" si="70"/>
        <v>0</v>
      </c>
      <c r="H256" s="218">
        <f t="shared" si="71"/>
        <v>0</v>
      </c>
      <c r="I256" s="218">
        <f t="shared" si="72"/>
        <v>0</v>
      </c>
      <c r="J256" s="218">
        <f t="shared" si="73"/>
        <v>0</v>
      </c>
      <c r="K256" s="218">
        <f t="shared" si="74"/>
        <v>0</v>
      </c>
      <c r="L256" s="192">
        <f t="shared" si="57"/>
        <v>0</v>
      </c>
      <c r="M256" s="211">
        <v>84</v>
      </c>
      <c r="N256" s="211">
        <f t="shared" si="75"/>
        <v>22.378381698816003</v>
      </c>
      <c r="O256" s="211">
        <f t="shared" si="75"/>
        <v>32.555884787712003</v>
      </c>
      <c r="P256" s="211">
        <f t="shared" si="75"/>
        <v>12.450958730496001</v>
      </c>
      <c r="Q256" s="211">
        <f t="shared" si="75"/>
        <v>9.6697646622720015</v>
      </c>
      <c r="R256" s="211">
        <f t="shared" si="75"/>
        <v>0.96242955494400007</v>
      </c>
      <c r="S256" s="211">
        <f t="shared" si="75"/>
        <v>4.4256603156480001E-2</v>
      </c>
      <c r="T256" s="174">
        <f t="shared" si="58"/>
        <v>0</v>
      </c>
      <c r="U256" s="1850">
        <f t="shared" si="65"/>
        <v>0</v>
      </c>
      <c r="V256" s="1850">
        <f t="shared" si="65"/>
        <v>0</v>
      </c>
      <c r="W256" s="1850">
        <f t="shared" si="65"/>
        <v>0</v>
      </c>
      <c r="X256" s="1850">
        <f t="shared" si="65"/>
        <v>0</v>
      </c>
      <c r="Y256" s="1850">
        <f t="shared" si="65"/>
        <v>0</v>
      </c>
      <c r="Z256" s="1850">
        <f t="shared" si="59"/>
        <v>0</v>
      </c>
      <c r="AA256" s="2733"/>
    </row>
    <row r="257" spans="1:27" ht="18.75" x14ac:dyDescent="0.25">
      <c r="A257" s="2738"/>
      <c r="B257" s="1863">
        <v>2039</v>
      </c>
      <c r="C257" s="218">
        <f t="shared" si="66"/>
        <v>0</v>
      </c>
      <c r="D257" s="221">
        <f t="shared" si="67"/>
        <v>0</v>
      </c>
      <c r="E257" s="221">
        <f t="shared" si="68"/>
        <v>0</v>
      </c>
      <c r="F257" s="218">
        <f t="shared" si="69"/>
        <v>0</v>
      </c>
      <c r="G257" s="218">
        <f t="shared" si="70"/>
        <v>0</v>
      </c>
      <c r="H257" s="218">
        <f t="shared" si="71"/>
        <v>0</v>
      </c>
      <c r="I257" s="218">
        <f t="shared" si="72"/>
        <v>0</v>
      </c>
      <c r="J257" s="218">
        <f t="shared" si="73"/>
        <v>0</v>
      </c>
      <c r="K257" s="218">
        <f t="shared" si="74"/>
        <v>0</v>
      </c>
      <c r="L257" s="192">
        <f t="shared" si="57"/>
        <v>0</v>
      </c>
      <c r="M257" s="211">
        <v>85</v>
      </c>
      <c r="N257" s="211">
        <f t="shared" si="75"/>
        <v>21.941507697120006</v>
      </c>
      <c r="O257" s="211">
        <f t="shared" si="75"/>
        <v>31.920324099840006</v>
      </c>
      <c r="P257" s="211">
        <f t="shared" si="75"/>
        <v>12.207889314720003</v>
      </c>
      <c r="Q257" s="211">
        <f t="shared" si="75"/>
        <v>9.4809901190400012</v>
      </c>
      <c r="R257" s="211">
        <f t="shared" si="75"/>
        <v>0.9436408660800002</v>
      </c>
      <c r="S257" s="211">
        <f t="shared" si="75"/>
        <v>4.3392619353600011E-2</v>
      </c>
      <c r="T257" s="174">
        <f t="shared" si="58"/>
        <v>0</v>
      </c>
      <c r="U257" s="1850">
        <f t="shared" si="65"/>
        <v>0</v>
      </c>
      <c r="V257" s="1850">
        <f t="shared" si="65"/>
        <v>0</v>
      </c>
      <c r="W257" s="1850">
        <f t="shared" si="65"/>
        <v>0</v>
      </c>
      <c r="X257" s="1850">
        <f t="shared" si="65"/>
        <v>0</v>
      </c>
      <c r="Y257" s="1850">
        <f t="shared" si="65"/>
        <v>0</v>
      </c>
      <c r="Z257" s="1850">
        <f t="shared" si="59"/>
        <v>0</v>
      </c>
      <c r="AA257" s="2733"/>
    </row>
    <row r="258" spans="1:27" ht="18.75" x14ac:dyDescent="0.25">
      <c r="A258" s="2738"/>
      <c r="B258" s="1863">
        <v>2040</v>
      </c>
      <c r="C258" s="218">
        <f t="shared" si="66"/>
        <v>0</v>
      </c>
      <c r="D258" s="221">
        <f t="shared" si="67"/>
        <v>0</v>
      </c>
      <c r="E258" s="221">
        <f t="shared" si="68"/>
        <v>0</v>
      </c>
      <c r="F258" s="218">
        <f t="shared" si="69"/>
        <v>0</v>
      </c>
      <c r="G258" s="218">
        <f t="shared" si="70"/>
        <v>0</v>
      </c>
      <c r="H258" s="218">
        <f t="shared" si="71"/>
        <v>0</v>
      </c>
      <c r="I258" s="218">
        <f t="shared" si="72"/>
        <v>0</v>
      </c>
      <c r="J258" s="218">
        <f t="shared" si="73"/>
        <v>0</v>
      </c>
      <c r="K258" s="218">
        <f t="shared" si="74"/>
        <v>0</v>
      </c>
      <c r="L258" s="192">
        <f t="shared" si="57"/>
        <v>0</v>
      </c>
      <c r="M258" s="211">
        <v>86</v>
      </c>
      <c r="N258" s="211">
        <f t="shared" si="75"/>
        <v>21.511154202912003</v>
      </c>
      <c r="O258" s="211">
        <f t="shared" si="75"/>
        <v>31.294249392384003</v>
      </c>
      <c r="P258" s="211">
        <f t="shared" si="75"/>
        <v>11.968447800672001</v>
      </c>
      <c r="Q258" s="211">
        <f t="shared" si="75"/>
        <v>9.2950331063040004</v>
      </c>
      <c r="R258" s="211">
        <f t="shared" si="75"/>
        <v>0.92513260540800013</v>
      </c>
      <c r="S258" s="211">
        <f t="shared" si="75"/>
        <v>4.254153083136001E-2</v>
      </c>
      <c r="T258" s="174">
        <f t="shared" si="58"/>
        <v>0</v>
      </c>
      <c r="U258" s="1850">
        <f t="shared" si="65"/>
        <v>0</v>
      </c>
      <c r="V258" s="1850">
        <f t="shared" si="65"/>
        <v>0</v>
      </c>
      <c r="W258" s="1850">
        <f t="shared" si="65"/>
        <v>0</v>
      </c>
      <c r="X258" s="1850">
        <f t="shared" si="65"/>
        <v>0</v>
      </c>
      <c r="Y258" s="1850">
        <f t="shared" si="65"/>
        <v>0</v>
      </c>
      <c r="Z258" s="1850">
        <f t="shared" si="59"/>
        <v>0</v>
      </c>
      <c r="AA258" s="2733"/>
    </row>
    <row r="259" spans="1:27" ht="18.75" x14ac:dyDescent="0.25">
      <c r="A259" s="2738"/>
      <c r="B259" s="1863">
        <v>2041</v>
      </c>
      <c r="C259" s="218">
        <f t="shared" si="66"/>
        <v>0</v>
      </c>
      <c r="D259" s="221">
        <f t="shared" si="67"/>
        <v>0</v>
      </c>
      <c r="E259" s="221">
        <f t="shared" si="68"/>
        <v>0</v>
      </c>
      <c r="F259" s="218">
        <f t="shared" si="69"/>
        <v>0</v>
      </c>
      <c r="G259" s="218">
        <f t="shared" si="70"/>
        <v>0</v>
      </c>
      <c r="H259" s="218">
        <f t="shared" si="71"/>
        <v>0</v>
      </c>
      <c r="I259" s="218">
        <f t="shared" si="72"/>
        <v>0</v>
      </c>
      <c r="J259" s="218">
        <f t="shared" si="73"/>
        <v>0</v>
      </c>
      <c r="K259" s="218">
        <f t="shared" si="74"/>
        <v>0</v>
      </c>
      <c r="L259" s="192">
        <f t="shared" si="57"/>
        <v>0</v>
      </c>
      <c r="M259" s="211">
        <v>87</v>
      </c>
      <c r="N259" s="211">
        <f t="shared" si="75"/>
        <v>21.087321216192002</v>
      </c>
      <c r="O259" s="211">
        <f t="shared" si="75"/>
        <v>30.677660665344007</v>
      </c>
      <c r="P259" s="211">
        <f t="shared" si="75"/>
        <v>11.732634188352002</v>
      </c>
      <c r="Q259" s="211">
        <f t="shared" si="75"/>
        <v>9.1118936240640007</v>
      </c>
      <c r="R259" s="211">
        <f t="shared" si="75"/>
        <v>0.9069047729280002</v>
      </c>
      <c r="S259" s="211">
        <f t="shared" si="75"/>
        <v>4.1703337589760005E-2</v>
      </c>
      <c r="T259" s="174">
        <f t="shared" si="58"/>
        <v>0</v>
      </c>
      <c r="U259" s="1850">
        <f t="shared" si="65"/>
        <v>0</v>
      </c>
      <c r="V259" s="1850">
        <f t="shared" si="65"/>
        <v>0</v>
      </c>
      <c r="W259" s="1850">
        <f t="shared" si="65"/>
        <v>0</v>
      </c>
      <c r="X259" s="1850">
        <f t="shared" si="65"/>
        <v>0</v>
      </c>
      <c r="Y259" s="1850">
        <f t="shared" si="65"/>
        <v>0</v>
      </c>
      <c r="Z259" s="1850">
        <f t="shared" si="59"/>
        <v>0</v>
      </c>
      <c r="AA259" s="2733"/>
    </row>
    <row r="260" spans="1:27" ht="18.75" x14ac:dyDescent="0.25">
      <c r="A260" s="2738"/>
      <c r="B260" s="1863">
        <v>2042</v>
      </c>
      <c r="C260" s="218">
        <f t="shared" si="66"/>
        <v>0</v>
      </c>
      <c r="D260" s="221">
        <f t="shared" si="67"/>
        <v>0</v>
      </c>
      <c r="E260" s="221">
        <f t="shared" si="68"/>
        <v>0</v>
      </c>
      <c r="F260" s="218">
        <f t="shared" si="69"/>
        <v>0</v>
      </c>
      <c r="G260" s="218">
        <f t="shared" si="70"/>
        <v>0</v>
      </c>
      <c r="H260" s="218">
        <f t="shared" si="71"/>
        <v>0</v>
      </c>
      <c r="I260" s="218">
        <f t="shared" si="72"/>
        <v>0</v>
      </c>
      <c r="J260" s="218">
        <f t="shared" si="73"/>
        <v>0</v>
      </c>
      <c r="K260" s="218">
        <f t="shared" si="74"/>
        <v>0</v>
      </c>
      <c r="L260" s="192">
        <f t="shared" si="57"/>
        <v>0</v>
      </c>
      <c r="M260" s="211">
        <v>88</v>
      </c>
      <c r="N260" s="211">
        <f t="shared" si="75"/>
        <v>20.676529244448002</v>
      </c>
      <c r="O260" s="211">
        <f t="shared" si="75"/>
        <v>30.080043899136001</v>
      </c>
      <c r="P260" s="211">
        <f t="shared" si="75"/>
        <v>11.504076379488001</v>
      </c>
      <c r="Q260" s="211">
        <f t="shared" si="75"/>
        <v>8.9343892028159999</v>
      </c>
      <c r="R260" s="211">
        <f t="shared" si="75"/>
        <v>0.8892377968320001</v>
      </c>
      <c r="S260" s="211">
        <f t="shared" si="75"/>
        <v>4.0890934909439999E-2</v>
      </c>
      <c r="T260" s="174">
        <f t="shared" si="58"/>
        <v>0</v>
      </c>
      <c r="U260" s="1850">
        <f t="shared" si="65"/>
        <v>0</v>
      </c>
      <c r="V260" s="1850">
        <f t="shared" si="65"/>
        <v>0</v>
      </c>
      <c r="W260" s="1850">
        <f t="shared" si="65"/>
        <v>0</v>
      </c>
      <c r="X260" s="1850">
        <f t="shared" si="65"/>
        <v>0</v>
      </c>
      <c r="Y260" s="1850">
        <f t="shared" si="65"/>
        <v>0</v>
      </c>
      <c r="Z260" s="1850">
        <f t="shared" si="59"/>
        <v>0</v>
      </c>
      <c r="AA260" s="2733"/>
    </row>
    <row r="261" spans="1:27" ht="18.75" x14ac:dyDescent="0.25">
      <c r="A261" s="2738"/>
      <c r="B261" s="1863">
        <v>2043</v>
      </c>
      <c r="C261" s="218">
        <f t="shared" si="66"/>
        <v>0</v>
      </c>
      <c r="D261" s="221">
        <f t="shared" si="67"/>
        <v>0</v>
      </c>
      <c r="E261" s="221">
        <f t="shared" si="68"/>
        <v>0</v>
      </c>
      <c r="F261" s="218">
        <f t="shared" si="69"/>
        <v>0</v>
      </c>
      <c r="G261" s="218">
        <f t="shared" si="70"/>
        <v>0</v>
      </c>
      <c r="H261" s="218">
        <f t="shared" si="71"/>
        <v>0</v>
      </c>
      <c r="I261" s="218">
        <f t="shared" si="72"/>
        <v>0</v>
      </c>
      <c r="J261" s="218">
        <f t="shared" si="73"/>
        <v>0</v>
      </c>
      <c r="K261" s="218">
        <f t="shared" si="74"/>
        <v>0</v>
      </c>
      <c r="L261" s="192">
        <f t="shared" si="57"/>
        <v>0</v>
      </c>
      <c r="M261" s="211">
        <v>89</v>
      </c>
      <c r="N261" s="211">
        <f t="shared" si="75"/>
        <v>20.268997526448004</v>
      </c>
      <c r="O261" s="211">
        <f t="shared" si="75"/>
        <v>29.487170123136003</v>
      </c>
      <c r="P261" s="211">
        <f t="shared" si="75"/>
        <v>11.277332521488001</v>
      </c>
      <c r="Q261" s="211">
        <f t="shared" si="75"/>
        <v>8.7582935468160006</v>
      </c>
      <c r="R261" s="211">
        <f t="shared" si="75"/>
        <v>0.87171103483200019</v>
      </c>
      <c r="S261" s="211">
        <f t="shared" si="75"/>
        <v>4.0084979869440006E-2</v>
      </c>
      <c r="T261" s="174">
        <f t="shared" si="58"/>
        <v>0</v>
      </c>
      <c r="U261" s="1850">
        <f t="shared" si="65"/>
        <v>0</v>
      </c>
      <c r="V261" s="1850">
        <f t="shared" si="65"/>
        <v>0</v>
      </c>
      <c r="W261" s="1850">
        <f t="shared" si="65"/>
        <v>0</v>
      </c>
      <c r="X261" s="1850">
        <f t="shared" si="65"/>
        <v>0</v>
      </c>
      <c r="Y261" s="1850">
        <f t="shared" si="65"/>
        <v>0</v>
      </c>
      <c r="Z261" s="1850">
        <f t="shared" si="59"/>
        <v>0</v>
      </c>
      <c r="AA261" s="2733"/>
    </row>
    <row r="262" spans="1:27" ht="18.75" x14ac:dyDescent="0.25">
      <c r="A262" s="2738"/>
      <c r="B262" s="1863">
        <v>2044</v>
      </c>
      <c r="C262" s="218">
        <f t="shared" si="66"/>
        <v>0</v>
      </c>
      <c r="D262" s="221">
        <f t="shared" si="67"/>
        <v>0</v>
      </c>
      <c r="E262" s="221">
        <f t="shared" si="68"/>
        <v>0</v>
      </c>
      <c r="F262" s="218">
        <f t="shared" si="69"/>
        <v>0</v>
      </c>
      <c r="G262" s="218">
        <f t="shared" si="70"/>
        <v>0</v>
      </c>
      <c r="H262" s="218">
        <f t="shared" si="71"/>
        <v>0</v>
      </c>
      <c r="I262" s="218">
        <f t="shared" si="72"/>
        <v>0</v>
      </c>
      <c r="J262" s="218">
        <f t="shared" si="73"/>
        <v>0</v>
      </c>
      <c r="K262" s="218">
        <f t="shared" si="74"/>
        <v>0</v>
      </c>
      <c r="L262" s="192">
        <f t="shared" si="57"/>
        <v>0</v>
      </c>
      <c r="M262" s="211">
        <v>90</v>
      </c>
      <c r="N262" s="211">
        <f t="shared" si="75"/>
        <v>19.871246569680004</v>
      </c>
      <c r="O262" s="211">
        <f t="shared" si="75"/>
        <v>28.908525317760002</v>
      </c>
      <c r="P262" s="211">
        <f t="shared" si="75"/>
        <v>11.056030516080002</v>
      </c>
      <c r="Q262" s="211">
        <f t="shared" si="75"/>
        <v>8.5864241865600004</v>
      </c>
      <c r="R262" s="211">
        <f t="shared" si="75"/>
        <v>0.85460491512000014</v>
      </c>
      <c r="S262" s="211">
        <f t="shared" si="75"/>
        <v>3.9298367750400007E-2</v>
      </c>
      <c r="T262" s="174">
        <f t="shared" si="58"/>
        <v>0</v>
      </c>
      <c r="U262" s="1850">
        <f t="shared" si="65"/>
        <v>0</v>
      </c>
      <c r="V262" s="1850">
        <f t="shared" si="65"/>
        <v>0</v>
      </c>
      <c r="W262" s="1850">
        <f t="shared" si="65"/>
        <v>0</v>
      </c>
      <c r="X262" s="1850">
        <f t="shared" si="65"/>
        <v>0</v>
      </c>
      <c r="Y262" s="1850">
        <f t="shared" si="65"/>
        <v>0</v>
      </c>
      <c r="Z262" s="1850">
        <f t="shared" si="59"/>
        <v>0</v>
      </c>
      <c r="AA262" s="2733"/>
    </row>
    <row r="263" spans="1:27" ht="18.75" x14ac:dyDescent="0.25">
      <c r="A263" s="2738"/>
      <c r="B263" s="1863">
        <v>2045</v>
      </c>
      <c r="C263" s="218">
        <f t="shared" si="66"/>
        <v>0</v>
      </c>
      <c r="D263" s="221">
        <f t="shared" si="67"/>
        <v>0</v>
      </c>
      <c r="E263" s="221">
        <f t="shared" si="68"/>
        <v>0</v>
      </c>
      <c r="F263" s="218">
        <f t="shared" si="69"/>
        <v>0</v>
      </c>
      <c r="G263" s="218">
        <f t="shared" si="70"/>
        <v>0</v>
      </c>
      <c r="H263" s="218">
        <f t="shared" si="71"/>
        <v>0</v>
      </c>
      <c r="I263" s="218">
        <f t="shared" si="72"/>
        <v>0</v>
      </c>
      <c r="J263" s="218">
        <f t="shared" si="73"/>
        <v>0</v>
      </c>
      <c r="K263" s="218">
        <f t="shared" si="74"/>
        <v>0</v>
      </c>
      <c r="L263" s="192">
        <f t="shared" ref="L263:L287" si="76">(C263/1000)+(D263/1000)+(E263/1000)</f>
        <v>0</v>
      </c>
      <c r="M263" s="211">
        <v>92</v>
      </c>
      <c r="N263" s="211">
        <f t="shared" si="75"/>
        <v>19.483276374144001</v>
      </c>
      <c r="O263" s="211">
        <f t="shared" si="75"/>
        <v>28.344109483008001</v>
      </c>
      <c r="P263" s="211">
        <f t="shared" si="75"/>
        <v>10.840170363264003</v>
      </c>
      <c r="Q263" s="211">
        <f t="shared" si="75"/>
        <v>8.4187811220480011</v>
      </c>
      <c r="R263" s="211">
        <f t="shared" si="75"/>
        <v>0.83791943769600008</v>
      </c>
      <c r="S263" s="211">
        <f t="shared" si="75"/>
        <v>3.8531098552320009E-2</v>
      </c>
      <c r="T263" s="174">
        <f t="shared" ref="T263:T287" si="77">L263*M263</f>
        <v>0</v>
      </c>
      <c r="U263" s="1850">
        <f t="shared" si="65"/>
        <v>0</v>
      </c>
      <c r="V263" s="1850">
        <f t="shared" si="65"/>
        <v>0</v>
      </c>
      <c r="W263" s="1850">
        <f t="shared" si="65"/>
        <v>0</v>
      </c>
      <c r="X263" s="1850">
        <f t="shared" si="65"/>
        <v>0</v>
      </c>
      <c r="Y263" s="1850">
        <f t="shared" si="65"/>
        <v>0</v>
      </c>
      <c r="Z263" s="1850">
        <f t="shared" ref="Z263:Z287" si="78">S263*K263</f>
        <v>0</v>
      </c>
      <c r="AA263" s="2733"/>
    </row>
    <row r="264" spans="1:27" ht="18.75" x14ac:dyDescent="0.25">
      <c r="A264" s="2738"/>
      <c r="B264" s="1863">
        <v>2046</v>
      </c>
      <c r="C264" s="218">
        <f t="shared" si="66"/>
        <v>0</v>
      </c>
      <c r="D264" s="221">
        <f t="shared" si="67"/>
        <v>0</v>
      </c>
      <c r="E264" s="221">
        <f t="shared" si="68"/>
        <v>0</v>
      </c>
      <c r="F264" s="218">
        <f t="shared" si="69"/>
        <v>0</v>
      </c>
      <c r="G264" s="218">
        <f t="shared" si="70"/>
        <v>0</v>
      </c>
      <c r="H264" s="218">
        <f t="shared" si="71"/>
        <v>0</v>
      </c>
      <c r="I264" s="218">
        <f t="shared" si="72"/>
        <v>0</v>
      </c>
      <c r="J264" s="218">
        <f t="shared" si="73"/>
        <v>0</v>
      </c>
      <c r="K264" s="218">
        <f t="shared" si="74"/>
        <v>0</v>
      </c>
      <c r="L264" s="192">
        <f t="shared" si="76"/>
        <v>0</v>
      </c>
      <c r="M264" s="211">
        <v>93</v>
      </c>
      <c r="N264" s="211">
        <f t="shared" si="75"/>
        <v>19.101826686096</v>
      </c>
      <c r="O264" s="211">
        <f t="shared" si="75"/>
        <v>27.789179628671999</v>
      </c>
      <c r="P264" s="211">
        <f t="shared" si="75"/>
        <v>10.627938112176002</v>
      </c>
      <c r="Q264" s="211">
        <f t="shared" si="75"/>
        <v>8.2539555880319995</v>
      </c>
      <c r="R264" s="211">
        <f t="shared" si="75"/>
        <v>0.82151438846400004</v>
      </c>
      <c r="S264" s="211">
        <f t="shared" si="75"/>
        <v>3.777672463488E-2</v>
      </c>
      <c r="T264" s="174">
        <f t="shared" si="77"/>
        <v>0</v>
      </c>
      <c r="U264" s="1850">
        <f t="shared" si="65"/>
        <v>0</v>
      </c>
      <c r="V264" s="1850">
        <f t="shared" si="65"/>
        <v>0</v>
      </c>
      <c r="W264" s="1850">
        <f t="shared" si="65"/>
        <v>0</v>
      </c>
      <c r="X264" s="1850">
        <f t="shared" si="65"/>
        <v>0</v>
      </c>
      <c r="Y264" s="1850">
        <f t="shared" si="65"/>
        <v>0</v>
      </c>
      <c r="Z264" s="1850">
        <f t="shared" si="78"/>
        <v>0</v>
      </c>
      <c r="AA264" s="2733"/>
    </row>
    <row r="265" spans="1:27" ht="18.75" x14ac:dyDescent="0.25">
      <c r="A265" s="2738"/>
      <c r="B265" s="1863">
        <v>2047</v>
      </c>
      <c r="C265" s="218">
        <f t="shared" si="66"/>
        <v>0</v>
      </c>
      <c r="D265" s="221">
        <f t="shared" si="67"/>
        <v>0</v>
      </c>
      <c r="E265" s="221">
        <f t="shared" si="68"/>
        <v>0</v>
      </c>
      <c r="F265" s="218">
        <f t="shared" si="69"/>
        <v>0</v>
      </c>
      <c r="G265" s="218">
        <f t="shared" si="70"/>
        <v>0</v>
      </c>
      <c r="H265" s="218">
        <f t="shared" si="71"/>
        <v>0</v>
      </c>
      <c r="I265" s="218">
        <f t="shared" si="72"/>
        <v>0</v>
      </c>
      <c r="J265" s="218">
        <f t="shared" si="73"/>
        <v>0</v>
      </c>
      <c r="K265" s="218">
        <f t="shared" si="74"/>
        <v>0</v>
      </c>
      <c r="L265" s="192">
        <f t="shared" si="76"/>
        <v>0</v>
      </c>
      <c r="M265" s="211">
        <v>94</v>
      </c>
      <c r="N265" s="211">
        <f t="shared" si="75"/>
        <v>18.726897505536005</v>
      </c>
      <c r="O265" s="211">
        <f t="shared" si="75"/>
        <v>27.243735754752002</v>
      </c>
      <c r="P265" s="211">
        <f t="shared" si="75"/>
        <v>10.419333762816001</v>
      </c>
      <c r="Q265" s="211">
        <f t="shared" si="75"/>
        <v>8.0919475845120008</v>
      </c>
      <c r="R265" s="211">
        <f t="shared" si="75"/>
        <v>0.80538976742400015</v>
      </c>
      <c r="S265" s="211">
        <f t="shared" si="75"/>
        <v>3.7035245998080002E-2</v>
      </c>
      <c r="T265" s="174">
        <f t="shared" si="77"/>
        <v>0</v>
      </c>
      <c r="U265" s="1850">
        <f t="shared" si="65"/>
        <v>0</v>
      </c>
      <c r="V265" s="1850">
        <f t="shared" si="65"/>
        <v>0</v>
      </c>
      <c r="W265" s="1850">
        <f t="shared" si="65"/>
        <v>0</v>
      </c>
      <c r="X265" s="1850">
        <f t="shared" si="65"/>
        <v>0</v>
      </c>
      <c r="Y265" s="1850">
        <f t="shared" si="65"/>
        <v>0</v>
      </c>
      <c r="Z265" s="1850">
        <f t="shared" si="78"/>
        <v>0</v>
      </c>
      <c r="AA265" s="2733"/>
    </row>
    <row r="266" spans="1:27" ht="18.75" x14ac:dyDescent="0.25">
      <c r="A266" s="2738"/>
      <c r="B266" s="1863">
        <v>2048</v>
      </c>
      <c r="C266" s="218">
        <f t="shared" si="66"/>
        <v>0</v>
      </c>
      <c r="D266" s="221">
        <f t="shared" si="67"/>
        <v>0</v>
      </c>
      <c r="E266" s="221">
        <f t="shared" si="68"/>
        <v>0</v>
      </c>
      <c r="F266" s="218">
        <f t="shared" si="69"/>
        <v>0</v>
      </c>
      <c r="G266" s="218">
        <f t="shared" si="70"/>
        <v>0</v>
      </c>
      <c r="H266" s="218">
        <f t="shared" si="71"/>
        <v>0</v>
      </c>
      <c r="I266" s="218">
        <f t="shared" si="72"/>
        <v>0</v>
      </c>
      <c r="J266" s="218">
        <f t="shared" si="73"/>
        <v>0</v>
      </c>
      <c r="K266" s="218">
        <f t="shared" si="74"/>
        <v>0</v>
      </c>
      <c r="L266" s="192">
        <f t="shared" si="76"/>
        <v>0</v>
      </c>
      <c r="M266" s="211">
        <v>95</v>
      </c>
      <c r="N266" s="211">
        <f t="shared" ref="N266:S281" si="79">N215</f>
        <v>18.358488832464005</v>
      </c>
      <c r="O266" s="211">
        <f t="shared" si="79"/>
        <v>26.707777861248005</v>
      </c>
      <c r="P266" s="211">
        <f t="shared" si="79"/>
        <v>10.214357315184001</v>
      </c>
      <c r="Q266" s="211">
        <f t="shared" si="79"/>
        <v>7.9327571114880007</v>
      </c>
      <c r="R266" s="211">
        <f t="shared" si="79"/>
        <v>0.78954557457600016</v>
      </c>
      <c r="S266" s="211">
        <f t="shared" si="79"/>
        <v>3.6306662641920007E-2</v>
      </c>
      <c r="T266" s="174">
        <f t="shared" si="77"/>
        <v>0</v>
      </c>
      <c r="U266" s="1850">
        <f t="shared" si="65"/>
        <v>0</v>
      </c>
      <c r="V266" s="1850">
        <f t="shared" si="65"/>
        <v>0</v>
      </c>
      <c r="W266" s="1850">
        <f t="shared" si="65"/>
        <v>0</v>
      </c>
      <c r="X266" s="1850">
        <f t="shared" si="65"/>
        <v>0</v>
      </c>
      <c r="Y266" s="1850">
        <f t="shared" si="65"/>
        <v>0</v>
      </c>
      <c r="Z266" s="1850">
        <f t="shared" si="78"/>
        <v>0</v>
      </c>
      <c r="AA266" s="2733"/>
    </row>
    <row r="267" spans="1:27" ht="18.75" x14ac:dyDescent="0.25">
      <c r="A267" s="2738"/>
      <c r="B267" s="1863">
        <v>2049</v>
      </c>
      <c r="C267" s="218">
        <f t="shared" si="66"/>
        <v>0</v>
      </c>
      <c r="D267" s="221">
        <f t="shared" si="67"/>
        <v>0</v>
      </c>
      <c r="E267" s="221">
        <f t="shared" si="68"/>
        <v>0</v>
      </c>
      <c r="F267" s="218">
        <f t="shared" si="69"/>
        <v>0</v>
      </c>
      <c r="G267" s="218">
        <f t="shared" si="70"/>
        <v>0</v>
      </c>
      <c r="H267" s="218">
        <f t="shared" si="71"/>
        <v>0</v>
      </c>
      <c r="I267" s="218">
        <f t="shared" si="72"/>
        <v>0</v>
      </c>
      <c r="J267" s="218">
        <f t="shared" si="73"/>
        <v>0</v>
      </c>
      <c r="K267" s="218">
        <f t="shared" si="74"/>
        <v>0</v>
      </c>
      <c r="L267" s="192">
        <f t="shared" si="76"/>
        <v>0</v>
      </c>
      <c r="M267" s="211">
        <v>96</v>
      </c>
      <c r="N267" s="211">
        <f t="shared" si="79"/>
        <v>17.999860920624005</v>
      </c>
      <c r="O267" s="211">
        <f t="shared" si="79"/>
        <v>26.186048938368003</v>
      </c>
      <c r="P267" s="211">
        <f t="shared" si="79"/>
        <v>10.014822720144002</v>
      </c>
      <c r="Q267" s="211">
        <f t="shared" si="79"/>
        <v>7.7777929342080014</v>
      </c>
      <c r="R267" s="211">
        <f t="shared" si="79"/>
        <v>0.77412202401600017</v>
      </c>
      <c r="S267" s="211">
        <f t="shared" si="79"/>
        <v>3.5597422206719999E-2</v>
      </c>
      <c r="T267" s="174">
        <f t="shared" si="77"/>
        <v>0</v>
      </c>
      <c r="U267" s="1850">
        <f t="shared" si="65"/>
        <v>0</v>
      </c>
      <c r="V267" s="1850">
        <f t="shared" si="65"/>
        <v>0</v>
      </c>
      <c r="W267" s="1850">
        <f t="shared" si="65"/>
        <v>0</v>
      </c>
      <c r="X267" s="1850">
        <f t="shared" si="65"/>
        <v>0</v>
      </c>
      <c r="Y267" s="1850">
        <f t="shared" si="65"/>
        <v>0</v>
      </c>
      <c r="Z267" s="1850">
        <f t="shared" si="78"/>
        <v>0</v>
      </c>
      <c r="AA267" s="2733"/>
    </row>
    <row r="268" spans="1:27" ht="18.75" x14ac:dyDescent="0.25">
      <c r="A268" s="2738"/>
      <c r="B268" s="1863">
        <v>2050</v>
      </c>
      <c r="C268" s="218">
        <f t="shared" si="66"/>
        <v>0</v>
      </c>
      <c r="D268" s="221">
        <f t="shared" si="67"/>
        <v>0</v>
      </c>
      <c r="E268" s="221">
        <f t="shared" si="68"/>
        <v>0</v>
      </c>
      <c r="F268" s="218">
        <f t="shared" si="69"/>
        <v>0</v>
      </c>
      <c r="G268" s="218">
        <f t="shared" si="70"/>
        <v>0</v>
      </c>
      <c r="H268" s="218">
        <f t="shared" si="71"/>
        <v>0</v>
      </c>
      <c r="I268" s="218">
        <f t="shared" si="72"/>
        <v>0</v>
      </c>
      <c r="J268" s="218">
        <f t="shared" si="73"/>
        <v>0</v>
      </c>
      <c r="K268" s="218">
        <f t="shared" si="74"/>
        <v>0</v>
      </c>
      <c r="L268" s="192">
        <f t="shared" si="76"/>
        <v>0</v>
      </c>
      <c r="M268" s="211">
        <v>97</v>
      </c>
      <c r="N268" s="211">
        <f t="shared" si="79"/>
        <v>17.644493262528005</v>
      </c>
      <c r="O268" s="211">
        <f t="shared" si="79"/>
        <v>25.669063005696003</v>
      </c>
      <c r="P268" s="211">
        <f t="shared" si="79"/>
        <v>9.8171020759680019</v>
      </c>
      <c r="Q268" s="211">
        <f t="shared" si="79"/>
        <v>7.624237522176001</v>
      </c>
      <c r="R268" s="211">
        <f t="shared" si="79"/>
        <v>0.75883868755200012</v>
      </c>
      <c r="S268" s="211">
        <f t="shared" si="79"/>
        <v>3.4894629411840003E-2</v>
      </c>
      <c r="T268" s="174">
        <f t="shared" si="77"/>
        <v>0</v>
      </c>
      <c r="U268" s="1850">
        <f t="shared" si="65"/>
        <v>0</v>
      </c>
      <c r="V268" s="1850">
        <f t="shared" si="65"/>
        <v>0</v>
      </c>
      <c r="W268" s="1850">
        <f t="shared" si="65"/>
        <v>0</v>
      </c>
      <c r="X268" s="1850">
        <f t="shared" si="65"/>
        <v>0</v>
      </c>
      <c r="Y268" s="1850">
        <f t="shared" si="65"/>
        <v>0</v>
      </c>
      <c r="Z268" s="1850">
        <f t="shared" si="78"/>
        <v>0</v>
      </c>
      <c r="AA268" s="2733"/>
    </row>
    <row r="269" spans="1:27" ht="18.75" x14ac:dyDescent="0.25">
      <c r="A269" s="2738"/>
      <c r="B269" s="1863">
        <v>2051</v>
      </c>
      <c r="C269" s="218">
        <f t="shared" si="66"/>
        <v>0</v>
      </c>
      <c r="D269" s="221">
        <f t="shared" si="67"/>
        <v>0</v>
      </c>
      <c r="E269" s="221">
        <f t="shared" si="68"/>
        <v>0</v>
      </c>
      <c r="F269" s="218">
        <f t="shared" si="69"/>
        <v>0</v>
      </c>
      <c r="G269" s="218">
        <f t="shared" si="70"/>
        <v>0</v>
      </c>
      <c r="H269" s="218">
        <f t="shared" si="71"/>
        <v>0</v>
      </c>
      <c r="I269" s="218">
        <f t="shared" si="72"/>
        <v>0</v>
      </c>
      <c r="J269" s="218">
        <f t="shared" si="73"/>
        <v>0</v>
      </c>
      <c r="K269" s="218">
        <f t="shared" si="74"/>
        <v>0</v>
      </c>
      <c r="L269" s="192">
        <f t="shared" si="76"/>
        <v>0</v>
      </c>
      <c r="M269" s="211">
        <v>97</v>
      </c>
      <c r="N269" s="211">
        <f t="shared" si="79"/>
        <v>17.298906365664003</v>
      </c>
      <c r="O269" s="211">
        <f t="shared" si="79"/>
        <v>25.166306043648003</v>
      </c>
      <c r="P269" s="211">
        <f t="shared" si="79"/>
        <v>9.624823284384</v>
      </c>
      <c r="Q269" s="211">
        <f t="shared" si="79"/>
        <v>7.4749084058879998</v>
      </c>
      <c r="R269" s="211">
        <f t="shared" si="79"/>
        <v>0.74397599337600007</v>
      </c>
      <c r="S269" s="211">
        <f t="shared" si="79"/>
        <v>3.4211179537920001E-2</v>
      </c>
      <c r="T269" s="174">
        <f t="shared" si="77"/>
        <v>0</v>
      </c>
      <c r="U269" s="1850">
        <f t="shared" si="65"/>
        <v>0</v>
      </c>
      <c r="V269" s="1850">
        <f t="shared" si="65"/>
        <v>0</v>
      </c>
      <c r="W269" s="1850">
        <f t="shared" si="65"/>
        <v>0</v>
      </c>
      <c r="X269" s="1850">
        <f t="shared" si="65"/>
        <v>0</v>
      </c>
      <c r="Y269" s="1850">
        <f t="shared" si="65"/>
        <v>0</v>
      </c>
      <c r="Z269" s="1850">
        <f t="shared" si="78"/>
        <v>0</v>
      </c>
      <c r="AA269" s="2733"/>
    </row>
    <row r="270" spans="1:27" ht="18.75" x14ac:dyDescent="0.25">
      <c r="A270" s="2738"/>
      <c r="B270" s="1863">
        <v>2052</v>
      </c>
      <c r="C270" s="218">
        <f t="shared" si="66"/>
        <v>0</v>
      </c>
      <c r="D270" s="221">
        <f t="shared" si="67"/>
        <v>0</v>
      </c>
      <c r="E270" s="221">
        <f t="shared" si="68"/>
        <v>0</v>
      </c>
      <c r="F270" s="218">
        <f t="shared" si="69"/>
        <v>0</v>
      </c>
      <c r="G270" s="218">
        <f t="shared" si="70"/>
        <v>0</v>
      </c>
      <c r="H270" s="218">
        <f t="shared" si="71"/>
        <v>0</v>
      </c>
      <c r="I270" s="218">
        <f t="shared" si="72"/>
        <v>0</v>
      </c>
      <c r="J270" s="218">
        <f t="shared" si="73"/>
        <v>0</v>
      </c>
      <c r="K270" s="218">
        <f t="shared" si="74"/>
        <v>0</v>
      </c>
      <c r="L270" s="192">
        <f t="shared" si="76"/>
        <v>0</v>
      </c>
      <c r="M270" s="211">
        <v>97</v>
      </c>
      <c r="N270" s="211">
        <f t="shared" si="79"/>
        <v>16.959839976288002</v>
      </c>
      <c r="O270" s="211">
        <f t="shared" si="79"/>
        <v>24.673035062016002</v>
      </c>
      <c r="P270" s="211">
        <f t="shared" si="79"/>
        <v>9.4361723945280005</v>
      </c>
      <c r="Q270" s="211">
        <f t="shared" si="79"/>
        <v>7.3283968200960006</v>
      </c>
      <c r="R270" s="211">
        <f t="shared" si="79"/>
        <v>0.72939372739200004</v>
      </c>
      <c r="S270" s="211">
        <f t="shared" si="79"/>
        <v>3.3540624944640003E-2</v>
      </c>
      <c r="T270" s="174">
        <f t="shared" si="77"/>
        <v>0</v>
      </c>
      <c r="U270" s="1850">
        <f t="shared" si="65"/>
        <v>0</v>
      </c>
      <c r="V270" s="1850">
        <f t="shared" si="65"/>
        <v>0</v>
      </c>
      <c r="W270" s="1850">
        <f t="shared" si="65"/>
        <v>0</v>
      </c>
      <c r="X270" s="1850">
        <f t="shared" si="65"/>
        <v>0</v>
      </c>
      <c r="Y270" s="1850">
        <f t="shared" si="65"/>
        <v>0</v>
      </c>
      <c r="Z270" s="1850">
        <f t="shared" si="78"/>
        <v>0</v>
      </c>
      <c r="AA270" s="2733"/>
    </row>
    <row r="271" spans="1:27" ht="18.75" x14ac:dyDescent="0.25">
      <c r="A271" s="2738"/>
      <c r="B271" s="1863">
        <v>2053</v>
      </c>
      <c r="C271" s="218">
        <f t="shared" si="66"/>
        <v>0</v>
      </c>
      <c r="D271" s="221">
        <f t="shared" si="67"/>
        <v>0</v>
      </c>
      <c r="E271" s="221">
        <f t="shared" si="68"/>
        <v>0</v>
      </c>
      <c r="F271" s="218">
        <f t="shared" si="69"/>
        <v>0</v>
      </c>
      <c r="G271" s="218">
        <f t="shared" si="70"/>
        <v>0</v>
      </c>
      <c r="H271" s="218">
        <f t="shared" si="71"/>
        <v>0</v>
      </c>
      <c r="I271" s="218">
        <f t="shared" si="72"/>
        <v>0</v>
      </c>
      <c r="J271" s="218">
        <f t="shared" si="73"/>
        <v>0</v>
      </c>
      <c r="K271" s="218">
        <f t="shared" si="74"/>
        <v>0</v>
      </c>
      <c r="L271" s="192">
        <f t="shared" si="76"/>
        <v>0</v>
      </c>
      <c r="M271" s="211">
        <v>97</v>
      </c>
      <c r="N271" s="211">
        <f t="shared" si="79"/>
        <v>15.361506000000002</v>
      </c>
      <c r="O271" s="211">
        <f t="shared" si="79"/>
        <v>24.189250060800003</v>
      </c>
      <c r="P271" s="211">
        <f t="shared" si="79"/>
        <v>9.2511494064000015</v>
      </c>
      <c r="Q271" s="211">
        <f t="shared" si="79"/>
        <v>7.1847027647999999</v>
      </c>
      <c r="R271" s="211">
        <f t="shared" si="79"/>
        <v>0.71509188960000014</v>
      </c>
      <c r="S271" s="211">
        <f t="shared" si="79"/>
        <v>3.2882965632000001E-2</v>
      </c>
      <c r="T271" s="174">
        <f t="shared" si="77"/>
        <v>0</v>
      </c>
      <c r="U271" s="1850">
        <f t="shared" si="65"/>
        <v>0</v>
      </c>
      <c r="V271" s="1850">
        <f t="shared" si="65"/>
        <v>0</v>
      </c>
      <c r="W271" s="1850">
        <f t="shared" si="65"/>
        <v>0</v>
      </c>
      <c r="X271" s="1850">
        <f t="shared" si="65"/>
        <v>0</v>
      </c>
      <c r="Y271" s="1850">
        <f t="shared" si="65"/>
        <v>0</v>
      </c>
      <c r="Z271" s="1850">
        <f t="shared" si="78"/>
        <v>0</v>
      </c>
      <c r="AA271" s="2733"/>
    </row>
    <row r="272" spans="1:27" ht="18.75" x14ac:dyDescent="0.25">
      <c r="A272" s="2738"/>
      <c r="B272" s="1863">
        <v>2054</v>
      </c>
      <c r="C272" s="218">
        <f t="shared" si="66"/>
        <v>0</v>
      </c>
      <c r="D272" s="221">
        <f t="shared" si="67"/>
        <v>0</v>
      </c>
      <c r="E272" s="221">
        <f t="shared" si="68"/>
        <v>0</v>
      </c>
      <c r="F272" s="218">
        <f t="shared" si="69"/>
        <v>0</v>
      </c>
      <c r="G272" s="218">
        <f t="shared" si="70"/>
        <v>0</v>
      </c>
      <c r="H272" s="218">
        <f t="shared" si="71"/>
        <v>0</v>
      </c>
      <c r="I272" s="218">
        <f t="shared" si="72"/>
        <v>0</v>
      </c>
      <c r="J272" s="218">
        <f t="shared" si="73"/>
        <v>0</v>
      </c>
      <c r="K272" s="218">
        <f t="shared" si="74"/>
        <v>0</v>
      </c>
      <c r="L272" s="192">
        <f t="shared" si="76"/>
        <v>0</v>
      </c>
      <c r="M272" s="211">
        <v>97</v>
      </c>
      <c r="N272" s="211">
        <f t="shared" si="79"/>
        <v>16.301268720000003</v>
      </c>
      <c r="O272" s="211">
        <f t="shared" si="79"/>
        <v>23.714951040000003</v>
      </c>
      <c r="P272" s="211">
        <f t="shared" si="79"/>
        <v>9.0697543200000013</v>
      </c>
      <c r="Q272" s="211">
        <f t="shared" si="79"/>
        <v>7.0438262400000005</v>
      </c>
      <c r="R272" s="211">
        <f t="shared" si="79"/>
        <v>0.70107048000000005</v>
      </c>
      <c r="S272" s="211">
        <f t="shared" si="79"/>
        <v>3.2238201600000002E-2</v>
      </c>
      <c r="T272" s="174">
        <f t="shared" si="77"/>
        <v>0</v>
      </c>
      <c r="U272" s="1850">
        <f t="shared" si="65"/>
        <v>0</v>
      </c>
      <c r="V272" s="1850">
        <f t="shared" si="65"/>
        <v>0</v>
      </c>
      <c r="W272" s="1850">
        <f t="shared" si="65"/>
        <v>0</v>
      </c>
      <c r="X272" s="1850">
        <f t="shared" si="65"/>
        <v>0</v>
      </c>
      <c r="Y272" s="1850">
        <f t="shared" si="65"/>
        <v>0</v>
      </c>
      <c r="Z272" s="1850">
        <f t="shared" si="78"/>
        <v>0</v>
      </c>
      <c r="AA272" s="2733"/>
    </row>
    <row r="273" spans="1:27" ht="18.75" x14ac:dyDescent="0.25">
      <c r="A273" s="2738"/>
      <c r="B273" s="1863">
        <v>2055</v>
      </c>
      <c r="C273" s="218">
        <f t="shared" si="66"/>
        <v>0</v>
      </c>
      <c r="D273" s="221">
        <f t="shared" si="67"/>
        <v>0</v>
      </c>
      <c r="E273" s="221">
        <f t="shared" si="68"/>
        <v>0</v>
      </c>
      <c r="F273" s="218">
        <f t="shared" si="69"/>
        <v>0</v>
      </c>
      <c r="G273" s="218">
        <f t="shared" si="70"/>
        <v>0</v>
      </c>
      <c r="H273" s="218">
        <f t="shared" si="71"/>
        <v>0</v>
      </c>
      <c r="I273" s="218">
        <f t="shared" si="72"/>
        <v>0</v>
      </c>
      <c r="J273" s="218">
        <f t="shared" si="73"/>
        <v>0</v>
      </c>
      <c r="K273" s="218">
        <f t="shared" si="74"/>
        <v>0</v>
      </c>
      <c r="L273" s="192">
        <f t="shared" si="76"/>
        <v>0</v>
      </c>
      <c r="M273" s="211">
        <v>97</v>
      </c>
      <c r="N273" s="211">
        <f t="shared" si="79"/>
        <v>15.981763853088003</v>
      </c>
      <c r="O273" s="211">
        <f t="shared" si="79"/>
        <v>23.250137999616001</v>
      </c>
      <c r="P273" s="211">
        <f t="shared" si="79"/>
        <v>8.8919871353280016</v>
      </c>
      <c r="Q273" s="211">
        <f t="shared" si="79"/>
        <v>6.9057672456960004</v>
      </c>
      <c r="R273" s="211">
        <f t="shared" si="79"/>
        <v>0.6873294985920001</v>
      </c>
      <c r="S273" s="211">
        <f t="shared" si="79"/>
        <v>3.1606332848640006E-2</v>
      </c>
      <c r="T273" s="174">
        <f t="shared" si="77"/>
        <v>0</v>
      </c>
      <c r="U273" s="1850">
        <f t="shared" si="65"/>
        <v>0</v>
      </c>
      <c r="V273" s="1850">
        <f t="shared" si="65"/>
        <v>0</v>
      </c>
      <c r="W273" s="1850">
        <f t="shared" si="65"/>
        <v>0</v>
      </c>
      <c r="X273" s="1850">
        <f t="shared" si="65"/>
        <v>0</v>
      </c>
      <c r="Y273" s="1850">
        <f t="shared" si="65"/>
        <v>0</v>
      </c>
      <c r="Z273" s="1850">
        <f t="shared" si="78"/>
        <v>0</v>
      </c>
      <c r="AA273" s="2733"/>
    </row>
    <row r="274" spans="1:27" ht="18.75" x14ac:dyDescent="0.25">
      <c r="A274" s="2738"/>
      <c r="B274" s="1863">
        <v>2056</v>
      </c>
      <c r="C274" s="218">
        <f t="shared" si="66"/>
        <v>0</v>
      </c>
      <c r="D274" s="221">
        <f t="shared" si="67"/>
        <v>0</v>
      </c>
      <c r="E274" s="221">
        <f t="shared" si="68"/>
        <v>0</v>
      </c>
      <c r="F274" s="218">
        <f t="shared" si="69"/>
        <v>0</v>
      </c>
      <c r="G274" s="218">
        <f t="shared" si="70"/>
        <v>0</v>
      </c>
      <c r="H274" s="218">
        <f t="shared" si="71"/>
        <v>0</v>
      </c>
      <c r="I274" s="218">
        <f t="shared" si="72"/>
        <v>0</v>
      </c>
      <c r="J274" s="218">
        <f t="shared" si="73"/>
        <v>0</v>
      </c>
      <c r="K274" s="218">
        <f t="shared" si="74"/>
        <v>0</v>
      </c>
      <c r="L274" s="192">
        <f t="shared" si="76"/>
        <v>0</v>
      </c>
      <c r="M274" s="211">
        <v>97</v>
      </c>
      <c r="N274" s="211">
        <f t="shared" si="79"/>
        <v>15.668779493664003</v>
      </c>
      <c r="O274" s="211">
        <f t="shared" si="79"/>
        <v>22.794810939648006</v>
      </c>
      <c r="P274" s="211">
        <f t="shared" si="79"/>
        <v>8.7178478523840006</v>
      </c>
      <c r="Q274" s="211">
        <f t="shared" si="79"/>
        <v>6.7705257818880007</v>
      </c>
      <c r="R274" s="211">
        <f t="shared" si="79"/>
        <v>0.67386894537600017</v>
      </c>
      <c r="S274" s="211">
        <f t="shared" si="79"/>
        <v>3.0987359377920003E-2</v>
      </c>
      <c r="T274" s="174">
        <f t="shared" si="77"/>
        <v>0</v>
      </c>
      <c r="U274" s="1850">
        <f t="shared" si="65"/>
        <v>0</v>
      </c>
      <c r="V274" s="1850">
        <f t="shared" si="65"/>
        <v>0</v>
      </c>
      <c r="W274" s="1850">
        <f t="shared" si="65"/>
        <v>0</v>
      </c>
      <c r="X274" s="1850">
        <f t="shared" si="65"/>
        <v>0</v>
      </c>
      <c r="Y274" s="1850">
        <f t="shared" si="65"/>
        <v>0</v>
      </c>
      <c r="Z274" s="1850">
        <f t="shared" si="78"/>
        <v>0</v>
      </c>
      <c r="AA274" s="2733"/>
    </row>
    <row r="275" spans="1:27" ht="18.75" x14ac:dyDescent="0.25">
      <c r="A275" s="2738"/>
      <c r="B275" s="1863">
        <v>2057</v>
      </c>
      <c r="C275" s="218">
        <f t="shared" si="66"/>
        <v>0</v>
      </c>
      <c r="D275" s="221">
        <f t="shared" si="67"/>
        <v>0</v>
      </c>
      <c r="E275" s="221">
        <f t="shared" si="68"/>
        <v>0</v>
      </c>
      <c r="F275" s="218">
        <f t="shared" si="69"/>
        <v>0</v>
      </c>
      <c r="G275" s="218">
        <f t="shared" si="70"/>
        <v>0</v>
      </c>
      <c r="H275" s="218">
        <f t="shared" si="71"/>
        <v>0</v>
      </c>
      <c r="I275" s="218">
        <f t="shared" si="72"/>
        <v>0</v>
      </c>
      <c r="J275" s="218">
        <f t="shared" si="73"/>
        <v>0</v>
      </c>
      <c r="K275" s="218">
        <f t="shared" si="74"/>
        <v>0</v>
      </c>
      <c r="L275" s="192">
        <f t="shared" si="76"/>
        <v>0</v>
      </c>
      <c r="M275" s="211">
        <v>97</v>
      </c>
      <c r="N275" s="211">
        <f t="shared" si="79"/>
        <v>15.362315641728001</v>
      </c>
      <c r="O275" s="211">
        <f t="shared" si="79"/>
        <v>22.348969860096002</v>
      </c>
      <c r="P275" s="211">
        <f t="shared" si="79"/>
        <v>8.547336471168002</v>
      </c>
      <c r="Q275" s="211">
        <f t="shared" si="79"/>
        <v>6.6381018485760004</v>
      </c>
      <c r="R275" s="211">
        <f t="shared" si="79"/>
        <v>0.66068882035200005</v>
      </c>
      <c r="S275" s="211">
        <f t="shared" si="79"/>
        <v>3.038128118784E-2</v>
      </c>
      <c r="T275" s="174">
        <f t="shared" si="77"/>
        <v>0</v>
      </c>
      <c r="U275" s="1850">
        <f t="shared" si="65"/>
        <v>0</v>
      </c>
      <c r="V275" s="1850">
        <f t="shared" si="65"/>
        <v>0</v>
      </c>
      <c r="W275" s="1850">
        <f t="shared" si="65"/>
        <v>0</v>
      </c>
      <c r="X275" s="1850">
        <f t="shared" si="65"/>
        <v>0</v>
      </c>
      <c r="Y275" s="1850">
        <f t="shared" si="65"/>
        <v>0</v>
      </c>
      <c r="Z275" s="1850">
        <f t="shared" si="78"/>
        <v>0</v>
      </c>
      <c r="AA275" s="2733"/>
    </row>
    <row r="276" spans="1:27" ht="18.75" x14ac:dyDescent="0.25">
      <c r="A276" s="2738"/>
      <c r="B276" s="1863">
        <v>2058</v>
      </c>
      <c r="C276" s="218">
        <f t="shared" si="66"/>
        <v>0</v>
      </c>
      <c r="D276" s="221">
        <f t="shared" si="67"/>
        <v>0</v>
      </c>
      <c r="E276" s="221">
        <f t="shared" si="68"/>
        <v>0</v>
      </c>
      <c r="F276" s="218">
        <f t="shared" si="69"/>
        <v>0</v>
      </c>
      <c r="G276" s="218">
        <f t="shared" si="70"/>
        <v>0</v>
      </c>
      <c r="H276" s="218">
        <f t="shared" si="71"/>
        <v>0</v>
      </c>
      <c r="I276" s="218">
        <f t="shared" si="72"/>
        <v>0</v>
      </c>
      <c r="J276" s="218">
        <f t="shared" si="73"/>
        <v>0</v>
      </c>
      <c r="K276" s="218">
        <f t="shared" si="74"/>
        <v>0</v>
      </c>
      <c r="L276" s="192">
        <f t="shared" si="76"/>
        <v>0</v>
      </c>
      <c r="M276" s="211">
        <v>97</v>
      </c>
      <c r="N276" s="211">
        <f t="shared" si="79"/>
        <v>15.059112043536</v>
      </c>
      <c r="O276" s="211">
        <f t="shared" si="79"/>
        <v>21.907871770752003</v>
      </c>
      <c r="P276" s="211">
        <f t="shared" si="79"/>
        <v>8.378639040816001</v>
      </c>
      <c r="Q276" s="211">
        <f t="shared" si="79"/>
        <v>6.5070866805119998</v>
      </c>
      <c r="R276" s="211">
        <f t="shared" si="79"/>
        <v>0.647648909424</v>
      </c>
      <c r="S276" s="211">
        <f t="shared" si="79"/>
        <v>2.9781650638080002E-2</v>
      </c>
      <c r="T276" s="174">
        <f t="shared" si="77"/>
        <v>0</v>
      </c>
      <c r="U276" s="1850">
        <f t="shared" si="65"/>
        <v>0</v>
      </c>
      <c r="V276" s="1850">
        <f t="shared" si="65"/>
        <v>0</v>
      </c>
      <c r="W276" s="1850">
        <f t="shared" si="65"/>
        <v>0</v>
      </c>
      <c r="X276" s="1850">
        <f t="shared" si="65"/>
        <v>0</v>
      </c>
      <c r="Y276" s="1850">
        <f t="shared" si="65"/>
        <v>0</v>
      </c>
      <c r="Z276" s="1850">
        <f t="shared" si="78"/>
        <v>0</v>
      </c>
      <c r="AA276" s="2733"/>
    </row>
    <row r="277" spans="1:27" ht="18.75" x14ac:dyDescent="0.25">
      <c r="A277" s="2738"/>
      <c r="B277" s="1863">
        <v>2059</v>
      </c>
      <c r="C277" s="218">
        <f t="shared" si="66"/>
        <v>0</v>
      </c>
      <c r="D277" s="221">
        <f t="shared" si="67"/>
        <v>0</v>
      </c>
      <c r="E277" s="221">
        <f t="shared" si="68"/>
        <v>0</v>
      </c>
      <c r="F277" s="218">
        <f t="shared" si="69"/>
        <v>0</v>
      </c>
      <c r="G277" s="218">
        <f t="shared" si="70"/>
        <v>0</v>
      </c>
      <c r="H277" s="218">
        <f t="shared" si="71"/>
        <v>0</v>
      </c>
      <c r="I277" s="218">
        <f t="shared" si="72"/>
        <v>0</v>
      </c>
      <c r="J277" s="218">
        <f t="shared" si="73"/>
        <v>0</v>
      </c>
      <c r="K277" s="218">
        <f t="shared" si="74"/>
        <v>0</v>
      </c>
      <c r="L277" s="192">
        <f t="shared" si="76"/>
        <v>0</v>
      </c>
      <c r="M277" s="211">
        <v>97</v>
      </c>
      <c r="N277" s="211">
        <f t="shared" si="79"/>
        <v>14.765689206576004</v>
      </c>
      <c r="O277" s="211">
        <f t="shared" si="79"/>
        <v>21.481002652032004</v>
      </c>
      <c r="P277" s="211">
        <f t="shared" si="79"/>
        <v>8.2153834630560016</v>
      </c>
      <c r="Q277" s="211">
        <f t="shared" si="79"/>
        <v>6.380297808192001</v>
      </c>
      <c r="R277" s="211">
        <f t="shared" si="79"/>
        <v>0.63502964078400004</v>
      </c>
      <c r="S277" s="211">
        <f t="shared" si="79"/>
        <v>2.9201363009280005E-2</v>
      </c>
      <c r="T277" s="174">
        <f t="shared" si="77"/>
        <v>0</v>
      </c>
      <c r="U277" s="1850">
        <f t="shared" si="65"/>
        <v>0</v>
      </c>
      <c r="V277" s="1850">
        <f t="shared" si="65"/>
        <v>0</v>
      </c>
      <c r="W277" s="1850">
        <f t="shared" si="65"/>
        <v>0</v>
      </c>
      <c r="X277" s="1850">
        <f t="shared" si="65"/>
        <v>0</v>
      </c>
      <c r="Y277" s="1850">
        <f t="shared" si="65"/>
        <v>0</v>
      </c>
      <c r="Z277" s="1850">
        <f t="shared" si="78"/>
        <v>0</v>
      </c>
      <c r="AA277" s="2733"/>
    </row>
    <row r="278" spans="1:27" ht="18.75" x14ac:dyDescent="0.25">
      <c r="A278" s="2738"/>
      <c r="B278" s="1863">
        <v>2060</v>
      </c>
      <c r="C278" s="218">
        <f t="shared" si="66"/>
        <v>0</v>
      </c>
      <c r="D278" s="221">
        <f t="shared" si="67"/>
        <v>0</v>
      </c>
      <c r="E278" s="221">
        <f t="shared" si="68"/>
        <v>0</v>
      </c>
      <c r="F278" s="218">
        <f t="shared" si="69"/>
        <v>0</v>
      </c>
      <c r="G278" s="218">
        <f t="shared" si="70"/>
        <v>0</v>
      </c>
      <c r="H278" s="218">
        <f t="shared" si="71"/>
        <v>0</v>
      </c>
      <c r="I278" s="218">
        <f t="shared" si="72"/>
        <v>0</v>
      </c>
      <c r="J278" s="218">
        <f t="shared" si="73"/>
        <v>0</v>
      </c>
      <c r="K278" s="218">
        <f t="shared" si="74"/>
        <v>0</v>
      </c>
      <c r="L278" s="192">
        <f t="shared" si="76"/>
        <v>0</v>
      </c>
      <c r="M278" s="211">
        <v>97</v>
      </c>
      <c r="N278" s="211">
        <f t="shared" si="79"/>
        <v>14.475526623360002</v>
      </c>
      <c r="O278" s="211">
        <f t="shared" si="79"/>
        <v>21.058876523520002</v>
      </c>
      <c r="P278" s="211">
        <f t="shared" si="79"/>
        <v>8.0539418361599999</v>
      </c>
      <c r="Q278" s="211">
        <f t="shared" si="79"/>
        <v>6.2549177011200001</v>
      </c>
      <c r="R278" s="211">
        <f t="shared" si="79"/>
        <v>0.62255058624000004</v>
      </c>
      <c r="S278" s="211">
        <f t="shared" si="79"/>
        <v>2.8627523020800003E-2</v>
      </c>
      <c r="T278" s="174">
        <f t="shared" si="77"/>
        <v>0</v>
      </c>
      <c r="U278" s="1850">
        <f t="shared" si="65"/>
        <v>0</v>
      </c>
      <c r="V278" s="1850">
        <f t="shared" si="65"/>
        <v>0</v>
      </c>
      <c r="W278" s="1850">
        <f t="shared" si="65"/>
        <v>0</v>
      </c>
      <c r="X278" s="1850">
        <f t="shared" si="65"/>
        <v>0</v>
      </c>
      <c r="Y278" s="1850">
        <f t="shared" si="65"/>
        <v>0</v>
      </c>
      <c r="Z278" s="1850">
        <f t="shared" si="78"/>
        <v>0</v>
      </c>
      <c r="AA278" s="2733"/>
    </row>
    <row r="279" spans="1:27" ht="18.75" x14ac:dyDescent="0.25">
      <c r="A279" s="2738"/>
      <c r="B279" s="1863">
        <v>2061</v>
      </c>
      <c r="C279" s="218">
        <f t="shared" si="66"/>
        <v>0</v>
      </c>
      <c r="D279" s="221">
        <f t="shared" si="67"/>
        <v>0</v>
      </c>
      <c r="E279" s="221">
        <f t="shared" si="68"/>
        <v>0</v>
      </c>
      <c r="F279" s="218">
        <f t="shared" si="69"/>
        <v>0</v>
      </c>
      <c r="G279" s="218">
        <f t="shared" si="70"/>
        <v>0</v>
      </c>
      <c r="H279" s="218">
        <f t="shared" si="71"/>
        <v>0</v>
      </c>
      <c r="I279" s="218">
        <f t="shared" si="72"/>
        <v>0</v>
      </c>
      <c r="J279" s="218">
        <f t="shared" si="73"/>
        <v>0</v>
      </c>
      <c r="K279" s="218">
        <f t="shared" si="74"/>
        <v>0</v>
      </c>
      <c r="L279" s="192">
        <f t="shared" si="76"/>
        <v>0</v>
      </c>
      <c r="M279" s="211">
        <v>97</v>
      </c>
      <c r="N279" s="211">
        <f t="shared" si="79"/>
        <v>14.191884547632004</v>
      </c>
      <c r="O279" s="211">
        <f t="shared" si="79"/>
        <v>20.646236375424003</v>
      </c>
      <c r="P279" s="211">
        <f t="shared" si="79"/>
        <v>7.8961281109920014</v>
      </c>
      <c r="Q279" s="211">
        <f t="shared" si="79"/>
        <v>6.1323551245440004</v>
      </c>
      <c r="R279" s="211">
        <f t="shared" si="79"/>
        <v>0.61035195988800006</v>
      </c>
      <c r="S279" s="211">
        <f t="shared" si="79"/>
        <v>2.8066578312960003E-2</v>
      </c>
      <c r="T279" s="174">
        <f t="shared" si="77"/>
        <v>0</v>
      </c>
      <c r="U279" s="1850">
        <f t="shared" si="65"/>
        <v>0</v>
      </c>
      <c r="V279" s="1850">
        <f t="shared" si="65"/>
        <v>0</v>
      </c>
      <c r="W279" s="1850">
        <f t="shared" si="65"/>
        <v>0</v>
      </c>
      <c r="X279" s="1850">
        <f t="shared" si="65"/>
        <v>0</v>
      </c>
      <c r="Y279" s="1850">
        <f t="shared" si="65"/>
        <v>0</v>
      </c>
      <c r="Z279" s="1850">
        <f t="shared" si="78"/>
        <v>0</v>
      </c>
      <c r="AA279" s="2733"/>
    </row>
    <row r="280" spans="1:27" ht="18.75" x14ac:dyDescent="0.25">
      <c r="A280" s="2738"/>
      <c r="B280" s="1863">
        <v>2062</v>
      </c>
      <c r="C280" s="218">
        <f t="shared" si="66"/>
        <v>0</v>
      </c>
      <c r="D280" s="221">
        <f t="shared" si="67"/>
        <v>0</v>
      </c>
      <c r="E280" s="221">
        <f t="shared" si="68"/>
        <v>0</v>
      </c>
      <c r="F280" s="218">
        <f t="shared" si="69"/>
        <v>0</v>
      </c>
      <c r="G280" s="218">
        <f t="shared" si="70"/>
        <v>0</v>
      </c>
      <c r="H280" s="218">
        <f t="shared" si="71"/>
        <v>0</v>
      </c>
      <c r="I280" s="218">
        <f t="shared" si="72"/>
        <v>0</v>
      </c>
      <c r="J280" s="218">
        <f t="shared" si="73"/>
        <v>0</v>
      </c>
      <c r="K280" s="218">
        <f t="shared" si="74"/>
        <v>0</v>
      </c>
      <c r="L280" s="192">
        <f t="shared" si="76"/>
        <v>0</v>
      </c>
      <c r="M280" s="211">
        <v>97</v>
      </c>
      <c r="N280" s="211">
        <f t="shared" si="79"/>
        <v>13.914762979392002</v>
      </c>
      <c r="O280" s="211">
        <f t="shared" si="79"/>
        <v>20.243082207744003</v>
      </c>
      <c r="P280" s="211">
        <f t="shared" si="79"/>
        <v>7.7419422875520008</v>
      </c>
      <c r="Q280" s="211">
        <f t="shared" si="79"/>
        <v>6.0126100784640002</v>
      </c>
      <c r="R280" s="211">
        <f t="shared" si="79"/>
        <v>0.59843376172800011</v>
      </c>
      <c r="S280" s="211">
        <f t="shared" si="79"/>
        <v>2.7518528885760004E-2</v>
      </c>
      <c r="T280" s="174">
        <f t="shared" si="77"/>
        <v>0</v>
      </c>
      <c r="U280" s="1850">
        <f t="shared" si="65"/>
        <v>0</v>
      </c>
      <c r="V280" s="1850">
        <f t="shared" si="65"/>
        <v>0</v>
      </c>
      <c r="W280" s="1850">
        <f t="shared" si="65"/>
        <v>0</v>
      </c>
      <c r="X280" s="1850">
        <f t="shared" si="65"/>
        <v>0</v>
      </c>
      <c r="Y280" s="1850">
        <f t="shared" si="65"/>
        <v>0</v>
      </c>
      <c r="Z280" s="1850">
        <f t="shared" si="78"/>
        <v>0</v>
      </c>
      <c r="AA280" s="2733"/>
    </row>
    <row r="281" spans="1:27" ht="18.75" x14ac:dyDescent="0.25">
      <c r="A281" s="2738"/>
      <c r="B281" s="1863">
        <v>2063</v>
      </c>
      <c r="C281" s="218">
        <f t="shared" si="66"/>
        <v>0</v>
      </c>
      <c r="D281" s="221">
        <f t="shared" si="67"/>
        <v>0</v>
      </c>
      <c r="E281" s="221">
        <f t="shared" si="68"/>
        <v>0</v>
      </c>
      <c r="F281" s="218">
        <f t="shared" si="69"/>
        <v>0</v>
      </c>
      <c r="G281" s="218">
        <f t="shared" si="70"/>
        <v>0</v>
      </c>
      <c r="H281" s="218">
        <f t="shared" si="71"/>
        <v>0</v>
      </c>
      <c r="I281" s="218">
        <f t="shared" si="72"/>
        <v>0</v>
      </c>
      <c r="J281" s="218">
        <f t="shared" si="73"/>
        <v>0</v>
      </c>
      <c r="K281" s="218">
        <f t="shared" si="74"/>
        <v>0</v>
      </c>
      <c r="L281" s="192">
        <f t="shared" si="76"/>
        <v>0</v>
      </c>
      <c r="M281" s="211">
        <v>97</v>
      </c>
      <c r="N281" s="211">
        <f t="shared" si="79"/>
        <v>13.640901664896001</v>
      </c>
      <c r="O281" s="211">
        <f t="shared" si="79"/>
        <v>19.844671030272</v>
      </c>
      <c r="P281" s="211">
        <f t="shared" si="79"/>
        <v>7.5895704149760004</v>
      </c>
      <c r="Q281" s="211">
        <f t="shared" si="79"/>
        <v>5.8942737976319997</v>
      </c>
      <c r="R281" s="211">
        <f t="shared" si="79"/>
        <v>0.58665577766400001</v>
      </c>
      <c r="S281" s="211">
        <f t="shared" si="79"/>
        <v>2.6976927098879999E-2</v>
      </c>
      <c r="T281" s="174">
        <f t="shared" si="77"/>
        <v>0</v>
      </c>
      <c r="U281" s="1850">
        <f t="shared" si="65"/>
        <v>0</v>
      </c>
      <c r="V281" s="1850">
        <f t="shared" si="65"/>
        <v>0</v>
      </c>
      <c r="W281" s="1850">
        <f t="shared" si="65"/>
        <v>0</v>
      </c>
      <c r="X281" s="1850">
        <f t="shared" si="65"/>
        <v>0</v>
      </c>
      <c r="Y281" s="1850">
        <f t="shared" si="65"/>
        <v>0</v>
      </c>
      <c r="Z281" s="1850">
        <f t="shared" si="78"/>
        <v>0</v>
      </c>
      <c r="AA281" s="2733"/>
    </row>
    <row r="282" spans="1:27" ht="18.75" x14ac:dyDescent="0.25">
      <c r="A282" s="2738"/>
      <c r="B282" s="1863">
        <v>2064</v>
      </c>
      <c r="C282" s="218">
        <f t="shared" si="66"/>
        <v>0</v>
      </c>
      <c r="D282" s="221">
        <f t="shared" si="67"/>
        <v>0</v>
      </c>
      <c r="E282" s="221">
        <f t="shared" si="68"/>
        <v>0</v>
      </c>
      <c r="F282" s="218">
        <f t="shared" si="69"/>
        <v>0</v>
      </c>
      <c r="G282" s="218">
        <f t="shared" si="70"/>
        <v>0</v>
      </c>
      <c r="H282" s="218">
        <f t="shared" si="71"/>
        <v>0</v>
      </c>
      <c r="I282" s="218">
        <f t="shared" si="72"/>
        <v>0</v>
      </c>
      <c r="J282" s="218">
        <f t="shared" si="73"/>
        <v>0</v>
      </c>
      <c r="K282" s="218">
        <f t="shared" si="74"/>
        <v>0</v>
      </c>
      <c r="L282" s="192">
        <f t="shared" si="76"/>
        <v>0</v>
      </c>
      <c r="M282" s="211">
        <v>97</v>
      </c>
      <c r="N282" s="211">
        <f t="shared" ref="N282:S287" si="80">N231</f>
        <v>13.373560857888002</v>
      </c>
      <c r="O282" s="211">
        <f t="shared" si="80"/>
        <v>19.455745833216003</v>
      </c>
      <c r="P282" s="211">
        <f t="shared" si="80"/>
        <v>7.4408264441280014</v>
      </c>
      <c r="Q282" s="211">
        <f t="shared" si="80"/>
        <v>5.7787550472960003</v>
      </c>
      <c r="R282" s="211">
        <f t="shared" si="80"/>
        <v>0.57515822179200005</v>
      </c>
      <c r="S282" s="211">
        <f t="shared" si="80"/>
        <v>2.6448220592640001E-2</v>
      </c>
      <c r="T282" s="174">
        <f t="shared" si="77"/>
        <v>0</v>
      </c>
      <c r="U282" s="1850">
        <f t="shared" si="65"/>
        <v>0</v>
      </c>
      <c r="V282" s="1850">
        <f t="shared" si="65"/>
        <v>0</v>
      </c>
      <c r="W282" s="1850">
        <f t="shared" si="65"/>
        <v>0</v>
      </c>
      <c r="X282" s="1850">
        <f t="shared" si="65"/>
        <v>0</v>
      </c>
      <c r="Y282" s="1850">
        <f t="shared" si="65"/>
        <v>0</v>
      </c>
      <c r="Z282" s="1850">
        <f t="shared" si="78"/>
        <v>0</v>
      </c>
      <c r="AA282" s="2733"/>
    </row>
    <row r="283" spans="1:27" ht="18.75" x14ac:dyDescent="0.25">
      <c r="A283" s="2738"/>
      <c r="B283" s="1863">
        <v>2065</v>
      </c>
      <c r="C283" s="218">
        <f t="shared" si="66"/>
        <v>0</v>
      </c>
      <c r="D283" s="221">
        <f t="shared" si="67"/>
        <v>0</v>
      </c>
      <c r="E283" s="221">
        <f t="shared" si="68"/>
        <v>0</v>
      </c>
      <c r="F283" s="218">
        <f t="shared" si="69"/>
        <v>0</v>
      </c>
      <c r="G283" s="218">
        <f t="shared" si="70"/>
        <v>0</v>
      </c>
      <c r="H283" s="218">
        <f t="shared" si="71"/>
        <v>0</v>
      </c>
      <c r="I283" s="218">
        <f t="shared" si="72"/>
        <v>0</v>
      </c>
      <c r="J283" s="218">
        <f t="shared" si="73"/>
        <v>0</v>
      </c>
      <c r="K283" s="218">
        <f t="shared" si="74"/>
        <v>0</v>
      </c>
      <c r="L283" s="192">
        <f t="shared" si="76"/>
        <v>0</v>
      </c>
      <c r="M283" s="211">
        <v>97</v>
      </c>
      <c r="N283" s="211">
        <f t="shared" si="80"/>
        <v>13.112740558368001</v>
      </c>
      <c r="O283" s="211">
        <f t="shared" si="80"/>
        <v>19.076306616576002</v>
      </c>
      <c r="P283" s="211">
        <f t="shared" si="80"/>
        <v>7.2957103750080003</v>
      </c>
      <c r="Q283" s="211">
        <f t="shared" si="80"/>
        <v>5.6660538274560004</v>
      </c>
      <c r="R283" s="211">
        <f t="shared" si="80"/>
        <v>0.56394109411200011</v>
      </c>
      <c r="S283" s="211">
        <f t="shared" si="80"/>
        <v>2.5932409367040003E-2</v>
      </c>
      <c r="T283" s="174">
        <f t="shared" si="77"/>
        <v>0</v>
      </c>
      <c r="U283" s="1850">
        <f t="shared" si="65"/>
        <v>0</v>
      </c>
      <c r="V283" s="1850">
        <f t="shared" si="65"/>
        <v>0</v>
      </c>
      <c r="W283" s="1850">
        <f t="shared" si="65"/>
        <v>0</v>
      </c>
      <c r="X283" s="1850">
        <f t="shared" si="65"/>
        <v>0</v>
      </c>
      <c r="Y283" s="1850">
        <f t="shared" si="65"/>
        <v>0</v>
      </c>
      <c r="Z283" s="1850">
        <f t="shared" si="78"/>
        <v>0</v>
      </c>
      <c r="AA283" s="2733"/>
    </row>
    <row r="284" spans="1:27" ht="18.75" x14ac:dyDescent="0.25">
      <c r="A284" s="2738"/>
      <c r="B284" s="1863">
        <v>2066</v>
      </c>
      <c r="C284" s="218">
        <f t="shared" si="66"/>
        <v>0</v>
      </c>
      <c r="D284" s="221">
        <f t="shared" si="67"/>
        <v>0</v>
      </c>
      <c r="E284" s="221">
        <f t="shared" si="68"/>
        <v>0</v>
      </c>
      <c r="F284" s="218">
        <f t="shared" si="69"/>
        <v>0</v>
      </c>
      <c r="G284" s="218">
        <f t="shared" si="70"/>
        <v>0</v>
      </c>
      <c r="H284" s="218">
        <f t="shared" si="71"/>
        <v>0</v>
      </c>
      <c r="I284" s="218">
        <f t="shared" si="72"/>
        <v>0</v>
      </c>
      <c r="J284" s="218">
        <f t="shared" si="73"/>
        <v>0</v>
      </c>
      <c r="K284" s="218">
        <f t="shared" si="74"/>
        <v>0</v>
      </c>
      <c r="L284" s="192">
        <f t="shared" si="76"/>
        <v>0</v>
      </c>
      <c r="M284" s="211">
        <v>97</v>
      </c>
      <c r="N284" s="211">
        <f t="shared" si="80"/>
        <v>12.855180512592</v>
      </c>
      <c r="O284" s="211">
        <f t="shared" si="80"/>
        <v>18.701610390143998</v>
      </c>
      <c r="P284" s="211">
        <f t="shared" si="80"/>
        <v>7.1524082567520004</v>
      </c>
      <c r="Q284" s="211">
        <f t="shared" si="80"/>
        <v>5.5547613728639993</v>
      </c>
      <c r="R284" s="211">
        <f t="shared" si="80"/>
        <v>0.55286418052800002</v>
      </c>
      <c r="S284" s="211">
        <f t="shared" si="80"/>
        <v>2.5423045781760002E-2</v>
      </c>
      <c r="T284" s="174">
        <f t="shared" si="77"/>
        <v>0</v>
      </c>
      <c r="U284" s="1850">
        <f t="shared" si="65"/>
        <v>0</v>
      </c>
      <c r="V284" s="1850">
        <f t="shared" si="65"/>
        <v>0</v>
      </c>
      <c r="W284" s="1850">
        <f t="shared" si="65"/>
        <v>0</v>
      </c>
      <c r="X284" s="1850">
        <f t="shared" si="65"/>
        <v>0</v>
      </c>
      <c r="Y284" s="1850">
        <f t="shared" si="65"/>
        <v>0</v>
      </c>
      <c r="Z284" s="1850">
        <f t="shared" si="78"/>
        <v>0</v>
      </c>
      <c r="AA284" s="2733"/>
    </row>
    <row r="285" spans="1:27" ht="18.75" x14ac:dyDescent="0.25">
      <c r="A285" s="2738"/>
      <c r="B285" s="1863">
        <v>2067</v>
      </c>
      <c r="C285" s="218">
        <f t="shared" si="66"/>
        <v>0</v>
      </c>
      <c r="D285" s="221">
        <f t="shared" si="67"/>
        <v>0</v>
      </c>
      <c r="E285" s="221">
        <f t="shared" si="68"/>
        <v>0</v>
      </c>
      <c r="F285" s="218">
        <f t="shared" si="69"/>
        <v>0</v>
      </c>
      <c r="G285" s="218">
        <f t="shared" si="70"/>
        <v>0</v>
      </c>
      <c r="H285" s="218">
        <f t="shared" si="71"/>
        <v>0</v>
      </c>
      <c r="I285" s="218">
        <f t="shared" si="72"/>
        <v>0</v>
      </c>
      <c r="J285" s="218">
        <f t="shared" si="73"/>
        <v>0</v>
      </c>
      <c r="K285" s="218">
        <f t="shared" si="74"/>
        <v>0</v>
      </c>
      <c r="L285" s="192">
        <f t="shared" si="76"/>
        <v>0</v>
      </c>
      <c r="M285" s="211">
        <v>97</v>
      </c>
      <c r="N285" s="211">
        <f t="shared" si="80"/>
        <v>12.600880720560001</v>
      </c>
      <c r="O285" s="211">
        <f t="shared" si="80"/>
        <v>18.331657153920002</v>
      </c>
      <c r="P285" s="211">
        <f t="shared" si="80"/>
        <v>7.0109200893600008</v>
      </c>
      <c r="Q285" s="211">
        <f t="shared" si="80"/>
        <v>5.4448776835200006</v>
      </c>
      <c r="R285" s="211">
        <f t="shared" si="80"/>
        <v>0.5419274810400001</v>
      </c>
      <c r="S285" s="211">
        <f t="shared" si="80"/>
        <v>2.4920129836800003E-2</v>
      </c>
      <c r="T285" s="174">
        <f t="shared" si="77"/>
        <v>0</v>
      </c>
      <c r="U285" s="1850">
        <f t="shared" si="65"/>
        <v>0</v>
      </c>
      <c r="V285" s="1850">
        <f t="shared" si="65"/>
        <v>0</v>
      </c>
      <c r="W285" s="1850">
        <f t="shared" si="65"/>
        <v>0</v>
      </c>
      <c r="X285" s="1850">
        <f t="shared" si="65"/>
        <v>0</v>
      </c>
      <c r="Y285" s="1850">
        <f t="shared" si="65"/>
        <v>0</v>
      </c>
      <c r="Z285" s="1850">
        <f t="shared" si="78"/>
        <v>0</v>
      </c>
      <c r="AA285" s="2733"/>
    </row>
    <row r="286" spans="1:27" ht="18.75" x14ac:dyDescent="0.25">
      <c r="A286" s="2738"/>
      <c r="B286" s="1863">
        <v>2068</v>
      </c>
      <c r="C286" s="218">
        <f t="shared" si="66"/>
        <v>0</v>
      </c>
      <c r="D286" s="221">
        <f t="shared" si="67"/>
        <v>0</v>
      </c>
      <c r="E286" s="221">
        <f t="shared" si="68"/>
        <v>0</v>
      </c>
      <c r="F286" s="218">
        <f t="shared" si="69"/>
        <v>0</v>
      </c>
      <c r="G286" s="218">
        <f t="shared" si="70"/>
        <v>0</v>
      </c>
      <c r="H286" s="218">
        <f t="shared" si="71"/>
        <v>0</v>
      </c>
      <c r="I286" s="218">
        <f t="shared" si="72"/>
        <v>0</v>
      </c>
      <c r="J286" s="218">
        <f t="shared" si="73"/>
        <v>0</v>
      </c>
      <c r="K286" s="218">
        <f t="shared" si="74"/>
        <v>0</v>
      </c>
      <c r="L286" s="192">
        <f t="shared" si="76"/>
        <v>0</v>
      </c>
      <c r="M286" s="211">
        <v>97</v>
      </c>
      <c r="N286" s="211">
        <f t="shared" si="80"/>
        <v>12.356361689760002</v>
      </c>
      <c r="O286" s="211">
        <f t="shared" si="80"/>
        <v>17.975932888320003</v>
      </c>
      <c r="P286" s="211">
        <f t="shared" si="80"/>
        <v>6.8748737745600002</v>
      </c>
      <c r="Q286" s="211">
        <f t="shared" si="80"/>
        <v>5.339220289920001</v>
      </c>
      <c r="R286" s="211">
        <f t="shared" si="80"/>
        <v>0.53141142384000006</v>
      </c>
      <c r="S286" s="211">
        <f t="shared" si="80"/>
        <v>2.4436556812800003E-2</v>
      </c>
      <c r="T286" s="174">
        <f t="shared" si="77"/>
        <v>0</v>
      </c>
      <c r="U286" s="1850">
        <f t="shared" si="65"/>
        <v>0</v>
      </c>
      <c r="V286" s="1850">
        <f t="shared" si="65"/>
        <v>0</v>
      </c>
      <c r="W286" s="1850">
        <f t="shared" si="65"/>
        <v>0</v>
      </c>
      <c r="X286" s="1850">
        <f t="shared" si="65"/>
        <v>0</v>
      </c>
      <c r="Y286" s="1850">
        <f t="shared" si="65"/>
        <v>0</v>
      </c>
      <c r="Z286" s="1850">
        <f t="shared" si="78"/>
        <v>0</v>
      </c>
      <c r="AA286" s="2733"/>
    </row>
    <row r="287" spans="1:27" ht="19.5" thickBot="1" x14ac:dyDescent="0.3">
      <c r="A287" s="2739"/>
      <c r="B287" s="1864">
        <v>2069</v>
      </c>
      <c r="C287" s="222">
        <f t="shared" si="66"/>
        <v>0</v>
      </c>
      <c r="D287" s="328">
        <f t="shared" si="67"/>
        <v>0</v>
      </c>
      <c r="E287" s="328">
        <f t="shared" si="68"/>
        <v>0</v>
      </c>
      <c r="F287" s="222">
        <f t="shared" si="69"/>
        <v>0</v>
      </c>
      <c r="G287" s="222">
        <f t="shared" si="70"/>
        <v>0</v>
      </c>
      <c r="H287" s="222">
        <f t="shared" si="71"/>
        <v>0</v>
      </c>
      <c r="I287" s="222">
        <f t="shared" si="72"/>
        <v>0</v>
      </c>
      <c r="J287" s="222">
        <f t="shared" si="73"/>
        <v>0</v>
      </c>
      <c r="K287" s="222">
        <f t="shared" si="74"/>
        <v>0</v>
      </c>
      <c r="L287" s="220">
        <f t="shared" si="76"/>
        <v>0</v>
      </c>
      <c r="M287" s="416">
        <v>97</v>
      </c>
      <c r="N287" s="416">
        <f t="shared" si="80"/>
        <v>12.111842658960002</v>
      </c>
      <c r="O287" s="416">
        <f t="shared" si="80"/>
        <v>17.62020862272</v>
      </c>
      <c r="P287" s="416">
        <f t="shared" si="80"/>
        <v>6.7388274597600004</v>
      </c>
      <c r="Q287" s="416">
        <f t="shared" si="80"/>
        <v>5.2335628963200005</v>
      </c>
      <c r="R287" s="416">
        <f t="shared" si="80"/>
        <v>0.52089536664000002</v>
      </c>
      <c r="S287" s="416">
        <f t="shared" si="80"/>
        <v>2.3952983788800002E-2</v>
      </c>
      <c r="T287" s="647">
        <f t="shared" si="77"/>
        <v>0</v>
      </c>
      <c r="U287" s="175">
        <f t="shared" si="65"/>
        <v>0</v>
      </c>
      <c r="V287" s="175">
        <f t="shared" si="65"/>
        <v>0</v>
      </c>
      <c r="W287" s="175">
        <f t="shared" si="65"/>
        <v>0</v>
      </c>
      <c r="X287" s="175">
        <f t="shared" si="65"/>
        <v>0</v>
      </c>
      <c r="Y287" s="175">
        <f t="shared" si="65"/>
        <v>0</v>
      </c>
      <c r="Z287" s="175">
        <f t="shared" si="78"/>
        <v>0</v>
      </c>
      <c r="AA287" s="2735"/>
    </row>
    <row r="288" spans="1:27" ht="15.75" thickBot="1" x14ac:dyDescent="0.3"/>
    <row r="289" spans="1:27" ht="66" customHeight="1" thickBot="1" x14ac:dyDescent="0.3">
      <c r="A289" s="2749" t="s">
        <v>1180</v>
      </c>
      <c r="B289" s="2750"/>
      <c r="C289" s="2750"/>
      <c r="D289" s="2750"/>
      <c r="E289" s="2750"/>
      <c r="F289" s="2750"/>
      <c r="G289" s="2750"/>
      <c r="H289" s="2750"/>
      <c r="I289" s="2750"/>
      <c r="J289" s="2750"/>
      <c r="K289" s="2750"/>
      <c r="L289" s="2750"/>
      <c r="M289" s="2750"/>
      <c r="N289" s="2750"/>
      <c r="O289" s="2750"/>
      <c r="P289" s="2750"/>
      <c r="Q289" s="2750"/>
      <c r="R289" s="2750"/>
      <c r="S289" s="2750"/>
      <c r="T289" s="2750"/>
      <c r="U289" s="2750"/>
      <c r="V289" s="2750"/>
      <c r="W289" s="2750"/>
      <c r="X289" s="2750"/>
      <c r="Y289" s="2750"/>
      <c r="Z289" s="2750"/>
      <c r="AA289" s="2751"/>
    </row>
    <row r="290" spans="1:27" ht="135.75" thickBot="1" x14ac:dyDescent="0.3">
      <c r="A290" s="744" t="s">
        <v>176</v>
      </c>
      <c r="B290" s="253" t="s">
        <v>177</v>
      </c>
      <c r="C290" s="745" t="s">
        <v>1244</v>
      </c>
      <c r="D290" s="745" t="s">
        <v>209</v>
      </c>
      <c r="E290" s="745" t="s">
        <v>210</v>
      </c>
      <c r="F290" s="745" t="s">
        <v>1249</v>
      </c>
      <c r="G290" s="745" t="s">
        <v>1246</v>
      </c>
      <c r="H290" s="745" t="s">
        <v>1104</v>
      </c>
      <c r="I290" s="745" t="s">
        <v>1243</v>
      </c>
      <c r="J290" s="745" t="s">
        <v>1106</v>
      </c>
      <c r="K290" s="745" t="s">
        <v>1102</v>
      </c>
      <c r="L290" s="262" t="s">
        <v>1227</v>
      </c>
      <c r="M290" s="128" t="s">
        <v>272</v>
      </c>
      <c r="N290" s="745" t="s">
        <v>318</v>
      </c>
      <c r="O290" s="745" t="s">
        <v>319</v>
      </c>
      <c r="P290" s="745" t="s">
        <v>273</v>
      </c>
      <c r="Q290" s="745" t="s">
        <v>455</v>
      </c>
      <c r="R290" s="745" t="s">
        <v>274</v>
      </c>
      <c r="S290" s="745" t="s">
        <v>288</v>
      </c>
      <c r="T290" s="745" t="s">
        <v>1228</v>
      </c>
      <c r="U290" s="745" t="s">
        <v>276</v>
      </c>
      <c r="V290" s="745" t="s">
        <v>317</v>
      </c>
      <c r="W290" s="745" t="s">
        <v>271</v>
      </c>
      <c r="X290" s="745" t="s">
        <v>277</v>
      </c>
      <c r="Y290" s="745" t="s">
        <v>278</v>
      </c>
      <c r="Z290" s="745" t="s">
        <v>315</v>
      </c>
      <c r="AA290" s="83" t="s">
        <v>316</v>
      </c>
    </row>
    <row r="291" spans="1:27" ht="18.75" x14ac:dyDescent="0.25">
      <c r="A291" s="2752" t="s">
        <v>1095</v>
      </c>
      <c r="B291" s="1867">
        <v>2019</v>
      </c>
      <c r="C291" s="216">
        <f t="shared" ref="C291:C322" si="81">$S$15</f>
        <v>0</v>
      </c>
      <c r="D291" s="216">
        <f>$R$15*28</f>
        <v>0</v>
      </c>
      <c r="E291" s="216">
        <f>$T$15*298</f>
        <v>0</v>
      </c>
      <c r="F291" s="216">
        <f t="shared" ref="F291:F322" si="82">$O$15</f>
        <v>0</v>
      </c>
      <c r="G291" s="216">
        <f t="shared" ref="G291:G322" si="83">$P$15</f>
        <v>0</v>
      </c>
      <c r="H291" s="216">
        <f t="shared" ref="H291:H322" si="84">$N$15</f>
        <v>0</v>
      </c>
      <c r="I291" s="216">
        <f t="shared" ref="I291:I322" si="85">$Q$15</f>
        <v>0</v>
      </c>
      <c r="J291" s="216">
        <f t="shared" ref="J291:J322" si="86">$L$15</f>
        <v>0</v>
      </c>
      <c r="K291" s="216">
        <f t="shared" ref="K291:K322" si="87">$M$15</f>
        <v>0</v>
      </c>
      <c r="L291" s="217">
        <f>(C291/1000)+(D291/1000)+(E291/1000)</f>
        <v>0</v>
      </c>
      <c r="M291" s="643">
        <v>62</v>
      </c>
      <c r="N291" s="643">
        <f>29.53*1.02*1.0824</f>
        <v>32.602537440000006</v>
      </c>
      <c r="O291" s="643">
        <f>42.96*1.02*1.0824</f>
        <v>47.429902080000005</v>
      </c>
      <c r="P291" s="643">
        <f>16.43*1.02*1.0824</f>
        <v>18.139508640000003</v>
      </c>
      <c r="Q291" s="643">
        <f>12.76*1.02*1.0824</f>
        <v>14.087652480000001</v>
      </c>
      <c r="R291" s="643">
        <f>1.27*1.02*1.0824</f>
        <v>1.4021409600000001</v>
      </c>
      <c r="S291" s="643">
        <f>0.0584*1.02*1.0824</f>
        <v>6.4476403200000004E-2</v>
      </c>
      <c r="T291" s="644">
        <f>L291*M291</f>
        <v>0</v>
      </c>
      <c r="U291" s="644">
        <f t="shared" ref="U291:Y341" si="88">F291*N291</f>
        <v>0</v>
      </c>
      <c r="V291" s="644">
        <f t="shared" si="88"/>
        <v>0</v>
      </c>
      <c r="W291" s="644">
        <f t="shared" si="88"/>
        <v>0</v>
      </c>
      <c r="X291" s="644">
        <f t="shared" si="88"/>
        <v>0</v>
      </c>
      <c r="Y291" s="644">
        <f t="shared" si="88"/>
        <v>0</v>
      </c>
      <c r="Z291" s="644">
        <f t="shared" ref="Z291:Z456" si="89">S291*K291</f>
        <v>0</v>
      </c>
      <c r="AA291" s="2732">
        <f>(SUM(T291:T341)*1.2682)+(SUM(U291:U341))+(SUM(V291:V341))+(SUM(W291:W341))+(SUM(X291:X341))+(SUM(Y291:Y341))+(SUM(Z291:Z341))</f>
        <v>0</v>
      </c>
    </row>
    <row r="292" spans="1:27" ht="18.75" x14ac:dyDescent="0.25">
      <c r="A292" s="2753"/>
      <c r="B292" s="1849">
        <v>2020</v>
      </c>
      <c r="C292" s="218">
        <f t="shared" si="81"/>
        <v>0</v>
      </c>
      <c r="D292" s="218">
        <f t="shared" ref="D292:D341" si="90">$R$15*28</f>
        <v>0</v>
      </c>
      <c r="E292" s="218">
        <f t="shared" ref="E292:E341" si="91">$T$15*298</f>
        <v>0</v>
      </c>
      <c r="F292" s="218">
        <f t="shared" si="82"/>
        <v>0</v>
      </c>
      <c r="G292" s="218">
        <f t="shared" si="83"/>
        <v>0</v>
      </c>
      <c r="H292" s="218">
        <f t="shared" si="84"/>
        <v>0</v>
      </c>
      <c r="I292" s="218">
        <f t="shared" si="85"/>
        <v>0</v>
      </c>
      <c r="J292" s="218">
        <f t="shared" si="86"/>
        <v>0</v>
      </c>
      <c r="K292" s="218">
        <f t="shared" si="87"/>
        <v>0</v>
      </c>
      <c r="L292" s="192">
        <f t="shared" ref="L292:L341" si="92">(C292/1000)+(D292/1000)+(E292/1000)</f>
        <v>0</v>
      </c>
      <c r="M292" s="211">
        <v>64</v>
      </c>
      <c r="N292" s="211">
        <f>(29.53*1.02)*0.9804*1.0824</f>
        <v>31.963527706176006</v>
      </c>
      <c r="O292" s="211">
        <f>(42.96*1.02)*0.9804*1.0824</f>
        <v>46.500275999232002</v>
      </c>
      <c r="P292" s="211">
        <f>(16.43*1.02)*0.9804*1.0824</f>
        <v>17.783974270656003</v>
      </c>
      <c r="Q292" s="211">
        <f>(12.76*1.02)*0.9804*1.0824</f>
        <v>13.811534491392001</v>
      </c>
      <c r="R292" s="211">
        <f>(1.27*1.02)*0.9804*1.0824</f>
        <v>1.3746589971840002</v>
      </c>
      <c r="S292" s="211">
        <f>(0.0584*1.02)*0.9804*1.0824</f>
        <v>6.3212665697280013E-2</v>
      </c>
      <c r="T292" s="1850">
        <f t="shared" ref="T292:T341" si="93">L292*M292</f>
        <v>0</v>
      </c>
      <c r="U292" s="1850">
        <f t="shared" si="88"/>
        <v>0</v>
      </c>
      <c r="V292" s="1850">
        <f t="shared" si="88"/>
        <v>0</v>
      </c>
      <c r="W292" s="1850">
        <f t="shared" si="88"/>
        <v>0</v>
      </c>
      <c r="X292" s="1850">
        <f t="shared" si="88"/>
        <v>0</v>
      </c>
      <c r="Y292" s="1850">
        <f t="shared" si="88"/>
        <v>0</v>
      </c>
      <c r="Z292" s="1850">
        <f t="shared" si="89"/>
        <v>0</v>
      </c>
      <c r="AA292" s="2733"/>
    </row>
    <row r="293" spans="1:27" ht="18.75" x14ac:dyDescent="0.25">
      <c r="A293" s="2753"/>
      <c r="B293" s="1849">
        <v>2021</v>
      </c>
      <c r="C293" s="218">
        <f t="shared" si="81"/>
        <v>0</v>
      </c>
      <c r="D293" s="218">
        <f t="shared" si="90"/>
        <v>0</v>
      </c>
      <c r="E293" s="218">
        <f t="shared" si="91"/>
        <v>0</v>
      </c>
      <c r="F293" s="218">
        <f t="shared" si="82"/>
        <v>0</v>
      </c>
      <c r="G293" s="218">
        <f t="shared" si="83"/>
        <v>0</v>
      </c>
      <c r="H293" s="218">
        <f t="shared" si="84"/>
        <v>0</v>
      </c>
      <c r="I293" s="218">
        <f t="shared" si="85"/>
        <v>0</v>
      </c>
      <c r="J293" s="218">
        <f t="shared" si="86"/>
        <v>0</v>
      </c>
      <c r="K293" s="218">
        <f t="shared" si="87"/>
        <v>0</v>
      </c>
      <c r="L293" s="192">
        <f t="shared" si="92"/>
        <v>0</v>
      </c>
      <c r="M293" s="211">
        <v>65</v>
      </c>
      <c r="N293" s="211">
        <f>(29.53*1.02)*0.9612*1.0824</f>
        <v>31.337558987328006</v>
      </c>
      <c r="O293" s="211">
        <f>(42.96*1.02)*0.9612*1.0824</f>
        <v>45.589621879296011</v>
      </c>
      <c r="P293" s="211">
        <f>(16.43*1.02)*0.9612*1.0824</f>
        <v>17.435695704768001</v>
      </c>
      <c r="Q293" s="211">
        <f>(12.76*1.02)*0.9612*1.0824</f>
        <v>13.541051563776001</v>
      </c>
      <c r="R293" s="211">
        <f>(1.27*1.02)*0.9612*1.0824</f>
        <v>1.3477378907520003</v>
      </c>
      <c r="S293" s="211">
        <f>(0.0584*1.02)*0.9612*1.0824</f>
        <v>6.1974718755840007E-2</v>
      </c>
      <c r="T293" s="1850">
        <f t="shared" si="93"/>
        <v>0</v>
      </c>
      <c r="U293" s="1850">
        <f t="shared" si="88"/>
        <v>0</v>
      </c>
      <c r="V293" s="1850">
        <f t="shared" si="88"/>
        <v>0</v>
      </c>
      <c r="W293" s="1850">
        <f t="shared" si="88"/>
        <v>0</v>
      </c>
      <c r="X293" s="1850">
        <f t="shared" si="88"/>
        <v>0</v>
      </c>
      <c r="Y293" s="1850">
        <f t="shared" si="88"/>
        <v>0</v>
      </c>
      <c r="Z293" s="1850">
        <f t="shared" si="89"/>
        <v>0</v>
      </c>
      <c r="AA293" s="2733"/>
    </row>
    <row r="294" spans="1:27" ht="18.75" x14ac:dyDescent="0.25">
      <c r="A294" s="2753"/>
      <c r="B294" s="1849">
        <v>2022</v>
      </c>
      <c r="C294" s="218">
        <f t="shared" si="81"/>
        <v>0</v>
      </c>
      <c r="D294" s="218">
        <f t="shared" si="90"/>
        <v>0</v>
      </c>
      <c r="E294" s="218">
        <f t="shared" si="91"/>
        <v>0</v>
      </c>
      <c r="F294" s="218">
        <f t="shared" si="82"/>
        <v>0</v>
      </c>
      <c r="G294" s="218">
        <f t="shared" si="83"/>
        <v>0</v>
      </c>
      <c r="H294" s="218">
        <f t="shared" si="84"/>
        <v>0</v>
      </c>
      <c r="I294" s="218">
        <f t="shared" si="85"/>
        <v>0</v>
      </c>
      <c r="J294" s="218">
        <f t="shared" si="86"/>
        <v>0</v>
      </c>
      <c r="K294" s="218">
        <f t="shared" si="87"/>
        <v>0</v>
      </c>
      <c r="L294" s="192">
        <f t="shared" si="92"/>
        <v>0</v>
      </c>
      <c r="M294" s="211">
        <v>66</v>
      </c>
      <c r="N294" s="211">
        <f>(29.53*1.02)*0.9423*1.0824</f>
        <v>30.721371029712003</v>
      </c>
      <c r="O294" s="211">
        <f>(42.96*1.02)*0.9423*1.0824</f>
        <v>44.693196729984003</v>
      </c>
      <c r="P294" s="211">
        <f>(16.43*1.02)*0.9423*1.0824</f>
        <v>17.092858991472003</v>
      </c>
      <c r="Q294" s="211">
        <f>(12.76*1.02)*0.9423*1.0824</f>
        <v>13.274794931903999</v>
      </c>
      <c r="R294" s="211">
        <f>(1.27*1.02)*0.9423*1.0824</f>
        <v>1.3212374266080003</v>
      </c>
      <c r="S294" s="211">
        <f>(0.0584*1.02)*0.9423*1.0824</f>
        <v>6.0756114735360002E-2</v>
      </c>
      <c r="T294" s="1850">
        <f t="shared" si="93"/>
        <v>0</v>
      </c>
      <c r="U294" s="1850">
        <f t="shared" si="88"/>
        <v>0</v>
      </c>
      <c r="V294" s="1850">
        <f t="shared" si="88"/>
        <v>0</v>
      </c>
      <c r="W294" s="1850">
        <f t="shared" si="88"/>
        <v>0</v>
      </c>
      <c r="X294" s="1850">
        <f t="shared" si="88"/>
        <v>0</v>
      </c>
      <c r="Y294" s="1850">
        <f t="shared" si="88"/>
        <v>0</v>
      </c>
      <c r="Z294" s="1850">
        <f t="shared" si="89"/>
        <v>0</v>
      </c>
      <c r="AA294" s="2733"/>
    </row>
    <row r="295" spans="1:27" ht="18.75" x14ac:dyDescent="0.25">
      <c r="A295" s="2753"/>
      <c r="B295" s="1849">
        <v>2023</v>
      </c>
      <c r="C295" s="218">
        <f t="shared" si="81"/>
        <v>0</v>
      </c>
      <c r="D295" s="218">
        <f t="shared" si="90"/>
        <v>0</v>
      </c>
      <c r="E295" s="218">
        <f t="shared" si="91"/>
        <v>0</v>
      </c>
      <c r="F295" s="218">
        <f t="shared" si="82"/>
        <v>0</v>
      </c>
      <c r="G295" s="218">
        <f t="shared" si="83"/>
        <v>0</v>
      </c>
      <c r="H295" s="218">
        <f t="shared" si="84"/>
        <v>0</v>
      </c>
      <c r="I295" s="218">
        <f t="shared" si="85"/>
        <v>0</v>
      </c>
      <c r="J295" s="218">
        <f t="shared" si="86"/>
        <v>0</v>
      </c>
      <c r="K295" s="218">
        <f t="shared" si="87"/>
        <v>0</v>
      </c>
      <c r="L295" s="192">
        <f t="shared" si="92"/>
        <v>0</v>
      </c>
      <c r="M295" s="211">
        <v>67</v>
      </c>
      <c r="N295" s="211">
        <f>(29.53*1.02)*0.9238*1.0824</f>
        <v>30.118224087072001</v>
      </c>
      <c r="O295" s="211">
        <f>(42.96*1.02)*0.9238*1.0824</f>
        <v>43.815743541504006</v>
      </c>
      <c r="P295" s="211">
        <f>(16.43*1.02)*0.9238*1.0824</f>
        <v>16.757278081632002</v>
      </c>
      <c r="Q295" s="211">
        <f>(12.76*1.02)*0.9238*1.0824</f>
        <v>13.014173361024</v>
      </c>
      <c r="R295" s="211">
        <f>(1.27*1.02)*0.9238*1.0824</f>
        <v>1.295297818848</v>
      </c>
      <c r="S295" s="211">
        <f>(0.0584*1.02)*0.9238*1.0824</f>
        <v>5.9563301276160004E-2</v>
      </c>
      <c r="T295" s="1850">
        <f t="shared" si="93"/>
        <v>0</v>
      </c>
      <c r="U295" s="1850">
        <f t="shared" si="88"/>
        <v>0</v>
      </c>
      <c r="V295" s="1850">
        <f t="shared" si="88"/>
        <v>0</v>
      </c>
      <c r="W295" s="1850">
        <f t="shared" si="88"/>
        <v>0</v>
      </c>
      <c r="X295" s="1850">
        <f t="shared" si="88"/>
        <v>0</v>
      </c>
      <c r="Y295" s="1850">
        <f t="shared" si="88"/>
        <v>0</v>
      </c>
      <c r="Z295" s="1850">
        <f t="shared" si="89"/>
        <v>0</v>
      </c>
      <c r="AA295" s="2733"/>
    </row>
    <row r="296" spans="1:27" ht="18.75" x14ac:dyDescent="0.25">
      <c r="A296" s="2753"/>
      <c r="B296" s="1849">
        <v>2024</v>
      </c>
      <c r="C296" s="218">
        <f t="shared" si="81"/>
        <v>0</v>
      </c>
      <c r="D296" s="218">
        <f t="shared" si="90"/>
        <v>0</v>
      </c>
      <c r="E296" s="218">
        <f t="shared" si="91"/>
        <v>0</v>
      </c>
      <c r="F296" s="218">
        <f t="shared" si="82"/>
        <v>0</v>
      </c>
      <c r="G296" s="218">
        <f t="shared" si="83"/>
        <v>0</v>
      </c>
      <c r="H296" s="218">
        <f t="shared" si="84"/>
        <v>0</v>
      </c>
      <c r="I296" s="218">
        <f t="shared" si="85"/>
        <v>0</v>
      </c>
      <c r="J296" s="218">
        <f t="shared" si="86"/>
        <v>0</v>
      </c>
      <c r="K296" s="218">
        <f t="shared" si="87"/>
        <v>0</v>
      </c>
      <c r="L296" s="192">
        <f t="shared" si="92"/>
        <v>0</v>
      </c>
      <c r="M296" s="211">
        <v>68</v>
      </c>
      <c r="N296" s="211">
        <f>(29.53*1.02)*0.9057*1.0824</f>
        <v>29.528118159408002</v>
      </c>
      <c r="O296" s="211">
        <f>(42.96*1.02)*0.9057*1.0824</f>
        <v>42.957262313856006</v>
      </c>
      <c r="P296" s="211">
        <f>(16.43*1.02)*0.9057*1.0824</f>
        <v>16.428952975248002</v>
      </c>
      <c r="Q296" s="211">
        <f>(12.76*1.02)*0.9057*1.0824</f>
        <v>12.759186851135999</v>
      </c>
      <c r="R296" s="211">
        <f>(1.27*1.02)*0.9057*1.0824</f>
        <v>1.269919067472</v>
      </c>
      <c r="S296" s="211">
        <f>(0.0584*1.02)*0.9057*1.0824</f>
        <v>5.8396278378240005E-2</v>
      </c>
      <c r="T296" s="1850">
        <f t="shared" si="93"/>
        <v>0</v>
      </c>
      <c r="U296" s="1850">
        <f t="shared" si="88"/>
        <v>0</v>
      </c>
      <c r="V296" s="1850">
        <f t="shared" si="88"/>
        <v>0</v>
      </c>
      <c r="W296" s="1850">
        <f t="shared" si="88"/>
        <v>0</v>
      </c>
      <c r="X296" s="1850">
        <f t="shared" si="88"/>
        <v>0</v>
      </c>
      <c r="Y296" s="1850">
        <f t="shared" si="88"/>
        <v>0</v>
      </c>
      <c r="Z296" s="1850">
        <f t="shared" si="89"/>
        <v>0</v>
      </c>
      <c r="AA296" s="2733"/>
    </row>
    <row r="297" spans="1:27" ht="18.75" x14ac:dyDescent="0.25">
      <c r="A297" s="2753"/>
      <c r="B297" s="1849">
        <v>2025</v>
      </c>
      <c r="C297" s="218">
        <f t="shared" si="81"/>
        <v>0</v>
      </c>
      <c r="D297" s="218">
        <f t="shared" si="90"/>
        <v>0</v>
      </c>
      <c r="E297" s="218">
        <f t="shared" si="91"/>
        <v>0</v>
      </c>
      <c r="F297" s="218">
        <f t="shared" si="82"/>
        <v>0</v>
      </c>
      <c r="G297" s="218">
        <f t="shared" si="83"/>
        <v>0</v>
      </c>
      <c r="H297" s="218">
        <f t="shared" si="84"/>
        <v>0</v>
      </c>
      <c r="I297" s="218">
        <f t="shared" si="85"/>
        <v>0</v>
      </c>
      <c r="J297" s="218">
        <f t="shared" si="86"/>
        <v>0</v>
      </c>
      <c r="K297" s="218">
        <f t="shared" si="87"/>
        <v>0</v>
      </c>
      <c r="L297" s="192">
        <f t="shared" si="92"/>
        <v>0</v>
      </c>
      <c r="M297" s="211">
        <v>69</v>
      </c>
      <c r="N297" s="211">
        <f>(29.53*1.02)*0.888*1.0824</f>
        <v>28.951053246720004</v>
      </c>
      <c r="O297" s="211">
        <f>(42.96*1.02)*0.888*1.0824</f>
        <v>42.117753047040004</v>
      </c>
      <c r="P297" s="211">
        <f>(16.43*1.02)*0.888*1.0824</f>
        <v>16.10788367232</v>
      </c>
      <c r="Q297" s="211">
        <f>(12.76*1.02)*0.888*1.0824</f>
        <v>12.50983540224</v>
      </c>
      <c r="R297" s="211">
        <f>(1.27*1.02)*0.888*1.0824</f>
        <v>1.2451011724800001</v>
      </c>
      <c r="S297" s="211">
        <f>(0.0584*1.02)*0.888*1.0824</f>
        <v>5.7255046041600005E-2</v>
      </c>
      <c r="T297" s="1850">
        <f t="shared" si="93"/>
        <v>0</v>
      </c>
      <c r="U297" s="1850">
        <f t="shared" si="88"/>
        <v>0</v>
      </c>
      <c r="V297" s="1850">
        <f t="shared" si="88"/>
        <v>0</v>
      </c>
      <c r="W297" s="1850">
        <f t="shared" si="88"/>
        <v>0</v>
      </c>
      <c r="X297" s="1850">
        <f t="shared" si="88"/>
        <v>0</v>
      </c>
      <c r="Y297" s="1850">
        <f t="shared" si="88"/>
        <v>0</v>
      </c>
      <c r="Z297" s="1850">
        <f t="shared" si="89"/>
        <v>0</v>
      </c>
      <c r="AA297" s="2733"/>
    </row>
    <row r="298" spans="1:27" ht="18.75" x14ac:dyDescent="0.25">
      <c r="A298" s="2753"/>
      <c r="B298" s="1849">
        <v>2026</v>
      </c>
      <c r="C298" s="218">
        <f t="shared" si="81"/>
        <v>0</v>
      </c>
      <c r="D298" s="218">
        <f t="shared" si="90"/>
        <v>0</v>
      </c>
      <c r="E298" s="218">
        <f t="shared" si="91"/>
        <v>0</v>
      </c>
      <c r="F298" s="218">
        <f t="shared" si="82"/>
        <v>0</v>
      </c>
      <c r="G298" s="218">
        <f t="shared" si="83"/>
        <v>0</v>
      </c>
      <c r="H298" s="218">
        <f t="shared" si="84"/>
        <v>0</v>
      </c>
      <c r="I298" s="218">
        <f t="shared" si="85"/>
        <v>0</v>
      </c>
      <c r="J298" s="218">
        <f t="shared" si="86"/>
        <v>0</v>
      </c>
      <c r="K298" s="218">
        <f t="shared" si="87"/>
        <v>0</v>
      </c>
      <c r="L298" s="192">
        <f t="shared" si="92"/>
        <v>0</v>
      </c>
      <c r="M298" s="211">
        <v>70</v>
      </c>
      <c r="N298" s="211">
        <f>(29.53*1.02)*0.8706*1.0824</f>
        <v>28.383769095264007</v>
      </c>
      <c r="O298" s="211">
        <f>(42.96*1.02)*0.8706*1.0824</f>
        <v>41.292472750848006</v>
      </c>
      <c r="P298" s="211">
        <f>(16.43*1.02)*0.8706*1.0824</f>
        <v>15.792256221984003</v>
      </c>
      <c r="Q298" s="211">
        <f>(12.76*1.02)*0.8706*1.0824</f>
        <v>12.264710249088001</v>
      </c>
      <c r="R298" s="211">
        <f>(1.27*1.02)*0.8706*1.0824</f>
        <v>1.2207039197760001</v>
      </c>
      <c r="S298" s="211">
        <f>(0.0584*1.02)*0.8706*1.0824</f>
        <v>5.6133156625920007E-2</v>
      </c>
      <c r="T298" s="1850">
        <f t="shared" si="93"/>
        <v>0</v>
      </c>
      <c r="U298" s="1850">
        <f t="shared" si="88"/>
        <v>0</v>
      </c>
      <c r="V298" s="1850">
        <f t="shared" si="88"/>
        <v>0</v>
      </c>
      <c r="W298" s="1850">
        <f t="shared" si="88"/>
        <v>0</v>
      </c>
      <c r="X298" s="1850">
        <f t="shared" si="88"/>
        <v>0</v>
      </c>
      <c r="Y298" s="1850">
        <f t="shared" si="88"/>
        <v>0</v>
      </c>
      <c r="Z298" s="1850">
        <f t="shared" si="89"/>
        <v>0</v>
      </c>
      <c r="AA298" s="2733"/>
    </row>
    <row r="299" spans="1:27" ht="18.75" x14ac:dyDescent="0.25">
      <c r="A299" s="2753"/>
      <c r="B299" s="1849">
        <v>2027</v>
      </c>
      <c r="C299" s="218">
        <f t="shared" si="81"/>
        <v>0</v>
      </c>
      <c r="D299" s="218">
        <f t="shared" si="90"/>
        <v>0</v>
      </c>
      <c r="E299" s="218">
        <f t="shared" si="91"/>
        <v>0</v>
      </c>
      <c r="F299" s="218">
        <f t="shared" si="82"/>
        <v>0</v>
      </c>
      <c r="G299" s="218">
        <f t="shared" si="83"/>
        <v>0</v>
      </c>
      <c r="H299" s="218">
        <f t="shared" si="84"/>
        <v>0</v>
      </c>
      <c r="I299" s="218">
        <f t="shared" si="85"/>
        <v>0</v>
      </c>
      <c r="J299" s="218">
        <f t="shared" si="86"/>
        <v>0</v>
      </c>
      <c r="K299" s="218">
        <f t="shared" si="87"/>
        <v>0</v>
      </c>
      <c r="L299" s="192">
        <f t="shared" si="92"/>
        <v>0</v>
      </c>
      <c r="M299" s="211">
        <v>71</v>
      </c>
      <c r="N299" s="211">
        <f>(29.53*1.02)*0.8535*1.0824</f>
        <v>27.826265705040004</v>
      </c>
      <c r="O299" s="211">
        <f>(42.96*1.02)*0.8535*1.0824</f>
        <v>40.481421425280004</v>
      </c>
      <c r="P299" s="211">
        <f>(16.43*1.02)*0.8535*1.0824</f>
        <v>15.482070624240002</v>
      </c>
      <c r="Q299" s="211">
        <f>(12.76*1.02)*0.8535*1.0824</f>
        <v>12.023811391680001</v>
      </c>
      <c r="R299" s="211">
        <f>(1.27*1.02)*0.8535*1.0824</f>
        <v>1.1967273093600002</v>
      </c>
      <c r="S299" s="211">
        <f>(0.0584*1.02)*0.8535*1.0824</f>
        <v>5.503061013120001E-2</v>
      </c>
      <c r="T299" s="1850">
        <f t="shared" si="93"/>
        <v>0</v>
      </c>
      <c r="U299" s="1850">
        <f t="shared" si="88"/>
        <v>0</v>
      </c>
      <c r="V299" s="1850">
        <f t="shared" si="88"/>
        <v>0</v>
      </c>
      <c r="W299" s="1850">
        <f t="shared" si="88"/>
        <v>0</v>
      </c>
      <c r="X299" s="1850">
        <f t="shared" si="88"/>
        <v>0</v>
      </c>
      <c r="Y299" s="1850">
        <f t="shared" si="88"/>
        <v>0</v>
      </c>
      <c r="Z299" s="1850">
        <f t="shared" si="89"/>
        <v>0</v>
      </c>
      <c r="AA299" s="2733"/>
    </row>
    <row r="300" spans="1:27" ht="18.75" x14ac:dyDescent="0.25">
      <c r="A300" s="2753"/>
      <c r="B300" s="1849">
        <v>2028</v>
      </c>
      <c r="C300" s="218">
        <f t="shared" si="81"/>
        <v>0</v>
      </c>
      <c r="D300" s="218">
        <f t="shared" si="90"/>
        <v>0</v>
      </c>
      <c r="E300" s="218">
        <f t="shared" si="91"/>
        <v>0</v>
      </c>
      <c r="F300" s="218">
        <f t="shared" si="82"/>
        <v>0</v>
      </c>
      <c r="G300" s="218">
        <f t="shared" si="83"/>
        <v>0</v>
      </c>
      <c r="H300" s="218">
        <f t="shared" si="84"/>
        <v>0</v>
      </c>
      <c r="I300" s="218">
        <f t="shared" si="85"/>
        <v>0</v>
      </c>
      <c r="J300" s="218">
        <f t="shared" si="86"/>
        <v>0</v>
      </c>
      <c r="K300" s="218">
        <f t="shared" si="87"/>
        <v>0</v>
      </c>
      <c r="L300" s="192">
        <f t="shared" si="92"/>
        <v>0</v>
      </c>
      <c r="M300" s="211">
        <v>72</v>
      </c>
      <c r="N300" s="211">
        <f>(29.53*1.02)*0.8368*1.0824</f>
        <v>27.281803329792002</v>
      </c>
      <c r="O300" s="211">
        <f>(42.96*1.02)*0.8368*1.0824</f>
        <v>39.689342060544</v>
      </c>
      <c r="P300" s="211">
        <f>(16.43*1.02)*0.8368*1.0824</f>
        <v>15.179140829952001</v>
      </c>
      <c r="Q300" s="211">
        <f>(12.76*1.02)*0.8368*1.0824</f>
        <v>11.788547595263999</v>
      </c>
      <c r="R300" s="211">
        <f>(1.27*1.02)*0.8368*1.0824</f>
        <v>1.173311555328</v>
      </c>
      <c r="S300" s="211">
        <f>(0.0584*1.02)*0.8368*1.0824</f>
        <v>5.3953854197759998E-2</v>
      </c>
      <c r="T300" s="1850">
        <f t="shared" si="93"/>
        <v>0</v>
      </c>
      <c r="U300" s="1850">
        <f t="shared" si="88"/>
        <v>0</v>
      </c>
      <c r="V300" s="1850">
        <f t="shared" si="88"/>
        <v>0</v>
      </c>
      <c r="W300" s="1850">
        <f t="shared" si="88"/>
        <v>0</v>
      </c>
      <c r="X300" s="1850">
        <f t="shared" si="88"/>
        <v>0</v>
      </c>
      <c r="Y300" s="1850">
        <f t="shared" si="88"/>
        <v>0</v>
      </c>
      <c r="Z300" s="1850">
        <f t="shared" si="89"/>
        <v>0</v>
      </c>
      <c r="AA300" s="2733"/>
    </row>
    <row r="301" spans="1:27" ht="18.75" x14ac:dyDescent="0.25">
      <c r="A301" s="2753"/>
      <c r="B301" s="1849">
        <v>2029</v>
      </c>
      <c r="C301" s="218">
        <f t="shared" si="81"/>
        <v>0</v>
      </c>
      <c r="D301" s="218">
        <f t="shared" si="90"/>
        <v>0</v>
      </c>
      <c r="E301" s="218">
        <f t="shared" si="91"/>
        <v>0</v>
      </c>
      <c r="F301" s="218">
        <f t="shared" si="82"/>
        <v>0</v>
      </c>
      <c r="G301" s="218">
        <f t="shared" si="83"/>
        <v>0</v>
      </c>
      <c r="H301" s="218">
        <f t="shared" si="84"/>
        <v>0</v>
      </c>
      <c r="I301" s="218">
        <f t="shared" si="85"/>
        <v>0</v>
      </c>
      <c r="J301" s="218">
        <f t="shared" si="86"/>
        <v>0</v>
      </c>
      <c r="K301" s="218">
        <f t="shared" si="87"/>
        <v>0</v>
      </c>
      <c r="L301" s="192">
        <f t="shared" si="92"/>
        <v>0</v>
      </c>
      <c r="M301" s="211">
        <v>73</v>
      </c>
      <c r="N301" s="211">
        <f>(29.53*1.02)*0.8203*1.0824</f>
        <v>26.743861462032005</v>
      </c>
      <c r="O301" s="211">
        <f>(42.96*1.02)*0.8203*1.0824</f>
        <v>38.906748676224005</v>
      </c>
      <c r="P301" s="211">
        <f>(16.43*1.02)*0.8203*1.0824</f>
        <v>14.879838937392002</v>
      </c>
      <c r="Q301" s="211">
        <f>(12.76*1.02)*0.8203*1.0824</f>
        <v>11.556101329344001</v>
      </c>
      <c r="R301" s="211">
        <f>(1.27*1.02)*0.8203*1.0824</f>
        <v>1.1501762294880002</v>
      </c>
      <c r="S301" s="211">
        <f>(0.0584*1.02)*0.8203*1.0824</f>
        <v>5.2889993544960004E-2</v>
      </c>
      <c r="T301" s="1850">
        <f t="shared" si="93"/>
        <v>0</v>
      </c>
      <c r="U301" s="1850">
        <f t="shared" si="88"/>
        <v>0</v>
      </c>
      <c r="V301" s="1850">
        <f t="shared" si="88"/>
        <v>0</v>
      </c>
      <c r="W301" s="1850">
        <f t="shared" si="88"/>
        <v>0</v>
      </c>
      <c r="X301" s="1850">
        <f t="shared" si="88"/>
        <v>0</v>
      </c>
      <c r="Y301" s="1850">
        <f t="shared" si="88"/>
        <v>0</v>
      </c>
      <c r="Z301" s="1850">
        <f t="shared" si="89"/>
        <v>0</v>
      </c>
      <c r="AA301" s="2733"/>
    </row>
    <row r="302" spans="1:27" ht="18.75" x14ac:dyDescent="0.25">
      <c r="A302" s="2753"/>
      <c r="B302" s="1849">
        <v>2030</v>
      </c>
      <c r="C302" s="218">
        <f t="shared" si="81"/>
        <v>0</v>
      </c>
      <c r="D302" s="218">
        <f t="shared" si="90"/>
        <v>0</v>
      </c>
      <c r="E302" s="218">
        <f t="shared" si="91"/>
        <v>0</v>
      </c>
      <c r="F302" s="218">
        <f t="shared" si="82"/>
        <v>0</v>
      </c>
      <c r="G302" s="218">
        <f t="shared" si="83"/>
        <v>0</v>
      </c>
      <c r="H302" s="218">
        <f t="shared" si="84"/>
        <v>0</v>
      </c>
      <c r="I302" s="218">
        <f t="shared" si="85"/>
        <v>0</v>
      </c>
      <c r="J302" s="218">
        <f t="shared" si="86"/>
        <v>0</v>
      </c>
      <c r="K302" s="218">
        <f t="shared" si="87"/>
        <v>0</v>
      </c>
      <c r="L302" s="192">
        <f t="shared" si="92"/>
        <v>0</v>
      </c>
      <c r="M302" s="211">
        <v>75</v>
      </c>
      <c r="N302" s="211">
        <f>(29.53*1.02)*0.8043*1.0824</f>
        <v>26.222220862992003</v>
      </c>
      <c r="O302" s="211">
        <f>(42.96*1.02)*0.8043*1.0824</f>
        <v>38.147870242944002</v>
      </c>
      <c r="P302" s="211">
        <f>(16.43*1.02)*0.8043*1.0824</f>
        <v>14.589606799152003</v>
      </c>
      <c r="Q302" s="211">
        <f>(12.76*1.02)*0.8043*1.0824</f>
        <v>11.330698889664001</v>
      </c>
      <c r="R302" s="211">
        <f>(1.27*1.02)*0.8043*1.0824</f>
        <v>1.1277419741280001</v>
      </c>
      <c r="S302" s="211">
        <f>(0.0584*1.02)*0.8043*1.0824</f>
        <v>5.1858371093760007E-2</v>
      </c>
      <c r="T302" s="1850">
        <f t="shared" si="93"/>
        <v>0</v>
      </c>
      <c r="U302" s="1850">
        <f t="shared" si="88"/>
        <v>0</v>
      </c>
      <c r="V302" s="1850">
        <f t="shared" si="88"/>
        <v>0</v>
      </c>
      <c r="W302" s="1850">
        <f t="shared" si="88"/>
        <v>0</v>
      </c>
      <c r="X302" s="1850">
        <f t="shared" si="88"/>
        <v>0</v>
      </c>
      <c r="Y302" s="1850">
        <f t="shared" si="88"/>
        <v>0</v>
      </c>
      <c r="Z302" s="1850">
        <f t="shared" si="89"/>
        <v>0</v>
      </c>
      <c r="AA302" s="2733"/>
    </row>
    <row r="303" spans="1:27" ht="18.75" x14ac:dyDescent="0.25">
      <c r="A303" s="2753"/>
      <c r="B303" s="1849">
        <v>2031</v>
      </c>
      <c r="C303" s="218">
        <f t="shared" si="81"/>
        <v>0</v>
      </c>
      <c r="D303" s="218">
        <f t="shared" si="90"/>
        <v>0</v>
      </c>
      <c r="E303" s="218">
        <f t="shared" si="91"/>
        <v>0</v>
      </c>
      <c r="F303" s="218">
        <f t="shared" si="82"/>
        <v>0</v>
      </c>
      <c r="G303" s="218">
        <f t="shared" si="83"/>
        <v>0</v>
      </c>
      <c r="H303" s="218">
        <f t="shared" si="84"/>
        <v>0</v>
      </c>
      <c r="I303" s="218">
        <f t="shared" si="85"/>
        <v>0</v>
      </c>
      <c r="J303" s="218">
        <f t="shared" si="86"/>
        <v>0</v>
      </c>
      <c r="K303" s="218">
        <f t="shared" si="87"/>
        <v>0</v>
      </c>
      <c r="L303" s="192">
        <f t="shared" si="92"/>
        <v>0</v>
      </c>
      <c r="M303" s="211">
        <v>76</v>
      </c>
      <c r="N303" s="211">
        <f>(29.53*1.02)*0.7885*1.0824</f>
        <v>25.70710077144</v>
      </c>
      <c r="O303" s="211">
        <f>(42.96*1.02)*0.7885*1.0824</f>
        <v>37.398477790080001</v>
      </c>
      <c r="P303" s="211">
        <f>(16.43*1.02)*0.7885*1.0824</f>
        <v>14.303002562640001</v>
      </c>
      <c r="Q303" s="211">
        <f>(12.76*1.02)*0.7885*1.0824</f>
        <v>11.108113980480001</v>
      </c>
      <c r="R303" s="211">
        <f>(1.27*1.02)*0.7885*1.0824</f>
        <v>1.1055881469600002</v>
      </c>
      <c r="S303" s="211">
        <f>(0.0584*1.02)*0.7885*1.0824</f>
        <v>5.0839643923200006E-2</v>
      </c>
      <c r="T303" s="1850">
        <f t="shared" si="93"/>
        <v>0</v>
      </c>
      <c r="U303" s="1850">
        <f t="shared" si="88"/>
        <v>0</v>
      </c>
      <c r="V303" s="1850">
        <f t="shared" si="88"/>
        <v>0</v>
      </c>
      <c r="W303" s="1850">
        <f t="shared" si="88"/>
        <v>0</v>
      </c>
      <c r="X303" s="1850">
        <f t="shared" si="88"/>
        <v>0</v>
      </c>
      <c r="Y303" s="1850">
        <f t="shared" si="88"/>
        <v>0</v>
      </c>
      <c r="Z303" s="1850">
        <f t="shared" si="89"/>
        <v>0</v>
      </c>
      <c r="AA303" s="2733"/>
    </row>
    <row r="304" spans="1:27" ht="18.75" x14ac:dyDescent="0.25">
      <c r="A304" s="2753"/>
      <c r="B304" s="1849">
        <v>2032</v>
      </c>
      <c r="C304" s="218">
        <f t="shared" si="81"/>
        <v>0</v>
      </c>
      <c r="D304" s="218">
        <f t="shared" si="90"/>
        <v>0</v>
      </c>
      <c r="E304" s="218">
        <f t="shared" si="91"/>
        <v>0</v>
      </c>
      <c r="F304" s="218">
        <f t="shared" si="82"/>
        <v>0</v>
      </c>
      <c r="G304" s="218">
        <f t="shared" si="83"/>
        <v>0</v>
      </c>
      <c r="H304" s="218">
        <f t="shared" si="84"/>
        <v>0</v>
      </c>
      <c r="I304" s="218">
        <f t="shared" si="85"/>
        <v>0</v>
      </c>
      <c r="J304" s="218">
        <f t="shared" si="86"/>
        <v>0</v>
      </c>
      <c r="K304" s="218">
        <f t="shared" si="87"/>
        <v>0</v>
      </c>
      <c r="L304" s="192">
        <f t="shared" si="92"/>
        <v>0</v>
      </c>
      <c r="M304" s="211">
        <v>77</v>
      </c>
      <c r="N304" s="211">
        <f>(29.53*1.02)*0.773*1.0824</f>
        <v>25.201761441120002</v>
      </c>
      <c r="O304" s="211">
        <f>(42.96*1.02)*0.773*1.0824</f>
        <v>36.663314307840004</v>
      </c>
      <c r="P304" s="211">
        <f>(16.43*1.02)*0.773*1.0824</f>
        <v>14.021840178720002</v>
      </c>
      <c r="Q304" s="211">
        <f>(12.76*1.02)*0.773*1.0824</f>
        <v>10.889755367040001</v>
      </c>
      <c r="R304" s="211">
        <f>(1.27*1.02)*0.773*1.0824</f>
        <v>1.0838549620800002</v>
      </c>
      <c r="S304" s="211">
        <f>(0.0584*1.02)*0.773*1.0824</f>
        <v>4.9840259673600007E-2</v>
      </c>
      <c r="T304" s="1850">
        <f t="shared" si="93"/>
        <v>0</v>
      </c>
      <c r="U304" s="1850">
        <f t="shared" si="88"/>
        <v>0</v>
      </c>
      <c r="V304" s="1850">
        <f t="shared" si="88"/>
        <v>0</v>
      </c>
      <c r="W304" s="1850">
        <f t="shared" si="88"/>
        <v>0</v>
      </c>
      <c r="X304" s="1850">
        <f t="shared" si="88"/>
        <v>0</v>
      </c>
      <c r="Y304" s="1850">
        <f t="shared" si="88"/>
        <v>0</v>
      </c>
      <c r="Z304" s="1850">
        <f t="shared" si="89"/>
        <v>0</v>
      </c>
      <c r="AA304" s="2733"/>
    </row>
    <row r="305" spans="1:27" ht="18.75" x14ac:dyDescent="0.25">
      <c r="A305" s="2753"/>
      <c r="B305" s="1849">
        <v>2033</v>
      </c>
      <c r="C305" s="218">
        <f t="shared" si="81"/>
        <v>0</v>
      </c>
      <c r="D305" s="218">
        <f t="shared" si="90"/>
        <v>0</v>
      </c>
      <c r="E305" s="218">
        <f t="shared" si="91"/>
        <v>0</v>
      </c>
      <c r="F305" s="218">
        <f t="shared" si="82"/>
        <v>0</v>
      </c>
      <c r="G305" s="218">
        <f t="shared" si="83"/>
        <v>0</v>
      </c>
      <c r="H305" s="218">
        <f t="shared" si="84"/>
        <v>0</v>
      </c>
      <c r="I305" s="218">
        <f t="shared" si="85"/>
        <v>0</v>
      </c>
      <c r="J305" s="218">
        <f t="shared" si="86"/>
        <v>0</v>
      </c>
      <c r="K305" s="218">
        <f t="shared" si="87"/>
        <v>0</v>
      </c>
      <c r="L305" s="192">
        <f t="shared" si="92"/>
        <v>0</v>
      </c>
      <c r="M305" s="211">
        <v>78</v>
      </c>
      <c r="N305" s="211">
        <f>(29.53*1.02)*0.7579*1.0824</f>
        <v>24.709463125776001</v>
      </c>
      <c r="O305" s="211">
        <f>(42.96*1.02)*0.7579*1.0824</f>
        <v>35.947122786432004</v>
      </c>
      <c r="P305" s="211">
        <f>(16.43*1.02)*0.7579*1.0824</f>
        <v>13.747933598256003</v>
      </c>
      <c r="Q305" s="211">
        <f>(12.76*1.02)*0.7579*1.0824</f>
        <v>10.677031814592</v>
      </c>
      <c r="R305" s="211">
        <f>(1.27*1.02)*0.7579*1.0824</f>
        <v>1.0626826335840001</v>
      </c>
      <c r="S305" s="211">
        <f>(0.0584*1.02)*0.7579*1.0824</f>
        <v>4.8866665985280007E-2</v>
      </c>
      <c r="T305" s="1850">
        <f t="shared" si="93"/>
        <v>0</v>
      </c>
      <c r="U305" s="1850">
        <f t="shared" si="88"/>
        <v>0</v>
      </c>
      <c r="V305" s="1850">
        <f t="shared" si="88"/>
        <v>0</v>
      </c>
      <c r="W305" s="1850">
        <f t="shared" si="88"/>
        <v>0</v>
      </c>
      <c r="X305" s="1850">
        <f t="shared" si="88"/>
        <v>0</v>
      </c>
      <c r="Y305" s="1850">
        <f t="shared" si="88"/>
        <v>0</v>
      </c>
      <c r="Z305" s="1850">
        <f t="shared" si="89"/>
        <v>0</v>
      </c>
      <c r="AA305" s="2733"/>
    </row>
    <row r="306" spans="1:27" ht="18.75" x14ac:dyDescent="0.25">
      <c r="A306" s="2753"/>
      <c r="B306" s="1849">
        <v>2034</v>
      </c>
      <c r="C306" s="218">
        <f t="shared" si="81"/>
        <v>0</v>
      </c>
      <c r="D306" s="218">
        <f t="shared" si="90"/>
        <v>0</v>
      </c>
      <c r="E306" s="218">
        <f t="shared" si="91"/>
        <v>0</v>
      </c>
      <c r="F306" s="218">
        <f t="shared" si="82"/>
        <v>0</v>
      </c>
      <c r="G306" s="218">
        <f t="shared" si="83"/>
        <v>0</v>
      </c>
      <c r="H306" s="218">
        <f t="shared" si="84"/>
        <v>0</v>
      </c>
      <c r="I306" s="218">
        <f t="shared" si="85"/>
        <v>0</v>
      </c>
      <c r="J306" s="218">
        <f t="shared" si="86"/>
        <v>0</v>
      </c>
      <c r="K306" s="218">
        <f t="shared" si="87"/>
        <v>0</v>
      </c>
      <c r="L306" s="192">
        <f t="shared" si="92"/>
        <v>0</v>
      </c>
      <c r="M306" s="211">
        <v>79</v>
      </c>
      <c r="N306" s="211">
        <f>(29.53*1.02)*0.743*1.0824</f>
        <v>24.223685317920005</v>
      </c>
      <c r="O306" s="211">
        <f>(42.96*1.02)*0.743*1.0824</f>
        <v>35.24041724544</v>
      </c>
      <c r="P306" s="211">
        <f>(16.43*1.02)*0.743*1.0824</f>
        <v>13.477654919520001</v>
      </c>
      <c r="Q306" s="211">
        <f>(12.76*1.02)*0.743*1.0824</f>
        <v>10.467125792640001</v>
      </c>
      <c r="R306" s="211">
        <f>(1.27*1.02)*0.743*1.0824</f>
        <v>1.04179073328</v>
      </c>
      <c r="S306" s="211">
        <f>(0.0584*1.02)*0.743*1.0824</f>
        <v>4.7905967577600003E-2</v>
      </c>
      <c r="T306" s="1850">
        <f t="shared" si="93"/>
        <v>0</v>
      </c>
      <c r="U306" s="1850">
        <f t="shared" si="88"/>
        <v>0</v>
      </c>
      <c r="V306" s="1850">
        <f t="shared" si="88"/>
        <v>0</v>
      </c>
      <c r="W306" s="1850">
        <f t="shared" si="88"/>
        <v>0</v>
      </c>
      <c r="X306" s="1850">
        <f t="shared" si="88"/>
        <v>0</v>
      </c>
      <c r="Y306" s="1850">
        <f t="shared" si="88"/>
        <v>0</v>
      </c>
      <c r="Z306" s="1850">
        <f t="shared" si="89"/>
        <v>0</v>
      </c>
      <c r="AA306" s="2733"/>
    </row>
    <row r="307" spans="1:27" ht="18.75" x14ac:dyDescent="0.25">
      <c r="A307" s="2753"/>
      <c r="B307" s="1849">
        <v>2035</v>
      </c>
      <c r="C307" s="218">
        <f t="shared" si="81"/>
        <v>0</v>
      </c>
      <c r="D307" s="218">
        <f t="shared" si="90"/>
        <v>0</v>
      </c>
      <c r="E307" s="218">
        <f t="shared" si="91"/>
        <v>0</v>
      </c>
      <c r="F307" s="218">
        <f t="shared" si="82"/>
        <v>0</v>
      </c>
      <c r="G307" s="218">
        <f t="shared" si="83"/>
        <v>0</v>
      </c>
      <c r="H307" s="218">
        <f t="shared" si="84"/>
        <v>0</v>
      </c>
      <c r="I307" s="218">
        <f t="shared" si="85"/>
        <v>0</v>
      </c>
      <c r="J307" s="218">
        <f t="shared" si="86"/>
        <v>0</v>
      </c>
      <c r="K307" s="218">
        <f t="shared" si="87"/>
        <v>0</v>
      </c>
      <c r="L307" s="192">
        <f t="shared" si="92"/>
        <v>0</v>
      </c>
      <c r="M307" s="211">
        <v>80</v>
      </c>
      <c r="N307" s="211">
        <f>(29.53*1.02)*0.7284*1.0824</f>
        <v>23.747688271296006</v>
      </c>
      <c r="O307" s="211">
        <f>(42.96*1.02)*0.7284*1.0824</f>
        <v>34.547940675072006</v>
      </c>
      <c r="P307" s="211">
        <f>(16.43*1.02)*0.7284*1.0824</f>
        <v>13.212818093376002</v>
      </c>
      <c r="Q307" s="211">
        <f>(12.76*1.02)*0.7284*1.0824</f>
        <v>10.261446066432002</v>
      </c>
      <c r="R307" s="211">
        <f>(1.27*1.02)*0.7284*1.0824</f>
        <v>1.0213194752640002</v>
      </c>
      <c r="S307" s="211">
        <f>(0.0584*1.02)*0.7284*1.0824</f>
        <v>4.6964612090880008E-2</v>
      </c>
      <c r="T307" s="1850">
        <f t="shared" si="93"/>
        <v>0</v>
      </c>
      <c r="U307" s="1850">
        <f t="shared" si="88"/>
        <v>0</v>
      </c>
      <c r="V307" s="1850">
        <f t="shared" si="88"/>
        <v>0</v>
      </c>
      <c r="W307" s="1850">
        <f t="shared" si="88"/>
        <v>0</v>
      </c>
      <c r="X307" s="1850">
        <f t="shared" si="88"/>
        <v>0</v>
      </c>
      <c r="Y307" s="1850">
        <f t="shared" si="88"/>
        <v>0</v>
      </c>
      <c r="Z307" s="1850">
        <f t="shared" si="89"/>
        <v>0</v>
      </c>
      <c r="AA307" s="2733"/>
    </row>
    <row r="308" spans="1:27" ht="18.75" x14ac:dyDescent="0.25">
      <c r="A308" s="2753"/>
      <c r="B308" s="1849">
        <v>2036</v>
      </c>
      <c r="C308" s="218">
        <f t="shared" si="81"/>
        <v>0</v>
      </c>
      <c r="D308" s="218">
        <f t="shared" si="90"/>
        <v>0</v>
      </c>
      <c r="E308" s="218">
        <f t="shared" si="91"/>
        <v>0</v>
      </c>
      <c r="F308" s="218">
        <f t="shared" si="82"/>
        <v>0</v>
      </c>
      <c r="G308" s="218">
        <f t="shared" si="83"/>
        <v>0</v>
      </c>
      <c r="H308" s="218">
        <f t="shared" si="84"/>
        <v>0</v>
      </c>
      <c r="I308" s="218">
        <f t="shared" si="85"/>
        <v>0</v>
      </c>
      <c r="J308" s="218">
        <f t="shared" si="86"/>
        <v>0</v>
      </c>
      <c r="K308" s="218">
        <f t="shared" si="87"/>
        <v>0</v>
      </c>
      <c r="L308" s="192">
        <f t="shared" si="92"/>
        <v>0</v>
      </c>
      <c r="M308" s="211">
        <v>81</v>
      </c>
      <c r="N308" s="211">
        <f>(29.53*1.02)*0.7142*1.0824</f>
        <v>23.284732239648001</v>
      </c>
      <c r="O308" s="211">
        <f>(42.96*1.02)*0.7142*1.0824</f>
        <v>33.874436065536003</v>
      </c>
      <c r="P308" s="211">
        <f>(16.43*1.02)*0.7142*1.0824</f>
        <v>12.955237070688</v>
      </c>
      <c r="Q308" s="211">
        <f>(12.76*1.02)*0.7142*1.0824</f>
        <v>10.061401401215999</v>
      </c>
      <c r="R308" s="211">
        <f>(1.27*1.02)*0.7142*1.0824</f>
        <v>1.001409073632</v>
      </c>
      <c r="S308" s="211">
        <f>(0.0584*1.02)*0.7142*1.0824</f>
        <v>4.6049047165439998E-2</v>
      </c>
      <c r="T308" s="1850">
        <f t="shared" si="93"/>
        <v>0</v>
      </c>
      <c r="U308" s="1850">
        <f t="shared" si="88"/>
        <v>0</v>
      </c>
      <c r="V308" s="1850">
        <f t="shared" si="88"/>
        <v>0</v>
      </c>
      <c r="W308" s="1850">
        <f t="shared" si="88"/>
        <v>0</v>
      </c>
      <c r="X308" s="1850">
        <f t="shared" si="88"/>
        <v>0</v>
      </c>
      <c r="Y308" s="1850">
        <f t="shared" si="88"/>
        <v>0</v>
      </c>
      <c r="Z308" s="1850">
        <f t="shared" si="89"/>
        <v>0</v>
      </c>
      <c r="AA308" s="2733"/>
    </row>
    <row r="309" spans="1:27" ht="18.75" x14ac:dyDescent="0.25">
      <c r="A309" s="2753"/>
      <c r="B309" s="1849">
        <v>2037</v>
      </c>
      <c r="C309" s="218">
        <f t="shared" si="81"/>
        <v>0</v>
      </c>
      <c r="D309" s="218">
        <f t="shared" si="90"/>
        <v>0</v>
      </c>
      <c r="E309" s="218">
        <f t="shared" si="91"/>
        <v>0</v>
      </c>
      <c r="F309" s="218">
        <f t="shared" si="82"/>
        <v>0</v>
      </c>
      <c r="G309" s="218">
        <f t="shared" si="83"/>
        <v>0</v>
      </c>
      <c r="H309" s="218">
        <f t="shared" si="84"/>
        <v>0</v>
      </c>
      <c r="I309" s="218">
        <f t="shared" si="85"/>
        <v>0</v>
      </c>
      <c r="J309" s="218">
        <f t="shared" si="86"/>
        <v>0</v>
      </c>
      <c r="K309" s="218">
        <f t="shared" si="87"/>
        <v>0</v>
      </c>
      <c r="L309" s="192">
        <f t="shared" si="92"/>
        <v>0</v>
      </c>
      <c r="M309" s="211">
        <v>83</v>
      </c>
      <c r="N309" s="211">
        <f>(29.53*1.02)*0.7002*1.0824</f>
        <v>22.828296715488005</v>
      </c>
      <c r="O309" s="211">
        <f>(42.96*1.02)*0.7002*1.0824</f>
        <v>33.210417436416002</v>
      </c>
      <c r="P309" s="211">
        <f>(16.43*1.02)*0.7002*1.0824</f>
        <v>12.701283949728003</v>
      </c>
      <c r="Q309" s="211">
        <f>(12.76*1.02)*0.7002*1.0824</f>
        <v>9.8641742664960006</v>
      </c>
      <c r="R309" s="211">
        <f>(1.27*1.02)*0.7002*1.0824</f>
        <v>0.9817791001920001</v>
      </c>
      <c r="S309" s="211">
        <f>(0.0584*1.02)*0.7002*1.0824</f>
        <v>4.5146377520640005E-2</v>
      </c>
      <c r="T309" s="1850">
        <f t="shared" si="93"/>
        <v>0</v>
      </c>
      <c r="U309" s="1850">
        <f t="shared" si="88"/>
        <v>0</v>
      </c>
      <c r="V309" s="1850">
        <f t="shared" si="88"/>
        <v>0</v>
      </c>
      <c r="W309" s="1850">
        <f t="shared" si="88"/>
        <v>0</v>
      </c>
      <c r="X309" s="1850">
        <f t="shared" si="88"/>
        <v>0</v>
      </c>
      <c r="Y309" s="1850">
        <f t="shared" si="88"/>
        <v>0</v>
      </c>
      <c r="Z309" s="1850">
        <f t="shared" si="89"/>
        <v>0</v>
      </c>
      <c r="AA309" s="2733"/>
    </row>
    <row r="310" spans="1:27" ht="18.75" x14ac:dyDescent="0.25">
      <c r="A310" s="2753"/>
      <c r="B310" s="1849">
        <v>2038</v>
      </c>
      <c r="C310" s="218">
        <f t="shared" si="81"/>
        <v>0</v>
      </c>
      <c r="D310" s="218">
        <f t="shared" si="90"/>
        <v>0</v>
      </c>
      <c r="E310" s="218">
        <f t="shared" si="91"/>
        <v>0</v>
      </c>
      <c r="F310" s="218">
        <f t="shared" si="82"/>
        <v>0</v>
      </c>
      <c r="G310" s="218">
        <f t="shared" si="83"/>
        <v>0</v>
      </c>
      <c r="H310" s="218">
        <f t="shared" si="84"/>
        <v>0</v>
      </c>
      <c r="I310" s="218">
        <f t="shared" si="85"/>
        <v>0</v>
      </c>
      <c r="J310" s="218">
        <f t="shared" si="86"/>
        <v>0</v>
      </c>
      <c r="K310" s="218">
        <f t="shared" si="87"/>
        <v>0</v>
      </c>
      <c r="L310" s="192">
        <f t="shared" si="92"/>
        <v>0</v>
      </c>
      <c r="M310" s="211">
        <v>84</v>
      </c>
      <c r="N310" s="211">
        <f>(29.53*1.02)*0.6864*1.0824</f>
        <v>22.378381698816003</v>
      </c>
      <c r="O310" s="211">
        <f>(42.96*1.02)*0.6864*1.0824</f>
        <v>32.555884787712003</v>
      </c>
      <c r="P310" s="211">
        <f>(16.43*1.02)*0.6864*1.0824</f>
        <v>12.450958730496001</v>
      </c>
      <c r="Q310" s="211">
        <f>(12.76*1.02)*0.6864*1.0824</f>
        <v>9.6697646622720015</v>
      </c>
      <c r="R310" s="211">
        <f>(1.27*1.02)*0.6864*1.0824</f>
        <v>0.96242955494400007</v>
      </c>
      <c r="S310" s="211">
        <f>(0.0584*1.02)*0.6864*1.0824</f>
        <v>4.4256603156480001E-2</v>
      </c>
      <c r="T310" s="1850">
        <f t="shared" si="93"/>
        <v>0</v>
      </c>
      <c r="U310" s="1850">
        <f t="shared" si="88"/>
        <v>0</v>
      </c>
      <c r="V310" s="1850">
        <f t="shared" si="88"/>
        <v>0</v>
      </c>
      <c r="W310" s="1850">
        <f t="shared" si="88"/>
        <v>0</v>
      </c>
      <c r="X310" s="1850">
        <f t="shared" si="88"/>
        <v>0</v>
      </c>
      <c r="Y310" s="1850">
        <f t="shared" si="88"/>
        <v>0</v>
      </c>
      <c r="Z310" s="1850">
        <f t="shared" si="89"/>
        <v>0</v>
      </c>
      <c r="AA310" s="2733"/>
    </row>
    <row r="311" spans="1:27" ht="18.75" x14ac:dyDescent="0.25">
      <c r="A311" s="2753"/>
      <c r="B311" s="1849">
        <v>2039</v>
      </c>
      <c r="C311" s="218">
        <f t="shared" si="81"/>
        <v>0</v>
      </c>
      <c r="D311" s="218">
        <f t="shared" si="90"/>
        <v>0</v>
      </c>
      <c r="E311" s="218">
        <f t="shared" si="91"/>
        <v>0</v>
      </c>
      <c r="F311" s="218">
        <f t="shared" si="82"/>
        <v>0</v>
      </c>
      <c r="G311" s="218">
        <f t="shared" si="83"/>
        <v>0</v>
      </c>
      <c r="H311" s="218">
        <f t="shared" si="84"/>
        <v>0</v>
      </c>
      <c r="I311" s="218">
        <f t="shared" si="85"/>
        <v>0</v>
      </c>
      <c r="J311" s="218">
        <f t="shared" si="86"/>
        <v>0</v>
      </c>
      <c r="K311" s="218">
        <f t="shared" si="87"/>
        <v>0</v>
      </c>
      <c r="L311" s="192">
        <f t="shared" si="92"/>
        <v>0</v>
      </c>
      <c r="M311" s="211">
        <v>85</v>
      </c>
      <c r="N311" s="211">
        <f>(29.53*1.02)*0.673*1.0824</f>
        <v>21.941507697120006</v>
      </c>
      <c r="O311" s="211">
        <f>(42.96*1.02)*0.673*1.0824</f>
        <v>31.920324099840006</v>
      </c>
      <c r="P311" s="211">
        <f>(16.43*1.02)*0.673*1.0824</f>
        <v>12.207889314720003</v>
      </c>
      <c r="Q311" s="211">
        <f>(12.76*1.02)*0.673*1.0824</f>
        <v>9.4809901190400012</v>
      </c>
      <c r="R311" s="211">
        <f>(1.27*1.02)*0.673*1.0824</f>
        <v>0.9436408660800002</v>
      </c>
      <c r="S311" s="211">
        <f>(0.0584*1.02)*0.673*1.0824</f>
        <v>4.3392619353600011E-2</v>
      </c>
      <c r="T311" s="1850">
        <f t="shared" si="93"/>
        <v>0</v>
      </c>
      <c r="U311" s="1850">
        <f t="shared" si="88"/>
        <v>0</v>
      </c>
      <c r="V311" s="1850">
        <f t="shared" si="88"/>
        <v>0</v>
      </c>
      <c r="W311" s="1850">
        <f t="shared" si="88"/>
        <v>0</v>
      </c>
      <c r="X311" s="1850">
        <f t="shared" si="88"/>
        <v>0</v>
      </c>
      <c r="Y311" s="1850">
        <f t="shared" si="88"/>
        <v>0</v>
      </c>
      <c r="Z311" s="1850">
        <f t="shared" si="89"/>
        <v>0</v>
      </c>
      <c r="AA311" s="2733"/>
    </row>
    <row r="312" spans="1:27" ht="18.75" x14ac:dyDescent="0.25">
      <c r="A312" s="2753"/>
      <c r="B312" s="1849">
        <v>2040</v>
      </c>
      <c r="C312" s="218">
        <f t="shared" si="81"/>
        <v>0</v>
      </c>
      <c r="D312" s="218">
        <f t="shared" si="90"/>
        <v>0</v>
      </c>
      <c r="E312" s="218">
        <f t="shared" si="91"/>
        <v>0</v>
      </c>
      <c r="F312" s="218">
        <f t="shared" si="82"/>
        <v>0</v>
      </c>
      <c r="G312" s="218">
        <f t="shared" si="83"/>
        <v>0</v>
      </c>
      <c r="H312" s="218">
        <f t="shared" si="84"/>
        <v>0</v>
      </c>
      <c r="I312" s="218">
        <f t="shared" si="85"/>
        <v>0</v>
      </c>
      <c r="J312" s="218">
        <f t="shared" si="86"/>
        <v>0</v>
      </c>
      <c r="K312" s="218">
        <f t="shared" si="87"/>
        <v>0</v>
      </c>
      <c r="L312" s="192">
        <f t="shared" si="92"/>
        <v>0</v>
      </c>
      <c r="M312" s="211">
        <v>86</v>
      </c>
      <c r="N312" s="211">
        <f>(29.53*1.02)*0.6598*1.0824</f>
        <v>21.511154202912003</v>
      </c>
      <c r="O312" s="211">
        <f>(42.96*1.02)*0.6598*1.0824</f>
        <v>31.294249392384003</v>
      </c>
      <c r="P312" s="211">
        <f>(16.43*1.02)*0.6598*1.0824</f>
        <v>11.968447800672001</v>
      </c>
      <c r="Q312" s="211">
        <f>(12.76*1.02)*0.6598*1.0824</f>
        <v>9.2950331063040004</v>
      </c>
      <c r="R312" s="211">
        <f>(1.27*1.02)*0.6598*1.0824</f>
        <v>0.92513260540800013</v>
      </c>
      <c r="S312" s="211">
        <f>(0.0584*1.02)*0.6598*1.0824</f>
        <v>4.254153083136001E-2</v>
      </c>
      <c r="T312" s="1850">
        <f t="shared" si="93"/>
        <v>0</v>
      </c>
      <c r="U312" s="1850">
        <f t="shared" si="88"/>
        <v>0</v>
      </c>
      <c r="V312" s="1850">
        <f t="shared" si="88"/>
        <v>0</v>
      </c>
      <c r="W312" s="1850">
        <f t="shared" si="88"/>
        <v>0</v>
      </c>
      <c r="X312" s="1850">
        <f t="shared" si="88"/>
        <v>0</v>
      </c>
      <c r="Y312" s="1850">
        <f t="shared" si="88"/>
        <v>0</v>
      </c>
      <c r="Z312" s="1850">
        <f t="shared" si="89"/>
        <v>0</v>
      </c>
      <c r="AA312" s="2733"/>
    </row>
    <row r="313" spans="1:27" ht="18.75" x14ac:dyDescent="0.25">
      <c r="A313" s="2753"/>
      <c r="B313" s="1849">
        <v>2041</v>
      </c>
      <c r="C313" s="218">
        <f t="shared" si="81"/>
        <v>0</v>
      </c>
      <c r="D313" s="218">
        <f t="shared" si="90"/>
        <v>0</v>
      </c>
      <c r="E313" s="218">
        <f t="shared" si="91"/>
        <v>0</v>
      </c>
      <c r="F313" s="218">
        <f t="shared" si="82"/>
        <v>0</v>
      </c>
      <c r="G313" s="218">
        <f t="shared" si="83"/>
        <v>0</v>
      </c>
      <c r="H313" s="218">
        <f t="shared" si="84"/>
        <v>0</v>
      </c>
      <c r="I313" s="218">
        <f t="shared" si="85"/>
        <v>0</v>
      </c>
      <c r="J313" s="218">
        <f t="shared" si="86"/>
        <v>0</v>
      </c>
      <c r="K313" s="218">
        <f t="shared" si="87"/>
        <v>0</v>
      </c>
      <c r="L313" s="192">
        <f t="shared" si="92"/>
        <v>0</v>
      </c>
      <c r="M313" s="211">
        <v>87</v>
      </c>
      <c r="N313" s="211">
        <f>(29.53*1.02)*0.6468*1.0824</f>
        <v>21.087321216192002</v>
      </c>
      <c r="O313" s="211">
        <f>(42.96*1.02)*0.6468*1.0824</f>
        <v>30.677660665344007</v>
      </c>
      <c r="P313" s="211">
        <f>(16.43*1.02)*0.6468*1.0824</f>
        <v>11.732634188352002</v>
      </c>
      <c r="Q313" s="211">
        <f>(12.76*1.02)*0.6468*1.0824</f>
        <v>9.1118936240640007</v>
      </c>
      <c r="R313" s="211">
        <f>(1.27*1.02)*0.6468*1.0824</f>
        <v>0.9069047729280002</v>
      </c>
      <c r="S313" s="211">
        <f>(0.0584*1.02)*0.6468*1.0824</f>
        <v>4.1703337589760005E-2</v>
      </c>
      <c r="T313" s="1850">
        <f t="shared" si="93"/>
        <v>0</v>
      </c>
      <c r="U313" s="1850">
        <f t="shared" si="88"/>
        <v>0</v>
      </c>
      <c r="V313" s="1850">
        <f t="shared" si="88"/>
        <v>0</v>
      </c>
      <c r="W313" s="1850">
        <f t="shared" si="88"/>
        <v>0</v>
      </c>
      <c r="X313" s="1850">
        <f t="shared" si="88"/>
        <v>0</v>
      </c>
      <c r="Y313" s="1850">
        <f t="shared" si="88"/>
        <v>0</v>
      </c>
      <c r="Z313" s="1850">
        <f t="shared" si="89"/>
        <v>0</v>
      </c>
      <c r="AA313" s="2733"/>
    </row>
    <row r="314" spans="1:27" ht="18.75" x14ac:dyDescent="0.25">
      <c r="A314" s="2753"/>
      <c r="B314" s="1849">
        <v>2042</v>
      </c>
      <c r="C314" s="218">
        <f t="shared" si="81"/>
        <v>0</v>
      </c>
      <c r="D314" s="218">
        <f t="shared" si="90"/>
        <v>0</v>
      </c>
      <c r="E314" s="218">
        <f t="shared" si="91"/>
        <v>0</v>
      </c>
      <c r="F314" s="218">
        <f t="shared" si="82"/>
        <v>0</v>
      </c>
      <c r="G314" s="218">
        <f t="shared" si="83"/>
        <v>0</v>
      </c>
      <c r="H314" s="218">
        <f t="shared" si="84"/>
        <v>0</v>
      </c>
      <c r="I314" s="218">
        <f t="shared" si="85"/>
        <v>0</v>
      </c>
      <c r="J314" s="218">
        <f t="shared" si="86"/>
        <v>0</v>
      </c>
      <c r="K314" s="218">
        <f t="shared" si="87"/>
        <v>0</v>
      </c>
      <c r="L314" s="192">
        <f t="shared" si="92"/>
        <v>0</v>
      </c>
      <c r="M314" s="211">
        <v>88</v>
      </c>
      <c r="N314" s="211">
        <f>(29.53*1.02)*0.6342*1.0824</f>
        <v>20.676529244448002</v>
      </c>
      <c r="O314" s="211">
        <f>(42.96*1.02)*0.6342*1.0824</f>
        <v>30.080043899136001</v>
      </c>
      <c r="P314" s="211">
        <f>(16.43*1.02)*0.6342*1.0824</f>
        <v>11.504076379488001</v>
      </c>
      <c r="Q314" s="211">
        <f>(12.76*1.02)*0.6342*1.0824</f>
        <v>8.9343892028159999</v>
      </c>
      <c r="R314" s="211">
        <f>(1.27*1.02)*0.6342*1.0824</f>
        <v>0.8892377968320001</v>
      </c>
      <c r="S314" s="211">
        <f>(0.0584*1.02)*0.6342*1.0824</f>
        <v>4.0890934909439999E-2</v>
      </c>
      <c r="T314" s="1850">
        <f t="shared" si="93"/>
        <v>0</v>
      </c>
      <c r="U314" s="1850">
        <f t="shared" si="88"/>
        <v>0</v>
      </c>
      <c r="V314" s="1850">
        <f t="shared" si="88"/>
        <v>0</v>
      </c>
      <c r="W314" s="1850">
        <f t="shared" si="88"/>
        <v>0</v>
      </c>
      <c r="X314" s="1850">
        <f t="shared" si="88"/>
        <v>0</v>
      </c>
      <c r="Y314" s="1850">
        <f t="shared" si="88"/>
        <v>0</v>
      </c>
      <c r="Z314" s="1850">
        <f t="shared" si="89"/>
        <v>0</v>
      </c>
      <c r="AA314" s="2733"/>
    </row>
    <row r="315" spans="1:27" ht="18.75" x14ac:dyDescent="0.25">
      <c r="A315" s="2753"/>
      <c r="B315" s="1849">
        <v>2043</v>
      </c>
      <c r="C315" s="218">
        <f t="shared" si="81"/>
        <v>0</v>
      </c>
      <c r="D315" s="218">
        <f t="shared" si="90"/>
        <v>0</v>
      </c>
      <c r="E315" s="218">
        <f t="shared" si="91"/>
        <v>0</v>
      </c>
      <c r="F315" s="218">
        <f t="shared" si="82"/>
        <v>0</v>
      </c>
      <c r="G315" s="218">
        <f t="shared" si="83"/>
        <v>0</v>
      </c>
      <c r="H315" s="218">
        <f t="shared" si="84"/>
        <v>0</v>
      </c>
      <c r="I315" s="218">
        <f t="shared" si="85"/>
        <v>0</v>
      </c>
      <c r="J315" s="218">
        <f t="shared" si="86"/>
        <v>0</v>
      </c>
      <c r="K315" s="218">
        <f t="shared" si="87"/>
        <v>0</v>
      </c>
      <c r="L315" s="192">
        <f t="shared" si="92"/>
        <v>0</v>
      </c>
      <c r="M315" s="211">
        <v>89</v>
      </c>
      <c r="N315" s="211">
        <f>(29.53*1.02)*0.6217*1.0824</f>
        <v>20.268997526448004</v>
      </c>
      <c r="O315" s="211">
        <f>(42.96*1.02)*0.6217*1.0824</f>
        <v>29.487170123136003</v>
      </c>
      <c r="P315" s="211">
        <f>(16.43*1.02)*0.6217*1.0824</f>
        <v>11.277332521488001</v>
      </c>
      <c r="Q315" s="211">
        <f>(12.76*1.02)*0.6217*1.0824</f>
        <v>8.7582935468160006</v>
      </c>
      <c r="R315" s="211">
        <f>(1.27*1.02)*0.6217*1.0824</f>
        <v>0.87171103483200019</v>
      </c>
      <c r="S315" s="211">
        <f>(0.0584*1.02)*0.6217*1.0824</f>
        <v>4.0084979869440006E-2</v>
      </c>
      <c r="T315" s="1850">
        <f t="shared" si="93"/>
        <v>0</v>
      </c>
      <c r="U315" s="1850">
        <f t="shared" si="88"/>
        <v>0</v>
      </c>
      <c r="V315" s="1850">
        <f t="shared" si="88"/>
        <v>0</v>
      </c>
      <c r="W315" s="1850">
        <f t="shared" si="88"/>
        <v>0</v>
      </c>
      <c r="X315" s="1850">
        <f t="shared" si="88"/>
        <v>0</v>
      </c>
      <c r="Y315" s="1850">
        <f t="shared" si="88"/>
        <v>0</v>
      </c>
      <c r="Z315" s="1850">
        <f t="shared" si="89"/>
        <v>0</v>
      </c>
      <c r="AA315" s="2733"/>
    </row>
    <row r="316" spans="1:27" ht="18.75" x14ac:dyDescent="0.25">
      <c r="A316" s="2753"/>
      <c r="B316" s="1849">
        <v>2044</v>
      </c>
      <c r="C316" s="218">
        <f t="shared" si="81"/>
        <v>0</v>
      </c>
      <c r="D316" s="218">
        <f t="shared" si="90"/>
        <v>0</v>
      </c>
      <c r="E316" s="218">
        <f t="shared" si="91"/>
        <v>0</v>
      </c>
      <c r="F316" s="218">
        <f t="shared" si="82"/>
        <v>0</v>
      </c>
      <c r="G316" s="218">
        <f t="shared" si="83"/>
        <v>0</v>
      </c>
      <c r="H316" s="218">
        <f t="shared" si="84"/>
        <v>0</v>
      </c>
      <c r="I316" s="218">
        <f t="shared" si="85"/>
        <v>0</v>
      </c>
      <c r="J316" s="218">
        <f t="shared" si="86"/>
        <v>0</v>
      </c>
      <c r="K316" s="218">
        <f t="shared" si="87"/>
        <v>0</v>
      </c>
      <c r="L316" s="192">
        <f t="shared" si="92"/>
        <v>0</v>
      </c>
      <c r="M316" s="211">
        <v>90</v>
      </c>
      <c r="N316" s="211">
        <f>(29.53*1.02)*0.6095*1.0824</f>
        <v>19.871246569680004</v>
      </c>
      <c r="O316" s="211">
        <f>(42.96*1.02)*0.6095*1.0824</f>
        <v>28.908525317760002</v>
      </c>
      <c r="P316" s="211">
        <f>(16.43*1.02)*0.6095*1.0824</f>
        <v>11.056030516080002</v>
      </c>
      <c r="Q316" s="211">
        <f>(12.76*1.02)*0.6095*1.0824</f>
        <v>8.5864241865600004</v>
      </c>
      <c r="R316" s="211">
        <f>(1.27*1.02)*0.6095*1.0824</f>
        <v>0.85460491512000014</v>
      </c>
      <c r="S316" s="211">
        <f>(0.0584*1.02)*0.6095*1.0824</f>
        <v>3.9298367750400007E-2</v>
      </c>
      <c r="T316" s="1850">
        <f t="shared" si="93"/>
        <v>0</v>
      </c>
      <c r="U316" s="1850">
        <f t="shared" si="88"/>
        <v>0</v>
      </c>
      <c r="V316" s="1850">
        <f t="shared" si="88"/>
        <v>0</v>
      </c>
      <c r="W316" s="1850">
        <f t="shared" si="88"/>
        <v>0</v>
      </c>
      <c r="X316" s="1850">
        <f t="shared" si="88"/>
        <v>0</v>
      </c>
      <c r="Y316" s="1850">
        <f t="shared" si="88"/>
        <v>0</v>
      </c>
      <c r="Z316" s="1850">
        <f t="shared" si="89"/>
        <v>0</v>
      </c>
      <c r="AA316" s="2733"/>
    </row>
    <row r="317" spans="1:27" ht="18.75" x14ac:dyDescent="0.25">
      <c r="A317" s="2753"/>
      <c r="B317" s="1849">
        <v>2045</v>
      </c>
      <c r="C317" s="218">
        <f t="shared" si="81"/>
        <v>0</v>
      </c>
      <c r="D317" s="218">
        <f t="shared" si="90"/>
        <v>0</v>
      </c>
      <c r="E317" s="218">
        <f t="shared" si="91"/>
        <v>0</v>
      </c>
      <c r="F317" s="218">
        <f t="shared" si="82"/>
        <v>0</v>
      </c>
      <c r="G317" s="218">
        <f t="shared" si="83"/>
        <v>0</v>
      </c>
      <c r="H317" s="218">
        <f t="shared" si="84"/>
        <v>0</v>
      </c>
      <c r="I317" s="218">
        <f t="shared" si="85"/>
        <v>0</v>
      </c>
      <c r="J317" s="218">
        <f t="shared" si="86"/>
        <v>0</v>
      </c>
      <c r="K317" s="218">
        <f t="shared" si="87"/>
        <v>0</v>
      </c>
      <c r="L317" s="192">
        <f t="shared" si="92"/>
        <v>0</v>
      </c>
      <c r="M317" s="211">
        <v>92</v>
      </c>
      <c r="N317" s="211">
        <f>(29.53*1.02)*0.5976*1.0824</f>
        <v>19.483276374144001</v>
      </c>
      <c r="O317" s="211">
        <f>(42.96*1.02)*0.5976*1.0824</f>
        <v>28.344109483008001</v>
      </c>
      <c r="P317" s="211">
        <f>(16.43*1.02)*0.5976*1.0824</f>
        <v>10.840170363264003</v>
      </c>
      <c r="Q317" s="211">
        <f>(12.76*1.02)*0.5976*1.0824</f>
        <v>8.4187811220480011</v>
      </c>
      <c r="R317" s="211">
        <f>(1.27*1.02)*0.5976*1.0824</f>
        <v>0.83791943769600008</v>
      </c>
      <c r="S317" s="211">
        <f>(0.0584*1.02)*0.5976*1.0824</f>
        <v>3.8531098552320009E-2</v>
      </c>
      <c r="T317" s="1850">
        <f t="shared" si="93"/>
        <v>0</v>
      </c>
      <c r="U317" s="1850">
        <f t="shared" si="88"/>
        <v>0</v>
      </c>
      <c r="V317" s="1850">
        <f t="shared" si="88"/>
        <v>0</v>
      </c>
      <c r="W317" s="1850">
        <f t="shared" si="88"/>
        <v>0</v>
      </c>
      <c r="X317" s="1850">
        <f t="shared" si="88"/>
        <v>0</v>
      </c>
      <c r="Y317" s="1850">
        <f t="shared" si="88"/>
        <v>0</v>
      </c>
      <c r="Z317" s="1850">
        <f t="shared" si="89"/>
        <v>0</v>
      </c>
      <c r="AA317" s="2733"/>
    </row>
    <row r="318" spans="1:27" ht="18.75" x14ac:dyDescent="0.25">
      <c r="A318" s="2753"/>
      <c r="B318" s="1849">
        <v>2046</v>
      </c>
      <c r="C318" s="218">
        <f t="shared" si="81"/>
        <v>0</v>
      </c>
      <c r="D318" s="218">
        <f t="shared" si="90"/>
        <v>0</v>
      </c>
      <c r="E318" s="218">
        <f t="shared" si="91"/>
        <v>0</v>
      </c>
      <c r="F318" s="218">
        <f t="shared" si="82"/>
        <v>0</v>
      </c>
      <c r="G318" s="218">
        <f t="shared" si="83"/>
        <v>0</v>
      </c>
      <c r="H318" s="218">
        <f t="shared" si="84"/>
        <v>0</v>
      </c>
      <c r="I318" s="218">
        <f t="shared" si="85"/>
        <v>0</v>
      </c>
      <c r="J318" s="218">
        <f t="shared" si="86"/>
        <v>0</v>
      </c>
      <c r="K318" s="218">
        <f t="shared" si="87"/>
        <v>0</v>
      </c>
      <c r="L318" s="192">
        <f t="shared" si="92"/>
        <v>0</v>
      </c>
      <c r="M318" s="211">
        <v>93</v>
      </c>
      <c r="N318" s="211">
        <f>(29.53*1.02)*0.5859*1.0824</f>
        <v>19.101826686096</v>
      </c>
      <c r="O318" s="211">
        <f>(42.96*1.02)*0.5859*1.0824</f>
        <v>27.789179628671999</v>
      </c>
      <c r="P318" s="211">
        <f>(16.43*1.02)*0.5859*1.0824</f>
        <v>10.627938112176002</v>
      </c>
      <c r="Q318" s="211">
        <f>(12.76*1.02)*0.5859*1.0824</f>
        <v>8.2539555880319995</v>
      </c>
      <c r="R318" s="211">
        <f>(1.27*1.02)*0.5859*1.0824</f>
        <v>0.82151438846400004</v>
      </c>
      <c r="S318" s="211">
        <f>(0.0584*1.02)*0.5859*1.0824</f>
        <v>3.777672463488E-2</v>
      </c>
      <c r="T318" s="1850">
        <f t="shared" si="93"/>
        <v>0</v>
      </c>
      <c r="U318" s="1850">
        <f t="shared" si="88"/>
        <v>0</v>
      </c>
      <c r="V318" s="1850">
        <f t="shared" si="88"/>
        <v>0</v>
      </c>
      <c r="W318" s="1850">
        <f t="shared" si="88"/>
        <v>0</v>
      </c>
      <c r="X318" s="1850">
        <f t="shared" si="88"/>
        <v>0</v>
      </c>
      <c r="Y318" s="1850">
        <f t="shared" si="88"/>
        <v>0</v>
      </c>
      <c r="Z318" s="1850">
        <f t="shared" si="89"/>
        <v>0</v>
      </c>
      <c r="AA318" s="2733"/>
    </row>
    <row r="319" spans="1:27" ht="18.75" x14ac:dyDescent="0.25">
      <c r="A319" s="2753"/>
      <c r="B319" s="1849">
        <v>2047</v>
      </c>
      <c r="C319" s="218">
        <f t="shared" si="81"/>
        <v>0</v>
      </c>
      <c r="D319" s="218">
        <f t="shared" si="90"/>
        <v>0</v>
      </c>
      <c r="E319" s="218">
        <f t="shared" si="91"/>
        <v>0</v>
      </c>
      <c r="F319" s="218">
        <f t="shared" si="82"/>
        <v>0</v>
      </c>
      <c r="G319" s="218">
        <f t="shared" si="83"/>
        <v>0</v>
      </c>
      <c r="H319" s="218">
        <f t="shared" si="84"/>
        <v>0</v>
      </c>
      <c r="I319" s="218">
        <f t="shared" si="85"/>
        <v>0</v>
      </c>
      <c r="J319" s="218">
        <f t="shared" si="86"/>
        <v>0</v>
      </c>
      <c r="K319" s="218">
        <f t="shared" si="87"/>
        <v>0</v>
      </c>
      <c r="L319" s="192">
        <f t="shared" si="92"/>
        <v>0</v>
      </c>
      <c r="M319" s="211">
        <v>94</v>
      </c>
      <c r="N319" s="211">
        <f>(29.53*1.02)*0.5744*1.0824</f>
        <v>18.726897505536005</v>
      </c>
      <c r="O319" s="211">
        <f>(42.96*1.02)*0.5744*1.0824</f>
        <v>27.243735754752002</v>
      </c>
      <c r="P319" s="211">
        <f>(16.43*1.02)*0.5744*1.0824</f>
        <v>10.419333762816001</v>
      </c>
      <c r="Q319" s="211">
        <f>(12.76*1.02)*0.5744*1.0824</f>
        <v>8.0919475845120008</v>
      </c>
      <c r="R319" s="211">
        <f>(1.27*1.02)*0.5744*1.0824</f>
        <v>0.80538976742400015</v>
      </c>
      <c r="S319" s="211">
        <f>(0.0584*1.02)*0.5744*1.0824</f>
        <v>3.7035245998080002E-2</v>
      </c>
      <c r="T319" s="1850">
        <f t="shared" si="93"/>
        <v>0</v>
      </c>
      <c r="U319" s="1850">
        <f t="shared" si="88"/>
        <v>0</v>
      </c>
      <c r="V319" s="1850">
        <f t="shared" si="88"/>
        <v>0</v>
      </c>
      <c r="W319" s="1850">
        <f t="shared" si="88"/>
        <v>0</v>
      </c>
      <c r="X319" s="1850">
        <f t="shared" si="88"/>
        <v>0</v>
      </c>
      <c r="Y319" s="1850">
        <f t="shared" si="88"/>
        <v>0</v>
      </c>
      <c r="Z319" s="1850">
        <f t="shared" si="89"/>
        <v>0</v>
      </c>
      <c r="AA319" s="2733"/>
    </row>
    <row r="320" spans="1:27" ht="18.75" x14ac:dyDescent="0.25">
      <c r="A320" s="2753"/>
      <c r="B320" s="1849">
        <v>2048</v>
      </c>
      <c r="C320" s="218">
        <f t="shared" si="81"/>
        <v>0</v>
      </c>
      <c r="D320" s="218">
        <f t="shared" si="90"/>
        <v>0</v>
      </c>
      <c r="E320" s="218">
        <f t="shared" si="91"/>
        <v>0</v>
      </c>
      <c r="F320" s="218">
        <f t="shared" si="82"/>
        <v>0</v>
      </c>
      <c r="G320" s="218">
        <f t="shared" si="83"/>
        <v>0</v>
      </c>
      <c r="H320" s="218">
        <f t="shared" si="84"/>
        <v>0</v>
      </c>
      <c r="I320" s="218">
        <f t="shared" si="85"/>
        <v>0</v>
      </c>
      <c r="J320" s="218">
        <f t="shared" si="86"/>
        <v>0</v>
      </c>
      <c r="K320" s="218">
        <f t="shared" si="87"/>
        <v>0</v>
      </c>
      <c r="L320" s="192">
        <f t="shared" si="92"/>
        <v>0</v>
      </c>
      <c r="M320" s="211">
        <v>95</v>
      </c>
      <c r="N320" s="211">
        <f>(29.53*1.02)*0.5631*1.0824</f>
        <v>18.358488832464005</v>
      </c>
      <c r="O320" s="211">
        <f>(42.96*1.02)*0.5631*1.0824</f>
        <v>26.707777861248005</v>
      </c>
      <c r="P320" s="211">
        <f>(16.43*1.02)*0.5631*1.0824</f>
        <v>10.214357315184001</v>
      </c>
      <c r="Q320" s="211">
        <f>(12.76*1.02)*0.5631*1.0824</f>
        <v>7.9327571114880007</v>
      </c>
      <c r="R320" s="211">
        <f>(1.27*1.02)*0.5631*1.0824</f>
        <v>0.78954557457600016</v>
      </c>
      <c r="S320" s="211">
        <f>(0.0584*1.02)*0.5631*1.0824</f>
        <v>3.6306662641920007E-2</v>
      </c>
      <c r="T320" s="1850">
        <f t="shared" si="93"/>
        <v>0</v>
      </c>
      <c r="U320" s="1850">
        <f t="shared" si="88"/>
        <v>0</v>
      </c>
      <c r="V320" s="1850">
        <f t="shared" si="88"/>
        <v>0</v>
      </c>
      <c r="W320" s="1850">
        <f t="shared" si="88"/>
        <v>0</v>
      </c>
      <c r="X320" s="1850">
        <f t="shared" si="88"/>
        <v>0</v>
      </c>
      <c r="Y320" s="1850">
        <f t="shared" si="88"/>
        <v>0</v>
      </c>
      <c r="Z320" s="1850">
        <f t="shared" si="89"/>
        <v>0</v>
      </c>
      <c r="AA320" s="2733"/>
    </row>
    <row r="321" spans="1:27" ht="18.75" x14ac:dyDescent="0.25">
      <c r="A321" s="2753"/>
      <c r="B321" s="1849">
        <v>2049</v>
      </c>
      <c r="C321" s="218">
        <f t="shared" si="81"/>
        <v>0</v>
      </c>
      <c r="D321" s="218">
        <f t="shared" si="90"/>
        <v>0</v>
      </c>
      <c r="E321" s="218">
        <f t="shared" si="91"/>
        <v>0</v>
      </c>
      <c r="F321" s="218">
        <f t="shared" si="82"/>
        <v>0</v>
      </c>
      <c r="G321" s="218">
        <f t="shared" si="83"/>
        <v>0</v>
      </c>
      <c r="H321" s="218">
        <f t="shared" si="84"/>
        <v>0</v>
      </c>
      <c r="I321" s="218">
        <f t="shared" si="85"/>
        <v>0</v>
      </c>
      <c r="J321" s="218">
        <f t="shared" si="86"/>
        <v>0</v>
      </c>
      <c r="K321" s="218">
        <f t="shared" si="87"/>
        <v>0</v>
      </c>
      <c r="L321" s="192">
        <f t="shared" si="92"/>
        <v>0</v>
      </c>
      <c r="M321" s="211">
        <v>96</v>
      </c>
      <c r="N321" s="211">
        <f>(29.53*1.02)*0.5521*1.0824</f>
        <v>17.999860920624005</v>
      </c>
      <c r="O321" s="211">
        <f>(42.96*1.02)*0.5521*1.0824</f>
        <v>26.186048938368003</v>
      </c>
      <c r="P321" s="211">
        <f>(16.43*1.02)*0.5521*1.0824</f>
        <v>10.014822720144002</v>
      </c>
      <c r="Q321" s="211">
        <f>(12.76*1.02)*0.5521*1.0824</f>
        <v>7.7777929342080014</v>
      </c>
      <c r="R321" s="211">
        <f>(1.27*1.02)*0.5521*1.0824</f>
        <v>0.77412202401600017</v>
      </c>
      <c r="S321" s="211">
        <f>(0.0584*1.02)*0.5521*1.0824</f>
        <v>3.5597422206719999E-2</v>
      </c>
      <c r="T321" s="1850">
        <f t="shared" si="93"/>
        <v>0</v>
      </c>
      <c r="U321" s="1850">
        <f t="shared" si="88"/>
        <v>0</v>
      </c>
      <c r="V321" s="1850">
        <f t="shared" si="88"/>
        <v>0</v>
      </c>
      <c r="W321" s="1850">
        <f t="shared" si="88"/>
        <v>0</v>
      </c>
      <c r="X321" s="1850">
        <f t="shared" si="88"/>
        <v>0</v>
      </c>
      <c r="Y321" s="1850">
        <f t="shared" si="88"/>
        <v>0</v>
      </c>
      <c r="Z321" s="1850">
        <f t="shared" si="89"/>
        <v>0</v>
      </c>
      <c r="AA321" s="2733"/>
    </row>
    <row r="322" spans="1:27" ht="18.75" x14ac:dyDescent="0.25">
      <c r="A322" s="2753"/>
      <c r="B322" s="1849">
        <v>2050</v>
      </c>
      <c r="C322" s="218">
        <f t="shared" si="81"/>
        <v>0</v>
      </c>
      <c r="D322" s="218">
        <f t="shared" si="90"/>
        <v>0</v>
      </c>
      <c r="E322" s="218">
        <f t="shared" si="91"/>
        <v>0</v>
      </c>
      <c r="F322" s="218">
        <f t="shared" si="82"/>
        <v>0</v>
      </c>
      <c r="G322" s="218">
        <f t="shared" si="83"/>
        <v>0</v>
      </c>
      <c r="H322" s="218">
        <f t="shared" si="84"/>
        <v>0</v>
      </c>
      <c r="I322" s="218">
        <f t="shared" si="85"/>
        <v>0</v>
      </c>
      <c r="J322" s="218">
        <f t="shared" si="86"/>
        <v>0</v>
      </c>
      <c r="K322" s="218">
        <f t="shared" si="87"/>
        <v>0</v>
      </c>
      <c r="L322" s="192">
        <f t="shared" si="92"/>
        <v>0</v>
      </c>
      <c r="M322" s="211">
        <v>97</v>
      </c>
      <c r="N322" s="211">
        <f>(29.53*1.02)*0.5412*1.0824</f>
        <v>17.644493262528005</v>
      </c>
      <c r="O322" s="211">
        <f>(42.96*1.02)*0.5412*1.0824</f>
        <v>25.669063005696003</v>
      </c>
      <c r="P322" s="211">
        <f>(16.43*1.02)*0.5412*1.0824</f>
        <v>9.8171020759680019</v>
      </c>
      <c r="Q322" s="211">
        <f>(12.76*1.02)*0.5412*1.0824</f>
        <v>7.624237522176001</v>
      </c>
      <c r="R322" s="211">
        <f>(1.27*1.02)*0.5412*1.0824</f>
        <v>0.75883868755200012</v>
      </c>
      <c r="S322" s="211">
        <f>(0.0584*1.02)*0.5412*1.0824</f>
        <v>3.4894629411840003E-2</v>
      </c>
      <c r="T322" s="1850">
        <f t="shared" si="93"/>
        <v>0</v>
      </c>
      <c r="U322" s="1850">
        <f t="shared" si="88"/>
        <v>0</v>
      </c>
      <c r="V322" s="1850">
        <f t="shared" si="88"/>
        <v>0</v>
      </c>
      <c r="W322" s="1850">
        <f t="shared" si="88"/>
        <v>0</v>
      </c>
      <c r="X322" s="1850">
        <f t="shared" si="88"/>
        <v>0</v>
      </c>
      <c r="Y322" s="1850">
        <f t="shared" si="88"/>
        <v>0</v>
      </c>
      <c r="Z322" s="1850">
        <f t="shared" si="89"/>
        <v>0</v>
      </c>
      <c r="AA322" s="2733"/>
    </row>
    <row r="323" spans="1:27" ht="18.75" x14ac:dyDescent="0.25">
      <c r="A323" s="2753"/>
      <c r="B323" s="1849">
        <v>2051</v>
      </c>
      <c r="C323" s="218">
        <f t="shared" ref="C323:C341" si="94">$S$15</f>
        <v>0</v>
      </c>
      <c r="D323" s="218">
        <f t="shared" si="90"/>
        <v>0</v>
      </c>
      <c r="E323" s="218">
        <f t="shared" si="91"/>
        <v>0</v>
      </c>
      <c r="F323" s="218">
        <f t="shared" ref="F323:F341" si="95">$O$15</f>
        <v>0</v>
      </c>
      <c r="G323" s="218">
        <f t="shared" ref="G323:G341" si="96">$P$15</f>
        <v>0</v>
      </c>
      <c r="H323" s="218">
        <f t="shared" ref="H323:H341" si="97">$N$15</f>
        <v>0</v>
      </c>
      <c r="I323" s="218">
        <f t="shared" ref="I323:I341" si="98">$Q$15</f>
        <v>0</v>
      </c>
      <c r="J323" s="218">
        <f t="shared" ref="J323:J341" si="99">$L$15</f>
        <v>0</v>
      </c>
      <c r="K323" s="218">
        <f t="shared" ref="K323:K341" si="100">$M$15</f>
        <v>0</v>
      </c>
      <c r="L323" s="192">
        <f t="shared" si="92"/>
        <v>0</v>
      </c>
      <c r="M323" s="211">
        <v>97</v>
      </c>
      <c r="N323" s="211">
        <f>(29.53*1.02)*0.5306*1.0824</f>
        <v>17.298906365664003</v>
      </c>
      <c r="O323" s="211">
        <f>(42.96*1.02)*0.5306*1.0824</f>
        <v>25.166306043648003</v>
      </c>
      <c r="P323" s="211">
        <f>(16.43*1.02)*0.5306*1.0824</f>
        <v>9.624823284384</v>
      </c>
      <c r="Q323" s="211">
        <f>(12.76*1.02)*0.5306*1.0824</f>
        <v>7.4749084058879998</v>
      </c>
      <c r="R323" s="211">
        <f>(1.27*1.02)*0.5306*1.0824</f>
        <v>0.74397599337600007</v>
      </c>
      <c r="S323" s="211">
        <f>(0.0584*1.02)*0.5306*1.0824</f>
        <v>3.4211179537920001E-2</v>
      </c>
      <c r="T323" s="1850">
        <f t="shared" si="93"/>
        <v>0</v>
      </c>
      <c r="U323" s="1850">
        <f t="shared" si="88"/>
        <v>0</v>
      </c>
      <c r="V323" s="1850">
        <f t="shared" si="88"/>
        <v>0</v>
      </c>
      <c r="W323" s="1850">
        <f t="shared" si="88"/>
        <v>0</v>
      </c>
      <c r="X323" s="1850">
        <f t="shared" si="88"/>
        <v>0</v>
      </c>
      <c r="Y323" s="1850">
        <f t="shared" si="88"/>
        <v>0</v>
      </c>
      <c r="Z323" s="1850">
        <f t="shared" si="89"/>
        <v>0</v>
      </c>
      <c r="AA323" s="2733"/>
    </row>
    <row r="324" spans="1:27" ht="18.75" x14ac:dyDescent="0.25">
      <c r="A324" s="2753"/>
      <c r="B324" s="1849">
        <v>2052</v>
      </c>
      <c r="C324" s="218">
        <f t="shared" si="94"/>
        <v>0</v>
      </c>
      <c r="D324" s="218">
        <f t="shared" si="90"/>
        <v>0</v>
      </c>
      <c r="E324" s="218">
        <f t="shared" si="91"/>
        <v>0</v>
      </c>
      <c r="F324" s="218">
        <f t="shared" si="95"/>
        <v>0</v>
      </c>
      <c r="G324" s="218">
        <f t="shared" si="96"/>
        <v>0</v>
      </c>
      <c r="H324" s="218">
        <f t="shared" si="97"/>
        <v>0</v>
      </c>
      <c r="I324" s="218">
        <f t="shared" si="98"/>
        <v>0</v>
      </c>
      <c r="J324" s="218">
        <f t="shared" si="99"/>
        <v>0</v>
      </c>
      <c r="K324" s="218">
        <f t="shared" si="100"/>
        <v>0</v>
      </c>
      <c r="L324" s="192">
        <f t="shared" si="92"/>
        <v>0</v>
      </c>
      <c r="M324" s="211">
        <v>97</v>
      </c>
      <c r="N324" s="211">
        <f>(29.53*1.02)*0.5202*1.0824</f>
        <v>16.959839976288002</v>
      </c>
      <c r="O324" s="211">
        <f>(42.96*1.02)*0.5202*1.0824</f>
        <v>24.673035062016002</v>
      </c>
      <c r="P324" s="211">
        <f>(16.43*1.02)*0.5202*1.0824</f>
        <v>9.4361723945280005</v>
      </c>
      <c r="Q324" s="211">
        <f>(12.76*1.02)*0.5202*1.0824</f>
        <v>7.3283968200960006</v>
      </c>
      <c r="R324" s="211">
        <f>(1.27*1.02)*0.5202*1.0824</f>
        <v>0.72939372739200004</v>
      </c>
      <c r="S324" s="211">
        <f>(0.0584*1.02)*0.5202*1.0824</f>
        <v>3.3540624944640003E-2</v>
      </c>
      <c r="T324" s="1850">
        <f t="shared" si="93"/>
        <v>0</v>
      </c>
      <c r="U324" s="1850">
        <f t="shared" si="88"/>
        <v>0</v>
      </c>
      <c r="V324" s="1850">
        <f t="shared" si="88"/>
        <v>0</v>
      </c>
      <c r="W324" s="1850">
        <f t="shared" si="88"/>
        <v>0</v>
      </c>
      <c r="X324" s="1850">
        <f t="shared" si="88"/>
        <v>0</v>
      </c>
      <c r="Y324" s="1850">
        <f t="shared" si="88"/>
        <v>0</v>
      </c>
      <c r="Z324" s="1850">
        <f t="shared" si="89"/>
        <v>0</v>
      </c>
      <c r="AA324" s="2733"/>
    </row>
    <row r="325" spans="1:27" ht="18.75" x14ac:dyDescent="0.25">
      <c r="A325" s="2753"/>
      <c r="B325" s="1849">
        <v>2053</v>
      </c>
      <c r="C325" s="218">
        <f t="shared" si="94"/>
        <v>0</v>
      </c>
      <c r="D325" s="218">
        <f t="shared" si="90"/>
        <v>0</v>
      </c>
      <c r="E325" s="218">
        <f t="shared" si="91"/>
        <v>0</v>
      </c>
      <c r="F325" s="218">
        <f t="shared" si="95"/>
        <v>0</v>
      </c>
      <c r="G325" s="218">
        <f t="shared" si="96"/>
        <v>0</v>
      </c>
      <c r="H325" s="218">
        <f t="shared" si="97"/>
        <v>0</v>
      </c>
      <c r="I325" s="218">
        <f t="shared" si="98"/>
        <v>0</v>
      </c>
      <c r="J325" s="218">
        <f t="shared" si="99"/>
        <v>0</v>
      </c>
      <c r="K325" s="218">
        <f t="shared" si="100"/>
        <v>0</v>
      </c>
      <c r="L325" s="192">
        <f t="shared" si="92"/>
        <v>0</v>
      </c>
      <c r="M325" s="211">
        <v>97</v>
      </c>
      <c r="N325" s="211">
        <f>(29.53*1.02)*0.51*1</f>
        <v>15.361506000000002</v>
      </c>
      <c r="O325" s="211">
        <f>(42.96*1.02)*0.51*1.0824</f>
        <v>24.189250060800003</v>
      </c>
      <c r="P325" s="211">
        <f>(16.43*1.02)*0.51*1.0824</f>
        <v>9.2511494064000015</v>
      </c>
      <c r="Q325" s="211">
        <f>(12.76*1.02)*0.51*1.0824</f>
        <v>7.1847027647999999</v>
      </c>
      <c r="R325" s="211">
        <f>(1.27*1.02)*0.51*1.0824</f>
        <v>0.71509188960000014</v>
      </c>
      <c r="S325" s="211">
        <f>(0.0584*1.02)*0.51*1.0824</f>
        <v>3.2882965632000001E-2</v>
      </c>
      <c r="T325" s="1850">
        <f t="shared" si="93"/>
        <v>0</v>
      </c>
      <c r="U325" s="1850">
        <f t="shared" si="88"/>
        <v>0</v>
      </c>
      <c r="V325" s="1850">
        <f t="shared" si="88"/>
        <v>0</v>
      </c>
      <c r="W325" s="1850">
        <f t="shared" si="88"/>
        <v>0</v>
      </c>
      <c r="X325" s="1850">
        <f t="shared" si="88"/>
        <v>0</v>
      </c>
      <c r="Y325" s="1850">
        <f t="shared" si="88"/>
        <v>0</v>
      </c>
      <c r="Z325" s="1850">
        <f t="shared" si="89"/>
        <v>0</v>
      </c>
      <c r="AA325" s="2733"/>
    </row>
    <row r="326" spans="1:27" ht="18.75" x14ac:dyDescent="0.25">
      <c r="A326" s="2753"/>
      <c r="B326" s="1849">
        <v>2054</v>
      </c>
      <c r="C326" s="218">
        <f t="shared" si="94"/>
        <v>0</v>
      </c>
      <c r="D326" s="218">
        <f t="shared" si="90"/>
        <v>0</v>
      </c>
      <c r="E326" s="218">
        <f t="shared" si="91"/>
        <v>0</v>
      </c>
      <c r="F326" s="218">
        <f t="shared" si="95"/>
        <v>0</v>
      </c>
      <c r="G326" s="218">
        <f t="shared" si="96"/>
        <v>0</v>
      </c>
      <c r="H326" s="218">
        <f t="shared" si="97"/>
        <v>0</v>
      </c>
      <c r="I326" s="218">
        <f t="shared" si="98"/>
        <v>0</v>
      </c>
      <c r="J326" s="218">
        <f t="shared" si="99"/>
        <v>0</v>
      </c>
      <c r="K326" s="218">
        <f t="shared" si="100"/>
        <v>0</v>
      </c>
      <c r="L326" s="192">
        <f t="shared" si="92"/>
        <v>0</v>
      </c>
      <c r="M326" s="211">
        <v>97</v>
      </c>
      <c r="N326" s="211">
        <f>(29.53*1.02)*0.5*1.0824</f>
        <v>16.301268720000003</v>
      </c>
      <c r="O326" s="211">
        <f>(42.96*1.02)*0.5*1.0824</f>
        <v>23.714951040000003</v>
      </c>
      <c r="P326" s="211">
        <f>(16.43*1.02)*0.5*1.0824</f>
        <v>9.0697543200000013</v>
      </c>
      <c r="Q326" s="211">
        <f>(12.76*1.02)*0.5*1.0824</f>
        <v>7.0438262400000005</v>
      </c>
      <c r="R326" s="211">
        <f>(1.27*1.02)*0.5*1.0824</f>
        <v>0.70107048000000005</v>
      </c>
      <c r="S326" s="211">
        <f>(0.0584*1.02)*0.5*1.0824</f>
        <v>3.2238201600000002E-2</v>
      </c>
      <c r="T326" s="1850">
        <f t="shared" si="93"/>
        <v>0</v>
      </c>
      <c r="U326" s="1850">
        <f t="shared" si="88"/>
        <v>0</v>
      </c>
      <c r="V326" s="1850">
        <f t="shared" si="88"/>
        <v>0</v>
      </c>
      <c r="W326" s="1850">
        <f t="shared" si="88"/>
        <v>0</v>
      </c>
      <c r="X326" s="1850">
        <f t="shared" si="88"/>
        <v>0</v>
      </c>
      <c r="Y326" s="1850">
        <f t="shared" si="88"/>
        <v>0</v>
      </c>
      <c r="Z326" s="1850">
        <f t="shared" si="89"/>
        <v>0</v>
      </c>
      <c r="AA326" s="2733"/>
    </row>
    <row r="327" spans="1:27" ht="18.75" x14ac:dyDescent="0.25">
      <c r="A327" s="2753"/>
      <c r="B327" s="1849">
        <v>2055</v>
      </c>
      <c r="C327" s="218">
        <f t="shared" si="94"/>
        <v>0</v>
      </c>
      <c r="D327" s="218">
        <f t="shared" si="90"/>
        <v>0</v>
      </c>
      <c r="E327" s="218">
        <f t="shared" si="91"/>
        <v>0</v>
      </c>
      <c r="F327" s="218">
        <f t="shared" si="95"/>
        <v>0</v>
      </c>
      <c r="G327" s="218">
        <f t="shared" si="96"/>
        <v>0</v>
      </c>
      <c r="H327" s="218">
        <f t="shared" si="97"/>
        <v>0</v>
      </c>
      <c r="I327" s="218">
        <f t="shared" si="98"/>
        <v>0</v>
      </c>
      <c r="J327" s="218">
        <f t="shared" si="99"/>
        <v>0</v>
      </c>
      <c r="K327" s="218">
        <f t="shared" si="100"/>
        <v>0</v>
      </c>
      <c r="L327" s="192">
        <f t="shared" si="92"/>
        <v>0</v>
      </c>
      <c r="M327" s="211">
        <v>97</v>
      </c>
      <c r="N327" s="211">
        <f>(29.53*1.02)*0.4902*1.0824</f>
        <v>15.981763853088003</v>
      </c>
      <c r="O327" s="211">
        <f>(42.96*1.02)*0.4902*1.0824</f>
        <v>23.250137999616001</v>
      </c>
      <c r="P327" s="211">
        <f>(16.43*1.02)*0.4902*1.0824</f>
        <v>8.8919871353280016</v>
      </c>
      <c r="Q327" s="211">
        <f>(12.76*1.02)*0.4902*1.0824</f>
        <v>6.9057672456960004</v>
      </c>
      <c r="R327" s="211">
        <f>(1.27*1.02)*0.4902*1.0824</f>
        <v>0.6873294985920001</v>
      </c>
      <c r="S327" s="211">
        <f>(0.0584*1.02)*0.4902*1.0824</f>
        <v>3.1606332848640006E-2</v>
      </c>
      <c r="T327" s="1850">
        <f t="shared" si="93"/>
        <v>0</v>
      </c>
      <c r="U327" s="1850">
        <f t="shared" si="88"/>
        <v>0</v>
      </c>
      <c r="V327" s="1850">
        <f t="shared" si="88"/>
        <v>0</v>
      </c>
      <c r="W327" s="1850">
        <f t="shared" si="88"/>
        <v>0</v>
      </c>
      <c r="X327" s="1850">
        <f t="shared" si="88"/>
        <v>0</v>
      </c>
      <c r="Y327" s="1850">
        <f t="shared" si="88"/>
        <v>0</v>
      </c>
      <c r="Z327" s="1850">
        <f t="shared" si="89"/>
        <v>0</v>
      </c>
      <c r="AA327" s="2733"/>
    </row>
    <row r="328" spans="1:27" ht="18.75" x14ac:dyDescent="0.25">
      <c r="A328" s="2753"/>
      <c r="B328" s="1849">
        <v>2056</v>
      </c>
      <c r="C328" s="218">
        <f t="shared" si="94"/>
        <v>0</v>
      </c>
      <c r="D328" s="218">
        <f t="shared" si="90"/>
        <v>0</v>
      </c>
      <c r="E328" s="218">
        <f t="shared" si="91"/>
        <v>0</v>
      </c>
      <c r="F328" s="218">
        <f t="shared" si="95"/>
        <v>0</v>
      </c>
      <c r="G328" s="218">
        <f t="shared" si="96"/>
        <v>0</v>
      </c>
      <c r="H328" s="218">
        <f t="shared" si="97"/>
        <v>0</v>
      </c>
      <c r="I328" s="218">
        <f t="shared" si="98"/>
        <v>0</v>
      </c>
      <c r="J328" s="218">
        <f t="shared" si="99"/>
        <v>0</v>
      </c>
      <c r="K328" s="218">
        <f t="shared" si="100"/>
        <v>0</v>
      </c>
      <c r="L328" s="192">
        <f t="shared" si="92"/>
        <v>0</v>
      </c>
      <c r="M328" s="211">
        <v>97</v>
      </c>
      <c r="N328" s="211">
        <f>(29.53*1.02)*0.4806*1.0824</f>
        <v>15.668779493664003</v>
      </c>
      <c r="O328" s="211">
        <f>(42.96*1.02)*0.4806*1.0824</f>
        <v>22.794810939648006</v>
      </c>
      <c r="P328" s="211">
        <f>(16.43*1.02)*0.4806*1.0824</f>
        <v>8.7178478523840006</v>
      </c>
      <c r="Q328" s="211">
        <f>(12.76*1.02)*0.4806*1.0824</f>
        <v>6.7705257818880007</v>
      </c>
      <c r="R328" s="211">
        <f>(1.27*1.02)*0.4806*1.0824</f>
        <v>0.67386894537600017</v>
      </c>
      <c r="S328" s="211">
        <f>(0.0584*1.02)*0.4806*1.0824</f>
        <v>3.0987359377920003E-2</v>
      </c>
      <c r="T328" s="1850">
        <f t="shared" si="93"/>
        <v>0</v>
      </c>
      <c r="U328" s="1850">
        <f t="shared" si="88"/>
        <v>0</v>
      </c>
      <c r="V328" s="1850">
        <f t="shared" si="88"/>
        <v>0</v>
      </c>
      <c r="W328" s="1850">
        <f t="shared" si="88"/>
        <v>0</v>
      </c>
      <c r="X328" s="1850">
        <f t="shared" si="88"/>
        <v>0</v>
      </c>
      <c r="Y328" s="1850">
        <f t="shared" si="88"/>
        <v>0</v>
      </c>
      <c r="Z328" s="1850">
        <f t="shared" si="89"/>
        <v>0</v>
      </c>
      <c r="AA328" s="2733"/>
    </row>
    <row r="329" spans="1:27" ht="18.75" x14ac:dyDescent="0.25">
      <c r="A329" s="2753"/>
      <c r="B329" s="1849">
        <v>2057</v>
      </c>
      <c r="C329" s="218">
        <f t="shared" si="94"/>
        <v>0</v>
      </c>
      <c r="D329" s="218">
        <f t="shared" si="90"/>
        <v>0</v>
      </c>
      <c r="E329" s="218">
        <f t="shared" si="91"/>
        <v>0</v>
      </c>
      <c r="F329" s="218">
        <f t="shared" si="95"/>
        <v>0</v>
      </c>
      <c r="G329" s="218">
        <f t="shared" si="96"/>
        <v>0</v>
      </c>
      <c r="H329" s="218">
        <f t="shared" si="97"/>
        <v>0</v>
      </c>
      <c r="I329" s="218">
        <f t="shared" si="98"/>
        <v>0</v>
      </c>
      <c r="J329" s="218">
        <f t="shared" si="99"/>
        <v>0</v>
      </c>
      <c r="K329" s="218">
        <f t="shared" si="100"/>
        <v>0</v>
      </c>
      <c r="L329" s="192">
        <f t="shared" si="92"/>
        <v>0</v>
      </c>
      <c r="M329" s="211">
        <v>97</v>
      </c>
      <c r="N329" s="211">
        <f>(29.53*1.02)*0.4712*1.0824</f>
        <v>15.362315641728001</v>
      </c>
      <c r="O329" s="211">
        <f>(42.96*1.02)*0.4712*1.0824</f>
        <v>22.348969860096002</v>
      </c>
      <c r="P329" s="211">
        <f>(16.43*1.02)*0.4712*1.0824</f>
        <v>8.547336471168002</v>
      </c>
      <c r="Q329" s="211">
        <f>(12.76*1.02)*0.4712*1.0824</f>
        <v>6.6381018485760004</v>
      </c>
      <c r="R329" s="211">
        <f>(1.27*1.02)*0.4712*1.0824</f>
        <v>0.66068882035200005</v>
      </c>
      <c r="S329" s="211">
        <f>(0.0584*1.02)*0.4712*1.0824</f>
        <v>3.038128118784E-2</v>
      </c>
      <c r="T329" s="1850">
        <f t="shared" si="93"/>
        <v>0</v>
      </c>
      <c r="U329" s="1850">
        <f t="shared" si="88"/>
        <v>0</v>
      </c>
      <c r="V329" s="1850">
        <f t="shared" si="88"/>
        <v>0</v>
      </c>
      <c r="W329" s="1850">
        <f t="shared" si="88"/>
        <v>0</v>
      </c>
      <c r="X329" s="1850">
        <f t="shared" si="88"/>
        <v>0</v>
      </c>
      <c r="Y329" s="1850">
        <f t="shared" si="88"/>
        <v>0</v>
      </c>
      <c r="Z329" s="1850">
        <f t="shared" si="89"/>
        <v>0</v>
      </c>
      <c r="AA329" s="2733"/>
    </row>
    <row r="330" spans="1:27" ht="18.75" x14ac:dyDescent="0.25">
      <c r="A330" s="2753"/>
      <c r="B330" s="1849">
        <v>2058</v>
      </c>
      <c r="C330" s="218">
        <f t="shared" si="94"/>
        <v>0</v>
      </c>
      <c r="D330" s="218">
        <f t="shared" si="90"/>
        <v>0</v>
      </c>
      <c r="E330" s="218">
        <f t="shared" si="91"/>
        <v>0</v>
      </c>
      <c r="F330" s="218">
        <f t="shared" si="95"/>
        <v>0</v>
      </c>
      <c r="G330" s="218">
        <f t="shared" si="96"/>
        <v>0</v>
      </c>
      <c r="H330" s="218">
        <f t="shared" si="97"/>
        <v>0</v>
      </c>
      <c r="I330" s="218">
        <f t="shared" si="98"/>
        <v>0</v>
      </c>
      <c r="J330" s="218">
        <f t="shared" si="99"/>
        <v>0</v>
      </c>
      <c r="K330" s="218">
        <f t="shared" si="100"/>
        <v>0</v>
      </c>
      <c r="L330" s="192">
        <f t="shared" si="92"/>
        <v>0</v>
      </c>
      <c r="M330" s="211">
        <v>97</v>
      </c>
      <c r="N330" s="211">
        <f>(29.53*1.02)*0.4619*1.0824</f>
        <v>15.059112043536</v>
      </c>
      <c r="O330" s="211">
        <f>(42.96*1.02)*0.4619*1.0824</f>
        <v>21.907871770752003</v>
      </c>
      <c r="P330" s="211">
        <f>(16.43*1.02)*0.4619*1.0824</f>
        <v>8.378639040816001</v>
      </c>
      <c r="Q330" s="211">
        <f>(12.76*1.02)*0.4619*1.0824</f>
        <v>6.5070866805119998</v>
      </c>
      <c r="R330" s="211">
        <f>(1.27*1.02)*0.4619*1.0824</f>
        <v>0.647648909424</v>
      </c>
      <c r="S330" s="211">
        <f>(0.0584*1.02)*0.4619*1.0824</f>
        <v>2.9781650638080002E-2</v>
      </c>
      <c r="T330" s="1850">
        <f t="shared" si="93"/>
        <v>0</v>
      </c>
      <c r="U330" s="1850">
        <f t="shared" si="88"/>
        <v>0</v>
      </c>
      <c r="V330" s="1850">
        <f t="shared" si="88"/>
        <v>0</v>
      </c>
      <c r="W330" s="1850">
        <f t="shared" si="88"/>
        <v>0</v>
      </c>
      <c r="X330" s="1850">
        <f t="shared" si="88"/>
        <v>0</v>
      </c>
      <c r="Y330" s="1850">
        <f t="shared" si="88"/>
        <v>0</v>
      </c>
      <c r="Z330" s="1850">
        <f t="shared" si="89"/>
        <v>0</v>
      </c>
      <c r="AA330" s="2733"/>
    </row>
    <row r="331" spans="1:27" ht="18.75" x14ac:dyDescent="0.25">
      <c r="A331" s="2753"/>
      <c r="B331" s="1849">
        <v>2059</v>
      </c>
      <c r="C331" s="218">
        <f t="shared" si="94"/>
        <v>0</v>
      </c>
      <c r="D331" s="218">
        <f t="shared" si="90"/>
        <v>0</v>
      </c>
      <c r="E331" s="218">
        <f t="shared" si="91"/>
        <v>0</v>
      </c>
      <c r="F331" s="218">
        <f t="shared" si="95"/>
        <v>0</v>
      </c>
      <c r="G331" s="218">
        <f t="shared" si="96"/>
        <v>0</v>
      </c>
      <c r="H331" s="218">
        <f t="shared" si="97"/>
        <v>0</v>
      </c>
      <c r="I331" s="218">
        <f t="shared" si="98"/>
        <v>0</v>
      </c>
      <c r="J331" s="218">
        <f t="shared" si="99"/>
        <v>0</v>
      </c>
      <c r="K331" s="218">
        <f t="shared" si="100"/>
        <v>0</v>
      </c>
      <c r="L331" s="192">
        <f t="shared" si="92"/>
        <v>0</v>
      </c>
      <c r="M331" s="211">
        <v>97</v>
      </c>
      <c r="N331" s="211">
        <f>(29.53*1.02)*0.4529*1.0824</f>
        <v>14.765689206576004</v>
      </c>
      <c r="O331" s="211">
        <f>(42.96*1.02)*0.4529*1.0824</f>
        <v>21.481002652032004</v>
      </c>
      <c r="P331" s="211">
        <f>(16.43*1.02)*0.4529*1.0824</f>
        <v>8.2153834630560016</v>
      </c>
      <c r="Q331" s="211">
        <f>(12.76*1.02)*0.4529*1.0824</f>
        <v>6.380297808192001</v>
      </c>
      <c r="R331" s="211">
        <f>(1.27*1.02)*0.4529*1.0824</f>
        <v>0.63502964078400004</v>
      </c>
      <c r="S331" s="211">
        <f>(0.0584*1.02)*0.4529*1.0824</f>
        <v>2.9201363009280005E-2</v>
      </c>
      <c r="T331" s="1850">
        <f t="shared" si="93"/>
        <v>0</v>
      </c>
      <c r="U331" s="1850">
        <f t="shared" si="88"/>
        <v>0</v>
      </c>
      <c r="V331" s="1850">
        <f t="shared" si="88"/>
        <v>0</v>
      </c>
      <c r="W331" s="1850">
        <f t="shared" si="88"/>
        <v>0</v>
      </c>
      <c r="X331" s="1850">
        <f t="shared" si="88"/>
        <v>0</v>
      </c>
      <c r="Y331" s="1850">
        <f t="shared" si="88"/>
        <v>0</v>
      </c>
      <c r="Z331" s="1850">
        <f t="shared" si="89"/>
        <v>0</v>
      </c>
      <c r="AA331" s="2733"/>
    </row>
    <row r="332" spans="1:27" ht="18.75" x14ac:dyDescent="0.25">
      <c r="A332" s="2753"/>
      <c r="B332" s="1849">
        <v>2060</v>
      </c>
      <c r="C332" s="218">
        <f t="shared" si="94"/>
        <v>0</v>
      </c>
      <c r="D332" s="218">
        <f t="shared" si="90"/>
        <v>0</v>
      </c>
      <c r="E332" s="218">
        <f t="shared" si="91"/>
        <v>0</v>
      </c>
      <c r="F332" s="218">
        <f t="shared" si="95"/>
        <v>0</v>
      </c>
      <c r="G332" s="218">
        <f t="shared" si="96"/>
        <v>0</v>
      </c>
      <c r="H332" s="218">
        <f t="shared" si="97"/>
        <v>0</v>
      </c>
      <c r="I332" s="218">
        <f t="shared" si="98"/>
        <v>0</v>
      </c>
      <c r="J332" s="218">
        <f t="shared" si="99"/>
        <v>0</v>
      </c>
      <c r="K332" s="218">
        <f t="shared" si="100"/>
        <v>0</v>
      </c>
      <c r="L332" s="192">
        <f t="shared" si="92"/>
        <v>0</v>
      </c>
      <c r="M332" s="211">
        <v>97</v>
      </c>
      <c r="N332" s="211">
        <f>(29.53*1.02)*0.444*1.0824</f>
        <v>14.475526623360002</v>
      </c>
      <c r="O332" s="211">
        <f>(42.96*1.02)*0.444*1.0824</f>
        <v>21.058876523520002</v>
      </c>
      <c r="P332" s="211">
        <f>(16.43*1.02)*0.444*1.0824</f>
        <v>8.0539418361599999</v>
      </c>
      <c r="Q332" s="211">
        <f>(12.76*1.02)*0.444*1.0824</f>
        <v>6.2549177011200001</v>
      </c>
      <c r="R332" s="211">
        <f>(1.27*1.02)*0.444*1.0824</f>
        <v>0.62255058624000004</v>
      </c>
      <c r="S332" s="211">
        <f>(0.0584*1.02)*0.444*1.0824</f>
        <v>2.8627523020800003E-2</v>
      </c>
      <c r="T332" s="1850">
        <f t="shared" si="93"/>
        <v>0</v>
      </c>
      <c r="U332" s="1850">
        <f t="shared" si="88"/>
        <v>0</v>
      </c>
      <c r="V332" s="1850">
        <f t="shared" si="88"/>
        <v>0</v>
      </c>
      <c r="W332" s="1850">
        <f t="shared" si="88"/>
        <v>0</v>
      </c>
      <c r="X332" s="1850">
        <f t="shared" si="88"/>
        <v>0</v>
      </c>
      <c r="Y332" s="1850">
        <f t="shared" si="88"/>
        <v>0</v>
      </c>
      <c r="Z332" s="1850">
        <f t="shared" si="89"/>
        <v>0</v>
      </c>
      <c r="AA332" s="2733"/>
    </row>
    <row r="333" spans="1:27" ht="18.75" x14ac:dyDescent="0.25">
      <c r="A333" s="2753"/>
      <c r="B333" s="1849">
        <v>2061</v>
      </c>
      <c r="C333" s="218">
        <f t="shared" si="94"/>
        <v>0</v>
      </c>
      <c r="D333" s="218">
        <f t="shared" si="90"/>
        <v>0</v>
      </c>
      <c r="E333" s="218">
        <f t="shared" si="91"/>
        <v>0</v>
      </c>
      <c r="F333" s="218">
        <f t="shared" si="95"/>
        <v>0</v>
      </c>
      <c r="G333" s="218">
        <f t="shared" si="96"/>
        <v>0</v>
      </c>
      <c r="H333" s="218">
        <f t="shared" si="97"/>
        <v>0</v>
      </c>
      <c r="I333" s="218">
        <f t="shared" si="98"/>
        <v>0</v>
      </c>
      <c r="J333" s="218">
        <f t="shared" si="99"/>
        <v>0</v>
      </c>
      <c r="K333" s="218">
        <f t="shared" si="100"/>
        <v>0</v>
      </c>
      <c r="L333" s="192">
        <f t="shared" si="92"/>
        <v>0</v>
      </c>
      <c r="M333" s="211">
        <v>97</v>
      </c>
      <c r="N333" s="211">
        <f>(29.53*1.02)*0.4353*1.0824</f>
        <v>14.191884547632004</v>
      </c>
      <c r="O333" s="211">
        <f>(42.96*1.02)*0.4353*1.0824</f>
        <v>20.646236375424003</v>
      </c>
      <c r="P333" s="211">
        <f>(16.43*1.02)*0.4353*1.0824</f>
        <v>7.8961281109920014</v>
      </c>
      <c r="Q333" s="211">
        <f>(12.76*1.02)*0.4353*1.0824</f>
        <v>6.1323551245440004</v>
      </c>
      <c r="R333" s="211">
        <f>(1.27*1.02)*0.4353*1.0824</f>
        <v>0.61035195988800006</v>
      </c>
      <c r="S333" s="211">
        <f>(0.0584*1.02)*0.4353*1.0824</f>
        <v>2.8066578312960003E-2</v>
      </c>
      <c r="T333" s="1850">
        <f t="shared" si="93"/>
        <v>0</v>
      </c>
      <c r="U333" s="1850">
        <f t="shared" si="88"/>
        <v>0</v>
      </c>
      <c r="V333" s="1850">
        <f t="shared" si="88"/>
        <v>0</v>
      </c>
      <c r="W333" s="1850">
        <f t="shared" si="88"/>
        <v>0</v>
      </c>
      <c r="X333" s="1850">
        <f t="shared" si="88"/>
        <v>0</v>
      </c>
      <c r="Y333" s="1850">
        <f t="shared" si="88"/>
        <v>0</v>
      </c>
      <c r="Z333" s="1850">
        <f t="shared" si="89"/>
        <v>0</v>
      </c>
      <c r="AA333" s="2733"/>
    </row>
    <row r="334" spans="1:27" ht="18.75" x14ac:dyDescent="0.25">
      <c r="A334" s="2753"/>
      <c r="B334" s="1849">
        <v>2062</v>
      </c>
      <c r="C334" s="218">
        <f t="shared" si="94"/>
        <v>0</v>
      </c>
      <c r="D334" s="218">
        <f t="shared" si="90"/>
        <v>0</v>
      </c>
      <c r="E334" s="218">
        <f t="shared" si="91"/>
        <v>0</v>
      </c>
      <c r="F334" s="218">
        <f t="shared" si="95"/>
        <v>0</v>
      </c>
      <c r="G334" s="218">
        <f t="shared" si="96"/>
        <v>0</v>
      </c>
      <c r="H334" s="218">
        <f t="shared" si="97"/>
        <v>0</v>
      </c>
      <c r="I334" s="218">
        <f t="shared" si="98"/>
        <v>0</v>
      </c>
      <c r="J334" s="218">
        <f t="shared" si="99"/>
        <v>0</v>
      </c>
      <c r="K334" s="218">
        <f t="shared" si="100"/>
        <v>0</v>
      </c>
      <c r="L334" s="192">
        <f t="shared" si="92"/>
        <v>0</v>
      </c>
      <c r="M334" s="211">
        <v>97</v>
      </c>
      <c r="N334" s="211">
        <f>(29.53*1.02)*0.4268*1.0824</f>
        <v>13.914762979392002</v>
      </c>
      <c r="O334" s="211">
        <f>(42.96*1.02)*0.4268*1.0824</f>
        <v>20.243082207744003</v>
      </c>
      <c r="P334" s="211">
        <f>(16.43*1.02)*0.4268*1.0824</f>
        <v>7.7419422875520008</v>
      </c>
      <c r="Q334" s="211">
        <f>(12.76*1.02)*0.4268*1.0824</f>
        <v>6.0126100784640002</v>
      </c>
      <c r="R334" s="211">
        <f>(1.27*1.02)*0.4268*1.0824</f>
        <v>0.59843376172800011</v>
      </c>
      <c r="S334" s="211">
        <f>(0.0584*1.02)*0.4268*1.0824</f>
        <v>2.7518528885760004E-2</v>
      </c>
      <c r="T334" s="1850">
        <f t="shared" si="93"/>
        <v>0</v>
      </c>
      <c r="U334" s="1850">
        <f t="shared" si="88"/>
        <v>0</v>
      </c>
      <c r="V334" s="1850">
        <f t="shared" si="88"/>
        <v>0</v>
      </c>
      <c r="W334" s="1850">
        <f t="shared" si="88"/>
        <v>0</v>
      </c>
      <c r="X334" s="1850">
        <f t="shared" si="88"/>
        <v>0</v>
      </c>
      <c r="Y334" s="1850">
        <f t="shared" si="88"/>
        <v>0</v>
      </c>
      <c r="Z334" s="1850">
        <f t="shared" si="89"/>
        <v>0</v>
      </c>
      <c r="AA334" s="2733"/>
    </row>
    <row r="335" spans="1:27" ht="18.75" x14ac:dyDescent="0.25">
      <c r="A335" s="2753"/>
      <c r="B335" s="1849">
        <v>2063</v>
      </c>
      <c r="C335" s="218">
        <f t="shared" si="94"/>
        <v>0</v>
      </c>
      <c r="D335" s="218">
        <f t="shared" si="90"/>
        <v>0</v>
      </c>
      <c r="E335" s="218">
        <f t="shared" si="91"/>
        <v>0</v>
      </c>
      <c r="F335" s="218">
        <f t="shared" si="95"/>
        <v>0</v>
      </c>
      <c r="G335" s="218">
        <f t="shared" si="96"/>
        <v>0</v>
      </c>
      <c r="H335" s="218">
        <f t="shared" si="97"/>
        <v>0</v>
      </c>
      <c r="I335" s="218">
        <f t="shared" si="98"/>
        <v>0</v>
      </c>
      <c r="J335" s="218">
        <f t="shared" si="99"/>
        <v>0</v>
      </c>
      <c r="K335" s="218">
        <f t="shared" si="100"/>
        <v>0</v>
      </c>
      <c r="L335" s="192">
        <f t="shared" si="92"/>
        <v>0</v>
      </c>
      <c r="M335" s="211">
        <v>97</v>
      </c>
      <c r="N335" s="211">
        <f>(29.53*1.02)*0.4184*1.0824</f>
        <v>13.640901664896001</v>
      </c>
      <c r="O335" s="211">
        <f>(42.96*1.02)*0.4184*1.0824</f>
        <v>19.844671030272</v>
      </c>
      <c r="P335" s="211">
        <f>(16.43*1.02)*0.4184*1.0824</f>
        <v>7.5895704149760004</v>
      </c>
      <c r="Q335" s="211">
        <f>(12.76*1.02)*0.4184*1.0824</f>
        <v>5.8942737976319997</v>
      </c>
      <c r="R335" s="211">
        <f>(1.27*1.02)*0.4184*1.0824</f>
        <v>0.58665577766400001</v>
      </c>
      <c r="S335" s="211">
        <f>(0.0584*1.02)*0.4184*1.0824</f>
        <v>2.6976927098879999E-2</v>
      </c>
      <c r="T335" s="1850">
        <f t="shared" si="93"/>
        <v>0</v>
      </c>
      <c r="U335" s="1850">
        <f t="shared" si="88"/>
        <v>0</v>
      </c>
      <c r="V335" s="1850">
        <f t="shared" si="88"/>
        <v>0</v>
      </c>
      <c r="W335" s="1850">
        <f t="shared" si="88"/>
        <v>0</v>
      </c>
      <c r="X335" s="1850">
        <f t="shared" si="88"/>
        <v>0</v>
      </c>
      <c r="Y335" s="1850">
        <f t="shared" si="88"/>
        <v>0</v>
      </c>
      <c r="Z335" s="1850">
        <f t="shared" si="89"/>
        <v>0</v>
      </c>
      <c r="AA335" s="2733"/>
    </row>
    <row r="336" spans="1:27" ht="18.75" x14ac:dyDescent="0.25">
      <c r="A336" s="2753"/>
      <c r="B336" s="1849">
        <v>2064</v>
      </c>
      <c r="C336" s="218">
        <f t="shared" si="94"/>
        <v>0</v>
      </c>
      <c r="D336" s="218">
        <f t="shared" si="90"/>
        <v>0</v>
      </c>
      <c r="E336" s="218">
        <f t="shared" si="91"/>
        <v>0</v>
      </c>
      <c r="F336" s="218">
        <f t="shared" si="95"/>
        <v>0</v>
      </c>
      <c r="G336" s="218">
        <f t="shared" si="96"/>
        <v>0</v>
      </c>
      <c r="H336" s="218">
        <f t="shared" si="97"/>
        <v>0</v>
      </c>
      <c r="I336" s="218">
        <f t="shared" si="98"/>
        <v>0</v>
      </c>
      <c r="J336" s="218">
        <f t="shared" si="99"/>
        <v>0</v>
      </c>
      <c r="K336" s="218">
        <f t="shared" si="100"/>
        <v>0</v>
      </c>
      <c r="L336" s="192">
        <f t="shared" si="92"/>
        <v>0</v>
      </c>
      <c r="M336" s="211">
        <v>97</v>
      </c>
      <c r="N336" s="211">
        <f>(29.53*1.02)*0.4102*1.0824</f>
        <v>13.373560857888002</v>
      </c>
      <c r="O336" s="211">
        <f>(42.96*1.02)*0.4102*1.0824</f>
        <v>19.455745833216003</v>
      </c>
      <c r="P336" s="211">
        <f>(16.43*1.02)*0.4102*1.0824</f>
        <v>7.4408264441280014</v>
      </c>
      <c r="Q336" s="211">
        <f>(12.76*1.02)*0.4102*1.0824</f>
        <v>5.7787550472960003</v>
      </c>
      <c r="R336" s="211">
        <f>(1.27*1.02)*0.4102*1.0824</f>
        <v>0.57515822179200005</v>
      </c>
      <c r="S336" s="211">
        <f>(0.0584*1.02)*0.4102*1.0824</f>
        <v>2.6448220592640001E-2</v>
      </c>
      <c r="T336" s="1850">
        <f t="shared" si="93"/>
        <v>0</v>
      </c>
      <c r="U336" s="1850">
        <f t="shared" si="88"/>
        <v>0</v>
      </c>
      <c r="V336" s="1850">
        <f t="shared" si="88"/>
        <v>0</v>
      </c>
      <c r="W336" s="1850">
        <f t="shared" si="88"/>
        <v>0</v>
      </c>
      <c r="X336" s="1850">
        <f t="shared" si="88"/>
        <v>0</v>
      </c>
      <c r="Y336" s="1850">
        <f t="shared" si="88"/>
        <v>0</v>
      </c>
      <c r="Z336" s="1850">
        <f t="shared" si="89"/>
        <v>0</v>
      </c>
      <c r="AA336" s="2733"/>
    </row>
    <row r="337" spans="1:27" ht="18.75" x14ac:dyDescent="0.25">
      <c r="A337" s="2753"/>
      <c r="B337" s="1849">
        <v>2065</v>
      </c>
      <c r="C337" s="218">
        <f t="shared" si="94"/>
        <v>0</v>
      </c>
      <c r="D337" s="218">
        <f t="shared" si="90"/>
        <v>0</v>
      </c>
      <c r="E337" s="218">
        <f t="shared" si="91"/>
        <v>0</v>
      </c>
      <c r="F337" s="218">
        <f t="shared" si="95"/>
        <v>0</v>
      </c>
      <c r="G337" s="218">
        <f t="shared" si="96"/>
        <v>0</v>
      </c>
      <c r="H337" s="218">
        <f t="shared" si="97"/>
        <v>0</v>
      </c>
      <c r="I337" s="218">
        <f t="shared" si="98"/>
        <v>0</v>
      </c>
      <c r="J337" s="218">
        <f t="shared" si="99"/>
        <v>0</v>
      </c>
      <c r="K337" s="218">
        <f t="shared" si="100"/>
        <v>0</v>
      </c>
      <c r="L337" s="192">
        <f t="shared" si="92"/>
        <v>0</v>
      </c>
      <c r="M337" s="211">
        <v>97</v>
      </c>
      <c r="N337" s="211">
        <f>(29.53*1.02)*0.4022*1.0824</f>
        <v>13.112740558368001</v>
      </c>
      <c r="O337" s="211">
        <f>(42.96*1.02)*0.4022*1.0824</f>
        <v>19.076306616576002</v>
      </c>
      <c r="P337" s="211">
        <f>(16.43*1.02)*0.4022*1.0824</f>
        <v>7.2957103750080003</v>
      </c>
      <c r="Q337" s="211">
        <f>(12.76*1.02)*0.4022*1.0824</f>
        <v>5.6660538274560004</v>
      </c>
      <c r="R337" s="211">
        <f>(1.27*1.02)*0.4022*1.0824</f>
        <v>0.56394109411200011</v>
      </c>
      <c r="S337" s="211">
        <f>(0.0584*1.02)*0.4022*1.0824</f>
        <v>2.5932409367040003E-2</v>
      </c>
      <c r="T337" s="1850">
        <f t="shared" si="93"/>
        <v>0</v>
      </c>
      <c r="U337" s="1850">
        <f t="shared" si="88"/>
        <v>0</v>
      </c>
      <c r="V337" s="1850">
        <f t="shared" si="88"/>
        <v>0</v>
      </c>
      <c r="W337" s="1850">
        <f t="shared" si="88"/>
        <v>0</v>
      </c>
      <c r="X337" s="1850">
        <f t="shared" si="88"/>
        <v>0</v>
      </c>
      <c r="Y337" s="1850">
        <f t="shared" si="88"/>
        <v>0</v>
      </c>
      <c r="Z337" s="1850">
        <f t="shared" si="89"/>
        <v>0</v>
      </c>
      <c r="AA337" s="2733"/>
    </row>
    <row r="338" spans="1:27" ht="18.75" x14ac:dyDescent="0.25">
      <c r="A338" s="2753"/>
      <c r="B338" s="1849">
        <v>2066</v>
      </c>
      <c r="C338" s="218">
        <f t="shared" si="94"/>
        <v>0</v>
      </c>
      <c r="D338" s="218">
        <f t="shared" si="90"/>
        <v>0</v>
      </c>
      <c r="E338" s="218">
        <f t="shared" si="91"/>
        <v>0</v>
      </c>
      <c r="F338" s="218">
        <f t="shared" si="95"/>
        <v>0</v>
      </c>
      <c r="G338" s="218">
        <f t="shared" si="96"/>
        <v>0</v>
      </c>
      <c r="H338" s="218">
        <f t="shared" si="97"/>
        <v>0</v>
      </c>
      <c r="I338" s="218">
        <f t="shared" si="98"/>
        <v>0</v>
      </c>
      <c r="J338" s="218">
        <f t="shared" si="99"/>
        <v>0</v>
      </c>
      <c r="K338" s="218">
        <f t="shared" si="100"/>
        <v>0</v>
      </c>
      <c r="L338" s="192">
        <f t="shared" si="92"/>
        <v>0</v>
      </c>
      <c r="M338" s="211">
        <v>97</v>
      </c>
      <c r="N338" s="211">
        <f>(29.53*1.02)*0.3943*1.0824</f>
        <v>12.855180512592</v>
      </c>
      <c r="O338" s="211">
        <f>(42.96*1.02)*0.3943*1.0824</f>
        <v>18.701610390143998</v>
      </c>
      <c r="P338" s="211">
        <f>(16.43*1.02)*0.3943*1.0824</f>
        <v>7.1524082567520004</v>
      </c>
      <c r="Q338" s="211">
        <f>(12.76*1.02)*0.3943*1.0824</f>
        <v>5.5547613728639993</v>
      </c>
      <c r="R338" s="211">
        <f>(1.27*1.02)*0.3943*1.0824</f>
        <v>0.55286418052800002</v>
      </c>
      <c r="S338" s="211">
        <f>(0.0584*1.02)*0.3943*1.0824</f>
        <v>2.5423045781760002E-2</v>
      </c>
      <c r="T338" s="1850">
        <f t="shared" si="93"/>
        <v>0</v>
      </c>
      <c r="U338" s="1850">
        <f t="shared" si="88"/>
        <v>0</v>
      </c>
      <c r="V338" s="1850">
        <f t="shared" si="88"/>
        <v>0</v>
      </c>
      <c r="W338" s="1850">
        <f t="shared" si="88"/>
        <v>0</v>
      </c>
      <c r="X338" s="1850">
        <f t="shared" si="88"/>
        <v>0</v>
      </c>
      <c r="Y338" s="1850">
        <f t="shared" si="88"/>
        <v>0</v>
      </c>
      <c r="Z338" s="1850">
        <f t="shared" si="89"/>
        <v>0</v>
      </c>
      <c r="AA338" s="2733"/>
    </row>
    <row r="339" spans="1:27" ht="18.75" x14ac:dyDescent="0.25">
      <c r="A339" s="2753"/>
      <c r="B339" s="1849">
        <v>2067</v>
      </c>
      <c r="C339" s="218">
        <f t="shared" si="94"/>
        <v>0</v>
      </c>
      <c r="D339" s="218">
        <f t="shared" si="90"/>
        <v>0</v>
      </c>
      <c r="E339" s="218">
        <f t="shared" si="91"/>
        <v>0</v>
      </c>
      <c r="F339" s="218">
        <f t="shared" si="95"/>
        <v>0</v>
      </c>
      <c r="G339" s="218">
        <f t="shared" si="96"/>
        <v>0</v>
      </c>
      <c r="H339" s="218">
        <f t="shared" si="97"/>
        <v>0</v>
      </c>
      <c r="I339" s="218">
        <f t="shared" si="98"/>
        <v>0</v>
      </c>
      <c r="J339" s="218">
        <f t="shared" si="99"/>
        <v>0</v>
      </c>
      <c r="K339" s="218">
        <f t="shared" si="100"/>
        <v>0</v>
      </c>
      <c r="L339" s="192">
        <f t="shared" si="92"/>
        <v>0</v>
      </c>
      <c r="M339" s="211">
        <v>97</v>
      </c>
      <c r="N339" s="211">
        <f>(29.53*1.02)*0.3865*1.0824</f>
        <v>12.600880720560001</v>
      </c>
      <c r="O339" s="211">
        <f>(42.96*1.02)*0.3865*1.0824</f>
        <v>18.331657153920002</v>
      </c>
      <c r="P339" s="211">
        <f>(16.43*1.02)*0.3865*1.0824</f>
        <v>7.0109200893600008</v>
      </c>
      <c r="Q339" s="211">
        <f>(12.76*1.02)*0.3865*1.0824</f>
        <v>5.4448776835200006</v>
      </c>
      <c r="R339" s="211">
        <f>(1.27*1.02)*0.3865*1.0824</f>
        <v>0.5419274810400001</v>
      </c>
      <c r="S339" s="211">
        <f>(0.0584*1.02)*0.3865*1.0824</f>
        <v>2.4920129836800003E-2</v>
      </c>
      <c r="T339" s="1850">
        <f t="shared" si="93"/>
        <v>0</v>
      </c>
      <c r="U339" s="1850">
        <f t="shared" si="88"/>
        <v>0</v>
      </c>
      <c r="V339" s="1850">
        <f t="shared" si="88"/>
        <v>0</v>
      </c>
      <c r="W339" s="1850">
        <f t="shared" si="88"/>
        <v>0</v>
      </c>
      <c r="X339" s="1850">
        <f t="shared" si="88"/>
        <v>0</v>
      </c>
      <c r="Y339" s="1850">
        <f t="shared" si="88"/>
        <v>0</v>
      </c>
      <c r="Z339" s="1850">
        <f t="shared" si="89"/>
        <v>0</v>
      </c>
      <c r="AA339" s="2733"/>
    </row>
    <row r="340" spans="1:27" ht="18.75" x14ac:dyDescent="0.25">
      <c r="A340" s="2753"/>
      <c r="B340" s="1849">
        <v>2068</v>
      </c>
      <c r="C340" s="218">
        <f t="shared" si="94"/>
        <v>0</v>
      </c>
      <c r="D340" s="218">
        <f t="shared" si="90"/>
        <v>0</v>
      </c>
      <c r="E340" s="218">
        <f t="shared" si="91"/>
        <v>0</v>
      </c>
      <c r="F340" s="218">
        <f t="shared" si="95"/>
        <v>0</v>
      </c>
      <c r="G340" s="218">
        <f t="shared" si="96"/>
        <v>0</v>
      </c>
      <c r="H340" s="218">
        <f t="shared" si="97"/>
        <v>0</v>
      </c>
      <c r="I340" s="218">
        <f t="shared" si="98"/>
        <v>0</v>
      </c>
      <c r="J340" s="218">
        <f t="shared" si="99"/>
        <v>0</v>
      </c>
      <c r="K340" s="218">
        <f t="shared" si="100"/>
        <v>0</v>
      </c>
      <c r="L340" s="192">
        <f t="shared" si="92"/>
        <v>0</v>
      </c>
      <c r="M340" s="211">
        <v>97</v>
      </c>
      <c r="N340" s="211">
        <f>(29.53*1.02)*0.379*1.0824</f>
        <v>12.356361689760002</v>
      </c>
      <c r="O340" s="211">
        <f>(42.96*1.02)*0.379*1.0824</f>
        <v>17.975932888320003</v>
      </c>
      <c r="P340" s="211">
        <f>(16.43*1.02)*0.379*1.0824</f>
        <v>6.8748737745600002</v>
      </c>
      <c r="Q340" s="211">
        <f>(12.76*1.02)*0.379*1.0824</f>
        <v>5.339220289920001</v>
      </c>
      <c r="R340" s="211">
        <f>(1.27*1.02)*0.379*1.0824</f>
        <v>0.53141142384000006</v>
      </c>
      <c r="S340" s="211">
        <f>(0.0584*1.02)*0.379*1.0824</f>
        <v>2.4436556812800003E-2</v>
      </c>
      <c r="T340" s="1850">
        <f t="shared" si="93"/>
        <v>0</v>
      </c>
      <c r="U340" s="1850">
        <f t="shared" si="88"/>
        <v>0</v>
      </c>
      <c r="V340" s="1850">
        <f t="shared" si="88"/>
        <v>0</v>
      </c>
      <c r="W340" s="1850">
        <f t="shared" si="88"/>
        <v>0</v>
      </c>
      <c r="X340" s="1850">
        <f t="shared" si="88"/>
        <v>0</v>
      </c>
      <c r="Y340" s="1850">
        <f t="shared" si="88"/>
        <v>0</v>
      </c>
      <c r="Z340" s="1850">
        <f t="shared" si="89"/>
        <v>0</v>
      </c>
      <c r="AA340" s="2733"/>
    </row>
    <row r="341" spans="1:27" ht="19.5" thickBot="1" x14ac:dyDescent="0.3">
      <c r="A341" s="2754"/>
      <c r="B341" s="1851">
        <v>2069</v>
      </c>
      <c r="C341" s="222">
        <f t="shared" si="94"/>
        <v>0</v>
      </c>
      <c r="D341" s="222">
        <f t="shared" si="90"/>
        <v>0</v>
      </c>
      <c r="E341" s="222">
        <f t="shared" si="91"/>
        <v>0</v>
      </c>
      <c r="F341" s="222">
        <f t="shared" si="95"/>
        <v>0</v>
      </c>
      <c r="G341" s="222">
        <f t="shared" si="96"/>
        <v>0</v>
      </c>
      <c r="H341" s="222">
        <f t="shared" si="97"/>
        <v>0</v>
      </c>
      <c r="I341" s="222">
        <f t="shared" si="98"/>
        <v>0</v>
      </c>
      <c r="J341" s="222">
        <f t="shared" si="99"/>
        <v>0</v>
      </c>
      <c r="K341" s="222">
        <f t="shared" si="100"/>
        <v>0</v>
      </c>
      <c r="L341" s="220">
        <f t="shared" si="92"/>
        <v>0</v>
      </c>
      <c r="M341" s="416">
        <v>97</v>
      </c>
      <c r="N341" s="416">
        <f>(29.53*1.02)*0.3715*1.0824</f>
        <v>12.111842658960002</v>
      </c>
      <c r="O341" s="416">
        <f>(42.96*1.02)*0.3715*1.0824</f>
        <v>17.62020862272</v>
      </c>
      <c r="P341" s="416">
        <f>(16.43*1.02)*0.3715*1.0824</f>
        <v>6.7388274597600004</v>
      </c>
      <c r="Q341" s="416">
        <f>(12.76*1.02)*0.3715*1.0824</f>
        <v>5.2335628963200005</v>
      </c>
      <c r="R341" s="416">
        <f>(1.27*1.02)*0.3715*1.0824</f>
        <v>0.52089536664000002</v>
      </c>
      <c r="S341" s="416">
        <f>(0.0584*1.02)*0.3715*1.0824</f>
        <v>2.3952983788800002E-2</v>
      </c>
      <c r="T341" s="175">
        <f t="shared" si="93"/>
        <v>0</v>
      </c>
      <c r="U341" s="175">
        <f t="shared" si="88"/>
        <v>0</v>
      </c>
      <c r="V341" s="175">
        <f t="shared" si="88"/>
        <v>0</v>
      </c>
      <c r="W341" s="175">
        <f t="shared" si="88"/>
        <v>0</v>
      </c>
      <c r="X341" s="175">
        <f t="shared" si="88"/>
        <v>0</v>
      </c>
      <c r="Y341" s="175">
        <f t="shared" si="88"/>
        <v>0</v>
      </c>
      <c r="Z341" s="175">
        <f t="shared" si="89"/>
        <v>0</v>
      </c>
      <c r="AA341" s="2735"/>
    </row>
    <row r="342" spans="1:27" ht="18.75" x14ac:dyDescent="0.25">
      <c r="A342" s="2456" t="s">
        <v>1774</v>
      </c>
      <c r="B342" s="1852">
        <v>2019</v>
      </c>
      <c r="C342" s="221">
        <f t="shared" ref="C342:C373" si="101">$S$16</f>
        <v>0</v>
      </c>
      <c r="D342" s="221">
        <f>$R$16*28</f>
        <v>0</v>
      </c>
      <c r="E342" s="221">
        <f>$T$16*298</f>
        <v>0</v>
      </c>
      <c r="F342" s="221">
        <f t="shared" ref="F342:F373" si="102">$O$16</f>
        <v>0</v>
      </c>
      <c r="G342" s="221">
        <f t="shared" ref="G342:G373" si="103">$P$16</f>
        <v>0</v>
      </c>
      <c r="H342" s="221">
        <f t="shared" ref="H342:H373" si="104">$N$16</f>
        <v>0</v>
      </c>
      <c r="I342" s="221">
        <f t="shared" ref="I342:I373" si="105">$Q$16</f>
        <v>0</v>
      </c>
      <c r="J342" s="221">
        <f t="shared" ref="J342:J373" si="106">$L$16</f>
        <v>0</v>
      </c>
      <c r="K342" s="221">
        <f t="shared" ref="K342:K373" si="107">$M$16</f>
        <v>0</v>
      </c>
      <c r="L342" s="354">
        <f>(C342/1000)+(D342/1000)+(E342/1000)</f>
        <v>0</v>
      </c>
      <c r="M342" s="643">
        <v>62</v>
      </c>
      <c r="N342" s="643">
        <f>29.53*1.02*1.0824</f>
        <v>32.602537440000006</v>
      </c>
      <c r="O342" s="643">
        <f>42.96*1.02*1.0824</f>
        <v>47.429902080000005</v>
      </c>
      <c r="P342" s="643">
        <f>16.43*1.02*1.0824</f>
        <v>18.139508640000003</v>
      </c>
      <c r="Q342" s="643">
        <f>12.76*1.02*1.0824</f>
        <v>14.087652480000001</v>
      </c>
      <c r="R342" s="643">
        <f>1.27*1.02*1.0824</f>
        <v>1.4021409600000001</v>
      </c>
      <c r="S342" s="643">
        <f>0.0584*1.02*1.0824</f>
        <v>6.4476403200000004E-2</v>
      </c>
      <c r="T342" s="1848">
        <f>L342*M342</f>
        <v>0</v>
      </c>
      <c r="U342" s="1848">
        <f t="shared" ref="U342:Y392" si="108">F342*N342</f>
        <v>0</v>
      </c>
      <c r="V342" s="1848">
        <f t="shared" si="108"/>
        <v>0</v>
      </c>
      <c r="W342" s="1848">
        <f t="shared" si="108"/>
        <v>0</v>
      </c>
      <c r="X342" s="1848">
        <f t="shared" si="108"/>
        <v>0</v>
      </c>
      <c r="Y342" s="1848">
        <f t="shared" si="108"/>
        <v>0</v>
      </c>
      <c r="Z342" s="1848">
        <f t="shared" si="89"/>
        <v>0</v>
      </c>
      <c r="AA342" s="2740">
        <f>(SUM(T342:T392)*1.2682)+(SUM(U342:U392))+(SUM(V342:V392))+(SUM(W342:W392))+(SUM(X342:X392))+(SUM(Y342:Y392))+(SUM(Z342:Z392))</f>
        <v>0</v>
      </c>
    </row>
    <row r="343" spans="1:27" ht="18.75" x14ac:dyDescent="0.25">
      <c r="A343" s="2456"/>
      <c r="B343" s="743">
        <v>2020</v>
      </c>
      <c r="C343" s="218">
        <f t="shared" si="101"/>
        <v>0</v>
      </c>
      <c r="D343" s="221">
        <f t="shared" ref="D343:D392" si="109">$R$16*28</f>
        <v>0</v>
      </c>
      <c r="E343" s="221">
        <f t="shared" ref="E343:E392" si="110">$T$16*298</f>
        <v>0</v>
      </c>
      <c r="F343" s="218">
        <f t="shared" si="102"/>
        <v>0</v>
      </c>
      <c r="G343" s="218">
        <f t="shared" si="103"/>
        <v>0</v>
      </c>
      <c r="H343" s="218">
        <f t="shared" si="104"/>
        <v>0</v>
      </c>
      <c r="I343" s="218">
        <f t="shared" si="105"/>
        <v>0</v>
      </c>
      <c r="J343" s="218">
        <f t="shared" si="106"/>
        <v>0</v>
      </c>
      <c r="K343" s="218">
        <f t="shared" si="107"/>
        <v>0</v>
      </c>
      <c r="L343" s="192">
        <f t="shared" ref="L343:L392" si="111">(C343/1000)+(D343/1000)+(E343/1000)</f>
        <v>0</v>
      </c>
      <c r="M343" s="211">
        <v>64</v>
      </c>
      <c r="N343" s="211">
        <f>(29.53*1.02)*0.9804*1.0824</f>
        <v>31.963527706176006</v>
      </c>
      <c r="O343" s="211">
        <f>(42.96*1.02)*0.9804*1.0824</f>
        <v>46.500275999232002</v>
      </c>
      <c r="P343" s="211">
        <f>(16.43*1.02)*0.9804*1.0824</f>
        <v>17.783974270656003</v>
      </c>
      <c r="Q343" s="211">
        <f>(12.76*1.02)*0.9804*1.0824</f>
        <v>13.811534491392001</v>
      </c>
      <c r="R343" s="211">
        <f>(1.27*1.02)*0.9804*1.0824</f>
        <v>1.3746589971840002</v>
      </c>
      <c r="S343" s="211">
        <f>(0.0584*1.02)*0.9804*1.0824</f>
        <v>6.3212665697280013E-2</v>
      </c>
      <c r="T343" s="358">
        <f t="shared" ref="T343:T392" si="112">L343*M343</f>
        <v>0</v>
      </c>
      <c r="U343" s="358">
        <f t="shared" si="108"/>
        <v>0</v>
      </c>
      <c r="V343" s="358">
        <f t="shared" si="108"/>
        <v>0</v>
      </c>
      <c r="W343" s="358">
        <f t="shared" si="108"/>
        <v>0</v>
      </c>
      <c r="X343" s="358">
        <f t="shared" si="108"/>
        <v>0</v>
      </c>
      <c r="Y343" s="358">
        <f t="shared" si="108"/>
        <v>0</v>
      </c>
      <c r="Z343" s="358">
        <f t="shared" si="89"/>
        <v>0</v>
      </c>
      <c r="AA343" s="2733"/>
    </row>
    <row r="344" spans="1:27" ht="18.75" x14ac:dyDescent="0.25">
      <c r="A344" s="2456"/>
      <c r="B344" s="743">
        <v>2021</v>
      </c>
      <c r="C344" s="218">
        <f t="shared" si="101"/>
        <v>0</v>
      </c>
      <c r="D344" s="221">
        <f t="shared" si="109"/>
        <v>0</v>
      </c>
      <c r="E344" s="221">
        <f t="shared" si="110"/>
        <v>0</v>
      </c>
      <c r="F344" s="218">
        <f t="shared" si="102"/>
        <v>0</v>
      </c>
      <c r="G344" s="218">
        <f t="shared" si="103"/>
        <v>0</v>
      </c>
      <c r="H344" s="218">
        <f t="shared" si="104"/>
        <v>0</v>
      </c>
      <c r="I344" s="218">
        <f t="shared" si="105"/>
        <v>0</v>
      </c>
      <c r="J344" s="218">
        <f t="shared" si="106"/>
        <v>0</v>
      </c>
      <c r="K344" s="218">
        <f t="shared" si="107"/>
        <v>0</v>
      </c>
      <c r="L344" s="192">
        <f t="shared" si="111"/>
        <v>0</v>
      </c>
      <c r="M344" s="211">
        <v>65</v>
      </c>
      <c r="N344" s="211">
        <f>(29.53*1.02)*0.9612*1.0824</f>
        <v>31.337558987328006</v>
      </c>
      <c r="O344" s="211">
        <f>(42.96*1.02)*0.9612*1.0824</f>
        <v>45.589621879296011</v>
      </c>
      <c r="P344" s="211">
        <f>(16.43*1.02)*0.9612*1.0824</f>
        <v>17.435695704768001</v>
      </c>
      <c r="Q344" s="211">
        <f>(12.76*1.02)*0.9612*1.0824</f>
        <v>13.541051563776001</v>
      </c>
      <c r="R344" s="211">
        <f>(1.27*1.02)*0.9612*1.0824</f>
        <v>1.3477378907520003</v>
      </c>
      <c r="S344" s="211">
        <f>(0.0584*1.02)*0.9612*1.0824</f>
        <v>6.1974718755840007E-2</v>
      </c>
      <c r="T344" s="358">
        <f t="shared" si="112"/>
        <v>0</v>
      </c>
      <c r="U344" s="358">
        <f t="shared" si="108"/>
        <v>0</v>
      </c>
      <c r="V344" s="358">
        <f t="shared" si="108"/>
        <v>0</v>
      </c>
      <c r="W344" s="358">
        <f t="shared" si="108"/>
        <v>0</v>
      </c>
      <c r="X344" s="358">
        <f t="shared" si="108"/>
        <v>0</v>
      </c>
      <c r="Y344" s="358">
        <f t="shared" si="108"/>
        <v>0</v>
      </c>
      <c r="Z344" s="358">
        <f t="shared" si="89"/>
        <v>0</v>
      </c>
      <c r="AA344" s="2733"/>
    </row>
    <row r="345" spans="1:27" ht="18.75" x14ac:dyDescent="0.25">
      <c r="A345" s="2456"/>
      <c r="B345" s="743">
        <v>2022</v>
      </c>
      <c r="C345" s="218">
        <f t="shared" si="101"/>
        <v>0</v>
      </c>
      <c r="D345" s="221">
        <f t="shared" si="109"/>
        <v>0</v>
      </c>
      <c r="E345" s="221">
        <f t="shared" si="110"/>
        <v>0</v>
      </c>
      <c r="F345" s="218">
        <f t="shared" si="102"/>
        <v>0</v>
      </c>
      <c r="G345" s="218">
        <f t="shared" si="103"/>
        <v>0</v>
      </c>
      <c r="H345" s="218">
        <f t="shared" si="104"/>
        <v>0</v>
      </c>
      <c r="I345" s="218">
        <f t="shared" si="105"/>
        <v>0</v>
      </c>
      <c r="J345" s="218">
        <f t="shared" si="106"/>
        <v>0</v>
      </c>
      <c r="K345" s="218">
        <f t="shared" si="107"/>
        <v>0</v>
      </c>
      <c r="L345" s="192">
        <f t="shared" si="111"/>
        <v>0</v>
      </c>
      <c r="M345" s="211">
        <v>66</v>
      </c>
      <c r="N345" s="211">
        <f>(29.53*1.02)*0.9423*1.0824</f>
        <v>30.721371029712003</v>
      </c>
      <c r="O345" s="211">
        <f>(42.96*1.02)*0.9423*1.0824</f>
        <v>44.693196729984003</v>
      </c>
      <c r="P345" s="211">
        <f>(16.43*1.02)*0.9423*1.0824</f>
        <v>17.092858991472003</v>
      </c>
      <c r="Q345" s="211">
        <f>(12.76*1.02)*0.9423*1.0824</f>
        <v>13.274794931903999</v>
      </c>
      <c r="R345" s="211">
        <f>(1.27*1.02)*0.9423*1.0824</f>
        <v>1.3212374266080003</v>
      </c>
      <c r="S345" s="211">
        <f>(0.0584*1.02)*0.9423*1.0824</f>
        <v>6.0756114735360002E-2</v>
      </c>
      <c r="T345" s="358">
        <f t="shared" si="112"/>
        <v>0</v>
      </c>
      <c r="U345" s="358">
        <f t="shared" si="108"/>
        <v>0</v>
      </c>
      <c r="V345" s="358">
        <f t="shared" si="108"/>
        <v>0</v>
      </c>
      <c r="W345" s="358">
        <f t="shared" si="108"/>
        <v>0</v>
      </c>
      <c r="X345" s="358">
        <f t="shared" si="108"/>
        <v>0</v>
      </c>
      <c r="Y345" s="358">
        <f t="shared" si="108"/>
        <v>0</v>
      </c>
      <c r="Z345" s="358">
        <f t="shared" si="89"/>
        <v>0</v>
      </c>
      <c r="AA345" s="2733"/>
    </row>
    <row r="346" spans="1:27" ht="18.75" x14ac:dyDescent="0.25">
      <c r="A346" s="2456"/>
      <c r="B346" s="743">
        <v>2023</v>
      </c>
      <c r="C346" s="218">
        <f t="shared" si="101"/>
        <v>0</v>
      </c>
      <c r="D346" s="221">
        <f t="shared" si="109"/>
        <v>0</v>
      </c>
      <c r="E346" s="221">
        <f t="shared" si="110"/>
        <v>0</v>
      </c>
      <c r="F346" s="218">
        <f t="shared" si="102"/>
        <v>0</v>
      </c>
      <c r="G346" s="218">
        <f t="shared" si="103"/>
        <v>0</v>
      </c>
      <c r="H346" s="218">
        <f t="shared" si="104"/>
        <v>0</v>
      </c>
      <c r="I346" s="218">
        <f t="shared" si="105"/>
        <v>0</v>
      </c>
      <c r="J346" s="218">
        <f t="shared" si="106"/>
        <v>0</v>
      </c>
      <c r="K346" s="218">
        <f t="shared" si="107"/>
        <v>0</v>
      </c>
      <c r="L346" s="192">
        <f t="shared" si="111"/>
        <v>0</v>
      </c>
      <c r="M346" s="211">
        <v>67</v>
      </c>
      <c r="N346" s="211">
        <f>(29.53*1.02)*0.9238*1.0824</f>
        <v>30.118224087072001</v>
      </c>
      <c r="O346" s="211">
        <f>(42.96*1.02)*0.9238*1.0824</f>
        <v>43.815743541504006</v>
      </c>
      <c r="P346" s="211">
        <f>(16.43*1.02)*0.9238*1.0824</f>
        <v>16.757278081632002</v>
      </c>
      <c r="Q346" s="211">
        <f>(12.76*1.02)*0.9238*1.0824</f>
        <v>13.014173361024</v>
      </c>
      <c r="R346" s="211">
        <f>(1.27*1.02)*0.9238*1.0824</f>
        <v>1.295297818848</v>
      </c>
      <c r="S346" s="211">
        <f>(0.0584*1.02)*0.9238*1.0824</f>
        <v>5.9563301276160004E-2</v>
      </c>
      <c r="T346" s="358">
        <f t="shared" si="112"/>
        <v>0</v>
      </c>
      <c r="U346" s="358">
        <f t="shared" si="108"/>
        <v>0</v>
      </c>
      <c r="V346" s="358">
        <f t="shared" si="108"/>
        <v>0</v>
      </c>
      <c r="W346" s="358">
        <f t="shared" si="108"/>
        <v>0</v>
      </c>
      <c r="X346" s="358">
        <f t="shared" si="108"/>
        <v>0</v>
      </c>
      <c r="Y346" s="358">
        <f t="shared" si="108"/>
        <v>0</v>
      </c>
      <c r="Z346" s="358">
        <f t="shared" si="89"/>
        <v>0</v>
      </c>
      <c r="AA346" s="2733"/>
    </row>
    <row r="347" spans="1:27" ht="18.75" x14ac:dyDescent="0.25">
      <c r="A347" s="2456"/>
      <c r="B347" s="743">
        <v>2024</v>
      </c>
      <c r="C347" s="218">
        <f t="shared" si="101"/>
        <v>0</v>
      </c>
      <c r="D347" s="221">
        <f t="shared" si="109"/>
        <v>0</v>
      </c>
      <c r="E347" s="221">
        <f t="shared" si="110"/>
        <v>0</v>
      </c>
      <c r="F347" s="218">
        <f t="shared" si="102"/>
        <v>0</v>
      </c>
      <c r="G347" s="218">
        <f t="shared" si="103"/>
        <v>0</v>
      </c>
      <c r="H347" s="218">
        <f t="shared" si="104"/>
        <v>0</v>
      </c>
      <c r="I347" s="218">
        <f t="shared" si="105"/>
        <v>0</v>
      </c>
      <c r="J347" s="218">
        <f t="shared" si="106"/>
        <v>0</v>
      </c>
      <c r="K347" s="218">
        <f t="shared" si="107"/>
        <v>0</v>
      </c>
      <c r="L347" s="192">
        <f t="shared" si="111"/>
        <v>0</v>
      </c>
      <c r="M347" s="211">
        <v>68</v>
      </c>
      <c r="N347" s="211">
        <f>(29.53*1.02)*0.9057*1.0824</f>
        <v>29.528118159408002</v>
      </c>
      <c r="O347" s="211">
        <f>(42.96*1.02)*0.9057*1.0824</f>
        <v>42.957262313856006</v>
      </c>
      <c r="P347" s="211">
        <f>(16.43*1.02)*0.9057*1.0824</f>
        <v>16.428952975248002</v>
      </c>
      <c r="Q347" s="211">
        <f>(12.76*1.02)*0.9057*1.0824</f>
        <v>12.759186851135999</v>
      </c>
      <c r="R347" s="211">
        <f>(1.27*1.02)*0.9057*1.0824</f>
        <v>1.269919067472</v>
      </c>
      <c r="S347" s="211">
        <f>(0.0584*1.02)*0.9057*1.0824</f>
        <v>5.8396278378240005E-2</v>
      </c>
      <c r="T347" s="358">
        <f t="shared" si="112"/>
        <v>0</v>
      </c>
      <c r="U347" s="358">
        <f t="shared" si="108"/>
        <v>0</v>
      </c>
      <c r="V347" s="358">
        <f t="shared" si="108"/>
        <v>0</v>
      </c>
      <c r="W347" s="358">
        <f t="shared" si="108"/>
        <v>0</v>
      </c>
      <c r="X347" s="358">
        <f t="shared" si="108"/>
        <v>0</v>
      </c>
      <c r="Y347" s="358">
        <f t="shared" si="108"/>
        <v>0</v>
      </c>
      <c r="Z347" s="358">
        <f t="shared" si="89"/>
        <v>0</v>
      </c>
      <c r="AA347" s="2733"/>
    </row>
    <row r="348" spans="1:27" ht="18.75" x14ac:dyDescent="0.25">
      <c r="A348" s="2456"/>
      <c r="B348" s="743">
        <v>2025</v>
      </c>
      <c r="C348" s="218">
        <f t="shared" si="101"/>
        <v>0</v>
      </c>
      <c r="D348" s="221">
        <f t="shared" si="109"/>
        <v>0</v>
      </c>
      <c r="E348" s="221">
        <f t="shared" si="110"/>
        <v>0</v>
      </c>
      <c r="F348" s="218">
        <f t="shared" si="102"/>
        <v>0</v>
      </c>
      <c r="G348" s="218">
        <f t="shared" si="103"/>
        <v>0</v>
      </c>
      <c r="H348" s="218">
        <f t="shared" si="104"/>
        <v>0</v>
      </c>
      <c r="I348" s="218">
        <f t="shared" si="105"/>
        <v>0</v>
      </c>
      <c r="J348" s="218">
        <f t="shared" si="106"/>
        <v>0</v>
      </c>
      <c r="K348" s="218">
        <f t="shared" si="107"/>
        <v>0</v>
      </c>
      <c r="L348" s="192">
        <f t="shared" si="111"/>
        <v>0</v>
      </c>
      <c r="M348" s="211">
        <v>69</v>
      </c>
      <c r="N348" s="211">
        <f>(29.53*1.02)*0.888*1.0824</f>
        <v>28.951053246720004</v>
      </c>
      <c r="O348" s="211">
        <f>(42.96*1.02)*0.888*1.0824</f>
        <v>42.117753047040004</v>
      </c>
      <c r="P348" s="211">
        <f>(16.43*1.02)*0.888*1.0824</f>
        <v>16.10788367232</v>
      </c>
      <c r="Q348" s="211">
        <f>(12.76*1.02)*0.888*1.0824</f>
        <v>12.50983540224</v>
      </c>
      <c r="R348" s="211">
        <f>(1.27*1.02)*0.888*1.0824</f>
        <v>1.2451011724800001</v>
      </c>
      <c r="S348" s="211">
        <f>(0.0584*1.02)*0.888*1.0824</f>
        <v>5.7255046041600005E-2</v>
      </c>
      <c r="T348" s="358">
        <f t="shared" si="112"/>
        <v>0</v>
      </c>
      <c r="U348" s="358">
        <f t="shared" si="108"/>
        <v>0</v>
      </c>
      <c r="V348" s="358">
        <f t="shared" si="108"/>
        <v>0</v>
      </c>
      <c r="W348" s="358">
        <f t="shared" si="108"/>
        <v>0</v>
      </c>
      <c r="X348" s="358">
        <f t="shared" si="108"/>
        <v>0</v>
      </c>
      <c r="Y348" s="358">
        <f t="shared" si="108"/>
        <v>0</v>
      </c>
      <c r="Z348" s="358">
        <f t="shared" si="89"/>
        <v>0</v>
      </c>
      <c r="AA348" s="2733"/>
    </row>
    <row r="349" spans="1:27" ht="18.75" x14ac:dyDescent="0.25">
      <c r="A349" s="2456"/>
      <c r="B349" s="743">
        <v>2026</v>
      </c>
      <c r="C349" s="218">
        <f t="shared" si="101"/>
        <v>0</v>
      </c>
      <c r="D349" s="221">
        <f t="shared" si="109"/>
        <v>0</v>
      </c>
      <c r="E349" s="221">
        <f t="shared" si="110"/>
        <v>0</v>
      </c>
      <c r="F349" s="218">
        <f t="shared" si="102"/>
        <v>0</v>
      </c>
      <c r="G349" s="218">
        <f t="shared" si="103"/>
        <v>0</v>
      </c>
      <c r="H349" s="218">
        <f t="shared" si="104"/>
        <v>0</v>
      </c>
      <c r="I349" s="218">
        <f t="shared" si="105"/>
        <v>0</v>
      </c>
      <c r="J349" s="218">
        <f t="shared" si="106"/>
        <v>0</v>
      </c>
      <c r="K349" s="218">
        <f t="shared" si="107"/>
        <v>0</v>
      </c>
      <c r="L349" s="192">
        <f t="shared" si="111"/>
        <v>0</v>
      </c>
      <c r="M349" s="211">
        <v>70</v>
      </c>
      <c r="N349" s="211">
        <f>(29.53*1.02)*0.8706*1.0824</f>
        <v>28.383769095264007</v>
      </c>
      <c r="O349" s="211">
        <f>(42.96*1.02)*0.8706*1.0824</f>
        <v>41.292472750848006</v>
      </c>
      <c r="P349" s="211">
        <f>(16.43*1.02)*0.8706*1.0824</f>
        <v>15.792256221984003</v>
      </c>
      <c r="Q349" s="211">
        <f>(12.76*1.02)*0.8706*1.0824</f>
        <v>12.264710249088001</v>
      </c>
      <c r="R349" s="211">
        <f>(1.27*1.02)*0.8706*1.0824</f>
        <v>1.2207039197760001</v>
      </c>
      <c r="S349" s="211">
        <f>(0.0584*1.02)*0.8706*1.0824</f>
        <v>5.6133156625920007E-2</v>
      </c>
      <c r="T349" s="358">
        <f t="shared" si="112"/>
        <v>0</v>
      </c>
      <c r="U349" s="358">
        <f t="shared" si="108"/>
        <v>0</v>
      </c>
      <c r="V349" s="358">
        <f t="shared" si="108"/>
        <v>0</v>
      </c>
      <c r="W349" s="358">
        <f t="shared" si="108"/>
        <v>0</v>
      </c>
      <c r="X349" s="358">
        <f t="shared" si="108"/>
        <v>0</v>
      </c>
      <c r="Y349" s="358">
        <f t="shared" si="108"/>
        <v>0</v>
      </c>
      <c r="Z349" s="358">
        <f t="shared" si="89"/>
        <v>0</v>
      </c>
      <c r="AA349" s="2733"/>
    </row>
    <row r="350" spans="1:27" ht="18.75" x14ac:dyDescent="0.25">
      <c r="A350" s="2456"/>
      <c r="B350" s="743">
        <v>2027</v>
      </c>
      <c r="C350" s="218">
        <f t="shared" si="101"/>
        <v>0</v>
      </c>
      <c r="D350" s="221">
        <f t="shared" si="109"/>
        <v>0</v>
      </c>
      <c r="E350" s="221">
        <f t="shared" si="110"/>
        <v>0</v>
      </c>
      <c r="F350" s="218">
        <f t="shared" si="102"/>
        <v>0</v>
      </c>
      <c r="G350" s="218">
        <f t="shared" si="103"/>
        <v>0</v>
      </c>
      <c r="H350" s="218">
        <f t="shared" si="104"/>
        <v>0</v>
      </c>
      <c r="I350" s="218">
        <f t="shared" si="105"/>
        <v>0</v>
      </c>
      <c r="J350" s="218">
        <f t="shared" si="106"/>
        <v>0</v>
      </c>
      <c r="K350" s="218">
        <f t="shared" si="107"/>
        <v>0</v>
      </c>
      <c r="L350" s="192">
        <f t="shared" si="111"/>
        <v>0</v>
      </c>
      <c r="M350" s="211">
        <v>71</v>
      </c>
      <c r="N350" s="211">
        <f>(29.53*1.02)*0.8535*1.0824</f>
        <v>27.826265705040004</v>
      </c>
      <c r="O350" s="211">
        <f>(42.96*1.02)*0.8535*1.0824</f>
        <v>40.481421425280004</v>
      </c>
      <c r="P350" s="211">
        <f>(16.43*1.02)*0.8535*1.0824</f>
        <v>15.482070624240002</v>
      </c>
      <c r="Q350" s="211">
        <f>(12.76*1.02)*0.8535*1.0824</f>
        <v>12.023811391680001</v>
      </c>
      <c r="R350" s="211">
        <f>(1.27*1.02)*0.8535*1.0824</f>
        <v>1.1967273093600002</v>
      </c>
      <c r="S350" s="211">
        <f>(0.0584*1.02)*0.8535*1.0824</f>
        <v>5.503061013120001E-2</v>
      </c>
      <c r="T350" s="358">
        <f t="shared" si="112"/>
        <v>0</v>
      </c>
      <c r="U350" s="358">
        <f t="shared" si="108"/>
        <v>0</v>
      </c>
      <c r="V350" s="358">
        <f t="shared" si="108"/>
        <v>0</v>
      </c>
      <c r="W350" s="358">
        <f t="shared" si="108"/>
        <v>0</v>
      </c>
      <c r="X350" s="358">
        <f t="shared" si="108"/>
        <v>0</v>
      </c>
      <c r="Y350" s="358">
        <f t="shared" si="108"/>
        <v>0</v>
      </c>
      <c r="Z350" s="358">
        <f t="shared" si="89"/>
        <v>0</v>
      </c>
      <c r="AA350" s="2733"/>
    </row>
    <row r="351" spans="1:27" ht="18.75" x14ac:dyDescent="0.25">
      <c r="A351" s="2456"/>
      <c r="B351" s="743">
        <v>2028</v>
      </c>
      <c r="C351" s="218">
        <f t="shared" si="101"/>
        <v>0</v>
      </c>
      <c r="D351" s="221">
        <f t="shared" si="109"/>
        <v>0</v>
      </c>
      <c r="E351" s="221">
        <f t="shared" si="110"/>
        <v>0</v>
      </c>
      <c r="F351" s="218">
        <f t="shared" si="102"/>
        <v>0</v>
      </c>
      <c r="G351" s="218">
        <f t="shared" si="103"/>
        <v>0</v>
      </c>
      <c r="H351" s="218">
        <f t="shared" si="104"/>
        <v>0</v>
      </c>
      <c r="I351" s="218">
        <f t="shared" si="105"/>
        <v>0</v>
      </c>
      <c r="J351" s="218">
        <f t="shared" si="106"/>
        <v>0</v>
      </c>
      <c r="K351" s="218">
        <f t="shared" si="107"/>
        <v>0</v>
      </c>
      <c r="L351" s="192">
        <f t="shared" si="111"/>
        <v>0</v>
      </c>
      <c r="M351" s="211">
        <v>72</v>
      </c>
      <c r="N351" s="211">
        <f>(29.53*1.02)*0.8368*1.0824</f>
        <v>27.281803329792002</v>
      </c>
      <c r="O351" s="211">
        <f>(42.96*1.02)*0.8368*1.0824</f>
        <v>39.689342060544</v>
      </c>
      <c r="P351" s="211">
        <f>(16.43*1.02)*0.8368*1.0824</f>
        <v>15.179140829952001</v>
      </c>
      <c r="Q351" s="211">
        <f>(12.76*1.02)*0.8368*1.0824</f>
        <v>11.788547595263999</v>
      </c>
      <c r="R351" s="211">
        <f>(1.27*1.02)*0.8368*1.0824</f>
        <v>1.173311555328</v>
      </c>
      <c r="S351" s="211">
        <f>(0.0584*1.02)*0.8368*1.0824</f>
        <v>5.3953854197759998E-2</v>
      </c>
      <c r="T351" s="358">
        <f t="shared" si="112"/>
        <v>0</v>
      </c>
      <c r="U351" s="358">
        <f t="shared" si="108"/>
        <v>0</v>
      </c>
      <c r="V351" s="358">
        <f t="shared" si="108"/>
        <v>0</v>
      </c>
      <c r="W351" s="358">
        <f t="shared" si="108"/>
        <v>0</v>
      </c>
      <c r="X351" s="358">
        <f t="shared" si="108"/>
        <v>0</v>
      </c>
      <c r="Y351" s="358">
        <f t="shared" si="108"/>
        <v>0</v>
      </c>
      <c r="Z351" s="358">
        <f t="shared" si="89"/>
        <v>0</v>
      </c>
      <c r="AA351" s="2733"/>
    </row>
    <row r="352" spans="1:27" ht="18.75" x14ac:dyDescent="0.25">
      <c r="A352" s="2456"/>
      <c r="B352" s="743">
        <v>2029</v>
      </c>
      <c r="C352" s="218">
        <f t="shared" si="101"/>
        <v>0</v>
      </c>
      <c r="D352" s="221">
        <f t="shared" si="109"/>
        <v>0</v>
      </c>
      <c r="E352" s="221">
        <f t="shared" si="110"/>
        <v>0</v>
      </c>
      <c r="F352" s="218">
        <f t="shared" si="102"/>
        <v>0</v>
      </c>
      <c r="G352" s="218">
        <f t="shared" si="103"/>
        <v>0</v>
      </c>
      <c r="H352" s="218">
        <f t="shared" si="104"/>
        <v>0</v>
      </c>
      <c r="I352" s="218">
        <f t="shared" si="105"/>
        <v>0</v>
      </c>
      <c r="J352" s="218">
        <f t="shared" si="106"/>
        <v>0</v>
      </c>
      <c r="K352" s="218">
        <f t="shared" si="107"/>
        <v>0</v>
      </c>
      <c r="L352" s="192">
        <f t="shared" si="111"/>
        <v>0</v>
      </c>
      <c r="M352" s="211">
        <v>73</v>
      </c>
      <c r="N352" s="211">
        <f>(29.53*1.02)*0.8203*1.0824</f>
        <v>26.743861462032005</v>
      </c>
      <c r="O352" s="211">
        <f>(42.96*1.02)*0.8203*1.0824</f>
        <v>38.906748676224005</v>
      </c>
      <c r="P352" s="211">
        <f>(16.43*1.02)*0.8203*1.0824</f>
        <v>14.879838937392002</v>
      </c>
      <c r="Q352" s="211">
        <f>(12.76*1.02)*0.8203*1.0824</f>
        <v>11.556101329344001</v>
      </c>
      <c r="R352" s="211">
        <f>(1.27*1.02)*0.8203*1.0824</f>
        <v>1.1501762294880002</v>
      </c>
      <c r="S352" s="211">
        <f>(0.0584*1.02)*0.8203*1.0824</f>
        <v>5.2889993544960004E-2</v>
      </c>
      <c r="T352" s="358">
        <f t="shared" si="112"/>
        <v>0</v>
      </c>
      <c r="U352" s="358">
        <f t="shared" si="108"/>
        <v>0</v>
      </c>
      <c r="V352" s="358">
        <f t="shared" si="108"/>
        <v>0</v>
      </c>
      <c r="W352" s="358">
        <f t="shared" si="108"/>
        <v>0</v>
      </c>
      <c r="X352" s="358">
        <f t="shared" si="108"/>
        <v>0</v>
      </c>
      <c r="Y352" s="358">
        <f t="shared" si="108"/>
        <v>0</v>
      </c>
      <c r="Z352" s="358">
        <f t="shared" si="89"/>
        <v>0</v>
      </c>
      <c r="AA352" s="2733"/>
    </row>
    <row r="353" spans="1:27" ht="18.75" x14ac:dyDescent="0.25">
      <c r="A353" s="2456"/>
      <c r="B353" s="743">
        <v>2030</v>
      </c>
      <c r="C353" s="218">
        <f t="shared" si="101"/>
        <v>0</v>
      </c>
      <c r="D353" s="221">
        <f t="shared" si="109"/>
        <v>0</v>
      </c>
      <c r="E353" s="221">
        <f t="shared" si="110"/>
        <v>0</v>
      </c>
      <c r="F353" s="218">
        <f t="shared" si="102"/>
        <v>0</v>
      </c>
      <c r="G353" s="218">
        <f t="shared" si="103"/>
        <v>0</v>
      </c>
      <c r="H353" s="218">
        <f t="shared" si="104"/>
        <v>0</v>
      </c>
      <c r="I353" s="218">
        <f t="shared" si="105"/>
        <v>0</v>
      </c>
      <c r="J353" s="218">
        <f t="shared" si="106"/>
        <v>0</v>
      </c>
      <c r="K353" s="218">
        <f t="shared" si="107"/>
        <v>0</v>
      </c>
      <c r="L353" s="192">
        <f t="shared" si="111"/>
        <v>0</v>
      </c>
      <c r="M353" s="211">
        <v>75</v>
      </c>
      <c r="N353" s="211">
        <f>(29.53*1.02)*0.8043*1.0824</f>
        <v>26.222220862992003</v>
      </c>
      <c r="O353" s="211">
        <f>(42.96*1.02)*0.8043*1.0824</f>
        <v>38.147870242944002</v>
      </c>
      <c r="P353" s="211">
        <f>(16.43*1.02)*0.8043*1.0824</f>
        <v>14.589606799152003</v>
      </c>
      <c r="Q353" s="211">
        <f>(12.76*1.02)*0.8043*1.0824</f>
        <v>11.330698889664001</v>
      </c>
      <c r="R353" s="211">
        <f>(1.27*1.02)*0.8043*1.0824</f>
        <v>1.1277419741280001</v>
      </c>
      <c r="S353" s="211">
        <f>(0.0584*1.02)*0.8043*1.0824</f>
        <v>5.1858371093760007E-2</v>
      </c>
      <c r="T353" s="358">
        <f t="shared" si="112"/>
        <v>0</v>
      </c>
      <c r="U353" s="358">
        <f t="shared" si="108"/>
        <v>0</v>
      </c>
      <c r="V353" s="358">
        <f t="shared" si="108"/>
        <v>0</v>
      </c>
      <c r="W353" s="358">
        <f t="shared" si="108"/>
        <v>0</v>
      </c>
      <c r="X353" s="358">
        <f t="shared" si="108"/>
        <v>0</v>
      </c>
      <c r="Y353" s="358">
        <f t="shared" si="108"/>
        <v>0</v>
      </c>
      <c r="Z353" s="358">
        <f t="shared" si="89"/>
        <v>0</v>
      </c>
      <c r="AA353" s="2733"/>
    </row>
    <row r="354" spans="1:27" ht="18.75" x14ac:dyDescent="0.25">
      <c r="A354" s="2456"/>
      <c r="B354" s="743">
        <v>2031</v>
      </c>
      <c r="C354" s="218">
        <f t="shared" si="101"/>
        <v>0</v>
      </c>
      <c r="D354" s="221">
        <f t="shared" si="109"/>
        <v>0</v>
      </c>
      <c r="E354" s="221">
        <f t="shared" si="110"/>
        <v>0</v>
      </c>
      <c r="F354" s="218">
        <f t="shared" si="102"/>
        <v>0</v>
      </c>
      <c r="G354" s="218">
        <f t="shared" si="103"/>
        <v>0</v>
      </c>
      <c r="H354" s="218">
        <f t="shared" si="104"/>
        <v>0</v>
      </c>
      <c r="I354" s="218">
        <f t="shared" si="105"/>
        <v>0</v>
      </c>
      <c r="J354" s="218">
        <f t="shared" si="106"/>
        <v>0</v>
      </c>
      <c r="K354" s="218">
        <f t="shared" si="107"/>
        <v>0</v>
      </c>
      <c r="L354" s="192">
        <f t="shared" si="111"/>
        <v>0</v>
      </c>
      <c r="M354" s="211">
        <v>76</v>
      </c>
      <c r="N354" s="211">
        <f>(29.53*1.02)*0.7885*1.0824</f>
        <v>25.70710077144</v>
      </c>
      <c r="O354" s="211">
        <f>(42.96*1.02)*0.7885*1.0824</f>
        <v>37.398477790080001</v>
      </c>
      <c r="P354" s="211">
        <f>(16.43*1.02)*0.7885*1.0824</f>
        <v>14.303002562640001</v>
      </c>
      <c r="Q354" s="211">
        <f>(12.76*1.02)*0.7885*1.0824</f>
        <v>11.108113980480001</v>
      </c>
      <c r="R354" s="211">
        <f>(1.27*1.02)*0.7885*1.0824</f>
        <v>1.1055881469600002</v>
      </c>
      <c r="S354" s="211">
        <f>(0.0584*1.02)*0.7885*1.0824</f>
        <v>5.0839643923200006E-2</v>
      </c>
      <c r="T354" s="358">
        <f t="shared" si="112"/>
        <v>0</v>
      </c>
      <c r="U354" s="358">
        <f t="shared" si="108"/>
        <v>0</v>
      </c>
      <c r="V354" s="358">
        <f t="shared" si="108"/>
        <v>0</v>
      </c>
      <c r="W354" s="358">
        <f t="shared" si="108"/>
        <v>0</v>
      </c>
      <c r="X354" s="358">
        <f t="shared" si="108"/>
        <v>0</v>
      </c>
      <c r="Y354" s="358">
        <f t="shared" si="108"/>
        <v>0</v>
      </c>
      <c r="Z354" s="358">
        <f t="shared" si="89"/>
        <v>0</v>
      </c>
      <c r="AA354" s="2733"/>
    </row>
    <row r="355" spans="1:27" ht="18.75" x14ac:dyDescent="0.25">
      <c r="A355" s="2456"/>
      <c r="B355" s="743">
        <v>2032</v>
      </c>
      <c r="C355" s="218">
        <f t="shared" si="101"/>
        <v>0</v>
      </c>
      <c r="D355" s="221">
        <f t="shared" si="109"/>
        <v>0</v>
      </c>
      <c r="E355" s="221">
        <f t="shared" si="110"/>
        <v>0</v>
      </c>
      <c r="F355" s="218">
        <f t="shared" si="102"/>
        <v>0</v>
      </c>
      <c r="G355" s="218">
        <f t="shared" si="103"/>
        <v>0</v>
      </c>
      <c r="H355" s="218">
        <f t="shared" si="104"/>
        <v>0</v>
      </c>
      <c r="I355" s="218">
        <f t="shared" si="105"/>
        <v>0</v>
      </c>
      <c r="J355" s="218">
        <f t="shared" si="106"/>
        <v>0</v>
      </c>
      <c r="K355" s="218">
        <f t="shared" si="107"/>
        <v>0</v>
      </c>
      <c r="L355" s="192">
        <f t="shared" si="111"/>
        <v>0</v>
      </c>
      <c r="M355" s="211">
        <v>77</v>
      </c>
      <c r="N355" s="211">
        <f>(29.53*1.02)*0.773*1.0824</f>
        <v>25.201761441120002</v>
      </c>
      <c r="O355" s="211">
        <f>(42.96*1.02)*0.773*1.0824</f>
        <v>36.663314307840004</v>
      </c>
      <c r="P355" s="211">
        <f>(16.43*1.02)*0.773*1.0824</f>
        <v>14.021840178720002</v>
      </c>
      <c r="Q355" s="211">
        <f>(12.76*1.02)*0.773*1.0824</f>
        <v>10.889755367040001</v>
      </c>
      <c r="R355" s="211">
        <f>(1.27*1.02)*0.773*1.0824</f>
        <v>1.0838549620800002</v>
      </c>
      <c r="S355" s="211">
        <f>(0.0584*1.02)*0.773*1.0824</f>
        <v>4.9840259673600007E-2</v>
      </c>
      <c r="T355" s="358">
        <f t="shared" si="112"/>
        <v>0</v>
      </c>
      <c r="U355" s="358">
        <f t="shared" si="108"/>
        <v>0</v>
      </c>
      <c r="V355" s="358">
        <f t="shared" si="108"/>
        <v>0</v>
      </c>
      <c r="W355" s="358">
        <f t="shared" si="108"/>
        <v>0</v>
      </c>
      <c r="X355" s="358">
        <f t="shared" si="108"/>
        <v>0</v>
      </c>
      <c r="Y355" s="358">
        <f t="shared" si="108"/>
        <v>0</v>
      </c>
      <c r="Z355" s="358">
        <f t="shared" si="89"/>
        <v>0</v>
      </c>
      <c r="AA355" s="2733"/>
    </row>
    <row r="356" spans="1:27" ht="18.75" x14ac:dyDescent="0.25">
      <c r="A356" s="2456"/>
      <c r="B356" s="743">
        <v>2033</v>
      </c>
      <c r="C356" s="218">
        <f t="shared" si="101"/>
        <v>0</v>
      </c>
      <c r="D356" s="221">
        <f t="shared" si="109"/>
        <v>0</v>
      </c>
      <c r="E356" s="221">
        <f t="shared" si="110"/>
        <v>0</v>
      </c>
      <c r="F356" s="218">
        <f t="shared" si="102"/>
        <v>0</v>
      </c>
      <c r="G356" s="218">
        <f t="shared" si="103"/>
        <v>0</v>
      </c>
      <c r="H356" s="218">
        <f t="shared" si="104"/>
        <v>0</v>
      </c>
      <c r="I356" s="218">
        <f t="shared" si="105"/>
        <v>0</v>
      </c>
      <c r="J356" s="218">
        <f t="shared" si="106"/>
        <v>0</v>
      </c>
      <c r="K356" s="218">
        <f t="shared" si="107"/>
        <v>0</v>
      </c>
      <c r="L356" s="192">
        <f t="shared" si="111"/>
        <v>0</v>
      </c>
      <c r="M356" s="211">
        <v>78</v>
      </c>
      <c r="N356" s="211">
        <f>(29.53*1.02)*0.7579*1.0824</f>
        <v>24.709463125776001</v>
      </c>
      <c r="O356" s="211">
        <f>(42.96*1.02)*0.7579*1.0824</f>
        <v>35.947122786432004</v>
      </c>
      <c r="P356" s="211">
        <f>(16.43*1.02)*0.7579*1.0824</f>
        <v>13.747933598256003</v>
      </c>
      <c r="Q356" s="211">
        <f>(12.76*1.02)*0.7579*1.0824</f>
        <v>10.677031814592</v>
      </c>
      <c r="R356" s="211">
        <f>(1.27*1.02)*0.7579*1.0824</f>
        <v>1.0626826335840001</v>
      </c>
      <c r="S356" s="211">
        <f>(0.0584*1.02)*0.7579*1.0824</f>
        <v>4.8866665985280007E-2</v>
      </c>
      <c r="T356" s="358">
        <f t="shared" si="112"/>
        <v>0</v>
      </c>
      <c r="U356" s="358">
        <f t="shared" si="108"/>
        <v>0</v>
      </c>
      <c r="V356" s="358">
        <f t="shared" si="108"/>
        <v>0</v>
      </c>
      <c r="W356" s="358">
        <f t="shared" si="108"/>
        <v>0</v>
      </c>
      <c r="X356" s="358">
        <f t="shared" si="108"/>
        <v>0</v>
      </c>
      <c r="Y356" s="358">
        <f t="shared" si="108"/>
        <v>0</v>
      </c>
      <c r="Z356" s="358">
        <f t="shared" si="89"/>
        <v>0</v>
      </c>
      <c r="AA356" s="2733"/>
    </row>
    <row r="357" spans="1:27" ht="18.75" x14ac:dyDescent="0.25">
      <c r="A357" s="2456"/>
      <c r="B357" s="743">
        <v>2034</v>
      </c>
      <c r="C357" s="218">
        <f t="shared" si="101"/>
        <v>0</v>
      </c>
      <c r="D357" s="221">
        <f t="shared" si="109"/>
        <v>0</v>
      </c>
      <c r="E357" s="221">
        <f t="shared" si="110"/>
        <v>0</v>
      </c>
      <c r="F357" s="218">
        <f t="shared" si="102"/>
        <v>0</v>
      </c>
      <c r="G357" s="218">
        <f t="shared" si="103"/>
        <v>0</v>
      </c>
      <c r="H357" s="218">
        <f t="shared" si="104"/>
        <v>0</v>
      </c>
      <c r="I357" s="218">
        <f t="shared" si="105"/>
        <v>0</v>
      </c>
      <c r="J357" s="218">
        <f t="shared" si="106"/>
        <v>0</v>
      </c>
      <c r="K357" s="218">
        <f t="shared" si="107"/>
        <v>0</v>
      </c>
      <c r="L357" s="192">
        <f t="shared" si="111"/>
        <v>0</v>
      </c>
      <c r="M357" s="211">
        <v>79</v>
      </c>
      <c r="N357" s="211">
        <f>(29.53*1.02)*0.743*1.0824</f>
        <v>24.223685317920005</v>
      </c>
      <c r="O357" s="211">
        <f>(42.96*1.02)*0.743*1.0824</f>
        <v>35.24041724544</v>
      </c>
      <c r="P357" s="211">
        <f>(16.43*1.02)*0.743*1.0824</f>
        <v>13.477654919520001</v>
      </c>
      <c r="Q357" s="211">
        <f>(12.76*1.02)*0.743*1.0824</f>
        <v>10.467125792640001</v>
      </c>
      <c r="R357" s="211">
        <f>(1.27*1.02)*0.743*1.0824</f>
        <v>1.04179073328</v>
      </c>
      <c r="S357" s="211">
        <f>(0.0584*1.02)*0.743*1.0824</f>
        <v>4.7905967577600003E-2</v>
      </c>
      <c r="T357" s="358">
        <f t="shared" si="112"/>
        <v>0</v>
      </c>
      <c r="U357" s="358">
        <f t="shared" si="108"/>
        <v>0</v>
      </c>
      <c r="V357" s="358">
        <f t="shared" si="108"/>
        <v>0</v>
      </c>
      <c r="W357" s="358">
        <f t="shared" si="108"/>
        <v>0</v>
      </c>
      <c r="X357" s="358">
        <f t="shared" si="108"/>
        <v>0</v>
      </c>
      <c r="Y357" s="358">
        <f t="shared" si="108"/>
        <v>0</v>
      </c>
      <c r="Z357" s="358">
        <f t="shared" si="89"/>
        <v>0</v>
      </c>
      <c r="AA357" s="2733"/>
    </row>
    <row r="358" spans="1:27" ht="18.75" x14ac:dyDescent="0.25">
      <c r="A358" s="2456"/>
      <c r="B358" s="743">
        <v>2035</v>
      </c>
      <c r="C358" s="218">
        <f t="shared" si="101"/>
        <v>0</v>
      </c>
      <c r="D358" s="221">
        <f t="shared" si="109"/>
        <v>0</v>
      </c>
      <c r="E358" s="221">
        <f t="shared" si="110"/>
        <v>0</v>
      </c>
      <c r="F358" s="218">
        <f t="shared" si="102"/>
        <v>0</v>
      </c>
      <c r="G358" s="218">
        <f t="shared" si="103"/>
        <v>0</v>
      </c>
      <c r="H358" s="218">
        <f t="shared" si="104"/>
        <v>0</v>
      </c>
      <c r="I358" s="218">
        <f t="shared" si="105"/>
        <v>0</v>
      </c>
      <c r="J358" s="218">
        <f t="shared" si="106"/>
        <v>0</v>
      </c>
      <c r="K358" s="218">
        <f t="shared" si="107"/>
        <v>0</v>
      </c>
      <c r="L358" s="192">
        <f t="shared" si="111"/>
        <v>0</v>
      </c>
      <c r="M358" s="211">
        <v>80</v>
      </c>
      <c r="N358" s="211">
        <f>(29.53*1.02)*0.7284*1.0824</f>
        <v>23.747688271296006</v>
      </c>
      <c r="O358" s="211">
        <f>(42.96*1.02)*0.7284*1.0824</f>
        <v>34.547940675072006</v>
      </c>
      <c r="P358" s="211">
        <f>(16.43*1.02)*0.7284*1.0824</f>
        <v>13.212818093376002</v>
      </c>
      <c r="Q358" s="211">
        <f>(12.76*1.02)*0.7284*1.0824</f>
        <v>10.261446066432002</v>
      </c>
      <c r="R358" s="211">
        <f>(1.27*1.02)*0.7284*1.0824</f>
        <v>1.0213194752640002</v>
      </c>
      <c r="S358" s="211">
        <f>(0.0584*1.02)*0.7284*1.0824</f>
        <v>4.6964612090880008E-2</v>
      </c>
      <c r="T358" s="358">
        <f t="shared" si="112"/>
        <v>0</v>
      </c>
      <c r="U358" s="358">
        <f t="shared" si="108"/>
        <v>0</v>
      </c>
      <c r="V358" s="358">
        <f t="shared" si="108"/>
        <v>0</v>
      </c>
      <c r="W358" s="358">
        <f t="shared" si="108"/>
        <v>0</v>
      </c>
      <c r="X358" s="358">
        <f t="shared" si="108"/>
        <v>0</v>
      </c>
      <c r="Y358" s="358">
        <f t="shared" si="108"/>
        <v>0</v>
      </c>
      <c r="Z358" s="358">
        <f t="shared" si="89"/>
        <v>0</v>
      </c>
      <c r="AA358" s="2733"/>
    </row>
    <row r="359" spans="1:27" ht="18.75" x14ac:dyDescent="0.25">
      <c r="A359" s="2456"/>
      <c r="B359" s="743">
        <v>2036</v>
      </c>
      <c r="C359" s="218">
        <f t="shared" si="101"/>
        <v>0</v>
      </c>
      <c r="D359" s="221">
        <f t="shared" si="109"/>
        <v>0</v>
      </c>
      <c r="E359" s="221">
        <f t="shared" si="110"/>
        <v>0</v>
      </c>
      <c r="F359" s="218">
        <f t="shared" si="102"/>
        <v>0</v>
      </c>
      <c r="G359" s="218">
        <f t="shared" si="103"/>
        <v>0</v>
      </c>
      <c r="H359" s="218">
        <f t="shared" si="104"/>
        <v>0</v>
      </c>
      <c r="I359" s="218">
        <f t="shared" si="105"/>
        <v>0</v>
      </c>
      <c r="J359" s="218">
        <f t="shared" si="106"/>
        <v>0</v>
      </c>
      <c r="K359" s="218">
        <f t="shared" si="107"/>
        <v>0</v>
      </c>
      <c r="L359" s="192">
        <f t="shared" si="111"/>
        <v>0</v>
      </c>
      <c r="M359" s="211">
        <v>81</v>
      </c>
      <c r="N359" s="211">
        <f>(29.53*1.02)*0.7142*1.0824</f>
        <v>23.284732239648001</v>
      </c>
      <c r="O359" s="211">
        <f>(42.96*1.02)*0.7142*1.0824</f>
        <v>33.874436065536003</v>
      </c>
      <c r="P359" s="211">
        <f>(16.43*1.02)*0.7142*1.0824</f>
        <v>12.955237070688</v>
      </c>
      <c r="Q359" s="211">
        <f>(12.76*1.02)*0.7142*1.0824</f>
        <v>10.061401401215999</v>
      </c>
      <c r="R359" s="211">
        <f>(1.27*1.02)*0.7142*1.0824</f>
        <v>1.001409073632</v>
      </c>
      <c r="S359" s="211">
        <f>(0.0584*1.02)*0.7142*1.0824</f>
        <v>4.6049047165439998E-2</v>
      </c>
      <c r="T359" s="358">
        <f t="shared" si="112"/>
        <v>0</v>
      </c>
      <c r="U359" s="358">
        <f t="shared" si="108"/>
        <v>0</v>
      </c>
      <c r="V359" s="358">
        <f t="shared" si="108"/>
        <v>0</v>
      </c>
      <c r="W359" s="358">
        <f t="shared" si="108"/>
        <v>0</v>
      </c>
      <c r="X359" s="358">
        <f t="shared" si="108"/>
        <v>0</v>
      </c>
      <c r="Y359" s="358">
        <f t="shared" si="108"/>
        <v>0</v>
      </c>
      <c r="Z359" s="358">
        <f t="shared" si="89"/>
        <v>0</v>
      </c>
      <c r="AA359" s="2733"/>
    </row>
    <row r="360" spans="1:27" ht="18.75" x14ac:dyDescent="0.25">
      <c r="A360" s="2456"/>
      <c r="B360" s="743">
        <v>2037</v>
      </c>
      <c r="C360" s="218">
        <f t="shared" si="101"/>
        <v>0</v>
      </c>
      <c r="D360" s="221">
        <f t="shared" si="109"/>
        <v>0</v>
      </c>
      <c r="E360" s="221">
        <f t="shared" si="110"/>
        <v>0</v>
      </c>
      <c r="F360" s="218">
        <f t="shared" si="102"/>
        <v>0</v>
      </c>
      <c r="G360" s="218">
        <f t="shared" si="103"/>
        <v>0</v>
      </c>
      <c r="H360" s="218">
        <f t="shared" si="104"/>
        <v>0</v>
      </c>
      <c r="I360" s="218">
        <f t="shared" si="105"/>
        <v>0</v>
      </c>
      <c r="J360" s="218">
        <f t="shared" si="106"/>
        <v>0</v>
      </c>
      <c r="K360" s="218">
        <f t="shared" si="107"/>
        <v>0</v>
      </c>
      <c r="L360" s="192">
        <f t="shared" si="111"/>
        <v>0</v>
      </c>
      <c r="M360" s="211">
        <v>83</v>
      </c>
      <c r="N360" s="211">
        <f>(29.53*1.02)*0.7002*1.0824</f>
        <v>22.828296715488005</v>
      </c>
      <c r="O360" s="211">
        <f>(42.96*1.02)*0.7002*1.0824</f>
        <v>33.210417436416002</v>
      </c>
      <c r="P360" s="211">
        <f>(16.43*1.02)*0.7002*1.0824</f>
        <v>12.701283949728003</v>
      </c>
      <c r="Q360" s="211">
        <f>(12.76*1.02)*0.7002*1.0824</f>
        <v>9.8641742664960006</v>
      </c>
      <c r="R360" s="211">
        <f>(1.27*1.02)*0.7002*1.0824</f>
        <v>0.9817791001920001</v>
      </c>
      <c r="S360" s="211">
        <f>(0.0584*1.02)*0.7002*1.0824</f>
        <v>4.5146377520640005E-2</v>
      </c>
      <c r="T360" s="358">
        <f t="shared" si="112"/>
        <v>0</v>
      </c>
      <c r="U360" s="358">
        <f t="shared" si="108"/>
        <v>0</v>
      </c>
      <c r="V360" s="358">
        <f t="shared" si="108"/>
        <v>0</v>
      </c>
      <c r="W360" s="358">
        <f t="shared" si="108"/>
        <v>0</v>
      </c>
      <c r="X360" s="358">
        <f t="shared" si="108"/>
        <v>0</v>
      </c>
      <c r="Y360" s="358">
        <f t="shared" si="108"/>
        <v>0</v>
      </c>
      <c r="Z360" s="358">
        <f t="shared" si="89"/>
        <v>0</v>
      </c>
      <c r="AA360" s="2733"/>
    </row>
    <row r="361" spans="1:27" ht="18.75" x14ac:dyDescent="0.25">
      <c r="A361" s="2456"/>
      <c r="B361" s="743">
        <v>2038</v>
      </c>
      <c r="C361" s="218">
        <f t="shared" si="101"/>
        <v>0</v>
      </c>
      <c r="D361" s="221">
        <f t="shared" si="109"/>
        <v>0</v>
      </c>
      <c r="E361" s="221">
        <f t="shared" si="110"/>
        <v>0</v>
      </c>
      <c r="F361" s="218">
        <f t="shared" si="102"/>
        <v>0</v>
      </c>
      <c r="G361" s="218">
        <f t="shared" si="103"/>
        <v>0</v>
      </c>
      <c r="H361" s="218">
        <f t="shared" si="104"/>
        <v>0</v>
      </c>
      <c r="I361" s="218">
        <f t="shared" si="105"/>
        <v>0</v>
      </c>
      <c r="J361" s="218">
        <f t="shared" si="106"/>
        <v>0</v>
      </c>
      <c r="K361" s="218">
        <f t="shared" si="107"/>
        <v>0</v>
      </c>
      <c r="L361" s="192">
        <f t="shared" si="111"/>
        <v>0</v>
      </c>
      <c r="M361" s="211">
        <v>84</v>
      </c>
      <c r="N361" s="211">
        <f>(29.53*1.02)*0.6864*1.0824</f>
        <v>22.378381698816003</v>
      </c>
      <c r="O361" s="211">
        <f>(42.96*1.02)*0.6864*1.0824</f>
        <v>32.555884787712003</v>
      </c>
      <c r="P361" s="211">
        <f>(16.43*1.02)*0.6864*1.0824</f>
        <v>12.450958730496001</v>
      </c>
      <c r="Q361" s="211">
        <f>(12.76*1.02)*0.6864*1.0824</f>
        <v>9.6697646622720015</v>
      </c>
      <c r="R361" s="211">
        <f>(1.27*1.02)*0.6864*1.0824</f>
        <v>0.96242955494400007</v>
      </c>
      <c r="S361" s="211">
        <f>(0.0584*1.02)*0.6864*1.0824</f>
        <v>4.4256603156480001E-2</v>
      </c>
      <c r="T361" s="358">
        <f t="shared" si="112"/>
        <v>0</v>
      </c>
      <c r="U361" s="358">
        <f t="shared" si="108"/>
        <v>0</v>
      </c>
      <c r="V361" s="358">
        <f t="shared" si="108"/>
        <v>0</v>
      </c>
      <c r="W361" s="358">
        <f t="shared" si="108"/>
        <v>0</v>
      </c>
      <c r="X361" s="358">
        <f t="shared" si="108"/>
        <v>0</v>
      </c>
      <c r="Y361" s="358">
        <f t="shared" si="108"/>
        <v>0</v>
      </c>
      <c r="Z361" s="358">
        <f t="shared" si="89"/>
        <v>0</v>
      </c>
      <c r="AA361" s="2733"/>
    </row>
    <row r="362" spans="1:27" ht="18.75" x14ac:dyDescent="0.25">
      <c r="A362" s="2456"/>
      <c r="B362" s="743">
        <v>2039</v>
      </c>
      <c r="C362" s="218">
        <f t="shared" si="101"/>
        <v>0</v>
      </c>
      <c r="D362" s="221">
        <f t="shared" si="109"/>
        <v>0</v>
      </c>
      <c r="E362" s="221">
        <f t="shared" si="110"/>
        <v>0</v>
      </c>
      <c r="F362" s="218">
        <f t="shared" si="102"/>
        <v>0</v>
      </c>
      <c r="G362" s="218">
        <f t="shared" si="103"/>
        <v>0</v>
      </c>
      <c r="H362" s="218">
        <f t="shared" si="104"/>
        <v>0</v>
      </c>
      <c r="I362" s="218">
        <f t="shared" si="105"/>
        <v>0</v>
      </c>
      <c r="J362" s="218">
        <f t="shared" si="106"/>
        <v>0</v>
      </c>
      <c r="K362" s="218">
        <f t="shared" si="107"/>
        <v>0</v>
      </c>
      <c r="L362" s="192">
        <f t="shared" si="111"/>
        <v>0</v>
      </c>
      <c r="M362" s="211">
        <v>85</v>
      </c>
      <c r="N362" s="211">
        <f>(29.53*1.02)*0.673*1.0824</f>
        <v>21.941507697120006</v>
      </c>
      <c r="O362" s="211">
        <f>(42.96*1.02)*0.673*1.0824</f>
        <v>31.920324099840006</v>
      </c>
      <c r="P362" s="211">
        <f>(16.43*1.02)*0.673*1.0824</f>
        <v>12.207889314720003</v>
      </c>
      <c r="Q362" s="211">
        <f>(12.76*1.02)*0.673*1.0824</f>
        <v>9.4809901190400012</v>
      </c>
      <c r="R362" s="211">
        <f>(1.27*1.02)*0.673*1.0824</f>
        <v>0.9436408660800002</v>
      </c>
      <c r="S362" s="211">
        <f>(0.0584*1.02)*0.673*1.0824</f>
        <v>4.3392619353600011E-2</v>
      </c>
      <c r="T362" s="358">
        <f t="shared" si="112"/>
        <v>0</v>
      </c>
      <c r="U362" s="358">
        <f t="shared" si="108"/>
        <v>0</v>
      </c>
      <c r="V362" s="358">
        <f t="shared" si="108"/>
        <v>0</v>
      </c>
      <c r="W362" s="358">
        <f t="shared" si="108"/>
        <v>0</v>
      </c>
      <c r="X362" s="358">
        <f t="shared" si="108"/>
        <v>0</v>
      </c>
      <c r="Y362" s="358">
        <f t="shared" si="108"/>
        <v>0</v>
      </c>
      <c r="Z362" s="358">
        <f t="shared" si="89"/>
        <v>0</v>
      </c>
      <c r="AA362" s="2733"/>
    </row>
    <row r="363" spans="1:27" ht="18.75" x14ac:dyDescent="0.25">
      <c r="A363" s="2456"/>
      <c r="B363" s="743">
        <v>2040</v>
      </c>
      <c r="C363" s="218">
        <f t="shared" si="101"/>
        <v>0</v>
      </c>
      <c r="D363" s="221">
        <f t="shared" si="109"/>
        <v>0</v>
      </c>
      <c r="E363" s="221">
        <f t="shared" si="110"/>
        <v>0</v>
      </c>
      <c r="F363" s="218">
        <f t="shared" si="102"/>
        <v>0</v>
      </c>
      <c r="G363" s="218">
        <f t="shared" si="103"/>
        <v>0</v>
      </c>
      <c r="H363" s="218">
        <f t="shared" si="104"/>
        <v>0</v>
      </c>
      <c r="I363" s="218">
        <f t="shared" si="105"/>
        <v>0</v>
      </c>
      <c r="J363" s="218">
        <f t="shared" si="106"/>
        <v>0</v>
      </c>
      <c r="K363" s="218">
        <f t="shared" si="107"/>
        <v>0</v>
      </c>
      <c r="L363" s="192">
        <f t="shared" si="111"/>
        <v>0</v>
      </c>
      <c r="M363" s="211">
        <v>86</v>
      </c>
      <c r="N363" s="211">
        <f>(29.53*1.02)*0.6598*1.0824</f>
        <v>21.511154202912003</v>
      </c>
      <c r="O363" s="211">
        <f>(42.96*1.02)*0.6598*1.0824</f>
        <v>31.294249392384003</v>
      </c>
      <c r="P363" s="211">
        <f>(16.43*1.02)*0.6598*1.0824</f>
        <v>11.968447800672001</v>
      </c>
      <c r="Q363" s="211">
        <f>(12.76*1.02)*0.6598*1.0824</f>
        <v>9.2950331063040004</v>
      </c>
      <c r="R363" s="211">
        <f>(1.27*1.02)*0.6598*1.0824</f>
        <v>0.92513260540800013</v>
      </c>
      <c r="S363" s="211">
        <f>(0.0584*1.02)*0.6598*1.0824</f>
        <v>4.254153083136001E-2</v>
      </c>
      <c r="T363" s="358">
        <f t="shared" si="112"/>
        <v>0</v>
      </c>
      <c r="U363" s="358">
        <f t="shared" si="108"/>
        <v>0</v>
      </c>
      <c r="V363" s="358">
        <f t="shared" si="108"/>
        <v>0</v>
      </c>
      <c r="W363" s="358">
        <f t="shared" si="108"/>
        <v>0</v>
      </c>
      <c r="X363" s="358">
        <f t="shared" si="108"/>
        <v>0</v>
      </c>
      <c r="Y363" s="358">
        <f t="shared" si="108"/>
        <v>0</v>
      </c>
      <c r="Z363" s="358">
        <f t="shared" si="89"/>
        <v>0</v>
      </c>
      <c r="AA363" s="2733"/>
    </row>
    <row r="364" spans="1:27" ht="18.75" x14ac:dyDescent="0.25">
      <c r="A364" s="2456"/>
      <c r="B364" s="743">
        <v>2041</v>
      </c>
      <c r="C364" s="218">
        <f t="shared" si="101"/>
        <v>0</v>
      </c>
      <c r="D364" s="221">
        <f t="shared" si="109"/>
        <v>0</v>
      </c>
      <c r="E364" s="221">
        <f t="shared" si="110"/>
        <v>0</v>
      </c>
      <c r="F364" s="218">
        <f t="shared" si="102"/>
        <v>0</v>
      </c>
      <c r="G364" s="218">
        <f t="shared" si="103"/>
        <v>0</v>
      </c>
      <c r="H364" s="218">
        <f t="shared" si="104"/>
        <v>0</v>
      </c>
      <c r="I364" s="218">
        <f t="shared" si="105"/>
        <v>0</v>
      </c>
      <c r="J364" s="218">
        <f t="shared" si="106"/>
        <v>0</v>
      </c>
      <c r="K364" s="218">
        <f t="shared" si="107"/>
        <v>0</v>
      </c>
      <c r="L364" s="192">
        <f t="shared" si="111"/>
        <v>0</v>
      </c>
      <c r="M364" s="211">
        <v>87</v>
      </c>
      <c r="N364" s="211">
        <f>(29.53*1.02)*0.6468*1.0824</f>
        <v>21.087321216192002</v>
      </c>
      <c r="O364" s="211">
        <f>(42.96*1.02)*0.6468*1.0824</f>
        <v>30.677660665344007</v>
      </c>
      <c r="P364" s="211">
        <f>(16.43*1.02)*0.6468*1.0824</f>
        <v>11.732634188352002</v>
      </c>
      <c r="Q364" s="211">
        <f>(12.76*1.02)*0.6468*1.0824</f>
        <v>9.1118936240640007</v>
      </c>
      <c r="R364" s="211">
        <f>(1.27*1.02)*0.6468*1.0824</f>
        <v>0.9069047729280002</v>
      </c>
      <c r="S364" s="211">
        <f>(0.0584*1.02)*0.6468*1.0824</f>
        <v>4.1703337589760005E-2</v>
      </c>
      <c r="T364" s="358">
        <f t="shared" si="112"/>
        <v>0</v>
      </c>
      <c r="U364" s="358">
        <f t="shared" si="108"/>
        <v>0</v>
      </c>
      <c r="V364" s="358">
        <f t="shared" si="108"/>
        <v>0</v>
      </c>
      <c r="W364" s="358">
        <f t="shared" si="108"/>
        <v>0</v>
      </c>
      <c r="X364" s="358">
        <f t="shared" si="108"/>
        <v>0</v>
      </c>
      <c r="Y364" s="358">
        <f t="shared" si="108"/>
        <v>0</v>
      </c>
      <c r="Z364" s="358">
        <f t="shared" si="89"/>
        <v>0</v>
      </c>
      <c r="AA364" s="2733"/>
    </row>
    <row r="365" spans="1:27" ht="18.75" x14ac:dyDescent="0.25">
      <c r="A365" s="2456"/>
      <c r="B365" s="743">
        <v>2042</v>
      </c>
      <c r="C365" s="218">
        <f t="shared" si="101"/>
        <v>0</v>
      </c>
      <c r="D365" s="221">
        <f t="shared" si="109"/>
        <v>0</v>
      </c>
      <c r="E365" s="221">
        <f t="shared" si="110"/>
        <v>0</v>
      </c>
      <c r="F365" s="218">
        <f t="shared" si="102"/>
        <v>0</v>
      </c>
      <c r="G365" s="218">
        <f t="shared" si="103"/>
        <v>0</v>
      </c>
      <c r="H365" s="218">
        <f t="shared" si="104"/>
        <v>0</v>
      </c>
      <c r="I365" s="218">
        <f t="shared" si="105"/>
        <v>0</v>
      </c>
      <c r="J365" s="218">
        <f t="shared" si="106"/>
        <v>0</v>
      </c>
      <c r="K365" s="218">
        <f t="shared" si="107"/>
        <v>0</v>
      </c>
      <c r="L365" s="192">
        <f t="shared" si="111"/>
        <v>0</v>
      </c>
      <c r="M365" s="211">
        <v>88</v>
      </c>
      <c r="N365" s="211">
        <f>(29.53*1.02)*0.6342*1.0824</f>
        <v>20.676529244448002</v>
      </c>
      <c r="O365" s="211">
        <f>(42.96*1.02)*0.6342*1.0824</f>
        <v>30.080043899136001</v>
      </c>
      <c r="P365" s="211">
        <f>(16.43*1.02)*0.6342*1.0824</f>
        <v>11.504076379488001</v>
      </c>
      <c r="Q365" s="211">
        <f>(12.76*1.02)*0.6342*1.0824</f>
        <v>8.9343892028159999</v>
      </c>
      <c r="R365" s="211">
        <f>(1.27*1.02)*0.6342*1.0824</f>
        <v>0.8892377968320001</v>
      </c>
      <c r="S365" s="211">
        <f>(0.0584*1.02)*0.6342*1.0824</f>
        <v>4.0890934909439999E-2</v>
      </c>
      <c r="T365" s="358">
        <f t="shared" si="112"/>
        <v>0</v>
      </c>
      <c r="U365" s="358">
        <f t="shared" si="108"/>
        <v>0</v>
      </c>
      <c r="V365" s="358">
        <f t="shared" si="108"/>
        <v>0</v>
      </c>
      <c r="W365" s="358">
        <f t="shared" si="108"/>
        <v>0</v>
      </c>
      <c r="X365" s="358">
        <f t="shared" si="108"/>
        <v>0</v>
      </c>
      <c r="Y365" s="358">
        <f t="shared" si="108"/>
        <v>0</v>
      </c>
      <c r="Z365" s="358">
        <f t="shared" si="89"/>
        <v>0</v>
      </c>
      <c r="AA365" s="2733"/>
    </row>
    <row r="366" spans="1:27" ht="18.75" x14ac:dyDescent="0.25">
      <c r="A366" s="2456"/>
      <c r="B366" s="743">
        <v>2043</v>
      </c>
      <c r="C366" s="218">
        <f t="shared" si="101"/>
        <v>0</v>
      </c>
      <c r="D366" s="221">
        <f t="shared" si="109"/>
        <v>0</v>
      </c>
      <c r="E366" s="221">
        <f t="shared" si="110"/>
        <v>0</v>
      </c>
      <c r="F366" s="218">
        <f t="shared" si="102"/>
        <v>0</v>
      </c>
      <c r="G366" s="218">
        <f t="shared" si="103"/>
        <v>0</v>
      </c>
      <c r="H366" s="218">
        <f t="shared" si="104"/>
        <v>0</v>
      </c>
      <c r="I366" s="218">
        <f t="shared" si="105"/>
        <v>0</v>
      </c>
      <c r="J366" s="218">
        <f t="shared" si="106"/>
        <v>0</v>
      </c>
      <c r="K366" s="218">
        <f t="shared" si="107"/>
        <v>0</v>
      </c>
      <c r="L366" s="192">
        <f t="shared" si="111"/>
        <v>0</v>
      </c>
      <c r="M366" s="211">
        <v>89</v>
      </c>
      <c r="N366" s="211">
        <f>(29.53*1.02)*0.6217*1.0824</f>
        <v>20.268997526448004</v>
      </c>
      <c r="O366" s="211">
        <f>(42.96*1.02)*0.6217*1.0824</f>
        <v>29.487170123136003</v>
      </c>
      <c r="P366" s="211">
        <f>(16.43*1.02)*0.6217*1.0824</f>
        <v>11.277332521488001</v>
      </c>
      <c r="Q366" s="211">
        <f>(12.76*1.02)*0.6217*1.0824</f>
        <v>8.7582935468160006</v>
      </c>
      <c r="R366" s="211">
        <f>(1.27*1.02)*0.6217*1.0824</f>
        <v>0.87171103483200019</v>
      </c>
      <c r="S366" s="211">
        <f>(0.0584*1.02)*0.6217*1.0824</f>
        <v>4.0084979869440006E-2</v>
      </c>
      <c r="T366" s="358">
        <f t="shared" si="112"/>
        <v>0</v>
      </c>
      <c r="U366" s="358">
        <f t="shared" si="108"/>
        <v>0</v>
      </c>
      <c r="V366" s="358">
        <f t="shared" si="108"/>
        <v>0</v>
      </c>
      <c r="W366" s="358">
        <f t="shared" si="108"/>
        <v>0</v>
      </c>
      <c r="X366" s="358">
        <f t="shared" si="108"/>
        <v>0</v>
      </c>
      <c r="Y366" s="358">
        <f t="shared" si="108"/>
        <v>0</v>
      </c>
      <c r="Z366" s="358">
        <f t="shared" si="89"/>
        <v>0</v>
      </c>
      <c r="AA366" s="2733"/>
    </row>
    <row r="367" spans="1:27" ht="18.75" x14ac:dyDescent="0.25">
      <c r="A367" s="2456"/>
      <c r="B367" s="743">
        <v>2044</v>
      </c>
      <c r="C367" s="218">
        <f t="shared" si="101"/>
        <v>0</v>
      </c>
      <c r="D367" s="221">
        <f t="shared" si="109"/>
        <v>0</v>
      </c>
      <c r="E367" s="221">
        <f t="shared" si="110"/>
        <v>0</v>
      </c>
      <c r="F367" s="218">
        <f t="shared" si="102"/>
        <v>0</v>
      </c>
      <c r="G367" s="218">
        <f t="shared" si="103"/>
        <v>0</v>
      </c>
      <c r="H367" s="218">
        <f t="shared" si="104"/>
        <v>0</v>
      </c>
      <c r="I367" s="218">
        <f t="shared" si="105"/>
        <v>0</v>
      </c>
      <c r="J367" s="218">
        <f t="shared" si="106"/>
        <v>0</v>
      </c>
      <c r="K367" s="218">
        <f t="shared" si="107"/>
        <v>0</v>
      </c>
      <c r="L367" s="192">
        <f t="shared" si="111"/>
        <v>0</v>
      </c>
      <c r="M367" s="211">
        <v>90</v>
      </c>
      <c r="N367" s="211">
        <f>(29.53*1.02)*0.6095*1.0824</f>
        <v>19.871246569680004</v>
      </c>
      <c r="O367" s="211">
        <f>(42.96*1.02)*0.6095*1.0824</f>
        <v>28.908525317760002</v>
      </c>
      <c r="P367" s="211">
        <f>(16.43*1.02)*0.6095*1.0824</f>
        <v>11.056030516080002</v>
      </c>
      <c r="Q367" s="211">
        <f>(12.76*1.02)*0.6095*1.0824</f>
        <v>8.5864241865600004</v>
      </c>
      <c r="R367" s="211">
        <f>(1.27*1.02)*0.6095*1.0824</f>
        <v>0.85460491512000014</v>
      </c>
      <c r="S367" s="211">
        <f>(0.0584*1.02)*0.6095*1.0824</f>
        <v>3.9298367750400007E-2</v>
      </c>
      <c r="T367" s="358">
        <f t="shared" si="112"/>
        <v>0</v>
      </c>
      <c r="U367" s="358">
        <f t="shared" si="108"/>
        <v>0</v>
      </c>
      <c r="V367" s="358">
        <f t="shared" si="108"/>
        <v>0</v>
      </c>
      <c r="W367" s="358">
        <f t="shared" si="108"/>
        <v>0</v>
      </c>
      <c r="X367" s="358">
        <f t="shared" si="108"/>
        <v>0</v>
      </c>
      <c r="Y367" s="358">
        <f t="shared" si="108"/>
        <v>0</v>
      </c>
      <c r="Z367" s="358">
        <f t="shared" si="89"/>
        <v>0</v>
      </c>
      <c r="AA367" s="2733"/>
    </row>
    <row r="368" spans="1:27" ht="18.75" x14ac:dyDescent="0.25">
      <c r="A368" s="2456"/>
      <c r="B368" s="743">
        <v>2045</v>
      </c>
      <c r="C368" s="218">
        <f t="shared" si="101"/>
        <v>0</v>
      </c>
      <c r="D368" s="221">
        <f t="shared" si="109"/>
        <v>0</v>
      </c>
      <c r="E368" s="221">
        <f t="shared" si="110"/>
        <v>0</v>
      </c>
      <c r="F368" s="218">
        <f t="shared" si="102"/>
        <v>0</v>
      </c>
      <c r="G368" s="218">
        <f t="shared" si="103"/>
        <v>0</v>
      </c>
      <c r="H368" s="218">
        <f t="shared" si="104"/>
        <v>0</v>
      </c>
      <c r="I368" s="218">
        <f t="shared" si="105"/>
        <v>0</v>
      </c>
      <c r="J368" s="218">
        <f t="shared" si="106"/>
        <v>0</v>
      </c>
      <c r="K368" s="218">
        <f t="shared" si="107"/>
        <v>0</v>
      </c>
      <c r="L368" s="192">
        <f t="shared" si="111"/>
        <v>0</v>
      </c>
      <c r="M368" s="211">
        <v>92</v>
      </c>
      <c r="N368" s="211">
        <f>(29.53*1.02)*0.5976*1.0824</f>
        <v>19.483276374144001</v>
      </c>
      <c r="O368" s="211">
        <f>(42.96*1.02)*0.5976*1.0824</f>
        <v>28.344109483008001</v>
      </c>
      <c r="P368" s="211">
        <f>(16.43*1.02)*0.5976*1.0824</f>
        <v>10.840170363264003</v>
      </c>
      <c r="Q368" s="211">
        <f>(12.76*1.02)*0.5976*1.0824</f>
        <v>8.4187811220480011</v>
      </c>
      <c r="R368" s="211">
        <f>(1.27*1.02)*0.5976*1.0824</f>
        <v>0.83791943769600008</v>
      </c>
      <c r="S368" s="211">
        <f>(0.0584*1.02)*0.5976*1.0824</f>
        <v>3.8531098552320009E-2</v>
      </c>
      <c r="T368" s="358">
        <f t="shared" si="112"/>
        <v>0</v>
      </c>
      <c r="U368" s="358">
        <f t="shared" si="108"/>
        <v>0</v>
      </c>
      <c r="V368" s="358">
        <f t="shared" si="108"/>
        <v>0</v>
      </c>
      <c r="W368" s="358">
        <f t="shared" si="108"/>
        <v>0</v>
      </c>
      <c r="X368" s="358">
        <f t="shared" si="108"/>
        <v>0</v>
      </c>
      <c r="Y368" s="358">
        <f t="shared" si="108"/>
        <v>0</v>
      </c>
      <c r="Z368" s="358">
        <f t="shared" si="89"/>
        <v>0</v>
      </c>
      <c r="AA368" s="2733"/>
    </row>
    <row r="369" spans="1:27" ht="18.75" x14ac:dyDescent="0.25">
      <c r="A369" s="2456"/>
      <c r="B369" s="743">
        <v>2046</v>
      </c>
      <c r="C369" s="218">
        <f t="shared" si="101"/>
        <v>0</v>
      </c>
      <c r="D369" s="221">
        <f t="shared" si="109"/>
        <v>0</v>
      </c>
      <c r="E369" s="221">
        <f t="shared" si="110"/>
        <v>0</v>
      </c>
      <c r="F369" s="218">
        <f t="shared" si="102"/>
        <v>0</v>
      </c>
      <c r="G369" s="218">
        <f t="shared" si="103"/>
        <v>0</v>
      </c>
      <c r="H369" s="218">
        <f t="shared" si="104"/>
        <v>0</v>
      </c>
      <c r="I369" s="218">
        <f t="shared" si="105"/>
        <v>0</v>
      </c>
      <c r="J369" s="218">
        <f t="shared" si="106"/>
        <v>0</v>
      </c>
      <c r="K369" s="218">
        <f t="shared" si="107"/>
        <v>0</v>
      </c>
      <c r="L369" s="192">
        <f t="shared" si="111"/>
        <v>0</v>
      </c>
      <c r="M369" s="211">
        <v>93</v>
      </c>
      <c r="N369" s="211">
        <f>(29.53*1.02)*0.5859*1.0824</f>
        <v>19.101826686096</v>
      </c>
      <c r="O369" s="211">
        <f>(42.96*1.02)*0.5859*1.0824</f>
        <v>27.789179628671999</v>
      </c>
      <c r="P369" s="211">
        <f>(16.43*1.02)*0.5859*1.0824</f>
        <v>10.627938112176002</v>
      </c>
      <c r="Q369" s="211">
        <f>(12.76*1.02)*0.5859*1.0824</f>
        <v>8.2539555880319995</v>
      </c>
      <c r="R369" s="211">
        <f>(1.27*1.02)*0.5859*1.0824</f>
        <v>0.82151438846400004</v>
      </c>
      <c r="S369" s="211">
        <f>(0.0584*1.02)*0.5859*1.0824</f>
        <v>3.777672463488E-2</v>
      </c>
      <c r="T369" s="358">
        <f t="shared" si="112"/>
        <v>0</v>
      </c>
      <c r="U369" s="358">
        <f t="shared" si="108"/>
        <v>0</v>
      </c>
      <c r="V369" s="358">
        <f t="shared" si="108"/>
        <v>0</v>
      </c>
      <c r="W369" s="358">
        <f t="shared" si="108"/>
        <v>0</v>
      </c>
      <c r="X369" s="358">
        <f t="shared" si="108"/>
        <v>0</v>
      </c>
      <c r="Y369" s="358">
        <f t="shared" si="108"/>
        <v>0</v>
      </c>
      <c r="Z369" s="358">
        <f t="shared" si="89"/>
        <v>0</v>
      </c>
      <c r="AA369" s="2733"/>
    </row>
    <row r="370" spans="1:27" ht="18.75" x14ac:dyDescent="0.25">
      <c r="A370" s="2456"/>
      <c r="B370" s="743">
        <v>2047</v>
      </c>
      <c r="C370" s="218">
        <f t="shared" si="101"/>
        <v>0</v>
      </c>
      <c r="D370" s="221">
        <f t="shared" si="109"/>
        <v>0</v>
      </c>
      <c r="E370" s="221">
        <f t="shared" si="110"/>
        <v>0</v>
      </c>
      <c r="F370" s="218">
        <f t="shared" si="102"/>
        <v>0</v>
      </c>
      <c r="G370" s="218">
        <f t="shared" si="103"/>
        <v>0</v>
      </c>
      <c r="H370" s="218">
        <f t="shared" si="104"/>
        <v>0</v>
      </c>
      <c r="I370" s="218">
        <f t="shared" si="105"/>
        <v>0</v>
      </c>
      <c r="J370" s="218">
        <f t="shared" si="106"/>
        <v>0</v>
      </c>
      <c r="K370" s="218">
        <f t="shared" si="107"/>
        <v>0</v>
      </c>
      <c r="L370" s="192">
        <f t="shared" si="111"/>
        <v>0</v>
      </c>
      <c r="M370" s="211">
        <v>94</v>
      </c>
      <c r="N370" s="211">
        <f>(29.53*1.02)*0.5744*1.0824</f>
        <v>18.726897505536005</v>
      </c>
      <c r="O370" s="211">
        <f>(42.96*1.02)*0.5744*1.0824</f>
        <v>27.243735754752002</v>
      </c>
      <c r="P370" s="211">
        <f>(16.43*1.02)*0.5744*1.0824</f>
        <v>10.419333762816001</v>
      </c>
      <c r="Q370" s="211">
        <f>(12.76*1.02)*0.5744*1.0824</f>
        <v>8.0919475845120008</v>
      </c>
      <c r="R370" s="211">
        <f>(1.27*1.02)*0.5744*1.0824</f>
        <v>0.80538976742400015</v>
      </c>
      <c r="S370" s="211">
        <f>(0.0584*1.02)*0.5744*1.0824</f>
        <v>3.7035245998080002E-2</v>
      </c>
      <c r="T370" s="358">
        <f t="shared" si="112"/>
        <v>0</v>
      </c>
      <c r="U370" s="358">
        <f t="shared" si="108"/>
        <v>0</v>
      </c>
      <c r="V370" s="358">
        <f t="shared" si="108"/>
        <v>0</v>
      </c>
      <c r="W370" s="358">
        <f t="shared" si="108"/>
        <v>0</v>
      </c>
      <c r="X370" s="358">
        <f t="shared" si="108"/>
        <v>0</v>
      </c>
      <c r="Y370" s="358">
        <f t="shared" si="108"/>
        <v>0</v>
      </c>
      <c r="Z370" s="358">
        <f t="shared" si="89"/>
        <v>0</v>
      </c>
      <c r="AA370" s="2733"/>
    </row>
    <row r="371" spans="1:27" ht="18.75" x14ac:dyDescent="0.25">
      <c r="A371" s="2456"/>
      <c r="B371" s="743">
        <v>2048</v>
      </c>
      <c r="C371" s="218">
        <f t="shared" si="101"/>
        <v>0</v>
      </c>
      <c r="D371" s="221">
        <f t="shared" si="109"/>
        <v>0</v>
      </c>
      <c r="E371" s="221">
        <f t="shared" si="110"/>
        <v>0</v>
      </c>
      <c r="F371" s="218">
        <f t="shared" si="102"/>
        <v>0</v>
      </c>
      <c r="G371" s="218">
        <f t="shared" si="103"/>
        <v>0</v>
      </c>
      <c r="H371" s="218">
        <f t="shared" si="104"/>
        <v>0</v>
      </c>
      <c r="I371" s="218">
        <f t="shared" si="105"/>
        <v>0</v>
      </c>
      <c r="J371" s="218">
        <f t="shared" si="106"/>
        <v>0</v>
      </c>
      <c r="K371" s="218">
        <f t="shared" si="107"/>
        <v>0</v>
      </c>
      <c r="L371" s="192">
        <f t="shared" si="111"/>
        <v>0</v>
      </c>
      <c r="M371" s="211">
        <v>95</v>
      </c>
      <c r="N371" s="211">
        <f>(29.53*1.02)*0.5631*1.0824</f>
        <v>18.358488832464005</v>
      </c>
      <c r="O371" s="211">
        <f>(42.96*1.02)*0.5631*1.0824</f>
        <v>26.707777861248005</v>
      </c>
      <c r="P371" s="211">
        <f>(16.43*1.02)*0.5631*1.0824</f>
        <v>10.214357315184001</v>
      </c>
      <c r="Q371" s="211">
        <f>(12.76*1.02)*0.5631*1.0824</f>
        <v>7.9327571114880007</v>
      </c>
      <c r="R371" s="211">
        <f>(1.27*1.02)*0.5631*1.0824</f>
        <v>0.78954557457600016</v>
      </c>
      <c r="S371" s="211">
        <f>(0.0584*1.02)*0.5631*1.0824</f>
        <v>3.6306662641920007E-2</v>
      </c>
      <c r="T371" s="358">
        <f t="shared" si="112"/>
        <v>0</v>
      </c>
      <c r="U371" s="358">
        <f t="shared" si="108"/>
        <v>0</v>
      </c>
      <c r="V371" s="358">
        <f t="shared" si="108"/>
        <v>0</v>
      </c>
      <c r="W371" s="358">
        <f t="shared" si="108"/>
        <v>0</v>
      </c>
      <c r="X371" s="358">
        <f t="shared" si="108"/>
        <v>0</v>
      </c>
      <c r="Y371" s="358">
        <f t="shared" si="108"/>
        <v>0</v>
      </c>
      <c r="Z371" s="358">
        <f t="shared" si="89"/>
        <v>0</v>
      </c>
      <c r="AA371" s="2733"/>
    </row>
    <row r="372" spans="1:27" ht="18.75" x14ac:dyDescent="0.25">
      <c r="A372" s="2456"/>
      <c r="B372" s="743">
        <v>2049</v>
      </c>
      <c r="C372" s="218">
        <f t="shared" si="101"/>
        <v>0</v>
      </c>
      <c r="D372" s="221">
        <f t="shared" si="109"/>
        <v>0</v>
      </c>
      <c r="E372" s="221">
        <f t="shared" si="110"/>
        <v>0</v>
      </c>
      <c r="F372" s="218">
        <f t="shared" si="102"/>
        <v>0</v>
      </c>
      <c r="G372" s="218">
        <f t="shared" si="103"/>
        <v>0</v>
      </c>
      <c r="H372" s="218">
        <f t="shared" si="104"/>
        <v>0</v>
      </c>
      <c r="I372" s="218">
        <f t="shared" si="105"/>
        <v>0</v>
      </c>
      <c r="J372" s="218">
        <f t="shared" si="106"/>
        <v>0</v>
      </c>
      <c r="K372" s="218">
        <f t="shared" si="107"/>
        <v>0</v>
      </c>
      <c r="L372" s="192">
        <f t="shared" si="111"/>
        <v>0</v>
      </c>
      <c r="M372" s="211">
        <v>96</v>
      </c>
      <c r="N372" s="211">
        <f>(29.53*1.02)*0.5521*1.0824</f>
        <v>17.999860920624005</v>
      </c>
      <c r="O372" s="211">
        <f>(42.96*1.02)*0.5521*1.0824</f>
        <v>26.186048938368003</v>
      </c>
      <c r="P372" s="211">
        <f>(16.43*1.02)*0.5521*1.0824</f>
        <v>10.014822720144002</v>
      </c>
      <c r="Q372" s="211">
        <f>(12.76*1.02)*0.5521*1.0824</f>
        <v>7.7777929342080014</v>
      </c>
      <c r="R372" s="211">
        <f>(1.27*1.02)*0.5521*1.0824</f>
        <v>0.77412202401600017</v>
      </c>
      <c r="S372" s="211">
        <f>(0.0584*1.02)*0.5521*1.0824</f>
        <v>3.5597422206719999E-2</v>
      </c>
      <c r="T372" s="358">
        <f t="shared" si="112"/>
        <v>0</v>
      </c>
      <c r="U372" s="358">
        <f t="shared" si="108"/>
        <v>0</v>
      </c>
      <c r="V372" s="358">
        <f t="shared" si="108"/>
        <v>0</v>
      </c>
      <c r="W372" s="358">
        <f t="shared" si="108"/>
        <v>0</v>
      </c>
      <c r="X372" s="358">
        <f t="shared" si="108"/>
        <v>0</v>
      </c>
      <c r="Y372" s="358">
        <f t="shared" si="108"/>
        <v>0</v>
      </c>
      <c r="Z372" s="358">
        <f t="shared" si="89"/>
        <v>0</v>
      </c>
      <c r="AA372" s="2733"/>
    </row>
    <row r="373" spans="1:27" ht="18.75" x14ac:dyDescent="0.25">
      <c r="A373" s="2456"/>
      <c r="B373" s="743">
        <v>2050</v>
      </c>
      <c r="C373" s="218">
        <f t="shared" si="101"/>
        <v>0</v>
      </c>
      <c r="D373" s="221">
        <f t="shared" si="109"/>
        <v>0</v>
      </c>
      <c r="E373" s="221">
        <f t="shared" si="110"/>
        <v>0</v>
      </c>
      <c r="F373" s="218">
        <f t="shared" si="102"/>
        <v>0</v>
      </c>
      <c r="G373" s="218">
        <f t="shared" si="103"/>
        <v>0</v>
      </c>
      <c r="H373" s="218">
        <f t="shared" si="104"/>
        <v>0</v>
      </c>
      <c r="I373" s="218">
        <f t="shared" si="105"/>
        <v>0</v>
      </c>
      <c r="J373" s="218">
        <f t="shared" si="106"/>
        <v>0</v>
      </c>
      <c r="K373" s="218">
        <f t="shared" si="107"/>
        <v>0</v>
      </c>
      <c r="L373" s="192">
        <f t="shared" si="111"/>
        <v>0</v>
      </c>
      <c r="M373" s="211">
        <v>97</v>
      </c>
      <c r="N373" s="211">
        <f>(29.53*1.02)*0.5412*1.0824</f>
        <v>17.644493262528005</v>
      </c>
      <c r="O373" s="211">
        <f>(42.96*1.02)*0.5412*1.0824</f>
        <v>25.669063005696003</v>
      </c>
      <c r="P373" s="211">
        <f>(16.43*1.02)*0.5412*1.0824</f>
        <v>9.8171020759680019</v>
      </c>
      <c r="Q373" s="211">
        <f>(12.76*1.02)*0.5412*1.0824</f>
        <v>7.624237522176001</v>
      </c>
      <c r="R373" s="211">
        <f>(1.27*1.02)*0.5412*1.0824</f>
        <v>0.75883868755200012</v>
      </c>
      <c r="S373" s="211">
        <f>(0.0584*1.02)*0.5412*1.0824</f>
        <v>3.4894629411840003E-2</v>
      </c>
      <c r="T373" s="358">
        <f t="shared" si="112"/>
        <v>0</v>
      </c>
      <c r="U373" s="358">
        <f t="shared" si="108"/>
        <v>0</v>
      </c>
      <c r="V373" s="358">
        <f t="shared" si="108"/>
        <v>0</v>
      </c>
      <c r="W373" s="358">
        <f t="shared" si="108"/>
        <v>0</v>
      </c>
      <c r="X373" s="358">
        <f t="shared" si="108"/>
        <v>0</v>
      </c>
      <c r="Y373" s="358">
        <f t="shared" si="108"/>
        <v>0</v>
      </c>
      <c r="Z373" s="358">
        <f t="shared" si="89"/>
        <v>0</v>
      </c>
      <c r="AA373" s="2733"/>
    </row>
    <row r="374" spans="1:27" ht="18.75" x14ac:dyDescent="0.25">
      <c r="A374" s="2456"/>
      <c r="B374" s="743">
        <v>2051</v>
      </c>
      <c r="C374" s="218">
        <f t="shared" ref="C374:C392" si="113">$S$16</f>
        <v>0</v>
      </c>
      <c r="D374" s="221">
        <f t="shared" si="109"/>
        <v>0</v>
      </c>
      <c r="E374" s="221">
        <f t="shared" si="110"/>
        <v>0</v>
      </c>
      <c r="F374" s="218">
        <f t="shared" ref="F374:F392" si="114">$O$16</f>
        <v>0</v>
      </c>
      <c r="G374" s="218">
        <f t="shared" ref="G374:G392" si="115">$P$16</f>
        <v>0</v>
      </c>
      <c r="H374" s="218">
        <f t="shared" ref="H374:H392" si="116">$N$16</f>
        <v>0</v>
      </c>
      <c r="I374" s="218">
        <f t="shared" ref="I374:I392" si="117">$Q$16</f>
        <v>0</v>
      </c>
      <c r="J374" s="218">
        <f t="shared" ref="J374:J392" si="118">$L$16</f>
        <v>0</v>
      </c>
      <c r="K374" s="218">
        <f t="shared" ref="K374:K392" si="119">$M$16</f>
        <v>0</v>
      </c>
      <c r="L374" s="192">
        <f t="shared" si="111"/>
        <v>0</v>
      </c>
      <c r="M374" s="211">
        <v>97</v>
      </c>
      <c r="N374" s="211">
        <f>(29.53*1.02)*0.5306*1.0824</f>
        <v>17.298906365664003</v>
      </c>
      <c r="O374" s="211">
        <f>(42.96*1.02)*0.5306*1.0824</f>
        <v>25.166306043648003</v>
      </c>
      <c r="P374" s="211">
        <f>(16.43*1.02)*0.5306*1.0824</f>
        <v>9.624823284384</v>
      </c>
      <c r="Q374" s="211">
        <f>(12.76*1.02)*0.5306*1.0824</f>
        <v>7.4749084058879998</v>
      </c>
      <c r="R374" s="211">
        <f>(1.27*1.02)*0.5306*1.0824</f>
        <v>0.74397599337600007</v>
      </c>
      <c r="S374" s="211">
        <f>(0.0584*1.02)*0.5306*1.0824</f>
        <v>3.4211179537920001E-2</v>
      </c>
      <c r="T374" s="358">
        <f t="shared" si="112"/>
        <v>0</v>
      </c>
      <c r="U374" s="358">
        <f t="shared" si="108"/>
        <v>0</v>
      </c>
      <c r="V374" s="358">
        <f t="shared" si="108"/>
        <v>0</v>
      </c>
      <c r="W374" s="358">
        <f t="shared" si="108"/>
        <v>0</v>
      </c>
      <c r="X374" s="358">
        <f t="shared" si="108"/>
        <v>0</v>
      </c>
      <c r="Y374" s="358">
        <f t="shared" si="108"/>
        <v>0</v>
      </c>
      <c r="Z374" s="358">
        <f t="shared" si="89"/>
        <v>0</v>
      </c>
      <c r="AA374" s="2733"/>
    </row>
    <row r="375" spans="1:27" ht="18.75" x14ac:dyDescent="0.25">
      <c r="A375" s="2456"/>
      <c r="B375" s="743">
        <v>2052</v>
      </c>
      <c r="C375" s="218">
        <f t="shared" si="113"/>
        <v>0</v>
      </c>
      <c r="D375" s="221">
        <f t="shared" si="109"/>
        <v>0</v>
      </c>
      <c r="E375" s="221">
        <f t="shared" si="110"/>
        <v>0</v>
      </c>
      <c r="F375" s="218">
        <f t="shared" si="114"/>
        <v>0</v>
      </c>
      <c r="G375" s="218">
        <f t="shared" si="115"/>
        <v>0</v>
      </c>
      <c r="H375" s="218">
        <f t="shared" si="116"/>
        <v>0</v>
      </c>
      <c r="I375" s="218">
        <f t="shared" si="117"/>
        <v>0</v>
      </c>
      <c r="J375" s="218">
        <f t="shared" si="118"/>
        <v>0</v>
      </c>
      <c r="K375" s="218">
        <f t="shared" si="119"/>
        <v>0</v>
      </c>
      <c r="L375" s="192">
        <f t="shared" si="111"/>
        <v>0</v>
      </c>
      <c r="M375" s="211">
        <v>97</v>
      </c>
      <c r="N375" s="211">
        <f>(29.53*1.02)*0.5202*1.0824</f>
        <v>16.959839976288002</v>
      </c>
      <c r="O375" s="211">
        <f>(42.96*1.02)*0.5202*1.0824</f>
        <v>24.673035062016002</v>
      </c>
      <c r="P375" s="211">
        <f>(16.43*1.02)*0.5202*1.0824</f>
        <v>9.4361723945280005</v>
      </c>
      <c r="Q375" s="211">
        <f>(12.76*1.02)*0.5202*1.0824</f>
        <v>7.3283968200960006</v>
      </c>
      <c r="R375" s="211">
        <f>(1.27*1.02)*0.5202*1.0824</f>
        <v>0.72939372739200004</v>
      </c>
      <c r="S375" s="211">
        <f>(0.0584*1.02)*0.5202*1.0824</f>
        <v>3.3540624944640003E-2</v>
      </c>
      <c r="T375" s="358">
        <f t="shared" si="112"/>
        <v>0</v>
      </c>
      <c r="U375" s="358">
        <f t="shared" si="108"/>
        <v>0</v>
      </c>
      <c r="V375" s="358">
        <f t="shared" si="108"/>
        <v>0</v>
      </c>
      <c r="W375" s="358">
        <f t="shared" si="108"/>
        <v>0</v>
      </c>
      <c r="X375" s="358">
        <f t="shared" si="108"/>
        <v>0</v>
      </c>
      <c r="Y375" s="358">
        <f t="shared" si="108"/>
        <v>0</v>
      </c>
      <c r="Z375" s="358">
        <f t="shared" si="89"/>
        <v>0</v>
      </c>
      <c r="AA375" s="2733"/>
    </row>
    <row r="376" spans="1:27" ht="18.75" x14ac:dyDescent="0.25">
      <c r="A376" s="2456"/>
      <c r="B376" s="743">
        <v>2053</v>
      </c>
      <c r="C376" s="218">
        <f t="shared" si="113"/>
        <v>0</v>
      </c>
      <c r="D376" s="221">
        <f t="shared" si="109"/>
        <v>0</v>
      </c>
      <c r="E376" s="221">
        <f t="shared" si="110"/>
        <v>0</v>
      </c>
      <c r="F376" s="218">
        <f t="shared" si="114"/>
        <v>0</v>
      </c>
      <c r="G376" s="218">
        <f t="shared" si="115"/>
        <v>0</v>
      </c>
      <c r="H376" s="218">
        <f t="shared" si="116"/>
        <v>0</v>
      </c>
      <c r="I376" s="218">
        <f t="shared" si="117"/>
        <v>0</v>
      </c>
      <c r="J376" s="218">
        <f t="shared" si="118"/>
        <v>0</v>
      </c>
      <c r="K376" s="218">
        <f t="shared" si="119"/>
        <v>0</v>
      </c>
      <c r="L376" s="192">
        <f t="shared" si="111"/>
        <v>0</v>
      </c>
      <c r="M376" s="211">
        <v>97</v>
      </c>
      <c r="N376" s="211">
        <f>(29.53*1.02)*0.51*1</f>
        <v>15.361506000000002</v>
      </c>
      <c r="O376" s="211">
        <f>(42.96*1.02)*0.51*1.0824</f>
        <v>24.189250060800003</v>
      </c>
      <c r="P376" s="211">
        <f>(16.43*1.02)*0.51*1.0824</f>
        <v>9.2511494064000015</v>
      </c>
      <c r="Q376" s="211">
        <f>(12.76*1.02)*0.51*1.0824</f>
        <v>7.1847027647999999</v>
      </c>
      <c r="R376" s="211">
        <f>(1.27*1.02)*0.51*1.0824</f>
        <v>0.71509188960000014</v>
      </c>
      <c r="S376" s="211">
        <f>(0.0584*1.02)*0.51*1.0824</f>
        <v>3.2882965632000001E-2</v>
      </c>
      <c r="T376" s="358">
        <f t="shared" si="112"/>
        <v>0</v>
      </c>
      <c r="U376" s="358">
        <f t="shared" si="108"/>
        <v>0</v>
      </c>
      <c r="V376" s="358">
        <f t="shared" si="108"/>
        <v>0</v>
      </c>
      <c r="W376" s="358">
        <f t="shared" si="108"/>
        <v>0</v>
      </c>
      <c r="X376" s="358">
        <f t="shared" si="108"/>
        <v>0</v>
      </c>
      <c r="Y376" s="358">
        <f t="shared" si="108"/>
        <v>0</v>
      </c>
      <c r="Z376" s="358">
        <f t="shared" si="89"/>
        <v>0</v>
      </c>
      <c r="AA376" s="2733"/>
    </row>
    <row r="377" spans="1:27" ht="18.75" x14ac:dyDescent="0.25">
      <c r="A377" s="2456"/>
      <c r="B377" s="743">
        <v>2054</v>
      </c>
      <c r="C377" s="218">
        <f t="shared" si="113"/>
        <v>0</v>
      </c>
      <c r="D377" s="221">
        <f t="shared" si="109"/>
        <v>0</v>
      </c>
      <c r="E377" s="221">
        <f t="shared" si="110"/>
        <v>0</v>
      </c>
      <c r="F377" s="218">
        <f t="shared" si="114"/>
        <v>0</v>
      </c>
      <c r="G377" s="218">
        <f t="shared" si="115"/>
        <v>0</v>
      </c>
      <c r="H377" s="218">
        <f t="shared" si="116"/>
        <v>0</v>
      </c>
      <c r="I377" s="218">
        <f t="shared" si="117"/>
        <v>0</v>
      </c>
      <c r="J377" s="218">
        <f t="shared" si="118"/>
        <v>0</v>
      </c>
      <c r="K377" s="218">
        <f t="shared" si="119"/>
        <v>0</v>
      </c>
      <c r="L377" s="192">
        <f t="shared" si="111"/>
        <v>0</v>
      </c>
      <c r="M377" s="211">
        <v>97</v>
      </c>
      <c r="N377" s="211">
        <f>(29.53*1.02)*0.5*1.0824</f>
        <v>16.301268720000003</v>
      </c>
      <c r="O377" s="211">
        <f>(42.96*1.02)*0.5*1.0824</f>
        <v>23.714951040000003</v>
      </c>
      <c r="P377" s="211">
        <f>(16.43*1.02)*0.5*1.0824</f>
        <v>9.0697543200000013</v>
      </c>
      <c r="Q377" s="211">
        <f>(12.76*1.02)*0.5*1.0824</f>
        <v>7.0438262400000005</v>
      </c>
      <c r="R377" s="211">
        <f>(1.27*1.02)*0.5*1.0824</f>
        <v>0.70107048000000005</v>
      </c>
      <c r="S377" s="211">
        <f>(0.0584*1.02)*0.5*1.0824</f>
        <v>3.2238201600000002E-2</v>
      </c>
      <c r="T377" s="358">
        <f t="shared" si="112"/>
        <v>0</v>
      </c>
      <c r="U377" s="358">
        <f t="shared" si="108"/>
        <v>0</v>
      </c>
      <c r="V377" s="358">
        <f t="shared" si="108"/>
        <v>0</v>
      </c>
      <c r="W377" s="358">
        <f t="shared" si="108"/>
        <v>0</v>
      </c>
      <c r="X377" s="358">
        <f t="shared" si="108"/>
        <v>0</v>
      </c>
      <c r="Y377" s="358">
        <f t="shared" si="108"/>
        <v>0</v>
      </c>
      <c r="Z377" s="358">
        <f t="shared" si="89"/>
        <v>0</v>
      </c>
      <c r="AA377" s="2733"/>
    </row>
    <row r="378" spans="1:27" ht="18.75" x14ac:dyDescent="0.25">
      <c r="A378" s="2456"/>
      <c r="B378" s="743">
        <v>2055</v>
      </c>
      <c r="C378" s="218">
        <f t="shared" si="113"/>
        <v>0</v>
      </c>
      <c r="D378" s="221">
        <f t="shared" si="109"/>
        <v>0</v>
      </c>
      <c r="E378" s="221">
        <f t="shared" si="110"/>
        <v>0</v>
      </c>
      <c r="F378" s="218">
        <f t="shared" si="114"/>
        <v>0</v>
      </c>
      <c r="G378" s="218">
        <f t="shared" si="115"/>
        <v>0</v>
      </c>
      <c r="H378" s="218">
        <f t="shared" si="116"/>
        <v>0</v>
      </c>
      <c r="I378" s="218">
        <f t="shared" si="117"/>
        <v>0</v>
      </c>
      <c r="J378" s="218">
        <f t="shared" si="118"/>
        <v>0</v>
      </c>
      <c r="K378" s="218">
        <f t="shared" si="119"/>
        <v>0</v>
      </c>
      <c r="L378" s="192">
        <f t="shared" si="111"/>
        <v>0</v>
      </c>
      <c r="M378" s="211">
        <v>97</v>
      </c>
      <c r="N378" s="211">
        <f>(29.53*1.02)*0.4902*1.0824</f>
        <v>15.981763853088003</v>
      </c>
      <c r="O378" s="211">
        <f>(42.96*1.02)*0.4902*1.0824</f>
        <v>23.250137999616001</v>
      </c>
      <c r="P378" s="211">
        <f>(16.43*1.02)*0.4902*1.0824</f>
        <v>8.8919871353280016</v>
      </c>
      <c r="Q378" s="211">
        <f>(12.76*1.02)*0.4902*1.0824</f>
        <v>6.9057672456960004</v>
      </c>
      <c r="R378" s="211">
        <f>(1.27*1.02)*0.4902*1.0824</f>
        <v>0.6873294985920001</v>
      </c>
      <c r="S378" s="211">
        <f>(0.0584*1.02)*0.4902*1.0824</f>
        <v>3.1606332848640006E-2</v>
      </c>
      <c r="T378" s="358">
        <f t="shared" si="112"/>
        <v>0</v>
      </c>
      <c r="U378" s="358">
        <f t="shared" si="108"/>
        <v>0</v>
      </c>
      <c r="V378" s="358">
        <f t="shared" si="108"/>
        <v>0</v>
      </c>
      <c r="W378" s="358">
        <f t="shared" si="108"/>
        <v>0</v>
      </c>
      <c r="X378" s="358">
        <f t="shared" si="108"/>
        <v>0</v>
      </c>
      <c r="Y378" s="358">
        <f t="shared" si="108"/>
        <v>0</v>
      </c>
      <c r="Z378" s="358">
        <f t="shared" si="89"/>
        <v>0</v>
      </c>
      <c r="AA378" s="2733"/>
    </row>
    <row r="379" spans="1:27" ht="18.75" x14ac:dyDescent="0.25">
      <c r="A379" s="2456"/>
      <c r="B379" s="743">
        <v>2056</v>
      </c>
      <c r="C379" s="218">
        <f t="shared" si="113"/>
        <v>0</v>
      </c>
      <c r="D379" s="221">
        <f t="shared" si="109"/>
        <v>0</v>
      </c>
      <c r="E379" s="221">
        <f t="shared" si="110"/>
        <v>0</v>
      </c>
      <c r="F379" s="218">
        <f t="shared" si="114"/>
        <v>0</v>
      </c>
      <c r="G379" s="218">
        <f t="shared" si="115"/>
        <v>0</v>
      </c>
      <c r="H379" s="218">
        <f t="shared" si="116"/>
        <v>0</v>
      </c>
      <c r="I379" s="218">
        <f t="shared" si="117"/>
        <v>0</v>
      </c>
      <c r="J379" s="218">
        <f t="shared" si="118"/>
        <v>0</v>
      </c>
      <c r="K379" s="218">
        <f t="shared" si="119"/>
        <v>0</v>
      </c>
      <c r="L379" s="192">
        <f t="shared" si="111"/>
        <v>0</v>
      </c>
      <c r="M379" s="211">
        <v>97</v>
      </c>
      <c r="N379" s="211">
        <f>(29.53*1.02)*0.4806*1.0824</f>
        <v>15.668779493664003</v>
      </c>
      <c r="O379" s="211">
        <f>(42.96*1.02)*0.4806*1.0824</f>
        <v>22.794810939648006</v>
      </c>
      <c r="P379" s="211">
        <f>(16.43*1.02)*0.4806*1.0824</f>
        <v>8.7178478523840006</v>
      </c>
      <c r="Q379" s="211">
        <f>(12.76*1.02)*0.4806*1.0824</f>
        <v>6.7705257818880007</v>
      </c>
      <c r="R379" s="211">
        <f>(1.27*1.02)*0.4806*1.0824</f>
        <v>0.67386894537600017</v>
      </c>
      <c r="S379" s="211">
        <f>(0.0584*1.02)*0.4806*1.0824</f>
        <v>3.0987359377920003E-2</v>
      </c>
      <c r="T379" s="358">
        <f t="shared" si="112"/>
        <v>0</v>
      </c>
      <c r="U379" s="358">
        <f t="shared" si="108"/>
        <v>0</v>
      </c>
      <c r="V379" s="358">
        <f t="shared" si="108"/>
        <v>0</v>
      </c>
      <c r="W379" s="358">
        <f t="shared" si="108"/>
        <v>0</v>
      </c>
      <c r="X379" s="358">
        <f t="shared" si="108"/>
        <v>0</v>
      </c>
      <c r="Y379" s="358">
        <f t="shared" si="108"/>
        <v>0</v>
      </c>
      <c r="Z379" s="358">
        <f t="shared" si="89"/>
        <v>0</v>
      </c>
      <c r="AA379" s="2733"/>
    </row>
    <row r="380" spans="1:27" ht="18.75" x14ac:dyDescent="0.25">
      <c r="A380" s="2456"/>
      <c r="B380" s="743">
        <v>2057</v>
      </c>
      <c r="C380" s="218">
        <f t="shared" si="113"/>
        <v>0</v>
      </c>
      <c r="D380" s="221">
        <f t="shared" si="109"/>
        <v>0</v>
      </c>
      <c r="E380" s="221">
        <f t="shared" si="110"/>
        <v>0</v>
      </c>
      <c r="F380" s="218">
        <f t="shared" si="114"/>
        <v>0</v>
      </c>
      <c r="G380" s="218">
        <f t="shared" si="115"/>
        <v>0</v>
      </c>
      <c r="H380" s="218">
        <f t="shared" si="116"/>
        <v>0</v>
      </c>
      <c r="I380" s="218">
        <f t="shared" si="117"/>
        <v>0</v>
      </c>
      <c r="J380" s="218">
        <f t="shared" si="118"/>
        <v>0</v>
      </c>
      <c r="K380" s="218">
        <f t="shared" si="119"/>
        <v>0</v>
      </c>
      <c r="L380" s="192">
        <f t="shared" si="111"/>
        <v>0</v>
      </c>
      <c r="M380" s="211">
        <v>97</v>
      </c>
      <c r="N380" s="211">
        <f>(29.53*1.02)*0.4712*1.0824</f>
        <v>15.362315641728001</v>
      </c>
      <c r="O380" s="211">
        <f>(42.96*1.02)*0.4712*1.0824</f>
        <v>22.348969860096002</v>
      </c>
      <c r="P380" s="211">
        <f>(16.43*1.02)*0.4712*1.0824</f>
        <v>8.547336471168002</v>
      </c>
      <c r="Q380" s="211">
        <f>(12.76*1.02)*0.4712*1.0824</f>
        <v>6.6381018485760004</v>
      </c>
      <c r="R380" s="211">
        <f>(1.27*1.02)*0.4712*1.0824</f>
        <v>0.66068882035200005</v>
      </c>
      <c r="S380" s="211">
        <f>(0.0584*1.02)*0.4712*1.0824</f>
        <v>3.038128118784E-2</v>
      </c>
      <c r="T380" s="358">
        <f t="shared" si="112"/>
        <v>0</v>
      </c>
      <c r="U380" s="358">
        <f t="shared" si="108"/>
        <v>0</v>
      </c>
      <c r="V380" s="358">
        <f t="shared" si="108"/>
        <v>0</v>
      </c>
      <c r="W380" s="358">
        <f t="shared" si="108"/>
        <v>0</v>
      </c>
      <c r="X380" s="358">
        <f t="shared" si="108"/>
        <v>0</v>
      </c>
      <c r="Y380" s="358">
        <f t="shared" si="108"/>
        <v>0</v>
      </c>
      <c r="Z380" s="358">
        <f t="shared" si="89"/>
        <v>0</v>
      </c>
      <c r="AA380" s="2733"/>
    </row>
    <row r="381" spans="1:27" ht="18.75" x14ac:dyDescent="0.25">
      <c r="A381" s="2456"/>
      <c r="B381" s="743">
        <v>2058</v>
      </c>
      <c r="C381" s="218">
        <f t="shared" si="113"/>
        <v>0</v>
      </c>
      <c r="D381" s="221">
        <f t="shared" si="109"/>
        <v>0</v>
      </c>
      <c r="E381" s="221">
        <f t="shared" si="110"/>
        <v>0</v>
      </c>
      <c r="F381" s="218">
        <f t="shared" si="114"/>
        <v>0</v>
      </c>
      <c r="G381" s="218">
        <f t="shared" si="115"/>
        <v>0</v>
      </c>
      <c r="H381" s="218">
        <f t="shared" si="116"/>
        <v>0</v>
      </c>
      <c r="I381" s="218">
        <f t="shared" si="117"/>
        <v>0</v>
      </c>
      <c r="J381" s="218">
        <f t="shared" si="118"/>
        <v>0</v>
      </c>
      <c r="K381" s="218">
        <f t="shared" si="119"/>
        <v>0</v>
      </c>
      <c r="L381" s="192">
        <f t="shared" si="111"/>
        <v>0</v>
      </c>
      <c r="M381" s="211">
        <v>97</v>
      </c>
      <c r="N381" s="211">
        <f>(29.53*1.02)*0.4619*1.0824</f>
        <v>15.059112043536</v>
      </c>
      <c r="O381" s="211">
        <f>(42.96*1.02)*0.4619*1.0824</f>
        <v>21.907871770752003</v>
      </c>
      <c r="P381" s="211">
        <f>(16.43*1.02)*0.4619*1.0824</f>
        <v>8.378639040816001</v>
      </c>
      <c r="Q381" s="211">
        <f>(12.76*1.02)*0.4619*1.0824</f>
        <v>6.5070866805119998</v>
      </c>
      <c r="R381" s="211">
        <f>(1.27*1.02)*0.4619*1.0824</f>
        <v>0.647648909424</v>
      </c>
      <c r="S381" s="211">
        <f>(0.0584*1.02)*0.4619*1.0824</f>
        <v>2.9781650638080002E-2</v>
      </c>
      <c r="T381" s="358">
        <f t="shared" si="112"/>
        <v>0</v>
      </c>
      <c r="U381" s="358">
        <f t="shared" si="108"/>
        <v>0</v>
      </c>
      <c r="V381" s="358">
        <f t="shared" si="108"/>
        <v>0</v>
      </c>
      <c r="W381" s="358">
        <f t="shared" si="108"/>
        <v>0</v>
      </c>
      <c r="X381" s="358">
        <f t="shared" si="108"/>
        <v>0</v>
      </c>
      <c r="Y381" s="358">
        <f t="shared" si="108"/>
        <v>0</v>
      </c>
      <c r="Z381" s="358">
        <f t="shared" si="89"/>
        <v>0</v>
      </c>
      <c r="AA381" s="2733"/>
    </row>
    <row r="382" spans="1:27" ht="18.75" x14ac:dyDescent="0.25">
      <c r="A382" s="2456"/>
      <c r="B382" s="743">
        <v>2059</v>
      </c>
      <c r="C382" s="218">
        <f t="shared" si="113"/>
        <v>0</v>
      </c>
      <c r="D382" s="221">
        <f t="shared" si="109"/>
        <v>0</v>
      </c>
      <c r="E382" s="221">
        <f t="shared" si="110"/>
        <v>0</v>
      </c>
      <c r="F382" s="218">
        <f t="shared" si="114"/>
        <v>0</v>
      </c>
      <c r="G382" s="218">
        <f t="shared" si="115"/>
        <v>0</v>
      </c>
      <c r="H382" s="218">
        <f t="shared" si="116"/>
        <v>0</v>
      </c>
      <c r="I382" s="218">
        <f t="shared" si="117"/>
        <v>0</v>
      </c>
      <c r="J382" s="218">
        <f t="shared" si="118"/>
        <v>0</v>
      </c>
      <c r="K382" s="218">
        <f t="shared" si="119"/>
        <v>0</v>
      </c>
      <c r="L382" s="192">
        <f t="shared" si="111"/>
        <v>0</v>
      </c>
      <c r="M382" s="211">
        <v>97</v>
      </c>
      <c r="N382" s="211">
        <f>(29.53*1.02)*0.4529*1.0824</f>
        <v>14.765689206576004</v>
      </c>
      <c r="O382" s="211">
        <f>(42.96*1.02)*0.4529*1.0824</f>
        <v>21.481002652032004</v>
      </c>
      <c r="P382" s="211">
        <f>(16.43*1.02)*0.4529*1.0824</f>
        <v>8.2153834630560016</v>
      </c>
      <c r="Q382" s="211">
        <f>(12.76*1.02)*0.4529*1.0824</f>
        <v>6.380297808192001</v>
      </c>
      <c r="R382" s="211">
        <f>(1.27*1.02)*0.4529*1.0824</f>
        <v>0.63502964078400004</v>
      </c>
      <c r="S382" s="211">
        <f>(0.0584*1.02)*0.4529*1.0824</f>
        <v>2.9201363009280005E-2</v>
      </c>
      <c r="T382" s="358">
        <f t="shared" si="112"/>
        <v>0</v>
      </c>
      <c r="U382" s="358">
        <f t="shared" si="108"/>
        <v>0</v>
      </c>
      <c r="V382" s="358">
        <f t="shared" si="108"/>
        <v>0</v>
      </c>
      <c r="W382" s="358">
        <f t="shared" si="108"/>
        <v>0</v>
      </c>
      <c r="X382" s="358">
        <f t="shared" si="108"/>
        <v>0</v>
      </c>
      <c r="Y382" s="358">
        <f t="shared" si="108"/>
        <v>0</v>
      </c>
      <c r="Z382" s="358">
        <f t="shared" si="89"/>
        <v>0</v>
      </c>
      <c r="AA382" s="2733"/>
    </row>
    <row r="383" spans="1:27" ht="18.75" x14ac:dyDescent="0.25">
      <c r="A383" s="2456"/>
      <c r="B383" s="743">
        <v>2060</v>
      </c>
      <c r="C383" s="218">
        <f t="shared" si="113"/>
        <v>0</v>
      </c>
      <c r="D383" s="221">
        <f t="shared" si="109"/>
        <v>0</v>
      </c>
      <c r="E383" s="221">
        <f t="shared" si="110"/>
        <v>0</v>
      </c>
      <c r="F383" s="218">
        <f t="shared" si="114"/>
        <v>0</v>
      </c>
      <c r="G383" s="218">
        <f t="shared" si="115"/>
        <v>0</v>
      </c>
      <c r="H383" s="218">
        <f t="shared" si="116"/>
        <v>0</v>
      </c>
      <c r="I383" s="218">
        <f t="shared" si="117"/>
        <v>0</v>
      </c>
      <c r="J383" s="218">
        <f t="shared" si="118"/>
        <v>0</v>
      </c>
      <c r="K383" s="218">
        <f t="shared" si="119"/>
        <v>0</v>
      </c>
      <c r="L383" s="192">
        <f t="shared" si="111"/>
        <v>0</v>
      </c>
      <c r="M383" s="211">
        <v>97</v>
      </c>
      <c r="N383" s="211">
        <f>(29.53*1.02)*0.444*1.0824</f>
        <v>14.475526623360002</v>
      </c>
      <c r="O383" s="211">
        <f>(42.96*1.02)*0.444*1.0824</f>
        <v>21.058876523520002</v>
      </c>
      <c r="P383" s="211">
        <f>(16.43*1.02)*0.444*1.0824</f>
        <v>8.0539418361599999</v>
      </c>
      <c r="Q383" s="211">
        <f>(12.76*1.02)*0.444*1.0824</f>
        <v>6.2549177011200001</v>
      </c>
      <c r="R383" s="211">
        <f>(1.27*1.02)*0.444*1.0824</f>
        <v>0.62255058624000004</v>
      </c>
      <c r="S383" s="211">
        <f>(0.0584*1.02)*0.444*1.0824</f>
        <v>2.8627523020800003E-2</v>
      </c>
      <c r="T383" s="358">
        <f t="shared" si="112"/>
        <v>0</v>
      </c>
      <c r="U383" s="358">
        <f t="shared" si="108"/>
        <v>0</v>
      </c>
      <c r="V383" s="358">
        <f t="shared" si="108"/>
        <v>0</v>
      </c>
      <c r="W383" s="358">
        <f t="shared" si="108"/>
        <v>0</v>
      </c>
      <c r="X383" s="358">
        <f t="shared" si="108"/>
        <v>0</v>
      </c>
      <c r="Y383" s="358">
        <f t="shared" si="108"/>
        <v>0</v>
      </c>
      <c r="Z383" s="358">
        <f t="shared" si="89"/>
        <v>0</v>
      </c>
      <c r="AA383" s="2733"/>
    </row>
    <row r="384" spans="1:27" ht="18.75" x14ac:dyDescent="0.25">
      <c r="A384" s="2456"/>
      <c r="B384" s="743">
        <v>2061</v>
      </c>
      <c r="C384" s="218">
        <f t="shared" si="113"/>
        <v>0</v>
      </c>
      <c r="D384" s="221">
        <f t="shared" si="109"/>
        <v>0</v>
      </c>
      <c r="E384" s="221">
        <f t="shared" si="110"/>
        <v>0</v>
      </c>
      <c r="F384" s="218">
        <f t="shared" si="114"/>
        <v>0</v>
      </c>
      <c r="G384" s="218">
        <f t="shared" si="115"/>
        <v>0</v>
      </c>
      <c r="H384" s="218">
        <f t="shared" si="116"/>
        <v>0</v>
      </c>
      <c r="I384" s="218">
        <f t="shared" si="117"/>
        <v>0</v>
      </c>
      <c r="J384" s="218">
        <f t="shared" si="118"/>
        <v>0</v>
      </c>
      <c r="K384" s="218">
        <f t="shared" si="119"/>
        <v>0</v>
      </c>
      <c r="L384" s="192">
        <f t="shared" si="111"/>
        <v>0</v>
      </c>
      <c r="M384" s="211">
        <v>97</v>
      </c>
      <c r="N384" s="211">
        <f>(29.53*1.02)*0.4353*1.0824</f>
        <v>14.191884547632004</v>
      </c>
      <c r="O384" s="211">
        <f>(42.96*1.02)*0.4353*1.0824</f>
        <v>20.646236375424003</v>
      </c>
      <c r="P384" s="211">
        <f>(16.43*1.02)*0.4353*1.0824</f>
        <v>7.8961281109920014</v>
      </c>
      <c r="Q384" s="211">
        <f>(12.76*1.02)*0.4353*1.0824</f>
        <v>6.1323551245440004</v>
      </c>
      <c r="R384" s="211">
        <f>(1.27*1.02)*0.4353*1.0824</f>
        <v>0.61035195988800006</v>
      </c>
      <c r="S384" s="211">
        <f>(0.0584*1.02)*0.4353*1.0824</f>
        <v>2.8066578312960003E-2</v>
      </c>
      <c r="T384" s="358">
        <f t="shared" si="112"/>
        <v>0</v>
      </c>
      <c r="U384" s="358">
        <f t="shared" si="108"/>
        <v>0</v>
      </c>
      <c r="V384" s="358">
        <f t="shared" si="108"/>
        <v>0</v>
      </c>
      <c r="W384" s="358">
        <f t="shared" si="108"/>
        <v>0</v>
      </c>
      <c r="X384" s="358">
        <f t="shared" si="108"/>
        <v>0</v>
      </c>
      <c r="Y384" s="358">
        <f t="shared" si="108"/>
        <v>0</v>
      </c>
      <c r="Z384" s="358">
        <f t="shared" si="89"/>
        <v>0</v>
      </c>
      <c r="AA384" s="2733"/>
    </row>
    <row r="385" spans="1:27" ht="18.75" x14ac:dyDescent="0.25">
      <c r="A385" s="2456"/>
      <c r="B385" s="743">
        <v>2062</v>
      </c>
      <c r="C385" s="218">
        <f t="shared" si="113"/>
        <v>0</v>
      </c>
      <c r="D385" s="221">
        <f t="shared" si="109"/>
        <v>0</v>
      </c>
      <c r="E385" s="221">
        <f t="shared" si="110"/>
        <v>0</v>
      </c>
      <c r="F385" s="218">
        <f t="shared" si="114"/>
        <v>0</v>
      </c>
      <c r="G385" s="218">
        <f t="shared" si="115"/>
        <v>0</v>
      </c>
      <c r="H385" s="218">
        <f t="shared" si="116"/>
        <v>0</v>
      </c>
      <c r="I385" s="218">
        <f t="shared" si="117"/>
        <v>0</v>
      </c>
      <c r="J385" s="218">
        <f t="shared" si="118"/>
        <v>0</v>
      </c>
      <c r="K385" s="218">
        <f t="shared" si="119"/>
        <v>0</v>
      </c>
      <c r="L385" s="192">
        <f t="shared" si="111"/>
        <v>0</v>
      </c>
      <c r="M385" s="211">
        <v>97</v>
      </c>
      <c r="N385" s="211">
        <f>(29.53*1.02)*0.4268*1.0824</f>
        <v>13.914762979392002</v>
      </c>
      <c r="O385" s="211">
        <f>(42.96*1.02)*0.4268*1.0824</f>
        <v>20.243082207744003</v>
      </c>
      <c r="P385" s="211">
        <f>(16.43*1.02)*0.4268*1.0824</f>
        <v>7.7419422875520008</v>
      </c>
      <c r="Q385" s="211">
        <f>(12.76*1.02)*0.4268*1.0824</f>
        <v>6.0126100784640002</v>
      </c>
      <c r="R385" s="211">
        <f>(1.27*1.02)*0.4268*1.0824</f>
        <v>0.59843376172800011</v>
      </c>
      <c r="S385" s="211">
        <f>(0.0584*1.02)*0.4268*1.0824</f>
        <v>2.7518528885760004E-2</v>
      </c>
      <c r="T385" s="358">
        <f t="shared" si="112"/>
        <v>0</v>
      </c>
      <c r="U385" s="358">
        <f t="shared" si="108"/>
        <v>0</v>
      </c>
      <c r="V385" s="358">
        <f t="shared" si="108"/>
        <v>0</v>
      </c>
      <c r="W385" s="358">
        <f t="shared" si="108"/>
        <v>0</v>
      </c>
      <c r="X385" s="358">
        <f t="shared" si="108"/>
        <v>0</v>
      </c>
      <c r="Y385" s="358">
        <f t="shared" si="108"/>
        <v>0</v>
      </c>
      <c r="Z385" s="358">
        <f t="shared" si="89"/>
        <v>0</v>
      </c>
      <c r="AA385" s="2733"/>
    </row>
    <row r="386" spans="1:27" ht="18.75" x14ac:dyDescent="0.25">
      <c r="A386" s="2456"/>
      <c r="B386" s="743">
        <v>2063</v>
      </c>
      <c r="C386" s="218">
        <f t="shared" si="113"/>
        <v>0</v>
      </c>
      <c r="D386" s="221">
        <f t="shared" si="109"/>
        <v>0</v>
      </c>
      <c r="E386" s="221">
        <f t="shared" si="110"/>
        <v>0</v>
      </c>
      <c r="F386" s="218">
        <f t="shared" si="114"/>
        <v>0</v>
      </c>
      <c r="G386" s="218">
        <f t="shared" si="115"/>
        <v>0</v>
      </c>
      <c r="H386" s="218">
        <f t="shared" si="116"/>
        <v>0</v>
      </c>
      <c r="I386" s="218">
        <f t="shared" si="117"/>
        <v>0</v>
      </c>
      <c r="J386" s="218">
        <f t="shared" si="118"/>
        <v>0</v>
      </c>
      <c r="K386" s="218">
        <f t="shared" si="119"/>
        <v>0</v>
      </c>
      <c r="L386" s="192">
        <f t="shared" si="111"/>
        <v>0</v>
      </c>
      <c r="M386" s="211">
        <v>97</v>
      </c>
      <c r="N386" s="211">
        <f>(29.53*1.02)*0.4184*1.0824</f>
        <v>13.640901664896001</v>
      </c>
      <c r="O386" s="211">
        <f>(42.96*1.02)*0.4184*1.0824</f>
        <v>19.844671030272</v>
      </c>
      <c r="P386" s="211">
        <f>(16.43*1.02)*0.4184*1.0824</f>
        <v>7.5895704149760004</v>
      </c>
      <c r="Q386" s="211">
        <f>(12.76*1.02)*0.4184*1.0824</f>
        <v>5.8942737976319997</v>
      </c>
      <c r="R386" s="211">
        <f>(1.27*1.02)*0.4184*1.0824</f>
        <v>0.58665577766400001</v>
      </c>
      <c r="S386" s="211">
        <f>(0.0584*1.02)*0.4184*1.0824</f>
        <v>2.6976927098879999E-2</v>
      </c>
      <c r="T386" s="358">
        <f t="shared" si="112"/>
        <v>0</v>
      </c>
      <c r="U386" s="358">
        <f t="shared" si="108"/>
        <v>0</v>
      </c>
      <c r="V386" s="358">
        <f t="shared" si="108"/>
        <v>0</v>
      </c>
      <c r="W386" s="358">
        <f t="shared" si="108"/>
        <v>0</v>
      </c>
      <c r="X386" s="358">
        <f t="shared" si="108"/>
        <v>0</v>
      </c>
      <c r="Y386" s="358">
        <f t="shared" si="108"/>
        <v>0</v>
      </c>
      <c r="Z386" s="358">
        <f t="shared" si="89"/>
        <v>0</v>
      </c>
      <c r="AA386" s="2733"/>
    </row>
    <row r="387" spans="1:27" ht="18.75" x14ac:dyDescent="0.25">
      <c r="A387" s="2456"/>
      <c r="B387" s="743">
        <v>2064</v>
      </c>
      <c r="C387" s="218">
        <f t="shared" si="113"/>
        <v>0</v>
      </c>
      <c r="D387" s="221">
        <f t="shared" si="109"/>
        <v>0</v>
      </c>
      <c r="E387" s="221">
        <f t="shared" si="110"/>
        <v>0</v>
      </c>
      <c r="F387" s="218">
        <f t="shared" si="114"/>
        <v>0</v>
      </c>
      <c r="G387" s="218">
        <f t="shared" si="115"/>
        <v>0</v>
      </c>
      <c r="H387" s="218">
        <f t="shared" si="116"/>
        <v>0</v>
      </c>
      <c r="I387" s="218">
        <f t="shared" si="117"/>
        <v>0</v>
      </c>
      <c r="J387" s="218">
        <f t="shared" si="118"/>
        <v>0</v>
      </c>
      <c r="K387" s="218">
        <f t="shared" si="119"/>
        <v>0</v>
      </c>
      <c r="L387" s="192">
        <f t="shared" si="111"/>
        <v>0</v>
      </c>
      <c r="M387" s="211">
        <v>97</v>
      </c>
      <c r="N387" s="211">
        <f>(29.53*1.02)*0.4102*1.0824</f>
        <v>13.373560857888002</v>
      </c>
      <c r="O387" s="211">
        <f>(42.96*1.02)*0.4102*1.0824</f>
        <v>19.455745833216003</v>
      </c>
      <c r="P387" s="211">
        <f>(16.43*1.02)*0.4102*1.0824</f>
        <v>7.4408264441280014</v>
      </c>
      <c r="Q387" s="211">
        <f>(12.76*1.02)*0.4102*1.0824</f>
        <v>5.7787550472960003</v>
      </c>
      <c r="R387" s="211">
        <f>(1.27*1.02)*0.4102*1.0824</f>
        <v>0.57515822179200005</v>
      </c>
      <c r="S387" s="211">
        <f>(0.0584*1.02)*0.4102*1.0824</f>
        <v>2.6448220592640001E-2</v>
      </c>
      <c r="T387" s="358">
        <f t="shared" si="112"/>
        <v>0</v>
      </c>
      <c r="U387" s="358">
        <f t="shared" si="108"/>
        <v>0</v>
      </c>
      <c r="V387" s="358">
        <f t="shared" si="108"/>
        <v>0</v>
      </c>
      <c r="W387" s="358">
        <f t="shared" si="108"/>
        <v>0</v>
      </c>
      <c r="X387" s="358">
        <f t="shared" si="108"/>
        <v>0</v>
      </c>
      <c r="Y387" s="358">
        <f t="shared" si="108"/>
        <v>0</v>
      </c>
      <c r="Z387" s="358">
        <f t="shared" si="89"/>
        <v>0</v>
      </c>
      <c r="AA387" s="2733"/>
    </row>
    <row r="388" spans="1:27" ht="18.75" x14ac:dyDescent="0.25">
      <c r="A388" s="2456"/>
      <c r="B388" s="743">
        <v>2065</v>
      </c>
      <c r="C388" s="218">
        <f t="shared" si="113"/>
        <v>0</v>
      </c>
      <c r="D388" s="221">
        <f t="shared" si="109"/>
        <v>0</v>
      </c>
      <c r="E388" s="221">
        <f t="shared" si="110"/>
        <v>0</v>
      </c>
      <c r="F388" s="218">
        <f t="shared" si="114"/>
        <v>0</v>
      </c>
      <c r="G388" s="218">
        <f t="shared" si="115"/>
        <v>0</v>
      </c>
      <c r="H388" s="218">
        <f t="shared" si="116"/>
        <v>0</v>
      </c>
      <c r="I388" s="218">
        <f t="shared" si="117"/>
        <v>0</v>
      </c>
      <c r="J388" s="218">
        <f t="shared" si="118"/>
        <v>0</v>
      </c>
      <c r="K388" s="218">
        <f t="shared" si="119"/>
        <v>0</v>
      </c>
      <c r="L388" s="192">
        <f t="shared" si="111"/>
        <v>0</v>
      </c>
      <c r="M388" s="211">
        <v>97</v>
      </c>
      <c r="N388" s="211">
        <f>(29.53*1.02)*0.4022*1.0824</f>
        <v>13.112740558368001</v>
      </c>
      <c r="O388" s="211">
        <f>(42.96*1.02)*0.4022*1.0824</f>
        <v>19.076306616576002</v>
      </c>
      <c r="P388" s="211">
        <f>(16.43*1.02)*0.4022*1.0824</f>
        <v>7.2957103750080003</v>
      </c>
      <c r="Q388" s="211">
        <f>(12.76*1.02)*0.4022*1.0824</f>
        <v>5.6660538274560004</v>
      </c>
      <c r="R388" s="211">
        <f>(1.27*1.02)*0.4022*1.0824</f>
        <v>0.56394109411200011</v>
      </c>
      <c r="S388" s="211">
        <f>(0.0584*1.02)*0.4022*1.0824</f>
        <v>2.5932409367040003E-2</v>
      </c>
      <c r="T388" s="358">
        <f t="shared" si="112"/>
        <v>0</v>
      </c>
      <c r="U388" s="358">
        <f t="shared" si="108"/>
        <v>0</v>
      </c>
      <c r="V388" s="358">
        <f t="shared" si="108"/>
        <v>0</v>
      </c>
      <c r="W388" s="358">
        <f t="shared" si="108"/>
        <v>0</v>
      </c>
      <c r="X388" s="358">
        <f t="shared" si="108"/>
        <v>0</v>
      </c>
      <c r="Y388" s="358">
        <f t="shared" si="108"/>
        <v>0</v>
      </c>
      <c r="Z388" s="358">
        <f t="shared" si="89"/>
        <v>0</v>
      </c>
      <c r="AA388" s="2733"/>
    </row>
    <row r="389" spans="1:27" ht="18.75" x14ac:dyDescent="0.25">
      <c r="A389" s="2456"/>
      <c r="B389" s="743">
        <v>2066</v>
      </c>
      <c r="C389" s="218">
        <f t="shared" si="113"/>
        <v>0</v>
      </c>
      <c r="D389" s="221">
        <f t="shared" si="109"/>
        <v>0</v>
      </c>
      <c r="E389" s="221">
        <f t="shared" si="110"/>
        <v>0</v>
      </c>
      <c r="F389" s="218">
        <f t="shared" si="114"/>
        <v>0</v>
      </c>
      <c r="G389" s="218">
        <f t="shared" si="115"/>
        <v>0</v>
      </c>
      <c r="H389" s="218">
        <f t="shared" si="116"/>
        <v>0</v>
      </c>
      <c r="I389" s="218">
        <f t="shared" si="117"/>
        <v>0</v>
      </c>
      <c r="J389" s="218">
        <f t="shared" si="118"/>
        <v>0</v>
      </c>
      <c r="K389" s="218">
        <f t="shared" si="119"/>
        <v>0</v>
      </c>
      <c r="L389" s="192">
        <f t="shared" si="111"/>
        <v>0</v>
      </c>
      <c r="M389" s="211">
        <v>97</v>
      </c>
      <c r="N389" s="211">
        <f>(29.53*1.02)*0.3943*1.0824</f>
        <v>12.855180512592</v>
      </c>
      <c r="O389" s="211">
        <f>(42.96*1.02)*0.3943*1.0824</f>
        <v>18.701610390143998</v>
      </c>
      <c r="P389" s="211">
        <f>(16.43*1.02)*0.3943*1.0824</f>
        <v>7.1524082567520004</v>
      </c>
      <c r="Q389" s="211">
        <f>(12.76*1.02)*0.3943*1.0824</f>
        <v>5.5547613728639993</v>
      </c>
      <c r="R389" s="211">
        <f>(1.27*1.02)*0.3943*1.0824</f>
        <v>0.55286418052800002</v>
      </c>
      <c r="S389" s="211">
        <f>(0.0584*1.02)*0.3943*1.0824</f>
        <v>2.5423045781760002E-2</v>
      </c>
      <c r="T389" s="358">
        <f t="shared" si="112"/>
        <v>0</v>
      </c>
      <c r="U389" s="358">
        <f t="shared" si="108"/>
        <v>0</v>
      </c>
      <c r="V389" s="358">
        <f t="shared" si="108"/>
        <v>0</v>
      </c>
      <c r="W389" s="358">
        <f t="shared" si="108"/>
        <v>0</v>
      </c>
      <c r="X389" s="358">
        <f t="shared" si="108"/>
        <v>0</v>
      </c>
      <c r="Y389" s="358">
        <f t="shared" si="108"/>
        <v>0</v>
      </c>
      <c r="Z389" s="358">
        <f t="shared" si="89"/>
        <v>0</v>
      </c>
      <c r="AA389" s="2733"/>
    </row>
    <row r="390" spans="1:27" ht="18.75" x14ac:dyDescent="0.25">
      <c r="A390" s="2456"/>
      <c r="B390" s="743">
        <v>2067</v>
      </c>
      <c r="C390" s="218">
        <f t="shared" si="113"/>
        <v>0</v>
      </c>
      <c r="D390" s="221">
        <f t="shared" si="109"/>
        <v>0</v>
      </c>
      <c r="E390" s="221">
        <f t="shared" si="110"/>
        <v>0</v>
      </c>
      <c r="F390" s="218">
        <f t="shared" si="114"/>
        <v>0</v>
      </c>
      <c r="G390" s="218">
        <f t="shared" si="115"/>
        <v>0</v>
      </c>
      <c r="H390" s="218">
        <f t="shared" si="116"/>
        <v>0</v>
      </c>
      <c r="I390" s="218">
        <f t="shared" si="117"/>
        <v>0</v>
      </c>
      <c r="J390" s="218">
        <f t="shared" si="118"/>
        <v>0</v>
      </c>
      <c r="K390" s="218">
        <f t="shared" si="119"/>
        <v>0</v>
      </c>
      <c r="L390" s="192">
        <f t="shared" si="111"/>
        <v>0</v>
      </c>
      <c r="M390" s="211">
        <v>97</v>
      </c>
      <c r="N390" s="211">
        <f>(29.53*1.02)*0.3865*1.0824</f>
        <v>12.600880720560001</v>
      </c>
      <c r="O390" s="211">
        <f>(42.96*1.02)*0.3865*1.0824</f>
        <v>18.331657153920002</v>
      </c>
      <c r="P390" s="211">
        <f>(16.43*1.02)*0.3865*1.0824</f>
        <v>7.0109200893600008</v>
      </c>
      <c r="Q390" s="211">
        <f>(12.76*1.02)*0.3865*1.0824</f>
        <v>5.4448776835200006</v>
      </c>
      <c r="R390" s="211">
        <f>(1.27*1.02)*0.3865*1.0824</f>
        <v>0.5419274810400001</v>
      </c>
      <c r="S390" s="211">
        <f>(0.0584*1.02)*0.3865*1.0824</f>
        <v>2.4920129836800003E-2</v>
      </c>
      <c r="T390" s="358">
        <f t="shared" si="112"/>
        <v>0</v>
      </c>
      <c r="U390" s="358">
        <f t="shared" si="108"/>
        <v>0</v>
      </c>
      <c r="V390" s="358">
        <f t="shared" si="108"/>
        <v>0</v>
      </c>
      <c r="W390" s="358">
        <f t="shared" si="108"/>
        <v>0</v>
      </c>
      <c r="X390" s="358">
        <f t="shared" si="108"/>
        <v>0</v>
      </c>
      <c r="Y390" s="358">
        <f t="shared" si="108"/>
        <v>0</v>
      </c>
      <c r="Z390" s="358">
        <f t="shared" si="89"/>
        <v>0</v>
      </c>
      <c r="AA390" s="2733"/>
    </row>
    <row r="391" spans="1:27" ht="18.75" x14ac:dyDescent="0.25">
      <c r="A391" s="2456"/>
      <c r="B391" s="743">
        <v>2068</v>
      </c>
      <c r="C391" s="218">
        <f t="shared" si="113"/>
        <v>0</v>
      </c>
      <c r="D391" s="221">
        <f t="shared" si="109"/>
        <v>0</v>
      </c>
      <c r="E391" s="221">
        <f t="shared" si="110"/>
        <v>0</v>
      </c>
      <c r="F391" s="218">
        <f t="shared" si="114"/>
        <v>0</v>
      </c>
      <c r="G391" s="218">
        <f t="shared" si="115"/>
        <v>0</v>
      </c>
      <c r="H391" s="218">
        <f t="shared" si="116"/>
        <v>0</v>
      </c>
      <c r="I391" s="218">
        <f t="shared" si="117"/>
        <v>0</v>
      </c>
      <c r="J391" s="218">
        <f t="shared" si="118"/>
        <v>0</v>
      </c>
      <c r="K391" s="218">
        <f t="shared" si="119"/>
        <v>0</v>
      </c>
      <c r="L391" s="192">
        <f t="shared" si="111"/>
        <v>0</v>
      </c>
      <c r="M391" s="211">
        <v>97</v>
      </c>
      <c r="N391" s="211">
        <f>(29.53*1.02)*0.379*1.0824</f>
        <v>12.356361689760002</v>
      </c>
      <c r="O391" s="211">
        <f>(42.96*1.02)*0.379*1.0824</f>
        <v>17.975932888320003</v>
      </c>
      <c r="P391" s="211">
        <f>(16.43*1.02)*0.379*1.0824</f>
        <v>6.8748737745600002</v>
      </c>
      <c r="Q391" s="211">
        <f>(12.76*1.02)*0.379*1.0824</f>
        <v>5.339220289920001</v>
      </c>
      <c r="R391" s="211">
        <f>(1.27*1.02)*0.379*1.0824</f>
        <v>0.53141142384000006</v>
      </c>
      <c r="S391" s="211">
        <f>(0.0584*1.02)*0.379*1.0824</f>
        <v>2.4436556812800003E-2</v>
      </c>
      <c r="T391" s="358">
        <f t="shared" si="112"/>
        <v>0</v>
      </c>
      <c r="U391" s="358">
        <f t="shared" si="108"/>
        <v>0</v>
      </c>
      <c r="V391" s="358">
        <f t="shared" si="108"/>
        <v>0</v>
      </c>
      <c r="W391" s="358">
        <f t="shared" si="108"/>
        <v>0</v>
      </c>
      <c r="X391" s="358">
        <f t="shared" si="108"/>
        <v>0</v>
      </c>
      <c r="Y391" s="358">
        <f t="shared" si="108"/>
        <v>0</v>
      </c>
      <c r="Z391" s="358">
        <f t="shared" si="89"/>
        <v>0</v>
      </c>
      <c r="AA391" s="2733"/>
    </row>
    <row r="392" spans="1:27" ht="19.5" thickBot="1" x14ac:dyDescent="0.3">
      <c r="A392" s="2456"/>
      <c r="B392" s="719">
        <v>2069</v>
      </c>
      <c r="C392" s="327">
        <f t="shared" si="113"/>
        <v>0</v>
      </c>
      <c r="D392" s="648">
        <f t="shared" si="109"/>
        <v>0</v>
      </c>
      <c r="E392" s="648">
        <f t="shared" si="110"/>
        <v>0</v>
      </c>
      <c r="F392" s="327">
        <f t="shared" si="114"/>
        <v>0</v>
      </c>
      <c r="G392" s="327">
        <f t="shared" si="115"/>
        <v>0</v>
      </c>
      <c r="H392" s="327">
        <f t="shared" si="116"/>
        <v>0</v>
      </c>
      <c r="I392" s="327">
        <f t="shared" si="117"/>
        <v>0</v>
      </c>
      <c r="J392" s="327">
        <f t="shared" si="118"/>
        <v>0</v>
      </c>
      <c r="K392" s="327">
        <f t="shared" si="119"/>
        <v>0</v>
      </c>
      <c r="L392" s="219">
        <f t="shared" si="111"/>
        <v>0</v>
      </c>
      <c r="M392" s="416">
        <v>97</v>
      </c>
      <c r="N392" s="416">
        <f>(29.53*1.02)*0.3715*1.0824</f>
        <v>12.111842658960002</v>
      </c>
      <c r="O392" s="416">
        <f>(42.96*1.02)*0.3715*1.0824</f>
        <v>17.62020862272</v>
      </c>
      <c r="P392" s="416">
        <f>(16.43*1.02)*0.3715*1.0824</f>
        <v>6.7388274597600004</v>
      </c>
      <c r="Q392" s="416">
        <f>(12.76*1.02)*0.3715*1.0824</f>
        <v>5.2335628963200005</v>
      </c>
      <c r="R392" s="416">
        <f>(1.27*1.02)*0.3715*1.0824</f>
        <v>0.52089536664000002</v>
      </c>
      <c r="S392" s="416">
        <f>(0.0584*1.02)*0.3715*1.0824</f>
        <v>2.3952983788800002E-2</v>
      </c>
      <c r="T392" s="1847">
        <f t="shared" si="112"/>
        <v>0</v>
      </c>
      <c r="U392" s="1847">
        <f t="shared" si="108"/>
        <v>0</v>
      </c>
      <c r="V392" s="1847">
        <f t="shared" si="108"/>
        <v>0</v>
      </c>
      <c r="W392" s="1847">
        <f t="shared" si="108"/>
        <v>0</v>
      </c>
      <c r="X392" s="1847">
        <f t="shared" si="108"/>
        <v>0</v>
      </c>
      <c r="Y392" s="1847">
        <f t="shared" si="108"/>
        <v>0</v>
      </c>
      <c r="Z392" s="1847">
        <f t="shared" si="89"/>
        <v>0</v>
      </c>
      <c r="AA392" s="2734"/>
    </row>
    <row r="393" spans="1:27" ht="18.75" x14ac:dyDescent="0.25">
      <c r="A393" s="2736" t="s">
        <v>285</v>
      </c>
      <c r="B393" s="1867">
        <v>2019</v>
      </c>
      <c r="C393" s="216">
        <f t="shared" ref="C393:C424" si="120">$S$17</f>
        <v>0</v>
      </c>
      <c r="D393" s="216">
        <f>$R$17*28</f>
        <v>0</v>
      </c>
      <c r="E393" s="216">
        <f>$T$17*298</f>
        <v>0</v>
      </c>
      <c r="F393" s="216">
        <f t="shared" ref="F393:F424" si="121">$O$17</f>
        <v>0</v>
      </c>
      <c r="G393" s="216">
        <f t="shared" ref="G393:G424" si="122">$P$17</f>
        <v>0</v>
      </c>
      <c r="H393" s="216">
        <f t="shared" ref="H393:H424" si="123">$N$17</f>
        <v>0</v>
      </c>
      <c r="I393" s="216">
        <f t="shared" ref="I393:I424" si="124">$Q$17</f>
        <v>0</v>
      </c>
      <c r="J393" s="216">
        <f t="shared" ref="J393:J424" si="125">$L$17</f>
        <v>0</v>
      </c>
      <c r="K393" s="216">
        <f t="shared" ref="K393:K424" si="126">$M$17</f>
        <v>0</v>
      </c>
      <c r="L393" s="217">
        <f>(C393/1000)+(D393/1000)+(E393/1000)</f>
        <v>0</v>
      </c>
      <c r="M393" s="643">
        <v>62</v>
      </c>
      <c r="N393" s="643">
        <f>29.53*1.02*1.0824</f>
        <v>32.602537440000006</v>
      </c>
      <c r="O393" s="643">
        <f>42.96*1.02*1.0824</f>
        <v>47.429902080000005</v>
      </c>
      <c r="P393" s="643">
        <f>16.43*1.02*1.0824</f>
        <v>18.139508640000003</v>
      </c>
      <c r="Q393" s="643">
        <f>12.76*1.02*1.0824</f>
        <v>14.087652480000001</v>
      </c>
      <c r="R393" s="643">
        <f>1.27*1.02*1.0824</f>
        <v>1.4021409600000001</v>
      </c>
      <c r="S393" s="643">
        <f>0.0584*1.02*1.0824</f>
        <v>6.4476403200000004E-2</v>
      </c>
      <c r="T393" s="644">
        <f>L393*M393</f>
        <v>0</v>
      </c>
      <c r="U393" s="644">
        <f t="shared" ref="U393:Y443" si="127">F393*N393</f>
        <v>0</v>
      </c>
      <c r="V393" s="644">
        <f t="shared" si="127"/>
        <v>0</v>
      </c>
      <c r="W393" s="644">
        <f t="shared" si="127"/>
        <v>0</v>
      </c>
      <c r="X393" s="644">
        <f t="shared" si="127"/>
        <v>0</v>
      </c>
      <c r="Y393" s="644">
        <f t="shared" si="127"/>
        <v>0</v>
      </c>
      <c r="Z393" s="644">
        <f t="shared" si="89"/>
        <v>0</v>
      </c>
      <c r="AA393" s="2732">
        <f>(SUM(T393:T443)*1.2682)+(SUM(U393:U443))+(SUM(V393:V443))+(SUM(W393:W443))+(SUM(X393:X443))+(SUM(Y393:Y443))+(SUM(Z393:Z443))</f>
        <v>0</v>
      </c>
    </row>
    <row r="394" spans="1:27" ht="18.75" x14ac:dyDescent="0.25">
      <c r="A394" s="2456"/>
      <c r="B394" s="1849">
        <v>2020</v>
      </c>
      <c r="C394" s="218">
        <f t="shared" si="120"/>
        <v>0</v>
      </c>
      <c r="D394" s="218">
        <f t="shared" ref="D394:D443" si="128">$R$17*28</f>
        <v>0</v>
      </c>
      <c r="E394" s="218">
        <f t="shared" ref="E394:E443" si="129">$T$17*298</f>
        <v>0</v>
      </c>
      <c r="F394" s="218">
        <f t="shared" si="121"/>
        <v>0</v>
      </c>
      <c r="G394" s="218">
        <f t="shared" si="122"/>
        <v>0</v>
      </c>
      <c r="H394" s="218">
        <f t="shared" si="123"/>
        <v>0</v>
      </c>
      <c r="I394" s="218">
        <f t="shared" si="124"/>
        <v>0</v>
      </c>
      <c r="J394" s="218">
        <f t="shared" si="125"/>
        <v>0</v>
      </c>
      <c r="K394" s="218">
        <f t="shared" si="126"/>
        <v>0</v>
      </c>
      <c r="L394" s="192">
        <f t="shared" ref="L394:L457" si="130">(C394/1000)+(D394/1000)+(E394/1000)</f>
        <v>0</v>
      </c>
      <c r="M394" s="211">
        <v>64</v>
      </c>
      <c r="N394" s="211">
        <f>(29.53*1.02)*0.9804*1.0824</f>
        <v>31.963527706176006</v>
      </c>
      <c r="O394" s="211">
        <f>(42.96*1.02)*0.9804*1.0824</f>
        <v>46.500275999232002</v>
      </c>
      <c r="P394" s="211">
        <f>(16.43*1.02)*0.9804*1.0824</f>
        <v>17.783974270656003</v>
      </c>
      <c r="Q394" s="211">
        <f>(12.76*1.02)*0.9804*1.0824</f>
        <v>13.811534491392001</v>
      </c>
      <c r="R394" s="211">
        <f>(1.27*1.02)*0.9804*1.0824</f>
        <v>1.3746589971840002</v>
      </c>
      <c r="S394" s="211">
        <f>(0.0584*1.02)*0.9804*1.0824</f>
        <v>6.3212665697280013E-2</v>
      </c>
      <c r="T394" s="1850">
        <f t="shared" ref="T394:T457" si="131">L394*M394</f>
        <v>0</v>
      </c>
      <c r="U394" s="1850">
        <f t="shared" si="127"/>
        <v>0</v>
      </c>
      <c r="V394" s="1850">
        <f t="shared" si="127"/>
        <v>0</v>
      </c>
      <c r="W394" s="1850">
        <f t="shared" si="127"/>
        <v>0</v>
      </c>
      <c r="X394" s="1850">
        <f t="shared" si="127"/>
        <v>0</v>
      </c>
      <c r="Y394" s="1850">
        <f t="shared" si="127"/>
        <v>0</v>
      </c>
      <c r="Z394" s="1850">
        <f t="shared" si="89"/>
        <v>0</v>
      </c>
      <c r="AA394" s="2733"/>
    </row>
    <row r="395" spans="1:27" ht="18.75" x14ac:dyDescent="0.25">
      <c r="A395" s="2456"/>
      <c r="B395" s="1849">
        <v>2021</v>
      </c>
      <c r="C395" s="218">
        <f t="shared" si="120"/>
        <v>0</v>
      </c>
      <c r="D395" s="218">
        <f t="shared" si="128"/>
        <v>0</v>
      </c>
      <c r="E395" s="218">
        <f t="shared" si="129"/>
        <v>0</v>
      </c>
      <c r="F395" s="218">
        <f t="shared" si="121"/>
        <v>0</v>
      </c>
      <c r="G395" s="218">
        <f t="shared" si="122"/>
        <v>0</v>
      </c>
      <c r="H395" s="218">
        <f t="shared" si="123"/>
        <v>0</v>
      </c>
      <c r="I395" s="218">
        <f t="shared" si="124"/>
        <v>0</v>
      </c>
      <c r="J395" s="218">
        <f t="shared" si="125"/>
        <v>0</v>
      </c>
      <c r="K395" s="218">
        <f t="shared" si="126"/>
        <v>0</v>
      </c>
      <c r="L395" s="192">
        <f t="shared" si="130"/>
        <v>0</v>
      </c>
      <c r="M395" s="211">
        <v>65</v>
      </c>
      <c r="N395" s="211">
        <f>(29.53*1.02)*0.9612*1.0824</f>
        <v>31.337558987328006</v>
      </c>
      <c r="O395" s="211">
        <f>(42.96*1.02)*0.9612*1.0824</f>
        <v>45.589621879296011</v>
      </c>
      <c r="P395" s="211">
        <f>(16.43*1.02)*0.9612*1.0824</f>
        <v>17.435695704768001</v>
      </c>
      <c r="Q395" s="211">
        <f>(12.76*1.02)*0.9612*1.0824</f>
        <v>13.541051563776001</v>
      </c>
      <c r="R395" s="211">
        <f>(1.27*1.02)*0.9612*1.0824</f>
        <v>1.3477378907520003</v>
      </c>
      <c r="S395" s="211">
        <f>(0.0584*1.02)*0.9612*1.0824</f>
        <v>6.1974718755840007E-2</v>
      </c>
      <c r="T395" s="1850">
        <f t="shared" si="131"/>
        <v>0</v>
      </c>
      <c r="U395" s="1850">
        <f t="shared" si="127"/>
        <v>0</v>
      </c>
      <c r="V395" s="1850">
        <f t="shared" si="127"/>
        <v>0</v>
      </c>
      <c r="W395" s="1850">
        <f t="shared" si="127"/>
        <v>0</v>
      </c>
      <c r="X395" s="1850">
        <f t="shared" si="127"/>
        <v>0</v>
      </c>
      <c r="Y395" s="1850">
        <f t="shared" si="127"/>
        <v>0</v>
      </c>
      <c r="Z395" s="1850">
        <f t="shared" si="89"/>
        <v>0</v>
      </c>
      <c r="AA395" s="2733"/>
    </row>
    <row r="396" spans="1:27" ht="18.75" x14ac:dyDescent="0.25">
      <c r="A396" s="2456"/>
      <c r="B396" s="1849">
        <v>2022</v>
      </c>
      <c r="C396" s="218">
        <f t="shared" si="120"/>
        <v>0</v>
      </c>
      <c r="D396" s="218">
        <f t="shared" si="128"/>
        <v>0</v>
      </c>
      <c r="E396" s="218">
        <f t="shared" si="129"/>
        <v>0</v>
      </c>
      <c r="F396" s="218">
        <f t="shared" si="121"/>
        <v>0</v>
      </c>
      <c r="G396" s="218">
        <f t="shared" si="122"/>
        <v>0</v>
      </c>
      <c r="H396" s="218">
        <f t="shared" si="123"/>
        <v>0</v>
      </c>
      <c r="I396" s="218">
        <f t="shared" si="124"/>
        <v>0</v>
      </c>
      <c r="J396" s="218">
        <f t="shared" si="125"/>
        <v>0</v>
      </c>
      <c r="K396" s="218">
        <f t="shared" si="126"/>
        <v>0</v>
      </c>
      <c r="L396" s="192">
        <f t="shared" si="130"/>
        <v>0</v>
      </c>
      <c r="M396" s="211">
        <v>66</v>
      </c>
      <c r="N396" s="211">
        <f>(29.53*1.02)*0.9423*1.0824</f>
        <v>30.721371029712003</v>
      </c>
      <c r="O396" s="211">
        <f>(42.96*1.02)*0.9423*1.0824</f>
        <v>44.693196729984003</v>
      </c>
      <c r="P396" s="211">
        <f>(16.43*1.02)*0.9423*1.0824</f>
        <v>17.092858991472003</v>
      </c>
      <c r="Q396" s="211">
        <f>(12.76*1.02)*0.9423*1.0824</f>
        <v>13.274794931903999</v>
      </c>
      <c r="R396" s="211">
        <f>(1.27*1.02)*0.9423*1.0824</f>
        <v>1.3212374266080003</v>
      </c>
      <c r="S396" s="211">
        <f>(0.0584*1.02)*0.9423*1.0824</f>
        <v>6.0756114735360002E-2</v>
      </c>
      <c r="T396" s="1850">
        <f t="shared" si="131"/>
        <v>0</v>
      </c>
      <c r="U396" s="1850">
        <f t="shared" si="127"/>
        <v>0</v>
      </c>
      <c r="V396" s="1850">
        <f t="shared" si="127"/>
        <v>0</v>
      </c>
      <c r="W396" s="1850">
        <f t="shared" si="127"/>
        <v>0</v>
      </c>
      <c r="X396" s="1850">
        <f t="shared" si="127"/>
        <v>0</v>
      </c>
      <c r="Y396" s="1850">
        <f t="shared" si="127"/>
        <v>0</v>
      </c>
      <c r="Z396" s="1850">
        <f t="shared" si="89"/>
        <v>0</v>
      </c>
      <c r="AA396" s="2733"/>
    </row>
    <row r="397" spans="1:27" ht="18.75" x14ac:dyDescent="0.25">
      <c r="A397" s="2456"/>
      <c r="B397" s="1849">
        <v>2023</v>
      </c>
      <c r="C397" s="218">
        <f t="shared" si="120"/>
        <v>0</v>
      </c>
      <c r="D397" s="218">
        <f t="shared" si="128"/>
        <v>0</v>
      </c>
      <c r="E397" s="218">
        <f t="shared" si="129"/>
        <v>0</v>
      </c>
      <c r="F397" s="218">
        <f t="shared" si="121"/>
        <v>0</v>
      </c>
      <c r="G397" s="218">
        <f t="shared" si="122"/>
        <v>0</v>
      </c>
      <c r="H397" s="218">
        <f t="shared" si="123"/>
        <v>0</v>
      </c>
      <c r="I397" s="218">
        <f t="shared" si="124"/>
        <v>0</v>
      </c>
      <c r="J397" s="218">
        <f t="shared" si="125"/>
        <v>0</v>
      </c>
      <c r="K397" s="218">
        <f t="shared" si="126"/>
        <v>0</v>
      </c>
      <c r="L397" s="192">
        <f t="shared" si="130"/>
        <v>0</v>
      </c>
      <c r="M397" s="211">
        <v>67</v>
      </c>
      <c r="N397" s="211">
        <f>(29.53*1.02)*0.9238*1.0824</f>
        <v>30.118224087072001</v>
      </c>
      <c r="O397" s="211">
        <f>(42.96*1.02)*0.9238*1.0824</f>
        <v>43.815743541504006</v>
      </c>
      <c r="P397" s="211">
        <f>(16.43*1.02)*0.9238*1.0824</f>
        <v>16.757278081632002</v>
      </c>
      <c r="Q397" s="211">
        <f>(12.76*1.02)*0.9238*1.0824</f>
        <v>13.014173361024</v>
      </c>
      <c r="R397" s="211">
        <f>(1.27*1.02)*0.9238*1.0824</f>
        <v>1.295297818848</v>
      </c>
      <c r="S397" s="211">
        <f>(0.0584*1.02)*0.9238*1.0824</f>
        <v>5.9563301276160004E-2</v>
      </c>
      <c r="T397" s="1850">
        <f t="shared" si="131"/>
        <v>0</v>
      </c>
      <c r="U397" s="1850">
        <f t="shared" si="127"/>
        <v>0</v>
      </c>
      <c r="V397" s="1850">
        <f t="shared" si="127"/>
        <v>0</v>
      </c>
      <c r="W397" s="1850">
        <f t="shared" si="127"/>
        <v>0</v>
      </c>
      <c r="X397" s="1850">
        <f t="shared" si="127"/>
        <v>0</v>
      </c>
      <c r="Y397" s="1850">
        <f t="shared" si="127"/>
        <v>0</v>
      </c>
      <c r="Z397" s="1850">
        <f t="shared" si="89"/>
        <v>0</v>
      </c>
      <c r="AA397" s="2733"/>
    </row>
    <row r="398" spans="1:27" ht="18.75" x14ac:dyDescent="0.25">
      <c r="A398" s="2456"/>
      <c r="B398" s="1849">
        <v>2024</v>
      </c>
      <c r="C398" s="218">
        <f t="shared" si="120"/>
        <v>0</v>
      </c>
      <c r="D398" s="218">
        <f t="shared" si="128"/>
        <v>0</v>
      </c>
      <c r="E398" s="218">
        <f t="shared" si="129"/>
        <v>0</v>
      </c>
      <c r="F398" s="218">
        <f t="shared" si="121"/>
        <v>0</v>
      </c>
      <c r="G398" s="218">
        <f t="shared" si="122"/>
        <v>0</v>
      </c>
      <c r="H398" s="218">
        <f t="shared" si="123"/>
        <v>0</v>
      </c>
      <c r="I398" s="218">
        <f t="shared" si="124"/>
        <v>0</v>
      </c>
      <c r="J398" s="218">
        <f t="shared" si="125"/>
        <v>0</v>
      </c>
      <c r="K398" s="218">
        <f t="shared" si="126"/>
        <v>0</v>
      </c>
      <c r="L398" s="192">
        <f t="shared" si="130"/>
        <v>0</v>
      </c>
      <c r="M398" s="211">
        <v>68</v>
      </c>
      <c r="N398" s="211">
        <f>(29.53*1.02)*0.9057*1.0824</f>
        <v>29.528118159408002</v>
      </c>
      <c r="O398" s="211">
        <f>(42.96*1.02)*0.9057*1.0824</f>
        <v>42.957262313856006</v>
      </c>
      <c r="P398" s="211">
        <f>(16.43*1.02)*0.9057*1.0824</f>
        <v>16.428952975248002</v>
      </c>
      <c r="Q398" s="211">
        <f>(12.76*1.02)*0.9057*1.0824</f>
        <v>12.759186851135999</v>
      </c>
      <c r="R398" s="211">
        <f>(1.27*1.02)*0.9057*1.0824</f>
        <v>1.269919067472</v>
      </c>
      <c r="S398" s="211">
        <f>(0.0584*1.02)*0.9057*1.0824</f>
        <v>5.8396278378240005E-2</v>
      </c>
      <c r="T398" s="1850">
        <f t="shared" si="131"/>
        <v>0</v>
      </c>
      <c r="U398" s="1850">
        <f t="shared" si="127"/>
        <v>0</v>
      </c>
      <c r="V398" s="1850">
        <f t="shared" si="127"/>
        <v>0</v>
      </c>
      <c r="W398" s="1850">
        <f t="shared" si="127"/>
        <v>0</v>
      </c>
      <c r="X398" s="1850">
        <f t="shared" si="127"/>
        <v>0</v>
      </c>
      <c r="Y398" s="1850">
        <f t="shared" si="127"/>
        <v>0</v>
      </c>
      <c r="Z398" s="1850">
        <f t="shared" si="89"/>
        <v>0</v>
      </c>
      <c r="AA398" s="2733"/>
    </row>
    <row r="399" spans="1:27" ht="18.75" x14ac:dyDescent="0.25">
      <c r="A399" s="2456"/>
      <c r="B399" s="1849">
        <v>2025</v>
      </c>
      <c r="C399" s="218">
        <f t="shared" si="120"/>
        <v>0</v>
      </c>
      <c r="D399" s="218">
        <f t="shared" si="128"/>
        <v>0</v>
      </c>
      <c r="E399" s="218">
        <f t="shared" si="129"/>
        <v>0</v>
      </c>
      <c r="F399" s="218">
        <f t="shared" si="121"/>
        <v>0</v>
      </c>
      <c r="G399" s="218">
        <f t="shared" si="122"/>
        <v>0</v>
      </c>
      <c r="H399" s="218">
        <f t="shared" si="123"/>
        <v>0</v>
      </c>
      <c r="I399" s="218">
        <f t="shared" si="124"/>
        <v>0</v>
      </c>
      <c r="J399" s="218">
        <f t="shared" si="125"/>
        <v>0</v>
      </c>
      <c r="K399" s="218">
        <f t="shared" si="126"/>
        <v>0</v>
      </c>
      <c r="L399" s="192">
        <f t="shared" si="130"/>
        <v>0</v>
      </c>
      <c r="M399" s="211">
        <v>69</v>
      </c>
      <c r="N399" s="211">
        <f>(29.53*1.02)*0.888*1.0824</f>
        <v>28.951053246720004</v>
      </c>
      <c r="O399" s="211">
        <f>(42.96*1.02)*0.888*1.0824</f>
        <v>42.117753047040004</v>
      </c>
      <c r="P399" s="211">
        <f>(16.43*1.02)*0.888*1.0824</f>
        <v>16.10788367232</v>
      </c>
      <c r="Q399" s="211">
        <f>(12.76*1.02)*0.888*1.0824</f>
        <v>12.50983540224</v>
      </c>
      <c r="R399" s="211">
        <f>(1.27*1.02)*0.888*1.0824</f>
        <v>1.2451011724800001</v>
      </c>
      <c r="S399" s="211">
        <f>(0.0584*1.02)*0.888*1.0824</f>
        <v>5.7255046041600005E-2</v>
      </c>
      <c r="T399" s="1850">
        <f t="shared" si="131"/>
        <v>0</v>
      </c>
      <c r="U399" s="1850">
        <f t="shared" si="127"/>
        <v>0</v>
      </c>
      <c r="V399" s="1850">
        <f t="shared" si="127"/>
        <v>0</v>
      </c>
      <c r="W399" s="1850">
        <f t="shared" si="127"/>
        <v>0</v>
      </c>
      <c r="X399" s="1850">
        <f t="shared" si="127"/>
        <v>0</v>
      </c>
      <c r="Y399" s="1850">
        <f t="shared" si="127"/>
        <v>0</v>
      </c>
      <c r="Z399" s="1850">
        <f t="shared" si="89"/>
        <v>0</v>
      </c>
      <c r="AA399" s="2733"/>
    </row>
    <row r="400" spans="1:27" ht="18.75" x14ac:dyDescent="0.25">
      <c r="A400" s="2456"/>
      <c r="B400" s="1849">
        <v>2026</v>
      </c>
      <c r="C400" s="218">
        <f t="shared" si="120"/>
        <v>0</v>
      </c>
      <c r="D400" s="218">
        <f t="shared" si="128"/>
        <v>0</v>
      </c>
      <c r="E400" s="218">
        <f t="shared" si="129"/>
        <v>0</v>
      </c>
      <c r="F400" s="218">
        <f t="shared" si="121"/>
        <v>0</v>
      </c>
      <c r="G400" s="218">
        <f t="shared" si="122"/>
        <v>0</v>
      </c>
      <c r="H400" s="218">
        <f t="shared" si="123"/>
        <v>0</v>
      </c>
      <c r="I400" s="218">
        <f t="shared" si="124"/>
        <v>0</v>
      </c>
      <c r="J400" s="218">
        <f t="shared" si="125"/>
        <v>0</v>
      </c>
      <c r="K400" s="218">
        <f t="shared" si="126"/>
        <v>0</v>
      </c>
      <c r="L400" s="192">
        <f t="shared" si="130"/>
        <v>0</v>
      </c>
      <c r="M400" s="211">
        <v>70</v>
      </c>
      <c r="N400" s="211">
        <f>(29.53*1.02)*0.8706*1.0824</f>
        <v>28.383769095264007</v>
      </c>
      <c r="O400" s="211">
        <f>(42.96*1.02)*0.8706*1.0824</f>
        <v>41.292472750848006</v>
      </c>
      <c r="P400" s="211">
        <f>(16.43*1.02)*0.8706*1.0824</f>
        <v>15.792256221984003</v>
      </c>
      <c r="Q400" s="211">
        <f>(12.76*1.02)*0.8706*1.0824</f>
        <v>12.264710249088001</v>
      </c>
      <c r="R400" s="211">
        <f>(1.27*1.02)*0.8706*1.0824</f>
        <v>1.2207039197760001</v>
      </c>
      <c r="S400" s="211">
        <f>(0.0584*1.02)*0.8706*1.0824</f>
        <v>5.6133156625920007E-2</v>
      </c>
      <c r="T400" s="1850">
        <f t="shared" si="131"/>
        <v>0</v>
      </c>
      <c r="U400" s="1850">
        <f t="shared" si="127"/>
        <v>0</v>
      </c>
      <c r="V400" s="1850">
        <f t="shared" si="127"/>
        <v>0</v>
      </c>
      <c r="W400" s="1850">
        <f t="shared" si="127"/>
        <v>0</v>
      </c>
      <c r="X400" s="1850">
        <f t="shared" si="127"/>
        <v>0</v>
      </c>
      <c r="Y400" s="1850">
        <f t="shared" si="127"/>
        <v>0</v>
      </c>
      <c r="Z400" s="1850">
        <f t="shared" si="89"/>
        <v>0</v>
      </c>
      <c r="AA400" s="2733"/>
    </row>
    <row r="401" spans="1:27" ht="18.75" x14ac:dyDescent="0.25">
      <c r="A401" s="2456"/>
      <c r="B401" s="1849">
        <v>2027</v>
      </c>
      <c r="C401" s="218">
        <f t="shared" si="120"/>
        <v>0</v>
      </c>
      <c r="D401" s="218">
        <f t="shared" si="128"/>
        <v>0</v>
      </c>
      <c r="E401" s="218">
        <f t="shared" si="129"/>
        <v>0</v>
      </c>
      <c r="F401" s="218">
        <f t="shared" si="121"/>
        <v>0</v>
      </c>
      <c r="G401" s="218">
        <f t="shared" si="122"/>
        <v>0</v>
      </c>
      <c r="H401" s="218">
        <f t="shared" si="123"/>
        <v>0</v>
      </c>
      <c r="I401" s="218">
        <f t="shared" si="124"/>
        <v>0</v>
      </c>
      <c r="J401" s="218">
        <f t="shared" si="125"/>
        <v>0</v>
      </c>
      <c r="K401" s="218">
        <f t="shared" si="126"/>
        <v>0</v>
      </c>
      <c r="L401" s="192">
        <f t="shared" si="130"/>
        <v>0</v>
      </c>
      <c r="M401" s="211">
        <v>71</v>
      </c>
      <c r="N401" s="211">
        <f>(29.53*1.02)*0.8535*1.0824</f>
        <v>27.826265705040004</v>
      </c>
      <c r="O401" s="211">
        <f>(42.96*1.02)*0.8535*1.0824</f>
        <v>40.481421425280004</v>
      </c>
      <c r="P401" s="211">
        <f>(16.43*1.02)*0.8535*1.0824</f>
        <v>15.482070624240002</v>
      </c>
      <c r="Q401" s="211">
        <f>(12.76*1.02)*0.8535*1.0824</f>
        <v>12.023811391680001</v>
      </c>
      <c r="R401" s="211">
        <f>(1.27*1.02)*0.8535*1.0824</f>
        <v>1.1967273093600002</v>
      </c>
      <c r="S401" s="211">
        <f>(0.0584*1.02)*0.8535*1.0824</f>
        <v>5.503061013120001E-2</v>
      </c>
      <c r="T401" s="1850">
        <f t="shared" si="131"/>
        <v>0</v>
      </c>
      <c r="U401" s="1850">
        <f t="shared" si="127"/>
        <v>0</v>
      </c>
      <c r="V401" s="1850">
        <f t="shared" si="127"/>
        <v>0</v>
      </c>
      <c r="W401" s="1850">
        <f t="shared" si="127"/>
        <v>0</v>
      </c>
      <c r="X401" s="1850">
        <f t="shared" si="127"/>
        <v>0</v>
      </c>
      <c r="Y401" s="1850">
        <f t="shared" si="127"/>
        <v>0</v>
      </c>
      <c r="Z401" s="1850">
        <f t="shared" si="89"/>
        <v>0</v>
      </c>
      <c r="AA401" s="2733"/>
    </row>
    <row r="402" spans="1:27" ht="18.75" x14ac:dyDescent="0.25">
      <c r="A402" s="2456"/>
      <c r="B402" s="1849">
        <v>2028</v>
      </c>
      <c r="C402" s="218">
        <f t="shared" si="120"/>
        <v>0</v>
      </c>
      <c r="D402" s="218">
        <f t="shared" si="128"/>
        <v>0</v>
      </c>
      <c r="E402" s="218">
        <f t="shared" si="129"/>
        <v>0</v>
      </c>
      <c r="F402" s="218">
        <f t="shared" si="121"/>
        <v>0</v>
      </c>
      <c r="G402" s="218">
        <f t="shared" si="122"/>
        <v>0</v>
      </c>
      <c r="H402" s="218">
        <f t="shared" si="123"/>
        <v>0</v>
      </c>
      <c r="I402" s="218">
        <f t="shared" si="124"/>
        <v>0</v>
      </c>
      <c r="J402" s="218">
        <f t="shared" si="125"/>
        <v>0</v>
      </c>
      <c r="K402" s="218">
        <f t="shared" si="126"/>
        <v>0</v>
      </c>
      <c r="L402" s="192">
        <f t="shared" si="130"/>
        <v>0</v>
      </c>
      <c r="M402" s="211">
        <v>72</v>
      </c>
      <c r="N402" s="211">
        <f>(29.53*1.02)*0.8368*1.0824</f>
        <v>27.281803329792002</v>
      </c>
      <c r="O402" s="211">
        <f>(42.96*1.02)*0.8368*1.0824</f>
        <v>39.689342060544</v>
      </c>
      <c r="P402" s="211">
        <f>(16.43*1.02)*0.8368*1.0824</f>
        <v>15.179140829952001</v>
      </c>
      <c r="Q402" s="211">
        <f>(12.76*1.02)*0.8368*1.0824</f>
        <v>11.788547595263999</v>
      </c>
      <c r="R402" s="211">
        <f>(1.27*1.02)*0.8368*1.0824</f>
        <v>1.173311555328</v>
      </c>
      <c r="S402" s="211">
        <f>(0.0584*1.02)*0.8368*1.0824</f>
        <v>5.3953854197759998E-2</v>
      </c>
      <c r="T402" s="1850">
        <f t="shared" si="131"/>
        <v>0</v>
      </c>
      <c r="U402" s="1850">
        <f t="shared" si="127"/>
        <v>0</v>
      </c>
      <c r="V402" s="1850">
        <f t="shared" si="127"/>
        <v>0</v>
      </c>
      <c r="W402" s="1850">
        <f t="shared" si="127"/>
        <v>0</v>
      </c>
      <c r="X402" s="1850">
        <f t="shared" si="127"/>
        <v>0</v>
      </c>
      <c r="Y402" s="1850">
        <f t="shared" si="127"/>
        <v>0</v>
      </c>
      <c r="Z402" s="1850">
        <f t="shared" si="89"/>
        <v>0</v>
      </c>
      <c r="AA402" s="2733"/>
    </row>
    <row r="403" spans="1:27" ht="18.75" x14ac:dyDescent="0.25">
      <c r="A403" s="2456"/>
      <c r="B403" s="1849">
        <v>2029</v>
      </c>
      <c r="C403" s="218">
        <f t="shared" si="120"/>
        <v>0</v>
      </c>
      <c r="D403" s="218">
        <f t="shared" si="128"/>
        <v>0</v>
      </c>
      <c r="E403" s="218">
        <f t="shared" si="129"/>
        <v>0</v>
      </c>
      <c r="F403" s="218">
        <f t="shared" si="121"/>
        <v>0</v>
      </c>
      <c r="G403" s="218">
        <f t="shared" si="122"/>
        <v>0</v>
      </c>
      <c r="H403" s="218">
        <f t="shared" si="123"/>
        <v>0</v>
      </c>
      <c r="I403" s="218">
        <f t="shared" si="124"/>
        <v>0</v>
      </c>
      <c r="J403" s="218">
        <f t="shared" si="125"/>
        <v>0</v>
      </c>
      <c r="K403" s="218">
        <f t="shared" si="126"/>
        <v>0</v>
      </c>
      <c r="L403" s="192">
        <f t="shared" si="130"/>
        <v>0</v>
      </c>
      <c r="M403" s="211">
        <v>73</v>
      </c>
      <c r="N403" s="211">
        <f>(29.53*1.02)*0.8203*1.0824</f>
        <v>26.743861462032005</v>
      </c>
      <c r="O403" s="211">
        <f>(42.96*1.02)*0.8203*1.0824</f>
        <v>38.906748676224005</v>
      </c>
      <c r="P403" s="211">
        <f>(16.43*1.02)*0.8203*1.0824</f>
        <v>14.879838937392002</v>
      </c>
      <c r="Q403" s="211">
        <f>(12.76*1.02)*0.8203*1.0824</f>
        <v>11.556101329344001</v>
      </c>
      <c r="R403" s="211">
        <f>(1.27*1.02)*0.8203*1.0824</f>
        <v>1.1501762294880002</v>
      </c>
      <c r="S403" s="211">
        <f>(0.0584*1.02)*0.8203*1.0824</f>
        <v>5.2889993544960004E-2</v>
      </c>
      <c r="T403" s="1850">
        <f t="shared" si="131"/>
        <v>0</v>
      </c>
      <c r="U403" s="1850">
        <f t="shared" si="127"/>
        <v>0</v>
      </c>
      <c r="V403" s="1850">
        <f t="shared" si="127"/>
        <v>0</v>
      </c>
      <c r="W403" s="1850">
        <f t="shared" si="127"/>
        <v>0</v>
      </c>
      <c r="X403" s="1850">
        <f t="shared" si="127"/>
        <v>0</v>
      </c>
      <c r="Y403" s="1850">
        <f t="shared" si="127"/>
        <v>0</v>
      </c>
      <c r="Z403" s="1850">
        <f t="shared" si="89"/>
        <v>0</v>
      </c>
      <c r="AA403" s="2733"/>
    </row>
    <row r="404" spans="1:27" ht="18.75" x14ac:dyDescent="0.25">
      <c r="A404" s="2456"/>
      <c r="B404" s="1849">
        <v>2030</v>
      </c>
      <c r="C404" s="218">
        <f t="shared" si="120"/>
        <v>0</v>
      </c>
      <c r="D404" s="218">
        <f t="shared" si="128"/>
        <v>0</v>
      </c>
      <c r="E404" s="218">
        <f t="shared" si="129"/>
        <v>0</v>
      </c>
      <c r="F404" s="218">
        <f t="shared" si="121"/>
        <v>0</v>
      </c>
      <c r="G404" s="218">
        <f t="shared" si="122"/>
        <v>0</v>
      </c>
      <c r="H404" s="218">
        <f t="shared" si="123"/>
        <v>0</v>
      </c>
      <c r="I404" s="218">
        <f t="shared" si="124"/>
        <v>0</v>
      </c>
      <c r="J404" s="218">
        <f t="shared" si="125"/>
        <v>0</v>
      </c>
      <c r="K404" s="218">
        <f t="shared" si="126"/>
        <v>0</v>
      </c>
      <c r="L404" s="192">
        <f t="shared" si="130"/>
        <v>0</v>
      </c>
      <c r="M404" s="211">
        <v>75</v>
      </c>
      <c r="N404" s="211">
        <f>(29.53*1.02)*0.8043*1.0824</f>
        <v>26.222220862992003</v>
      </c>
      <c r="O404" s="211">
        <f>(42.96*1.02)*0.8043*1.0824</f>
        <v>38.147870242944002</v>
      </c>
      <c r="P404" s="211">
        <f>(16.43*1.02)*0.8043*1.0824</f>
        <v>14.589606799152003</v>
      </c>
      <c r="Q404" s="211">
        <f>(12.76*1.02)*0.8043*1.0824</f>
        <v>11.330698889664001</v>
      </c>
      <c r="R404" s="211">
        <f>(1.27*1.02)*0.8043*1.0824</f>
        <v>1.1277419741280001</v>
      </c>
      <c r="S404" s="211">
        <f>(0.0584*1.02)*0.8043*1.0824</f>
        <v>5.1858371093760007E-2</v>
      </c>
      <c r="T404" s="1850">
        <f t="shared" si="131"/>
        <v>0</v>
      </c>
      <c r="U404" s="1850">
        <f t="shared" si="127"/>
        <v>0</v>
      </c>
      <c r="V404" s="1850">
        <f t="shared" si="127"/>
        <v>0</v>
      </c>
      <c r="W404" s="1850">
        <f t="shared" si="127"/>
        <v>0</v>
      </c>
      <c r="X404" s="1850">
        <f t="shared" si="127"/>
        <v>0</v>
      </c>
      <c r="Y404" s="1850">
        <f t="shared" si="127"/>
        <v>0</v>
      </c>
      <c r="Z404" s="1850">
        <f t="shared" si="89"/>
        <v>0</v>
      </c>
      <c r="AA404" s="2733"/>
    </row>
    <row r="405" spans="1:27" ht="18.75" x14ac:dyDescent="0.25">
      <c r="A405" s="2456"/>
      <c r="B405" s="1849">
        <v>2031</v>
      </c>
      <c r="C405" s="218">
        <f t="shared" si="120"/>
        <v>0</v>
      </c>
      <c r="D405" s="218">
        <f t="shared" si="128"/>
        <v>0</v>
      </c>
      <c r="E405" s="218">
        <f t="shared" si="129"/>
        <v>0</v>
      </c>
      <c r="F405" s="218">
        <f t="shared" si="121"/>
        <v>0</v>
      </c>
      <c r="G405" s="218">
        <f t="shared" si="122"/>
        <v>0</v>
      </c>
      <c r="H405" s="218">
        <f t="shared" si="123"/>
        <v>0</v>
      </c>
      <c r="I405" s="218">
        <f t="shared" si="124"/>
        <v>0</v>
      </c>
      <c r="J405" s="218">
        <f t="shared" si="125"/>
        <v>0</v>
      </c>
      <c r="K405" s="218">
        <f t="shared" si="126"/>
        <v>0</v>
      </c>
      <c r="L405" s="192">
        <f t="shared" si="130"/>
        <v>0</v>
      </c>
      <c r="M405" s="211">
        <v>76</v>
      </c>
      <c r="N405" s="211">
        <f>(29.53*1.02)*0.7885*1.0824</f>
        <v>25.70710077144</v>
      </c>
      <c r="O405" s="211">
        <f>(42.96*1.02)*0.7885*1.0824</f>
        <v>37.398477790080001</v>
      </c>
      <c r="P405" s="211">
        <f>(16.43*1.02)*0.7885*1.0824</f>
        <v>14.303002562640001</v>
      </c>
      <c r="Q405" s="211">
        <f>(12.76*1.02)*0.7885*1.0824</f>
        <v>11.108113980480001</v>
      </c>
      <c r="R405" s="211">
        <f>(1.27*1.02)*0.7885*1.0824</f>
        <v>1.1055881469600002</v>
      </c>
      <c r="S405" s="211">
        <f>(0.0584*1.02)*0.7885*1.0824</f>
        <v>5.0839643923200006E-2</v>
      </c>
      <c r="T405" s="1850">
        <f t="shared" si="131"/>
        <v>0</v>
      </c>
      <c r="U405" s="1850">
        <f t="shared" si="127"/>
        <v>0</v>
      </c>
      <c r="V405" s="1850">
        <f t="shared" si="127"/>
        <v>0</v>
      </c>
      <c r="W405" s="1850">
        <f t="shared" si="127"/>
        <v>0</v>
      </c>
      <c r="X405" s="1850">
        <f t="shared" si="127"/>
        <v>0</v>
      </c>
      <c r="Y405" s="1850">
        <f t="shared" si="127"/>
        <v>0</v>
      </c>
      <c r="Z405" s="1850">
        <f t="shared" si="89"/>
        <v>0</v>
      </c>
      <c r="AA405" s="2733"/>
    </row>
    <row r="406" spans="1:27" ht="18.75" x14ac:dyDescent="0.25">
      <c r="A406" s="2456"/>
      <c r="B406" s="1849">
        <v>2032</v>
      </c>
      <c r="C406" s="218">
        <f t="shared" si="120"/>
        <v>0</v>
      </c>
      <c r="D406" s="218">
        <f t="shared" si="128"/>
        <v>0</v>
      </c>
      <c r="E406" s="218">
        <f t="shared" si="129"/>
        <v>0</v>
      </c>
      <c r="F406" s="218">
        <f t="shared" si="121"/>
        <v>0</v>
      </c>
      <c r="G406" s="218">
        <f t="shared" si="122"/>
        <v>0</v>
      </c>
      <c r="H406" s="218">
        <f t="shared" si="123"/>
        <v>0</v>
      </c>
      <c r="I406" s="218">
        <f t="shared" si="124"/>
        <v>0</v>
      </c>
      <c r="J406" s="218">
        <f t="shared" si="125"/>
        <v>0</v>
      </c>
      <c r="K406" s="218">
        <f t="shared" si="126"/>
        <v>0</v>
      </c>
      <c r="L406" s="192">
        <f t="shared" si="130"/>
        <v>0</v>
      </c>
      <c r="M406" s="211">
        <v>77</v>
      </c>
      <c r="N406" s="211">
        <f>(29.53*1.02)*0.773*1.0824</f>
        <v>25.201761441120002</v>
      </c>
      <c r="O406" s="211">
        <f>(42.96*1.02)*0.773*1.0824</f>
        <v>36.663314307840004</v>
      </c>
      <c r="P406" s="211">
        <f>(16.43*1.02)*0.773*1.0824</f>
        <v>14.021840178720002</v>
      </c>
      <c r="Q406" s="211">
        <f>(12.76*1.02)*0.773*1.0824</f>
        <v>10.889755367040001</v>
      </c>
      <c r="R406" s="211">
        <f>(1.27*1.02)*0.773*1.0824</f>
        <v>1.0838549620800002</v>
      </c>
      <c r="S406" s="211">
        <f>(0.0584*1.02)*0.773*1.0824</f>
        <v>4.9840259673600007E-2</v>
      </c>
      <c r="T406" s="1850">
        <f t="shared" si="131"/>
        <v>0</v>
      </c>
      <c r="U406" s="1850">
        <f t="shared" si="127"/>
        <v>0</v>
      </c>
      <c r="V406" s="1850">
        <f t="shared" si="127"/>
        <v>0</v>
      </c>
      <c r="W406" s="1850">
        <f t="shared" si="127"/>
        <v>0</v>
      </c>
      <c r="X406" s="1850">
        <f t="shared" si="127"/>
        <v>0</v>
      </c>
      <c r="Y406" s="1850">
        <f t="shared" si="127"/>
        <v>0</v>
      </c>
      <c r="Z406" s="1850">
        <f t="shared" si="89"/>
        <v>0</v>
      </c>
      <c r="AA406" s="2733"/>
    </row>
    <row r="407" spans="1:27" ht="18.75" x14ac:dyDescent="0.25">
      <c r="A407" s="2456"/>
      <c r="B407" s="1849">
        <v>2033</v>
      </c>
      <c r="C407" s="218">
        <f t="shared" si="120"/>
        <v>0</v>
      </c>
      <c r="D407" s="218">
        <f t="shared" si="128"/>
        <v>0</v>
      </c>
      <c r="E407" s="218">
        <f t="shared" si="129"/>
        <v>0</v>
      </c>
      <c r="F407" s="218">
        <f t="shared" si="121"/>
        <v>0</v>
      </c>
      <c r="G407" s="218">
        <f t="shared" si="122"/>
        <v>0</v>
      </c>
      <c r="H407" s="218">
        <f t="shared" si="123"/>
        <v>0</v>
      </c>
      <c r="I407" s="218">
        <f t="shared" si="124"/>
        <v>0</v>
      </c>
      <c r="J407" s="218">
        <f t="shared" si="125"/>
        <v>0</v>
      </c>
      <c r="K407" s="218">
        <f t="shared" si="126"/>
        <v>0</v>
      </c>
      <c r="L407" s="192">
        <f t="shared" si="130"/>
        <v>0</v>
      </c>
      <c r="M407" s="211">
        <v>78</v>
      </c>
      <c r="N407" s="211">
        <f>(29.53*1.02)*0.7579*1.0824</f>
        <v>24.709463125776001</v>
      </c>
      <c r="O407" s="211">
        <f>(42.96*1.02)*0.7579*1.0824</f>
        <v>35.947122786432004</v>
      </c>
      <c r="P407" s="211">
        <f>(16.43*1.02)*0.7579*1.0824</f>
        <v>13.747933598256003</v>
      </c>
      <c r="Q407" s="211">
        <f>(12.76*1.02)*0.7579*1.0824</f>
        <v>10.677031814592</v>
      </c>
      <c r="R407" s="211">
        <f>(1.27*1.02)*0.7579*1.0824</f>
        <v>1.0626826335840001</v>
      </c>
      <c r="S407" s="211">
        <f>(0.0584*1.02)*0.7579*1.0824</f>
        <v>4.8866665985280007E-2</v>
      </c>
      <c r="T407" s="1850">
        <f t="shared" si="131"/>
        <v>0</v>
      </c>
      <c r="U407" s="1850">
        <f t="shared" si="127"/>
        <v>0</v>
      </c>
      <c r="V407" s="1850">
        <f t="shared" si="127"/>
        <v>0</v>
      </c>
      <c r="W407" s="1850">
        <f t="shared" si="127"/>
        <v>0</v>
      </c>
      <c r="X407" s="1850">
        <f t="shared" si="127"/>
        <v>0</v>
      </c>
      <c r="Y407" s="1850">
        <f t="shared" si="127"/>
        <v>0</v>
      </c>
      <c r="Z407" s="1850">
        <f t="shared" si="89"/>
        <v>0</v>
      </c>
      <c r="AA407" s="2733"/>
    </row>
    <row r="408" spans="1:27" ht="18.75" x14ac:dyDescent="0.25">
      <c r="A408" s="2456"/>
      <c r="B408" s="1849">
        <v>2034</v>
      </c>
      <c r="C408" s="218">
        <f t="shared" si="120"/>
        <v>0</v>
      </c>
      <c r="D408" s="218">
        <f t="shared" si="128"/>
        <v>0</v>
      </c>
      <c r="E408" s="218">
        <f t="shared" si="129"/>
        <v>0</v>
      </c>
      <c r="F408" s="218">
        <f t="shared" si="121"/>
        <v>0</v>
      </c>
      <c r="G408" s="218">
        <f t="shared" si="122"/>
        <v>0</v>
      </c>
      <c r="H408" s="218">
        <f t="shared" si="123"/>
        <v>0</v>
      </c>
      <c r="I408" s="218">
        <f t="shared" si="124"/>
        <v>0</v>
      </c>
      <c r="J408" s="218">
        <f t="shared" si="125"/>
        <v>0</v>
      </c>
      <c r="K408" s="218">
        <f t="shared" si="126"/>
        <v>0</v>
      </c>
      <c r="L408" s="192">
        <f t="shared" si="130"/>
        <v>0</v>
      </c>
      <c r="M408" s="211">
        <v>79</v>
      </c>
      <c r="N408" s="211">
        <f>(29.53*1.02)*0.743*1.0824</f>
        <v>24.223685317920005</v>
      </c>
      <c r="O408" s="211">
        <f>(42.96*1.02)*0.743*1.0824</f>
        <v>35.24041724544</v>
      </c>
      <c r="P408" s="211">
        <f>(16.43*1.02)*0.743*1.0824</f>
        <v>13.477654919520001</v>
      </c>
      <c r="Q408" s="211">
        <f>(12.76*1.02)*0.743*1.0824</f>
        <v>10.467125792640001</v>
      </c>
      <c r="R408" s="211">
        <f>(1.27*1.02)*0.743*1.0824</f>
        <v>1.04179073328</v>
      </c>
      <c r="S408" s="211">
        <f>(0.0584*1.02)*0.743*1.0824</f>
        <v>4.7905967577600003E-2</v>
      </c>
      <c r="T408" s="1850">
        <f t="shared" si="131"/>
        <v>0</v>
      </c>
      <c r="U408" s="1850">
        <f t="shared" si="127"/>
        <v>0</v>
      </c>
      <c r="V408" s="1850">
        <f t="shared" si="127"/>
        <v>0</v>
      </c>
      <c r="W408" s="1850">
        <f t="shared" si="127"/>
        <v>0</v>
      </c>
      <c r="X408" s="1850">
        <f t="shared" si="127"/>
        <v>0</v>
      </c>
      <c r="Y408" s="1850">
        <f t="shared" si="127"/>
        <v>0</v>
      </c>
      <c r="Z408" s="1850">
        <f t="shared" si="89"/>
        <v>0</v>
      </c>
      <c r="AA408" s="2733"/>
    </row>
    <row r="409" spans="1:27" ht="18.75" x14ac:dyDescent="0.25">
      <c r="A409" s="2456"/>
      <c r="B409" s="1849">
        <v>2035</v>
      </c>
      <c r="C409" s="218">
        <f t="shared" si="120"/>
        <v>0</v>
      </c>
      <c r="D409" s="218">
        <f t="shared" si="128"/>
        <v>0</v>
      </c>
      <c r="E409" s="218">
        <f t="shared" si="129"/>
        <v>0</v>
      </c>
      <c r="F409" s="218">
        <f t="shared" si="121"/>
        <v>0</v>
      </c>
      <c r="G409" s="218">
        <f t="shared" si="122"/>
        <v>0</v>
      </c>
      <c r="H409" s="218">
        <f t="shared" si="123"/>
        <v>0</v>
      </c>
      <c r="I409" s="218">
        <f t="shared" si="124"/>
        <v>0</v>
      </c>
      <c r="J409" s="218">
        <f t="shared" si="125"/>
        <v>0</v>
      </c>
      <c r="K409" s="218">
        <f t="shared" si="126"/>
        <v>0</v>
      </c>
      <c r="L409" s="192">
        <f t="shared" si="130"/>
        <v>0</v>
      </c>
      <c r="M409" s="211">
        <v>80</v>
      </c>
      <c r="N409" s="211">
        <f>(29.53*1.02)*0.7284*1.0824</f>
        <v>23.747688271296006</v>
      </c>
      <c r="O409" s="211">
        <f>(42.96*1.02)*0.7284*1.0824</f>
        <v>34.547940675072006</v>
      </c>
      <c r="P409" s="211">
        <f>(16.43*1.02)*0.7284*1.0824</f>
        <v>13.212818093376002</v>
      </c>
      <c r="Q409" s="211">
        <f>(12.76*1.02)*0.7284*1.0824</f>
        <v>10.261446066432002</v>
      </c>
      <c r="R409" s="211">
        <f>(1.27*1.02)*0.7284*1.0824</f>
        <v>1.0213194752640002</v>
      </c>
      <c r="S409" s="211">
        <f>(0.0584*1.02)*0.7284*1.0824</f>
        <v>4.6964612090880008E-2</v>
      </c>
      <c r="T409" s="1850">
        <f t="shared" si="131"/>
        <v>0</v>
      </c>
      <c r="U409" s="1850">
        <f t="shared" si="127"/>
        <v>0</v>
      </c>
      <c r="V409" s="1850">
        <f t="shared" si="127"/>
        <v>0</v>
      </c>
      <c r="W409" s="1850">
        <f t="shared" si="127"/>
        <v>0</v>
      </c>
      <c r="X409" s="1850">
        <f t="shared" si="127"/>
        <v>0</v>
      </c>
      <c r="Y409" s="1850">
        <f t="shared" si="127"/>
        <v>0</v>
      </c>
      <c r="Z409" s="1850">
        <f t="shared" si="89"/>
        <v>0</v>
      </c>
      <c r="AA409" s="2733"/>
    </row>
    <row r="410" spans="1:27" ht="18.75" x14ac:dyDescent="0.25">
      <c r="A410" s="2456"/>
      <c r="B410" s="1849">
        <v>2036</v>
      </c>
      <c r="C410" s="218">
        <f t="shared" si="120"/>
        <v>0</v>
      </c>
      <c r="D410" s="218">
        <f t="shared" si="128"/>
        <v>0</v>
      </c>
      <c r="E410" s="218">
        <f t="shared" si="129"/>
        <v>0</v>
      </c>
      <c r="F410" s="218">
        <f t="shared" si="121"/>
        <v>0</v>
      </c>
      <c r="G410" s="218">
        <f t="shared" si="122"/>
        <v>0</v>
      </c>
      <c r="H410" s="218">
        <f t="shared" si="123"/>
        <v>0</v>
      </c>
      <c r="I410" s="218">
        <f t="shared" si="124"/>
        <v>0</v>
      </c>
      <c r="J410" s="218">
        <f t="shared" si="125"/>
        <v>0</v>
      </c>
      <c r="K410" s="218">
        <f t="shared" si="126"/>
        <v>0</v>
      </c>
      <c r="L410" s="192">
        <f t="shared" si="130"/>
        <v>0</v>
      </c>
      <c r="M410" s="211">
        <v>81</v>
      </c>
      <c r="N410" s="211">
        <f>(29.53*1.02)*0.7142*1.0824</f>
        <v>23.284732239648001</v>
      </c>
      <c r="O410" s="211">
        <f>(42.96*1.02)*0.7142*1.0824</f>
        <v>33.874436065536003</v>
      </c>
      <c r="P410" s="211">
        <f>(16.43*1.02)*0.7142*1.0824</f>
        <v>12.955237070688</v>
      </c>
      <c r="Q410" s="211">
        <f>(12.76*1.02)*0.7142*1.0824</f>
        <v>10.061401401215999</v>
      </c>
      <c r="R410" s="211">
        <f>(1.27*1.02)*0.7142*1.0824</f>
        <v>1.001409073632</v>
      </c>
      <c r="S410" s="211">
        <f>(0.0584*1.02)*0.7142*1.0824</f>
        <v>4.6049047165439998E-2</v>
      </c>
      <c r="T410" s="1850">
        <f t="shared" si="131"/>
        <v>0</v>
      </c>
      <c r="U410" s="1850">
        <f t="shared" si="127"/>
        <v>0</v>
      </c>
      <c r="V410" s="1850">
        <f t="shared" si="127"/>
        <v>0</v>
      </c>
      <c r="W410" s="1850">
        <f t="shared" si="127"/>
        <v>0</v>
      </c>
      <c r="X410" s="1850">
        <f t="shared" si="127"/>
        <v>0</v>
      </c>
      <c r="Y410" s="1850">
        <f t="shared" si="127"/>
        <v>0</v>
      </c>
      <c r="Z410" s="1850">
        <f t="shared" si="89"/>
        <v>0</v>
      </c>
      <c r="AA410" s="2733"/>
    </row>
    <row r="411" spans="1:27" ht="18.75" x14ac:dyDescent="0.25">
      <c r="A411" s="2456"/>
      <c r="B411" s="1849">
        <v>2037</v>
      </c>
      <c r="C411" s="218">
        <f t="shared" si="120"/>
        <v>0</v>
      </c>
      <c r="D411" s="218">
        <f t="shared" si="128"/>
        <v>0</v>
      </c>
      <c r="E411" s="218">
        <f t="shared" si="129"/>
        <v>0</v>
      </c>
      <c r="F411" s="218">
        <f t="shared" si="121"/>
        <v>0</v>
      </c>
      <c r="G411" s="218">
        <f t="shared" si="122"/>
        <v>0</v>
      </c>
      <c r="H411" s="218">
        <f t="shared" si="123"/>
        <v>0</v>
      </c>
      <c r="I411" s="218">
        <f t="shared" si="124"/>
        <v>0</v>
      </c>
      <c r="J411" s="218">
        <f t="shared" si="125"/>
        <v>0</v>
      </c>
      <c r="K411" s="218">
        <f t="shared" si="126"/>
        <v>0</v>
      </c>
      <c r="L411" s="192">
        <f t="shared" si="130"/>
        <v>0</v>
      </c>
      <c r="M411" s="211">
        <v>83</v>
      </c>
      <c r="N411" s="211">
        <f>(29.53*1.02)*0.7002*1.0824</f>
        <v>22.828296715488005</v>
      </c>
      <c r="O411" s="211">
        <f>(42.96*1.02)*0.7002*1.0824</f>
        <v>33.210417436416002</v>
      </c>
      <c r="P411" s="211">
        <f>(16.43*1.02)*0.7002*1.0824</f>
        <v>12.701283949728003</v>
      </c>
      <c r="Q411" s="211">
        <f>(12.76*1.02)*0.7002*1.0824</f>
        <v>9.8641742664960006</v>
      </c>
      <c r="R411" s="211">
        <f>(1.27*1.02)*0.7002*1.0824</f>
        <v>0.9817791001920001</v>
      </c>
      <c r="S411" s="211">
        <f>(0.0584*1.02)*0.7002*1.0824</f>
        <v>4.5146377520640005E-2</v>
      </c>
      <c r="T411" s="1850">
        <f t="shared" si="131"/>
        <v>0</v>
      </c>
      <c r="U411" s="1850">
        <f t="shared" si="127"/>
        <v>0</v>
      </c>
      <c r="V411" s="1850">
        <f t="shared" si="127"/>
        <v>0</v>
      </c>
      <c r="W411" s="1850">
        <f t="shared" si="127"/>
        <v>0</v>
      </c>
      <c r="X411" s="1850">
        <f t="shared" si="127"/>
        <v>0</v>
      </c>
      <c r="Y411" s="1850">
        <f t="shared" si="127"/>
        <v>0</v>
      </c>
      <c r="Z411" s="1850">
        <f t="shared" si="89"/>
        <v>0</v>
      </c>
      <c r="AA411" s="2733"/>
    </row>
    <row r="412" spans="1:27" ht="18.75" x14ac:dyDescent="0.25">
      <c r="A412" s="2456"/>
      <c r="B412" s="1849">
        <v>2038</v>
      </c>
      <c r="C412" s="218">
        <f t="shared" si="120"/>
        <v>0</v>
      </c>
      <c r="D412" s="218">
        <f t="shared" si="128"/>
        <v>0</v>
      </c>
      <c r="E412" s="218">
        <f t="shared" si="129"/>
        <v>0</v>
      </c>
      <c r="F412" s="218">
        <f t="shared" si="121"/>
        <v>0</v>
      </c>
      <c r="G412" s="218">
        <f t="shared" si="122"/>
        <v>0</v>
      </c>
      <c r="H412" s="218">
        <f t="shared" si="123"/>
        <v>0</v>
      </c>
      <c r="I412" s="218">
        <f t="shared" si="124"/>
        <v>0</v>
      </c>
      <c r="J412" s="218">
        <f t="shared" si="125"/>
        <v>0</v>
      </c>
      <c r="K412" s="218">
        <f t="shared" si="126"/>
        <v>0</v>
      </c>
      <c r="L412" s="192">
        <f t="shared" si="130"/>
        <v>0</v>
      </c>
      <c r="M412" s="211">
        <v>84</v>
      </c>
      <c r="N412" s="211">
        <f>(29.53*1.02)*0.6864*1.0824</f>
        <v>22.378381698816003</v>
      </c>
      <c r="O412" s="211">
        <f>(42.96*1.02)*0.6864*1.0824</f>
        <v>32.555884787712003</v>
      </c>
      <c r="P412" s="211">
        <f>(16.43*1.02)*0.6864*1.0824</f>
        <v>12.450958730496001</v>
      </c>
      <c r="Q412" s="211">
        <f>(12.76*1.02)*0.6864*1.0824</f>
        <v>9.6697646622720015</v>
      </c>
      <c r="R412" s="211">
        <f>(1.27*1.02)*0.6864*1.0824</f>
        <v>0.96242955494400007</v>
      </c>
      <c r="S412" s="211">
        <f>(0.0584*1.02)*0.6864*1.0824</f>
        <v>4.4256603156480001E-2</v>
      </c>
      <c r="T412" s="1850">
        <f t="shared" si="131"/>
        <v>0</v>
      </c>
      <c r="U412" s="1850">
        <f t="shared" si="127"/>
        <v>0</v>
      </c>
      <c r="V412" s="1850">
        <f t="shared" si="127"/>
        <v>0</v>
      </c>
      <c r="W412" s="1850">
        <f t="shared" si="127"/>
        <v>0</v>
      </c>
      <c r="X412" s="1850">
        <f t="shared" si="127"/>
        <v>0</v>
      </c>
      <c r="Y412" s="1850">
        <f t="shared" si="127"/>
        <v>0</v>
      </c>
      <c r="Z412" s="1850">
        <f t="shared" si="89"/>
        <v>0</v>
      </c>
      <c r="AA412" s="2733"/>
    </row>
    <row r="413" spans="1:27" ht="18.75" x14ac:dyDescent="0.25">
      <c r="A413" s="2456"/>
      <c r="B413" s="1849">
        <v>2039</v>
      </c>
      <c r="C413" s="218">
        <f t="shared" si="120"/>
        <v>0</v>
      </c>
      <c r="D413" s="218">
        <f t="shared" si="128"/>
        <v>0</v>
      </c>
      <c r="E413" s="218">
        <f t="shared" si="129"/>
        <v>0</v>
      </c>
      <c r="F413" s="218">
        <f t="shared" si="121"/>
        <v>0</v>
      </c>
      <c r="G413" s="218">
        <f t="shared" si="122"/>
        <v>0</v>
      </c>
      <c r="H413" s="218">
        <f t="shared" si="123"/>
        <v>0</v>
      </c>
      <c r="I413" s="218">
        <f t="shared" si="124"/>
        <v>0</v>
      </c>
      <c r="J413" s="218">
        <f t="shared" si="125"/>
        <v>0</v>
      </c>
      <c r="K413" s="218">
        <f t="shared" si="126"/>
        <v>0</v>
      </c>
      <c r="L413" s="192">
        <f t="shared" si="130"/>
        <v>0</v>
      </c>
      <c r="M413" s="211">
        <v>85</v>
      </c>
      <c r="N413" s="211">
        <f>(29.53*1.02)*0.673*1.0824</f>
        <v>21.941507697120006</v>
      </c>
      <c r="O413" s="211">
        <f>(42.96*1.02)*0.673*1.0824</f>
        <v>31.920324099840006</v>
      </c>
      <c r="P413" s="211">
        <f>(16.43*1.02)*0.673*1.0824</f>
        <v>12.207889314720003</v>
      </c>
      <c r="Q413" s="211">
        <f>(12.76*1.02)*0.673*1.0824</f>
        <v>9.4809901190400012</v>
      </c>
      <c r="R413" s="211">
        <f>(1.27*1.02)*0.673*1.0824</f>
        <v>0.9436408660800002</v>
      </c>
      <c r="S413" s="211">
        <f>(0.0584*1.02)*0.673*1.0824</f>
        <v>4.3392619353600011E-2</v>
      </c>
      <c r="T413" s="1850">
        <f t="shared" si="131"/>
        <v>0</v>
      </c>
      <c r="U413" s="1850">
        <f t="shared" si="127"/>
        <v>0</v>
      </c>
      <c r="V413" s="1850">
        <f t="shared" si="127"/>
        <v>0</v>
      </c>
      <c r="W413" s="1850">
        <f t="shared" si="127"/>
        <v>0</v>
      </c>
      <c r="X413" s="1850">
        <f t="shared" si="127"/>
        <v>0</v>
      </c>
      <c r="Y413" s="1850">
        <f t="shared" si="127"/>
        <v>0</v>
      </c>
      <c r="Z413" s="1850">
        <f t="shared" si="89"/>
        <v>0</v>
      </c>
      <c r="AA413" s="2733"/>
    </row>
    <row r="414" spans="1:27" ht="18.75" x14ac:dyDescent="0.25">
      <c r="A414" s="2456"/>
      <c r="B414" s="1849">
        <v>2040</v>
      </c>
      <c r="C414" s="218">
        <f t="shared" si="120"/>
        <v>0</v>
      </c>
      <c r="D414" s="218">
        <f t="shared" si="128"/>
        <v>0</v>
      </c>
      <c r="E414" s="218">
        <f t="shared" si="129"/>
        <v>0</v>
      </c>
      <c r="F414" s="218">
        <f t="shared" si="121"/>
        <v>0</v>
      </c>
      <c r="G414" s="218">
        <f t="shared" si="122"/>
        <v>0</v>
      </c>
      <c r="H414" s="218">
        <f t="shared" si="123"/>
        <v>0</v>
      </c>
      <c r="I414" s="218">
        <f t="shared" si="124"/>
        <v>0</v>
      </c>
      <c r="J414" s="218">
        <f t="shared" si="125"/>
        <v>0</v>
      </c>
      <c r="K414" s="218">
        <f t="shared" si="126"/>
        <v>0</v>
      </c>
      <c r="L414" s="192">
        <f t="shared" si="130"/>
        <v>0</v>
      </c>
      <c r="M414" s="211">
        <v>86</v>
      </c>
      <c r="N414" s="211">
        <f>(29.53*1.02)*0.6598*1.0824</f>
        <v>21.511154202912003</v>
      </c>
      <c r="O414" s="211">
        <f>(42.96*1.02)*0.6598*1.0824</f>
        <v>31.294249392384003</v>
      </c>
      <c r="P414" s="211">
        <f>(16.43*1.02)*0.6598*1.0824</f>
        <v>11.968447800672001</v>
      </c>
      <c r="Q414" s="211">
        <f>(12.76*1.02)*0.6598*1.0824</f>
        <v>9.2950331063040004</v>
      </c>
      <c r="R414" s="211">
        <f>(1.27*1.02)*0.6598*1.0824</f>
        <v>0.92513260540800013</v>
      </c>
      <c r="S414" s="211">
        <f>(0.0584*1.02)*0.6598*1.0824</f>
        <v>4.254153083136001E-2</v>
      </c>
      <c r="T414" s="1850">
        <f t="shared" si="131"/>
        <v>0</v>
      </c>
      <c r="U414" s="1850">
        <f t="shared" si="127"/>
        <v>0</v>
      </c>
      <c r="V414" s="1850">
        <f t="shared" si="127"/>
        <v>0</v>
      </c>
      <c r="W414" s="1850">
        <f t="shared" si="127"/>
        <v>0</v>
      </c>
      <c r="X414" s="1850">
        <f t="shared" si="127"/>
        <v>0</v>
      </c>
      <c r="Y414" s="1850">
        <f t="shared" si="127"/>
        <v>0</v>
      </c>
      <c r="Z414" s="1850">
        <f t="shared" si="89"/>
        <v>0</v>
      </c>
      <c r="AA414" s="2733"/>
    </row>
    <row r="415" spans="1:27" ht="18.75" x14ac:dyDescent="0.25">
      <c r="A415" s="2456"/>
      <c r="B415" s="1849">
        <v>2041</v>
      </c>
      <c r="C415" s="218">
        <f t="shared" si="120"/>
        <v>0</v>
      </c>
      <c r="D415" s="218">
        <f t="shared" si="128"/>
        <v>0</v>
      </c>
      <c r="E415" s="218">
        <f t="shared" si="129"/>
        <v>0</v>
      </c>
      <c r="F415" s="218">
        <f t="shared" si="121"/>
        <v>0</v>
      </c>
      <c r="G415" s="218">
        <f t="shared" si="122"/>
        <v>0</v>
      </c>
      <c r="H415" s="218">
        <f t="shared" si="123"/>
        <v>0</v>
      </c>
      <c r="I415" s="218">
        <f t="shared" si="124"/>
        <v>0</v>
      </c>
      <c r="J415" s="218">
        <f t="shared" si="125"/>
        <v>0</v>
      </c>
      <c r="K415" s="218">
        <f t="shared" si="126"/>
        <v>0</v>
      </c>
      <c r="L415" s="192">
        <f t="shared" si="130"/>
        <v>0</v>
      </c>
      <c r="M415" s="211">
        <v>87</v>
      </c>
      <c r="N415" s="211">
        <f>(29.53*1.02)*0.6468*1.0824</f>
        <v>21.087321216192002</v>
      </c>
      <c r="O415" s="211">
        <f>(42.96*1.02)*0.6468*1.0824</f>
        <v>30.677660665344007</v>
      </c>
      <c r="P415" s="211">
        <f>(16.43*1.02)*0.6468*1.0824</f>
        <v>11.732634188352002</v>
      </c>
      <c r="Q415" s="211">
        <f>(12.76*1.02)*0.6468*1.0824</f>
        <v>9.1118936240640007</v>
      </c>
      <c r="R415" s="211">
        <f>(1.27*1.02)*0.6468*1.0824</f>
        <v>0.9069047729280002</v>
      </c>
      <c r="S415" s="211">
        <f>(0.0584*1.02)*0.6468*1.0824</f>
        <v>4.1703337589760005E-2</v>
      </c>
      <c r="T415" s="1850">
        <f t="shared" si="131"/>
        <v>0</v>
      </c>
      <c r="U415" s="1850">
        <f t="shared" si="127"/>
        <v>0</v>
      </c>
      <c r="V415" s="1850">
        <f t="shared" si="127"/>
        <v>0</v>
      </c>
      <c r="W415" s="1850">
        <f t="shared" si="127"/>
        <v>0</v>
      </c>
      <c r="X415" s="1850">
        <f t="shared" si="127"/>
        <v>0</v>
      </c>
      <c r="Y415" s="1850">
        <f t="shared" si="127"/>
        <v>0</v>
      </c>
      <c r="Z415" s="1850">
        <f t="shared" si="89"/>
        <v>0</v>
      </c>
      <c r="AA415" s="2733"/>
    </row>
    <row r="416" spans="1:27" ht="18.75" x14ac:dyDescent="0.25">
      <c r="A416" s="2456"/>
      <c r="B416" s="1849">
        <v>2042</v>
      </c>
      <c r="C416" s="218">
        <f t="shared" si="120"/>
        <v>0</v>
      </c>
      <c r="D416" s="218">
        <f t="shared" si="128"/>
        <v>0</v>
      </c>
      <c r="E416" s="218">
        <f t="shared" si="129"/>
        <v>0</v>
      </c>
      <c r="F416" s="218">
        <f t="shared" si="121"/>
        <v>0</v>
      </c>
      <c r="G416" s="218">
        <f t="shared" si="122"/>
        <v>0</v>
      </c>
      <c r="H416" s="218">
        <f t="shared" si="123"/>
        <v>0</v>
      </c>
      <c r="I416" s="218">
        <f t="shared" si="124"/>
        <v>0</v>
      </c>
      <c r="J416" s="218">
        <f t="shared" si="125"/>
        <v>0</v>
      </c>
      <c r="K416" s="218">
        <f t="shared" si="126"/>
        <v>0</v>
      </c>
      <c r="L416" s="192">
        <f t="shared" si="130"/>
        <v>0</v>
      </c>
      <c r="M416" s="211">
        <v>88</v>
      </c>
      <c r="N416" s="211">
        <f>(29.53*1.02)*0.6342*1.0824</f>
        <v>20.676529244448002</v>
      </c>
      <c r="O416" s="211">
        <f>(42.96*1.02)*0.6342*1.0824</f>
        <v>30.080043899136001</v>
      </c>
      <c r="P416" s="211">
        <f>(16.43*1.02)*0.6342*1.0824</f>
        <v>11.504076379488001</v>
      </c>
      <c r="Q416" s="211">
        <f>(12.76*1.02)*0.6342*1.0824</f>
        <v>8.9343892028159999</v>
      </c>
      <c r="R416" s="211">
        <f>(1.27*1.02)*0.6342*1.0824</f>
        <v>0.8892377968320001</v>
      </c>
      <c r="S416" s="211">
        <f>(0.0584*1.02)*0.6342*1.0824</f>
        <v>4.0890934909439999E-2</v>
      </c>
      <c r="T416" s="1850">
        <f t="shared" si="131"/>
        <v>0</v>
      </c>
      <c r="U416" s="1850">
        <f t="shared" si="127"/>
        <v>0</v>
      </c>
      <c r="V416" s="1850">
        <f t="shared" si="127"/>
        <v>0</v>
      </c>
      <c r="W416" s="1850">
        <f t="shared" si="127"/>
        <v>0</v>
      </c>
      <c r="X416" s="1850">
        <f t="shared" si="127"/>
        <v>0</v>
      </c>
      <c r="Y416" s="1850">
        <f t="shared" si="127"/>
        <v>0</v>
      </c>
      <c r="Z416" s="1850">
        <f t="shared" si="89"/>
        <v>0</v>
      </c>
      <c r="AA416" s="2733"/>
    </row>
    <row r="417" spans="1:27" ht="18.75" x14ac:dyDescent="0.25">
      <c r="A417" s="2456"/>
      <c r="B417" s="1849">
        <v>2043</v>
      </c>
      <c r="C417" s="218">
        <f t="shared" si="120"/>
        <v>0</v>
      </c>
      <c r="D417" s="218">
        <f t="shared" si="128"/>
        <v>0</v>
      </c>
      <c r="E417" s="218">
        <f t="shared" si="129"/>
        <v>0</v>
      </c>
      <c r="F417" s="218">
        <f t="shared" si="121"/>
        <v>0</v>
      </c>
      <c r="G417" s="218">
        <f t="shared" si="122"/>
        <v>0</v>
      </c>
      <c r="H417" s="218">
        <f t="shared" si="123"/>
        <v>0</v>
      </c>
      <c r="I417" s="218">
        <f t="shared" si="124"/>
        <v>0</v>
      </c>
      <c r="J417" s="218">
        <f t="shared" si="125"/>
        <v>0</v>
      </c>
      <c r="K417" s="218">
        <f t="shared" si="126"/>
        <v>0</v>
      </c>
      <c r="L417" s="192">
        <f t="shared" si="130"/>
        <v>0</v>
      </c>
      <c r="M417" s="211">
        <v>89</v>
      </c>
      <c r="N417" s="211">
        <f>(29.53*1.02)*0.6217*1.0824</f>
        <v>20.268997526448004</v>
      </c>
      <c r="O417" s="211">
        <f>(42.96*1.02)*0.6217*1.0824</f>
        <v>29.487170123136003</v>
      </c>
      <c r="P417" s="211">
        <f>(16.43*1.02)*0.6217*1.0824</f>
        <v>11.277332521488001</v>
      </c>
      <c r="Q417" s="211">
        <f>(12.76*1.02)*0.6217*1.0824</f>
        <v>8.7582935468160006</v>
      </c>
      <c r="R417" s="211">
        <f>(1.27*1.02)*0.6217*1.0824</f>
        <v>0.87171103483200019</v>
      </c>
      <c r="S417" s="211">
        <f>(0.0584*1.02)*0.6217*1.0824</f>
        <v>4.0084979869440006E-2</v>
      </c>
      <c r="T417" s="1850">
        <f t="shared" si="131"/>
        <v>0</v>
      </c>
      <c r="U417" s="1850">
        <f t="shared" si="127"/>
        <v>0</v>
      </c>
      <c r="V417" s="1850">
        <f t="shared" si="127"/>
        <v>0</v>
      </c>
      <c r="W417" s="1850">
        <f t="shared" si="127"/>
        <v>0</v>
      </c>
      <c r="X417" s="1850">
        <f t="shared" si="127"/>
        <v>0</v>
      </c>
      <c r="Y417" s="1850">
        <f t="shared" si="127"/>
        <v>0</v>
      </c>
      <c r="Z417" s="1850">
        <f t="shared" si="89"/>
        <v>0</v>
      </c>
      <c r="AA417" s="2733"/>
    </row>
    <row r="418" spans="1:27" ht="18.75" x14ac:dyDescent="0.25">
      <c r="A418" s="2456"/>
      <c r="B418" s="1849">
        <v>2044</v>
      </c>
      <c r="C418" s="218">
        <f t="shared" si="120"/>
        <v>0</v>
      </c>
      <c r="D418" s="218">
        <f t="shared" si="128"/>
        <v>0</v>
      </c>
      <c r="E418" s="218">
        <f t="shared" si="129"/>
        <v>0</v>
      </c>
      <c r="F418" s="218">
        <f t="shared" si="121"/>
        <v>0</v>
      </c>
      <c r="G418" s="218">
        <f t="shared" si="122"/>
        <v>0</v>
      </c>
      <c r="H418" s="218">
        <f t="shared" si="123"/>
        <v>0</v>
      </c>
      <c r="I418" s="218">
        <f t="shared" si="124"/>
        <v>0</v>
      </c>
      <c r="J418" s="218">
        <f t="shared" si="125"/>
        <v>0</v>
      </c>
      <c r="K418" s="218">
        <f t="shared" si="126"/>
        <v>0</v>
      </c>
      <c r="L418" s="192">
        <f t="shared" si="130"/>
        <v>0</v>
      </c>
      <c r="M418" s="211">
        <v>90</v>
      </c>
      <c r="N418" s="211">
        <f>(29.53*1.02)*0.6095*1.0824</f>
        <v>19.871246569680004</v>
      </c>
      <c r="O418" s="211">
        <f>(42.96*1.02)*0.6095*1.0824</f>
        <v>28.908525317760002</v>
      </c>
      <c r="P418" s="211">
        <f>(16.43*1.02)*0.6095*1.0824</f>
        <v>11.056030516080002</v>
      </c>
      <c r="Q418" s="211">
        <f>(12.76*1.02)*0.6095*1.0824</f>
        <v>8.5864241865600004</v>
      </c>
      <c r="R418" s="211">
        <f>(1.27*1.02)*0.6095*1.0824</f>
        <v>0.85460491512000014</v>
      </c>
      <c r="S418" s="211">
        <f>(0.0584*1.02)*0.6095*1.0824</f>
        <v>3.9298367750400007E-2</v>
      </c>
      <c r="T418" s="1850">
        <f t="shared" si="131"/>
        <v>0</v>
      </c>
      <c r="U418" s="1850">
        <f t="shared" si="127"/>
        <v>0</v>
      </c>
      <c r="V418" s="1850">
        <f t="shared" si="127"/>
        <v>0</v>
      </c>
      <c r="W418" s="1850">
        <f t="shared" si="127"/>
        <v>0</v>
      </c>
      <c r="X418" s="1850">
        <f t="shared" si="127"/>
        <v>0</v>
      </c>
      <c r="Y418" s="1850">
        <f t="shared" si="127"/>
        <v>0</v>
      </c>
      <c r="Z418" s="1850">
        <f t="shared" si="89"/>
        <v>0</v>
      </c>
      <c r="AA418" s="2733"/>
    </row>
    <row r="419" spans="1:27" ht="18.75" x14ac:dyDescent="0.25">
      <c r="A419" s="2456"/>
      <c r="B419" s="1849">
        <v>2045</v>
      </c>
      <c r="C419" s="218">
        <f t="shared" si="120"/>
        <v>0</v>
      </c>
      <c r="D419" s="218">
        <f t="shared" si="128"/>
        <v>0</v>
      </c>
      <c r="E419" s="218">
        <f t="shared" si="129"/>
        <v>0</v>
      </c>
      <c r="F419" s="218">
        <f t="shared" si="121"/>
        <v>0</v>
      </c>
      <c r="G419" s="218">
        <f t="shared" si="122"/>
        <v>0</v>
      </c>
      <c r="H419" s="218">
        <f t="shared" si="123"/>
        <v>0</v>
      </c>
      <c r="I419" s="218">
        <f t="shared" si="124"/>
        <v>0</v>
      </c>
      <c r="J419" s="218">
        <f t="shared" si="125"/>
        <v>0</v>
      </c>
      <c r="K419" s="218">
        <f t="shared" si="126"/>
        <v>0</v>
      </c>
      <c r="L419" s="192">
        <f t="shared" si="130"/>
        <v>0</v>
      </c>
      <c r="M419" s="211">
        <v>92</v>
      </c>
      <c r="N419" s="211">
        <f>(29.53*1.02)*0.5976*1.0824</f>
        <v>19.483276374144001</v>
      </c>
      <c r="O419" s="211">
        <f>(42.96*1.02)*0.5976*1.0824</f>
        <v>28.344109483008001</v>
      </c>
      <c r="P419" s="211">
        <f>(16.43*1.02)*0.5976*1.0824</f>
        <v>10.840170363264003</v>
      </c>
      <c r="Q419" s="211">
        <f>(12.76*1.02)*0.5976*1.0824</f>
        <v>8.4187811220480011</v>
      </c>
      <c r="R419" s="211">
        <f>(1.27*1.02)*0.5976*1.0824</f>
        <v>0.83791943769600008</v>
      </c>
      <c r="S419" s="211">
        <f>(0.0584*1.02)*0.5976*1.0824</f>
        <v>3.8531098552320009E-2</v>
      </c>
      <c r="T419" s="1850">
        <f t="shared" si="131"/>
        <v>0</v>
      </c>
      <c r="U419" s="1850">
        <f t="shared" si="127"/>
        <v>0</v>
      </c>
      <c r="V419" s="1850">
        <f t="shared" si="127"/>
        <v>0</v>
      </c>
      <c r="W419" s="1850">
        <f t="shared" si="127"/>
        <v>0</v>
      </c>
      <c r="X419" s="1850">
        <f t="shared" si="127"/>
        <v>0</v>
      </c>
      <c r="Y419" s="1850">
        <f t="shared" si="127"/>
        <v>0</v>
      </c>
      <c r="Z419" s="1850">
        <f t="shared" si="89"/>
        <v>0</v>
      </c>
      <c r="AA419" s="2733"/>
    </row>
    <row r="420" spans="1:27" ht="18.75" x14ac:dyDescent="0.25">
      <c r="A420" s="2456"/>
      <c r="B420" s="1849">
        <v>2046</v>
      </c>
      <c r="C420" s="218">
        <f t="shared" si="120"/>
        <v>0</v>
      </c>
      <c r="D420" s="218">
        <f t="shared" si="128"/>
        <v>0</v>
      </c>
      <c r="E420" s="218">
        <f t="shared" si="129"/>
        <v>0</v>
      </c>
      <c r="F420" s="218">
        <f t="shared" si="121"/>
        <v>0</v>
      </c>
      <c r="G420" s="218">
        <f t="shared" si="122"/>
        <v>0</v>
      </c>
      <c r="H420" s="218">
        <f t="shared" si="123"/>
        <v>0</v>
      </c>
      <c r="I420" s="218">
        <f t="shared" si="124"/>
        <v>0</v>
      </c>
      <c r="J420" s="218">
        <f t="shared" si="125"/>
        <v>0</v>
      </c>
      <c r="K420" s="218">
        <f t="shared" si="126"/>
        <v>0</v>
      </c>
      <c r="L420" s="192">
        <f t="shared" si="130"/>
        <v>0</v>
      </c>
      <c r="M420" s="211">
        <v>93</v>
      </c>
      <c r="N420" s="211">
        <f>(29.53*1.02)*0.5859*1.0824</f>
        <v>19.101826686096</v>
      </c>
      <c r="O420" s="211">
        <f>(42.96*1.02)*0.5859*1.0824</f>
        <v>27.789179628671999</v>
      </c>
      <c r="P420" s="211">
        <f>(16.43*1.02)*0.5859*1.0824</f>
        <v>10.627938112176002</v>
      </c>
      <c r="Q420" s="211">
        <f>(12.76*1.02)*0.5859*1.0824</f>
        <v>8.2539555880319995</v>
      </c>
      <c r="R420" s="211">
        <f>(1.27*1.02)*0.5859*1.0824</f>
        <v>0.82151438846400004</v>
      </c>
      <c r="S420" s="211">
        <f>(0.0584*1.02)*0.5859*1.0824</f>
        <v>3.777672463488E-2</v>
      </c>
      <c r="T420" s="1850">
        <f t="shared" si="131"/>
        <v>0</v>
      </c>
      <c r="U420" s="1850">
        <f t="shared" si="127"/>
        <v>0</v>
      </c>
      <c r="V420" s="1850">
        <f t="shared" si="127"/>
        <v>0</v>
      </c>
      <c r="W420" s="1850">
        <f t="shared" si="127"/>
        <v>0</v>
      </c>
      <c r="X420" s="1850">
        <f t="shared" si="127"/>
        <v>0</v>
      </c>
      <c r="Y420" s="1850">
        <f t="shared" si="127"/>
        <v>0</v>
      </c>
      <c r="Z420" s="1850">
        <f t="shared" si="89"/>
        <v>0</v>
      </c>
      <c r="AA420" s="2733"/>
    </row>
    <row r="421" spans="1:27" ht="18.75" x14ac:dyDescent="0.25">
      <c r="A421" s="2456"/>
      <c r="B421" s="1849">
        <v>2047</v>
      </c>
      <c r="C421" s="218">
        <f t="shared" si="120"/>
        <v>0</v>
      </c>
      <c r="D421" s="218">
        <f t="shared" si="128"/>
        <v>0</v>
      </c>
      <c r="E421" s="218">
        <f t="shared" si="129"/>
        <v>0</v>
      </c>
      <c r="F421" s="218">
        <f t="shared" si="121"/>
        <v>0</v>
      </c>
      <c r="G421" s="218">
        <f t="shared" si="122"/>
        <v>0</v>
      </c>
      <c r="H421" s="218">
        <f t="shared" si="123"/>
        <v>0</v>
      </c>
      <c r="I421" s="218">
        <f t="shared" si="124"/>
        <v>0</v>
      </c>
      <c r="J421" s="218">
        <f t="shared" si="125"/>
        <v>0</v>
      </c>
      <c r="K421" s="218">
        <f t="shared" si="126"/>
        <v>0</v>
      </c>
      <c r="L421" s="192">
        <f t="shared" si="130"/>
        <v>0</v>
      </c>
      <c r="M421" s="211">
        <v>94</v>
      </c>
      <c r="N421" s="211">
        <f>(29.53*1.02)*0.5744*1.0824</f>
        <v>18.726897505536005</v>
      </c>
      <c r="O421" s="211">
        <f>(42.96*1.02)*0.5744*1.0824</f>
        <v>27.243735754752002</v>
      </c>
      <c r="P421" s="211">
        <f>(16.43*1.02)*0.5744*1.0824</f>
        <v>10.419333762816001</v>
      </c>
      <c r="Q421" s="211">
        <f>(12.76*1.02)*0.5744*1.0824</f>
        <v>8.0919475845120008</v>
      </c>
      <c r="R421" s="211">
        <f>(1.27*1.02)*0.5744*1.0824</f>
        <v>0.80538976742400015</v>
      </c>
      <c r="S421" s="211">
        <f>(0.0584*1.02)*0.5744*1.0824</f>
        <v>3.7035245998080002E-2</v>
      </c>
      <c r="T421" s="1850">
        <f t="shared" si="131"/>
        <v>0</v>
      </c>
      <c r="U421" s="1850">
        <f t="shared" si="127"/>
        <v>0</v>
      </c>
      <c r="V421" s="1850">
        <f t="shared" si="127"/>
        <v>0</v>
      </c>
      <c r="W421" s="1850">
        <f t="shared" si="127"/>
        <v>0</v>
      </c>
      <c r="X421" s="1850">
        <f t="shared" si="127"/>
        <v>0</v>
      </c>
      <c r="Y421" s="1850">
        <f t="shared" si="127"/>
        <v>0</v>
      </c>
      <c r="Z421" s="1850">
        <f t="shared" si="89"/>
        <v>0</v>
      </c>
      <c r="AA421" s="2733"/>
    </row>
    <row r="422" spans="1:27" ht="18.75" x14ac:dyDescent="0.25">
      <c r="A422" s="2456"/>
      <c r="B422" s="1849">
        <v>2048</v>
      </c>
      <c r="C422" s="218">
        <f t="shared" si="120"/>
        <v>0</v>
      </c>
      <c r="D422" s="218">
        <f t="shared" si="128"/>
        <v>0</v>
      </c>
      <c r="E422" s="218">
        <f t="shared" si="129"/>
        <v>0</v>
      </c>
      <c r="F422" s="218">
        <f t="shared" si="121"/>
        <v>0</v>
      </c>
      <c r="G422" s="218">
        <f t="shared" si="122"/>
        <v>0</v>
      </c>
      <c r="H422" s="218">
        <f t="shared" si="123"/>
        <v>0</v>
      </c>
      <c r="I422" s="218">
        <f t="shared" si="124"/>
        <v>0</v>
      </c>
      <c r="J422" s="218">
        <f t="shared" si="125"/>
        <v>0</v>
      </c>
      <c r="K422" s="218">
        <f t="shared" si="126"/>
        <v>0</v>
      </c>
      <c r="L422" s="192">
        <f t="shared" si="130"/>
        <v>0</v>
      </c>
      <c r="M422" s="211">
        <v>95</v>
      </c>
      <c r="N422" s="211">
        <f>(29.53*1.02)*0.5631*1.0824</f>
        <v>18.358488832464005</v>
      </c>
      <c r="O422" s="211">
        <f>(42.96*1.02)*0.5631*1.0824</f>
        <v>26.707777861248005</v>
      </c>
      <c r="P422" s="211">
        <f>(16.43*1.02)*0.5631*1.0824</f>
        <v>10.214357315184001</v>
      </c>
      <c r="Q422" s="211">
        <f>(12.76*1.02)*0.5631*1.0824</f>
        <v>7.9327571114880007</v>
      </c>
      <c r="R422" s="211">
        <f>(1.27*1.02)*0.5631*1.0824</f>
        <v>0.78954557457600016</v>
      </c>
      <c r="S422" s="211">
        <f>(0.0584*1.02)*0.5631*1.0824</f>
        <v>3.6306662641920007E-2</v>
      </c>
      <c r="T422" s="1850">
        <f t="shared" si="131"/>
        <v>0</v>
      </c>
      <c r="U422" s="1850">
        <f t="shared" si="127"/>
        <v>0</v>
      </c>
      <c r="V422" s="1850">
        <f t="shared" si="127"/>
        <v>0</v>
      </c>
      <c r="W422" s="1850">
        <f t="shared" si="127"/>
        <v>0</v>
      </c>
      <c r="X422" s="1850">
        <f t="shared" si="127"/>
        <v>0</v>
      </c>
      <c r="Y422" s="1850">
        <f t="shared" si="127"/>
        <v>0</v>
      </c>
      <c r="Z422" s="1850">
        <f t="shared" si="89"/>
        <v>0</v>
      </c>
      <c r="AA422" s="2733"/>
    </row>
    <row r="423" spans="1:27" ht="18.75" x14ac:dyDescent="0.25">
      <c r="A423" s="2456"/>
      <c r="B423" s="1849">
        <v>2049</v>
      </c>
      <c r="C423" s="218">
        <f t="shared" si="120"/>
        <v>0</v>
      </c>
      <c r="D423" s="218">
        <f t="shared" si="128"/>
        <v>0</v>
      </c>
      <c r="E423" s="218">
        <f t="shared" si="129"/>
        <v>0</v>
      </c>
      <c r="F423" s="218">
        <f t="shared" si="121"/>
        <v>0</v>
      </c>
      <c r="G423" s="218">
        <f t="shared" si="122"/>
        <v>0</v>
      </c>
      <c r="H423" s="218">
        <f t="shared" si="123"/>
        <v>0</v>
      </c>
      <c r="I423" s="218">
        <f t="shared" si="124"/>
        <v>0</v>
      </c>
      <c r="J423" s="218">
        <f t="shared" si="125"/>
        <v>0</v>
      </c>
      <c r="K423" s="218">
        <f t="shared" si="126"/>
        <v>0</v>
      </c>
      <c r="L423" s="192">
        <f t="shared" si="130"/>
        <v>0</v>
      </c>
      <c r="M423" s="211">
        <v>96</v>
      </c>
      <c r="N423" s="211">
        <f>(29.53*1.02)*0.5521*1.0824</f>
        <v>17.999860920624005</v>
      </c>
      <c r="O423" s="211">
        <f>(42.96*1.02)*0.5521*1.0824</f>
        <v>26.186048938368003</v>
      </c>
      <c r="P423" s="211">
        <f>(16.43*1.02)*0.5521*1.0824</f>
        <v>10.014822720144002</v>
      </c>
      <c r="Q423" s="211">
        <f>(12.76*1.02)*0.5521*1.0824</f>
        <v>7.7777929342080014</v>
      </c>
      <c r="R423" s="211">
        <f>(1.27*1.02)*0.5521*1.0824</f>
        <v>0.77412202401600017</v>
      </c>
      <c r="S423" s="211">
        <f>(0.0584*1.02)*0.5521*1.0824</f>
        <v>3.5597422206719999E-2</v>
      </c>
      <c r="T423" s="1850">
        <f t="shared" si="131"/>
        <v>0</v>
      </c>
      <c r="U423" s="1850">
        <f t="shared" si="127"/>
        <v>0</v>
      </c>
      <c r="V423" s="1850">
        <f t="shared" si="127"/>
        <v>0</v>
      </c>
      <c r="W423" s="1850">
        <f t="shared" si="127"/>
        <v>0</v>
      </c>
      <c r="X423" s="1850">
        <f t="shared" si="127"/>
        <v>0</v>
      </c>
      <c r="Y423" s="1850">
        <f t="shared" si="127"/>
        <v>0</v>
      </c>
      <c r="Z423" s="1850">
        <f t="shared" si="89"/>
        <v>0</v>
      </c>
      <c r="AA423" s="2733"/>
    </row>
    <row r="424" spans="1:27" ht="18.75" x14ac:dyDescent="0.25">
      <c r="A424" s="2456"/>
      <c r="B424" s="1849">
        <v>2050</v>
      </c>
      <c r="C424" s="218">
        <f t="shared" si="120"/>
        <v>0</v>
      </c>
      <c r="D424" s="218">
        <f t="shared" si="128"/>
        <v>0</v>
      </c>
      <c r="E424" s="218">
        <f t="shared" si="129"/>
        <v>0</v>
      </c>
      <c r="F424" s="218">
        <f t="shared" si="121"/>
        <v>0</v>
      </c>
      <c r="G424" s="218">
        <f t="shared" si="122"/>
        <v>0</v>
      </c>
      <c r="H424" s="218">
        <f t="shared" si="123"/>
        <v>0</v>
      </c>
      <c r="I424" s="218">
        <f t="shared" si="124"/>
        <v>0</v>
      </c>
      <c r="J424" s="218">
        <f t="shared" si="125"/>
        <v>0</v>
      </c>
      <c r="K424" s="218">
        <f t="shared" si="126"/>
        <v>0</v>
      </c>
      <c r="L424" s="192">
        <f t="shared" si="130"/>
        <v>0</v>
      </c>
      <c r="M424" s="211">
        <v>97</v>
      </c>
      <c r="N424" s="211">
        <f>(29.53*1.02)*0.5412*1.0824</f>
        <v>17.644493262528005</v>
      </c>
      <c r="O424" s="211">
        <f>(42.96*1.02)*0.5412*1.0824</f>
        <v>25.669063005696003</v>
      </c>
      <c r="P424" s="211">
        <f>(16.43*1.02)*0.5412*1.0824</f>
        <v>9.8171020759680019</v>
      </c>
      <c r="Q424" s="211">
        <f>(12.76*1.02)*0.5412*1.0824</f>
        <v>7.624237522176001</v>
      </c>
      <c r="R424" s="211">
        <f>(1.27*1.02)*0.5412*1.0824</f>
        <v>0.75883868755200012</v>
      </c>
      <c r="S424" s="211">
        <f>(0.0584*1.02)*0.5412*1.0824</f>
        <v>3.4894629411840003E-2</v>
      </c>
      <c r="T424" s="1850">
        <f t="shared" si="131"/>
        <v>0</v>
      </c>
      <c r="U424" s="1850">
        <f t="shared" si="127"/>
        <v>0</v>
      </c>
      <c r="V424" s="1850">
        <f t="shared" si="127"/>
        <v>0</v>
      </c>
      <c r="W424" s="1850">
        <f t="shared" si="127"/>
        <v>0</v>
      </c>
      <c r="X424" s="1850">
        <f t="shared" si="127"/>
        <v>0</v>
      </c>
      <c r="Y424" s="1850">
        <f t="shared" si="127"/>
        <v>0</v>
      </c>
      <c r="Z424" s="1850">
        <f t="shared" si="89"/>
        <v>0</v>
      </c>
      <c r="AA424" s="2733"/>
    </row>
    <row r="425" spans="1:27" ht="18.75" x14ac:dyDescent="0.25">
      <c r="A425" s="2456"/>
      <c r="B425" s="1849">
        <v>2051</v>
      </c>
      <c r="C425" s="218">
        <f t="shared" ref="C425:C443" si="132">$S$17</f>
        <v>0</v>
      </c>
      <c r="D425" s="218">
        <f t="shared" si="128"/>
        <v>0</v>
      </c>
      <c r="E425" s="218">
        <f t="shared" si="129"/>
        <v>0</v>
      </c>
      <c r="F425" s="218">
        <f t="shared" ref="F425:F443" si="133">$O$17</f>
        <v>0</v>
      </c>
      <c r="G425" s="218">
        <f t="shared" ref="G425:G443" si="134">$P$17</f>
        <v>0</v>
      </c>
      <c r="H425" s="218">
        <f t="shared" ref="H425:H443" si="135">$N$17</f>
        <v>0</v>
      </c>
      <c r="I425" s="218">
        <f t="shared" ref="I425:I443" si="136">$Q$17</f>
        <v>0</v>
      </c>
      <c r="J425" s="218">
        <f t="shared" ref="J425:J443" si="137">$L$17</f>
        <v>0</v>
      </c>
      <c r="K425" s="218">
        <f t="shared" ref="K425:K443" si="138">$M$17</f>
        <v>0</v>
      </c>
      <c r="L425" s="192">
        <f t="shared" si="130"/>
        <v>0</v>
      </c>
      <c r="M425" s="211">
        <v>97</v>
      </c>
      <c r="N425" s="211">
        <f>(29.53*1.02)*0.5306*1.0824</f>
        <v>17.298906365664003</v>
      </c>
      <c r="O425" s="211">
        <f>(42.96*1.02)*0.5306*1.0824</f>
        <v>25.166306043648003</v>
      </c>
      <c r="P425" s="211">
        <f>(16.43*1.02)*0.5306*1.0824</f>
        <v>9.624823284384</v>
      </c>
      <c r="Q425" s="211">
        <f>(12.76*1.02)*0.5306*1.0824</f>
        <v>7.4749084058879998</v>
      </c>
      <c r="R425" s="211">
        <f>(1.27*1.02)*0.5306*1.0824</f>
        <v>0.74397599337600007</v>
      </c>
      <c r="S425" s="211">
        <f>(0.0584*1.02)*0.5306*1.0824</f>
        <v>3.4211179537920001E-2</v>
      </c>
      <c r="T425" s="1850">
        <f t="shared" si="131"/>
        <v>0</v>
      </c>
      <c r="U425" s="1850">
        <f t="shared" si="127"/>
        <v>0</v>
      </c>
      <c r="V425" s="1850">
        <f t="shared" si="127"/>
        <v>0</v>
      </c>
      <c r="W425" s="1850">
        <f t="shared" si="127"/>
        <v>0</v>
      </c>
      <c r="X425" s="1850">
        <f t="shared" si="127"/>
        <v>0</v>
      </c>
      <c r="Y425" s="1850">
        <f t="shared" si="127"/>
        <v>0</v>
      </c>
      <c r="Z425" s="1850">
        <f t="shared" si="89"/>
        <v>0</v>
      </c>
      <c r="AA425" s="2733"/>
    </row>
    <row r="426" spans="1:27" ht="18.75" x14ac:dyDescent="0.25">
      <c r="A426" s="2456"/>
      <c r="B426" s="1849">
        <v>2052</v>
      </c>
      <c r="C426" s="218">
        <f t="shared" si="132"/>
        <v>0</v>
      </c>
      <c r="D426" s="218">
        <f t="shared" si="128"/>
        <v>0</v>
      </c>
      <c r="E426" s="218">
        <f t="shared" si="129"/>
        <v>0</v>
      </c>
      <c r="F426" s="218">
        <f t="shared" si="133"/>
        <v>0</v>
      </c>
      <c r="G426" s="218">
        <f t="shared" si="134"/>
        <v>0</v>
      </c>
      <c r="H426" s="218">
        <f t="shared" si="135"/>
        <v>0</v>
      </c>
      <c r="I426" s="218">
        <f t="shared" si="136"/>
        <v>0</v>
      </c>
      <c r="J426" s="218">
        <f t="shared" si="137"/>
        <v>0</v>
      </c>
      <c r="K426" s="218">
        <f t="shared" si="138"/>
        <v>0</v>
      </c>
      <c r="L426" s="192">
        <f t="shared" si="130"/>
        <v>0</v>
      </c>
      <c r="M426" s="211">
        <v>97</v>
      </c>
      <c r="N426" s="211">
        <f>(29.53*1.02)*0.5202*1.0824</f>
        <v>16.959839976288002</v>
      </c>
      <c r="O426" s="211">
        <f>(42.96*1.02)*0.5202*1.0824</f>
        <v>24.673035062016002</v>
      </c>
      <c r="P426" s="211">
        <f>(16.43*1.02)*0.5202*1.0824</f>
        <v>9.4361723945280005</v>
      </c>
      <c r="Q426" s="211">
        <f>(12.76*1.02)*0.5202*1.0824</f>
        <v>7.3283968200960006</v>
      </c>
      <c r="R426" s="211">
        <f>(1.27*1.02)*0.5202*1.0824</f>
        <v>0.72939372739200004</v>
      </c>
      <c r="S426" s="211">
        <f>(0.0584*1.02)*0.5202*1.0824</f>
        <v>3.3540624944640003E-2</v>
      </c>
      <c r="T426" s="1850">
        <f t="shared" si="131"/>
        <v>0</v>
      </c>
      <c r="U426" s="1850">
        <f t="shared" si="127"/>
        <v>0</v>
      </c>
      <c r="V426" s="1850">
        <f t="shared" si="127"/>
        <v>0</v>
      </c>
      <c r="W426" s="1850">
        <f t="shared" si="127"/>
        <v>0</v>
      </c>
      <c r="X426" s="1850">
        <f t="shared" si="127"/>
        <v>0</v>
      </c>
      <c r="Y426" s="1850">
        <f t="shared" si="127"/>
        <v>0</v>
      </c>
      <c r="Z426" s="1850">
        <f t="shared" si="89"/>
        <v>0</v>
      </c>
      <c r="AA426" s="2733"/>
    </row>
    <row r="427" spans="1:27" ht="18.75" x14ac:dyDescent="0.25">
      <c r="A427" s="2456"/>
      <c r="B427" s="1849">
        <v>2053</v>
      </c>
      <c r="C427" s="218">
        <f t="shared" si="132"/>
        <v>0</v>
      </c>
      <c r="D427" s="218">
        <f t="shared" si="128"/>
        <v>0</v>
      </c>
      <c r="E427" s="218">
        <f t="shared" si="129"/>
        <v>0</v>
      </c>
      <c r="F427" s="218">
        <f t="shared" si="133"/>
        <v>0</v>
      </c>
      <c r="G427" s="218">
        <f t="shared" si="134"/>
        <v>0</v>
      </c>
      <c r="H427" s="218">
        <f t="shared" si="135"/>
        <v>0</v>
      </c>
      <c r="I427" s="218">
        <f t="shared" si="136"/>
        <v>0</v>
      </c>
      <c r="J427" s="218">
        <f t="shared" si="137"/>
        <v>0</v>
      </c>
      <c r="K427" s="218">
        <f t="shared" si="138"/>
        <v>0</v>
      </c>
      <c r="L427" s="192">
        <f t="shared" si="130"/>
        <v>0</v>
      </c>
      <c r="M427" s="211">
        <v>97</v>
      </c>
      <c r="N427" s="211">
        <f>(29.53*1.02)*0.51*1</f>
        <v>15.361506000000002</v>
      </c>
      <c r="O427" s="211">
        <f>(42.96*1.02)*0.51*1.0824</f>
        <v>24.189250060800003</v>
      </c>
      <c r="P427" s="211">
        <f>(16.43*1.02)*0.51*1.0824</f>
        <v>9.2511494064000015</v>
      </c>
      <c r="Q427" s="211">
        <f>(12.76*1.02)*0.51*1.0824</f>
        <v>7.1847027647999999</v>
      </c>
      <c r="R427" s="211">
        <f>(1.27*1.02)*0.51*1.0824</f>
        <v>0.71509188960000014</v>
      </c>
      <c r="S427" s="211">
        <f>(0.0584*1.02)*0.51*1.0824</f>
        <v>3.2882965632000001E-2</v>
      </c>
      <c r="T427" s="1850">
        <f t="shared" si="131"/>
        <v>0</v>
      </c>
      <c r="U427" s="1850">
        <f t="shared" si="127"/>
        <v>0</v>
      </c>
      <c r="V427" s="1850">
        <f t="shared" si="127"/>
        <v>0</v>
      </c>
      <c r="W427" s="1850">
        <f t="shared" si="127"/>
        <v>0</v>
      </c>
      <c r="X427" s="1850">
        <f t="shared" si="127"/>
        <v>0</v>
      </c>
      <c r="Y427" s="1850">
        <f t="shared" si="127"/>
        <v>0</v>
      </c>
      <c r="Z427" s="1850">
        <f t="shared" si="89"/>
        <v>0</v>
      </c>
      <c r="AA427" s="2733"/>
    </row>
    <row r="428" spans="1:27" ht="18.75" x14ac:dyDescent="0.25">
      <c r="A428" s="2456"/>
      <c r="B428" s="1849">
        <v>2054</v>
      </c>
      <c r="C428" s="218">
        <f t="shared" si="132"/>
        <v>0</v>
      </c>
      <c r="D428" s="218">
        <f t="shared" si="128"/>
        <v>0</v>
      </c>
      <c r="E428" s="218">
        <f t="shared" si="129"/>
        <v>0</v>
      </c>
      <c r="F428" s="218">
        <f t="shared" si="133"/>
        <v>0</v>
      </c>
      <c r="G428" s="218">
        <f t="shared" si="134"/>
        <v>0</v>
      </c>
      <c r="H428" s="218">
        <f t="shared" si="135"/>
        <v>0</v>
      </c>
      <c r="I428" s="218">
        <f t="shared" si="136"/>
        <v>0</v>
      </c>
      <c r="J428" s="218">
        <f t="shared" si="137"/>
        <v>0</v>
      </c>
      <c r="K428" s="218">
        <f t="shared" si="138"/>
        <v>0</v>
      </c>
      <c r="L428" s="192">
        <f t="shared" si="130"/>
        <v>0</v>
      </c>
      <c r="M428" s="211">
        <v>97</v>
      </c>
      <c r="N428" s="211">
        <f>(29.53*1.02)*0.5*1.0824</f>
        <v>16.301268720000003</v>
      </c>
      <c r="O428" s="211">
        <f>(42.96*1.02)*0.5*1.0824</f>
        <v>23.714951040000003</v>
      </c>
      <c r="P428" s="211">
        <f>(16.43*1.02)*0.5*1.0824</f>
        <v>9.0697543200000013</v>
      </c>
      <c r="Q428" s="211">
        <f>(12.76*1.02)*0.5*1.0824</f>
        <v>7.0438262400000005</v>
      </c>
      <c r="R428" s="211">
        <f>(1.27*1.02)*0.5*1.0824</f>
        <v>0.70107048000000005</v>
      </c>
      <c r="S428" s="211">
        <f>(0.0584*1.02)*0.5*1.0824</f>
        <v>3.2238201600000002E-2</v>
      </c>
      <c r="T428" s="1850">
        <f t="shared" si="131"/>
        <v>0</v>
      </c>
      <c r="U428" s="1850">
        <f t="shared" si="127"/>
        <v>0</v>
      </c>
      <c r="V428" s="1850">
        <f t="shared" si="127"/>
        <v>0</v>
      </c>
      <c r="W428" s="1850">
        <f t="shared" si="127"/>
        <v>0</v>
      </c>
      <c r="X428" s="1850">
        <f t="shared" si="127"/>
        <v>0</v>
      </c>
      <c r="Y428" s="1850">
        <f t="shared" si="127"/>
        <v>0</v>
      </c>
      <c r="Z428" s="1850">
        <f t="shared" si="89"/>
        <v>0</v>
      </c>
      <c r="AA428" s="2733"/>
    </row>
    <row r="429" spans="1:27" ht="18.75" x14ac:dyDescent="0.25">
      <c r="A429" s="2456"/>
      <c r="B429" s="1849">
        <v>2055</v>
      </c>
      <c r="C429" s="218">
        <f t="shared" si="132"/>
        <v>0</v>
      </c>
      <c r="D429" s="218">
        <f t="shared" si="128"/>
        <v>0</v>
      </c>
      <c r="E429" s="218">
        <f t="shared" si="129"/>
        <v>0</v>
      </c>
      <c r="F429" s="218">
        <f t="shared" si="133"/>
        <v>0</v>
      </c>
      <c r="G429" s="218">
        <f t="shared" si="134"/>
        <v>0</v>
      </c>
      <c r="H429" s="218">
        <f t="shared" si="135"/>
        <v>0</v>
      </c>
      <c r="I429" s="218">
        <f t="shared" si="136"/>
        <v>0</v>
      </c>
      <c r="J429" s="218">
        <f t="shared" si="137"/>
        <v>0</v>
      </c>
      <c r="K429" s="218">
        <f t="shared" si="138"/>
        <v>0</v>
      </c>
      <c r="L429" s="192">
        <f t="shared" si="130"/>
        <v>0</v>
      </c>
      <c r="M429" s="211">
        <v>97</v>
      </c>
      <c r="N429" s="211">
        <f>(29.53*1.02)*0.4902*1.0824</f>
        <v>15.981763853088003</v>
      </c>
      <c r="O429" s="211">
        <f>(42.96*1.02)*0.4902*1.0824</f>
        <v>23.250137999616001</v>
      </c>
      <c r="P429" s="211">
        <f>(16.43*1.02)*0.4902*1.0824</f>
        <v>8.8919871353280016</v>
      </c>
      <c r="Q429" s="211">
        <f>(12.76*1.02)*0.4902*1.0824</f>
        <v>6.9057672456960004</v>
      </c>
      <c r="R429" s="211">
        <f>(1.27*1.02)*0.4902*1.0824</f>
        <v>0.6873294985920001</v>
      </c>
      <c r="S429" s="211">
        <f>(0.0584*1.02)*0.4902*1.0824</f>
        <v>3.1606332848640006E-2</v>
      </c>
      <c r="T429" s="1850">
        <f t="shared" si="131"/>
        <v>0</v>
      </c>
      <c r="U429" s="1850">
        <f t="shared" si="127"/>
        <v>0</v>
      </c>
      <c r="V429" s="1850">
        <f t="shared" si="127"/>
        <v>0</v>
      </c>
      <c r="W429" s="1850">
        <f t="shared" si="127"/>
        <v>0</v>
      </c>
      <c r="X429" s="1850">
        <f t="shared" si="127"/>
        <v>0</v>
      </c>
      <c r="Y429" s="1850">
        <f t="shared" si="127"/>
        <v>0</v>
      </c>
      <c r="Z429" s="1850">
        <f t="shared" si="89"/>
        <v>0</v>
      </c>
      <c r="AA429" s="2733"/>
    </row>
    <row r="430" spans="1:27" ht="18.75" x14ac:dyDescent="0.25">
      <c r="A430" s="2456"/>
      <c r="B430" s="1849">
        <v>2056</v>
      </c>
      <c r="C430" s="218">
        <f t="shared" si="132"/>
        <v>0</v>
      </c>
      <c r="D430" s="218">
        <f t="shared" si="128"/>
        <v>0</v>
      </c>
      <c r="E430" s="218">
        <f t="shared" si="129"/>
        <v>0</v>
      </c>
      <c r="F430" s="218">
        <f t="shared" si="133"/>
        <v>0</v>
      </c>
      <c r="G430" s="218">
        <f t="shared" si="134"/>
        <v>0</v>
      </c>
      <c r="H430" s="218">
        <f t="shared" si="135"/>
        <v>0</v>
      </c>
      <c r="I430" s="218">
        <f t="shared" si="136"/>
        <v>0</v>
      </c>
      <c r="J430" s="218">
        <f t="shared" si="137"/>
        <v>0</v>
      </c>
      <c r="K430" s="218">
        <f t="shared" si="138"/>
        <v>0</v>
      </c>
      <c r="L430" s="192">
        <f t="shared" si="130"/>
        <v>0</v>
      </c>
      <c r="M430" s="211">
        <v>97</v>
      </c>
      <c r="N430" s="211">
        <f>(29.53*1.02)*0.4806*1.0824</f>
        <v>15.668779493664003</v>
      </c>
      <c r="O430" s="211">
        <f>(42.96*1.02)*0.4806*1.0824</f>
        <v>22.794810939648006</v>
      </c>
      <c r="P430" s="211">
        <f>(16.43*1.02)*0.4806*1.0824</f>
        <v>8.7178478523840006</v>
      </c>
      <c r="Q430" s="211">
        <f>(12.76*1.02)*0.4806*1.0824</f>
        <v>6.7705257818880007</v>
      </c>
      <c r="R430" s="211">
        <f>(1.27*1.02)*0.4806*1.0824</f>
        <v>0.67386894537600017</v>
      </c>
      <c r="S430" s="211">
        <f>(0.0584*1.02)*0.4806*1.0824</f>
        <v>3.0987359377920003E-2</v>
      </c>
      <c r="T430" s="1850">
        <f t="shared" si="131"/>
        <v>0</v>
      </c>
      <c r="U430" s="1850">
        <f t="shared" si="127"/>
        <v>0</v>
      </c>
      <c r="V430" s="1850">
        <f t="shared" si="127"/>
        <v>0</v>
      </c>
      <c r="W430" s="1850">
        <f t="shared" si="127"/>
        <v>0</v>
      </c>
      <c r="X430" s="1850">
        <f t="shared" si="127"/>
        <v>0</v>
      </c>
      <c r="Y430" s="1850">
        <f t="shared" si="127"/>
        <v>0</v>
      </c>
      <c r="Z430" s="1850">
        <f t="shared" si="89"/>
        <v>0</v>
      </c>
      <c r="AA430" s="2733"/>
    </row>
    <row r="431" spans="1:27" ht="18.75" x14ac:dyDescent="0.25">
      <c r="A431" s="2456"/>
      <c r="B431" s="1849">
        <v>2057</v>
      </c>
      <c r="C431" s="218">
        <f t="shared" si="132"/>
        <v>0</v>
      </c>
      <c r="D431" s="218">
        <f t="shared" si="128"/>
        <v>0</v>
      </c>
      <c r="E431" s="218">
        <f t="shared" si="129"/>
        <v>0</v>
      </c>
      <c r="F431" s="218">
        <f t="shared" si="133"/>
        <v>0</v>
      </c>
      <c r="G431" s="218">
        <f t="shared" si="134"/>
        <v>0</v>
      </c>
      <c r="H431" s="218">
        <f t="shared" si="135"/>
        <v>0</v>
      </c>
      <c r="I431" s="218">
        <f t="shared" si="136"/>
        <v>0</v>
      </c>
      <c r="J431" s="218">
        <f t="shared" si="137"/>
        <v>0</v>
      </c>
      <c r="K431" s="218">
        <f t="shared" si="138"/>
        <v>0</v>
      </c>
      <c r="L431" s="192">
        <f t="shared" si="130"/>
        <v>0</v>
      </c>
      <c r="M431" s="211">
        <v>97</v>
      </c>
      <c r="N431" s="211">
        <f>(29.53*1.02)*0.4712*1.0824</f>
        <v>15.362315641728001</v>
      </c>
      <c r="O431" s="211">
        <f>(42.96*1.02)*0.4712*1.0824</f>
        <v>22.348969860096002</v>
      </c>
      <c r="P431" s="211">
        <f>(16.43*1.02)*0.4712*1.0824</f>
        <v>8.547336471168002</v>
      </c>
      <c r="Q431" s="211">
        <f>(12.76*1.02)*0.4712*1.0824</f>
        <v>6.6381018485760004</v>
      </c>
      <c r="R431" s="211">
        <f>(1.27*1.02)*0.4712*1.0824</f>
        <v>0.66068882035200005</v>
      </c>
      <c r="S431" s="211">
        <f>(0.0584*1.02)*0.4712*1.0824</f>
        <v>3.038128118784E-2</v>
      </c>
      <c r="T431" s="1850">
        <f t="shared" si="131"/>
        <v>0</v>
      </c>
      <c r="U431" s="1850">
        <f t="shared" si="127"/>
        <v>0</v>
      </c>
      <c r="V431" s="1850">
        <f t="shared" si="127"/>
        <v>0</v>
      </c>
      <c r="W431" s="1850">
        <f t="shared" si="127"/>
        <v>0</v>
      </c>
      <c r="X431" s="1850">
        <f t="shared" si="127"/>
        <v>0</v>
      </c>
      <c r="Y431" s="1850">
        <f t="shared" si="127"/>
        <v>0</v>
      </c>
      <c r="Z431" s="1850">
        <f t="shared" si="89"/>
        <v>0</v>
      </c>
      <c r="AA431" s="2733"/>
    </row>
    <row r="432" spans="1:27" ht="18.75" x14ac:dyDescent="0.25">
      <c r="A432" s="2456"/>
      <c r="B432" s="1849">
        <v>2058</v>
      </c>
      <c r="C432" s="218">
        <f t="shared" si="132"/>
        <v>0</v>
      </c>
      <c r="D432" s="218">
        <f t="shared" si="128"/>
        <v>0</v>
      </c>
      <c r="E432" s="218">
        <f t="shared" si="129"/>
        <v>0</v>
      </c>
      <c r="F432" s="218">
        <f t="shared" si="133"/>
        <v>0</v>
      </c>
      <c r="G432" s="218">
        <f t="shared" si="134"/>
        <v>0</v>
      </c>
      <c r="H432" s="218">
        <f t="shared" si="135"/>
        <v>0</v>
      </c>
      <c r="I432" s="218">
        <f t="shared" si="136"/>
        <v>0</v>
      </c>
      <c r="J432" s="218">
        <f t="shared" si="137"/>
        <v>0</v>
      </c>
      <c r="K432" s="218">
        <f t="shared" si="138"/>
        <v>0</v>
      </c>
      <c r="L432" s="192">
        <f t="shared" si="130"/>
        <v>0</v>
      </c>
      <c r="M432" s="211">
        <v>97</v>
      </c>
      <c r="N432" s="211">
        <f>(29.53*1.02)*0.4619*1.0824</f>
        <v>15.059112043536</v>
      </c>
      <c r="O432" s="211">
        <f>(42.96*1.02)*0.4619*1.0824</f>
        <v>21.907871770752003</v>
      </c>
      <c r="P432" s="211">
        <f>(16.43*1.02)*0.4619*1.0824</f>
        <v>8.378639040816001</v>
      </c>
      <c r="Q432" s="211">
        <f>(12.76*1.02)*0.4619*1.0824</f>
        <v>6.5070866805119998</v>
      </c>
      <c r="R432" s="211">
        <f>(1.27*1.02)*0.4619*1.0824</f>
        <v>0.647648909424</v>
      </c>
      <c r="S432" s="211">
        <f>(0.0584*1.02)*0.4619*1.0824</f>
        <v>2.9781650638080002E-2</v>
      </c>
      <c r="T432" s="1850">
        <f t="shared" si="131"/>
        <v>0</v>
      </c>
      <c r="U432" s="1850">
        <f t="shared" si="127"/>
        <v>0</v>
      </c>
      <c r="V432" s="1850">
        <f t="shared" si="127"/>
        <v>0</v>
      </c>
      <c r="W432" s="1850">
        <f t="shared" si="127"/>
        <v>0</v>
      </c>
      <c r="X432" s="1850">
        <f t="shared" si="127"/>
        <v>0</v>
      </c>
      <c r="Y432" s="1850">
        <f t="shared" si="127"/>
        <v>0</v>
      </c>
      <c r="Z432" s="1850">
        <f t="shared" si="89"/>
        <v>0</v>
      </c>
      <c r="AA432" s="2733"/>
    </row>
    <row r="433" spans="1:27" ht="18.75" x14ac:dyDescent="0.25">
      <c r="A433" s="2456"/>
      <c r="B433" s="1849">
        <v>2059</v>
      </c>
      <c r="C433" s="218">
        <f t="shared" si="132"/>
        <v>0</v>
      </c>
      <c r="D433" s="218">
        <f t="shared" si="128"/>
        <v>0</v>
      </c>
      <c r="E433" s="218">
        <f t="shared" si="129"/>
        <v>0</v>
      </c>
      <c r="F433" s="218">
        <f t="shared" si="133"/>
        <v>0</v>
      </c>
      <c r="G433" s="218">
        <f t="shared" si="134"/>
        <v>0</v>
      </c>
      <c r="H433" s="218">
        <f t="shared" si="135"/>
        <v>0</v>
      </c>
      <c r="I433" s="218">
        <f t="shared" si="136"/>
        <v>0</v>
      </c>
      <c r="J433" s="218">
        <f t="shared" si="137"/>
        <v>0</v>
      </c>
      <c r="K433" s="218">
        <f t="shared" si="138"/>
        <v>0</v>
      </c>
      <c r="L433" s="192">
        <f t="shared" si="130"/>
        <v>0</v>
      </c>
      <c r="M433" s="211">
        <v>97</v>
      </c>
      <c r="N433" s="211">
        <f>(29.53*1.02)*0.4529*1.0824</f>
        <v>14.765689206576004</v>
      </c>
      <c r="O433" s="211">
        <f>(42.96*1.02)*0.4529*1.0824</f>
        <v>21.481002652032004</v>
      </c>
      <c r="P433" s="211">
        <f>(16.43*1.02)*0.4529*1.0824</f>
        <v>8.2153834630560016</v>
      </c>
      <c r="Q433" s="211">
        <f>(12.76*1.02)*0.4529*1.0824</f>
        <v>6.380297808192001</v>
      </c>
      <c r="R433" s="211">
        <f>(1.27*1.02)*0.4529*1.0824</f>
        <v>0.63502964078400004</v>
      </c>
      <c r="S433" s="211">
        <f>(0.0584*1.02)*0.4529*1.0824</f>
        <v>2.9201363009280005E-2</v>
      </c>
      <c r="T433" s="1850">
        <f t="shared" si="131"/>
        <v>0</v>
      </c>
      <c r="U433" s="1850">
        <f t="shared" si="127"/>
        <v>0</v>
      </c>
      <c r="V433" s="1850">
        <f t="shared" si="127"/>
        <v>0</v>
      </c>
      <c r="W433" s="1850">
        <f t="shared" si="127"/>
        <v>0</v>
      </c>
      <c r="X433" s="1850">
        <f t="shared" si="127"/>
        <v>0</v>
      </c>
      <c r="Y433" s="1850">
        <f t="shared" si="127"/>
        <v>0</v>
      </c>
      <c r="Z433" s="1850">
        <f t="shared" si="89"/>
        <v>0</v>
      </c>
      <c r="AA433" s="2733"/>
    </row>
    <row r="434" spans="1:27" ht="18.75" x14ac:dyDescent="0.25">
      <c r="A434" s="2456"/>
      <c r="B434" s="1849">
        <v>2060</v>
      </c>
      <c r="C434" s="218">
        <f t="shared" si="132"/>
        <v>0</v>
      </c>
      <c r="D434" s="218">
        <f t="shared" si="128"/>
        <v>0</v>
      </c>
      <c r="E434" s="218">
        <f t="shared" si="129"/>
        <v>0</v>
      </c>
      <c r="F434" s="218">
        <f t="shared" si="133"/>
        <v>0</v>
      </c>
      <c r="G434" s="218">
        <f t="shared" si="134"/>
        <v>0</v>
      </c>
      <c r="H434" s="218">
        <f t="shared" si="135"/>
        <v>0</v>
      </c>
      <c r="I434" s="218">
        <f t="shared" si="136"/>
        <v>0</v>
      </c>
      <c r="J434" s="218">
        <f t="shared" si="137"/>
        <v>0</v>
      </c>
      <c r="K434" s="218">
        <f t="shared" si="138"/>
        <v>0</v>
      </c>
      <c r="L434" s="192">
        <f t="shared" si="130"/>
        <v>0</v>
      </c>
      <c r="M434" s="211">
        <v>97</v>
      </c>
      <c r="N434" s="211">
        <f>(29.53*1.02)*0.444*1.0824</f>
        <v>14.475526623360002</v>
      </c>
      <c r="O434" s="211">
        <f>(42.96*1.02)*0.444*1.0824</f>
        <v>21.058876523520002</v>
      </c>
      <c r="P434" s="211">
        <f>(16.43*1.02)*0.444*1.0824</f>
        <v>8.0539418361599999</v>
      </c>
      <c r="Q434" s="211">
        <f>(12.76*1.02)*0.444*1.0824</f>
        <v>6.2549177011200001</v>
      </c>
      <c r="R434" s="211">
        <f>(1.27*1.02)*0.444*1.0824</f>
        <v>0.62255058624000004</v>
      </c>
      <c r="S434" s="211">
        <f>(0.0584*1.02)*0.444*1.0824</f>
        <v>2.8627523020800003E-2</v>
      </c>
      <c r="T434" s="1850">
        <f t="shared" si="131"/>
        <v>0</v>
      </c>
      <c r="U434" s="1850">
        <f t="shared" si="127"/>
        <v>0</v>
      </c>
      <c r="V434" s="1850">
        <f t="shared" si="127"/>
        <v>0</v>
      </c>
      <c r="W434" s="1850">
        <f t="shared" si="127"/>
        <v>0</v>
      </c>
      <c r="X434" s="1850">
        <f t="shared" si="127"/>
        <v>0</v>
      </c>
      <c r="Y434" s="1850">
        <f t="shared" si="127"/>
        <v>0</v>
      </c>
      <c r="Z434" s="1850">
        <f t="shared" si="89"/>
        <v>0</v>
      </c>
      <c r="AA434" s="2733"/>
    </row>
    <row r="435" spans="1:27" ht="18.75" x14ac:dyDescent="0.25">
      <c r="A435" s="2456"/>
      <c r="B435" s="1849">
        <v>2061</v>
      </c>
      <c r="C435" s="218">
        <f t="shared" si="132"/>
        <v>0</v>
      </c>
      <c r="D435" s="218">
        <f t="shared" si="128"/>
        <v>0</v>
      </c>
      <c r="E435" s="218">
        <f t="shared" si="129"/>
        <v>0</v>
      </c>
      <c r="F435" s="218">
        <f t="shared" si="133"/>
        <v>0</v>
      </c>
      <c r="G435" s="218">
        <f t="shared" si="134"/>
        <v>0</v>
      </c>
      <c r="H435" s="218">
        <f t="shared" si="135"/>
        <v>0</v>
      </c>
      <c r="I435" s="218">
        <f t="shared" si="136"/>
        <v>0</v>
      </c>
      <c r="J435" s="218">
        <f t="shared" si="137"/>
        <v>0</v>
      </c>
      <c r="K435" s="218">
        <f t="shared" si="138"/>
        <v>0</v>
      </c>
      <c r="L435" s="192">
        <f t="shared" si="130"/>
        <v>0</v>
      </c>
      <c r="M435" s="211">
        <v>97</v>
      </c>
      <c r="N435" s="211">
        <f>(29.53*1.02)*0.4353*1.0824</f>
        <v>14.191884547632004</v>
      </c>
      <c r="O435" s="211">
        <f>(42.96*1.02)*0.4353*1.0824</f>
        <v>20.646236375424003</v>
      </c>
      <c r="P435" s="211">
        <f>(16.43*1.02)*0.4353*1.0824</f>
        <v>7.8961281109920014</v>
      </c>
      <c r="Q435" s="211">
        <f>(12.76*1.02)*0.4353*1.0824</f>
        <v>6.1323551245440004</v>
      </c>
      <c r="R435" s="211">
        <f>(1.27*1.02)*0.4353*1.0824</f>
        <v>0.61035195988800006</v>
      </c>
      <c r="S435" s="211">
        <f>(0.0584*1.02)*0.4353*1.0824</f>
        <v>2.8066578312960003E-2</v>
      </c>
      <c r="T435" s="1850">
        <f t="shared" si="131"/>
        <v>0</v>
      </c>
      <c r="U435" s="1850">
        <f t="shared" si="127"/>
        <v>0</v>
      </c>
      <c r="V435" s="1850">
        <f t="shared" si="127"/>
        <v>0</v>
      </c>
      <c r="W435" s="1850">
        <f t="shared" si="127"/>
        <v>0</v>
      </c>
      <c r="X435" s="1850">
        <f t="shared" si="127"/>
        <v>0</v>
      </c>
      <c r="Y435" s="1850">
        <f t="shared" si="127"/>
        <v>0</v>
      </c>
      <c r="Z435" s="1850">
        <f t="shared" si="89"/>
        <v>0</v>
      </c>
      <c r="AA435" s="2733"/>
    </row>
    <row r="436" spans="1:27" ht="18.75" x14ac:dyDescent="0.25">
      <c r="A436" s="2456"/>
      <c r="B436" s="1849">
        <v>2062</v>
      </c>
      <c r="C436" s="218">
        <f t="shared" si="132"/>
        <v>0</v>
      </c>
      <c r="D436" s="218">
        <f t="shared" si="128"/>
        <v>0</v>
      </c>
      <c r="E436" s="218">
        <f t="shared" si="129"/>
        <v>0</v>
      </c>
      <c r="F436" s="218">
        <f t="shared" si="133"/>
        <v>0</v>
      </c>
      <c r="G436" s="218">
        <f t="shared" si="134"/>
        <v>0</v>
      </c>
      <c r="H436" s="218">
        <f t="shared" si="135"/>
        <v>0</v>
      </c>
      <c r="I436" s="218">
        <f t="shared" si="136"/>
        <v>0</v>
      </c>
      <c r="J436" s="218">
        <f t="shared" si="137"/>
        <v>0</v>
      </c>
      <c r="K436" s="218">
        <f t="shared" si="138"/>
        <v>0</v>
      </c>
      <c r="L436" s="192">
        <f t="shared" si="130"/>
        <v>0</v>
      </c>
      <c r="M436" s="211">
        <v>97</v>
      </c>
      <c r="N436" s="211">
        <f>(29.53*1.02)*0.4268*1.0824</f>
        <v>13.914762979392002</v>
      </c>
      <c r="O436" s="211">
        <f>(42.96*1.02)*0.4268*1.0824</f>
        <v>20.243082207744003</v>
      </c>
      <c r="P436" s="211">
        <f>(16.43*1.02)*0.4268*1.0824</f>
        <v>7.7419422875520008</v>
      </c>
      <c r="Q436" s="211">
        <f>(12.76*1.02)*0.4268*1.0824</f>
        <v>6.0126100784640002</v>
      </c>
      <c r="R436" s="211">
        <f>(1.27*1.02)*0.4268*1.0824</f>
        <v>0.59843376172800011</v>
      </c>
      <c r="S436" s="211">
        <f>(0.0584*1.02)*0.4268*1.0824</f>
        <v>2.7518528885760004E-2</v>
      </c>
      <c r="T436" s="1850">
        <f t="shared" si="131"/>
        <v>0</v>
      </c>
      <c r="U436" s="1850">
        <f t="shared" si="127"/>
        <v>0</v>
      </c>
      <c r="V436" s="1850">
        <f t="shared" si="127"/>
        <v>0</v>
      </c>
      <c r="W436" s="1850">
        <f t="shared" si="127"/>
        <v>0</v>
      </c>
      <c r="X436" s="1850">
        <f t="shared" si="127"/>
        <v>0</v>
      </c>
      <c r="Y436" s="1850">
        <f t="shared" si="127"/>
        <v>0</v>
      </c>
      <c r="Z436" s="1850">
        <f t="shared" si="89"/>
        <v>0</v>
      </c>
      <c r="AA436" s="2733"/>
    </row>
    <row r="437" spans="1:27" ht="18.75" x14ac:dyDescent="0.25">
      <c r="A437" s="2456"/>
      <c r="B437" s="1849">
        <v>2063</v>
      </c>
      <c r="C437" s="218">
        <f t="shared" si="132"/>
        <v>0</v>
      </c>
      <c r="D437" s="218">
        <f t="shared" si="128"/>
        <v>0</v>
      </c>
      <c r="E437" s="218">
        <f t="shared" si="129"/>
        <v>0</v>
      </c>
      <c r="F437" s="218">
        <f t="shared" si="133"/>
        <v>0</v>
      </c>
      <c r="G437" s="218">
        <f t="shared" si="134"/>
        <v>0</v>
      </c>
      <c r="H437" s="218">
        <f t="shared" si="135"/>
        <v>0</v>
      </c>
      <c r="I437" s="218">
        <f t="shared" si="136"/>
        <v>0</v>
      </c>
      <c r="J437" s="218">
        <f t="shared" si="137"/>
        <v>0</v>
      </c>
      <c r="K437" s="218">
        <f t="shared" si="138"/>
        <v>0</v>
      </c>
      <c r="L437" s="192">
        <f t="shared" si="130"/>
        <v>0</v>
      </c>
      <c r="M437" s="211">
        <v>97</v>
      </c>
      <c r="N437" s="211">
        <f>(29.53*1.02)*0.4184*1.0824</f>
        <v>13.640901664896001</v>
      </c>
      <c r="O437" s="211">
        <f>(42.96*1.02)*0.4184*1.0824</f>
        <v>19.844671030272</v>
      </c>
      <c r="P437" s="211">
        <f>(16.43*1.02)*0.4184*1.0824</f>
        <v>7.5895704149760004</v>
      </c>
      <c r="Q437" s="211">
        <f>(12.76*1.02)*0.4184*1.0824</f>
        <v>5.8942737976319997</v>
      </c>
      <c r="R437" s="211">
        <f>(1.27*1.02)*0.4184*1.0824</f>
        <v>0.58665577766400001</v>
      </c>
      <c r="S437" s="211">
        <f>(0.0584*1.02)*0.4184*1.0824</f>
        <v>2.6976927098879999E-2</v>
      </c>
      <c r="T437" s="1850">
        <f t="shared" si="131"/>
        <v>0</v>
      </c>
      <c r="U437" s="1850">
        <f t="shared" si="127"/>
        <v>0</v>
      </c>
      <c r="V437" s="1850">
        <f t="shared" si="127"/>
        <v>0</v>
      </c>
      <c r="W437" s="1850">
        <f t="shared" si="127"/>
        <v>0</v>
      </c>
      <c r="X437" s="1850">
        <f t="shared" si="127"/>
        <v>0</v>
      </c>
      <c r="Y437" s="1850">
        <f t="shared" si="127"/>
        <v>0</v>
      </c>
      <c r="Z437" s="1850">
        <f t="shared" si="89"/>
        <v>0</v>
      </c>
      <c r="AA437" s="2733"/>
    </row>
    <row r="438" spans="1:27" ht="18.75" x14ac:dyDescent="0.25">
      <c r="A438" s="2456"/>
      <c r="B438" s="1849">
        <v>2064</v>
      </c>
      <c r="C438" s="218">
        <f t="shared" si="132"/>
        <v>0</v>
      </c>
      <c r="D438" s="218">
        <f t="shared" si="128"/>
        <v>0</v>
      </c>
      <c r="E438" s="218">
        <f t="shared" si="129"/>
        <v>0</v>
      </c>
      <c r="F438" s="218">
        <f t="shared" si="133"/>
        <v>0</v>
      </c>
      <c r="G438" s="218">
        <f t="shared" si="134"/>
        <v>0</v>
      </c>
      <c r="H438" s="218">
        <f t="shared" si="135"/>
        <v>0</v>
      </c>
      <c r="I438" s="218">
        <f t="shared" si="136"/>
        <v>0</v>
      </c>
      <c r="J438" s="218">
        <f t="shared" si="137"/>
        <v>0</v>
      </c>
      <c r="K438" s="218">
        <f t="shared" si="138"/>
        <v>0</v>
      </c>
      <c r="L438" s="192">
        <f t="shared" si="130"/>
        <v>0</v>
      </c>
      <c r="M438" s="211">
        <v>97</v>
      </c>
      <c r="N438" s="211">
        <f>(29.53*1.02)*0.4102*1.0824</f>
        <v>13.373560857888002</v>
      </c>
      <c r="O438" s="211">
        <f>(42.96*1.02)*0.4102*1.0824</f>
        <v>19.455745833216003</v>
      </c>
      <c r="P438" s="211">
        <f>(16.43*1.02)*0.4102*1.0824</f>
        <v>7.4408264441280014</v>
      </c>
      <c r="Q438" s="211">
        <f>(12.76*1.02)*0.4102*1.0824</f>
        <v>5.7787550472960003</v>
      </c>
      <c r="R438" s="211">
        <f>(1.27*1.02)*0.4102*1.0824</f>
        <v>0.57515822179200005</v>
      </c>
      <c r="S438" s="211">
        <f>(0.0584*1.02)*0.4102*1.0824</f>
        <v>2.6448220592640001E-2</v>
      </c>
      <c r="T438" s="1850">
        <f t="shared" si="131"/>
        <v>0</v>
      </c>
      <c r="U438" s="1850">
        <f t="shared" si="127"/>
        <v>0</v>
      </c>
      <c r="V438" s="1850">
        <f t="shared" si="127"/>
        <v>0</v>
      </c>
      <c r="W438" s="1850">
        <f t="shared" si="127"/>
        <v>0</v>
      </c>
      <c r="X438" s="1850">
        <f t="shared" si="127"/>
        <v>0</v>
      </c>
      <c r="Y438" s="1850">
        <f t="shared" si="127"/>
        <v>0</v>
      </c>
      <c r="Z438" s="1850">
        <f t="shared" si="89"/>
        <v>0</v>
      </c>
      <c r="AA438" s="2733"/>
    </row>
    <row r="439" spans="1:27" ht="18.75" x14ac:dyDescent="0.25">
      <c r="A439" s="2456"/>
      <c r="B439" s="1849">
        <v>2065</v>
      </c>
      <c r="C439" s="218">
        <f t="shared" si="132"/>
        <v>0</v>
      </c>
      <c r="D439" s="218">
        <f t="shared" si="128"/>
        <v>0</v>
      </c>
      <c r="E439" s="218">
        <f t="shared" si="129"/>
        <v>0</v>
      </c>
      <c r="F439" s="218">
        <f t="shared" si="133"/>
        <v>0</v>
      </c>
      <c r="G439" s="218">
        <f t="shared" si="134"/>
        <v>0</v>
      </c>
      <c r="H439" s="218">
        <f t="shared" si="135"/>
        <v>0</v>
      </c>
      <c r="I439" s="218">
        <f t="shared" si="136"/>
        <v>0</v>
      </c>
      <c r="J439" s="218">
        <f t="shared" si="137"/>
        <v>0</v>
      </c>
      <c r="K439" s="218">
        <f t="shared" si="138"/>
        <v>0</v>
      </c>
      <c r="L439" s="192">
        <f t="shared" si="130"/>
        <v>0</v>
      </c>
      <c r="M439" s="211">
        <v>97</v>
      </c>
      <c r="N439" s="211">
        <f>(29.53*1.02)*0.4022*1.0824</f>
        <v>13.112740558368001</v>
      </c>
      <c r="O439" s="211">
        <f>(42.96*1.02)*0.4022*1.0824</f>
        <v>19.076306616576002</v>
      </c>
      <c r="P439" s="211">
        <f>(16.43*1.02)*0.4022*1.0824</f>
        <v>7.2957103750080003</v>
      </c>
      <c r="Q439" s="211">
        <f>(12.76*1.02)*0.4022*1.0824</f>
        <v>5.6660538274560004</v>
      </c>
      <c r="R439" s="211">
        <f>(1.27*1.02)*0.4022*1.0824</f>
        <v>0.56394109411200011</v>
      </c>
      <c r="S439" s="211">
        <f>(0.0584*1.02)*0.4022*1.0824</f>
        <v>2.5932409367040003E-2</v>
      </c>
      <c r="T439" s="1850">
        <f t="shared" si="131"/>
        <v>0</v>
      </c>
      <c r="U439" s="1850">
        <f t="shared" si="127"/>
        <v>0</v>
      </c>
      <c r="V439" s="1850">
        <f t="shared" si="127"/>
        <v>0</v>
      </c>
      <c r="W439" s="1850">
        <f t="shared" si="127"/>
        <v>0</v>
      </c>
      <c r="X439" s="1850">
        <f t="shared" si="127"/>
        <v>0</v>
      </c>
      <c r="Y439" s="1850">
        <f t="shared" si="127"/>
        <v>0</v>
      </c>
      <c r="Z439" s="1850">
        <f t="shared" si="89"/>
        <v>0</v>
      </c>
      <c r="AA439" s="2733"/>
    </row>
    <row r="440" spans="1:27" ht="18.75" x14ac:dyDescent="0.25">
      <c r="A440" s="2456"/>
      <c r="B440" s="1849">
        <v>2066</v>
      </c>
      <c r="C440" s="218">
        <f t="shared" si="132"/>
        <v>0</v>
      </c>
      <c r="D440" s="218">
        <f t="shared" si="128"/>
        <v>0</v>
      </c>
      <c r="E440" s="218">
        <f t="shared" si="129"/>
        <v>0</v>
      </c>
      <c r="F440" s="218">
        <f t="shared" si="133"/>
        <v>0</v>
      </c>
      <c r="G440" s="218">
        <f t="shared" si="134"/>
        <v>0</v>
      </c>
      <c r="H440" s="218">
        <f t="shared" si="135"/>
        <v>0</v>
      </c>
      <c r="I440" s="218">
        <f t="shared" si="136"/>
        <v>0</v>
      </c>
      <c r="J440" s="218">
        <f t="shared" si="137"/>
        <v>0</v>
      </c>
      <c r="K440" s="218">
        <f t="shared" si="138"/>
        <v>0</v>
      </c>
      <c r="L440" s="192">
        <f t="shared" si="130"/>
        <v>0</v>
      </c>
      <c r="M440" s="211">
        <v>97</v>
      </c>
      <c r="N440" s="211">
        <f>(29.53*1.02)*0.3943*1.0824</f>
        <v>12.855180512592</v>
      </c>
      <c r="O440" s="211">
        <f>(42.96*1.02)*0.3943*1.0824</f>
        <v>18.701610390143998</v>
      </c>
      <c r="P440" s="211">
        <f>(16.43*1.02)*0.3943*1.0824</f>
        <v>7.1524082567520004</v>
      </c>
      <c r="Q440" s="211">
        <f>(12.76*1.02)*0.3943*1.0824</f>
        <v>5.5547613728639993</v>
      </c>
      <c r="R440" s="211">
        <f>(1.27*1.02)*0.3943*1.0824</f>
        <v>0.55286418052800002</v>
      </c>
      <c r="S440" s="211">
        <f>(0.0584*1.02)*0.3943*1.0824</f>
        <v>2.5423045781760002E-2</v>
      </c>
      <c r="T440" s="1850">
        <f t="shared" si="131"/>
        <v>0</v>
      </c>
      <c r="U440" s="1850">
        <f t="shared" si="127"/>
        <v>0</v>
      </c>
      <c r="V440" s="1850">
        <f t="shared" si="127"/>
        <v>0</v>
      </c>
      <c r="W440" s="1850">
        <f t="shared" si="127"/>
        <v>0</v>
      </c>
      <c r="X440" s="1850">
        <f t="shared" si="127"/>
        <v>0</v>
      </c>
      <c r="Y440" s="1850">
        <f t="shared" si="127"/>
        <v>0</v>
      </c>
      <c r="Z440" s="1850">
        <f t="shared" si="89"/>
        <v>0</v>
      </c>
      <c r="AA440" s="2733"/>
    </row>
    <row r="441" spans="1:27" ht="18.75" x14ac:dyDescent="0.25">
      <c r="A441" s="2456"/>
      <c r="B441" s="1849">
        <v>2067</v>
      </c>
      <c r="C441" s="218">
        <f t="shared" si="132"/>
        <v>0</v>
      </c>
      <c r="D441" s="218">
        <f t="shared" si="128"/>
        <v>0</v>
      </c>
      <c r="E441" s="218">
        <f t="shared" si="129"/>
        <v>0</v>
      </c>
      <c r="F441" s="218">
        <f t="shared" si="133"/>
        <v>0</v>
      </c>
      <c r="G441" s="218">
        <f t="shared" si="134"/>
        <v>0</v>
      </c>
      <c r="H441" s="218">
        <f t="shared" si="135"/>
        <v>0</v>
      </c>
      <c r="I441" s="218">
        <f t="shared" si="136"/>
        <v>0</v>
      </c>
      <c r="J441" s="218">
        <f t="shared" si="137"/>
        <v>0</v>
      </c>
      <c r="K441" s="218">
        <f t="shared" si="138"/>
        <v>0</v>
      </c>
      <c r="L441" s="192">
        <f t="shared" si="130"/>
        <v>0</v>
      </c>
      <c r="M441" s="211">
        <v>97</v>
      </c>
      <c r="N441" s="211">
        <f>(29.53*1.02)*0.3865*1.0824</f>
        <v>12.600880720560001</v>
      </c>
      <c r="O441" s="211">
        <f>(42.96*1.02)*0.3865*1.0824</f>
        <v>18.331657153920002</v>
      </c>
      <c r="P441" s="211">
        <f>(16.43*1.02)*0.3865*1.0824</f>
        <v>7.0109200893600008</v>
      </c>
      <c r="Q441" s="211">
        <f>(12.76*1.02)*0.3865*1.0824</f>
        <v>5.4448776835200006</v>
      </c>
      <c r="R441" s="211">
        <f>(1.27*1.02)*0.3865*1.0824</f>
        <v>0.5419274810400001</v>
      </c>
      <c r="S441" s="211">
        <f>(0.0584*1.02)*0.3865*1.0824</f>
        <v>2.4920129836800003E-2</v>
      </c>
      <c r="T441" s="1850">
        <f t="shared" si="131"/>
        <v>0</v>
      </c>
      <c r="U441" s="1850">
        <f t="shared" si="127"/>
        <v>0</v>
      </c>
      <c r="V441" s="1850">
        <f t="shared" si="127"/>
        <v>0</v>
      </c>
      <c r="W441" s="1850">
        <f t="shared" si="127"/>
        <v>0</v>
      </c>
      <c r="X441" s="1850">
        <f t="shared" si="127"/>
        <v>0</v>
      </c>
      <c r="Y441" s="1850">
        <f t="shared" si="127"/>
        <v>0</v>
      </c>
      <c r="Z441" s="1850">
        <f t="shared" si="89"/>
        <v>0</v>
      </c>
      <c r="AA441" s="2733"/>
    </row>
    <row r="442" spans="1:27" ht="18.75" x14ac:dyDescent="0.25">
      <c r="A442" s="2456"/>
      <c r="B442" s="1849">
        <v>2068</v>
      </c>
      <c r="C442" s="218">
        <f t="shared" si="132"/>
        <v>0</v>
      </c>
      <c r="D442" s="218">
        <f t="shared" si="128"/>
        <v>0</v>
      </c>
      <c r="E442" s="218">
        <f t="shared" si="129"/>
        <v>0</v>
      </c>
      <c r="F442" s="218">
        <f t="shared" si="133"/>
        <v>0</v>
      </c>
      <c r="G442" s="218">
        <f t="shared" si="134"/>
        <v>0</v>
      </c>
      <c r="H442" s="218">
        <f t="shared" si="135"/>
        <v>0</v>
      </c>
      <c r="I442" s="218">
        <f t="shared" si="136"/>
        <v>0</v>
      </c>
      <c r="J442" s="218">
        <f t="shared" si="137"/>
        <v>0</v>
      </c>
      <c r="K442" s="218">
        <f t="shared" si="138"/>
        <v>0</v>
      </c>
      <c r="L442" s="192">
        <f t="shared" si="130"/>
        <v>0</v>
      </c>
      <c r="M442" s="211">
        <v>97</v>
      </c>
      <c r="N442" s="211">
        <f>(29.53*1.02)*0.379*1.0824</f>
        <v>12.356361689760002</v>
      </c>
      <c r="O442" s="211">
        <f>(42.96*1.02)*0.379*1.0824</f>
        <v>17.975932888320003</v>
      </c>
      <c r="P442" s="211">
        <f>(16.43*1.02)*0.379*1.0824</f>
        <v>6.8748737745600002</v>
      </c>
      <c r="Q442" s="211">
        <f>(12.76*1.02)*0.379*1.0824</f>
        <v>5.339220289920001</v>
      </c>
      <c r="R442" s="211">
        <f>(1.27*1.02)*0.379*1.0824</f>
        <v>0.53141142384000006</v>
      </c>
      <c r="S442" s="211">
        <f>(0.0584*1.02)*0.379*1.0824</f>
        <v>2.4436556812800003E-2</v>
      </c>
      <c r="T442" s="1850">
        <f t="shared" si="131"/>
        <v>0</v>
      </c>
      <c r="U442" s="1850">
        <f t="shared" si="127"/>
        <v>0</v>
      </c>
      <c r="V442" s="1850">
        <f t="shared" si="127"/>
        <v>0</v>
      </c>
      <c r="W442" s="1850">
        <f t="shared" si="127"/>
        <v>0</v>
      </c>
      <c r="X442" s="1850">
        <f t="shared" si="127"/>
        <v>0</v>
      </c>
      <c r="Y442" s="1850">
        <f t="shared" si="127"/>
        <v>0</v>
      </c>
      <c r="Z442" s="1850">
        <f t="shared" si="89"/>
        <v>0</v>
      </c>
      <c r="AA442" s="2733"/>
    </row>
    <row r="443" spans="1:27" ht="19.5" thickBot="1" x14ac:dyDescent="0.3">
      <c r="A443" s="2457"/>
      <c r="B443" s="1851">
        <v>2069</v>
      </c>
      <c r="C443" s="222">
        <f t="shared" si="132"/>
        <v>0</v>
      </c>
      <c r="D443" s="222">
        <f t="shared" si="128"/>
        <v>0</v>
      </c>
      <c r="E443" s="222">
        <f t="shared" si="129"/>
        <v>0</v>
      </c>
      <c r="F443" s="222">
        <f t="shared" si="133"/>
        <v>0</v>
      </c>
      <c r="G443" s="222">
        <f t="shared" si="134"/>
        <v>0</v>
      </c>
      <c r="H443" s="222">
        <f t="shared" si="135"/>
        <v>0</v>
      </c>
      <c r="I443" s="222">
        <f t="shared" si="136"/>
        <v>0</v>
      </c>
      <c r="J443" s="222">
        <f t="shared" si="137"/>
        <v>0</v>
      </c>
      <c r="K443" s="222">
        <f t="shared" si="138"/>
        <v>0</v>
      </c>
      <c r="L443" s="220">
        <f t="shared" si="130"/>
        <v>0</v>
      </c>
      <c r="M443" s="416">
        <v>97</v>
      </c>
      <c r="N443" s="416">
        <f>(29.53*1.02)*0.3715*1.0824</f>
        <v>12.111842658960002</v>
      </c>
      <c r="O443" s="416">
        <f>(42.96*1.02)*0.3715*1.0824</f>
        <v>17.62020862272</v>
      </c>
      <c r="P443" s="416">
        <f>(16.43*1.02)*0.3715*1.0824</f>
        <v>6.7388274597600004</v>
      </c>
      <c r="Q443" s="416">
        <f>(12.76*1.02)*0.3715*1.0824</f>
        <v>5.2335628963200005</v>
      </c>
      <c r="R443" s="416">
        <f>(1.27*1.02)*0.3715*1.0824</f>
        <v>0.52089536664000002</v>
      </c>
      <c r="S443" s="416">
        <f>(0.0584*1.02)*0.3715*1.0824</f>
        <v>2.3952983788800002E-2</v>
      </c>
      <c r="T443" s="175">
        <f t="shared" si="131"/>
        <v>0</v>
      </c>
      <c r="U443" s="175">
        <f t="shared" si="127"/>
        <v>0</v>
      </c>
      <c r="V443" s="175">
        <f t="shared" si="127"/>
        <v>0</v>
      </c>
      <c r="W443" s="175">
        <f t="shared" si="127"/>
        <v>0</v>
      </c>
      <c r="X443" s="175">
        <f t="shared" si="127"/>
        <v>0</v>
      </c>
      <c r="Y443" s="175">
        <f t="shared" si="127"/>
        <v>0</v>
      </c>
      <c r="Z443" s="175">
        <f t="shared" si="89"/>
        <v>0</v>
      </c>
      <c r="AA443" s="2735"/>
    </row>
    <row r="444" spans="1:27" ht="18.75" x14ac:dyDescent="0.25">
      <c r="A444" s="2738" t="s">
        <v>1096</v>
      </c>
      <c r="B444" s="1865">
        <v>2019</v>
      </c>
      <c r="C444" s="221">
        <f t="shared" ref="C444:C475" si="139">$S$18</f>
        <v>0</v>
      </c>
      <c r="D444" s="221">
        <f>$R$18*28</f>
        <v>0</v>
      </c>
      <c r="E444" s="221">
        <f>$T$18*298</f>
        <v>0</v>
      </c>
      <c r="F444" s="221">
        <f t="shared" ref="F444:F475" si="140">$O$18</f>
        <v>0</v>
      </c>
      <c r="G444" s="221">
        <f t="shared" ref="G444:G475" si="141">$P$18</f>
        <v>0</v>
      </c>
      <c r="H444" s="221">
        <f t="shared" ref="H444:H475" si="142">$N$18</f>
        <v>0</v>
      </c>
      <c r="I444" s="221">
        <f t="shared" ref="I444:I475" si="143">$Q$18</f>
        <v>0</v>
      </c>
      <c r="J444" s="221">
        <f t="shared" ref="J444:J475" si="144">$L$18</f>
        <v>0</v>
      </c>
      <c r="K444" s="221">
        <f t="shared" ref="K444:K475" si="145">$M$18</f>
        <v>0</v>
      </c>
      <c r="L444" s="354">
        <f t="shared" si="130"/>
        <v>0</v>
      </c>
      <c r="M444" s="643">
        <v>62</v>
      </c>
      <c r="N444" s="643">
        <f>29.53*1.02*1.0824</f>
        <v>32.602537440000006</v>
      </c>
      <c r="O444" s="643">
        <f>42.96*1.02*1.0824</f>
        <v>47.429902080000005</v>
      </c>
      <c r="P444" s="643">
        <f>16.43*1.02*1.0824</f>
        <v>18.139508640000003</v>
      </c>
      <c r="Q444" s="643">
        <f>12.76*1.02*1.0824</f>
        <v>14.087652480000001</v>
      </c>
      <c r="R444" s="643">
        <f>1.27*1.02*1.0824</f>
        <v>1.4021409600000001</v>
      </c>
      <c r="S444" s="643">
        <f>0.0584*1.02*1.0824</f>
        <v>6.4476403200000004E-2</v>
      </c>
      <c r="T444" s="757">
        <f t="shared" si="131"/>
        <v>0</v>
      </c>
      <c r="U444" s="1848">
        <f t="shared" ref="U444:Y494" si="146">F444*N444</f>
        <v>0</v>
      </c>
      <c r="V444" s="1848">
        <f t="shared" si="146"/>
        <v>0</v>
      </c>
      <c r="W444" s="1848">
        <f t="shared" si="146"/>
        <v>0</v>
      </c>
      <c r="X444" s="1848">
        <f t="shared" si="146"/>
        <v>0</v>
      </c>
      <c r="Y444" s="1848">
        <f t="shared" si="146"/>
        <v>0</v>
      </c>
      <c r="Z444" s="1848">
        <f t="shared" si="89"/>
        <v>0</v>
      </c>
      <c r="AA444" s="2740">
        <f>(SUM(T444:T494)*1.2682)+(SUM(U444:U494))+(SUM(V444:V494))+(SUM(W444:W494))+(SUM(X444:X494))+(SUM(Y444:Y494))+(SUM(Z444:Z494))</f>
        <v>0</v>
      </c>
    </row>
    <row r="445" spans="1:27" ht="18.75" x14ac:dyDescent="0.25">
      <c r="A445" s="2738"/>
      <c r="B445" s="746">
        <v>2020</v>
      </c>
      <c r="C445" s="218">
        <f t="shared" si="139"/>
        <v>0</v>
      </c>
      <c r="D445" s="221">
        <f t="shared" ref="D445:D494" si="147">$R$18*28</f>
        <v>0</v>
      </c>
      <c r="E445" s="221">
        <f t="shared" ref="E445:E494" si="148">$T$18*298</f>
        <v>0</v>
      </c>
      <c r="F445" s="218">
        <f t="shared" si="140"/>
        <v>0</v>
      </c>
      <c r="G445" s="218">
        <f t="shared" si="141"/>
        <v>0</v>
      </c>
      <c r="H445" s="218">
        <f t="shared" si="142"/>
        <v>0</v>
      </c>
      <c r="I445" s="218">
        <f t="shared" si="143"/>
        <v>0</v>
      </c>
      <c r="J445" s="218">
        <f t="shared" si="144"/>
        <v>0</v>
      </c>
      <c r="K445" s="218">
        <f t="shared" si="145"/>
        <v>0</v>
      </c>
      <c r="L445" s="192">
        <f t="shared" si="130"/>
        <v>0</v>
      </c>
      <c r="M445" s="211">
        <v>64</v>
      </c>
      <c r="N445" s="211">
        <f>(29.53*1.02)*0.9804*1.0824</f>
        <v>31.963527706176006</v>
      </c>
      <c r="O445" s="211">
        <f>(42.96*1.02)*0.9804*1.0824</f>
        <v>46.500275999232002</v>
      </c>
      <c r="P445" s="211">
        <f>(16.43*1.02)*0.9804*1.0824</f>
        <v>17.783974270656003</v>
      </c>
      <c r="Q445" s="211">
        <f>(12.76*1.02)*0.9804*1.0824</f>
        <v>13.811534491392001</v>
      </c>
      <c r="R445" s="211">
        <f>(1.27*1.02)*0.9804*1.0824</f>
        <v>1.3746589971840002</v>
      </c>
      <c r="S445" s="211">
        <f>(0.0584*1.02)*0.9804*1.0824</f>
        <v>6.3212665697280013E-2</v>
      </c>
      <c r="T445" s="174">
        <f t="shared" si="131"/>
        <v>0</v>
      </c>
      <c r="U445" s="358">
        <f t="shared" si="146"/>
        <v>0</v>
      </c>
      <c r="V445" s="358">
        <f t="shared" si="146"/>
        <v>0</v>
      </c>
      <c r="W445" s="358">
        <f t="shared" si="146"/>
        <v>0</v>
      </c>
      <c r="X445" s="358">
        <f t="shared" si="146"/>
        <v>0</v>
      </c>
      <c r="Y445" s="358">
        <f t="shared" si="146"/>
        <v>0</v>
      </c>
      <c r="Z445" s="358">
        <f t="shared" si="89"/>
        <v>0</v>
      </c>
      <c r="AA445" s="2733"/>
    </row>
    <row r="446" spans="1:27" ht="18.75" x14ac:dyDescent="0.25">
      <c r="A446" s="2738"/>
      <c r="B446" s="746">
        <v>2021</v>
      </c>
      <c r="C446" s="218">
        <f t="shared" si="139"/>
        <v>0</v>
      </c>
      <c r="D446" s="221">
        <f t="shared" si="147"/>
        <v>0</v>
      </c>
      <c r="E446" s="221">
        <f t="shared" si="148"/>
        <v>0</v>
      </c>
      <c r="F446" s="218">
        <f t="shared" si="140"/>
        <v>0</v>
      </c>
      <c r="G446" s="218">
        <f t="shared" si="141"/>
        <v>0</v>
      </c>
      <c r="H446" s="218">
        <f t="shared" si="142"/>
        <v>0</v>
      </c>
      <c r="I446" s="218">
        <f t="shared" si="143"/>
        <v>0</v>
      </c>
      <c r="J446" s="218">
        <f t="shared" si="144"/>
        <v>0</v>
      </c>
      <c r="K446" s="218">
        <f t="shared" si="145"/>
        <v>0</v>
      </c>
      <c r="L446" s="192">
        <f t="shared" si="130"/>
        <v>0</v>
      </c>
      <c r="M446" s="211">
        <v>65</v>
      </c>
      <c r="N446" s="211">
        <f>(29.53*1.02)*0.9612*1.0824</f>
        <v>31.337558987328006</v>
      </c>
      <c r="O446" s="211">
        <f>(42.96*1.02)*0.9612*1.0824</f>
        <v>45.589621879296011</v>
      </c>
      <c r="P446" s="211">
        <f>(16.43*1.02)*0.9612*1.0824</f>
        <v>17.435695704768001</v>
      </c>
      <c r="Q446" s="211">
        <f>(12.76*1.02)*0.9612*1.0824</f>
        <v>13.541051563776001</v>
      </c>
      <c r="R446" s="211">
        <f>(1.27*1.02)*0.9612*1.0824</f>
        <v>1.3477378907520003</v>
      </c>
      <c r="S446" s="211">
        <f>(0.0584*1.02)*0.9612*1.0824</f>
        <v>6.1974718755840007E-2</v>
      </c>
      <c r="T446" s="174">
        <f t="shared" si="131"/>
        <v>0</v>
      </c>
      <c r="U446" s="358">
        <f t="shared" si="146"/>
        <v>0</v>
      </c>
      <c r="V446" s="358">
        <f t="shared" si="146"/>
        <v>0</v>
      </c>
      <c r="W446" s="358">
        <f t="shared" si="146"/>
        <v>0</v>
      </c>
      <c r="X446" s="358">
        <f t="shared" si="146"/>
        <v>0</v>
      </c>
      <c r="Y446" s="358">
        <f t="shared" si="146"/>
        <v>0</v>
      </c>
      <c r="Z446" s="358">
        <f t="shared" si="89"/>
        <v>0</v>
      </c>
      <c r="AA446" s="2733"/>
    </row>
    <row r="447" spans="1:27" ht="18.75" x14ac:dyDescent="0.25">
      <c r="A447" s="2738"/>
      <c r="B447" s="746">
        <v>2022</v>
      </c>
      <c r="C447" s="218">
        <f t="shared" si="139"/>
        <v>0</v>
      </c>
      <c r="D447" s="221">
        <f t="shared" si="147"/>
        <v>0</v>
      </c>
      <c r="E447" s="221">
        <f t="shared" si="148"/>
        <v>0</v>
      </c>
      <c r="F447" s="218">
        <f t="shared" si="140"/>
        <v>0</v>
      </c>
      <c r="G447" s="218">
        <f t="shared" si="141"/>
        <v>0</v>
      </c>
      <c r="H447" s="218">
        <f t="shared" si="142"/>
        <v>0</v>
      </c>
      <c r="I447" s="218">
        <f t="shared" si="143"/>
        <v>0</v>
      </c>
      <c r="J447" s="218">
        <f t="shared" si="144"/>
        <v>0</v>
      </c>
      <c r="K447" s="218">
        <f t="shared" si="145"/>
        <v>0</v>
      </c>
      <c r="L447" s="192">
        <f t="shared" si="130"/>
        <v>0</v>
      </c>
      <c r="M447" s="211">
        <v>66</v>
      </c>
      <c r="N447" s="211">
        <f>(29.53*1.02)*0.9423*1.0824</f>
        <v>30.721371029712003</v>
      </c>
      <c r="O447" s="211">
        <f>(42.96*1.02)*0.9423*1.0824</f>
        <v>44.693196729984003</v>
      </c>
      <c r="P447" s="211">
        <f>(16.43*1.02)*0.9423*1.0824</f>
        <v>17.092858991472003</v>
      </c>
      <c r="Q447" s="211">
        <f>(12.76*1.02)*0.9423*1.0824</f>
        <v>13.274794931903999</v>
      </c>
      <c r="R447" s="211">
        <f>(1.27*1.02)*0.9423*1.0824</f>
        <v>1.3212374266080003</v>
      </c>
      <c r="S447" s="211">
        <f>(0.0584*1.02)*0.9423*1.0824</f>
        <v>6.0756114735360002E-2</v>
      </c>
      <c r="T447" s="174">
        <f t="shared" si="131"/>
        <v>0</v>
      </c>
      <c r="U447" s="358">
        <f t="shared" si="146"/>
        <v>0</v>
      </c>
      <c r="V447" s="358">
        <f t="shared" si="146"/>
        <v>0</v>
      </c>
      <c r="W447" s="358">
        <f t="shared" si="146"/>
        <v>0</v>
      </c>
      <c r="X447" s="358">
        <f t="shared" si="146"/>
        <v>0</v>
      </c>
      <c r="Y447" s="358">
        <f t="shared" si="146"/>
        <v>0</v>
      </c>
      <c r="Z447" s="358">
        <f t="shared" si="89"/>
        <v>0</v>
      </c>
      <c r="AA447" s="2733"/>
    </row>
    <row r="448" spans="1:27" ht="18.75" x14ac:dyDescent="0.25">
      <c r="A448" s="2738"/>
      <c r="B448" s="746">
        <v>2023</v>
      </c>
      <c r="C448" s="218">
        <f t="shared" si="139"/>
        <v>0</v>
      </c>
      <c r="D448" s="221">
        <f t="shared" si="147"/>
        <v>0</v>
      </c>
      <c r="E448" s="221">
        <f t="shared" si="148"/>
        <v>0</v>
      </c>
      <c r="F448" s="218">
        <f t="shared" si="140"/>
        <v>0</v>
      </c>
      <c r="G448" s="218">
        <f t="shared" si="141"/>
        <v>0</v>
      </c>
      <c r="H448" s="218">
        <f t="shared" si="142"/>
        <v>0</v>
      </c>
      <c r="I448" s="218">
        <f t="shared" si="143"/>
        <v>0</v>
      </c>
      <c r="J448" s="218">
        <f t="shared" si="144"/>
        <v>0</v>
      </c>
      <c r="K448" s="218">
        <f t="shared" si="145"/>
        <v>0</v>
      </c>
      <c r="L448" s="192">
        <f t="shared" si="130"/>
        <v>0</v>
      </c>
      <c r="M448" s="211">
        <v>67</v>
      </c>
      <c r="N448" s="211">
        <f>(29.53*1.02)*0.9238*1.0824</f>
        <v>30.118224087072001</v>
      </c>
      <c r="O448" s="211">
        <f>(42.96*1.02)*0.9238*1.0824</f>
        <v>43.815743541504006</v>
      </c>
      <c r="P448" s="211">
        <f>(16.43*1.02)*0.9238*1.0824</f>
        <v>16.757278081632002</v>
      </c>
      <c r="Q448" s="211">
        <f>(12.76*1.02)*0.9238*1.0824</f>
        <v>13.014173361024</v>
      </c>
      <c r="R448" s="211">
        <f>(1.27*1.02)*0.9238*1.0824</f>
        <v>1.295297818848</v>
      </c>
      <c r="S448" s="211">
        <f>(0.0584*1.02)*0.9238*1.0824</f>
        <v>5.9563301276160004E-2</v>
      </c>
      <c r="T448" s="174">
        <f t="shared" si="131"/>
        <v>0</v>
      </c>
      <c r="U448" s="358">
        <f t="shared" si="146"/>
        <v>0</v>
      </c>
      <c r="V448" s="358">
        <f t="shared" si="146"/>
        <v>0</v>
      </c>
      <c r="W448" s="358">
        <f t="shared" si="146"/>
        <v>0</v>
      </c>
      <c r="X448" s="358">
        <f t="shared" si="146"/>
        <v>0</v>
      </c>
      <c r="Y448" s="358">
        <f t="shared" si="146"/>
        <v>0</v>
      </c>
      <c r="Z448" s="358">
        <f t="shared" si="89"/>
        <v>0</v>
      </c>
      <c r="AA448" s="2733"/>
    </row>
    <row r="449" spans="1:27" ht="18.75" x14ac:dyDescent="0.25">
      <c r="A449" s="2738"/>
      <c r="B449" s="746">
        <v>2024</v>
      </c>
      <c r="C449" s="218">
        <f t="shared" si="139"/>
        <v>0</v>
      </c>
      <c r="D449" s="221">
        <f t="shared" si="147"/>
        <v>0</v>
      </c>
      <c r="E449" s="221">
        <f t="shared" si="148"/>
        <v>0</v>
      </c>
      <c r="F449" s="218">
        <f t="shared" si="140"/>
        <v>0</v>
      </c>
      <c r="G449" s="218">
        <f t="shared" si="141"/>
        <v>0</v>
      </c>
      <c r="H449" s="218">
        <f t="shared" si="142"/>
        <v>0</v>
      </c>
      <c r="I449" s="218">
        <f t="shared" si="143"/>
        <v>0</v>
      </c>
      <c r="J449" s="218">
        <f t="shared" si="144"/>
        <v>0</v>
      </c>
      <c r="K449" s="218">
        <f t="shared" si="145"/>
        <v>0</v>
      </c>
      <c r="L449" s="192">
        <f t="shared" si="130"/>
        <v>0</v>
      </c>
      <c r="M449" s="211">
        <v>68</v>
      </c>
      <c r="N449" s="211">
        <f>(29.53*1.02)*0.9057*1.0824</f>
        <v>29.528118159408002</v>
      </c>
      <c r="O449" s="211">
        <f>(42.96*1.02)*0.9057*1.0824</f>
        <v>42.957262313856006</v>
      </c>
      <c r="P449" s="211">
        <f>(16.43*1.02)*0.9057*1.0824</f>
        <v>16.428952975248002</v>
      </c>
      <c r="Q449" s="211">
        <f>(12.76*1.02)*0.9057*1.0824</f>
        <v>12.759186851135999</v>
      </c>
      <c r="R449" s="211">
        <f>(1.27*1.02)*0.9057*1.0824</f>
        <v>1.269919067472</v>
      </c>
      <c r="S449" s="211">
        <f>(0.0584*1.02)*0.9057*1.0824</f>
        <v>5.8396278378240005E-2</v>
      </c>
      <c r="T449" s="174">
        <f t="shared" si="131"/>
        <v>0</v>
      </c>
      <c r="U449" s="358">
        <f t="shared" si="146"/>
        <v>0</v>
      </c>
      <c r="V449" s="358">
        <f t="shared" si="146"/>
        <v>0</v>
      </c>
      <c r="W449" s="358">
        <f t="shared" si="146"/>
        <v>0</v>
      </c>
      <c r="X449" s="358">
        <f t="shared" si="146"/>
        <v>0</v>
      </c>
      <c r="Y449" s="358">
        <f t="shared" si="146"/>
        <v>0</v>
      </c>
      <c r="Z449" s="358">
        <f t="shared" si="89"/>
        <v>0</v>
      </c>
      <c r="AA449" s="2733"/>
    </row>
    <row r="450" spans="1:27" ht="18.75" x14ac:dyDescent="0.25">
      <c r="A450" s="2738"/>
      <c r="B450" s="746">
        <v>2025</v>
      </c>
      <c r="C450" s="218">
        <f t="shared" si="139"/>
        <v>0</v>
      </c>
      <c r="D450" s="221">
        <f t="shared" si="147"/>
        <v>0</v>
      </c>
      <c r="E450" s="221">
        <f t="shared" si="148"/>
        <v>0</v>
      </c>
      <c r="F450" s="218">
        <f t="shared" si="140"/>
        <v>0</v>
      </c>
      <c r="G450" s="218">
        <f t="shared" si="141"/>
        <v>0</v>
      </c>
      <c r="H450" s="218">
        <f t="shared" si="142"/>
        <v>0</v>
      </c>
      <c r="I450" s="218">
        <f t="shared" si="143"/>
        <v>0</v>
      </c>
      <c r="J450" s="218">
        <f t="shared" si="144"/>
        <v>0</v>
      </c>
      <c r="K450" s="218">
        <f t="shared" si="145"/>
        <v>0</v>
      </c>
      <c r="L450" s="192">
        <f t="shared" si="130"/>
        <v>0</v>
      </c>
      <c r="M450" s="211">
        <v>69</v>
      </c>
      <c r="N450" s="211">
        <f>(29.53*1.02)*0.888*1.0824</f>
        <v>28.951053246720004</v>
      </c>
      <c r="O450" s="211">
        <f>(42.96*1.02)*0.888*1.0824</f>
        <v>42.117753047040004</v>
      </c>
      <c r="P450" s="211">
        <f>(16.43*1.02)*0.888*1.0824</f>
        <v>16.10788367232</v>
      </c>
      <c r="Q450" s="211">
        <f>(12.76*1.02)*0.888*1.0824</f>
        <v>12.50983540224</v>
      </c>
      <c r="R450" s="211">
        <f>(1.27*1.02)*0.888*1.0824</f>
        <v>1.2451011724800001</v>
      </c>
      <c r="S450" s="211">
        <f>(0.0584*1.02)*0.888*1.0824</f>
        <v>5.7255046041600005E-2</v>
      </c>
      <c r="T450" s="174">
        <f t="shared" si="131"/>
        <v>0</v>
      </c>
      <c r="U450" s="358">
        <f t="shared" si="146"/>
        <v>0</v>
      </c>
      <c r="V450" s="358">
        <f t="shared" si="146"/>
        <v>0</v>
      </c>
      <c r="W450" s="358">
        <f t="shared" si="146"/>
        <v>0</v>
      </c>
      <c r="X450" s="358">
        <f t="shared" si="146"/>
        <v>0</v>
      </c>
      <c r="Y450" s="358">
        <f t="shared" si="146"/>
        <v>0</v>
      </c>
      <c r="Z450" s="358">
        <f t="shared" si="89"/>
        <v>0</v>
      </c>
      <c r="AA450" s="2733"/>
    </row>
    <row r="451" spans="1:27" ht="18.75" x14ac:dyDescent="0.25">
      <c r="A451" s="2738"/>
      <c r="B451" s="746">
        <v>2026</v>
      </c>
      <c r="C451" s="218">
        <f t="shared" si="139"/>
        <v>0</v>
      </c>
      <c r="D451" s="221">
        <f t="shared" si="147"/>
        <v>0</v>
      </c>
      <c r="E451" s="221">
        <f t="shared" si="148"/>
        <v>0</v>
      </c>
      <c r="F451" s="218">
        <f t="shared" si="140"/>
        <v>0</v>
      </c>
      <c r="G451" s="218">
        <f t="shared" si="141"/>
        <v>0</v>
      </c>
      <c r="H451" s="218">
        <f t="shared" si="142"/>
        <v>0</v>
      </c>
      <c r="I451" s="218">
        <f t="shared" si="143"/>
        <v>0</v>
      </c>
      <c r="J451" s="218">
        <f t="shared" si="144"/>
        <v>0</v>
      </c>
      <c r="K451" s="218">
        <f t="shared" si="145"/>
        <v>0</v>
      </c>
      <c r="L451" s="192">
        <f t="shared" si="130"/>
        <v>0</v>
      </c>
      <c r="M451" s="211">
        <v>70</v>
      </c>
      <c r="N451" s="211">
        <f>(29.53*1.02)*0.8706*1.0824</f>
        <v>28.383769095264007</v>
      </c>
      <c r="O451" s="211">
        <f>(42.96*1.02)*0.8706*1.0824</f>
        <v>41.292472750848006</v>
      </c>
      <c r="P451" s="211">
        <f>(16.43*1.02)*0.8706*1.0824</f>
        <v>15.792256221984003</v>
      </c>
      <c r="Q451" s="211">
        <f>(12.76*1.02)*0.8706*1.0824</f>
        <v>12.264710249088001</v>
      </c>
      <c r="R451" s="211">
        <f>(1.27*1.02)*0.8706*1.0824</f>
        <v>1.2207039197760001</v>
      </c>
      <c r="S451" s="211">
        <f>(0.0584*1.02)*0.8706*1.0824</f>
        <v>5.6133156625920007E-2</v>
      </c>
      <c r="T451" s="174">
        <f t="shared" si="131"/>
        <v>0</v>
      </c>
      <c r="U451" s="358">
        <f t="shared" si="146"/>
        <v>0</v>
      </c>
      <c r="V451" s="358">
        <f t="shared" si="146"/>
        <v>0</v>
      </c>
      <c r="W451" s="358">
        <f t="shared" si="146"/>
        <v>0</v>
      </c>
      <c r="X451" s="358">
        <f t="shared" si="146"/>
        <v>0</v>
      </c>
      <c r="Y451" s="358">
        <f t="shared" si="146"/>
        <v>0</v>
      </c>
      <c r="Z451" s="358">
        <f t="shared" si="89"/>
        <v>0</v>
      </c>
      <c r="AA451" s="2733"/>
    </row>
    <row r="452" spans="1:27" ht="18.75" x14ac:dyDescent="0.25">
      <c r="A452" s="2738"/>
      <c r="B452" s="746">
        <v>2027</v>
      </c>
      <c r="C452" s="218">
        <f t="shared" si="139"/>
        <v>0</v>
      </c>
      <c r="D452" s="221">
        <f t="shared" si="147"/>
        <v>0</v>
      </c>
      <c r="E452" s="221">
        <f t="shared" si="148"/>
        <v>0</v>
      </c>
      <c r="F452" s="218">
        <f t="shared" si="140"/>
        <v>0</v>
      </c>
      <c r="G452" s="218">
        <f t="shared" si="141"/>
        <v>0</v>
      </c>
      <c r="H452" s="218">
        <f t="shared" si="142"/>
        <v>0</v>
      </c>
      <c r="I452" s="218">
        <f t="shared" si="143"/>
        <v>0</v>
      </c>
      <c r="J452" s="218">
        <f t="shared" si="144"/>
        <v>0</v>
      </c>
      <c r="K452" s="218">
        <f t="shared" si="145"/>
        <v>0</v>
      </c>
      <c r="L452" s="192">
        <f t="shared" si="130"/>
        <v>0</v>
      </c>
      <c r="M452" s="211">
        <v>71</v>
      </c>
      <c r="N452" s="211">
        <f>(29.53*1.02)*0.8535*1.0824</f>
        <v>27.826265705040004</v>
      </c>
      <c r="O452" s="211">
        <f>(42.96*1.02)*0.8535*1.0824</f>
        <v>40.481421425280004</v>
      </c>
      <c r="P452" s="211">
        <f>(16.43*1.02)*0.8535*1.0824</f>
        <v>15.482070624240002</v>
      </c>
      <c r="Q452" s="211">
        <f>(12.76*1.02)*0.8535*1.0824</f>
        <v>12.023811391680001</v>
      </c>
      <c r="R452" s="211">
        <f>(1.27*1.02)*0.8535*1.0824</f>
        <v>1.1967273093600002</v>
      </c>
      <c r="S452" s="211">
        <f>(0.0584*1.02)*0.8535*1.0824</f>
        <v>5.503061013120001E-2</v>
      </c>
      <c r="T452" s="174">
        <f t="shared" si="131"/>
        <v>0</v>
      </c>
      <c r="U452" s="358">
        <f t="shared" si="146"/>
        <v>0</v>
      </c>
      <c r="V452" s="358">
        <f t="shared" si="146"/>
        <v>0</v>
      </c>
      <c r="W452" s="358">
        <f t="shared" si="146"/>
        <v>0</v>
      </c>
      <c r="X452" s="358">
        <f t="shared" si="146"/>
        <v>0</v>
      </c>
      <c r="Y452" s="358">
        <f t="shared" si="146"/>
        <v>0</v>
      </c>
      <c r="Z452" s="358">
        <f t="shared" si="89"/>
        <v>0</v>
      </c>
      <c r="AA452" s="2733"/>
    </row>
    <row r="453" spans="1:27" ht="18.75" x14ac:dyDescent="0.25">
      <c r="A453" s="2738"/>
      <c r="B453" s="746">
        <v>2028</v>
      </c>
      <c r="C453" s="218">
        <f t="shared" si="139"/>
        <v>0</v>
      </c>
      <c r="D453" s="221">
        <f t="shared" si="147"/>
        <v>0</v>
      </c>
      <c r="E453" s="221">
        <f t="shared" si="148"/>
        <v>0</v>
      </c>
      <c r="F453" s="218">
        <f t="shared" si="140"/>
        <v>0</v>
      </c>
      <c r="G453" s="218">
        <f t="shared" si="141"/>
        <v>0</v>
      </c>
      <c r="H453" s="218">
        <f t="shared" si="142"/>
        <v>0</v>
      </c>
      <c r="I453" s="218">
        <f t="shared" si="143"/>
        <v>0</v>
      </c>
      <c r="J453" s="218">
        <f t="shared" si="144"/>
        <v>0</v>
      </c>
      <c r="K453" s="218">
        <f t="shared" si="145"/>
        <v>0</v>
      </c>
      <c r="L453" s="192">
        <f t="shared" si="130"/>
        <v>0</v>
      </c>
      <c r="M453" s="211">
        <v>72</v>
      </c>
      <c r="N453" s="211">
        <f>(29.53*1.02)*0.8368*1.0824</f>
        <v>27.281803329792002</v>
      </c>
      <c r="O453" s="211">
        <f>(42.96*1.02)*0.8368*1.0824</f>
        <v>39.689342060544</v>
      </c>
      <c r="P453" s="211">
        <f>(16.43*1.02)*0.8368*1.0824</f>
        <v>15.179140829952001</v>
      </c>
      <c r="Q453" s="211">
        <f>(12.76*1.02)*0.8368*1.0824</f>
        <v>11.788547595263999</v>
      </c>
      <c r="R453" s="211">
        <f>(1.27*1.02)*0.8368*1.0824</f>
        <v>1.173311555328</v>
      </c>
      <c r="S453" s="211">
        <f>(0.0584*1.02)*0.8368*1.0824</f>
        <v>5.3953854197759998E-2</v>
      </c>
      <c r="T453" s="174">
        <f t="shared" si="131"/>
        <v>0</v>
      </c>
      <c r="U453" s="358">
        <f t="shared" si="146"/>
        <v>0</v>
      </c>
      <c r="V453" s="358">
        <f t="shared" si="146"/>
        <v>0</v>
      </c>
      <c r="W453" s="358">
        <f t="shared" si="146"/>
        <v>0</v>
      </c>
      <c r="X453" s="358">
        <f t="shared" si="146"/>
        <v>0</v>
      </c>
      <c r="Y453" s="358">
        <f t="shared" si="146"/>
        <v>0</v>
      </c>
      <c r="Z453" s="358">
        <f t="shared" si="89"/>
        <v>0</v>
      </c>
      <c r="AA453" s="2733"/>
    </row>
    <row r="454" spans="1:27" ht="18.75" x14ac:dyDescent="0.25">
      <c r="A454" s="2738"/>
      <c r="B454" s="746">
        <v>2029</v>
      </c>
      <c r="C454" s="218">
        <f t="shared" si="139"/>
        <v>0</v>
      </c>
      <c r="D454" s="221">
        <f t="shared" si="147"/>
        <v>0</v>
      </c>
      <c r="E454" s="221">
        <f t="shared" si="148"/>
        <v>0</v>
      </c>
      <c r="F454" s="218">
        <f t="shared" si="140"/>
        <v>0</v>
      </c>
      <c r="G454" s="218">
        <f t="shared" si="141"/>
        <v>0</v>
      </c>
      <c r="H454" s="218">
        <f t="shared" si="142"/>
        <v>0</v>
      </c>
      <c r="I454" s="218">
        <f t="shared" si="143"/>
        <v>0</v>
      </c>
      <c r="J454" s="218">
        <f t="shared" si="144"/>
        <v>0</v>
      </c>
      <c r="K454" s="218">
        <f t="shared" si="145"/>
        <v>0</v>
      </c>
      <c r="L454" s="192">
        <f t="shared" si="130"/>
        <v>0</v>
      </c>
      <c r="M454" s="211">
        <v>73</v>
      </c>
      <c r="N454" s="211">
        <f>(29.53*1.02)*0.8203*1.0824</f>
        <v>26.743861462032005</v>
      </c>
      <c r="O454" s="211">
        <f>(42.96*1.02)*0.8203*1.0824</f>
        <v>38.906748676224005</v>
      </c>
      <c r="P454" s="211">
        <f>(16.43*1.02)*0.8203*1.0824</f>
        <v>14.879838937392002</v>
      </c>
      <c r="Q454" s="211">
        <f>(12.76*1.02)*0.8203*1.0824</f>
        <v>11.556101329344001</v>
      </c>
      <c r="R454" s="211">
        <f>(1.27*1.02)*0.8203*1.0824</f>
        <v>1.1501762294880002</v>
      </c>
      <c r="S454" s="211">
        <f>(0.0584*1.02)*0.8203*1.0824</f>
        <v>5.2889993544960004E-2</v>
      </c>
      <c r="T454" s="174">
        <f t="shared" si="131"/>
        <v>0</v>
      </c>
      <c r="U454" s="358">
        <f t="shared" si="146"/>
        <v>0</v>
      </c>
      <c r="V454" s="358">
        <f t="shared" si="146"/>
        <v>0</v>
      </c>
      <c r="W454" s="358">
        <f t="shared" si="146"/>
        <v>0</v>
      </c>
      <c r="X454" s="358">
        <f t="shared" si="146"/>
        <v>0</v>
      </c>
      <c r="Y454" s="358">
        <f t="shared" si="146"/>
        <v>0</v>
      </c>
      <c r="Z454" s="358">
        <f t="shared" si="89"/>
        <v>0</v>
      </c>
      <c r="AA454" s="2733"/>
    </row>
    <row r="455" spans="1:27" ht="18.75" x14ac:dyDescent="0.25">
      <c r="A455" s="2738"/>
      <c r="B455" s="746">
        <v>2030</v>
      </c>
      <c r="C455" s="218">
        <f t="shared" si="139"/>
        <v>0</v>
      </c>
      <c r="D455" s="221">
        <f t="shared" si="147"/>
        <v>0</v>
      </c>
      <c r="E455" s="221">
        <f t="shared" si="148"/>
        <v>0</v>
      </c>
      <c r="F455" s="218">
        <f t="shared" si="140"/>
        <v>0</v>
      </c>
      <c r="G455" s="218">
        <f t="shared" si="141"/>
        <v>0</v>
      </c>
      <c r="H455" s="218">
        <f t="shared" si="142"/>
        <v>0</v>
      </c>
      <c r="I455" s="218">
        <f t="shared" si="143"/>
        <v>0</v>
      </c>
      <c r="J455" s="218">
        <f t="shared" si="144"/>
        <v>0</v>
      </c>
      <c r="K455" s="218">
        <f t="shared" si="145"/>
        <v>0</v>
      </c>
      <c r="L455" s="192">
        <f t="shared" si="130"/>
        <v>0</v>
      </c>
      <c r="M455" s="211">
        <v>75</v>
      </c>
      <c r="N455" s="211">
        <f>(29.53*1.02)*0.8043*1.0824</f>
        <v>26.222220862992003</v>
      </c>
      <c r="O455" s="211">
        <f>(42.96*1.02)*0.8043*1.0824</f>
        <v>38.147870242944002</v>
      </c>
      <c r="P455" s="211">
        <f>(16.43*1.02)*0.8043*1.0824</f>
        <v>14.589606799152003</v>
      </c>
      <c r="Q455" s="211">
        <f>(12.76*1.02)*0.8043*1.0824</f>
        <v>11.330698889664001</v>
      </c>
      <c r="R455" s="211">
        <f>(1.27*1.02)*0.8043*1.0824</f>
        <v>1.1277419741280001</v>
      </c>
      <c r="S455" s="211">
        <f>(0.0584*1.02)*0.8043*1.0824</f>
        <v>5.1858371093760007E-2</v>
      </c>
      <c r="T455" s="174">
        <f t="shared" si="131"/>
        <v>0</v>
      </c>
      <c r="U455" s="358">
        <f t="shared" si="146"/>
        <v>0</v>
      </c>
      <c r="V455" s="358">
        <f t="shared" si="146"/>
        <v>0</v>
      </c>
      <c r="W455" s="358">
        <f t="shared" si="146"/>
        <v>0</v>
      </c>
      <c r="X455" s="358">
        <f t="shared" si="146"/>
        <v>0</v>
      </c>
      <c r="Y455" s="358">
        <f t="shared" si="146"/>
        <v>0</v>
      </c>
      <c r="Z455" s="358">
        <f t="shared" si="89"/>
        <v>0</v>
      </c>
      <c r="AA455" s="2733"/>
    </row>
    <row r="456" spans="1:27" ht="18.75" x14ac:dyDescent="0.25">
      <c r="A456" s="2738"/>
      <c r="B456" s="746">
        <v>2031</v>
      </c>
      <c r="C456" s="218">
        <f t="shared" si="139"/>
        <v>0</v>
      </c>
      <c r="D456" s="221">
        <f t="shared" si="147"/>
        <v>0</v>
      </c>
      <c r="E456" s="221">
        <f t="shared" si="148"/>
        <v>0</v>
      </c>
      <c r="F456" s="218">
        <f t="shared" si="140"/>
        <v>0</v>
      </c>
      <c r="G456" s="218">
        <f t="shared" si="141"/>
        <v>0</v>
      </c>
      <c r="H456" s="218">
        <f t="shared" si="142"/>
        <v>0</v>
      </c>
      <c r="I456" s="218">
        <f t="shared" si="143"/>
        <v>0</v>
      </c>
      <c r="J456" s="218">
        <f t="shared" si="144"/>
        <v>0</v>
      </c>
      <c r="K456" s="218">
        <f t="shared" si="145"/>
        <v>0</v>
      </c>
      <c r="L456" s="192">
        <f t="shared" si="130"/>
        <v>0</v>
      </c>
      <c r="M456" s="211">
        <v>76</v>
      </c>
      <c r="N456" s="211">
        <f>(29.53*1.02)*0.7885*1.0824</f>
        <v>25.70710077144</v>
      </c>
      <c r="O456" s="211">
        <f>(42.96*1.02)*0.7885*1.0824</f>
        <v>37.398477790080001</v>
      </c>
      <c r="P456" s="211">
        <f>(16.43*1.02)*0.7885*1.0824</f>
        <v>14.303002562640001</v>
      </c>
      <c r="Q456" s="211">
        <f>(12.76*1.02)*0.7885*1.0824</f>
        <v>11.108113980480001</v>
      </c>
      <c r="R456" s="211">
        <f>(1.27*1.02)*0.7885*1.0824</f>
        <v>1.1055881469600002</v>
      </c>
      <c r="S456" s="211">
        <f>(0.0584*1.02)*0.7885*1.0824</f>
        <v>5.0839643923200006E-2</v>
      </c>
      <c r="T456" s="174">
        <f t="shared" si="131"/>
        <v>0</v>
      </c>
      <c r="U456" s="358">
        <f t="shared" si="146"/>
        <v>0</v>
      </c>
      <c r="V456" s="358">
        <f t="shared" si="146"/>
        <v>0</v>
      </c>
      <c r="W456" s="358">
        <f t="shared" si="146"/>
        <v>0</v>
      </c>
      <c r="X456" s="358">
        <f t="shared" si="146"/>
        <v>0</v>
      </c>
      <c r="Y456" s="358">
        <f t="shared" si="146"/>
        <v>0</v>
      </c>
      <c r="Z456" s="358">
        <f t="shared" si="89"/>
        <v>0</v>
      </c>
      <c r="AA456" s="2733"/>
    </row>
    <row r="457" spans="1:27" ht="18.75" x14ac:dyDescent="0.25">
      <c r="A457" s="2738"/>
      <c r="B457" s="746">
        <v>2032</v>
      </c>
      <c r="C457" s="218">
        <f t="shared" si="139"/>
        <v>0</v>
      </c>
      <c r="D457" s="221">
        <f t="shared" si="147"/>
        <v>0</v>
      </c>
      <c r="E457" s="221">
        <f t="shared" si="148"/>
        <v>0</v>
      </c>
      <c r="F457" s="218">
        <f t="shared" si="140"/>
        <v>0</v>
      </c>
      <c r="G457" s="218">
        <f t="shared" si="141"/>
        <v>0</v>
      </c>
      <c r="H457" s="218">
        <f t="shared" si="142"/>
        <v>0</v>
      </c>
      <c r="I457" s="218">
        <f t="shared" si="143"/>
        <v>0</v>
      </c>
      <c r="J457" s="218">
        <f t="shared" si="144"/>
        <v>0</v>
      </c>
      <c r="K457" s="218">
        <f t="shared" si="145"/>
        <v>0</v>
      </c>
      <c r="L457" s="192">
        <f t="shared" si="130"/>
        <v>0</v>
      </c>
      <c r="M457" s="211">
        <v>77</v>
      </c>
      <c r="N457" s="211">
        <f>(29.53*1.02)*0.773*1.0824</f>
        <v>25.201761441120002</v>
      </c>
      <c r="O457" s="211">
        <f>(42.96*1.02)*0.773*1.0824</f>
        <v>36.663314307840004</v>
      </c>
      <c r="P457" s="211">
        <f>(16.43*1.02)*0.773*1.0824</f>
        <v>14.021840178720002</v>
      </c>
      <c r="Q457" s="211">
        <f>(12.76*1.02)*0.773*1.0824</f>
        <v>10.889755367040001</v>
      </c>
      <c r="R457" s="211">
        <f>(1.27*1.02)*0.773*1.0824</f>
        <v>1.0838549620800002</v>
      </c>
      <c r="S457" s="211">
        <f>(0.0584*1.02)*0.773*1.0824</f>
        <v>4.9840259673600007E-2</v>
      </c>
      <c r="T457" s="174">
        <f t="shared" si="131"/>
        <v>0</v>
      </c>
      <c r="U457" s="358">
        <f t="shared" si="146"/>
        <v>0</v>
      </c>
      <c r="V457" s="358">
        <f t="shared" si="146"/>
        <v>0</v>
      </c>
      <c r="W457" s="358">
        <f t="shared" si="146"/>
        <v>0</v>
      </c>
      <c r="X457" s="358">
        <f t="shared" si="146"/>
        <v>0</v>
      </c>
      <c r="Y457" s="358">
        <f t="shared" si="146"/>
        <v>0</v>
      </c>
      <c r="Z457" s="358">
        <f t="shared" ref="Z457:Z520" si="149">S457*K457</f>
        <v>0</v>
      </c>
      <c r="AA457" s="2733"/>
    </row>
    <row r="458" spans="1:27" ht="18.75" x14ac:dyDescent="0.25">
      <c r="A458" s="2738"/>
      <c r="B458" s="746">
        <v>2033</v>
      </c>
      <c r="C458" s="218">
        <f t="shared" si="139"/>
        <v>0</v>
      </c>
      <c r="D458" s="221">
        <f t="shared" si="147"/>
        <v>0</v>
      </c>
      <c r="E458" s="221">
        <f t="shared" si="148"/>
        <v>0</v>
      </c>
      <c r="F458" s="218">
        <f t="shared" si="140"/>
        <v>0</v>
      </c>
      <c r="G458" s="218">
        <f t="shared" si="141"/>
        <v>0</v>
      </c>
      <c r="H458" s="218">
        <f t="shared" si="142"/>
        <v>0</v>
      </c>
      <c r="I458" s="218">
        <f t="shared" si="143"/>
        <v>0</v>
      </c>
      <c r="J458" s="218">
        <f t="shared" si="144"/>
        <v>0</v>
      </c>
      <c r="K458" s="218">
        <f t="shared" si="145"/>
        <v>0</v>
      </c>
      <c r="L458" s="192">
        <f t="shared" ref="L458:L521" si="150">(C458/1000)+(D458/1000)+(E458/1000)</f>
        <v>0</v>
      </c>
      <c r="M458" s="211">
        <v>78</v>
      </c>
      <c r="N458" s="211">
        <f>(29.53*1.02)*0.7579*1.0824</f>
        <v>24.709463125776001</v>
      </c>
      <c r="O458" s="211">
        <f>(42.96*1.02)*0.7579*1.0824</f>
        <v>35.947122786432004</v>
      </c>
      <c r="P458" s="211">
        <f>(16.43*1.02)*0.7579*1.0824</f>
        <v>13.747933598256003</v>
      </c>
      <c r="Q458" s="211">
        <f>(12.76*1.02)*0.7579*1.0824</f>
        <v>10.677031814592</v>
      </c>
      <c r="R458" s="211">
        <f>(1.27*1.02)*0.7579*1.0824</f>
        <v>1.0626826335840001</v>
      </c>
      <c r="S458" s="211">
        <f>(0.0584*1.02)*0.7579*1.0824</f>
        <v>4.8866665985280007E-2</v>
      </c>
      <c r="T458" s="174">
        <f t="shared" ref="T458:T521" si="151">L458*M458</f>
        <v>0</v>
      </c>
      <c r="U458" s="358">
        <f t="shared" si="146"/>
        <v>0</v>
      </c>
      <c r="V458" s="358">
        <f t="shared" si="146"/>
        <v>0</v>
      </c>
      <c r="W458" s="358">
        <f t="shared" si="146"/>
        <v>0</v>
      </c>
      <c r="X458" s="358">
        <f t="shared" si="146"/>
        <v>0</v>
      </c>
      <c r="Y458" s="358">
        <f t="shared" si="146"/>
        <v>0</v>
      </c>
      <c r="Z458" s="358">
        <f t="shared" si="149"/>
        <v>0</v>
      </c>
      <c r="AA458" s="2733"/>
    </row>
    <row r="459" spans="1:27" ht="18.75" x14ac:dyDescent="0.25">
      <c r="A459" s="2738"/>
      <c r="B459" s="746">
        <v>2034</v>
      </c>
      <c r="C459" s="218">
        <f t="shared" si="139"/>
        <v>0</v>
      </c>
      <c r="D459" s="221">
        <f t="shared" si="147"/>
        <v>0</v>
      </c>
      <c r="E459" s="221">
        <f t="shared" si="148"/>
        <v>0</v>
      </c>
      <c r="F459" s="218">
        <f t="shared" si="140"/>
        <v>0</v>
      </c>
      <c r="G459" s="218">
        <f t="shared" si="141"/>
        <v>0</v>
      </c>
      <c r="H459" s="218">
        <f t="shared" si="142"/>
        <v>0</v>
      </c>
      <c r="I459" s="218">
        <f t="shared" si="143"/>
        <v>0</v>
      </c>
      <c r="J459" s="218">
        <f t="shared" si="144"/>
        <v>0</v>
      </c>
      <c r="K459" s="218">
        <f t="shared" si="145"/>
        <v>0</v>
      </c>
      <c r="L459" s="192">
        <f t="shared" si="150"/>
        <v>0</v>
      </c>
      <c r="M459" s="211">
        <v>79</v>
      </c>
      <c r="N459" s="211">
        <f>(29.53*1.02)*0.743*1.0824</f>
        <v>24.223685317920005</v>
      </c>
      <c r="O459" s="211">
        <f>(42.96*1.02)*0.743*1.0824</f>
        <v>35.24041724544</v>
      </c>
      <c r="P459" s="211">
        <f>(16.43*1.02)*0.743*1.0824</f>
        <v>13.477654919520001</v>
      </c>
      <c r="Q459" s="211">
        <f>(12.76*1.02)*0.743*1.0824</f>
        <v>10.467125792640001</v>
      </c>
      <c r="R459" s="211">
        <f>(1.27*1.02)*0.743*1.0824</f>
        <v>1.04179073328</v>
      </c>
      <c r="S459" s="211">
        <f>(0.0584*1.02)*0.743*1.0824</f>
        <v>4.7905967577600003E-2</v>
      </c>
      <c r="T459" s="174">
        <f t="shared" si="151"/>
        <v>0</v>
      </c>
      <c r="U459" s="358">
        <f t="shared" si="146"/>
        <v>0</v>
      </c>
      <c r="V459" s="358">
        <f t="shared" si="146"/>
        <v>0</v>
      </c>
      <c r="W459" s="358">
        <f t="shared" si="146"/>
        <v>0</v>
      </c>
      <c r="X459" s="358">
        <f t="shared" si="146"/>
        <v>0</v>
      </c>
      <c r="Y459" s="358">
        <f t="shared" si="146"/>
        <v>0</v>
      </c>
      <c r="Z459" s="358">
        <f t="shared" si="149"/>
        <v>0</v>
      </c>
      <c r="AA459" s="2733"/>
    </row>
    <row r="460" spans="1:27" ht="18.75" x14ac:dyDescent="0.25">
      <c r="A460" s="2738"/>
      <c r="B460" s="746">
        <v>2035</v>
      </c>
      <c r="C460" s="218">
        <f t="shared" si="139"/>
        <v>0</v>
      </c>
      <c r="D460" s="221">
        <f t="shared" si="147"/>
        <v>0</v>
      </c>
      <c r="E460" s="221">
        <f t="shared" si="148"/>
        <v>0</v>
      </c>
      <c r="F460" s="218">
        <f t="shared" si="140"/>
        <v>0</v>
      </c>
      <c r="G460" s="218">
        <f t="shared" si="141"/>
        <v>0</v>
      </c>
      <c r="H460" s="218">
        <f t="shared" si="142"/>
        <v>0</v>
      </c>
      <c r="I460" s="218">
        <f t="shared" si="143"/>
        <v>0</v>
      </c>
      <c r="J460" s="218">
        <f t="shared" si="144"/>
        <v>0</v>
      </c>
      <c r="K460" s="218">
        <f t="shared" si="145"/>
        <v>0</v>
      </c>
      <c r="L460" s="192">
        <f t="shared" si="150"/>
        <v>0</v>
      </c>
      <c r="M460" s="211">
        <v>80</v>
      </c>
      <c r="N460" s="211">
        <f>(29.53*1.02)*0.7284*1.0824</f>
        <v>23.747688271296006</v>
      </c>
      <c r="O460" s="211">
        <f>(42.96*1.02)*0.7284*1.0824</f>
        <v>34.547940675072006</v>
      </c>
      <c r="P460" s="211">
        <f>(16.43*1.02)*0.7284*1.0824</f>
        <v>13.212818093376002</v>
      </c>
      <c r="Q460" s="211">
        <f>(12.76*1.02)*0.7284*1.0824</f>
        <v>10.261446066432002</v>
      </c>
      <c r="R460" s="211">
        <f>(1.27*1.02)*0.7284*1.0824</f>
        <v>1.0213194752640002</v>
      </c>
      <c r="S460" s="211">
        <f>(0.0584*1.02)*0.7284*1.0824</f>
        <v>4.6964612090880008E-2</v>
      </c>
      <c r="T460" s="174">
        <f t="shared" si="151"/>
        <v>0</v>
      </c>
      <c r="U460" s="358">
        <f t="shared" si="146"/>
        <v>0</v>
      </c>
      <c r="V460" s="358">
        <f t="shared" si="146"/>
        <v>0</v>
      </c>
      <c r="W460" s="358">
        <f t="shared" si="146"/>
        <v>0</v>
      </c>
      <c r="X460" s="358">
        <f t="shared" si="146"/>
        <v>0</v>
      </c>
      <c r="Y460" s="358">
        <f t="shared" si="146"/>
        <v>0</v>
      </c>
      <c r="Z460" s="358">
        <f t="shared" si="149"/>
        <v>0</v>
      </c>
      <c r="AA460" s="2733"/>
    </row>
    <row r="461" spans="1:27" ht="18.75" x14ac:dyDescent="0.25">
      <c r="A461" s="2738"/>
      <c r="B461" s="746">
        <v>2036</v>
      </c>
      <c r="C461" s="218">
        <f t="shared" si="139"/>
        <v>0</v>
      </c>
      <c r="D461" s="221">
        <f t="shared" si="147"/>
        <v>0</v>
      </c>
      <c r="E461" s="221">
        <f t="shared" si="148"/>
        <v>0</v>
      </c>
      <c r="F461" s="218">
        <f t="shared" si="140"/>
        <v>0</v>
      </c>
      <c r="G461" s="218">
        <f t="shared" si="141"/>
        <v>0</v>
      </c>
      <c r="H461" s="218">
        <f t="shared" si="142"/>
        <v>0</v>
      </c>
      <c r="I461" s="218">
        <f t="shared" si="143"/>
        <v>0</v>
      </c>
      <c r="J461" s="218">
        <f t="shared" si="144"/>
        <v>0</v>
      </c>
      <c r="K461" s="218">
        <f t="shared" si="145"/>
        <v>0</v>
      </c>
      <c r="L461" s="192">
        <f t="shared" si="150"/>
        <v>0</v>
      </c>
      <c r="M461" s="211">
        <v>81</v>
      </c>
      <c r="N461" s="211">
        <f>(29.53*1.02)*0.7142*1.0824</f>
        <v>23.284732239648001</v>
      </c>
      <c r="O461" s="211">
        <f>(42.96*1.02)*0.7142*1.0824</f>
        <v>33.874436065536003</v>
      </c>
      <c r="P461" s="211">
        <f>(16.43*1.02)*0.7142*1.0824</f>
        <v>12.955237070688</v>
      </c>
      <c r="Q461" s="211">
        <f>(12.76*1.02)*0.7142*1.0824</f>
        <v>10.061401401215999</v>
      </c>
      <c r="R461" s="211">
        <f>(1.27*1.02)*0.7142*1.0824</f>
        <v>1.001409073632</v>
      </c>
      <c r="S461" s="211">
        <f>(0.0584*1.02)*0.7142*1.0824</f>
        <v>4.6049047165439998E-2</v>
      </c>
      <c r="T461" s="174">
        <f t="shared" si="151"/>
        <v>0</v>
      </c>
      <c r="U461" s="358">
        <f t="shared" si="146"/>
        <v>0</v>
      </c>
      <c r="V461" s="358">
        <f t="shared" si="146"/>
        <v>0</v>
      </c>
      <c r="W461" s="358">
        <f t="shared" si="146"/>
        <v>0</v>
      </c>
      <c r="X461" s="358">
        <f t="shared" si="146"/>
        <v>0</v>
      </c>
      <c r="Y461" s="358">
        <f t="shared" si="146"/>
        <v>0</v>
      </c>
      <c r="Z461" s="358">
        <f t="shared" si="149"/>
        <v>0</v>
      </c>
      <c r="AA461" s="2733"/>
    </row>
    <row r="462" spans="1:27" ht="18.75" x14ac:dyDescent="0.25">
      <c r="A462" s="2738"/>
      <c r="B462" s="746">
        <v>2037</v>
      </c>
      <c r="C462" s="218">
        <f t="shared" si="139"/>
        <v>0</v>
      </c>
      <c r="D462" s="221">
        <f t="shared" si="147"/>
        <v>0</v>
      </c>
      <c r="E462" s="221">
        <f t="shared" si="148"/>
        <v>0</v>
      </c>
      <c r="F462" s="218">
        <f t="shared" si="140"/>
        <v>0</v>
      </c>
      <c r="G462" s="218">
        <f t="shared" si="141"/>
        <v>0</v>
      </c>
      <c r="H462" s="218">
        <f t="shared" si="142"/>
        <v>0</v>
      </c>
      <c r="I462" s="218">
        <f t="shared" si="143"/>
        <v>0</v>
      </c>
      <c r="J462" s="218">
        <f t="shared" si="144"/>
        <v>0</v>
      </c>
      <c r="K462" s="218">
        <f t="shared" si="145"/>
        <v>0</v>
      </c>
      <c r="L462" s="192">
        <f t="shared" si="150"/>
        <v>0</v>
      </c>
      <c r="M462" s="211">
        <v>83</v>
      </c>
      <c r="N462" s="211">
        <f>(29.53*1.02)*0.7002*1.0824</f>
        <v>22.828296715488005</v>
      </c>
      <c r="O462" s="211">
        <f>(42.96*1.02)*0.7002*1.0824</f>
        <v>33.210417436416002</v>
      </c>
      <c r="P462" s="211">
        <f>(16.43*1.02)*0.7002*1.0824</f>
        <v>12.701283949728003</v>
      </c>
      <c r="Q462" s="211">
        <f>(12.76*1.02)*0.7002*1.0824</f>
        <v>9.8641742664960006</v>
      </c>
      <c r="R462" s="211">
        <f>(1.27*1.02)*0.7002*1.0824</f>
        <v>0.9817791001920001</v>
      </c>
      <c r="S462" s="211">
        <f>(0.0584*1.02)*0.7002*1.0824</f>
        <v>4.5146377520640005E-2</v>
      </c>
      <c r="T462" s="174">
        <f t="shared" si="151"/>
        <v>0</v>
      </c>
      <c r="U462" s="358">
        <f t="shared" si="146"/>
        <v>0</v>
      </c>
      <c r="V462" s="358">
        <f t="shared" si="146"/>
        <v>0</v>
      </c>
      <c r="W462" s="358">
        <f t="shared" si="146"/>
        <v>0</v>
      </c>
      <c r="X462" s="358">
        <f t="shared" si="146"/>
        <v>0</v>
      </c>
      <c r="Y462" s="358">
        <f t="shared" si="146"/>
        <v>0</v>
      </c>
      <c r="Z462" s="358">
        <f t="shared" si="149"/>
        <v>0</v>
      </c>
      <c r="AA462" s="2733"/>
    </row>
    <row r="463" spans="1:27" ht="18.75" x14ac:dyDescent="0.25">
      <c r="A463" s="2738"/>
      <c r="B463" s="746">
        <v>2038</v>
      </c>
      <c r="C463" s="218">
        <f t="shared" si="139"/>
        <v>0</v>
      </c>
      <c r="D463" s="221">
        <f t="shared" si="147"/>
        <v>0</v>
      </c>
      <c r="E463" s="221">
        <f t="shared" si="148"/>
        <v>0</v>
      </c>
      <c r="F463" s="218">
        <f t="shared" si="140"/>
        <v>0</v>
      </c>
      <c r="G463" s="218">
        <f t="shared" si="141"/>
        <v>0</v>
      </c>
      <c r="H463" s="218">
        <f t="shared" si="142"/>
        <v>0</v>
      </c>
      <c r="I463" s="218">
        <f t="shared" si="143"/>
        <v>0</v>
      </c>
      <c r="J463" s="218">
        <f t="shared" si="144"/>
        <v>0</v>
      </c>
      <c r="K463" s="218">
        <f t="shared" si="145"/>
        <v>0</v>
      </c>
      <c r="L463" s="192">
        <f t="shared" si="150"/>
        <v>0</v>
      </c>
      <c r="M463" s="211">
        <v>84</v>
      </c>
      <c r="N463" s="211">
        <f>(29.53*1.02)*0.6864*1.0824</f>
        <v>22.378381698816003</v>
      </c>
      <c r="O463" s="211">
        <f>(42.96*1.02)*0.6864*1.0824</f>
        <v>32.555884787712003</v>
      </c>
      <c r="P463" s="211">
        <f>(16.43*1.02)*0.6864*1.0824</f>
        <v>12.450958730496001</v>
      </c>
      <c r="Q463" s="211">
        <f>(12.76*1.02)*0.6864*1.0824</f>
        <v>9.6697646622720015</v>
      </c>
      <c r="R463" s="211">
        <f>(1.27*1.02)*0.6864*1.0824</f>
        <v>0.96242955494400007</v>
      </c>
      <c r="S463" s="211">
        <f>(0.0584*1.02)*0.6864*1.0824</f>
        <v>4.4256603156480001E-2</v>
      </c>
      <c r="T463" s="174">
        <f t="shared" si="151"/>
        <v>0</v>
      </c>
      <c r="U463" s="358">
        <f t="shared" si="146"/>
        <v>0</v>
      </c>
      <c r="V463" s="358">
        <f t="shared" si="146"/>
        <v>0</v>
      </c>
      <c r="W463" s="358">
        <f t="shared" si="146"/>
        <v>0</v>
      </c>
      <c r="X463" s="358">
        <f t="shared" si="146"/>
        <v>0</v>
      </c>
      <c r="Y463" s="358">
        <f t="shared" si="146"/>
        <v>0</v>
      </c>
      <c r="Z463" s="358">
        <f t="shared" si="149"/>
        <v>0</v>
      </c>
      <c r="AA463" s="2733"/>
    </row>
    <row r="464" spans="1:27" ht="18.75" x14ac:dyDescent="0.25">
      <c r="A464" s="2738"/>
      <c r="B464" s="746">
        <v>2039</v>
      </c>
      <c r="C464" s="218">
        <f t="shared" si="139"/>
        <v>0</v>
      </c>
      <c r="D464" s="221">
        <f t="shared" si="147"/>
        <v>0</v>
      </c>
      <c r="E464" s="221">
        <f t="shared" si="148"/>
        <v>0</v>
      </c>
      <c r="F464" s="218">
        <f t="shared" si="140"/>
        <v>0</v>
      </c>
      <c r="G464" s="218">
        <f t="shared" si="141"/>
        <v>0</v>
      </c>
      <c r="H464" s="218">
        <f t="shared" si="142"/>
        <v>0</v>
      </c>
      <c r="I464" s="218">
        <f t="shared" si="143"/>
        <v>0</v>
      </c>
      <c r="J464" s="218">
        <f t="shared" si="144"/>
        <v>0</v>
      </c>
      <c r="K464" s="218">
        <f t="shared" si="145"/>
        <v>0</v>
      </c>
      <c r="L464" s="192">
        <f t="shared" si="150"/>
        <v>0</v>
      </c>
      <c r="M464" s="211">
        <v>85</v>
      </c>
      <c r="N464" s="211">
        <f>(29.53*1.02)*0.673*1.0824</f>
        <v>21.941507697120006</v>
      </c>
      <c r="O464" s="211">
        <f>(42.96*1.02)*0.673*1.0824</f>
        <v>31.920324099840006</v>
      </c>
      <c r="P464" s="211">
        <f>(16.43*1.02)*0.673*1.0824</f>
        <v>12.207889314720003</v>
      </c>
      <c r="Q464" s="211">
        <f>(12.76*1.02)*0.673*1.0824</f>
        <v>9.4809901190400012</v>
      </c>
      <c r="R464" s="211">
        <f>(1.27*1.02)*0.673*1.0824</f>
        <v>0.9436408660800002</v>
      </c>
      <c r="S464" s="211">
        <f>(0.0584*1.02)*0.673*1.0824</f>
        <v>4.3392619353600011E-2</v>
      </c>
      <c r="T464" s="174">
        <f t="shared" si="151"/>
        <v>0</v>
      </c>
      <c r="U464" s="358">
        <f t="shared" si="146"/>
        <v>0</v>
      </c>
      <c r="V464" s="358">
        <f t="shared" si="146"/>
        <v>0</v>
      </c>
      <c r="W464" s="358">
        <f t="shared" si="146"/>
        <v>0</v>
      </c>
      <c r="X464" s="358">
        <f t="shared" si="146"/>
        <v>0</v>
      </c>
      <c r="Y464" s="358">
        <f t="shared" si="146"/>
        <v>0</v>
      </c>
      <c r="Z464" s="358">
        <f t="shared" si="149"/>
        <v>0</v>
      </c>
      <c r="AA464" s="2733"/>
    </row>
    <row r="465" spans="1:27" ht="18.75" x14ac:dyDescent="0.25">
      <c r="A465" s="2738"/>
      <c r="B465" s="746">
        <v>2040</v>
      </c>
      <c r="C465" s="218">
        <f t="shared" si="139"/>
        <v>0</v>
      </c>
      <c r="D465" s="221">
        <f t="shared" si="147"/>
        <v>0</v>
      </c>
      <c r="E465" s="221">
        <f t="shared" si="148"/>
        <v>0</v>
      </c>
      <c r="F465" s="218">
        <f t="shared" si="140"/>
        <v>0</v>
      </c>
      <c r="G465" s="218">
        <f t="shared" si="141"/>
        <v>0</v>
      </c>
      <c r="H465" s="218">
        <f t="shared" si="142"/>
        <v>0</v>
      </c>
      <c r="I465" s="218">
        <f t="shared" si="143"/>
        <v>0</v>
      </c>
      <c r="J465" s="218">
        <f t="shared" si="144"/>
        <v>0</v>
      </c>
      <c r="K465" s="218">
        <f t="shared" si="145"/>
        <v>0</v>
      </c>
      <c r="L465" s="192">
        <f t="shared" si="150"/>
        <v>0</v>
      </c>
      <c r="M465" s="211">
        <v>86</v>
      </c>
      <c r="N465" s="211">
        <f>(29.53*1.02)*0.6598*1.0824</f>
        <v>21.511154202912003</v>
      </c>
      <c r="O465" s="211">
        <f>(42.96*1.02)*0.6598*1.0824</f>
        <v>31.294249392384003</v>
      </c>
      <c r="P465" s="211">
        <f>(16.43*1.02)*0.6598*1.0824</f>
        <v>11.968447800672001</v>
      </c>
      <c r="Q465" s="211">
        <f>(12.76*1.02)*0.6598*1.0824</f>
        <v>9.2950331063040004</v>
      </c>
      <c r="R465" s="211">
        <f>(1.27*1.02)*0.6598*1.0824</f>
        <v>0.92513260540800013</v>
      </c>
      <c r="S465" s="211">
        <f>(0.0584*1.02)*0.6598*1.0824</f>
        <v>4.254153083136001E-2</v>
      </c>
      <c r="T465" s="174">
        <f t="shared" si="151"/>
        <v>0</v>
      </c>
      <c r="U465" s="358">
        <f t="shared" si="146"/>
        <v>0</v>
      </c>
      <c r="V465" s="358">
        <f t="shared" si="146"/>
        <v>0</v>
      </c>
      <c r="W465" s="358">
        <f t="shared" si="146"/>
        <v>0</v>
      </c>
      <c r="X465" s="358">
        <f t="shared" si="146"/>
        <v>0</v>
      </c>
      <c r="Y465" s="358">
        <f t="shared" si="146"/>
        <v>0</v>
      </c>
      <c r="Z465" s="358">
        <f t="shared" si="149"/>
        <v>0</v>
      </c>
      <c r="AA465" s="2733"/>
    </row>
    <row r="466" spans="1:27" ht="18.75" x14ac:dyDescent="0.25">
      <c r="A466" s="2738"/>
      <c r="B466" s="746">
        <v>2041</v>
      </c>
      <c r="C466" s="218">
        <f t="shared" si="139"/>
        <v>0</v>
      </c>
      <c r="D466" s="221">
        <f t="shared" si="147"/>
        <v>0</v>
      </c>
      <c r="E466" s="221">
        <f t="shared" si="148"/>
        <v>0</v>
      </c>
      <c r="F466" s="218">
        <f t="shared" si="140"/>
        <v>0</v>
      </c>
      <c r="G466" s="218">
        <f t="shared" si="141"/>
        <v>0</v>
      </c>
      <c r="H466" s="218">
        <f t="shared" si="142"/>
        <v>0</v>
      </c>
      <c r="I466" s="218">
        <f t="shared" si="143"/>
        <v>0</v>
      </c>
      <c r="J466" s="218">
        <f t="shared" si="144"/>
        <v>0</v>
      </c>
      <c r="K466" s="218">
        <f t="shared" si="145"/>
        <v>0</v>
      </c>
      <c r="L466" s="192">
        <f t="shared" si="150"/>
        <v>0</v>
      </c>
      <c r="M466" s="211">
        <v>87</v>
      </c>
      <c r="N466" s="211">
        <f>(29.53*1.02)*0.6468*1.0824</f>
        <v>21.087321216192002</v>
      </c>
      <c r="O466" s="211">
        <f>(42.96*1.02)*0.6468*1.0824</f>
        <v>30.677660665344007</v>
      </c>
      <c r="P466" s="211">
        <f>(16.43*1.02)*0.6468*1.0824</f>
        <v>11.732634188352002</v>
      </c>
      <c r="Q466" s="211">
        <f>(12.76*1.02)*0.6468*1.0824</f>
        <v>9.1118936240640007</v>
      </c>
      <c r="R466" s="211">
        <f>(1.27*1.02)*0.6468*1.0824</f>
        <v>0.9069047729280002</v>
      </c>
      <c r="S466" s="211">
        <f>(0.0584*1.02)*0.6468*1.0824</f>
        <v>4.1703337589760005E-2</v>
      </c>
      <c r="T466" s="174">
        <f t="shared" si="151"/>
        <v>0</v>
      </c>
      <c r="U466" s="358">
        <f t="shared" si="146"/>
        <v>0</v>
      </c>
      <c r="V466" s="358">
        <f t="shared" si="146"/>
        <v>0</v>
      </c>
      <c r="W466" s="358">
        <f t="shared" si="146"/>
        <v>0</v>
      </c>
      <c r="X466" s="358">
        <f t="shared" si="146"/>
        <v>0</v>
      </c>
      <c r="Y466" s="358">
        <f t="shared" si="146"/>
        <v>0</v>
      </c>
      <c r="Z466" s="358">
        <f t="shared" si="149"/>
        <v>0</v>
      </c>
      <c r="AA466" s="2733"/>
    </row>
    <row r="467" spans="1:27" ht="18.75" x14ac:dyDescent="0.25">
      <c r="A467" s="2738"/>
      <c r="B467" s="746">
        <v>2042</v>
      </c>
      <c r="C467" s="218">
        <f t="shared" si="139"/>
        <v>0</v>
      </c>
      <c r="D467" s="221">
        <f t="shared" si="147"/>
        <v>0</v>
      </c>
      <c r="E467" s="221">
        <f t="shared" si="148"/>
        <v>0</v>
      </c>
      <c r="F467" s="218">
        <f t="shared" si="140"/>
        <v>0</v>
      </c>
      <c r="G467" s="218">
        <f t="shared" si="141"/>
        <v>0</v>
      </c>
      <c r="H467" s="218">
        <f t="shared" si="142"/>
        <v>0</v>
      </c>
      <c r="I467" s="218">
        <f t="shared" si="143"/>
        <v>0</v>
      </c>
      <c r="J467" s="218">
        <f t="shared" si="144"/>
        <v>0</v>
      </c>
      <c r="K467" s="218">
        <f t="shared" si="145"/>
        <v>0</v>
      </c>
      <c r="L467" s="192">
        <f t="shared" si="150"/>
        <v>0</v>
      </c>
      <c r="M467" s="211">
        <v>88</v>
      </c>
      <c r="N467" s="211">
        <f>(29.53*1.02)*0.6342*1.0824</f>
        <v>20.676529244448002</v>
      </c>
      <c r="O467" s="211">
        <f>(42.96*1.02)*0.6342*1.0824</f>
        <v>30.080043899136001</v>
      </c>
      <c r="P467" s="211">
        <f>(16.43*1.02)*0.6342*1.0824</f>
        <v>11.504076379488001</v>
      </c>
      <c r="Q467" s="211">
        <f>(12.76*1.02)*0.6342*1.0824</f>
        <v>8.9343892028159999</v>
      </c>
      <c r="R467" s="211">
        <f>(1.27*1.02)*0.6342*1.0824</f>
        <v>0.8892377968320001</v>
      </c>
      <c r="S467" s="211">
        <f>(0.0584*1.02)*0.6342*1.0824</f>
        <v>4.0890934909439999E-2</v>
      </c>
      <c r="T467" s="174">
        <f t="shared" si="151"/>
        <v>0</v>
      </c>
      <c r="U467" s="358">
        <f t="shared" si="146"/>
        <v>0</v>
      </c>
      <c r="V467" s="358">
        <f t="shared" si="146"/>
        <v>0</v>
      </c>
      <c r="W467" s="358">
        <f t="shared" si="146"/>
        <v>0</v>
      </c>
      <c r="X467" s="358">
        <f t="shared" si="146"/>
        <v>0</v>
      </c>
      <c r="Y467" s="358">
        <f t="shared" si="146"/>
        <v>0</v>
      </c>
      <c r="Z467" s="358">
        <f t="shared" si="149"/>
        <v>0</v>
      </c>
      <c r="AA467" s="2733"/>
    </row>
    <row r="468" spans="1:27" ht="18.75" x14ac:dyDescent="0.25">
      <c r="A468" s="2738"/>
      <c r="B468" s="746">
        <v>2043</v>
      </c>
      <c r="C468" s="218">
        <f t="shared" si="139"/>
        <v>0</v>
      </c>
      <c r="D468" s="221">
        <f t="shared" si="147"/>
        <v>0</v>
      </c>
      <c r="E468" s="221">
        <f t="shared" si="148"/>
        <v>0</v>
      </c>
      <c r="F468" s="218">
        <f t="shared" si="140"/>
        <v>0</v>
      </c>
      <c r="G468" s="218">
        <f t="shared" si="141"/>
        <v>0</v>
      </c>
      <c r="H468" s="218">
        <f t="shared" si="142"/>
        <v>0</v>
      </c>
      <c r="I468" s="218">
        <f t="shared" si="143"/>
        <v>0</v>
      </c>
      <c r="J468" s="218">
        <f t="shared" si="144"/>
        <v>0</v>
      </c>
      <c r="K468" s="218">
        <f t="shared" si="145"/>
        <v>0</v>
      </c>
      <c r="L468" s="192">
        <f t="shared" si="150"/>
        <v>0</v>
      </c>
      <c r="M468" s="211">
        <v>89</v>
      </c>
      <c r="N468" s="211">
        <f>(29.53*1.02)*0.6217*1.0824</f>
        <v>20.268997526448004</v>
      </c>
      <c r="O468" s="211">
        <f>(42.96*1.02)*0.6217*1.0824</f>
        <v>29.487170123136003</v>
      </c>
      <c r="P468" s="211">
        <f>(16.43*1.02)*0.6217*1.0824</f>
        <v>11.277332521488001</v>
      </c>
      <c r="Q468" s="211">
        <f>(12.76*1.02)*0.6217*1.0824</f>
        <v>8.7582935468160006</v>
      </c>
      <c r="R468" s="211">
        <f>(1.27*1.02)*0.6217*1.0824</f>
        <v>0.87171103483200019</v>
      </c>
      <c r="S468" s="211">
        <f>(0.0584*1.02)*0.6217*1.0824</f>
        <v>4.0084979869440006E-2</v>
      </c>
      <c r="T468" s="174">
        <f t="shared" si="151"/>
        <v>0</v>
      </c>
      <c r="U468" s="358">
        <f t="shared" si="146"/>
        <v>0</v>
      </c>
      <c r="V468" s="358">
        <f t="shared" si="146"/>
        <v>0</v>
      </c>
      <c r="W468" s="358">
        <f t="shared" si="146"/>
        <v>0</v>
      </c>
      <c r="X468" s="358">
        <f t="shared" si="146"/>
        <v>0</v>
      </c>
      <c r="Y468" s="358">
        <f t="shared" si="146"/>
        <v>0</v>
      </c>
      <c r="Z468" s="358">
        <f t="shared" si="149"/>
        <v>0</v>
      </c>
      <c r="AA468" s="2733"/>
    </row>
    <row r="469" spans="1:27" ht="18.75" x14ac:dyDescent="0.25">
      <c r="A469" s="2738"/>
      <c r="B469" s="746">
        <v>2044</v>
      </c>
      <c r="C469" s="218">
        <f t="shared" si="139"/>
        <v>0</v>
      </c>
      <c r="D469" s="221">
        <f t="shared" si="147"/>
        <v>0</v>
      </c>
      <c r="E469" s="221">
        <f t="shared" si="148"/>
        <v>0</v>
      </c>
      <c r="F469" s="218">
        <f t="shared" si="140"/>
        <v>0</v>
      </c>
      <c r="G469" s="218">
        <f t="shared" si="141"/>
        <v>0</v>
      </c>
      <c r="H469" s="218">
        <f t="shared" si="142"/>
        <v>0</v>
      </c>
      <c r="I469" s="218">
        <f t="shared" si="143"/>
        <v>0</v>
      </c>
      <c r="J469" s="218">
        <f t="shared" si="144"/>
        <v>0</v>
      </c>
      <c r="K469" s="218">
        <f t="shared" si="145"/>
        <v>0</v>
      </c>
      <c r="L469" s="192">
        <f t="shared" si="150"/>
        <v>0</v>
      </c>
      <c r="M469" s="211">
        <v>90</v>
      </c>
      <c r="N469" s="211">
        <f>(29.53*1.02)*0.6095*1.0824</f>
        <v>19.871246569680004</v>
      </c>
      <c r="O469" s="211">
        <f>(42.96*1.02)*0.6095*1.0824</f>
        <v>28.908525317760002</v>
      </c>
      <c r="P469" s="211">
        <f>(16.43*1.02)*0.6095*1.0824</f>
        <v>11.056030516080002</v>
      </c>
      <c r="Q469" s="211">
        <f>(12.76*1.02)*0.6095*1.0824</f>
        <v>8.5864241865600004</v>
      </c>
      <c r="R469" s="211">
        <f>(1.27*1.02)*0.6095*1.0824</f>
        <v>0.85460491512000014</v>
      </c>
      <c r="S469" s="211">
        <f>(0.0584*1.02)*0.6095*1.0824</f>
        <v>3.9298367750400007E-2</v>
      </c>
      <c r="T469" s="174">
        <f t="shared" si="151"/>
        <v>0</v>
      </c>
      <c r="U469" s="358">
        <f t="shared" si="146"/>
        <v>0</v>
      </c>
      <c r="V469" s="358">
        <f t="shared" si="146"/>
        <v>0</v>
      </c>
      <c r="W469" s="358">
        <f t="shared" si="146"/>
        <v>0</v>
      </c>
      <c r="X469" s="358">
        <f t="shared" si="146"/>
        <v>0</v>
      </c>
      <c r="Y469" s="358">
        <f t="shared" si="146"/>
        <v>0</v>
      </c>
      <c r="Z469" s="358">
        <f t="shared" si="149"/>
        <v>0</v>
      </c>
      <c r="AA469" s="2733"/>
    </row>
    <row r="470" spans="1:27" ht="18.75" x14ac:dyDescent="0.25">
      <c r="A470" s="2738"/>
      <c r="B470" s="746">
        <v>2045</v>
      </c>
      <c r="C470" s="218">
        <f t="shared" si="139"/>
        <v>0</v>
      </c>
      <c r="D470" s="221">
        <f t="shared" si="147"/>
        <v>0</v>
      </c>
      <c r="E470" s="221">
        <f t="shared" si="148"/>
        <v>0</v>
      </c>
      <c r="F470" s="218">
        <f t="shared" si="140"/>
        <v>0</v>
      </c>
      <c r="G470" s="218">
        <f t="shared" si="141"/>
        <v>0</v>
      </c>
      <c r="H470" s="218">
        <f t="shared" si="142"/>
        <v>0</v>
      </c>
      <c r="I470" s="218">
        <f t="shared" si="143"/>
        <v>0</v>
      </c>
      <c r="J470" s="218">
        <f t="shared" si="144"/>
        <v>0</v>
      </c>
      <c r="K470" s="218">
        <f t="shared" si="145"/>
        <v>0</v>
      </c>
      <c r="L470" s="192">
        <f t="shared" si="150"/>
        <v>0</v>
      </c>
      <c r="M470" s="211">
        <v>92</v>
      </c>
      <c r="N470" s="211">
        <f>(29.53*1.02)*0.5976*1.0824</f>
        <v>19.483276374144001</v>
      </c>
      <c r="O470" s="211">
        <f>(42.96*1.02)*0.5976*1.0824</f>
        <v>28.344109483008001</v>
      </c>
      <c r="P470" s="211">
        <f>(16.43*1.02)*0.5976*1.0824</f>
        <v>10.840170363264003</v>
      </c>
      <c r="Q470" s="211">
        <f>(12.76*1.02)*0.5976*1.0824</f>
        <v>8.4187811220480011</v>
      </c>
      <c r="R470" s="211">
        <f>(1.27*1.02)*0.5976*1.0824</f>
        <v>0.83791943769600008</v>
      </c>
      <c r="S470" s="211">
        <f>(0.0584*1.02)*0.5976*1.0824</f>
        <v>3.8531098552320009E-2</v>
      </c>
      <c r="T470" s="174">
        <f t="shared" si="151"/>
        <v>0</v>
      </c>
      <c r="U470" s="358">
        <f t="shared" si="146"/>
        <v>0</v>
      </c>
      <c r="V470" s="358">
        <f t="shared" si="146"/>
        <v>0</v>
      </c>
      <c r="W470" s="358">
        <f t="shared" si="146"/>
        <v>0</v>
      </c>
      <c r="X470" s="358">
        <f t="shared" si="146"/>
        <v>0</v>
      </c>
      <c r="Y470" s="358">
        <f t="shared" si="146"/>
        <v>0</v>
      </c>
      <c r="Z470" s="358">
        <f t="shared" si="149"/>
        <v>0</v>
      </c>
      <c r="AA470" s="2733"/>
    </row>
    <row r="471" spans="1:27" ht="18.75" x14ac:dyDescent="0.25">
      <c r="A471" s="2738"/>
      <c r="B471" s="746">
        <v>2046</v>
      </c>
      <c r="C471" s="218">
        <f t="shared" si="139"/>
        <v>0</v>
      </c>
      <c r="D471" s="221">
        <f t="shared" si="147"/>
        <v>0</v>
      </c>
      <c r="E471" s="221">
        <f t="shared" si="148"/>
        <v>0</v>
      </c>
      <c r="F471" s="218">
        <f t="shared" si="140"/>
        <v>0</v>
      </c>
      <c r="G471" s="218">
        <f t="shared" si="141"/>
        <v>0</v>
      </c>
      <c r="H471" s="218">
        <f t="shared" si="142"/>
        <v>0</v>
      </c>
      <c r="I471" s="218">
        <f t="shared" si="143"/>
        <v>0</v>
      </c>
      <c r="J471" s="218">
        <f t="shared" si="144"/>
        <v>0</v>
      </c>
      <c r="K471" s="218">
        <f t="shared" si="145"/>
        <v>0</v>
      </c>
      <c r="L471" s="192">
        <f t="shared" si="150"/>
        <v>0</v>
      </c>
      <c r="M471" s="211">
        <v>93</v>
      </c>
      <c r="N471" s="211">
        <f>(29.53*1.02)*0.5859*1.0824</f>
        <v>19.101826686096</v>
      </c>
      <c r="O471" s="211">
        <f>(42.96*1.02)*0.5859*1.0824</f>
        <v>27.789179628671999</v>
      </c>
      <c r="P471" s="211">
        <f>(16.43*1.02)*0.5859*1.0824</f>
        <v>10.627938112176002</v>
      </c>
      <c r="Q471" s="211">
        <f>(12.76*1.02)*0.5859*1.0824</f>
        <v>8.2539555880319995</v>
      </c>
      <c r="R471" s="211">
        <f>(1.27*1.02)*0.5859*1.0824</f>
        <v>0.82151438846400004</v>
      </c>
      <c r="S471" s="211">
        <f>(0.0584*1.02)*0.5859*1.0824</f>
        <v>3.777672463488E-2</v>
      </c>
      <c r="T471" s="174">
        <f t="shared" si="151"/>
        <v>0</v>
      </c>
      <c r="U471" s="358">
        <f t="shared" si="146"/>
        <v>0</v>
      </c>
      <c r="V471" s="358">
        <f t="shared" si="146"/>
        <v>0</v>
      </c>
      <c r="W471" s="358">
        <f t="shared" si="146"/>
        <v>0</v>
      </c>
      <c r="X471" s="358">
        <f t="shared" si="146"/>
        <v>0</v>
      </c>
      <c r="Y471" s="358">
        <f t="shared" si="146"/>
        <v>0</v>
      </c>
      <c r="Z471" s="358">
        <f t="shared" si="149"/>
        <v>0</v>
      </c>
      <c r="AA471" s="2733"/>
    </row>
    <row r="472" spans="1:27" ht="18.75" x14ac:dyDescent="0.25">
      <c r="A472" s="2738"/>
      <c r="B472" s="746">
        <v>2047</v>
      </c>
      <c r="C472" s="218">
        <f t="shared" si="139"/>
        <v>0</v>
      </c>
      <c r="D472" s="221">
        <f t="shared" si="147"/>
        <v>0</v>
      </c>
      <c r="E472" s="221">
        <f t="shared" si="148"/>
        <v>0</v>
      </c>
      <c r="F472" s="218">
        <f t="shared" si="140"/>
        <v>0</v>
      </c>
      <c r="G472" s="218">
        <f t="shared" si="141"/>
        <v>0</v>
      </c>
      <c r="H472" s="218">
        <f t="shared" si="142"/>
        <v>0</v>
      </c>
      <c r="I472" s="218">
        <f t="shared" si="143"/>
        <v>0</v>
      </c>
      <c r="J472" s="218">
        <f t="shared" si="144"/>
        <v>0</v>
      </c>
      <c r="K472" s="218">
        <f t="shared" si="145"/>
        <v>0</v>
      </c>
      <c r="L472" s="192">
        <f t="shared" si="150"/>
        <v>0</v>
      </c>
      <c r="M472" s="211">
        <v>94</v>
      </c>
      <c r="N472" s="211">
        <f>(29.53*1.02)*0.5744*1.0824</f>
        <v>18.726897505536005</v>
      </c>
      <c r="O472" s="211">
        <f>(42.96*1.02)*0.5744*1.0824</f>
        <v>27.243735754752002</v>
      </c>
      <c r="P472" s="211">
        <f>(16.43*1.02)*0.5744*1.0824</f>
        <v>10.419333762816001</v>
      </c>
      <c r="Q472" s="211">
        <f>(12.76*1.02)*0.5744*1.0824</f>
        <v>8.0919475845120008</v>
      </c>
      <c r="R472" s="211">
        <f>(1.27*1.02)*0.5744*1.0824</f>
        <v>0.80538976742400015</v>
      </c>
      <c r="S472" s="211">
        <f>(0.0584*1.02)*0.5744*1.0824</f>
        <v>3.7035245998080002E-2</v>
      </c>
      <c r="T472" s="174">
        <f t="shared" si="151"/>
        <v>0</v>
      </c>
      <c r="U472" s="358">
        <f t="shared" si="146"/>
        <v>0</v>
      </c>
      <c r="V472" s="358">
        <f t="shared" si="146"/>
        <v>0</v>
      </c>
      <c r="W472" s="358">
        <f t="shared" si="146"/>
        <v>0</v>
      </c>
      <c r="X472" s="358">
        <f t="shared" si="146"/>
        <v>0</v>
      </c>
      <c r="Y472" s="358">
        <f t="shared" si="146"/>
        <v>0</v>
      </c>
      <c r="Z472" s="358">
        <f t="shared" si="149"/>
        <v>0</v>
      </c>
      <c r="AA472" s="2733"/>
    </row>
    <row r="473" spans="1:27" ht="18.75" x14ac:dyDescent="0.25">
      <c r="A473" s="2738"/>
      <c r="B473" s="746">
        <v>2048</v>
      </c>
      <c r="C473" s="218">
        <f t="shared" si="139"/>
        <v>0</v>
      </c>
      <c r="D473" s="221">
        <f t="shared" si="147"/>
        <v>0</v>
      </c>
      <c r="E473" s="221">
        <f t="shared" si="148"/>
        <v>0</v>
      </c>
      <c r="F473" s="218">
        <f t="shared" si="140"/>
        <v>0</v>
      </c>
      <c r="G473" s="218">
        <f t="shared" si="141"/>
        <v>0</v>
      </c>
      <c r="H473" s="218">
        <f t="shared" si="142"/>
        <v>0</v>
      </c>
      <c r="I473" s="218">
        <f t="shared" si="143"/>
        <v>0</v>
      </c>
      <c r="J473" s="218">
        <f t="shared" si="144"/>
        <v>0</v>
      </c>
      <c r="K473" s="218">
        <f t="shared" si="145"/>
        <v>0</v>
      </c>
      <c r="L473" s="192">
        <f t="shared" si="150"/>
        <v>0</v>
      </c>
      <c r="M473" s="211">
        <v>95</v>
      </c>
      <c r="N473" s="211">
        <f>(29.53*1.02)*0.5631*1.0824</f>
        <v>18.358488832464005</v>
      </c>
      <c r="O473" s="211">
        <f>(42.96*1.02)*0.5631*1.0824</f>
        <v>26.707777861248005</v>
      </c>
      <c r="P473" s="211">
        <f>(16.43*1.02)*0.5631*1.0824</f>
        <v>10.214357315184001</v>
      </c>
      <c r="Q473" s="211">
        <f>(12.76*1.02)*0.5631*1.0824</f>
        <v>7.9327571114880007</v>
      </c>
      <c r="R473" s="211">
        <f>(1.27*1.02)*0.5631*1.0824</f>
        <v>0.78954557457600016</v>
      </c>
      <c r="S473" s="211">
        <f>(0.0584*1.02)*0.5631*1.0824</f>
        <v>3.6306662641920007E-2</v>
      </c>
      <c r="T473" s="174">
        <f t="shared" si="151"/>
        <v>0</v>
      </c>
      <c r="U473" s="358">
        <f t="shared" si="146"/>
        <v>0</v>
      </c>
      <c r="V473" s="358">
        <f t="shared" si="146"/>
        <v>0</v>
      </c>
      <c r="W473" s="358">
        <f t="shared" si="146"/>
        <v>0</v>
      </c>
      <c r="X473" s="358">
        <f t="shared" si="146"/>
        <v>0</v>
      </c>
      <c r="Y473" s="358">
        <f t="shared" si="146"/>
        <v>0</v>
      </c>
      <c r="Z473" s="358">
        <f t="shared" si="149"/>
        <v>0</v>
      </c>
      <c r="AA473" s="2733"/>
    </row>
    <row r="474" spans="1:27" ht="18.75" x14ac:dyDescent="0.25">
      <c r="A474" s="2738"/>
      <c r="B474" s="746">
        <v>2049</v>
      </c>
      <c r="C474" s="218">
        <f t="shared" si="139"/>
        <v>0</v>
      </c>
      <c r="D474" s="221">
        <f t="shared" si="147"/>
        <v>0</v>
      </c>
      <c r="E474" s="221">
        <f t="shared" si="148"/>
        <v>0</v>
      </c>
      <c r="F474" s="218">
        <f t="shared" si="140"/>
        <v>0</v>
      </c>
      <c r="G474" s="218">
        <f t="shared" si="141"/>
        <v>0</v>
      </c>
      <c r="H474" s="218">
        <f t="shared" si="142"/>
        <v>0</v>
      </c>
      <c r="I474" s="218">
        <f t="shared" si="143"/>
        <v>0</v>
      </c>
      <c r="J474" s="218">
        <f t="shared" si="144"/>
        <v>0</v>
      </c>
      <c r="K474" s="218">
        <f t="shared" si="145"/>
        <v>0</v>
      </c>
      <c r="L474" s="192">
        <f t="shared" si="150"/>
        <v>0</v>
      </c>
      <c r="M474" s="211">
        <v>96</v>
      </c>
      <c r="N474" s="211">
        <f>(29.53*1.02)*0.5521*1.0824</f>
        <v>17.999860920624005</v>
      </c>
      <c r="O474" s="211">
        <f>(42.96*1.02)*0.5521*1.0824</f>
        <v>26.186048938368003</v>
      </c>
      <c r="P474" s="211">
        <f>(16.43*1.02)*0.5521*1.0824</f>
        <v>10.014822720144002</v>
      </c>
      <c r="Q474" s="211">
        <f>(12.76*1.02)*0.5521*1.0824</f>
        <v>7.7777929342080014</v>
      </c>
      <c r="R474" s="211">
        <f>(1.27*1.02)*0.5521*1.0824</f>
        <v>0.77412202401600017</v>
      </c>
      <c r="S474" s="211">
        <f>(0.0584*1.02)*0.5521*1.0824</f>
        <v>3.5597422206719999E-2</v>
      </c>
      <c r="T474" s="174">
        <f t="shared" si="151"/>
        <v>0</v>
      </c>
      <c r="U474" s="358">
        <f t="shared" si="146"/>
        <v>0</v>
      </c>
      <c r="V474" s="358">
        <f t="shared" si="146"/>
        <v>0</v>
      </c>
      <c r="W474" s="358">
        <f t="shared" si="146"/>
        <v>0</v>
      </c>
      <c r="X474" s="358">
        <f t="shared" si="146"/>
        <v>0</v>
      </c>
      <c r="Y474" s="358">
        <f t="shared" si="146"/>
        <v>0</v>
      </c>
      <c r="Z474" s="358">
        <f t="shared" si="149"/>
        <v>0</v>
      </c>
      <c r="AA474" s="2733"/>
    </row>
    <row r="475" spans="1:27" ht="18.75" x14ac:dyDescent="0.25">
      <c r="A475" s="2738"/>
      <c r="B475" s="746">
        <v>2050</v>
      </c>
      <c r="C475" s="218">
        <f t="shared" si="139"/>
        <v>0</v>
      </c>
      <c r="D475" s="221">
        <f t="shared" si="147"/>
        <v>0</v>
      </c>
      <c r="E475" s="221">
        <f t="shared" si="148"/>
        <v>0</v>
      </c>
      <c r="F475" s="218">
        <f t="shared" si="140"/>
        <v>0</v>
      </c>
      <c r="G475" s="218">
        <f t="shared" si="141"/>
        <v>0</v>
      </c>
      <c r="H475" s="218">
        <f t="shared" si="142"/>
        <v>0</v>
      </c>
      <c r="I475" s="218">
        <f t="shared" si="143"/>
        <v>0</v>
      </c>
      <c r="J475" s="218">
        <f t="shared" si="144"/>
        <v>0</v>
      </c>
      <c r="K475" s="218">
        <f t="shared" si="145"/>
        <v>0</v>
      </c>
      <c r="L475" s="192">
        <f t="shared" si="150"/>
        <v>0</v>
      </c>
      <c r="M475" s="211">
        <v>97</v>
      </c>
      <c r="N475" s="211">
        <f>(29.53*1.02)*0.5412*1.0824</f>
        <v>17.644493262528005</v>
      </c>
      <c r="O475" s="211">
        <f>(42.96*1.02)*0.5412*1.0824</f>
        <v>25.669063005696003</v>
      </c>
      <c r="P475" s="211">
        <f>(16.43*1.02)*0.5412*1.0824</f>
        <v>9.8171020759680019</v>
      </c>
      <c r="Q475" s="211">
        <f>(12.76*1.02)*0.5412*1.0824</f>
        <v>7.624237522176001</v>
      </c>
      <c r="R475" s="211">
        <f>(1.27*1.02)*0.5412*1.0824</f>
        <v>0.75883868755200012</v>
      </c>
      <c r="S475" s="211">
        <f>(0.0584*1.02)*0.5412*1.0824</f>
        <v>3.4894629411840003E-2</v>
      </c>
      <c r="T475" s="174">
        <f t="shared" si="151"/>
        <v>0</v>
      </c>
      <c r="U475" s="358">
        <f t="shared" si="146"/>
        <v>0</v>
      </c>
      <c r="V475" s="358">
        <f t="shared" si="146"/>
        <v>0</v>
      </c>
      <c r="W475" s="358">
        <f t="shared" si="146"/>
        <v>0</v>
      </c>
      <c r="X475" s="358">
        <f t="shared" si="146"/>
        <v>0</v>
      </c>
      <c r="Y475" s="358">
        <f t="shared" si="146"/>
        <v>0</v>
      </c>
      <c r="Z475" s="358">
        <f t="shared" si="149"/>
        <v>0</v>
      </c>
      <c r="AA475" s="2733"/>
    </row>
    <row r="476" spans="1:27" ht="18.75" x14ac:dyDescent="0.25">
      <c r="A476" s="2738"/>
      <c r="B476" s="746">
        <v>2051</v>
      </c>
      <c r="C476" s="218">
        <f t="shared" ref="C476:C494" si="152">$S$18</f>
        <v>0</v>
      </c>
      <c r="D476" s="221">
        <f t="shared" si="147"/>
        <v>0</v>
      </c>
      <c r="E476" s="221">
        <f t="shared" si="148"/>
        <v>0</v>
      </c>
      <c r="F476" s="218">
        <f t="shared" ref="F476:F494" si="153">$O$18</f>
        <v>0</v>
      </c>
      <c r="G476" s="218">
        <f t="shared" ref="G476:G494" si="154">$P$18</f>
        <v>0</v>
      </c>
      <c r="H476" s="218">
        <f t="shared" ref="H476:H494" si="155">$N$18</f>
        <v>0</v>
      </c>
      <c r="I476" s="218">
        <f t="shared" ref="I476:I494" si="156">$Q$18</f>
        <v>0</v>
      </c>
      <c r="J476" s="218">
        <f t="shared" ref="J476:J494" si="157">$L$18</f>
        <v>0</v>
      </c>
      <c r="K476" s="218">
        <f t="shared" ref="K476:K494" si="158">$M$18</f>
        <v>0</v>
      </c>
      <c r="L476" s="192">
        <f t="shared" si="150"/>
        <v>0</v>
      </c>
      <c r="M476" s="211">
        <v>97</v>
      </c>
      <c r="N476" s="211">
        <f>(29.53*1.02)*0.5306*1.0824</f>
        <v>17.298906365664003</v>
      </c>
      <c r="O476" s="211">
        <f>(42.96*1.02)*0.5306*1.0824</f>
        <v>25.166306043648003</v>
      </c>
      <c r="P476" s="211">
        <f>(16.43*1.02)*0.5306*1.0824</f>
        <v>9.624823284384</v>
      </c>
      <c r="Q476" s="211">
        <f>(12.76*1.02)*0.5306*1.0824</f>
        <v>7.4749084058879998</v>
      </c>
      <c r="R476" s="211">
        <f>(1.27*1.02)*0.5306*1.0824</f>
        <v>0.74397599337600007</v>
      </c>
      <c r="S476" s="211">
        <f>(0.0584*1.02)*0.5306*1.0824</f>
        <v>3.4211179537920001E-2</v>
      </c>
      <c r="T476" s="174">
        <f t="shared" si="151"/>
        <v>0</v>
      </c>
      <c r="U476" s="358">
        <f t="shared" si="146"/>
        <v>0</v>
      </c>
      <c r="V476" s="358">
        <f t="shared" si="146"/>
        <v>0</v>
      </c>
      <c r="W476" s="358">
        <f t="shared" si="146"/>
        <v>0</v>
      </c>
      <c r="X476" s="358">
        <f t="shared" si="146"/>
        <v>0</v>
      </c>
      <c r="Y476" s="358">
        <f t="shared" si="146"/>
        <v>0</v>
      </c>
      <c r="Z476" s="358">
        <f t="shared" si="149"/>
        <v>0</v>
      </c>
      <c r="AA476" s="2733"/>
    </row>
    <row r="477" spans="1:27" ht="18.75" x14ac:dyDescent="0.25">
      <c r="A477" s="2738"/>
      <c r="B477" s="746">
        <v>2052</v>
      </c>
      <c r="C477" s="218">
        <f t="shared" si="152"/>
        <v>0</v>
      </c>
      <c r="D477" s="221">
        <f t="shared" si="147"/>
        <v>0</v>
      </c>
      <c r="E477" s="221">
        <f t="shared" si="148"/>
        <v>0</v>
      </c>
      <c r="F477" s="218">
        <f t="shared" si="153"/>
        <v>0</v>
      </c>
      <c r="G477" s="218">
        <f t="shared" si="154"/>
        <v>0</v>
      </c>
      <c r="H477" s="218">
        <f t="shared" si="155"/>
        <v>0</v>
      </c>
      <c r="I477" s="218">
        <f t="shared" si="156"/>
        <v>0</v>
      </c>
      <c r="J477" s="218">
        <f t="shared" si="157"/>
        <v>0</v>
      </c>
      <c r="K477" s="218">
        <f t="shared" si="158"/>
        <v>0</v>
      </c>
      <c r="L477" s="192">
        <f t="shared" si="150"/>
        <v>0</v>
      </c>
      <c r="M477" s="211">
        <v>97</v>
      </c>
      <c r="N477" s="211">
        <f>(29.53*1.02)*0.5202*1.0824</f>
        <v>16.959839976288002</v>
      </c>
      <c r="O477" s="211">
        <f>(42.96*1.02)*0.5202*1.0824</f>
        <v>24.673035062016002</v>
      </c>
      <c r="P477" s="211">
        <f>(16.43*1.02)*0.5202*1.0824</f>
        <v>9.4361723945280005</v>
      </c>
      <c r="Q477" s="211">
        <f>(12.76*1.02)*0.5202*1.0824</f>
        <v>7.3283968200960006</v>
      </c>
      <c r="R477" s="211">
        <f>(1.27*1.02)*0.5202*1.0824</f>
        <v>0.72939372739200004</v>
      </c>
      <c r="S477" s="211">
        <f>(0.0584*1.02)*0.5202*1.0824</f>
        <v>3.3540624944640003E-2</v>
      </c>
      <c r="T477" s="174">
        <f t="shared" si="151"/>
        <v>0</v>
      </c>
      <c r="U477" s="358">
        <f t="shared" si="146"/>
        <v>0</v>
      </c>
      <c r="V477" s="358">
        <f t="shared" si="146"/>
        <v>0</v>
      </c>
      <c r="W477" s="358">
        <f t="shared" si="146"/>
        <v>0</v>
      </c>
      <c r="X477" s="358">
        <f t="shared" si="146"/>
        <v>0</v>
      </c>
      <c r="Y477" s="358">
        <f t="shared" si="146"/>
        <v>0</v>
      </c>
      <c r="Z477" s="358">
        <f t="shared" si="149"/>
        <v>0</v>
      </c>
      <c r="AA477" s="2733"/>
    </row>
    <row r="478" spans="1:27" ht="18.75" x14ac:dyDescent="0.25">
      <c r="A478" s="2738"/>
      <c r="B478" s="746">
        <v>2053</v>
      </c>
      <c r="C478" s="218">
        <f t="shared" si="152"/>
        <v>0</v>
      </c>
      <c r="D478" s="221">
        <f t="shared" si="147"/>
        <v>0</v>
      </c>
      <c r="E478" s="221">
        <f t="shared" si="148"/>
        <v>0</v>
      </c>
      <c r="F478" s="218">
        <f t="shared" si="153"/>
        <v>0</v>
      </c>
      <c r="G478" s="218">
        <f t="shared" si="154"/>
        <v>0</v>
      </c>
      <c r="H478" s="218">
        <f t="shared" si="155"/>
        <v>0</v>
      </c>
      <c r="I478" s="218">
        <f t="shared" si="156"/>
        <v>0</v>
      </c>
      <c r="J478" s="218">
        <f t="shared" si="157"/>
        <v>0</v>
      </c>
      <c r="K478" s="218">
        <f t="shared" si="158"/>
        <v>0</v>
      </c>
      <c r="L478" s="192">
        <f t="shared" si="150"/>
        <v>0</v>
      </c>
      <c r="M478" s="211">
        <v>97</v>
      </c>
      <c r="N478" s="211">
        <f>(29.53*1.02)*0.51*1</f>
        <v>15.361506000000002</v>
      </c>
      <c r="O478" s="211">
        <f>(42.96*1.02)*0.51*1.0824</f>
        <v>24.189250060800003</v>
      </c>
      <c r="P478" s="211">
        <f>(16.43*1.02)*0.51*1.0824</f>
        <v>9.2511494064000015</v>
      </c>
      <c r="Q478" s="211">
        <f>(12.76*1.02)*0.51*1.0824</f>
        <v>7.1847027647999999</v>
      </c>
      <c r="R478" s="211">
        <f>(1.27*1.02)*0.51*1.0824</f>
        <v>0.71509188960000014</v>
      </c>
      <c r="S478" s="211">
        <f>(0.0584*1.02)*0.51*1.0824</f>
        <v>3.2882965632000001E-2</v>
      </c>
      <c r="T478" s="174">
        <f t="shared" si="151"/>
        <v>0</v>
      </c>
      <c r="U478" s="358">
        <f t="shared" si="146"/>
        <v>0</v>
      </c>
      <c r="V478" s="358">
        <f t="shared" si="146"/>
        <v>0</v>
      </c>
      <c r="W478" s="358">
        <f t="shared" si="146"/>
        <v>0</v>
      </c>
      <c r="X478" s="358">
        <f t="shared" si="146"/>
        <v>0</v>
      </c>
      <c r="Y478" s="358">
        <f t="shared" si="146"/>
        <v>0</v>
      </c>
      <c r="Z478" s="358">
        <f t="shared" si="149"/>
        <v>0</v>
      </c>
      <c r="AA478" s="2733"/>
    </row>
    <row r="479" spans="1:27" ht="18.75" x14ac:dyDescent="0.25">
      <c r="A479" s="2738"/>
      <c r="B479" s="746">
        <v>2054</v>
      </c>
      <c r="C479" s="218">
        <f t="shared" si="152"/>
        <v>0</v>
      </c>
      <c r="D479" s="221">
        <f t="shared" si="147"/>
        <v>0</v>
      </c>
      <c r="E479" s="221">
        <f t="shared" si="148"/>
        <v>0</v>
      </c>
      <c r="F479" s="218">
        <f t="shared" si="153"/>
        <v>0</v>
      </c>
      <c r="G479" s="218">
        <f t="shared" si="154"/>
        <v>0</v>
      </c>
      <c r="H479" s="218">
        <f t="shared" si="155"/>
        <v>0</v>
      </c>
      <c r="I479" s="218">
        <f t="shared" si="156"/>
        <v>0</v>
      </c>
      <c r="J479" s="218">
        <f t="shared" si="157"/>
        <v>0</v>
      </c>
      <c r="K479" s="218">
        <f t="shared" si="158"/>
        <v>0</v>
      </c>
      <c r="L479" s="192">
        <f t="shared" si="150"/>
        <v>0</v>
      </c>
      <c r="M479" s="211">
        <v>97</v>
      </c>
      <c r="N479" s="211">
        <f>(29.53*1.02)*0.5*1.0824</f>
        <v>16.301268720000003</v>
      </c>
      <c r="O479" s="211">
        <f>(42.96*1.02)*0.5*1.0824</f>
        <v>23.714951040000003</v>
      </c>
      <c r="P479" s="211">
        <f>(16.43*1.02)*0.5*1.0824</f>
        <v>9.0697543200000013</v>
      </c>
      <c r="Q479" s="211">
        <f>(12.76*1.02)*0.5*1.0824</f>
        <v>7.0438262400000005</v>
      </c>
      <c r="R479" s="211">
        <f>(1.27*1.02)*0.5*1.0824</f>
        <v>0.70107048000000005</v>
      </c>
      <c r="S479" s="211">
        <f>(0.0584*1.02)*0.5*1.0824</f>
        <v>3.2238201600000002E-2</v>
      </c>
      <c r="T479" s="174">
        <f t="shared" si="151"/>
        <v>0</v>
      </c>
      <c r="U479" s="358">
        <f t="shared" si="146"/>
        <v>0</v>
      </c>
      <c r="V479" s="358">
        <f t="shared" si="146"/>
        <v>0</v>
      </c>
      <c r="W479" s="358">
        <f t="shared" si="146"/>
        <v>0</v>
      </c>
      <c r="X479" s="358">
        <f t="shared" si="146"/>
        <v>0</v>
      </c>
      <c r="Y479" s="358">
        <f t="shared" si="146"/>
        <v>0</v>
      </c>
      <c r="Z479" s="358">
        <f t="shared" si="149"/>
        <v>0</v>
      </c>
      <c r="AA479" s="2733"/>
    </row>
    <row r="480" spans="1:27" ht="18.75" x14ac:dyDescent="0.25">
      <c r="A480" s="2738"/>
      <c r="B480" s="746">
        <v>2055</v>
      </c>
      <c r="C480" s="218">
        <f t="shared" si="152"/>
        <v>0</v>
      </c>
      <c r="D480" s="221">
        <f t="shared" si="147"/>
        <v>0</v>
      </c>
      <c r="E480" s="221">
        <f t="shared" si="148"/>
        <v>0</v>
      </c>
      <c r="F480" s="218">
        <f t="shared" si="153"/>
        <v>0</v>
      </c>
      <c r="G480" s="218">
        <f t="shared" si="154"/>
        <v>0</v>
      </c>
      <c r="H480" s="218">
        <f t="shared" si="155"/>
        <v>0</v>
      </c>
      <c r="I480" s="218">
        <f t="shared" si="156"/>
        <v>0</v>
      </c>
      <c r="J480" s="218">
        <f t="shared" si="157"/>
        <v>0</v>
      </c>
      <c r="K480" s="218">
        <f t="shared" si="158"/>
        <v>0</v>
      </c>
      <c r="L480" s="192">
        <f t="shared" si="150"/>
        <v>0</v>
      </c>
      <c r="M480" s="211">
        <v>97</v>
      </c>
      <c r="N480" s="211">
        <f>(29.53*1.02)*0.4902*1.0824</f>
        <v>15.981763853088003</v>
      </c>
      <c r="O480" s="211">
        <f>(42.96*1.02)*0.4902*1.0824</f>
        <v>23.250137999616001</v>
      </c>
      <c r="P480" s="211">
        <f>(16.43*1.02)*0.4902*1.0824</f>
        <v>8.8919871353280016</v>
      </c>
      <c r="Q480" s="211">
        <f>(12.76*1.02)*0.4902*1.0824</f>
        <v>6.9057672456960004</v>
      </c>
      <c r="R480" s="211">
        <f>(1.27*1.02)*0.4902*1.0824</f>
        <v>0.6873294985920001</v>
      </c>
      <c r="S480" s="211">
        <f>(0.0584*1.02)*0.4902*1.0824</f>
        <v>3.1606332848640006E-2</v>
      </c>
      <c r="T480" s="174">
        <f t="shared" si="151"/>
        <v>0</v>
      </c>
      <c r="U480" s="358">
        <f t="shared" si="146"/>
        <v>0</v>
      </c>
      <c r="V480" s="358">
        <f t="shared" si="146"/>
        <v>0</v>
      </c>
      <c r="W480" s="358">
        <f t="shared" si="146"/>
        <v>0</v>
      </c>
      <c r="X480" s="358">
        <f t="shared" si="146"/>
        <v>0</v>
      </c>
      <c r="Y480" s="358">
        <f t="shared" si="146"/>
        <v>0</v>
      </c>
      <c r="Z480" s="358">
        <f t="shared" si="149"/>
        <v>0</v>
      </c>
      <c r="AA480" s="2733"/>
    </row>
    <row r="481" spans="1:27" ht="18.75" x14ac:dyDescent="0.25">
      <c r="A481" s="2738"/>
      <c r="B481" s="746">
        <v>2056</v>
      </c>
      <c r="C481" s="218">
        <f t="shared" si="152"/>
        <v>0</v>
      </c>
      <c r="D481" s="221">
        <f t="shared" si="147"/>
        <v>0</v>
      </c>
      <c r="E481" s="221">
        <f t="shared" si="148"/>
        <v>0</v>
      </c>
      <c r="F481" s="218">
        <f t="shared" si="153"/>
        <v>0</v>
      </c>
      <c r="G481" s="218">
        <f t="shared" si="154"/>
        <v>0</v>
      </c>
      <c r="H481" s="218">
        <f t="shared" si="155"/>
        <v>0</v>
      </c>
      <c r="I481" s="218">
        <f t="shared" si="156"/>
        <v>0</v>
      </c>
      <c r="J481" s="218">
        <f t="shared" si="157"/>
        <v>0</v>
      </c>
      <c r="K481" s="218">
        <f t="shared" si="158"/>
        <v>0</v>
      </c>
      <c r="L481" s="192">
        <f t="shared" si="150"/>
        <v>0</v>
      </c>
      <c r="M481" s="211">
        <v>97</v>
      </c>
      <c r="N481" s="211">
        <f>(29.53*1.02)*0.4806*1.0824</f>
        <v>15.668779493664003</v>
      </c>
      <c r="O481" s="211">
        <f>(42.96*1.02)*0.4806*1.0824</f>
        <v>22.794810939648006</v>
      </c>
      <c r="P481" s="211">
        <f>(16.43*1.02)*0.4806*1.0824</f>
        <v>8.7178478523840006</v>
      </c>
      <c r="Q481" s="211">
        <f>(12.76*1.02)*0.4806*1.0824</f>
        <v>6.7705257818880007</v>
      </c>
      <c r="R481" s="211">
        <f>(1.27*1.02)*0.4806*1.0824</f>
        <v>0.67386894537600017</v>
      </c>
      <c r="S481" s="211">
        <f>(0.0584*1.02)*0.4806*1.0824</f>
        <v>3.0987359377920003E-2</v>
      </c>
      <c r="T481" s="174">
        <f t="shared" si="151"/>
        <v>0</v>
      </c>
      <c r="U481" s="358">
        <f t="shared" si="146"/>
        <v>0</v>
      </c>
      <c r="V481" s="358">
        <f t="shared" si="146"/>
        <v>0</v>
      </c>
      <c r="W481" s="358">
        <f t="shared" si="146"/>
        <v>0</v>
      </c>
      <c r="X481" s="358">
        <f t="shared" si="146"/>
        <v>0</v>
      </c>
      <c r="Y481" s="358">
        <f t="shared" si="146"/>
        <v>0</v>
      </c>
      <c r="Z481" s="358">
        <f t="shared" si="149"/>
        <v>0</v>
      </c>
      <c r="AA481" s="2733"/>
    </row>
    <row r="482" spans="1:27" ht="18.75" x14ac:dyDescent="0.25">
      <c r="A482" s="2738"/>
      <c r="B482" s="746">
        <v>2057</v>
      </c>
      <c r="C482" s="218">
        <f t="shared" si="152"/>
        <v>0</v>
      </c>
      <c r="D482" s="221">
        <f t="shared" si="147"/>
        <v>0</v>
      </c>
      <c r="E482" s="221">
        <f t="shared" si="148"/>
        <v>0</v>
      </c>
      <c r="F482" s="218">
        <f t="shared" si="153"/>
        <v>0</v>
      </c>
      <c r="G482" s="218">
        <f t="shared" si="154"/>
        <v>0</v>
      </c>
      <c r="H482" s="218">
        <f t="shared" si="155"/>
        <v>0</v>
      </c>
      <c r="I482" s="218">
        <f t="shared" si="156"/>
        <v>0</v>
      </c>
      <c r="J482" s="218">
        <f t="shared" si="157"/>
        <v>0</v>
      </c>
      <c r="K482" s="218">
        <f t="shared" si="158"/>
        <v>0</v>
      </c>
      <c r="L482" s="192">
        <f t="shared" si="150"/>
        <v>0</v>
      </c>
      <c r="M482" s="211">
        <v>97</v>
      </c>
      <c r="N482" s="211">
        <f>(29.53*1.02)*0.4712*1.0824</f>
        <v>15.362315641728001</v>
      </c>
      <c r="O482" s="211">
        <f>(42.96*1.02)*0.4712*1.0824</f>
        <v>22.348969860096002</v>
      </c>
      <c r="P482" s="211">
        <f>(16.43*1.02)*0.4712*1.0824</f>
        <v>8.547336471168002</v>
      </c>
      <c r="Q482" s="211">
        <f>(12.76*1.02)*0.4712*1.0824</f>
        <v>6.6381018485760004</v>
      </c>
      <c r="R482" s="211">
        <f>(1.27*1.02)*0.4712*1.0824</f>
        <v>0.66068882035200005</v>
      </c>
      <c r="S482" s="211">
        <f>(0.0584*1.02)*0.4712*1.0824</f>
        <v>3.038128118784E-2</v>
      </c>
      <c r="T482" s="174">
        <f t="shared" si="151"/>
        <v>0</v>
      </c>
      <c r="U482" s="358">
        <f t="shared" si="146"/>
        <v>0</v>
      </c>
      <c r="V482" s="358">
        <f t="shared" si="146"/>
        <v>0</v>
      </c>
      <c r="W482" s="358">
        <f t="shared" si="146"/>
        <v>0</v>
      </c>
      <c r="X482" s="358">
        <f t="shared" si="146"/>
        <v>0</v>
      </c>
      <c r="Y482" s="358">
        <f t="shared" si="146"/>
        <v>0</v>
      </c>
      <c r="Z482" s="358">
        <f t="shared" si="149"/>
        <v>0</v>
      </c>
      <c r="AA482" s="2733"/>
    </row>
    <row r="483" spans="1:27" ht="18.75" x14ac:dyDescent="0.25">
      <c r="A483" s="2738"/>
      <c r="B483" s="746">
        <v>2058</v>
      </c>
      <c r="C483" s="218">
        <f t="shared" si="152"/>
        <v>0</v>
      </c>
      <c r="D483" s="221">
        <f t="shared" si="147"/>
        <v>0</v>
      </c>
      <c r="E483" s="221">
        <f t="shared" si="148"/>
        <v>0</v>
      </c>
      <c r="F483" s="218">
        <f t="shared" si="153"/>
        <v>0</v>
      </c>
      <c r="G483" s="218">
        <f t="shared" si="154"/>
        <v>0</v>
      </c>
      <c r="H483" s="218">
        <f t="shared" si="155"/>
        <v>0</v>
      </c>
      <c r="I483" s="218">
        <f t="shared" si="156"/>
        <v>0</v>
      </c>
      <c r="J483" s="218">
        <f t="shared" si="157"/>
        <v>0</v>
      </c>
      <c r="K483" s="218">
        <f t="shared" si="158"/>
        <v>0</v>
      </c>
      <c r="L483" s="192">
        <f t="shared" si="150"/>
        <v>0</v>
      </c>
      <c r="M483" s="211">
        <v>97</v>
      </c>
      <c r="N483" s="211">
        <f>(29.53*1.02)*0.4619*1.0824</f>
        <v>15.059112043536</v>
      </c>
      <c r="O483" s="211">
        <f>(42.96*1.02)*0.4619*1.0824</f>
        <v>21.907871770752003</v>
      </c>
      <c r="P483" s="211">
        <f>(16.43*1.02)*0.4619*1.0824</f>
        <v>8.378639040816001</v>
      </c>
      <c r="Q483" s="211">
        <f>(12.76*1.02)*0.4619*1.0824</f>
        <v>6.5070866805119998</v>
      </c>
      <c r="R483" s="211">
        <f>(1.27*1.02)*0.4619*1.0824</f>
        <v>0.647648909424</v>
      </c>
      <c r="S483" s="211">
        <f>(0.0584*1.02)*0.4619*1.0824</f>
        <v>2.9781650638080002E-2</v>
      </c>
      <c r="T483" s="174">
        <f t="shared" si="151"/>
        <v>0</v>
      </c>
      <c r="U483" s="358">
        <f t="shared" si="146"/>
        <v>0</v>
      </c>
      <c r="V483" s="358">
        <f t="shared" si="146"/>
        <v>0</v>
      </c>
      <c r="W483" s="358">
        <f t="shared" si="146"/>
        <v>0</v>
      </c>
      <c r="X483" s="358">
        <f t="shared" si="146"/>
        <v>0</v>
      </c>
      <c r="Y483" s="358">
        <f t="shared" si="146"/>
        <v>0</v>
      </c>
      <c r="Z483" s="358">
        <f t="shared" si="149"/>
        <v>0</v>
      </c>
      <c r="AA483" s="2733"/>
    </row>
    <row r="484" spans="1:27" ht="18.75" x14ac:dyDescent="0.25">
      <c r="A484" s="2738"/>
      <c r="B484" s="746">
        <v>2059</v>
      </c>
      <c r="C484" s="218">
        <f t="shared" si="152"/>
        <v>0</v>
      </c>
      <c r="D484" s="221">
        <f t="shared" si="147"/>
        <v>0</v>
      </c>
      <c r="E484" s="221">
        <f t="shared" si="148"/>
        <v>0</v>
      </c>
      <c r="F484" s="218">
        <f t="shared" si="153"/>
        <v>0</v>
      </c>
      <c r="G484" s="218">
        <f t="shared" si="154"/>
        <v>0</v>
      </c>
      <c r="H484" s="218">
        <f t="shared" si="155"/>
        <v>0</v>
      </c>
      <c r="I484" s="218">
        <f t="shared" si="156"/>
        <v>0</v>
      </c>
      <c r="J484" s="218">
        <f t="shared" si="157"/>
        <v>0</v>
      </c>
      <c r="K484" s="218">
        <f t="shared" si="158"/>
        <v>0</v>
      </c>
      <c r="L484" s="192">
        <f t="shared" si="150"/>
        <v>0</v>
      </c>
      <c r="M484" s="211">
        <v>97</v>
      </c>
      <c r="N484" s="211">
        <f>(29.53*1.02)*0.4529*1.0824</f>
        <v>14.765689206576004</v>
      </c>
      <c r="O484" s="211">
        <f>(42.96*1.02)*0.4529*1.0824</f>
        <v>21.481002652032004</v>
      </c>
      <c r="P484" s="211">
        <f>(16.43*1.02)*0.4529*1.0824</f>
        <v>8.2153834630560016</v>
      </c>
      <c r="Q484" s="211">
        <f>(12.76*1.02)*0.4529*1.0824</f>
        <v>6.380297808192001</v>
      </c>
      <c r="R484" s="211">
        <f>(1.27*1.02)*0.4529*1.0824</f>
        <v>0.63502964078400004</v>
      </c>
      <c r="S484" s="211">
        <f>(0.0584*1.02)*0.4529*1.0824</f>
        <v>2.9201363009280005E-2</v>
      </c>
      <c r="T484" s="174">
        <f t="shared" si="151"/>
        <v>0</v>
      </c>
      <c r="U484" s="358">
        <f t="shared" si="146"/>
        <v>0</v>
      </c>
      <c r="V484" s="358">
        <f t="shared" si="146"/>
        <v>0</v>
      </c>
      <c r="W484" s="358">
        <f t="shared" si="146"/>
        <v>0</v>
      </c>
      <c r="X484" s="358">
        <f t="shared" si="146"/>
        <v>0</v>
      </c>
      <c r="Y484" s="358">
        <f t="shared" si="146"/>
        <v>0</v>
      </c>
      <c r="Z484" s="358">
        <f t="shared" si="149"/>
        <v>0</v>
      </c>
      <c r="AA484" s="2733"/>
    </row>
    <row r="485" spans="1:27" ht="18.75" x14ac:dyDescent="0.25">
      <c r="A485" s="2738"/>
      <c r="B485" s="746">
        <v>2060</v>
      </c>
      <c r="C485" s="218">
        <f t="shared" si="152"/>
        <v>0</v>
      </c>
      <c r="D485" s="221">
        <f t="shared" si="147"/>
        <v>0</v>
      </c>
      <c r="E485" s="221">
        <f t="shared" si="148"/>
        <v>0</v>
      </c>
      <c r="F485" s="218">
        <f t="shared" si="153"/>
        <v>0</v>
      </c>
      <c r="G485" s="218">
        <f t="shared" si="154"/>
        <v>0</v>
      </c>
      <c r="H485" s="218">
        <f t="shared" si="155"/>
        <v>0</v>
      </c>
      <c r="I485" s="218">
        <f t="shared" si="156"/>
        <v>0</v>
      </c>
      <c r="J485" s="218">
        <f t="shared" si="157"/>
        <v>0</v>
      </c>
      <c r="K485" s="218">
        <f t="shared" si="158"/>
        <v>0</v>
      </c>
      <c r="L485" s="192">
        <f t="shared" si="150"/>
        <v>0</v>
      </c>
      <c r="M485" s="211">
        <v>97</v>
      </c>
      <c r="N485" s="211">
        <f>(29.53*1.02)*0.444*1.0824</f>
        <v>14.475526623360002</v>
      </c>
      <c r="O485" s="211">
        <f>(42.96*1.02)*0.444*1.0824</f>
        <v>21.058876523520002</v>
      </c>
      <c r="P485" s="211">
        <f>(16.43*1.02)*0.444*1.0824</f>
        <v>8.0539418361599999</v>
      </c>
      <c r="Q485" s="211">
        <f>(12.76*1.02)*0.444*1.0824</f>
        <v>6.2549177011200001</v>
      </c>
      <c r="R485" s="211">
        <f>(1.27*1.02)*0.444*1.0824</f>
        <v>0.62255058624000004</v>
      </c>
      <c r="S485" s="211">
        <f>(0.0584*1.02)*0.444*1.0824</f>
        <v>2.8627523020800003E-2</v>
      </c>
      <c r="T485" s="174">
        <f t="shared" si="151"/>
        <v>0</v>
      </c>
      <c r="U485" s="358">
        <f t="shared" si="146"/>
        <v>0</v>
      </c>
      <c r="V485" s="358">
        <f t="shared" si="146"/>
        <v>0</v>
      </c>
      <c r="W485" s="358">
        <f t="shared" si="146"/>
        <v>0</v>
      </c>
      <c r="X485" s="358">
        <f t="shared" si="146"/>
        <v>0</v>
      </c>
      <c r="Y485" s="358">
        <f t="shared" si="146"/>
        <v>0</v>
      </c>
      <c r="Z485" s="358">
        <f t="shared" si="149"/>
        <v>0</v>
      </c>
      <c r="AA485" s="2733"/>
    </row>
    <row r="486" spans="1:27" ht="18.75" x14ac:dyDescent="0.25">
      <c r="A486" s="2738"/>
      <c r="B486" s="746">
        <v>2061</v>
      </c>
      <c r="C486" s="218">
        <f t="shared" si="152"/>
        <v>0</v>
      </c>
      <c r="D486" s="221">
        <f t="shared" si="147"/>
        <v>0</v>
      </c>
      <c r="E486" s="221">
        <f t="shared" si="148"/>
        <v>0</v>
      </c>
      <c r="F486" s="218">
        <f t="shared" si="153"/>
        <v>0</v>
      </c>
      <c r="G486" s="218">
        <f t="shared" si="154"/>
        <v>0</v>
      </c>
      <c r="H486" s="218">
        <f t="shared" si="155"/>
        <v>0</v>
      </c>
      <c r="I486" s="218">
        <f t="shared" si="156"/>
        <v>0</v>
      </c>
      <c r="J486" s="218">
        <f t="shared" si="157"/>
        <v>0</v>
      </c>
      <c r="K486" s="218">
        <f t="shared" si="158"/>
        <v>0</v>
      </c>
      <c r="L486" s="192">
        <f t="shared" si="150"/>
        <v>0</v>
      </c>
      <c r="M486" s="211">
        <v>97</v>
      </c>
      <c r="N486" s="211">
        <f>(29.53*1.02)*0.4353*1.0824</f>
        <v>14.191884547632004</v>
      </c>
      <c r="O486" s="211">
        <f>(42.96*1.02)*0.4353*1.0824</f>
        <v>20.646236375424003</v>
      </c>
      <c r="P486" s="211">
        <f>(16.43*1.02)*0.4353*1.0824</f>
        <v>7.8961281109920014</v>
      </c>
      <c r="Q486" s="211">
        <f>(12.76*1.02)*0.4353*1.0824</f>
        <v>6.1323551245440004</v>
      </c>
      <c r="R486" s="211">
        <f>(1.27*1.02)*0.4353*1.0824</f>
        <v>0.61035195988800006</v>
      </c>
      <c r="S486" s="211">
        <f>(0.0584*1.02)*0.4353*1.0824</f>
        <v>2.8066578312960003E-2</v>
      </c>
      <c r="T486" s="174">
        <f t="shared" si="151"/>
        <v>0</v>
      </c>
      <c r="U486" s="358">
        <f t="shared" si="146"/>
        <v>0</v>
      </c>
      <c r="V486" s="358">
        <f t="shared" si="146"/>
        <v>0</v>
      </c>
      <c r="W486" s="358">
        <f t="shared" si="146"/>
        <v>0</v>
      </c>
      <c r="X486" s="358">
        <f t="shared" si="146"/>
        <v>0</v>
      </c>
      <c r="Y486" s="358">
        <f t="shared" si="146"/>
        <v>0</v>
      </c>
      <c r="Z486" s="358">
        <f t="shared" si="149"/>
        <v>0</v>
      </c>
      <c r="AA486" s="2733"/>
    </row>
    <row r="487" spans="1:27" ht="18.75" x14ac:dyDescent="0.25">
      <c r="A487" s="2738"/>
      <c r="B487" s="746">
        <v>2062</v>
      </c>
      <c r="C487" s="218">
        <f t="shared" si="152"/>
        <v>0</v>
      </c>
      <c r="D487" s="221">
        <f t="shared" si="147"/>
        <v>0</v>
      </c>
      <c r="E487" s="221">
        <f t="shared" si="148"/>
        <v>0</v>
      </c>
      <c r="F487" s="218">
        <f t="shared" si="153"/>
        <v>0</v>
      </c>
      <c r="G487" s="218">
        <f t="shared" si="154"/>
        <v>0</v>
      </c>
      <c r="H487" s="218">
        <f t="shared" si="155"/>
        <v>0</v>
      </c>
      <c r="I487" s="218">
        <f t="shared" si="156"/>
        <v>0</v>
      </c>
      <c r="J487" s="218">
        <f t="shared" si="157"/>
        <v>0</v>
      </c>
      <c r="K487" s="218">
        <f t="shared" si="158"/>
        <v>0</v>
      </c>
      <c r="L487" s="192">
        <f t="shared" si="150"/>
        <v>0</v>
      </c>
      <c r="M487" s="211">
        <v>97</v>
      </c>
      <c r="N487" s="211">
        <f>(29.53*1.02)*0.4268*1.0824</f>
        <v>13.914762979392002</v>
      </c>
      <c r="O487" s="211">
        <f>(42.96*1.02)*0.4268*1.0824</f>
        <v>20.243082207744003</v>
      </c>
      <c r="P487" s="211">
        <f>(16.43*1.02)*0.4268*1.0824</f>
        <v>7.7419422875520008</v>
      </c>
      <c r="Q487" s="211">
        <f>(12.76*1.02)*0.4268*1.0824</f>
        <v>6.0126100784640002</v>
      </c>
      <c r="R487" s="211">
        <f>(1.27*1.02)*0.4268*1.0824</f>
        <v>0.59843376172800011</v>
      </c>
      <c r="S487" s="211">
        <f>(0.0584*1.02)*0.4268*1.0824</f>
        <v>2.7518528885760004E-2</v>
      </c>
      <c r="T487" s="174">
        <f t="shared" si="151"/>
        <v>0</v>
      </c>
      <c r="U487" s="358">
        <f t="shared" si="146"/>
        <v>0</v>
      </c>
      <c r="V487" s="358">
        <f t="shared" si="146"/>
        <v>0</v>
      </c>
      <c r="W487" s="358">
        <f t="shared" si="146"/>
        <v>0</v>
      </c>
      <c r="X487" s="358">
        <f t="shared" si="146"/>
        <v>0</v>
      </c>
      <c r="Y487" s="358">
        <f t="shared" si="146"/>
        <v>0</v>
      </c>
      <c r="Z487" s="358">
        <f t="shared" si="149"/>
        <v>0</v>
      </c>
      <c r="AA487" s="2733"/>
    </row>
    <row r="488" spans="1:27" ht="18.75" x14ac:dyDescent="0.25">
      <c r="A488" s="2738"/>
      <c r="B488" s="746">
        <v>2063</v>
      </c>
      <c r="C488" s="218">
        <f t="shared" si="152"/>
        <v>0</v>
      </c>
      <c r="D488" s="221">
        <f t="shared" si="147"/>
        <v>0</v>
      </c>
      <c r="E488" s="221">
        <f t="shared" si="148"/>
        <v>0</v>
      </c>
      <c r="F488" s="218">
        <f t="shared" si="153"/>
        <v>0</v>
      </c>
      <c r="G488" s="218">
        <f t="shared" si="154"/>
        <v>0</v>
      </c>
      <c r="H488" s="218">
        <f t="shared" si="155"/>
        <v>0</v>
      </c>
      <c r="I488" s="218">
        <f t="shared" si="156"/>
        <v>0</v>
      </c>
      <c r="J488" s="218">
        <f t="shared" si="157"/>
        <v>0</v>
      </c>
      <c r="K488" s="218">
        <f t="shared" si="158"/>
        <v>0</v>
      </c>
      <c r="L488" s="192">
        <f t="shared" si="150"/>
        <v>0</v>
      </c>
      <c r="M488" s="211">
        <v>97</v>
      </c>
      <c r="N488" s="211">
        <f>(29.53*1.02)*0.4184*1.0824</f>
        <v>13.640901664896001</v>
      </c>
      <c r="O488" s="211">
        <f>(42.96*1.02)*0.4184*1.0824</f>
        <v>19.844671030272</v>
      </c>
      <c r="P488" s="211">
        <f>(16.43*1.02)*0.4184*1.0824</f>
        <v>7.5895704149760004</v>
      </c>
      <c r="Q488" s="211">
        <f>(12.76*1.02)*0.4184*1.0824</f>
        <v>5.8942737976319997</v>
      </c>
      <c r="R488" s="211">
        <f>(1.27*1.02)*0.4184*1.0824</f>
        <v>0.58665577766400001</v>
      </c>
      <c r="S488" s="211">
        <f>(0.0584*1.02)*0.4184*1.0824</f>
        <v>2.6976927098879999E-2</v>
      </c>
      <c r="T488" s="174">
        <f t="shared" si="151"/>
        <v>0</v>
      </c>
      <c r="U488" s="358">
        <f t="shared" si="146"/>
        <v>0</v>
      </c>
      <c r="V488" s="358">
        <f t="shared" si="146"/>
        <v>0</v>
      </c>
      <c r="W488" s="358">
        <f t="shared" si="146"/>
        <v>0</v>
      </c>
      <c r="X488" s="358">
        <f t="shared" si="146"/>
        <v>0</v>
      </c>
      <c r="Y488" s="358">
        <f t="shared" si="146"/>
        <v>0</v>
      </c>
      <c r="Z488" s="358">
        <f t="shared" si="149"/>
        <v>0</v>
      </c>
      <c r="AA488" s="2733"/>
    </row>
    <row r="489" spans="1:27" ht="18.75" x14ac:dyDescent="0.25">
      <c r="A489" s="2738"/>
      <c r="B489" s="746">
        <v>2064</v>
      </c>
      <c r="C489" s="218">
        <f t="shared" si="152"/>
        <v>0</v>
      </c>
      <c r="D489" s="221">
        <f t="shared" si="147"/>
        <v>0</v>
      </c>
      <c r="E489" s="221">
        <f t="shared" si="148"/>
        <v>0</v>
      </c>
      <c r="F489" s="218">
        <f t="shared" si="153"/>
        <v>0</v>
      </c>
      <c r="G489" s="218">
        <f t="shared" si="154"/>
        <v>0</v>
      </c>
      <c r="H489" s="218">
        <f t="shared" si="155"/>
        <v>0</v>
      </c>
      <c r="I489" s="218">
        <f t="shared" si="156"/>
        <v>0</v>
      </c>
      <c r="J489" s="218">
        <f t="shared" si="157"/>
        <v>0</v>
      </c>
      <c r="K489" s="218">
        <f t="shared" si="158"/>
        <v>0</v>
      </c>
      <c r="L489" s="192">
        <f t="shared" si="150"/>
        <v>0</v>
      </c>
      <c r="M489" s="211">
        <v>97</v>
      </c>
      <c r="N489" s="211">
        <f>(29.53*1.02)*0.4102*1.0824</f>
        <v>13.373560857888002</v>
      </c>
      <c r="O489" s="211">
        <f>(42.96*1.02)*0.4102*1.0824</f>
        <v>19.455745833216003</v>
      </c>
      <c r="P489" s="211">
        <f>(16.43*1.02)*0.4102*1.0824</f>
        <v>7.4408264441280014</v>
      </c>
      <c r="Q489" s="211">
        <f>(12.76*1.02)*0.4102*1.0824</f>
        <v>5.7787550472960003</v>
      </c>
      <c r="R489" s="211">
        <f>(1.27*1.02)*0.4102*1.0824</f>
        <v>0.57515822179200005</v>
      </c>
      <c r="S489" s="211">
        <f>(0.0584*1.02)*0.4102*1.0824</f>
        <v>2.6448220592640001E-2</v>
      </c>
      <c r="T489" s="174">
        <f t="shared" si="151"/>
        <v>0</v>
      </c>
      <c r="U489" s="358">
        <f t="shared" si="146"/>
        <v>0</v>
      </c>
      <c r="V489" s="358">
        <f t="shared" si="146"/>
        <v>0</v>
      </c>
      <c r="W489" s="358">
        <f t="shared" si="146"/>
        <v>0</v>
      </c>
      <c r="X489" s="358">
        <f t="shared" si="146"/>
        <v>0</v>
      </c>
      <c r="Y489" s="358">
        <f t="shared" si="146"/>
        <v>0</v>
      </c>
      <c r="Z489" s="358">
        <f t="shared" si="149"/>
        <v>0</v>
      </c>
      <c r="AA489" s="2733"/>
    </row>
    <row r="490" spans="1:27" ht="18.75" x14ac:dyDescent="0.25">
      <c r="A490" s="2738"/>
      <c r="B490" s="746">
        <v>2065</v>
      </c>
      <c r="C490" s="218">
        <f t="shared" si="152"/>
        <v>0</v>
      </c>
      <c r="D490" s="221">
        <f t="shared" si="147"/>
        <v>0</v>
      </c>
      <c r="E490" s="221">
        <f t="shared" si="148"/>
        <v>0</v>
      </c>
      <c r="F490" s="218">
        <f t="shared" si="153"/>
        <v>0</v>
      </c>
      <c r="G490" s="218">
        <f t="shared" si="154"/>
        <v>0</v>
      </c>
      <c r="H490" s="218">
        <f t="shared" si="155"/>
        <v>0</v>
      </c>
      <c r="I490" s="218">
        <f t="shared" si="156"/>
        <v>0</v>
      </c>
      <c r="J490" s="218">
        <f t="shared" si="157"/>
        <v>0</v>
      </c>
      <c r="K490" s="218">
        <f t="shared" si="158"/>
        <v>0</v>
      </c>
      <c r="L490" s="192">
        <f t="shared" si="150"/>
        <v>0</v>
      </c>
      <c r="M490" s="211">
        <v>97</v>
      </c>
      <c r="N490" s="211">
        <f>(29.53*1.02)*0.4022*1.0824</f>
        <v>13.112740558368001</v>
      </c>
      <c r="O490" s="211">
        <f>(42.96*1.02)*0.4022*1.0824</f>
        <v>19.076306616576002</v>
      </c>
      <c r="P490" s="211">
        <f>(16.43*1.02)*0.4022*1.0824</f>
        <v>7.2957103750080003</v>
      </c>
      <c r="Q490" s="211">
        <f>(12.76*1.02)*0.4022*1.0824</f>
        <v>5.6660538274560004</v>
      </c>
      <c r="R490" s="211">
        <f>(1.27*1.02)*0.4022*1.0824</f>
        <v>0.56394109411200011</v>
      </c>
      <c r="S490" s="211">
        <f>(0.0584*1.02)*0.4022*1.0824</f>
        <v>2.5932409367040003E-2</v>
      </c>
      <c r="T490" s="174">
        <f t="shared" si="151"/>
        <v>0</v>
      </c>
      <c r="U490" s="358">
        <f t="shared" si="146"/>
        <v>0</v>
      </c>
      <c r="V490" s="358">
        <f t="shared" si="146"/>
        <v>0</v>
      </c>
      <c r="W490" s="358">
        <f t="shared" si="146"/>
        <v>0</v>
      </c>
      <c r="X490" s="358">
        <f t="shared" si="146"/>
        <v>0</v>
      </c>
      <c r="Y490" s="358">
        <f t="shared" si="146"/>
        <v>0</v>
      </c>
      <c r="Z490" s="358">
        <f t="shared" si="149"/>
        <v>0</v>
      </c>
      <c r="AA490" s="2733"/>
    </row>
    <row r="491" spans="1:27" ht="18.75" x14ac:dyDescent="0.25">
      <c r="A491" s="2738"/>
      <c r="B491" s="746">
        <v>2066</v>
      </c>
      <c r="C491" s="218">
        <f t="shared" si="152"/>
        <v>0</v>
      </c>
      <c r="D491" s="221">
        <f t="shared" si="147"/>
        <v>0</v>
      </c>
      <c r="E491" s="221">
        <f t="shared" si="148"/>
        <v>0</v>
      </c>
      <c r="F491" s="218">
        <f t="shared" si="153"/>
        <v>0</v>
      </c>
      <c r="G491" s="218">
        <f t="shared" si="154"/>
        <v>0</v>
      </c>
      <c r="H491" s="218">
        <f t="shared" si="155"/>
        <v>0</v>
      </c>
      <c r="I491" s="218">
        <f t="shared" si="156"/>
        <v>0</v>
      </c>
      <c r="J491" s="218">
        <f t="shared" si="157"/>
        <v>0</v>
      </c>
      <c r="K491" s="218">
        <f t="shared" si="158"/>
        <v>0</v>
      </c>
      <c r="L491" s="192">
        <f t="shared" si="150"/>
        <v>0</v>
      </c>
      <c r="M491" s="211">
        <v>97</v>
      </c>
      <c r="N491" s="211">
        <f>(29.53*1.02)*0.3943*1.0824</f>
        <v>12.855180512592</v>
      </c>
      <c r="O491" s="211">
        <f>(42.96*1.02)*0.3943*1.0824</f>
        <v>18.701610390143998</v>
      </c>
      <c r="P491" s="211">
        <f>(16.43*1.02)*0.3943*1.0824</f>
        <v>7.1524082567520004</v>
      </c>
      <c r="Q491" s="211">
        <f>(12.76*1.02)*0.3943*1.0824</f>
        <v>5.5547613728639993</v>
      </c>
      <c r="R491" s="211">
        <f>(1.27*1.02)*0.3943*1.0824</f>
        <v>0.55286418052800002</v>
      </c>
      <c r="S491" s="211">
        <f>(0.0584*1.02)*0.3943*1.0824</f>
        <v>2.5423045781760002E-2</v>
      </c>
      <c r="T491" s="174">
        <f t="shared" si="151"/>
        <v>0</v>
      </c>
      <c r="U491" s="358">
        <f t="shared" si="146"/>
        <v>0</v>
      </c>
      <c r="V491" s="358">
        <f t="shared" si="146"/>
        <v>0</v>
      </c>
      <c r="W491" s="358">
        <f t="shared" si="146"/>
        <v>0</v>
      </c>
      <c r="X491" s="358">
        <f t="shared" si="146"/>
        <v>0</v>
      </c>
      <c r="Y491" s="358">
        <f t="shared" si="146"/>
        <v>0</v>
      </c>
      <c r="Z491" s="358">
        <f t="shared" si="149"/>
        <v>0</v>
      </c>
      <c r="AA491" s="2733"/>
    </row>
    <row r="492" spans="1:27" ht="18.75" x14ac:dyDescent="0.25">
      <c r="A492" s="2738"/>
      <c r="B492" s="746">
        <v>2067</v>
      </c>
      <c r="C492" s="218">
        <f t="shared" si="152"/>
        <v>0</v>
      </c>
      <c r="D492" s="221">
        <f t="shared" si="147"/>
        <v>0</v>
      </c>
      <c r="E492" s="221">
        <f t="shared" si="148"/>
        <v>0</v>
      </c>
      <c r="F492" s="218">
        <f t="shared" si="153"/>
        <v>0</v>
      </c>
      <c r="G492" s="218">
        <f t="shared" si="154"/>
        <v>0</v>
      </c>
      <c r="H492" s="218">
        <f t="shared" si="155"/>
        <v>0</v>
      </c>
      <c r="I492" s="218">
        <f t="shared" si="156"/>
        <v>0</v>
      </c>
      <c r="J492" s="218">
        <f t="shared" si="157"/>
        <v>0</v>
      </c>
      <c r="K492" s="218">
        <f t="shared" si="158"/>
        <v>0</v>
      </c>
      <c r="L492" s="192">
        <f t="shared" si="150"/>
        <v>0</v>
      </c>
      <c r="M492" s="211">
        <v>97</v>
      </c>
      <c r="N492" s="211">
        <f>(29.53*1.02)*0.3865*1.0824</f>
        <v>12.600880720560001</v>
      </c>
      <c r="O492" s="211">
        <f>(42.96*1.02)*0.3865*1.0824</f>
        <v>18.331657153920002</v>
      </c>
      <c r="P492" s="211">
        <f>(16.43*1.02)*0.3865*1.0824</f>
        <v>7.0109200893600008</v>
      </c>
      <c r="Q492" s="211">
        <f>(12.76*1.02)*0.3865*1.0824</f>
        <v>5.4448776835200006</v>
      </c>
      <c r="R492" s="211">
        <f>(1.27*1.02)*0.3865*1.0824</f>
        <v>0.5419274810400001</v>
      </c>
      <c r="S492" s="211">
        <f>(0.0584*1.02)*0.3865*1.0824</f>
        <v>2.4920129836800003E-2</v>
      </c>
      <c r="T492" s="174">
        <f t="shared" si="151"/>
        <v>0</v>
      </c>
      <c r="U492" s="358">
        <f t="shared" si="146"/>
        <v>0</v>
      </c>
      <c r="V492" s="358">
        <f t="shared" si="146"/>
        <v>0</v>
      </c>
      <c r="W492" s="358">
        <f t="shared" si="146"/>
        <v>0</v>
      </c>
      <c r="X492" s="358">
        <f t="shared" si="146"/>
        <v>0</v>
      </c>
      <c r="Y492" s="358">
        <f t="shared" si="146"/>
        <v>0</v>
      </c>
      <c r="Z492" s="358">
        <f t="shared" si="149"/>
        <v>0</v>
      </c>
      <c r="AA492" s="2733"/>
    </row>
    <row r="493" spans="1:27" ht="18.75" x14ac:dyDescent="0.25">
      <c r="A493" s="2738"/>
      <c r="B493" s="746">
        <v>2068</v>
      </c>
      <c r="C493" s="218">
        <f t="shared" si="152"/>
        <v>0</v>
      </c>
      <c r="D493" s="221">
        <f t="shared" si="147"/>
        <v>0</v>
      </c>
      <c r="E493" s="221">
        <f t="shared" si="148"/>
        <v>0</v>
      </c>
      <c r="F493" s="218">
        <f t="shared" si="153"/>
        <v>0</v>
      </c>
      <c r="G493" s="218">
        <f t="shared" si="154"/>
        <v>0</v>
      </c>
      <c r="H493" s="218">
        <f t="shared" si="155"/>
        <v>0</v>
      </c>
      <c r="I493" s="218">
        <f t="shared" si="156"/>
        <v>0</v>
      </c>
      <c r="J493" s="218">
        <f t="shared" si="157"/>
        <v>0</v>
      </c>
      <c r="K493" s="218">
        <f t="shared" si="158"/>
        <v>0</v>
      </c>
      <c r="L493" s="192">
        <f t="shared" si="150"/>
        <v>0</v>
      </c>
      <c r="M493" s="211">
        <v>97</v>
      </c>
      <c r="N493" s="211">
        <f>(29.53*1.02)*0.379*1.0824</f>
        <v>12.356361689760002</v>
      </c>
      <c r="O493" s="211">
        <f>(42.96*1.02)*0.379*1.0824</f>
        <v>17.975932888320003</v>
      </c>
      <c r="P493" s="211">
        <f>(16.43*1.02)*0.379*1.0824</f>
        <v>6.8748737745600002</v>
      </c>
      <c r="Q493" s="211">
        <f>(12.76*1.02)*0.379*1.0824</f>
        <v>5.339220289920001</v>
      </c>
      <c r="R493" s="211">
        <f>(1.27*1.02)*0.379*1.0824</f>
        <v>0.53141142384000006</v>
      </c>
      <c r="S493" s="211">
        <f>(0.0584*1.02)*0.379*1.0824</f>
        <v>2.4436556812800003E-2</v>
      </c>
      <c r="T493" s="174">
        <f t="shared" si="151"/>
        <v>0</v>
      </c>
      <c r="U493" s="358">
        <f t="shared" si="146"/>
        <v>0</v>
      </c>
      <c r="V493" s="358">
        <f t="shared" si="146"/>
        <v>0</v>
      </c>
      <c r="W493" s="358">
        <f t="shared" si="146"/>
        <v>0</v>
      </c>
      <c r="X493" s="358">
        <f t="shared" si="146"/>
        <v>0</v>
      </c>
      <c r="Y493" s="358">
        <f t="shared" si="146"/>
        <v>0</v>
      </c>
      <c r="Z493" s="358">
        <f t="shared" si="149"/>
        <v>0</v>
      </c>
      <c r="AA493" s="2733"/>
    </row>
    <row r="494" spans="1:27" ht="19.5" thickBot="1" x14ac:dyDescent="0.3">
      <c r="A494" s="2738"/>
      <c r="B494" s="1866">
        <v>2069</v>
      </c>
      <c r="C494" s="327">
        <f t="shared" si="152"/>
        <v>0</v>
      </c>
      <c r="D494" s="648">
        <f t="shared" si="147"/>
        <v>0</v>
      </c>
      <c r="E494" s="648">
        <f t="shared" si="148"/>
        <v>0</v>
      </c>
      <c r="F494" s="327">
        <f t="shared" si="153"/>
        <v>0</v>
      </c>
      <c r="G494" s="327">
        <f t="shared" si="154"/>
        <v>0</v>
      </c>
      <c r="H494" s="327">
        <f t="shared" si="155"/>
        <v>0</v>
      </c>
      <c r="I494" s="327">
        <f t="shared" si="156"/>
        <v>0</v>
      </c>
      <c r="J494" s="327">
        <f t="shared" si="157"/>
        <v>0</v>
      </c>
      <c r="K494" s="327">
        <f t="shared" si="158"/>
        <v>0</v>
      </c>
      <c r="L494" s="219">
        <f t="shared" si="150"/>
        <v>0</v>
      </c>
      <c r="M494" s="416">
        <v>97</v>
      </c>
      <c r="N494" s="416">
        <f>(29.53*1.02)*0.3715*1.0824</f>
        <v>12.111842658960002</v>
      </c>
      <c r="O494" s="416">
        <f>(42.96*1.02)*0.3715*1.0824</f>
        <v>17.62020862272</v>
      </c>
      <c r="P494" s="416">
        <f>(16.43*1.02)*0.3715*1.0824</f>
        <v>6.7388274597600004</v>
      </c>
      <c r="Q494" s="416">
        <f>(12.76*1.02)*0.3715*1.0824</f>
        <v>5.2335628963200005</v>
      </c>
      <c r="R494" s="416">
        <f>(1.27*1.02)*0.3715*1.0824</f>
        <v>0.52089536664000002</v>
      </c>
      <c r="S494" s="416">
        <f>(0.0584*1.02)*0.3715*1.0824</f>
        <v>2.3952983788800002E-2</v>
      </c>
      <c r="T494" s="758">
        <f t="shared" si="151"/>
        <v>0</v>
      </c>
      <c r="U494" s="1847">
        <f t="shared" si="146"/>
        <v>0</v>
      </c>
      <c r="V494" s="1847">
        <f t="shared" si="146"/>
        <v>0</v>
      </c>
      <c r="W494" s="1847">
        <f t="shared" si="146"/>
        <v>0</v>
      </c>
      <c r="X494" s="1847">
        <f t="shared" si="146"/>
        <v>0</v>
      </c>
      <c r="Y494" s="1847">
        <f t="shared" si="146"/>
        <v>0</v>
      </c>
      <c r="Z494" s="1847">
        <f t="shared" si="149"/>
        <v>0</v>
      </c>
      <c r="AA494" s="2734"/>
    </row>
    <row r="495" spans="1:27" ht="18.75" x14ac:dyDescent="0.25">
      <c r="A495" s="2737" t="s">
        <v>1097</v>
      </c>
      <c r="B495" s="1862">
        <v>2019</v>
      </c>
      <c r="C495" s="216">
        <f t="shared" ref="C495:C526" si="159">$S$19</f>
        <v>0</v>
      </c>
      <c r="D495" s="216">
        <f>$R$19*28</f>
        <v>0</v>
      </c>
      <c r="E495" s="216">
        <f>$T$19*298</f>
        <v>0</v>
      </c>
      <c r="F495" s="216">
        <f t="shared" ref="F495:F526" si="160">$O$19</f>
        <v>0</v>
      </c>
      <c r="G495" s="216">
        <f t="shared" ref="G495:G526" si="161">$P$19</f>
        <v>0</v>
      </c>
      <c r="H495" s="216">
        <f t="shared" ref="H495:H526" si="162">$N$19</f>
        <v>0</v>
      </c>
      <c r="I495" s="216">
        <f t="shared" ref="I495:I526" si="163">$Q$19</f>
        <v>0</v>
      </c>
      <c r="J495" s="216">
        <f t="shared" ref="J495:J526" si="164">$L$19</f>
        <v>0</v>
      </c>
      <c r="K495" s="216">
        <f t="shared" ref="K495:K526" si="165">$M$19</f>
        <v>0</v>
      </c>
      <c r="L495" s="217">
        <f t="shared" si="150"/>
        <v>0</v>
      </c>
      <c r="M495" s="643">
        <v>62</v>
      </c>
      <c r="N495" s="643">
        <f>29.53*1.02*1.0824</f>
        <v>32.602537440000006</v>
      </c>
      <c r="O495" s="643">
        <f>42.96*1.02*1.0824</f>
        <v>47.429902080000005</v>
      </c>
      <c r="P495" s="643">
        <f>16.43*1.02*1.0824</f>
        <v>18.139508640000003</v>
      </c>
      <c r="Q495" s="643">
        <f>12.76*1.02*1.0824</f>
        <v>14.087652480000001</v>
      </c>
      <c r="R495" s="643">
        <f>1.27*1.02*1.0824</f>
        <v>1.4021409600000001</v>
      </c>
      <c r="S495" s="643">
        <f>0.0584*1.02*1.0824</f>
        <v>6.4476403200000004E-2</v>
      </c>
      <c r="T495" s="645">
        <f t="shared" si="151"/>
        <v>0</v>
      </c>
      <c r="U495" s="644">
        <f t="shared" ref="U495:U545" si="166">F495*N495</f>
        <v>0</v>
      </c>
      <c r="V495" s="644">
        <f t="shared" ref="V495:V545" si="167">G495*O495</f>
        <v>0</v>
      </c>
      <c r="W495" s="644">
        <f t="shared" ref="W495:W545" si="168">H495*P495</f>
        <v>0</v>
      </c>
      <c r="X495" s="644">
        <f t="shared" ref="X495:X545" si="169">I495*Q495</f>
        <v>0</v>
      </c>
      <c r="Y495" s="644">
        <f>J495*R495</f>
        <v>0</v>
      </c>
      <c r="Z495" s="644">
        <f t="shared" si="149"/>
        <v>0</v>
      </c>
      <c r="AA495" s="2732">
        <f>(SUM(T495:T545)*1.2682)+(SUM(U495:U545))+(SUM(V495:V545))+(SUM(W495:W545))+(SUM(X495:X545))+(SUM(Y495:Y545))+(SUM(Z495:Z545))</f>
        <v>0</v>
      </c>
    </row>
    <row r="496" spans="1:27" ht="18.75" x14ac:dyDescent="0.25">
      <c r="A496" s="2738"/>
      <c r="B496" s="1863">
        <v>2020</v>
      </c>
      <c r="C496" s="218">
        <f t="shared" si="159"/>
        <v>0</v>
      </c>
      <c r="D496" s="218">
        <f t="shared" ref="D496:D545" si="170">$R$19*28</f>
        <v>0</v>
      </c>
      <c r="E496" s="218">
        <f t="shared" ref="E496:E545" si="171">$T$19*298</f>
        <v>0</v>
      </c>
      <c r="F496" s="218">
        <f t="shared" si="160"/>
        <v>0</v>
      </c>
      <c r="G496" s="218">
        <f t="shared" si="161"/>
        <v>0</v>
      </c>
      <c r="H496" s="218">
        <f t="shared" si="162"/>
        <v>0</v>
      </c>
      <c r="I496" s="218">
        <f t="shared" si="163"/>
        <v>0</v>
      </c>
      <c r="J496" s="218">
        <f t="shared" si="164"/>
        <v>0</v>
      </c>
      <c r="K496" s="218">
        <f t="shared" si="165"/>
        <v>0</v>
      </c>
      <c r="L496" s="192">
        <f t="shared" si="150"/>
        <v>0</v>
      </c>
      <c r="M496" s="211">
        <v>64</v>
      </c>
      <c r="N496" s="211">
        <f>(29.53*1.02)*0.9804*1.0824</f>
        <v>31.963527706176006</v>
      </c>
      <c r="O496" s="211">
        <f>(42.96*1.02)*0.9804*1.0824</f>
        <v>46.500275999232002</v>
      </c>
      <c r="P496" s="211">
        <f>(16.43*1.02)*0.9804*1.0824</f>
        <v>17.783974270656003</v>
      </c>
      <c r="Q496" s="211">
        <f>(12.76*1.02)*0.9804*1.0824</f>
        <v>13.811534491392001</v>
      </c>
      <c r="R496" s="211">
        <f>(1.27*1.02)*0.9804*1.0824</f>
        <v>1.3746589971840002</v>
      </c>
      <c r="S496" s="211">
        <f>(0.0584*1.02)*0.9804*1.0824</f>
        <v>6.3212665697280013E-2</v>
      </c>
      <c r="T496" s="174">
        <f t="shared" si="151"/>
        <v>0</v>
      </c>
      <c r="U496" s="1850">
        <f t="shared" si="166"/>
        <v>0</v>
      </c>
      <c r="V496" s="1850">
        <f t="shared" si="167"/>
        <v>0</v>
      </c>
      <c r="W496" s="1850">
        <f t="shared" si="168"/>
        <v>0</v>
      </c>
      <c r="X496" s="1850">
        <f t="shared" si="169"/>
        <v>0</v>
      </c>
      <c r="Y496" s="1850">
        <f t="shared" ref="Y496:Y545" si="172">J496*R496</f>
        <v>0</v>
      </c>
      <c r="Z496" s="1850">
        <f t="shared" si="149"/>
        <v>0</v>
      </c>
      <c r="AA496" s="2733"/>
    </row>
    <row r="497" spans="1:27" ht="18.75" x14ac:dyDescent="0.25">
      <c r="A497" s="2738"/>
      <c r="B497" s="1863">
        <v>2021</v>
      </c>
      <c r="C497" s="218">
        <f t="shared" si="159"/>
        <v>0</v>
      </c>
      <c r="D497" s="218">
        <f t="shared" si="170"/>
        <v>0</v>
      </c>
      <c r="E497" s="218">
        <f t="shared" si="171"/>
        <v>0</v>
      </c>
      <c r="F497" s="218">
        <f t="shared" si="160"/>
        <v>0</v>
      </c>
      <c r="G497" s="218">
        <f t="shared" si="161"/>
        <v>0</v>
      </c>
      <c r="H497" s="218">
        <f t="shared" si="162"/>
        <v>0</v>
      </c>
      <c r="I497" s="218">
        <f t="shared" si="163"/>
        <v>0</v>
      </c>
      <c r="J497" s="218">
        <f t="shared" si="164"/>
        <v>0</v>
      </c>
      <c r="K497" s="218">
        <f t="shared" si="165"/>
        <v>0</v>
      </c>
      <c r="L497" s="192">
        <f t="shared" si="150"/>
        <v>0</v>
      </c>
      <c r="M497" s="211">
        <v>65</v>
      </c>
      <c r="N497" s="211">
        <f>(29.53*1.02)*0.9612*1.0824</f>
        <v>31.337558987328006</v>
      </c>
      <c r="O497" s="211">
        <f>(42.96*1.02)*0.9612*1.0824</f>
        <v>45.589621879296011</v>
      </c>
      <c r="P497" s="211">
        <f>(16.43*1.02)*0.9612*1.0824</f>
        <v>17.435695704768001</v>
      </c>
      <c r="Q497" s="211">
        <f>(12.76*1.02)*0.9612*1.0824</f>
        <v>13.541051563776001</v>
      </c>
      <c r="R497" s="211">
        <f>(1.27*1.02)*0.9612*1.0824</f>
        <v>1.3477378907520003</v>
      </c>
      <c r="S497" s="211">
        <f>(0.0584*1.02)*0.9612*1.0824</f>
        <v>6.1974718755840007E-2</v>
      </c>
      <c r="T497" s="174">
        <f t="shared" si="151"/>
        <v>0</v>
      </c>
      <c r="U497" s="1850">
        <f t="shared" si="166"/>
        <v>0</v>
      </c>
      <c r="V497" s="1850">
        <f t="shared" si="167"/>
        <v>0</v>
      </c>
      <c r="W497" s="1850">
        <f t="shared" si="168"/>
        <v>0</v>
      </c>
      <c r="X497" s="1850">
        <f t="shared" si="169"/>
        <v>0</v>
      </c>
      <c r="Y497" s="1850">
        <f t="shared" si="172"/>
        <v>0</v>
      </c>
      <c r="Z497" s="1850">
        <f t="shared" si="149"/>
        <v>0</v>
      </c>
      <c r="AA497" s="2733"/>
    </row>
    <row r="498" spans="1:27" ht="18.75" x14ac:dyDescent="0.25">
      <c r="A498" s="2738"/>
      <c r="B498" s="1863">
        <v>2022</v>
      </c>
      <c r="C498" s="218">
        <f t="shared" si="159"/>
        <v>0</v>
      </c>
      <c r="D498" s="218">
        <f t="shared" si="170"/>
        <v>0</v>
      </c>
      <c r="E498" s="218">
        <f t="shared" si="171"/>
        <v>0</v>
      </c>
      <c r="F498" s="218">
        <f t="shared" si="160"/>
        <v>0</v>
      </c>
      <c r="G498" s="218">
        <f t="shared" si="161"/>
        <v>0</v>
      </c>
      <c r="H498" s="218">
        <f t="shared" si="162"/>
        <v>0</v>
      </c>
      <c r="I498" s="218">
        <f t="shared" si="163"/>
        <v>0</v>
      </c>
      <c r="J498" s="218">
        <f t="shared" si="164"/>
        <v>0</v>
      </c>
      <c r="K498" s="218">
        <f t="shared" si="165"/>
        <v>0</v>
      </c>
      <c r="L498" s="192">
        <f t="shared" si="150"/>
        <v>0</v>
      </c>
      <c r="M498" s="211">
        <v>66</v>
      </c>
      <c r="N498" s="211">
        <f>(29.53*1.02)*0.9423*1.0824</f>
        <v>30.721371029712003</v>
      </c>
      <c r="O498" s="211">
        <f>(42.96*1.02)*0.9423*1.0824</f>
        <v>44.693196729984003</v>
      </c>
      <c r="P498" s="211">
        <f>(16.43*1.02)*0.9423*1.0824</f>
        <v>17.092858991472003</v>
      </c>
      <c r="Q498" s="211">
        <f>(12.76*1.02)*0.9423*1.0824</f>
        <v>13.274794931903999</v>
      </c>
      <c r="R498" s="211">
        <f>(1.27*1.02)*0.9423*1.0824</f>
        <v>1.3212374266080003</v>
      </c>
      <c r="S498" s="211">
        <f>(0.0584*1.02)*0.9423*1.0824</f>
        <v>6.0756114735360002E-2</v>
      </c>
      <c r="T498" s="174">
        <f t="shared" si="151"/>
        <v>0</v>
      </c>
      <c r="U498" s="1850">
        <f t="shared" si="166"/>
        <v>0</v>
      </c>
      <c r="V498" s="1850">
        <f t="shared" si="167"/>
        <v>0</v>
      </c>
      <c r="W498" s="1850">
        <f t="shared" si="168"/>
        <v>0</v>
      </c>
      <c r="X498" s="1850">
        <f t="shared" si="169"/>
        <v>0</v>
      </c>
      <c r="Y498" s="1850">
        <f t="shared" si="172"/>
        <v>0</v>
      </c>
      <c r="Z498" s="1850">
        <f t="shared" si="149"/>
        <v>0</v>
      </c>
      <c r="AA498" s="2733"/>
    </row>
    <row r="499" spans="1:27" ht="18.75" x14ac:dyDescent="0.25">
      <c r="A499" s="2738"/>
      <c r="B499" s="1863">
        <v>2023</v>
      </c>
      <c r="C499" s="218">
        <f t="shared" si="159"/>
        <v>0</v>
      </c>
      <c r="D499" s="218">
        <f t="shared" si="170"/>
        <v>0</v>
      </c>
      <c r="E499" s="218">
        <f t="shared" si="171"/>
        <v>0</v>
      </c>
      <c r="F499" s="218">
        <f t="shared" si="160"/>
        <v>0</v>
      </c>
      <c r="G499" s="218">
        <f t="shared" si="161"/>
        <v>0</v>
      </c>
      <c r="H499" s="218">
        <f t="shared" si="162"/>
        <v>0</v>
      </c>
      <c r="I499" s="218">
        <f t="shared" si="163"/>
        <v>0</v>
      </c>
      <c r="J499" s="218">
        <f t="shared" si="164"/>
        <v>0</v>
      </c>
      <c r="K499" s="218">
        <f t="shared" si="165"/>
        <v>0</v>
      </c>
      <c r="L499" s="192">
        <f t="shared" si="150"/>
        <v>0</v>
      </c>
      <c r="M499" s="211">
        <v>67</v>
      </c>
      <c r="N499" s="211">
        <f>(29.53*1.02)*0.9238*1.0824</f>
        <v>30.118224087072001</v>
      </c>
      <c r="O499" s="211">
        <f>(42.96*1.02)*0.9238*1.0824</f>
        <v>43.815743541504006</v>
      </c>
      <c r="P499" s="211">
        <f>(16.43*1.02)*0.9238*1.0824</f>
        <v>16.757278081632002</v>
      </c>
      <c r="Q499" s="211">
        <f>(12.76*1.02)*0.9238*1.0824</f>
        <v>13.014173361024</v>
      </c>
      <c r="R499" s="211">
        <f>(1.27*1.02)*0.9238*1.0824</f>
        <v>1.295297818848</v>
      </c>
      <c r="S499" s="211">
        <f>(0.0584*1.02)*0.9238*1.0824</f>
        <v>5.9563301276160004E-2</v>
      </c>
      <c r="T499" s="174">
        <f t="shared" si="151"/>
        <v>0</v>
      </c>
      <c r="U499" s="1850">
        <f t="shared" si="166"/>
        <v>0</v>
      </c>
      <c r="V499" s="1850">
        <f t="shared" si="167"/>
        <v>0</v>
      </c>
      <c r="W499" s="1850">
        <f t="shared" si="168"/>
        <v>0</v>
      </c>
      <c r="X499" s="1850">
        <f t="shared" si="169"/>
        <v>0</v>
      </c>
      <c r="Y499" s="1850">
        <f t="shared" si="172"/>
        <v>0</v>
      </c>
      <c r="Z499" s="1850">
        <f t="shared" si="149"/>
        <v>0</v>
      </c>
      <c r="AA499" s="2733"/>
    </row>
    <row r="500" spans="1:27" ht="18.75" x14ac:dyDescent="0.25">
      <c r="A500" s="2738"/>
      <c r="B500" s="1863">
        <v>2024</v>
      </c>
      <c r="C500" s="218">
        <f t="shared" si="159"/>
        <v>0</v>
      </c>
      <c r="D500" s="218">
        <f t="shared" si="170"/>
        <v>0</v>
      </c>
      <c r="E500" s="218">
        <f t="shared" si="171"/>
        <v>0</v>
      </c>
      <c r="F500" s="218">
        <f t="shared" si="160"/>
        <v>0</v>
      </c>
      <c r="G500" s="218">
        <f t="shared" si="161"/>
        <v>0</v>
      </c>
      <c r="H500" s="218">
        <f t="shared" si="162"/>
        <v>0</v>
      </c>
      <c r="I500" s="218">
        <f t="shared" si="163"/>
        <v>0</v>
      </c>
      <c r="J500" s="218">
        <f t="shared" si="164"/>
        <v>0</v>
      </c>
      <c r="K500" s="218">
        <f t="shared" si="165"/>
        <v>0</v>
      </c>
      <c r="L500" s="192">
        <f t="shared" si="150"/>
        <v>0</v>
      </c>
      <c r="M500" s="211">
        <v>68</v>
      </c>
      <c r="N500" s="211">
        <f>(29.53*1.02)*0.9057*1.0824</f>
        <v>29.528118159408002</v>
      </c>
      <c r="O500" s="211">
        <f>(42.96*1.02)*0.9057*1.0824</f>
        <v>42.957262313856006</v>
      </c>
      <c r="P500" s="211">
        <f>(16.43*1.02)*0.9057*1.0824</f>
        <v>16.428952975248002</v>
      </c>
      <c r="Q500" s="211">
        <f>(12.76*1.02)*0.9057*1.0824</f>
        <v>12.759186851135999</v>
      </c>
      <c r="R500" s="211">
        <f>(1.27*1.02)*0.9057*1.0824</f>
        <v>1.269919067472</v>
      </c>
      <c r="S500" s="211">
        <f>(0.0584*1.02)*0.9057*1.0824</f>
        <v>5.8396278378240005E-2</v>
      </c>
      <c r="T500" s="174">
        <f t="shared" si="151"/>
        <v>0</v>
      </c>
      <c r="U500" s="1850">
        <f t="shared" si="166"/>
        <v>0</v>
      </c>
      <c r="V500" s="1850">
        <f t="shared" si="167"/>
        <v>0</v>
      </c>
      <c r="W500" s="1850">
        <f t="shared" si="168"/>
        <v>0</v>
      </c>
      <c r="X500" s="1850">
        <f t="shared" si="169"/>
        <v>0</v>
      </c>
      <c r="Y500" s="1850">
        <f t="shared" si="172"/>
        <v>0</v>
      </c>
      <c r="Z500" s="1850">
        <f t="shared" si="149"/>
        <v>0</v>
      </c>
      <c r="AA500" s="2733"/>
    </row>
    <row r="501" spans="1:27" ht="18.75" x14ac:dyDescent="0.25">
      <c r="A501" s="2738"/>
      <c r="B501" s="1863">
        <v>2025</v>
      </c>
      <c r="C501" s="218">
        <f t="shared" si="159"/>
        <v>0</v>
      </c>
      <c r="D501" s="218">
        <f t="shared" si="170"/>
        <v>0</v>
      </c>
      <c r="E501" s="218">
        <f t="shared" si="171"/>
        <v>0</v>
      </c>
      <c r="F501" s="218">
        <f t="shared" si="160"/>
        <v>0</v>
      </c>
      <c r="G501" s="218">
        <f t="shared" si="161"/>
        <v>0</v>
      </c>
      <c r="H501" s="218">
        <f t="shared" si="162"/>
        <v>0</v>
      </c>
      <c r="I501" s="218">
        <f t="shared" si="163"/>
        <v>0</v>
      </c>
      <c r="J501" s="218">
        <f t="shared" si="164"/>
        <v>0</v>
      </c>
      <c r="K501" s="218">
        <f t="shared" si="165"/>
        <v>0</v>
      </c>
      <c r="L501" s="192">
        <f t="shared" si="150"/>
        <v>0</v>
      </c>
      <c r="M501" s="211">
        <v>69</v>
      </c>
      <c r="N501" s="211">
        <f>(29.53*1.02)*0.888*1.0824</f>
        <v>28.951053246720004</v>
      </c>
      <c r="O501" s="211">
        <f>(42.96*1.02)*0.888*1.0824</f>
        <v>42.117753047040004</v>
      </c>
      <c r="P501" s="211">
        <f>(16.43*1.02)*0.888*1.0824</f>
        <v>16.10788367232</v>
      </c>
      <c r="Q501" s="211">
        <f>(12.76*1.02)*0.888*1.0824</f>
        <v>12.50983540224</v>
      </c>
      <c r="R501" s="211">
        <f>(1.27*1.02)*0.888*1.0824</f>
        <v>1.2451011724800001</v>
      </c>
      <c r="S501" s="211">
        <f>(0.0584*1.02)*0.888*1.0824</f>
        <v>5.7255046041600005E-2</v>
      </c>
      <c r="T501" s="174">
        <f t="shared" si="151"/>
        <v>0</v>
      </c>
      <c r="U501" s="1850">
        <f t="shared" si="166"/>
        <v>0</v>
      </c>
      <c r="V501" s="1850">
        <f t="shared" si="167"/>
        <v>0</v>
      </c>
      <c r="W501" s="1850">
        <f t="shared" si="168"/>
        <v>0</v>
      </c>
      <c r="X501" s="1850">
        <f t="shared" si="169"/>
        <v>0</v>
      </c>
      <c r="Y501" s="1850">
        <f t="shared" si="172"/>
        <v>0</v>
      </c>
      <c r="Z501" s="1850">
        <f t="shared" si="149"/>
        <v>0</v>
      </c>
      <c r="AA501" s="2733"/>
    </row>
    <row r="502" spans="1:27" ht="18.75" x14ac:dyDescent="0.25">
      <c r="A502" s="2738"/>
      <c r="B502" s="1863">
        <v>2026</v>
      </c>
      <c r="C502" s="218">
        <f t="shared" si="159"/>
        <v>0</v>
      </c>
      <c r="D502" s="218">
        <f t="shared" si="170"/>
        <v>0</v>
      </c>
      <c r="E502" s="218">
        <f t="shared" si="171"/>
        <v>0</v>
      </c>
      <c r="F502" s="218">
        <f t="shared" si="160"/>
        <v>0</v>
      </c>
      <c r="G502" s="218">
        <f t="shared" si="161"/>
        <v>0</v>
      </c>
      <c r="H502" s="218">
        <f t="shared" si="162"/>
        <v>0</v>
      </c>
      <c r="I502" s="218">
        <f t="shared" si="163"/>
        <v>0</v>
      </c>
      <c r="J502" s="218">
        <f t="shared" si="164"/>
        <v>0</v>
      </c>
      <c r="K502" s="218">
        <f t="shared" si="165"/>
        <v>0</v>
      </c>
      <c r="L502" s="192">
        <f t="shared" si="150"/>
        <v>0</v>
      </c>
      <c r="M502" s="211">
        <v>70</v>
      </c>
      <c r="N502" s="211">
        <f>(29.53*1.02)*0.8706*1.0824</f>
        <v>28.383769095264007</v>
      </c>
      <c r="O502" s="211">
        <f>(42.96*1.02)*0.8706*1.0824</f>
        <v>41.292472750848006</v>
      </c>
      <c r="P502" s="211">
        <f>(16.43*1.02)*0.8706*1.0824</f>
        <v>15.792256221984003</v>
      </c>
      <c r="Q502" s="211">
        <f>(12.76*1.02)*0.8706*1.0824</f>
        <v>12.264710249088001</v>
      </c>
      <c r="R502" s="211">
        <f>(1.27*1.02)*0.8706*1.0824</f>
        <v>1.2207039197760001</v>
      </c>
      <c r="S502" s="211">
        <f>(0.0584*1.02)*0.8706*1.0824</f>
        <v>5.6133156625920007E-2</v>
      </c>
      <c r="T502" s="174">
        <f t="shared" si="151"/>
        <v>0</v>
      </c>
      <c r="U502" s="1850">
        <f t="shared" si="166"/>
        <v>0</v>
      </c>
      <c r="V502" s="1850">
        <f t="shared" si="167"/>
        <v>0</v>
      </c>
      <c r="W502" s="1850">
        <f t="shared" si="168"/>
        <v>0</v>
      </c>
      <c r="X502" s="1850">
        <f t="shared" si="169"/>
        <v>0</v>
      </c>
      <c r="Y502" s="1850">
        <f t="shared" si="172"/>
        <v>0</v>
      </c>
      <c r="Z502" s="1850">
        <f t="shared" si="149"/>
        <v>0</v>
      </c>
      <c r="AA502" s="2733"/>
    </row>
    <row r="503" spans="1:27" ht="18.75" x14ac:dyDescent="0.25">
      <c r="A503" s="2738"/>
      <c r="B503" s="1863">
        <v>2027</v>
      </c>
      <c r="C503" s="218">
        <f t="shared" si="159"/>
        <v>0</v>
      </c>
      <c r="D503" s="218">
        <f t="shared" si="170"/>
        <v>0</v>
      </c>
      <c r="E503" s="218">
        <f t="shared" si="171"/>
        <v>0</v>
      </c>
      <c r="F503" s="218">
        <f t="shared" si="160"/>
        <v>0</v>
      </c>
      <c r="G503" s="218">
        <f t="shared" si="161"/>
        <v>0</v>
      </c>
      <c r="H503" s="218">
        <f t="shared" si="162"/>
        <v>0</v>
      </c>
      <c r="I503" s="218">
        <f t="shared" si="163"/>
        <v>0</v>
      </c>
      <c r="J503" s="218">
        <f t="shared" si="164"/>
        <v>0</v>
      </c>
      <c r="K503" s="218">
        <f t="shared" si="165"/>
        <v>0</v>
      </c>
      <c r="L503" s="192">
        <f t="shared" si="150"/>
        <v>0</v>
      </c>
      <c r="M503" s="211">
        <v>71</v>
      </c>
      <c r="N503" s="211">
        <f>(29.53*1.02)*0.8535*1.0824</f>
        <v>27.826265705040004</v>
      </c>
      <c r="O503" s="211">
        <f>(42.96*1.02)*0.8535*1.0824</f>
        <v>40.481421425280004</v>
      </c>
      <c r="P503" s="211">
        <f>(16.43*1.02)*0.8535*1.0824</f>
        <v>15.482070624240002</v>
      </c>
      <c r="Q503" s="211">
        <f>(12.76*1.02)*0.8535*1.0824</f>
        <v>12.023811391680001</v>
      </c>
      <c r="R503" s="211">
        <f>(1.27*1.02)*0.8535*1.0824</f>
        <v>1.1967273093600002</v>
      </c>
      <c r="S503" s="211">
        <f>(0.0584*1.02)*0.8535*1.0824</f>
        <v>5.503061013120001E-2</v>
      </c>
      <c r="T503" s="174">
        <f t="shared" si="151"/>
        <v>0</v>
      </c>
      <c r="U503" s="1850">
        <f t="shared" si="166"/>
        <v>0</v>
      </c>
      <c r="V503" s="1850">
        <f t="shared" si="167"/>
        <v>0</v>
      </c>
      <c r="W503" s="1850">
        <f t="shared" si="168"/>
        <v>0</v>
      </c>
      <c r="X503" s="1850">
        <f t="shared" si="169"/>
        <v>0</v>
      </c>
      <c r="Y503" s="1850">
        <f t="shared" si="172"/>
        <v>0</v>
      </c>
      <c r="Z503" s="1850">
        <f t="shared" si="149"/>
        <v>0</v>
      </c>
      <c r="AA503" s="2733"/>
    </row>
    <row r="504" spans="1:27" ht="18.75" x14ac:dyDescent="0.25">
      <c r="A504" s="2738"/>
      <c r="B504" s="1863">
        <v>2028</v>
      </c>
      <c r="C504" s="218">
        <f t="shared" si="159"/>
        <v>0</v>
      </c>
      <c r="D504" s="218">
        <f t="shared" si="170"/>
        <v>0</v>
      </c>
      <c r="E504" s="218">
        <f t="shared" si="171"/>
        <v>0</v>
      </c>
      <c r="F504" s="218">
        <f t="shared" si="160"/>
        <v>0</v>
      </c>
      <c r="G504" s="218">
        <f t="shared" si="161"/>
        <v>0</v>
      </c>
      <c r="H504" s="218">
        <f t="shared" si="162"/>
        <v>0</v>
      </c>
      <c r="I504" s="218">
        <f t="shared" si="163"/>
        <v>0</v>
      </c>
      <c r="J504" s="218">
        <f t="shared" si="164"/>
        <v>0</v>
      </c>
      <c r="K504" s="218">
        <f t="shared" si="165"/>
        <v>0</v>
      </c>
      <c r="L504" s="192">
        <f t="shared" si="150"/>
        <v>0</v>
      </c>
      <c r="M504" s="211">
        <v>72</v>
      </c>
      <c r="N504" s="211">
        <f>(29.53*1.02)*0.8368*1.0824</f>
        <v>27.281803329792002</v>
      </c>
      <c r="O504" s="211">
        <f>(42.96*1.02)*0.8368*1.0824</f>
        <v>39.689342060544</v>
      </c>
      <c r="P504" s="211">
        <f>(16.43*1.02)*0.8368*1.0824</f>
        <v>15.179140829952001</v>
      </c>
      <c r="Q504" s="211">
        <f>(12.76*1.02)*0.8368*1.0824</f>
        <v>11.788547595263999</v>
      </c>
      <c r="R504" s="211">
        <f>(1.27*1.02)*0.8368*1.0824</f>
        <v>1.173311555328</v>
      </c>
      <c r="S504" s="211">
        <f>(0.0584*1.02)*0.8368*1.0824</f>
        <v>5.3953854197759998E-2</v>
      </c>
      <c r="T504" s="174">
        <f t="shared" si="151"/>
        <v>0</v>
      </c>
      <c r="U504" s="1850">
        <f t="shared" si="166"/>
        <v>0</v>
      </c>
      <c r="V504" s="1850">
        <f t="shared" si="167"/>
        <v>0</v>
      </c>
      <c r="W504" s="1850">
        <f t="shared" si="168"/>
        <v>0</v>
      </c>
      <c r="X504" s="1850">
        <f t="shared" si="169"/>
        <v>0</v>
      </c>
      <c r="Y504" s="1850">
        <f t="shared" si="172"/>
        <v>0</v>
      </c>
      <c r="Z504" s="1850">
        <f t="shared" si="149"/>
        <v>0</v>
      </c>
      <c r="AA504" s="2733"/>
    </row>
    <row r="505" spans="1:27" ht="18.75" x14ac:dyDescent="0.25">
      <c r="A505" s="2738"/>
      <c r="B505" s="1863">
        <v>2029</v>
      </c>
      <c r="C505" s="218">
        <f t="shared" si="159"/>
        <v>0</v>
      </c>
      <c r="D505" s="218">
        <f t="shared" si="170"/>
        <v>0</v>
      </c>
      <c r="E505" s="218">
        <f t="shared" si="171"/>
        <v>0</v>
      </c>
      <c r="F505" s="218">
        <f t="shared" si="160"/>
        <v>0</v>
      </c>
      <c r="G505" s="218">
        <f t="shared" si="161"/>
        <v>0</v>
      </c>
      <c r="H505" s="218">
        <f t="shared" si="162"/>
        <v>0</v>
      </c>
      <c r="I505" s="218">
        <f t="shared" si="163"/>
        <v>0</v>
      </c>
      <c r="J505" s="218">
        <f t="shared" si="164"/>
        <v>0</v>
      </c>
      <c r="K505" s="218">
        <f t="shared" si="165"/>
        <v>0</v>
      </c>
      <c r="L505" s="192">
        <f t="shared" si="150"/>
        <v>0</v>
      </c>
      <c r="M505" s="211">
        <v>73</v>
      </c>
      <c r="N505" s="211">
        <f>(29.53*1.02)*0.8203*1.0824</f>
        <v>26.743861462032005</v>
      </c>
      <c r="O505" s="211">
        <f>(42.96*1.02)*0.8203*1.0824</f>
        <v>38.906748676224005</v>
      </c>
      <c r="P505" s="211">
        <f>(16.43*1.02)*0.8203*1.0824</f>
        <v>14.879838937392002</v>
      </c>
      <c r="Q505" s="211">
        <f>(12.76*1.02)*0.8203*1.0824</f>
        <v>11.556101329344001</v>
      </c>
      <c r="R505" s="211">
        <f>(1.27*1.02)*0.8203*1.0824</f>
        <v>1.1501762294880002</v>
      </c>
      <c r="S505" s="211">
        <f>(0.0584*1.02)*0.8203*1.0824</f>
        <v>5.2889993544960004E-2</v>
      </c>
      <c r="T505" s="174">
        <f t="shared" si="151"/>
        <v>0</v>
      </c>
      <c r="U505" s="1850">
        <f t="shared" si="166"/>
        <v>0</v>
      </c>
      <c r="V505" s="1850">
        <f t="shared" si="167"/>
        <v>0</v>
      </c>
      <c r="W505" s="1850">
        <f t="shared" si="168"/>
        <v>0</v>
      </c>
      <c r="X505" s="1850">
        <f t="shared" si="169"/>
        <v>0</v>
      </c>
      <c r="Y505" s="1850">
        <f t="shared" si="172"/>
        <v>0</v>
      </c>
      <c r="Z505" s="1850">
        <f t="shared" si="149"/>
        <v>0</v>
      </c>
      <c r="AA505" s="2733"/>
    </row>
    <row r="506" spans="1:27" ht="18.75" x14ac:dyDescent="0.25">
      <c r="A506" s="2738"/>
      <c r="B506" s="1863">
        <v>2030</v>
      </c>
      <c r="C506" s="218">
        <f t="shared" si="159"/>
        <v>0</v>
      </c>
      <c r="D506" s="218">
        <f t="shared" si="170"/>
        <v>0</v>
      </c>
      <c r="E506" s="218">
        <f t="shared" si="171"/>
        <v>0</v>
      </c>
      <c r="F506" s="218">
        <f t="shared" si="160"/>
        <v>0</v>
      </c>
      <c r="G506" s="218">
        <f t="shared" si="161"/>
        <v>0</v>
      </c>
      <c r="H506" s="218">
        <f t="shared" si="162"/>
        <v>0</v>
      </c>
      <c r="I506" s="218">
        <f t="shared" si="163"/>
        <v>0</v>
      </c>
      <c r="J506" s="218">
        <f t="shared" si="164"/>
        <v>0</v>
      </c>
      <c r="K506" s="218">
        <f t="shared" si="165"/>
        <v>0</v>
      </c>
      <c r="L506" s="192">
        <f t="shared" si="150"/>
        <v>0</v>
      </c>
      <c r="M506" s="211">
        <v>75</v>
      </c>
      <c r="N506" s="211">
        <f>(29.53*1.02)*0.8043*1.0824</f>
        <v>26.222220862992003</v>
      </c>
      <c r="O506" s="211">
        <f>(42.96*1.02)*0.8043*1.0824</f>
        <v>38.147870242944002</v>
      </c>
      <c r="P506" s="211">
        <f>(16.43*1.02)*0.8043*1.0824</f>
        <v>14.589606799152003</v>
      </c>
      <c r="Q506" s="211">
        <f>(12.76*1.02)*0.8043*1.0824</f>
        <v>11.330698889664001</v>
      </c>
      <c r="R506" s="211">
        <f>(1.27*1.02)*0.8043*1.0824</f>
        <v>1.1277419741280001</v>
      </c>
      <c r="S506" s="211">
        <f>(0.0584*1.02)*0.8043*1.0824</f>
        <v>5.1858371093760007E-2</v>
      </c>
      <c r="T506" s="174">
        <f t="shared" si="151"/>
        <v>0</v>
      </c>
      <c r="U506" s="1850">
        <f t="shared" si="166"/>
        <v>0</v>
      </c>
      <c r="V506" s="1850">
        <f t="shared" si="167"/>
        <v>0</v>
      </c>
      <c r="W506" s="1850">
        <f t="shared" si="168"/>
        <v>0</v>
      </c>
      <c r="X506" s="1850">
        <f t="shared" si="169"/>
        <v>0</v>
      </c>
      <c r="Y506" s="1850">
        <f t="shared" si="172"/>
        <v>0</v>
      </c>
      <c r="Z506" s="1850">
        <f t="shared" si="149"/>
        <v>0</v>
      </c>
      <c r="AA506" s="2733"/>
    </row>
    <row r="507" spans="1:27" ht="18.75" x14ac:dyDescent="0.25">
      <c r="A507" s="2738"/>
      <c r="B507" s="1863">
        <v>2031</v>
      </c>
      <c r="C507" s="218">
        <f t="shared" si="159"/>
        <v>0</v>
      </c>
      <c r="D507" s="218">
        <f t="shared" si="170"/>
        <v>0</v>
      </c>
      <c r="E507" s="218">
        <f t="shared" si="171"/>
        <v>0</v>
      </c>
      <c r="F507" s="218">
        <f t="shared" si="160"/>
        <v>0</v>
      </c>
      <c r="G507" s="218">
        <f t="shared" si="161"/>
        <v>0</v>
      </c>
      <c r="H507" s="218">
        <f t="shared" si="162"/>
        <v>0</v>
      </c>
      <c r="I507" s="218">
        <f t="shared" si="163"/>
        <v>0</v>
      </c>
      <c r="J507" s="218">
        <f t="shared" si="164"/>
        <v>0</v>
      </c>
      <c r="K507" s="218">
        <f t="shared" si="165"/>
        <v>0</v>
      </c>
      <c r="L507" s="192">
        <f t="shared" si="150"/>
        <v>0</v>
      </c>
      <c r="M507" s="211">
        <v>76</v>
      </c>
      <c r="N507" s="211">
        <f>(29.53*1.02)*0.7885*1.0824</f>
        <v>25.70710077144</v>
      </c>
      <c r="O507" s="211">
        <f>(42.96*1.02)*0.7885*1.0824</f>
        <v>37.398477790080001</v>
      </c>
      <c r="P507" s="211">
        <f>(16.43*1.02)*0.7885*1.0824</f>
        <v>14.303002562640001</v>
      </c>
      <c r="Q507" s="211">
        <f>(12.76*1.02)*0.7885*1.0824</f>
        <v>11.108113980480001</v>
      </c>
      <c r="R507" s="211">
        <f>(1.27*1.02)*0.7885*1.0824</f>
        <v>1.1055881469600002</v>
      </c>
      <c r="S507" s="211">
        <f>(0.0584*1.02)*0.7885*1.0824</f>
        <v>5.0839643923200006E-2</v>
      </c>
      <c r="T507" s="174">
        <f t="shared" si="151"/>
        <v>0</v>
      </c>
      <c r="U507" s="1850">
        <f t="shared" si="166"/>
        <v>0</v>
      </c>
      <c r="V507" s="1850">
        <f t="shared" si="167"/>
        <v>0</v>
      </c>
      <c r="W507" s="1850">
        <f t="shared" si="168"/>
        <v>0</v>
      </c>
      <c r="X507" s="1850">
        <f t="shared" si="169"/>
        <v>0</v>
      </c>
      <c r="Y507" s="1850">
        <f t="shared" si="172"/>
        <v>0</v>
      </c>
      <c r="Z507" s="1850">
        <f t="shared" si="149"/>
        <v>0</v>
      </c>
      <c r="AA507" s="2733"/>
    </row>
    <row r="508" spans="1:27" ht="18.75" x14ac:dyDescent="0.25">
      <c r="A508" s="2738"/>
      <c r="B508" s="1863">
        <v>2032</v>
      </c>
      <c r="C508" s="218">
        <f t="shared" si="159"/>
        <v>0</v>
      </c>
      <c r="D508" s="218">
        <f t="shared" si="170"/>
        <v>0</v>
      </c>
      <c r="E508" s="218">
        <f t="shared" si="171"/>
        <v>0</v>
      </c>
      <c r="F508" s="218">
        <f t="shared" si="160"/>
        <v>0</v>
      </c>
      <c r="G508" s="218">
        <f t="shared" si="161"/>
        <v>0</v>
      </c>
      <c r="H508" s="218">
        <f t="shared" si="162"/>
        <v>0</v>
      </c>
      <c r="I508" s="218">
        <f t="shared" si="163"/>
        <v>0</v>
      </c>
      <c r="J508" s="218">
        <f t="shared" si="164"/>
        <v>0</v>
      </c>
      <c r="K508" s="218">
        <f t="shared" si="165"/>
        <v>0</v>
      </c>
      <c r="L508" s="192">
        <f t="shared" si="150"/>
        <v>0</v>
      </c>
      <c r="M508" s="211">
        <v>77</v>
      </c>
      <c r="N508" s="211">
        <f>(29.53*1.02)*0.773*1.0824</f>
        <v>25.201761441120002</v>
      </c>
      <c r="O508" s="211">
        <f>(42.96*1.02)*0.773*1.0824</f>
        <v>36.663314307840004</v>
      </c>
      <c r="P508" s="211">
        <f>(16.43*1.02)*0.773*1.0824</f>
        <v>14.021840178720002</v>
      </c>
      <c r="Q508" s="211">
        <f>(12.76*1.02)*0.773*1.0824</f>
        <v>10.889755367040001</v>
      </c>
      <c r="R508" s="211">
        <f>(1.27*1.02)*0.773*1.0824</f>
        <v>1.0838549620800002</v>
      </c>
      <c r="S508" s="211">
        <f>(0.0584*1.02)*0.773*1.0824</f>
        <v>4.9840259673600007E-2</v>
      </c>
      <c r="T508" s="174">
        <f t="shared" si="151"/>
        <v>0</v>
      </c>
      <c r="U508" s="1850">
        <f t="shared" si="166"/>
        <v>0</v>
      </c>
      <c r="V508" s="1850">
        <f t="shared" si="167"/>
        <v>0</v>
      </c>
      <c r="W508" s="1850">
        <f t="shared" si="168"/>
        <v>0</v>
      </c>
      <c r="X508" s="1850">
        <f t="shared" si="169"/>
        <v>0</v>
      </c>
      <c r="Y508" s="1850">
        <f t="shared" si="172"/>
        <v>0</v>
      </c>
      <c r="Z508" s="1850">
        <f t="shared" si="149"/>
        <v>0</v>
      </c>
      <c r="AA508" s="2733"/>
    </row>
    <row r="509" spans="1:27" ht="18.75" x14ac:dyDescent="0.25">
      <c r="A509" s="2738"/>
      <c r="B509" s="1863">
        <v>2033</v>
      </c>
      <c r="C509" s="218">
        <f t="shared" si="159"/>
        <v>0</v>
      </c>
      <c r="D509" s="218">
        <f t="shared" si="170"/>
        <v>0</v>
      </c>
      <c r="E509" s="218">
        <f t="shared" si="171"/>
        <v>0</v>
      </c>
      <c r="F509" s="218">
        <f t="shared" si="160"/>
        <v>0</v>
      </c>
      <c r="G509" s="218">
        <f t="shared" si="161"/>
        <v>0</v>
      </c>
      <c r="H509" s="218">
        <f t="shared" si="162"/>
        <v>0</v>
      </c>
      <c r="I509" s="218">
        <f t="shared" si="163"/>
        <v>0</v>
      </c>
      <c r="J509" s="218">
        <f t="shared" si="164"/>
        <v>0</v>
      </c>
      <c r="K509" s="218">
        <f t="shared" si="165"/>
        <v>0</v>
      </c>
      <c r="L509" s="192">
        <f t="shared" si="150"/>
        <v>0</v>
      </c>
      <c r="M509" s="211">
        <v>78</v>
      </c>
      <c r="N509" s="211">
        <f>(29.53*1.02)*0.7579*1.0824</f>
        <v>24.709463125776001</v>
      </c>
      <c r="O509" s="211">
        <f>(42.96*1.02)*0.7579*1.0824</f>
        <v>35.947122786432004</v>
      </c>
      <c r="P509" s="211">
        <f>(16.43*1.02)*0.7579*1.0824</f>
        <v>13.747933598256003</v>
      </c>
      <c r="Q509" s="211">
        <f>(12.76*1.02)*0.7579*1.0824</f>
        <v>10.677031814592</v>
      </c>
      <c r="R509" s="211">
        <f>(1.27*1.02)*0.7579*1.0824</f>
        <v>1.0626826335840001</v>
      </c>
      <c r="S509" s="211">
        <f>(0.0584*1.02)*0.7579*1.0824</f>
        <v>4.8866665985280007E-2</v>
      </c>
      <c r="T509" s="174">
        <f t="shared" si="151"/>
        <v>0</v>
      </c>
      <c r="U509" s="1850">
        <f t="shared" si="166"/>
        <v>0</v>
      </c>
      <c r="V509" s="1850">
        <f t="shared" si="167"/>
        <v>0</v>
      </c>
      <c r="W509" s="1850">
        <f t="shared" si="168"/>
        <v>0</v>
      </c>
      <c r="X509" s="1850">
        <f t="shared" si="169"/>
        <v>0</v>
      </c>
      <c r="Y509" s="1850">
        <f t="shared" si="172"/>
        <v>0</v>
      </c>
      <c r="Z509" s="1850">
        <f t="shared" si="149"/>
        <v>0</v>
      </c>
      <c r="AA509" s="2733"/>
    </row>
    <row r="510" spans="1:27" ht="18.75" x14ac:dyDescent="0.25">
      <c r="A510" s="2738"/>
      <c r="B510" s="1863">
        <v>2034</v>
      </c>
      <c r="C510" s="218">
        <f t="shared" si="159"/>
        <v>0</v>
      </c>
      <c r="D510" s="218">
        <f t="shared" si="170"/>
        <v>0</v>
      </c>
      <c r="E510" s="218">
        <f t="shared" si="171"/>
        <v>0</v>
      </c>
      <c r="F510" s="218">
        <f t="shared" si="160"/>
        <v>0</v>
      </c>
      <c r="G510" s="218">
        <f t="shared" si="161"/>
        <v>0</v>
      </c>
      <c r="H510" s="218">
        <f t="shared" si="162"/>
        <v>0</v>
      </c>
      <c r="I510" s="218">
        <f t="shared" si="163"/>
        <v>0</v>
      </c>
      <c r="J510" s="218">
        <f t="shared" si="164"/>
        <v>0</v>
      </c>
      <c r="K510" s="218">
        <f t="shared" si="165"/>
        <v>0</v>
      </c>
      <c r="L510" s="192">
        <f t="shared" si="150"/>
        <v>0</v>
      </c>
      <c r="M510" s="211">
        <v>79</v>
      </c>
      <c r="N510" s="211">
        <f>(29.53*1.02)*0.743*1.0824</f>
        <v>24.223685317920005</v>
      </c>
      <c r="O510" s="211">
        <f>(42.96*1.02)*0.743*1.0824</f>
        <v>35.24041724544</v>
      </c>
      <c r="P510" s="211">
        <f>(16.43*1.02)*0.743*1.0824</f>
        <v>13.477654919520001</v>
      </c>
      <c r="Q510" s="211">
        <f>(12.76*1.02)*0.743*1.0824</f>
        <v>10.467125792640001</v>
      </c>
      <c r="R510" s="211">
        <f>(1.27*1.02)*0.743*1.0824</f>
        <v>1.04179073328</v>
      </c>
      <c r="S510" s="211">
        <f>(0.0584*1.02)*0.743*1.0824</f>
        <v>4.7905967577600003E-2</v>
      </c>
      <c r="T510" s="174">
        <f t="shared" si="151"/>
        <v>0</v>
      </c>
      <c r="U510" s="1850">
        <f t="shared" si="166"/>
        <v>0</v>
      </c>
      <c r="V510" s="1850">
        <f t="shared" si="167"/>
        <v>0</v>
      </c>
      <c r="W510" s="1850">
        <f t="shared" si="168"/>
        <v>0</v>
      </c>
      <c r="X510" s="1850">
        <f t="shared" si="169"/>
        <v>0</v>
      </c>
      <c r="Y510" s="1850">
        <f t="shared" si="172"/>
        <v>0</v>
      </c>
      <c r="Z510" s="1850">
        <f t="shared" si="149"/>
        <v>0</v>
      </c>
      <c r="AA510" s="2733"/>
    </row>
    <row r="511" spans="1:27" ht="18.75" x14ac:dyDescent="0.25">
      <c r="A511" s="2738"/>
      <c r="B511" s="1863">
        <v>2035</v>
      </c>
      <c r="C511" s="218">
        <f t="shared" si="159"/>
        <v>0</v>
      </c>
      <c r="D511" s="218">
        <f t="shared" si="170"/>
        <v>0</v>
      </c>
      <c r="E511" s="218">
        <f t="shared" si="171"/>
        <v>0</v>
      </c>
      <c r="F511" s="218">
        <f t="shared" si="160"/>
        <v>0</v>
      </c>
      <c r="G511" s="218">
        <f t="shared" si="161"/>
        <v>0</v>
      </c>
      <c r="H511" s="218">
        <f t="shared" si="162"/>
        <v>0</v>
      </c>
      <c r="I511" s="218">
        <f t="shared" si="163"/>
        <v>0</v>
      </c>
      <c r="J511" s="218">
        <f t="shared" si="164"/>
        <v>0</v>
      </c>
      <c r="K511" s="218">
        <f t="shared" si="165"/>
        <v>0</v>
      </c>
      <c r="L511" s="192">
        <f t="shared" si="150"/>
        <v>0</v>
      </c>
      <c r="M511" s="211">
        <v>80</v>
      </c>
      <c r="N511" s="211">
        <f>(29.53*1.02)*0.7284*1.0824</f>
        <v>23.747688271296006</v>
      </c>
      <c r="O511" s="211">
        <f>(42.96*1.02)*0.7284*1.0824</f>
        <v>34.547940675072006</v>
      </c>
      <c r="P511" s="211">
        <f>(16.43*1.02)*0.7284*1.0824</f>
        <v>13.212818093376002</v>
      </c>
      <c r="Q511" s="211">
        <f>(12.76*1.02)*0.7284*1.0824</f>
        <v>10.261446066432002</v>
      </c>
      <c r="R511" s="211">
        <f>(1.27*1.02)*0.7284*1.0824</f>
        <v>1.0213194752640002</v>
      </c>
      <c r="S511" s="211">
        <f>(0.0584*1.02)*0.7284*1.0824</f>
        <v>4.6964612090880008E-2</v>
      </c>
      <c r="T511" s="174">
        <f t="shared" si="151"/>
        <v>0</v>
      </c>
      <c r="U511" s="1850">
        <f t="shared" si="166"/>
        <v>0</v>
      </c>
      <c r="V511" s="1850">
        <f t="shared" si="167"/>
        <v>0</v>
      </c>
      <c r="W511" s="1850">
        <f t="shared" si="168"/>
        <v>0</v>
      </c>
      <c r="X511" s="1850">
        <f t="shared" si="169"/>
        <v>0</v>
      </c>
      <c r="Y511" s="1850">
        <f t="shared" si="172"/>
        <v>0</v>
      </c>
      <c r="Z511" s="1850">
        <f t="shared" si="149"/>
        <v>0</v>
      </c>
      <c r="AA511" s="2733"/>
    </row>
    <row r="512" spans="1:27" ht="18.75" x14ac:dyDescent="0.25">
      <c r="A512" s="2738"/>
      <c r="B512" s="1863">
        <v>2036</v>
      </c>
      <c r="C512" s="218">
        <f t="shared" si="159"/>
        <v>0</v>
      </c>
      <c r="D512" s="218">
        <f t="shared" si="170"/>
        <v>0</v>
      </c>
      <c r="E512" s="218">
        <f t="shared" si="171"/>
        <v>0</v>
      </c>
      <c r="F512" s="218">
        <f t="shared" si="160"/>
        <v>0</v>
      </c>
      <c r="G512" s="218">
        <f t="shared" si="161"/>
        <v>0</v>
      </c>
      <c r="H512" s="218">
        <f t="shared" si="162"/>
        <v>0</v>
      </c>
      <c r="I512" s="218">
        <f t="shared" si="163"/>
        <v>0</v>
      </c>
      <c r="J512" s="218">
        <f t="shared" si="164"/>
        <v>0</v>
      </c>
      <c r="K512" s="218">
        <f t="shared" si="165"/>
        <v>0</v>
      </c>
      <c r="L512" s="192">
        <f t="shared" si="150"/>
        <v>0</v>
      </c>
      <c r="M512" s="211">
        <v>81</v>
      </c>
      <c r="N512" s="211">
        <f>(29.53*1.02)*0.7142*1.0824</f>
        <v>23.284732239648001</v>
      </c>
      <c r="O512" s="211">
        <f>(42.96*1.02)*0.7142*1.0824</f>
        <v>33.874436065536003</v>
      </c>
      <c r="P512" s="211">
        <f>(16.43*1.02)*0.7142*1.0824</f>
        <v>12.955237070688</v>
      </c>
      <c r="Q512" s="211">
        <f>(12.76*1.02)*0.7142*1.0824</f>
        <v>10.061401401215999</v>
      </c>
      <c r="R512" s="211">
        <f>(1.27*1.02)*0.7142*1.0824</f>
        <v>1.001409073632</v>
      </c>
      <c r="S512" s="211">
        <f>(0.0584*1.02)*0.7142*1.0824</f>
        <v>4.6049047165439998E-2</v>
      </c>
      <c r="T512" s="174">
        <f t="shared" si="151"/>
        <v>0</v>
      </c>
      <c r="U512" s="1850">
        <f t="shared" si="166"/>
        <v>0</v>
      </c>
      <c r="V512" s="1850">
        <f t="shared" si="167"/>
        <v>0</v>
      </c>
      <c r="W512" s="1850">
        <f t="shared" si="168"/>
        <v>0</v>
      </c>
      <c r="X512" s="1850">
        <f t="shared" si="169"/>
        <v>0</v>
      </c>
      <c r="Y512" s="1850">
        <f t="shared" si="172"/>
        <v>0</v>
      </c>
      <c r="Z512" s="1850">
        <f t="shared" si="149"/>
        <v>0</v>
      </c>
      <c r="AA512" s="2733"/>
    </row>
    <row r="513" spans="1:27" ht="18.75" x14ac:dyDescent="0.25">
      <c r="A513" s="2738"/>
      <c r="B513" s="1863">
        <v>2037</v>
      </c>
      <c r="C513" s="218">
        <f t="shared" si="159"/>
        <v>0</v>
      </c>
      <c r="D513" s="218">
        <f t="shared" si="170"/>
        <v>0</v>
      </c>
      <c r="E513" s="218">
        <f t="shared" si="171"/>
        <v>0</v>
      </c>
      <c r="F513" s="218">
        <f t="shared" si="160"/>
        <v>0</v>
      </c>
      <c r="G513" s="218">
        <f t="shared" si="161"/>
        <v>0</v>
      </c>
      <c r="H513" s="218">
        <f t="shared" si="162"/>
        <v>0</v>
      </c>
      <c r="I513" s="218">
        <f t="shared" si="163"/>
        <v>0</v>
      </c>
      <c r="J513" s="218">
        <f t="shared" si="164"/>
        <v>0</v>
      </c>
      <c r="K513" s="218">
        <f t="shared" si="165"/>
        <v>0</v>
      </c>
      <c r="L513" s="192">
        <f t="shared" si="150"/>
        <v>0</v>
      </c>
      <c r="M513" s="211">
        <v>83</v>
      </c>
      <c r="N513" s="211">
        <f>(29.53*1.02)*0.7002*1.0824</f>
        <v>22.828296715488005</v>
      </c>
      <c r="O513" s="211">
        <f>(42.96*1.02)*0.7002*1.0824</f>
        <v>33.210417436416002</v>
      </c>
      <c r="P513" s="211">
        <f>(16.43*1.02)*0.7002*1.0824</f>
        <v>12.701283949728003</v>
      </c>
      <c r="Q513" s="211">
        <f>(12.76*1.02)*0.7002*1.0824</f>
        <v>9.8641742664960006</v>
      </c>
      <c r="R513" s="211">
        <f>(1.27*1.02)*0.7002*1.0824</f>
        <v>0.9817791001920001</v>
      </c>
      <c r="S513" s="211">
        <f>(0.0584*1.02)*0.7002*1.0824</f>
        <v>4.5146377520640005E-2</v>
      </c>
      <c r="T513" s="174">
        <f t="shared" si="151"/>
        <v>0</v>
      </c>
      <c r="U513" s="1850">
        <f t="shared" si="166"/>
        <v>0</v>
      </c>
      <c r="V513" s="1850">
        <f t="shared" si="167"/>
        <v>0</v>
      </c>
      <c r="W513" s="1850">
        <f t="shared" si="168"/>
        <v>0</v>
      </c>
      <c r="X513" s="1850">
        <f t="shared" si="169"/>
        <v>0</v>
      </c>
      <c r="Y513" s="1850">
        <f t="shared" si="172"/>
        <v>0</v>
      </c>
      <c r="Z513" s="1850">
        <f t="shared" si="149"/>
        <v>0</v>
      </c>
      <c r="AA513" s="2733"/>
    </row>
    <row r="514" spans="1:27" ht="18.75" x14ac:dyDescent="0.25">
      <c r="A514" s="2738"/>
      <c r="B514" s="1863">
        <v>2038</v>
      </c>
      <c r="C514" s="218">
        <f t="shared" si="159"/>
        <v>0</v>
      </c>
      <c r="D514" s="218">
        <f t="shared" si="170"/>
        <v>0</v>
      </c>
      <c r="E514" s="218">
        <f t="shared" si="171"/>
        <v>0</v>
      </c>
      <c r="F514" s="218">
        <f t="shared" si="160"/>
        <v>0</v>
      </c>
      <c r="G514" s="218">
        <f t="shared" si="161"/>
        <v>0</v>
      </c>
      <c r="H514" s="218">
        <f t="shared" si="162"/>
        <v>0</v>
      </c>
      <c r="I514" s="218">
        <f t="shared" si="163"/>
        <v>0</v>
      </c>
      <c r="J514" s="218">
        <f t="shared" si="164"/>
        <v>0</v>
      </c>
      <c r="K514" s="218">
        <f t="shared" si="165"/>
        <v>0</v>
      </c>
      <c r="L514" s="192">
        <f t="shared" si="150"/>
        <v>0</v>
      </c>
      <c r="M514" s="211">
        <v>84</v>
      </c>
      <c r="N514" s="211">
        <f>(29.53*1.02)*0.6864*1.0824</f>
        <v>22.378381698816003</v>
      </c>
      <c r="O514" s="211">
        <f>(42.96*1.02)*0.6864*1.0824</f>
        <v>32.555884787712003</v>
      </c>
      <c r="P514" s="211">
        <f>(16.43*1.02)*0.6864*1.0824</f>
        <v>12.450958730496001</v>
      </c>
      <c r="Q514" s="211">
        <f>(12.76*1.02)*0.6864*1.0824</f>
        <v>9.6697646622720015</v>
      </c>
      <c r="R514" s="211">
        <f>(1.27*1.02)*0.6864*1.0824</f>
        <v>0.96242955494400007</v>
      </c>
      <c r="S514" s="211">
        <f>(0.0584*1.02)*0.6864*1.0824</f>
        <v>4.4256603156480001E-2</v>
      </c>
      <c r="T514" s="174">
        <f t="shared" si="151"/>
        <v>0</v>
      </c>
      <c r="U514" s="1850">
        <f t="shared" si="166"/>
        <v>0</v>
      </c>
      <c r="V514" s="1850">
        <f t="shared" si="167"/>
        <v>0</v>
      </c>
      <c r="W514" s="1850">
        <f t="shared" si="168"/>
        <v>0</v>
      </c>
      <c r="X514" s="1850">
        <f t="shared" si="169"/>
        <v>0</v>
      </c>
      <c r="Y514" s="1850">
        <f t="shared" si="172"/>
        <v>0</v>
      </c>
      <c r="Z514" s="1850">
        <f t="shared" si="149"/>
        <v>0</v>
      </c>
      <c r="AA514" s="2733"/>
    </row>
    <row r="515" spans="1:27" ht="18.75" x14ac:dyDescent="0.25">
      <c r="A515" s="2738"/>
      <c r="B515" s="1863">
        <v>2039</v>
      </c>
      <c r="C515" s="218">
        <f t="shared" si="159"/>
        <v>0</v>
      </c>
      <c r="D515" s="218">
        <f t="shared" si="170"/>
        <v>0</v>
      </c>
      <c r="E515" s="218">
        <f t="shared" si="171"/>
        <v>0</v>
      </c>
      <c r="F515" s="218">
        <f t="shared" si="160"/>
        <v>0</v>
      </c>
      <c r="G515" s="218">
        <f t="shared" si="161"/>
        <v>0</v>
      </c>
      <c r="H515" s="218">
        <f t="shared" si="162"/>
        <v>0</v>
      </c>
      <c r="I515" s="218">
        <f t="shared" si="163"/>
        <v>0</v>
      </c>
      <c r="J515" s="218">
        <f t="shared" si="164"/>
        <v>0</v>
      </c>
      <c r="K515" s="218">
        <f t="shared" si="165"/>
        <v>0</v>
      </c>
      <c r="L515" s="192">
        <f t="shared" si="150"/>
        <v>0</v>
      </c>
      <c r="M515" s="211">
        <v>85</v>
      </c>
      <c r="N515" s="211">
        <f>(29.53*1.02)*0.673*1.0824</f>
        <v>21.941507697120006</v>
      </c>
      <c r="O515" s="211">
        <f>(42.96*1.02)*0.673*1.0824</f>
        <v>31.920324099840006</v>
      </c>
      <c r="P515" s="211">
        <f>(16.43*1.02)*0.673*1.0824</f>
        <v>12.207889314720003</v>
      </c>
      <c r="Q515" s="211">
        <f>(12.76*1.02)*0.673*1.0824</f>
        <v>9.4809901190400012</v>
      </c>
      <c r="R515" s="211">
        <f>(1.27*1.02)*0.673*1.0824</f>
        <v>0.9436408660800002</v>
      </c>
      <c r="S515" s="211">
        <f>(0.0584*1.02)*0.673*1.0824</f>
        <v>4.3392619353600011E-2</v>
      </c>
      <c r="T515" s="174">
        <f t="shared" si="151"/>
        <v>0</v>
      </c>
      <c r="U515" s="1850">
        <f t="shared" si="166"/>
        <v>0</v>
      </c>
      <c r="V515" s="1850">
        <f t="shared" si="167"/>
        <v>0</v>
      </c>
      <c r="W515" s="1850">
        <f t="shared" si="168"/>
        <v>0</v>
      </c>
      <c r="X515" s="1850">
        <f t="shared" si="169"/>
        <v>0</v>
      </c>
      <c r="Y515" s="1850">
        <f t="shared" si="172"/>
        <v>0</v>
      </c>
      <c r="Z515" s="1850">
        <f t="shared" si="149"/>
        <v>0</v>
      </c>
      <c r="AA515" s="2733"/>
    </row>
    <row r="516" spans="1:27" ht="18.75" x14ac:dyDescent="0.25">
      <c r="A516" s="2738"/>
      <c r="B516" s="1863">
        <v>2040</v>
      </c>
      <c r="C516" s="218">
        <f t="shared" si="159"/>
        <v>0</v>
      </c>
      <c r="D516" s="218">
        <f t="shared" si="170"/>
        <v>0</v>
      </c>
      <c r="E516" s="218">
        <f t="shared" si="171"/>
        <v>0</v>
      </c>
      <c r="F516" s="218">
        <f t="shared" si="160"/>
        <v>0</v>
      </c>
      <c r="G516" s="218">
        <f t="shared" si="161"/>
        <v>0</v>
      </c>
      <c r="H516" s="218">
        <f t="shared" si="162"/>
        <v>0</v>
      </c>
      <c r="I516" s="218">
        <f t="shared" si="163"/>
        <v>0</v>
      </c>
      <c r="J516" s="218">
        <f t="shared" si="164"/>
        <v>0</v>
      </c>
      <c r="K516" s="218">
        <f t="shared" si="165"/>
        <v>0</v>
      </c>
      <c r="L516" s="192">
        <f t="shared" si="150"/>
        <v>0</v>
      </c>
      <c r="M516" s="211">
        <v>86</v>
      </c>
      <c r="N516" s="211">
        <f>(29.53*1.02)*0.6598*1.0824</f>
        <v>21.511154202912003</v>
      </c>
      <c r="O516" s="211">
        <f>(42.96*1.02)*0.6598*1.0824</f>
        <v>31.294249392384003</v>
      </c>
      <c r="P516" s="211">
        <f>(16.43*1.02)*0.6598*1.0824</f>
        <v>11.968447800672001</v>
      </c>
      <c r="Q516" s="211">
        <f>(12.76*1.02)*0.6598*1.0824</f>
        <v>9.2950331063040004</v>
      </c>
      <c r="R516" s="211">
        <f>(1.27*1.02)*0.6598*1.0824</f>
        <v>0.92513260540800013</v>
      </c>
      <c r="S516" s="211">
        <f>(0.0584*1.02)*0.6598*1.0824</f>
        <v>4.254153083136001E-2</v>
      </c>
      <c r="T516" s="174">
        <f t="shared" si="151"/>
        <v>0</v>
      </c>
      <c r="U516" s="1850">
        <f t="shared" si="166"/>
        <v>0</v>
      </c>
      <c r="V516" s="1850">
        <f t="shared" si="167"/>
        <v>0</v>
      </c>
      <c r="W516" s="1850">
        <f t="shared" si="168"/>
        <v>0</v>
      </c>
      <c r="X516" s="1850">
        <f t="shared" si="169"/>
        <v>0</v>
      </c>
      <c r="Y516" s="1850">
        <f t="shared" si="172"/>
        <v>0</v>
      </c>
      <c r="Z516" s="1850">
        <f t="shared" si="149"/>
        <v>0</v>
      </c>
      <c r="AA516" s="2733"/>
    </row>
    <row r="517" spans="1:27" ht="18.75" x14ac:dyDescent="0.25">
      <c r="A517" s="2738"/>
      <c r="B517" s="1863">
        <v>2041</v>
      </c>
      <c r="C517" s="218">
        <f t="shared" si="159"/>
        <v>0</v>
      </c>
      <c r="D517" s="218">
        <f t="shared" si="170"/>
        <v>0</v>
      </c>
      <c r="E517" s="218">
        <f t="shared" si="171"/>
        <v>0</v>
      </c>
      <c r="F517" s="218">
        <f t="shared" si="160"/>
        <v>0</v>
      </c>
      <c r="G517" s="218">
        <f t="shared" si="161"/>
        <v>0</v>
      </c>
      <c r="H517" s="218">
        <f t="shared" si="162"/>
        <v>0</v>
      </c>
      <c r="I517" s="218">
        <f t="shared" si="163"/>
        <v>0</v>
      </c>
      <c r="J517" s="218">
        <f t="shared" si="164"/>
        <v>0</v>
      </c>
      <c r="K517" s="218">
        <f t="shared" si="165"/>
        <v>0</v>
      </c>
      <c r="L517" s="192">
        <f t="shared" si="150"/>
        <v>0</v>
      </c>
      <c r="M517" s="211">
        <v>87</v>
      </c>
      <c r="N517" s="211">
        <f>(29.53*1.02)*0.6468*1.0824</f>
        <v>21.087321216192002</v>
      </c>
      <c r="O517" s="211">
        <f>(42.96*1.02)*0.6468*1.0824</f>
        <v>30.677660665344007</v>
      </c>
      <c r="P517" s="211">
        <f>(16.43*1.02)*0.6468*1.0824</f>
        <v>11.732634188352002</v>
      </c>
      <c r="Q517" s="211">
        <f>(12.76*1.02)*0.6468*1.0824</f>
        <v>9.1118936240640007</v>
      </c>
      <c r="R517" s="211">
        <f>(1.27*1.02)*0.6468*1.0824</f>
        <v>0.9069047729280002</v>
      </c>
      <c r="S517" s="211">
        <f>(0.0584*1.02)*0.6468*1.0824</f>
        <v>4.1703337589760005E-2</v>
      </c>
      <c r="T517" s="174">
        <f t="shared" si="151"/>
        <v>0</v>
      </c>
      <c r="U517" s="1850">
        <f t="shared" si="166"/>
        <v>0</v>
      </c>
      <c r="V517" s="1850">
        <f t="shared" si="167"/>
        <v>0</v>
      </c>
      <c r="W517" s="1850">
        <f t="shared" si="168"/>
        <v>0</v>
      </c>
      <c r="X517" s="1850">
        <f t="shared" si="169"/>
        <v>0</v>
      </c>
      <c r="Y517" s="1850">
        <f t="shared" si="172"/>
        <v>0</v>
      </c>
      <c r="Z517" s="1850">
        <f t="shared" si="149"/>
        <v>0</v>
      </c>
      <c r="AA517" s="2733"/>
    </row>
    <row r="518" spans="1:27" ht="18.75" x14ac:dyDescent="0.25">
      <c r="A518" s="2738"/>
      <c r="B518" s="1863">
        <v>2042</v>
      </c>
      <c r="C518" s="218">
        <f t="shared" si="159"/>
        <v>0</v>
      </c>
      <c r="D518" s="218">
        <f t="shared" si="170"/>
        <v>0</v>
      </c>
      <c r="E518" s="218">
        <f t="shared" si="171"/>
        <v>0</v>
      </c>
      <c r="F518" s="218">
        <f t="shared" si="160"/>
        <v>0</v>
      </c>
      <c r="G518" s="218">
        <f t="shared" si="161"/>
        <v>0</v>
      </c>
      <c r="H518" s="218">
        <f t="shared" si="162"/>
        <v>0</v>
      </c>
      <c r="I518" s="218">
        <f t="shared" si="163"/>
        <v>0</v>
      </c>
      <c r="J518" s="218">
        <f t="shared" si="164"/>
        <v>0</v>
      </c>
      <c r="K518" s="218">
        <f t="shared" si="165"/>
        <v>0</v>
      </c>
      <c r="L518" s="192">
        <f t="shared" si="150"/>
        <v>0</v>
      </c>
      <c r="M518" s="211">
        <v>88</v>
      </c>
      <c r="N518" s="211">
        <f>(29.53*1.02)*0.6342*1.0824</f>
        <v>20.676529244448002</v>
      </c>
      <c r="O518" s="211">
        <f>(42.96*1.02)*0.6342*1.0824</f>
        <v>30.080043899136001</v>
      </c>
      <c r="P518" s="211">
        <f>(16.43*1.02)*0.6342*1.0824</f>
        <v>11.504076379488001</v>
      </c>
      <c r="Q518" s="211">
        <f>(12.76*1.02)*0.6342*1.0824</f>
        <v>8.9343892028159999</v>
      </c>
      <c r="R518" s="211">
        <f>(1.27*1.02)*0.6342*1.0824</f>
        <v>0.8892377968320001</v>
      </c>
      <c r="S518" s="211">
        <f>(0.0584*1.02)*0.6342*1.0824</f>
        <v>4.0890934909439999E-2</v>
      </c>
      <c r="T518" s="174">
        <f t="shared" si="151"/>
        <v>0</v>
      </c>
      <c r="U518" s="1850">
        <f t="shared" si="166"/>
        <v>0</v>
      </c>
      <c r="V518" s="1850">
        <f t="shared" si="167"/>
        <v>0</v>
      </c>
      <c r="W518" s="1850">
        <f t="shared" si="168"/>
        <v>0</v>
      </c>
      <c r="X518" s="1850">
        <f t="shared" si="169"/>
        <v>0</v>
      </c>
      <c r="Y518" s="1850">
        <f t="shared" si="172"/>
        <v>0</v>
      </c>
      <c r="Z518" s="1850">
        <f t="shared" si="149"/>
        <v>0</v>
      </c>
      <c r="AA518" s="2733"/>
    </row>
    <row r="519" spans="1:27" ht="18.75" x14ac:dyDescent="0.25">
      <c r="A519" s="2738"/>
      <c r="B519" s="1863">
        <v>2043</v>
      </c>
      <c r="C519" s="218">
        <f t="shared" si="159"/>
        <v>0</v>
      </c>
      <c r="D519" s="218">
        <f t="shared" si="170"/>
        <v>0</v>
      </c>
      <c r="E519" s="218">
        <f t="shared" si="171"/>
        <v>0</v>
      </c>
      <c r="F519" s="218">
        <f t="shared" si="160"/>
        <v>0</v>
      </c>
      <c r="G519" s="218">
        <f t="shared" si="161"/>
        <v>0</v>
      </c>
      <c r="H519" s="218">
        <f t="shared" si="162"/>
        <v>0</v>
      </c>
      <c r="I519" s="218">
        <f t="shared" si="163"/>
        <v>0</v>
      </c>
      <c r="J519" s="218">
        <f t="shared" si="164"/>
        <v>0</v>
      </c>
      <c r="K519" s="218">
        <f t="shared" si="165"/>
        <v>0</v>
      </c>
      <c r="L519" s="192">
        <f t="shared" si="150"/>
        <v>0</v>
      </c>
      <c r="M519" s="211">
        <v>89</v>
      </c>
      <c r="N519" s="211">
        <f>(29.53*1.02)*0.6217*1.0824</f>
        <v>20.268997526448004</v>
      </c>
      <c r="O519" s="211">
        <f>(42.96*1.02)*0.6217*1.0824</f>
        <v>29.487170123136003</v>
      </c>
      <c r="P519" s="211">
        <f>(16.43*1.02)*0.6217*1.0824</f>
        <v>11.277332521488001</v>
      </c>
      <c r="Q519" s="211">
        <f>(12.76*1.02)*0.6217*1.0824</f>
        <v>8.7582935468160006</v>
      </c>
      <c r="R519" s="211">
        <f>(1.27*1.02)*0.6217*1.0824</f>
        <v>0.87171103483200019</v>
      </c>
      <c r="S519" s="211">
        <f>(0.0584*1.02)*0.6217*1.0824</f>
        <v>4.0084979869440006E-2</v>
      </c>
      <c r="T519" s="174">
        <f t="shared" si="151"/>
        <v>0</v>
      </c>
      <c r="U519" s="1850">
        <f t="shared" si="166"/>
        <v>0</v>
      </c>
      <c r="V519" s="1850">
        <f t="shared" si="167"/>
        <v>0</v>
      </c>
      <c r="W519" s="1850">
        <f t="shared" si="168"/>
        <v>0</v>
      </c>
      <c r="X519" s="1850">
        <f t="shared" si="169"/>
        <v>0</v>
      </c>
      <c r="Y519" s="1850">
        <f t="shared" si="172"/>
        <v>0</v>
      </c>
      <c r="Z519" s="1850">
        <f t="shared" si="149"/>
        <v>0</v>
      </c>
      <c r="AA519" s="2733"/>
    </row>
    <row r="520" spans="1:27" ht="18.75" x14ac:dyDescent="0.25">
      <c r="A520" s="2738"/>
      <c r="B520" s="1863">
        <v>2044</v>
      </c>
      <c r="C520" s="218">
        <f t="shared" si="159"/>
        <v>0</v>
      </c>
      <c r="D520" s="218">
        <f t="shared" si="170"/>
        <v>0</v>
      </c>
      <c r="E520" s="218">
        <f t="shared" si="171"/>
        <v>0</v>
      </c>
      <c r="F520" s="218">
        <f t="shared" si="160"/>
        <v>0</v>
      </c>
      <c r="G520" s="218">
        <f t="shared" si="161"/>
        <v>0</v>
      </c>
      <c r="H520" s="218">
        <f t="shared" si="162"/>
        <v>0</v>
      </c>
      <c r="I520" s="218">
        <f t="shared" si="163"/>
        <v>0</v>
      </c>
      <c r="J520" s="218">
        <f t="shared" si="164"/>
        <v>0</v>
      </c>
      <c r="K520" s="218">
        <f t="shared" si="165"/>
        <v>0</v>
      </c>
      <c r="L520" s="192">
        <f t="shared" si="150"/>
        <v>0</v>
      </c>
      <c r="M520" s="211">
        <v>90</v>
      </c>
      <c r="N520" s="211">
        <f>(29.53*1.02)*0.6095*1.0824</f>
        <v>19.871246569680004</v>
      </c>
      <c r="O520" s="211">
        <f>(42.96*1.02)*0.6095*1.0824</f>
        <v>28.908525317760002</v>
      </c>
      <c r="P520" s="211">
        <f>(16.43*1.02)*0.6095*1.0824</f>
        <v>11.056030516080002</v>
      </c>
      <c r="Q520" s="211">
        <f>(12.76*1.02)*0.6095*1.0824</f>
        <v>8.5864241865600004</v>
      </c>
      <c r="R520" s="211">
        <f>(1.27*1.02)*0.6095*1.0824</f>
        <v>0.85460491512000014</v>
      </c>
      <c r="S520" s="211">
        <f>(0.0584*1.02)*0.6095*1.0824</f>
        <v>3.9298367750400007E-2</v>
      </c>
      <c r="T520" s="174">
        <f t="shared" si="151"/>
        <v>0</v>
      </c>
      <c r="U520" s="1850">
        <f t="shared" si="166"/>
        <v>0</v>
      </c>
      <c r="V520" s="1850">
        <f t="shared" si="167"/>
        <v>0</v>
      </c>
      <c r="W520" s="1850">
        <f t="shared" si="168"/>
        <v>0</v>
      </c>
      <c r="X520" s="1850">
        <f t="shared" si="169"/>
        <v>0</v>
      </c>
      <c r="Y520" s="1850">
        <f t="shared" si="172"/>
        <v>0</v>
      </c>
      <c r="Z520" s="1850">
        <f t="shared" si="149"/>
        <v>0</v>
      </c>
      <c r="AA520" s="2733"/>
    </row>
    <row r="521" spans="1:27" ht="18.75" x14ac:dyDescent="0.25">
      <c r="A521" s="2738"/>
      <c r="B521" s="1863">
        <v>2045</v>
      </c>
      <c r="C521" s="218">
        <f t="shared" si="159"/>
        <v>0</v>
      </c>
      <c r="D521" s="218">
        <f t="shared" si="170"/>
        <v>0</v>
      </c>
      <c r="E521" s="218">
        <f t="shared" si="171"/>
        <v>0</v>
      </c>
      <c r="F521" s="218">
        <f t="shared" si="160"/>
        <v>0</v>
      </c>
      <c r="G521" s="218">
        <f t="shared" si="161"/>
        <v>0</v>
      </c>
      <c r="H521" s="218">
        <f t="shared" si="162"/>
        <v>0</v>
      </c>
      <c r="I521" s="218">
        <f t="shared" si="163"/>
        <v>0</v>
      </c>
      <c r="J521" s="218">
        <f t="shared" si="164"/>
        <v>0</v>
      </c>
      <c r="K521" s="218">
        <f t="shared" si="165"/>
        <v>0</v>
      </c>
      <c r="L521" s="192">
        <f t="shared" si="150"/>
        <v>0</v>
      </c>
      <c r="M521" s="211">
        <v>92</v>
      </c>
      <c r="N521" s="211">
        <f>(29.53*1.02)*0.5976*1.0824</f>
        <v>19.483276374144001</v>
      </c>
      <c r="O521" s="211">
        <f>(42.96*1.02)*0.5976*1.0824</f>
        <v>28.344109483008001</v>
      </c>
      <c r="P521" s="211">
        <f>(16.43*1.02)*0.5976*1.0824</f>
        <v>10.840170363264003</v>
      </c>
      <c r="Q521" s="211">
        <f>(12.76*1.02)*0.5976*1.0824</f>
        <v>8.4187811220480011</v>
      </c>
      <c r="R521" s="211">
        <f>(1.27*1.02)*0.5976*1.0824</f>
        <v>0.83791943769600008</v>
      </c>
      <c r="S521" s="211">
        <f>(0.0584*1.02)*0.5976*1.0824</f>
        <v>3.8531098552320009E-2</v>
      </c>
      <c r="T521" s="174">
        <f t="shared" si="151"/>
        <v>0</v>
      </c>
      <c r="U521" s="1850">
        <f t="shared" si="166"/>
        <v>0</v>
      </c>
      <c r="V521" s="1850">
        <f t="shared" si="167"/>
        <v>0</v>
      </c>
      <c r="W521" s="1850">
        <f t="shared" si="168"/>
        <v>0</v>
      </c>
      <c r="X521" s="1850">
        <f t="shared" si="169"/>
        <v>0</v>
      </c>
      <c r="Y521" s="1850">
        <f t="shared" si="172"/>
        <v>0</v>
      </c>
      <c r="Z521" s="1850">
        <f t="shared" ref="Z521:Z545" si="173">S521*K521</f>
        <v>0</v>
      </c>
      <c r="AA521" s="2733"/>
    </row>
    <row r="522" spans="1:27" ht="18.75" x14ac:dyDescent="0.25">
      <c r="A522" s="2738"/>
      <c r="B522" s="1863">
        <v>2046</v>
      </c>
      <c r="C522" s="218">
        <f t="shared" si="159"/>
        <v>0</v>
      </c>
      <c r="D522" s="218">
        <f t="shared" si="170"/>
        <v>0</v>
      </c>
      <c r="E522" s="218">
        <f t="shared" si="171"/>
        <v>0</v>
      </c>
      <c r="F522" s="218">
        <f t="shared" si="160"/>
        <v>0</v>
      </c>
      <c r="G522" s="218">
        <f t="shared" si="161"/>
        <v>0</v>
      </c>
      <c r="H522" s="218">
        <f t="shared" si="162"/>
        <v>0</v>
      </c>
      <c r="I522" s="218">
        <f t="shared" si="163"/>
        <v>0</v>
      </c>
      <c r="J522" s="218">
        <f t="shared" si="164"/>
        <v>0</v>
      </c>
      <c r="K522" s="218">
        <f t="shared" si="165"/>
        <v>0</v>
      </c>
      <c r="L522" s="192">
        <f t="shared" ref="L522:L545" si="174">(C522/1000)+(D522/1000)+(E522/1000)</f>
        <v>0</v>
      </c>
      <c r="M522" s="211">
        <v>93</v>
      </c>
      <c r="N522" s="211">
        <f>(29.53*1.02)*0.5859*1.0824</f>
        <v>19.101826686096</v>
      </c>
      <c r="O522" s="211">
        <f>(42.96*1.02)*0.5859*1.0824</f>
        <v>27.789179628671999</v>
      </c>
      <c r="P522" s="211">
        <f>(16.43*1.02)*0.5859*1.0824</f>
        <v>10.627938112176002</v>
      </c>
      <c r="Q522" s="211">
        <f>(12.76*1.02)*0.5859*1.0824</f>
        <v>8.2539555880319995</v>
      </c>
      <c r="R522" s="211">
        <f>(1.27*1.02)*0.5859*1.0824</f>
        <v>0.82151438846400004</v>
      </c>
      <c r="S522" s="211">
        <f>(0.0584*1.02)*0.5859*1.0824</f>
        <v>3.777672463488E-2</v>
      </c>
      <c r="T522" s="174">
        <f t="shared" ref="T522:T545" si="175">L522*M522</f>
        <v>0</v>
      </c>
      <c r="U522" s="1850">
        <f t="shared" si="166"/>
        <v>0</v>
      </c>
      <c r="V522" s="1850">
        <f t="shared" si="167"/>
        <v>0</v>
      </c>
      <c r="W522" s="1850">
        <f t="shared" si="168"/>
        <v>0</v>
      </c>
      <c r="X522" s="1850">
        <f t="shared" si="169"/>
        <v>0</v>
      </c>
      <c r="Y522" s="1850">
        <f t="shared" si="172"/>
        <v>0</v>
      </c>
      <c r="Z522" s="1850">
        <f t="shared" si="173"/>
        <v>0</v>
      </c>
      <c r="AA522" s="2733"/>
    </row>
    <row r="523" spans="1:27" ht="18.75" x14ac:dyDescent="0.25">
      <c r="A523" s="2738"/>
      <c r="B523" s="1863">
        <v>2047</v>
      </c>
      <c r="C523" s="218">
        <f t="shared" si="159"/>
        <v>0</v>
      </c>
      <c r="D523" s="218">
        <f t="shared" si="170"/>
        <v>0</v>
      </c>
      <c r="E523" s="218">
        <f t="shared" si="171"/>
        <v>0</v>
      </c>
      <c r="F523" s="218">
        <f t="shared" si="160"/>
        <v>0</v>
      </c>
      <c r="G523" s="218">
        <f t="shared" si="161"/>
        <v>0</v>
      </c>
      <c r="H523" s="218">
        <f t="shared" si="162"/>
        <v>0</v>
      </c>
      <c r="I523" s="218">
        <f t="shared" si="163"/>
        <v>0</v>
      </c>
      <c r="J523" s="218">
        <f t="shared" si="164"/>
        <v>0</v>
      </c>
      <c r="K523" s="218">
        <f t="shared" si="165"/>
        <v>0</v>
      </c>
      <c r="L523" s="192">
        <f t="shared" si="174"/>
        <v>0</v>
      </c>
      <c r="M523" s="211">
        <v>94</v>
      </c>
      <c r="N523" s="211">
        <f>(29.53*1.02)*0.5744*1.0824</f>
        <v>18.726897505536005</v>
      </c>
      <c r="O523" s="211">
        <f>(42.96*1.02)*0.5744*1.0824</f>
        <v>27.243735754752002</v>
      </c>
      <c r="P523" s="211">
        <f>(16.43*1.02)*0.5744*1.0824</f>
        <v>10.419333762816001</v>
      </c>
      <c r="Q523" s="211">
        <f>(12.76*1.02)*0.5744*1.0824</f>
        <v>8.0919475845120008</v>
      </c>
      <c r="R523" s="211">
        <f>(1.27*1.02)*0.5744*1.0824</f>
        <v>0.80538976742400015</v>
      </c>
      <c r="S523" s="211">
        <f>(0.0584*1.02)*0.5744*1.0824</f>
        <v>3.7035245998080002E-2</v>
      </c>
      <c r="T523" s="174">
        <f t="shared" si="175"/>
        <v>0</v>
      </c>
      <c r="U523" s="1850">
        <f t="shared" si="166"/>
        <v>0</v>
      </c>
      <c r="V523" s="1850">
        <f t="shared" si="167"/>
        <v>0</v>
      </c>
      <c r="W523" s="1850">
        <f t="shared" si="168"/>
        <v>0</v>
      </c>
      <c r="X523" s="1850">
        <f t="shared" si="169"/>
        <v>0</v>
      </c>
      <c r="Y523" s="1850">
        <f t="shared" si="172"/>
        <v>0</v>
      </c>
      <c r="Z523" s="1850">
        <f t="shared" si="173"/>
        <v>0</v>
      </c>
      <c r="AA523" s="2733"/>
    </row>
    <row r="524" spans="1:27" ht="18.75" x14ac:dyDescent="0.25">
      <c r="A524" s="2738"/>
      <c r="B524" s="1863">
        <v>2048</v>
      </c>
      <c r="C524" s="218">
        <f t="shared" si="159"/>
        <v>0</v>
      </c>
      <c r="D524" s="218">
        <f t="shared" si="170"/>
        <v>0</v>
      </c>
      <c r="E524" s="218">
        <f t="shared" si="171"/>
        <v>0</v>
      </c>
      <c r="F524" s="218">
        <f t="shared" si="160"/>
        <v>0</v>
      </c>
      <c r="G524" s="218">
        <f t="shared" si="161"/>
        <v>0</v>
      </c>
      <c r="H524" s="218">
        <f t="shared" si="162"/>
        <v>0</v>
      </c>
      <c r="I524" s="218">
        <f t="shared" si="163"/>
        <v>0</v>
      </c>
      <c r="J524" s="218">
        <f t="shared" si="164"/>
        <v>0</v>
      </c>
      <c r="K524" s="218">
        <f t="shared" si="165"/>
        <v>0</v>
      </c>
      <c r="L524" s="192">
        <f t="shared" si="174"/>
        <v>0</v>
      </c>
      <c r="M524" s="211">
        <v>95</v>
      </c>
      <c r="N524" s="211">
        <f>(29.53*1.02)*0.5631*1.0824</f>
        <v>18.358488832464005</v>
      </c>
      <c r="O524" s="211">
        <f>(42.96*1.02)*0.5631*1.0824</f>
        <v>26.707777861248005</v>
      </c>
      <c r="P524" s="211">
        <f>(16.43*1.02)*0.5631*1.0824</f>
        <v>10.214357315184001</v>
      </c>
      <c r="Q524" s="211">
        <f>(12.76*1.02)*0.5631*1.0824</f>
        <v>7.9327571114880007</v>
      </c>
      <c r="R524" s="211">
        <f>(1.27*1.02)*0.5631*1.0824</f>
        <v>0.78954557457600016</v>
      </c>
      <c r="S524" s="211">
        <f>(0.0584*1.02)*0.5631*1.0824</f>
        <v>3.6306662641920007E-2</v>
      </c>
      <c r="T524" s="174">
        <f t="shared" si="175"/>
        <v>0</v>
      </c>
      <c r="U524" s="1850">
        <f t="shared" si="166"/>
        <v>0</v>
      </c>
      <c r="V524" s="1850">
        <f t="shared" si="167"/>
        <v>0</v>
      </c>
      <c r="W524" s="1850">
        <f t="shared" si="168"/>
        <v>0</v>
      </c>
      <c r="X524" s="1850">
        <f t="shared" si="169"/>
        <v>0</v>
      </c>
      <c r="Y524" s="1850">
        <f t="shared" si="172"/>
        <v>0</v>
      </c>
      <c r="Z524" s="1850">
        <f t="shared" si="173"/>
        <v>0</v>
      </c>
      <c r="AA524" s="2733"/>
    </row>
    <row r="525" spans="1:27" ht="18.75" x14ac:dyDescent="0.25">
      <c r="A525" s="2738"/>
      <c r="B525" s="1863">
        <v>2049</v>
      </c>
      <c r="C525" s="218">
        <f t="shared" si="159"/>
        <v>0</v>
      </c>
      <c r="D525" s="218">
        <f t="shared" si="170"/>
        <v>0</v>
      </c>
      <c r="E525" s="218">
        <f t="shared" si="171"/>
        <v>0</v>
      </c>
      <c r="F525" s="218">
        <f t="shared" si="160"/>
        <v>0</v>
      </c>
      <c r="G525" s="218">
        <f t="shared" si="161"/>
        <v>0</v>
      </c>
      <c r="H525" s="218">
        <f t="shared" si="162"/>
        <v>0</v>
      </c>
      <c r="I525" s="218">
        <f t="shared" si="163"/>
        <v>0</v>
      </c>
      <c r="J525" s="218">
        <f t="shared" si="164"/>
        <v>0</v>
      </c>
      <c r="K525" s="218">
        <f t="shared" si="165"/>
        <v>0</v>
      </c>
      <c r="L525" s="192">
        <f t="shared" si="174"/>
        <v>0</v>
      </c>
      <c r="M525" s="211">
        <v>96</v>
      </c>
      <c r="N525" s="211">
        <f>(29.53*1.02)*0.5521*1.0824</f>
        <v>17.999860920624005</v>
      </c>
      <c r="O525" s="211">
        <f>(42.96*1.02)*0.5521*1.0824</f>
        <v>26.186048938368003</v>
      </c>
      <c r="P525" s="211">
        <f>(16.43*1.02)*0.5521*1.0824</f>
        <v>10.014822720144002</v>
      </c>
      <c r="Q525" s="211">
        <f>(12.76*1.02)*0.5521*1.0824</f>
        <v>7.7777929342080014</v>
      </c>
      <c r="R525" s="211">
        <f>(1.27*1.02)*0.5521*1.0824</f>
        <v>0.77412202401600017</v>
      </c>
      <c r="S525" s="211">
        <f>(0.0584*1.02)*0.5521*1.0824</f>
        <v>3.5597422206719999E-2</v>
      </c>
      <c r="T525" s="174">
        <f t="shared" si="175"/>
        <v>0</v>
      </c>
      <c r="U525" s="1850">
        <f t="shared" si="166"/>
        <v>0</v>
      </c>
      <c r="V525" s="1850">
        <f t="shared" si="167"/>
        <v>0</v>
      </c>
      <c r="W525" s="1850">
        <f t="shared" si="168"/>
        <v>0</v>
      </c>
      <c r="X525" s="1850">
        <f t="shared" si="169"/>
        <v>0</v>
      </c>
      <c r="Y525" s="1850">
        <f t="shared" si="172"/>
        <v>0</v>
      </c>
      <c r="Z525" s="1850">
        <f t="shared" si="173"/>
        <v>0</v>
      </c>
      <c r="AA525" s="2733"/>
    </row>
    <row r="526" spans="1:27" ht="18.75" x14ac:dyDescent="0.25">
      <c r="A526" s="2738"/>
      <c r="B526" s="1863">
        <v>2050</v>
      </c>
      <c r="C526" s="218">
        <f t="shared" si="159"/>
        <v>0</v>
      </c>
      <c r="D526" s="218">
        <f t="shared" si="170"/>
        <v>0</v>
      </c>
      <c r="E526" s="218">
        <f t="shared" si="171"/>
        <v>0</v>
      </c>
      <c r="F526" s="218">
        <f t="shared" si="160"/>
        <v>0</v>
      </c>
      <c r="G526" s="218">
        <f t="shared" si="161"/>
        <v>0</v>
      </c>
      <c r="H526" s="218">
        <f t="shared" si="162"/>
        <v>0</v>
      </c>
      <c r="I526" s="218">
        <f t="shared" si="163"/>
        <v>0</v>
      </c>
      <c r="J526" s="218">
        <f t="shared" si="164"/>
        <v>0</v>
      </c>
      <c r="K526" s="218">
        <f t="shared" si="165"/>
        <v>0</v>
      </c>
      <c r="L526" s="192">
        <f t="shared" si="174"/>
        <v>0</v>
      </c>
      <c r="M526" s="211">
        <v>97</v>
      </c>
      <c r="N526" s="211">
        <f>(29.53*1.02)*0.5412*1.0824</f>
        <v>17.644493262528005</v>
      </c>
      <c r="O526" s="211">
        <f>(42.96*1.02)*0.5412*1.0824</f>
        <v>25.669063005696003</v>
      </c>
      <c r="P526" s="211">
        <f>(16.43*1.02)*0.5412*1.0824</f>
        <v>9.8171020759680019</v>
      </c>
      <c r="Q526" s="211">
        <f>(12.76*1.02)*0.5412*1.0824</f>
        <v>7.624237522176001</v>
      </c>
      <c r="R526" s="211">
        <f>(1.27*1.02)*0.5412*1.0824</f>
        <v>0.75883868755200012</v>
      </c>
      <c r="S526" s="211">
        <f>(0.0584*1.02)*0.5412*1.0824</f>
        <v>3.4894629411840003E-2</v>
      </c>
      <c r="T526" s="174">
        <f t="shared" si="175"/>
        <v>0</v>
      </c>
      <c r="U526" s="1850">
        <f t="shared" si="166"/>
        <v>0</v>
      </c>
      <c r="V526" s="1850">
        <f t="shared" si="167"/>
        <v>0</v>
      </c>
      <c r="W526" s="1850">
        <f t="shared" si="168"/>
        <v>0</v>
      </c>
      <c r="X526" s="1850">
        <f t="shared" si="169"/>
        <v>0</v>
      </c>
      <c r="Y526" s="1850">
        <f t="shared" si="172"/>
        <v>0</v>
      </c>
      <c r="Z526" s="1850">
        <f t="shared" si="173"/>
        <v>0</v>
      </c>
      <c r="AA526" s="2733"/>
    </row>
    <row r="527" spans="1:27" ht="18.75" x14ac:dyDescent="0.25">
      <c r="A527" s="2738"/>
      <c r="B527" s="1863">
        <v>2051</v>
      </c>
      <c r="C527" s="218">
        <f t="shared" ref="C527:C545" si="176">$S$19</f>
        <v>0</v>
      </c>
      <c r="D527" s="218">
        <f t="shared" si="170"/>
        <v>0</v>
      </c>
      <c r="E527" s="218">
        <f t="shared" si="171"/>
        <v>0</v>
      </c>
      <c r="F527" s="218">
        <f t="shared" ref="F527:F545" si="177">$O$19</f>
        <v>0</v>
      </c>
      <c r="G527" s="218">
        <f t="shared" ref="G527:G545" si="178">$P$19</f>
        <v>0</v>
      </c>
      <c r="H527" s="218">
        <f t="shared" ref="H527:H545" si="179">$N$19</f>
        <v>0</v>
      </c>
      <c r="I527" s="218">
        <f t="shared" ref="I527:I545" si="180">$Q$19</f>
        <v>0</v>
      </c>
      <c r="J527" s="218">
        <f t="shared" ref="J527:J545" si="181">$L$19</f>
        <v>0</v>
      </c>
      <c r="K527" s="218">
        <f t="shared" ref="K527:K545" si="182">$M$19</f>
        <v>0</v>
      </c>
      <c r="L527" s="192">
        <f t="shared" si="174"/>
        <v>0</v>
      </c>
      <c r="M527" s="211">
        <v>97</v>
      </c>
      <c r="N527" s="211">
        <f>(29.53*1.02)*0.5306*1.0824</f>
        <v>17.298906365664003</v>
      </c>
      <c r="O527" s="211">
        <f>(42.96*1.02)*0.5306*1.0824</f>
        <v>25.166306043648003</v>
      </c>
      <c r="P527" s="211">
        <f>(16.43*1.02)*0.5306*1.0824</f>
        <v>9.624823284384</v>
      </c>
      <c r="Q527" s="211">
        <f>(12.76*1.02)*0.5306*1.0824</f>
        <v>7.4749084058879998</v>
      </c>
      <c r="R527" s="211">
        <f>(1.27*1.02)*0.5306*1.0824</f>
        <v>0.74397599337600007</v>
      </c>
      <c r="S527" s="211">
        <f>(0.0584*1.02)*0.5306*1.0824</f>
        <v>3.4211179537920001E-2</v>
      </c>
      <c r="T527" s="174">
        <f t="shared" si="175"/>
        <v>0</v>
      </c>
      <c r="U527" s="1850">
        <f t="shared" si="166"/>
        <v>0</v>
      </c>
      <c r="V527" s="1850">
        <f t="shared" si="167"/>
        <v>0</v>
      </c>
      <c r="W527" s="1850">
        <f t="shared" si="168"/>
        <v>0</v>
      </c>
      <c r="X527" s="1850">
        <f t="shared" si="169"/>
        <v>0</v>
      </c>
      <c r="Y527" s="1850">
        <f t="shared" si="172"/>
        <v>0</v>
      </c>
      <c r="Z527" s="1850">
        <f t="shared" si="173"/>
        <v>0</v>
      </c>
      <c r="AA527" s="2733"/>
    </row>
    <row r="528" spans="1:27" ht="18.75" x14ac:dyDescent="0.25">
      <c r="A528" s="2738"/>
      <c r="B528" s="1863">
        <v>2052</v>
      </c>
      <c r="C528" s="218">
        <f t="shared" si="176"/>
        <v>0</v>
      </c>
      <c r="D528" s="218">
        <f t="shared" si="170"/>
        <v>0</v>
      </c>
      <c r="E528" s="218">
        <f t="shared" si="171"/>
        <v>0</v>
      </c>
      <c r="F528" s="218">
        <f t="shared" si="177"/>
        <v>0</v>
      </c>
      <c r="G528" s="218">
        <f t="shared" si="178"/>
        <v>0</v>
      </c>
      <c r="H528" s="218">
        <f t="shared" si="179"/>
        <v>0</v>
      </c>
      <c r="I528" s="218">
        <f t="shared" si="180"/>
        <v>0</v>
      </c>
      <c r="J528" s="218">
        <f t="shared" si="181"/>
        <v>0</v>
      </c>
      <c r="K528" s="218">
        <f t="shared" si="182"/>
        <v>0</v>
      </c>
      <c r="L528" s="192">
        <f t="shared" si="174"/>
        <v>0</v>
      </c>
      <c r="M528" s="211">
        <v>97</v>
      </c>
      <c r="N528" s="211">
        <f>(29.53*1.02)*0.5202*1.0824</f>
        <v>16.959839976288002</v>
      </c>
      <c r="O528" s="211">
        <f>(42.96*1.02)*0.5202*1.0824</f>
        <v>24.673035062016002</v>
      </c>
      <c r="P528" s="211">
        <f>(16.43*1.02)*0.5202*1.0824</f>
        <v>9.4361723945280005</v>
      </c>
      <c r="Q528" s="211">
        <f>(12.76*1.02)*0.5202*1.0824</f>
        <v>7.3283968200960006</v>
      </c>
      <c r="R528" s="211">
        <f>(1.27*1.02)*0.5202*1.0824</f>
        <v>0.72939372739200004</v>
      </c>
      <c r="S528" s="211">
        <f>(0.0584*1.02)*0.5202*1.0824</f>
        <v>3.3540624944640003E-2</v>
      </c>
      <c r="T528" s="174">
        <f t="shared" si="175"/>
        <v>0</v>
      </c>
      <c r="U528" s="1850">
        <f t="shared" si="166"/>
        <v>0</v>
      </c>
      <c r="V528" s="1850">
        <f t="shared" si="167"/>
        <v>0</v>
      </c>
      <c r="W528" s="1850">
        <f t="shared" si="168"/>
        <v>0</v>
      </c>
      <c r="X528" s="1850">
        <f t="shared" si="169"/>
        <v>0</v>
      </c>
      <c r="Y528" s="1850">
        <f t="shared" si="172"/>
        <v>0</v>
      </c>
      <c r="Z528" s="1850">
        <f t="shared" si="173"/>
        <v>0</v>
      </c>
      <c r="AA528" s="2733"/>
    </row>
    <row r="529" spans="1:27" ht="18.75" x14ac:dyDescent="0.25">
      <c r="A529" s="2738"/>
      <c r="B529" s="1863">
        <v>2053</v>
      </c>
      <c r="C529" s="218">
        <f t="shared" si="176"/>
        <v>0</v>
      </c>
      <c r="D529" s="218">
        <f t="shared" si="170"/>
        <v>0</v>
      </c>
      <c r="E529" s="218">
        <f t="shared" si="171"/>
        <v>0</v>
      </c>
      <c r="F529" s="218">
        <f t="shared" si="177"/>
        <v>0</v>
      </c>
      <c r="G529" s="218">
        <f t="shared" si="178"/>
        <v>0</v>
      </c>
      <c r="H529" s="218">
        <f t="shared" si="179"/>
        <v>0</v>
      </c>
      <c r="I529" s="218">
        <f t="shared" si="180"/>
        <v>0</v>
      </c>
      <c r="J529" s="218">
        <f t="shared" si="181"/>
        <v>0</v>
      </c>
      <c r="K529" s="218">
        <f t="shared" si="182"/>
        <v>0</v>
      </c>
      <c r="L529" s="192">
        <f t="shared" si="174"/>
        <v>0</v>
      </c>
      <c r="M529" s="211">
        <v>97</v>
      </c>
      <c r="N529" s="211">
        <f>(29.53*1.02)*0.51*1</f>
        <v>15.361506000000002</v>
      </c>
      <c r="O529" s="211">
        <f>(42.96*1.02)*0.51*1.0824</f>
        <v>24.189250060800003</v>
      </c>
      <c r="P529" s="211">
        <f>(16.43*1.02)*0.51*1.0824</f>
        <v>9.2511494064000015</v>
      </c>
      <c r="Q529" s="211">
        <f>(12.76*1.02)*0.51*1.0824</f>
        <v>7.1847027647999999</v>
      </c>
      <c r="R529" s="211">
        <f>(1.27*1.02)*0.51*1.0824</f>
        <v>0.71509188960000014</v>
      </c>
      <c r="S529" s="211">
        <f>(0.0584*1.02)*0.51*1.0824</f>
        <v>3.2882965632000001E-2</v>
      </c>
      <c r="T529" s="174">
        <f t="shared" si="175"/>
        <v>0</v>
      </c>
      <c r="U529" s="1850">
        <f t="shared" si="166"/>
        <v>0</v>
      </c>
      <c r="V529" s="1850">
        <f t="shared" si="167"/>
        <v>0</v>
      </c>
      <c r="W529" s="1850">
        <f t="shared" si="168"/>
        <v>0</v>
      </c>
      <c r="X529" s="1850">
        <f t="shared" si="169"/>
        <v>0</v>
      </c>
      <c r="Y529" s="1850">
        <f t="shared" si="172"/>
        <v>0</v>
      </c>
      <c r="Z529" s="1850">
        <f t="shared" si="173"/>
        <v>0</v>
      </c>
      <c r="AA529" s="2733"/>
    </row>
    <row r="530" spans="1:27" ht="18.75" x14ac:dyDescent="0.25">
      <c r="A530" s="2738"/>
      <c r="B530" s="1863">
        <v>2054</v>
      </c>
      <c r="C530" s="218">
        <f t="shared" si="176"/>
        <v>0</v>
      </c>
      <c r="D530" s="218">
        <f t="shared" si="170"/>
        <v>0</v>
      </c>
      <c r="E530" s="218">
        <f t="shared" si="171"/>
        <v>0</v>
      </c>
      <c r="F530" s="218">
        <f t="shared" si="177"/>
        <v>0</v>
      </c>
      <c r="G530" s="218">
        <f t="shared" si="178"/>
        <v>0</v>
      </c>
      <c r="H530" s="218">
        <f t="shared" si="179"/>
        <v>0</v>
      </c>
      <c r="I530" s="218">
        <f t="shared" si="180"/>
        <v>0</v>
      </c>
      <c r="J530" s="218">
        <f t="shared" si="181"/>
        <v>0</v>
      </c>
      <c r="K530" s="218">
        <f t="shared" si="182"/>
        <v>0</v>
      </c>
      <c r="L530" s="192">
        <f t="shared" si="174"/>
        <v>0</v>
      </c>
      <c r="M530" s="211">
        <v>97</v>
      </c>
      <c r="N530" s="211">
        <f>(29.53*1.02)*0.5*1.0824</f>
        <v>16.301268720000003</v>
      </c>
      <c r="O530" s="211">
        <f>(42.96*1.02)*0.5*1.0824</f>
        <v>23.714951040000003</v>
      </c>
      <c r="P530" s="211">
        <f>(16.43*1.02)*0.5*1.0824</f>
        <v>9.0697543200000013</v>
      </c>
      <c r="Q530" s="211">
        <f>(12.76*1.02)*0.5*1.0824</f>
        <v>7.0438262400000005</v>
      </c>
      <c r="R530" s="211">
        <f>(1.27*1.02)*0.5*1.0824</f>
        <v>0.70107048000000005</v>
      </c>
      <c r="S530" s="211">
        <f>(0.0584*1.02)*0.5*1.0824</f>
        <v>3.2238201600000002E-2</v>
      </c>
      <c r="T530" s="174">
        <f t="shared" si="175"/>
        <v>0</v>
      </c>
      <c r="U530" s="1850">
        <f t="shared" si="166"/>
        <v>0</v>
      </c>
      <c r="V530" s="1850">
        <f t="shared" si="167"/>
        <v>0</v>
      </c>
      <c r="W530" s="1850">
        <f t="shared" si="168"/>
        <v>0</v>
      </c>
      <c r="X530" s="1850">
        <f t="shared" si="169"/>
        <v>0</v>
      </c>
      <c r="Y530" s="1850">
        <f t="shared" si="172"/>
        <v>0</v>
      </c>
      <c r="Z530" s="1850">
        <f t="shared" si="173"/>
        <v>0</v>
      </c>
      <c r="AA530" s="2733"/>
    </row>
    <row r="531" spans="1:27" ht="18.75" x14ac:dyDescent="0.25">
      <c r="A531" s="2738"/>
      <c r="B531" s="1863">
        <v>2055</v>
      </c>
      <c r="C531" s="218">
        <f t="shared" si="176"/>
        <v>0</v>
      </c>
      <c r="D531" s="218">
        <f t="shared" si="170"/>
        <v>0</v>
      </c>
      <c r="E531" s="218">
        <f t="shared" si="171"/>
        <v>0</v>
      </c>
      <c r="F531" s="218">
        <f t="shared" si="177"/>
        <v>0</v>
      </c>
      <c r="G531" s="218">
        <f t="shared" si="178"/>
        <v>0</v>
      </c>
      <c r="H531" s="218">
        <f t="shared" si="179"/>
        <v>0</v>
      </c>
      <c r="I531" s="218">
        <f t="shared" si="180"/>
        <v>0</v>
      </c>
      <c r="J531" s="218">
        <f t="shared" si="181"/>
        <v>0</v>
      </c>
      <c r="K531" s="218">
        <f t="shared" si="182"/>
        <v>0</v>
      </c>
      <c r="L531" s="192">
        <f t="shared" si="174"/>
        <v>0</v>
      </c>
      <c r="M531" s="211">
        <v>97</v>
      </c>
      <c r="N531" s="211">
        <f>(29.53*1.02)*0.4902*1.0824</f>
        <v>15.981763853088003</v>
      </c>
      <c r="O531" s="211">
        <f>(42.96*1.02)*0.4902*1.0824</f>
        <v>23.250137999616001</v>
      </c>
      <c r="P531" s="211">
        <f>(16.43*1.02)*0.4902*1.0824</f>
        <v>8.8919871353280016</v>
      </c>
      <c r="Q531" s="211">
        <f>(12.76*1.02)*0.4902*1.0824</f>
        <v>6.9057672456960004</v>
      </c>
      <c r="R531" s="211">
        <f>(1.27*1.02)*0.4902*1.0824</f>
        <v>0.6873294985920001</v>
      </c>
      <c r="S531" s="211">
        <f>(0.0584*1.02)*0.4902*1.0824</f>
        <v>3.1606332848640006E-2</v>
      </c>
      <c r="T531" s="174">
        <f t="shared" si="175"/>
        <v>0</v>
      </c>
      <c r="U531" s="1850">
        <f t="shared" si="166"/>
        <v>0</v>
      </c>
      <c r="V531" s="1850">
        <f t="shared" si="167"/>
        <v>0</v>
      </c>
      <c r="W531" s="1850">
        <f t="shared" si="168"/>
        <v>0</v>
      </c>
      <c r="X531" s="1850">
        <f t="shared" si="169"/>
        <v>0</v>
      </c>
      <c r="Y531" s="1850">
        <f t="shared" si="172"/>
        <v>0</v>
      </c>
      <c r="Z531" s="1850">
        <f t="shared" si="173"/>
        <v>0</v>
      </c>
      <c r="AA531" s="2733"/>
    </row>
    <row r="532" spans="1:27" ht="18.75" x14ac:dyDescent="0.25">
      <c r="A532" s="2738"/>
      <c r="B532" s="1863">
        <v>2056</v>
      </c>
      <c r="C532" s="218">
        <f t="shared" si="176"/>
        <v>0</v>
      </c>
      <c r="D532" s="218">
        <f t="shared" si="170"/>
        <v>0</v>
      </c>
      <c r="E532" s="218">
        <f t="shared" si="171"/>
        <v>0</v>
      </c>
      <c r="F532" s="218">
        <f t="shared" si="177"/>
        <v>0</v>
      </c>
      <c r="G532" s="218">
        <f t="shared" si="178"/>
        <v>0</v>
      </c>
      <c r="H532" s="218">
        <f t="shared" si="179"/>
        <v>0</v>
      </c>
      <c r="I532" s="218">
        <f t="shared" si="180"/>
        <v>0</v>
      </c>
      <c r="J532" s="218">
        <f t="shared" si="181"/>
        <v>0</v>
      </c>
      <c r="K532" s="218">
        <f t="shared" si="182"/>
        <v>0</v>
      </c>
      <c r="L532" s="192">
        <f t="shared" si="174"/>
        <v>0</v>
      </c>
      <c r="M532" s="211">
        <v>97</v>
      </c>
      <c r="N532" s="211">
        <f>(29.53*1.02)*0.4806*1.0824</f>
        <v>15.668779493664003</v>
      </c>
      <c r="O532" s="211">
        <f>(42.96*1.02)*0.4806*1.0824</f>
        <v>22.794810939648006</v>
      </c>
      <c r="P532" s="211">
        <f>(16.43*1.02)*0.4806*1.0824</f>
        <v>8.7178478523840006</v>
      </c>
      <c r="Q532" s="211">
        <f>(12.76*1.02)*0.4806*1.0824</f>
        <v>6.7705257818880007</v>
      </c>
      <c r="R532" s="211">
        <f>(1.27*1.02)*0.4806*1.0824</f>
        <v>0.67386894537600017</v>
      </c>
      <c r="S532" s="211">
        <f>(0.0584*1.02)*0.4806*1.0824</f>
        <v>3.0987359377920003E-2</v>
      </c>
      <c r="T532" s="174">
        <f t="shared" si="175"/>
        <v>0</v>
      </c>
      <c r="U532" s="1850">
        <f t="shared" si="166"/>
        <v>0</v>
      </c>
      <c r="V532" s="1850">
        <f t="shared" si="167"/>
        <v>0</v>
      </c>
      <c r="W532" s="1850">
        <f t="shared" si="168"/>
        <v>0</v>
      </c>
      <c r="X532" s="1850">
        <f t="shared" si="169"/>
        <v>0</v>
      </c>
      <c r="Y532" s="1850">
        <f t="shared" si="172"/>
        <v>0</v>
      </c>
      <c r="Z532" s="1850">
        <f t="shared" si="173"/>
        <v>0</v>
      </c>
      <c r="AA532" s="2733"/>
    </row>
    <row r="533" spans="1:27" ht="18.75" x14ac:dyDescent="0.25">
      <c r="A533" s="2738"/>
      <c r="B533" s="1863">
        <v>2057</v>
      </c>
      <c r="C533" s="218">
        <f t="shared" si="176"/>
        <v>0</v>
      </c>
      <c r="D533" s="218">
        <f t="shared" si="170"/>
        <v>0</v>
      </c>
      <c r="E533" s="218">
        <f t="shared" si="171"/>
        <v>0</v>
      </c>
      <c r="F533" s="218">
        <f t="shared" si="177"/>
        <v>0</v>
      </c>
      <c r="G533" s="218">
        <f t="shared" si="178"/>
        <v>0</v>
      </c>
      <c r="H533" s="218">
        <f t="shared" si="179"/>
        <v>0</v>
      </c>
      <c r="I533" s="218">
        <f t="shared" si="180"/>
        <v>0</v>
      </c>
      <c r="J533" s="218">
        <f t="shared" si="181"/>
        <v>0</v>
      </c>
      <c r="K533" s="218">
        <f t="shared" si="182"/>
        <v>0</v>
      </c>
      <c r="L533" s="192">
        <f t="shared" si="174"/>
        <v>0</v>
      </c>
      <c r="M533" s="211">
        <v>97</v>
      </c>
      <c r="N533" s="211">
        <f>(29.53*1.02)*0.4712*1.0824</f>
        <v>15.362315641728001</v>
      </c>
      <c r="O533" s="211">
        <f>(42.96*1.02)*0.4712*1.0824</f>
        <v>22.348969860096002</v>
      </c>
      <c r="P533" s="211">
        <f>(16.43*1.02)*0.4712*1.0824</f>
        <v>8.547336471168002</v>
      </c>
      <c r="Q533" s="211">
        <f>(12.76*1.02)*0.4712*1.0824</f>
        <v>6.6381018485760004</v>
      </c>
      <c r="R533" s="211">
        <f>(1.27*1.02)*0.4712*1.0824</f>
        <v>0.66068882035200005</v>
      </c>
      <c r="S533" s="211">
        <f>(0.0584*1.02)*0.4712*1.0824</f>
        <v>3.038128118784E-2</v>
      </c>
      <c r="T533" s="174">
        <f t="shared" si="175"/>
        <v>0</v>
      </c>
      <c r="U533" s="1850">
        <f t="shared" si="166"/>
        <v>0</v>
      </c>
      <c r="V533" s="1850">
        <f t="shared" si="167"/>
        <v>0</v>
      </c>
      <c r="W533" s="1850">
        <f t="shared" si="168"/>
        <v>0</v>
      </c>
      <c r="X533" s="1850">
        <f t="shared" si="169"/>
        <v>0</v>
      </c>
      <c r="Y533" s="1850">
        <f t="shared" si="172"/>
        <v>0</v>
      </c>
      <c r="Z533" s="1850">
        <f t="shared" si="173"/>
        <v>0</v>
      </c>
      <c r="AA533" s="2733"/>
    </row>
    <row r="534" spans="1:27" ht="18.75" x14ac:dyDescent="0.25">
      <c r="A534" s="2738"/>
      <c r="B534" s="1863">
        <v>2058</v>
      </c>
      <c r="C534" s="218">
        <f t="shared" si="176"/>
        <v>0</v>
      </c>
      <c r="D534" s="218">
        <f t="shared" si="170"/>
        <v>0</v>
      </c>
      <c r="E534" s="218">
        <f t="shared" si="171"/>
        <v>0</v>
      </c>
      <c r="F534" s="218">
        <f t="shared" si="177"/>
        <v>0</v>
      </c>
      <c r="G534" s="218">
        <f t="shared" si="178"/>
        <v>0</v>
      </c>
      <c r="H534" s="218">
        <f t="shared" si="179"/>
        <v>0</v>
      </c>
      <c r="I534" s="218">
        <f t="shared" si="180"/>
        <v>0</v>
      </c>
      <c r="J534" s="218">
        <f t="shared" si="181"/>
        <v>0</v>
      </c>
      <c r="K534" s="218">
        <f t="shared" si="182"/>
        <v>0</v>
      </c>
      <c r="L534" s="192">
        <f t="shared" si="174"/>
        <v>0</v>
      </c>
      <c r="M534" s="211">
        <v>97</v>
      </c>
      <c r="N534" s="211">
        <f>(29.53*1.02)*0.4619*1.0824</f>
        <v>15.059112043536</v>
      </c>
      <c r="O534" s="211">
        <f>(42.96*1.02)*0.4619*1.0824</f>
        <v>21.907871770752003</v>
      </c>
      <c r="P534" s="211">
        <f>(16.43*1.02)*0.4619*1.0824</f>
        <v>8.378639040816001</v>
      </c>
      <c r="Q534" s="211">
        <f>(12.76*1.02)*0.4619*1.0824</f>
        <v>6.5070866805119998</v>
      </c>
      <c r="R534" s="211">
        <f>(1.27*1.02)*0.4619*1.0824</f>
        <v>0.647648909424</v>
      </c>
      <c r="S534" s="211">
        <f>(0.0584*1.02)*0.4619*1.0824</f>
        <v>2.9781650638080002E-2</v>
      </c>
      <c r="T534" s="174">
        <f t="shared" si="175"/>
        <v>0</v>
      </c>
      <c r="U534" s="1850">
        <f t="shared" si="166"/>
        <v>0</v>
      </c>
      <c r="V534" s="1850">
        <f t="shared" si="167"/>
        <v>0</v>
      </c>
      <c r="W534" s="1850">
        <f t="shared" si="168"/>
        <v>0</v>
      </c>
      <c r="X534" s="1850">
        <f t="shared" si="169"/>
        <v>0</v>
      </c>
      <c r="Y534" s="1850">
        <f t="shared" si="172"/>
        <v>0</v>
      </c>
      <c r="Z534" s="1850">
        <f t="shared" si="173"/>
        <v>0</v>
      </c>
      <c r="AA534" s="2733"/>
    </row>
    <row r="535" spans="1:27" ht="18.75" x14ac:dyDescent="0.25">
      <c r="A535" s="2738"/>
      <c r="B535" s="1863">
        <v>2059</v>
      </c>
      <c r="C535" s="218">
        <f t="shared" si="176"/>
        <v>0</v>
      </c>
      <c r="D535" s="218">
        <f t="shared" si="170"/>
        <v>0</v>
      </c>
      <c r="E535" s="218">
        <f t="shared" si="171"/>
        <v>0</v>
      </c>
      <c r="F535" s="218">
        <f t="shared" si="177"/>
        <v>0</v>
      </c>
      <c r="G535" s="218">
        <f t="shared" si="178"/>
        <v>0</v>
      </c>
      <c r="H535" s="218">
        <f t="shared" si="179"/>
        <v>0</v>
      </c>
      <c r="I535" s="218">
        <f t="shared" si="180"/>
        <v>0</v>
      </c>
      <c r="J535" s="218">
        <f t="shared" si="181"/>
        <v>0</v>
      </c>
      <c r="K535" s="218">
        <f t="shared" si="182"/>
        <v>0</v>
      </c>
      <c r="L535" s="192">
        <f t="shared" si="174"/>
        <v>0</v>
      </c>
      <c r="M535" s="211">
        <v>97</v>
      </c>
      <c r="N535" s="211">
        <f>(29.53*1.02)*0.4529*1.0824</f>
        <v>14.765689206576004</v>
      </c>
      <c r="O535" s="211">
        <f>(42.96*1.02)*0.4529*1.0824</f>
        <v>21.481002652032004</v>
      </c>
      <c r="P535" s="211">
        <f>(16.43*1.02)*0.4529*1.0824</f>
        <v>8.2153834630560016</v>
      </c>
      <c r="Q535" s="211">
        <f>(12.76*1.02)*0.4529*1.0824</f>
        <v>6.380297808192001</v>
      </c>
      <c r="R535" s="211">
        <f>(1.27*1.02)*0.4529*1.0824</f>
        <v>0.63502964078400004</v>
      </c>
      <c r="S535" s="211">
        <f>(0.0584*1.02)*0.4529*1.0824</f>
        <v>2.9201363009280005E-2</v>
      </c>
      <c r="T535" s="174">
        <f t="shared" si="175"/>
        <v>0</v>
      </c>
      <c r="U535" s="1850">
        <f t="shared" si="166"/>
        <v>0</v>
      </c>
      <c r="V535" s="1850">
        <f t="shared" si="167"/>
        <v>0</v>
      </c>
      <c r="W535" s="1850">
        <f t="shared" si="168"/>
        <v>0</v>
      </c>
      <c r="X535" s="1850">
        <f t="shared" si="169"/>
        <v>0</v>
      </c>
      <c r="Y535" s="1850">
        <f t="shared" si="172"/>
        <v>0</v>
      </c>
      <c r="Z535" s="1850">
        <f t="shared" si="173"/>
        <v>0</v>
      </c>
      <c r="AA535" s="2733"/>
    </row>
    <row r="536" spans="1:27" ht="18.75" x14ac:dyDescent="0.25">
      <c r="A536" s="2738"/>
      <c r="B536" s="1863">
        <v>2060</v>
      </c>
      <c r="C536" s="218">
        <f t="shared" si="176"/>
        <v>0</v>
      </c>
      <c r="D536" s="218">
        <f t="shared" si="170"/>
        <v>0</v>
      </c>
      <c r="E536" s="218">
        <f t="shared" si="171"/>
        <v>0</v>
      </c>
      <c r="F536" s="218">
        <f t="shared" si="177"/>
        <v>0</v>
      </c>
      <c r="G536" s="218">
        <f t="shared" si="178"/>
        <v>0</v>
      </c>
      <c r="H536" s="218">
        <f t="shared" si="179"/>
        <v>0</v>
      </c>
      <c r="I536" s="218">
        <f t="shared" si="180"/>
        <v>0</v>
      </c>
      <c r="J536" s="218">
        <f t="shared" si="181"/>
        <v>0</v>
      </c>
      <c r="K536" s="218">
        <f t="shared" si="182"/>
        <v>0</v>
      </c>
      <c r="L536" s="192">
        <f t="shared" si="174"/>
        <v>0</v>
      </c>
      <c r="M536" s="211">
        <v>97</v>
      </c>
      <c r="N536" s="211">
        <f>(29.53*1.02)*0.444*1.0824</f>
        <v>14.475526623360002</v>
      </c>
      <c r="O536" s="211">
        <f>(42.96*1.02)*0.444*1.0824</f>
        <v>21.058876523520002</v>
      </c>
      <c r="P536" s="211">
        <f>(16.43*1.02)*0.444*1.0824</f>
        <v>8.0539418361599999</v>
      </c>
      <c r="Q536" s="211">
        <f>(12.76*1.02)*0.444*1.0824</f>
        <v>6.2549177011200001</v>
      </c>
      <c r="R536" s="211">
        <f>(1.27*1.02)*0.444*1.0824</f>
        <v>0.62255058624000004</v>
      </c>
      <c r="S536" s="211">
        <f>(0.0584*1.02)*0.444*1.0824</f>
        <v>2.8627523020800003E-2</v>
      </c>
      <c r="T536" s="174">
        <f t="shared" si="175"/>
        <v>0</v>
      </c>
      <c r="U536" s="1850">
        <f t="shared" si="166"/>
        <v>0</v>
      </c>
      <c r="V536" s="1850">
        <f t="shared" si="167"/>
        <v>0</v>
      </c>
      <c r="W536" s="1850">
        <f t="shared" si="168"/>
        <v>0</v>
      </c>
      <c r="X536" s="1850">
        <f t="shared" si="169"/>
        <v>0</v>
      </c>
      <c r="Y536" s="1850">
        <f t="shared" si="172"/>
        <v>0</v>
      </c>
      <c r="Z536" s="1850">
        <f t="shared" si="173"/>
        <v>0</v>
      </c>
      <c r="AA536" s="2733"/>
    </row>
    <row r="537" spans="1:27" ht="18.75" x14ac:dyDescent="0.25">
      <c r="A537" s="2738"/>
      <c r="B537" s="1863">
        <v>2061</v>
      </c>
      <c r="C537" s="218">
        <f t="shared" si="176"/>
        <v>0</v>
      </c>
      <c r="D537" s="218">
        <f t="shared" si="170"/>
        <v>0</v>
      </c>
      <c r="E537" s="218">
        <f t="shared" si="171"/>
        <v>0</v>
      </c>
      <c r="F537" s="218">
        <f t="shared" si="177"/>
        <v>0</v>
      </c>
      <c r="G537" s="218">
        <f t="shared" si="178"/>
        <v>0</v>
      </c>
      <c r="H537" s="218">
        <f t="shared" si="179"/>
        <v>0</v>
      </c>
      <c r="I537" s="218">
        <f t="shared" si="180"/>
        <v>0</v>
      </c>
      <c r="J537" s="218">
        <f t="shared" si="181"/>
        <v>0</v>
      </c>
      <c r="K537" s="218">
        <f t="shared" si="182"/>
        <v>0</v>
      </c>
      <c r="L537" s="192">
        <f t="shared" si="174"/>
        <v>0</v>
      </c>
      <c r="M537" s="211">
        <v>97</v>
      </c>
      <c r="N537" s="211">
        <f>(29.53*1.02)*0.4353*1.0824</f>
        <v>14.191884547632004</v>
      </c>
      <c r="O537" s="211">
        <f>(42.96*1.02)*0.4353*1.0824</f>
        <v>20.646236375424003</v>
      </c>
      <c r="P537" s="211">
        <f>(16.43*1.02)*0.4353*1.0824</f>
        <v>7.8961281109920014</v>
      </c>
      <c r="Q537" s="211">
        <f>(12.76*1.02)*0.4353*1.0824</f>
        <v>6.1323551245440004</v>
      </c>
      <c r="R537" s="211">
        <f>(1.27*1.02)*0.4353*1.0824</f>
        <v>0.61035195988800006</v>
      </c>
      <c r="S537" s="211">
        <f>(0.0584*1.02)*0.4353*1.0824</f>
        <v>2.8066578312960003E-2</v>
      </c>
      <c r="T537" s="174">
        <f t="shared" si="175"/>
        <v>0</v>
      </c>
      <c r="U537" s="1850">
        <f t="shared" si="166"/>
        <v>0</v>
      </c>
      <c r="V537" s="1850">
        <f t="shared" si="167"/>
        <v>0</v>
      </c>
      <c r="W537" s="1850">
        <f t="shared" si="168"/>
        <v>0</v>
      </c>
      <c r="X537" s="1850">
        <f t="shared" si="169"/>
        <v>0</v>
      </c>
      <c r="Y537" s="1850">
        <f t="shared" si="172"/>
        <v>0</v>
      </c>
      <c r="Z537" s="1850">
        <f t="shared" si="173"/>
        <v>0</v>
      </c>
      <c r="AA537" s="2733"/>
    </row>
    <row r="538" spans="1:27" ht="18.75" x14ac:dyDescent="0.25">
      <c r="A538" s="2738"/>
      <c r="B538" s="1863">
        <v>2062</v>
      </c>
      <c r="C538" s="218">
        <f t="shared" si="176"/>
        <v>0</v>
      </c>
      <c r="D538" s="218">
        <f t="shared" si="170"/>
        <v>0</v>
      </c>
      <c r="E538" s="218">
        <f t="shared" si="171"/>
        <v>0</v>
      </c>
      <c r="F538" s="218">
        <f t="shared" si="177"/>
        <v>0</v>
      </c>
      <c r="G538" s="218">
        <f t="shared" si="178"/>
        <v>0</v>
      </c>
      <c r="H538" s="218">
        <f t="shared" si="179"/>
        <v>0</v>
      </c>
      <c r="I538" s="218">
        <f t="shared" si="180"/>
        <v>0</v>
      </c>
      <c r="J538" s="218">
        <f t="shared" si="181"/>
        <v>0</v>
      </c>
      <c r="K538" s="218">
        <f t="shared" si="182"/>
        <v>0</v>
      </c>
      <c r="L538" s="192">
        <f t="shared" si="174"/>
        <v>0</v>
      </c>
      <c r="M538" s="211">
        <v>97</v>
      </c>
      <c r="N538" s="211">
        <f>(29.53*1.02)*0.4268*1.0824</f>
        <v>13.914762979392002</v>
      </c>
      <c r="O538" s="211">
        <f>(42.96*1.02)*0.4268*1.0824</f>
        <v>20.243082207744003</v>
      </c>
      <c r="P538" s="211">
        <f>(16.43*1.02)*0.4268*1.0824</f>
        <v>7.7419422875520008</v>
      </c>
      <c r="Q538" s="211">
        <f>(12.76*1.02)*0.4268*1.0824</f>
        <v>6.0126100784640002</v>
      </c>
      <c r="R538" s="211">
        <f>(1.27*1.02)*0.4268*1.0824</f>
        <v>0.59843376172800011</v>
      </c>
      <c r="S538" s="211">
        <f>(0.0584*1.02)*0.4268*1.0824</f>
        <v>2.7518528885760004E-2</v>
      </c>
      <c r="T538" s="174">
        <f t="shared" si="175"/>
        <v>0</v>
      </c>
      <c r="U538" s="1850">
        <f t="shared" si="166"/>
        <v>0</v>
      </c>
      <c r="V538" s="1850">
        <f t="shared" si="167"/>
        <v>0</v>
      </c>
      <c r="W538" s="1850">
        <f t="shared" si="168"/>
        <v>0</v>
      </c>
      <c r="X538" s="1850">
        <f t="shared" si="169"/>
        <v>0</v>
      </c>
      <c r="Y538" s="1850">
        <f t="shared" si="172"/>
        <v>0</v>
      </c>
      <c r="Z538" s="1850">
        <f t="shared" si="173"/>
        <v>0</v>
      </c>
      <c r="AA538" s="2733"/>
    </row>
    <row r="539" spans="1:27" ht="18.75" x14ac:dyDescent="0.25">
      <c r="A539" s="2738"/>
      <c r="B539" s="1863">
        <v>2063</v>
      </c>
      <c r="C539" s="218">
        <f t="shared" si="176"/>
        <v>0</v>
      </c>
      <c r="D539" s="218">
        <f t="shared" si="170"/>
        <v>0</v>
      </c>
      <c r="E539" s="218">
        <f t="shared" si="171"/>
        <v>0</v>
      </c>
      <c r="F539" s="218">
        <f t="shared" si="177"/>
        <v>0</v>
      </c>
      <c r="G539" s="218">
        <f t="shared" si="178"/>
        <v>0</v>
      </c>
      <c r="H539" s="218">
        <f t="shared" si="179"/>
        <v>0</v>
      </c>
      <c r="I539" s="218">
        <f t="shared" si="180"/>
        <v>0</v>
      </c>
      <c r="J539" s="218">
        <f t="shared" si="181"/>
        <v>0</v>
      </c>
      <c r="K539" s="218">
        <f t="shared" si="182"/>
        <v>0</v>
      </c>
      <c r="L539" s="192">
        <f t="shared" si="174"/>
        <v>0</v>
      </c>
      <c r="M539" s="211">
        <v>97</v>
      </c>
      <c r="N539" s="211">
        <f>(29.53*1.02)*0.4184*1.0824</f>
        <v>13.640901664896001</v>
      </c>
      <c r="O539" s="211">
        <f>(42.96*1.02)*0.4184*1.0824</f>
        <v>19.844671030272</v>
      </c>
      <c r="P539" s="211">
        <f>(16.43*1.02)*0.4184*1.0824</f>
        <v>7.5895704149760004</v>
      </c>
      <c r="Q539" s="211">
        <f>(12.76*1.02)*0.4184*1.0824</f>
        <v>5.8942737976319997</v>
      </c>
      <c r="R539" s="211">
        <f>(1.27*1.02)*0.4184*1.0824</f>
        <v>0.58665577766400001</v>
      </c>
      <c r="S539" s="211">
        <f>(0.0584*1.02)*0.4184*1.0824</f>
        <v>2.6976927098879999E-2</v>
      </c>
      <c r="T539" s="174">
        <f t="shared" si="175"/>
        <v>0</v>
      </c>
      <c r="U539" s="1850">
        <f t="shared" si="166"/>
        <v>0</v>
      </c>
      <c r="V539" s="1850">
        <f t="shared" si="167"/>
        <v>0</v>
      </c>
      <c r="W539" s="1850">
        <f t="shared" si="168"/>
        <v>0</v>
      </c>
      <c r="X539" s="1850">
        <f t="shared" si="169"/>
        <v>0</v>
      </c>
      <c r="Y539" s="1850">
        <f t="shared" si="172"/>
        <v>0</v>
      </c>
      <c r="Z539" s="1850">
        <f t="shared" si="173"/>
        <v>0</v>
      </c>
      <c r="AA539" s="2733"/>
    </row>
    <row r="540" spans="1:27" ht="18.75" x14ac:dyDescent="0.25">
      <c r="A540" s="2738"/>
      <c r="B540" s="1863">
        <v>2064</v>
      </c>
      <c r="C540" s="218">
        <f t="shared" si="176"/>
        <v>0</v>
      </c>
      <c r="D540" s="218">
        <f t="shared" si="170"/>
        <v>0</v>
      </c>
      <c r="E540" s="218">
        <f t="shared" si="171"/>
        <v>0</v>
      </c>
      <c r="F540" s="218">
        <f t="shared" si="177"/>
        <v>0</v>
      </c>
      <c r="G540" s="218">
        <f t="shared" si="178"/>
        <v>0</v>
      </c>
      <c r="H540" s="218">
        <f t="shared" si="179"/>
        <v>0</v>
      </c>
      <c r="I540" s="218">
        <f t="shared" si="180"/>
        <v>0</v>
      </c>
      <c r="J540" s="218">
        <f t="shared" si="181"/>
        <v>0</v>
      </c>
      <c r="K540" s="218">
        <f t="shared" si="182"/>
        <v>0</v>
      </c>
      <c r="L540" s="192">
        <f t="shared" si="174"/>
        <v>0</v>
      </c>
      <c r="M540" s="211">
        <v>97</v>
      </c>
      <c r="N540" s="211">
        <f>(29.53*1.02)*0.4102*1.0824</f>
        <v>13.373560857888002</v>
      </c>
      <c r="O540" s="211">
        <f>(42.96*1.02)*0.4102*1.0824</f>
        <v>19.455745833216003</v>
      </c>
      <c r="P540" s="211">
        <f>(16.43*1.02)*0.4102*1.0824</f>
        <v>7.4408264441280014</v>
      </c>
      <c r="Q540" s="211">
        <f>(12.76*1.02)*0.4102*1.0824</f>
        <v>5.7787550472960003</v>
      </c>
      <c r="R540" s="211">
        <f>(1.27*1.02)*0.4102*1.0824</f>
        <v>0.57515822179200005</v>
      </c>
      <c r="S540" s="211">
        <f>(0.0584*1.02)*0.4102*1.0824</f>
        <v>2.6448220592640001E-2</v>
      </c>
      <c r="T540" s="174">
        <f t="shared" si="175"/>
        <v>0</v>
      </c>
      <c r="U540" s="1850">
        <f t="shared" si="166"/>
        <v>0</v>
      </c>
      <c r="V540" s="1850">
        <f t="shared" si="167"/>
        <v>0</v>
      </c>
      <c r="W540" s="1850">
        <f t="shared" si="168"/>
        <v>0</v>
      </c>
      <c r="X540" s="1850">
        <f t="shared" si="169"/>
        <v>0</v>
      </c>
      <c r="Y540" s="1850">
        <f t="shared" si="172"/>
        <v>0</v>
      </c>
      <c r="Z540" s="1850">
        <f t="shared" si="173"/>
        <v>0</v>
      </c>
      <c r="AA540" s="2733"/>
    </row>
    <row r="541" spans="1:27" ht="18.75" x14ac:dyDescent="0.25">
      <c r="A541" s="2738"/>
      <c r="B541" s="1863">
        <v>2065</v>
      </c>
      <c r="C541" s="218">
        <f t="shared" si="176"/>
        <v>0</v>
      </c>
      <c r="D541" s="218">
        <f t="shared" si="170"/>
        <v>0</v>
      </c>
      <c r="E541" s="218">
        <f t="shared" si="171"/>
        <v>0</v>
      </c>
      <c r="F541" s="218">
        <f t="shared" si="177"/>
        <v>0</v>
      </c>
      <c r="G541" s="218">
        <f t="shared" si="178"/>
        <v>0</v>
      </c>
      <c r="H541" s="218">
        <f t="shared" si="179"/>
        <v>0</v>
      </c>
      <c r="I541" s="218">
        <f t="shared" si="180"/>
        <v>0</v>
      </c>
      <c r="J541" s="218">
        <f t="shared" si="181"/>
        <v>0</v>
      </c>
      <c r="K541" s="218">
        <f t="shared" si="182"/>
        <v>0</v>
      </c>
      <c r="L541" s="192">
        <f t="shared" si="174"/>
        <v>0</v>
      </c>
      <c r="M541" s="211">
        <v>97</v>
      </c>
      <c r="N541" s="211">
        <f>(29.53*1.02)*0.4022*1.0824</f>
        <v>13.112740558368001</v>
      </c>
      <c r="O541" s="211">
        <f>(42.96*1.02)*0.4022*1.0824</f>
        <v>19.076306616576002</v>
      </c>
      <c r="P541" s="211">
        <f>(16.43*1.02)*0.4022*1.0824</f>
        <v>7.2957103750080003</v>
      </c>
      <c r="Q541" s="211">
        <f>(12.76*1.02)*0.4022*1.0824</f>
        <v>5.6660538274560004</v>
      </c>
      <c r="R541" s="211">
        <f>(1.27*1.02)*0.4022*1.0824</f>
        <v>0.56394109411200011</v>
      </c>
      <c r="S541" s="211">
        <f>(0.0584*1.02)*0.4022*1.0824</f>
        <v>2.5932409367040003E-2</v>
      </c>
      <c r="T541" s="174">
        <f t="shared" si="175"/>
        <v>0</v>
      </c>
      <c r="U541" s="1850">
        <f t="shared" si="166"/>
        <v>0</v>
      </c>
      <c r="V541" s="1850">
        <f t="shared" si="167"/>
        <v>0</v>
      </c>
      <c r="W541" s="1850">
        <f t="shared" si="168"/>
        <v>0</v>
      </c>
      <c r="X541" s="1850">
        <f t="shared" si="169"/>
        <v>0</v>
      </c>
      <c r="Y541" s="1850">
        <f t="shared" si="172"/>
        <v>0</v>
      </c>
      <c r="Z541" s="1850">
        <f t="shared" si="173"/>
        <v>0</v>
      </c>
      <c r="AA541" s="2733"/>
    </row>
    <row r="542" spans="1:27" ht="18.75" x14ac:dyDescent="0.25">
      <c r="A542" s="2738"/>
      <c r="B542" s="1863">
        <v>2066</v>
      </c>
      <c r="C542" s="218">
        <f t="shared" si="176"/>
        <v>0</v>
      </c>
      <c r="D542" s="218">
        <f t="shared" si="170"/>
        <v>0</v>
      </c>
      <c r="E542" s="218">
        <f t="shared" si="171"/>
        <v>0</v>
      </c>
      <c r="F542" s="218">
        <f t="shared" si="177"/>
        <v>0</v>
      </c>
      <c r="G542" s="218">
        <f t="shared" si="178"/>
        <v>0</v>
      </c>
      <c r="H542" s="218">
        <f t="shared" si="179"/>
        <v>0</v>
      </c>
      <c r="I542" s="218">
        <f t="shared" si="180"/>
        <v>0</v>
      </c>
      <c r="J542" s="218">
        <f t="shared" si="181"/>
        <v>0</v>
      </c>
      <c r="K542" s="218">
        <f t="shared" si="182"/>
        <v>0</v>
      </c>
      <c r="L542" s="192">
        <f t="shared" si="174"/>
        <v>0</v>
      </c>
      <c r="M542" s="211">
        <v>97</v>
      </c>
      <c r="N542" s="211">
        <f>(29.53*1.02)*0.3943*1.0824</f>
        <v>12.855180512592</v>
      </c>
      <c r="O542" s="211">
        <f>(42.96*1.02)*0.3943*1.0824</f>
        <v>18.701610390143998</v>
      </c>
      <c r="P542" s="211">
        <f>(16.43*1.02)*0.3943*1.0824</f>
        <v>7.1524082567520004</v>
      </c>
      <c r="Q542" s="211">
        <f>(12.76*1.02)*0.3943*1.0824</f>
        <v>5.5547613728639993</v>
      </c>
      <c r="R542" s="211">
        <f>(1.27*1.02)*0.3943*1.0824</f>
        <v>0.55286418052800002</v>
      </c>
      <c r="S542" s="211">
        <f>(0.0584*1.02)*0.3943*1.0824</f>
        <v>2.5423045781760002E-2</v>
      </c>
      <c r="T542" s="174">
        <f t="shared" si="175"/>
        <v>0</v>
      </c>
      <c r="U542" s="1850">
        <f t="shared" si="166"/>
        <v>0</v>
      </c>
      <c r="V542" s="1850">
        <f t="shared" si="167"/>
        <v>0</v>
      </c>
      <c r="W542" s="1850">
        <f t="shared" si="168"/>
        <v>0</v>
      </c>
      <c r="X542" s="1850">
        <f t="shared" si="169"/>
        <v>0</v>
      </c>
      <c r="Y542" s="1850">
        <f t="shared" si="172"/>
        <v>0</v>
      </c>
      <c r="Z542" s="1850">
        <f t="shared" si="173"/>
        <v>0</v>
      </c>
      <c r="AA542" s="2733"/>
    </row>
    <row r="543" spans="1:27" ht="18.75" x14ac:dyDescent="0.25">
      <c r="A543" s="2738"/>
      <c r="B543" s="1863">
        <v>2067</v>
      </c>
      <c r="C543" s="218">
        <f t="shared" si="176"/>
        <v>0</v>
      </c>
      <c r="D543" s="218">
        <f t="shared" si="170"/>
        <v>0</v>
      </c>
      <c r="E543" s="218">
        <f t="shared" si="171"/>
        <v>0</v>
      </c>
      <c r="F543" s="218">
        <f t="shared" si="177"/>
        <v>0</v>
      </c>
      <c r="G543" s="218">
        <f t="shared" si="178"/>
        <v>0</v>
      </c>
      <c r="H543" s="218">
        <f t="shared" si="179"/>
        <v>0</v>
      </c>
      <c r="I543" s="218">
        <f t="shared" si="180"/>
        <v>0</v>
      </c>
      <c r="J543" s="218">
        <f t="shared" si="181"/>
        <v>0</v>
      </c>
      <c r="K543" s="218">
        <f t="shared" si="182"/>
        <v>0</v>
      </c>
      <c r="L543" s="192">
        <f t="shared" si="174"/>
        <v>0</v>
      </c>
      <c r="M543" s="211">
        <v>97</v>
      </c>
      <c r="N543" s="211">
        <f>(29.53*1.02)*0.3865*1.0824</f>
        <v>12.600880720560001</v>
      </c>
      <c r="O543" s="211">
        <f>(42.96*1.02)*0.3865*1.0824</f>
        <v>18.331657153920002</v>
      </c>
      <c r="P543" s="211">
        <f>(16.43*1.02)*0.3865*1.0824</f>
        <v>7.0109200893600008</v>
      </c>
      <c r="Q543" s="211">
        <f>(12.76*1.02)*0.3865*1.0824</f>
        <v>5.4448776835200006</v>
      </c>
      <c r="R543" s="211">
        <f>(1.27*1.02)*0.3865*1.0824</f>
        <v>0.5419274810400001</v>
      </c>
      <c r="S543" s="211">
        <f>(0.0584*1.02)*0.3865*1.0824</f>
        <v>2.4920129836800003E-2</v>
      </c>
      <c r="T543" s="174">
        <f t="shared" si="175"/>
        <v>0</v>
      </c>
      <c r="U543" s="1850">
        <f t="shared" si="166"/>
        <v>0</v>
      </c>
      <c r="V543" s="1850">
        <f t="shared" si="167"/>
        <v>0</v>
      </c>
      <c r="W543" s="1850">
        <f t="shared" si="168"/>
        <v>0</v>
      </c>
      <c r="X543" s="1850">
        <f t="shared" si="169"/>
        <v>0</v>
      </c>
      <c r="Y543" s="1850">
        <f t="shared" si="172"/>
        <v>0</v>
      </c>
      <c r="Z543" s="1850">
        <f t="shared" si="173"/>
        <v>0</v>
      </c>
      <c r="AA543" s="2733"/>
    </row>
    <row r="544" spans="1:27" ht="18.75" x14ac:dyDescent="0.25">
      <c r="A544" s="2738"/>
      <c r="B544" s="1863">
        <v>2068</v>
      </c>
      <c r="C544" s="218">
        <f t="shared" si="176"/>
        <v>0</v>
      </c>
      <c r="D544" s="218">
        <f t="shared" si="170"/>
        <v>0</v>
      </c>
      <c r="E544" s="218">
        <f t="shared" si="171"/>
        <v>0</v>
      </c>
      <c r="F544" s="218">
        <f t="shared" si="177"/>
        <v>0</v>
      </c>
      <c r="G544" s="218">
        <f t="shared" si="178"/>
        <v>0</v>
      </c>
      <c r="H544" s="218">
        <f t="shared" si="179"/>
        <v>0</v>
      </c>
      <c r="I544" s="218">
        <f t="shared" si="180"/>
        <v>0</v>
      </c>
      <c r="J544" s="218">
        <f t="shared" si="181"/>
        <v>0</v>
      </c>
      <c r="K544" s="218">
        <f t="shared" si="182"/>
        <v>0</v>
      </c>
      <c r="L544" s="192">
        <f t="shared" si="174"/>
        <v>0</v>
      </c>
      <c r="M544" s="211">
        <v>97</v>
      </c>
      <c r="N544" s="211">
        <f>(29.53*1.02)*0.379*1.0824</f>
        <v>12.356361689760002</v>
      </c>
      <c r="O544" s="211">
        <f>(42.96*1.02)*0.379*1.0824</f>
        <v>17.975932888320003</v>
      </c>
      <c r="P544" s="211">
        <f>(16.43*1.02)*0.379*1.0824</f>
        <v>6.8748737745600002</v>
      </c>
      <c r="Q544" s="211">
        <f>(12.76*1.02)*0.379*1.0824</f>
        <v>5.339220289920001</v>
      </c>
      <c r="R544" s="211">
        <f>(1.27*1.02)*0.379*1.0824</f>
        <v>0.53141142384000006</v>
      </c>
      <c r="S544" s="211">
        <f>(0.0584*1.02)*0.379*1.0824</f>
        <v>2.4436556812800003E-2</v>
      </c>
      <c r="T544" s="174">
        <f t="shared" si="175"/>
        <v>0</v>
      </c>
      <c r="U544" s="1850">
        <f t="shared" si="166"/>
        <v>0</v>
      </c>
      <c r="V544" s="1850">
        <f t="shared" si="167"/>
        <v>0</v>
      </c>
      <c r="W544" s="1850">
        <f t="shared" si="168"/>
        <v>0</v>
      </c>
      <c r="X544" s="1850">
        <f t="shared" si="169"/>
        <v>0</v>
      </c>
      <c r="Y544" s="1850">
        <f t="shared" si="172"/>
        <v>0</v>
      </c>
      <c r="Z544" s="1850">
        <f t="shared" si="173"/>
        <v>0</v>
      </c>
      <c r="AA544" s="2733"/>
    </row>
    <row r="545" spans="1:27" ht="19.5" thickBot="1" x14ac:dyDescent="0.3">
      <c r="A545" s="2739"/>
      <c r="B545" s="1864">
        <v>2069</v>
      </c>
      <c r="C545" s="222">
        <f t="shared" si="176"/>
        <v>0</v>
      </c>
      <c r="D545" s="222">
        <f t="shared" si="170"/>
        <v>0</v>
      </c>
      <c r="E545" s="222">
        <f t="shared" si="171"/>
        <v>0</v>
      </c>
      <c r="F545" s="222">
        <f t="shared" si="177"/>
        <v>0</v>
      </c>
      <c r="G545" s="222">
        <f t="shared" si="178"/>
        <v>0</v>
      </c>
      <c r="H545" s="222">
        <f t="shared" si="179"/>
        <v>0</v>
      </c>
      <c r="I545" s="222">
        <f t="shared" si="180"/>
        <v>0</v>
      </c>
      <c r="J545" s="222">
        <f t="shared" si="181"/>
        <v>0</v>
      </c>
      <c r="K545" s="222">
        <f t="shared" si="182"/>
        <v>0</v>
      </c>
      <c r="L545" s="220">
        <f t="shared" si="174"/>
        <v>0</v>
      </c>
      <c r="M545" s="416">
        <v>97</v>
      </c>
      <c r="N545" s="416">
        <f>(29.53*1.02)*0.3715*1.0824</f>
        <v>12.111842658960002</v>
      </c>
      <c r="O545" s="416">
        <f>(42.96*1.02)*0.3715*1.0824</f>
        <v>17.62020862272</v>
      </c>
      <c r="P545" s="416">
        <f>(16.43*1.02)*0.3715*1.0824</f>
        <v>6.7388274597600004</v>
      </c>
      <c r="Q545" s="416">
        <f>(12.76*1.02)*0.3715*1.0824</f>
        <v>5.2335628963200005</v>
      </c>
      <c r="R545" s="416">
        <f>(1.27*1.02)*0.3715*1.0824</f>
        <v>0.52089536664000002</v>
      </c>
      <c r="S545" s="416">
        <f>(0.0584*1.02)*0.3715*1.0824</f>
        <v>2.3952983788800002E-2</v>
      </c>
      <c r="T545" s="647">
        <f t="shared" si="175"/>
        <v>0</v>
      </c>
      <c r="U545" s="175">
        <f t="shared" si="166"/>
        <v>0</v>
      </c>
      <c r="V545" s="175">
        <f t="shared" si="167"/>
        <v>0</v>
      </c>
      <c r="W545" s="175">
        <f t="shared" si="168"/>
        <v>0</v>
      </c>
      <c r="X545" s="175">
        <f t="shared" si="169"/>
        <v>0</v>
      </c>
      <c r="Y545" s="175">
        <f t="shared" si="172"/>
        <v>0</v>
      </c>
      <c r="Z545" s="175">
        <f t="shared" si="173"/>
        <v>0</v>
      </c>
      <c r="AA545" s="2735"/>
    </row>
    <row r="546" spans="1:27" ht="15.75" thickBot="1" x14ac:dyDescent="0.3"/>
    <row r="547" spans="1:27" ht="84.75" customHeight="1" thickBot="1" x14ac:dyDescent="0.3">
      <c r="A547" s="2761" t="s">
        <v>1181</v>
      </c>
      <c r="B547" s="2762"/>
      <c r="C547" s="2762"/>
      <c r="D547" s="2762"/>
      <c r="E547" s="2762"/>
      <c r="F547" s="2762"/>
      <c r="G547" s="2762"/>
      <c r="H547" s="2762"/>
      <c r="I547" s="2762"/>
      <c r="J547" s="2762"/>
      <c r="K547" s="2762"/>
      <c r="L547" s="2762"/>
      <c r="M547" s="2762"/>
      <c r="N547" s="2762"/>
      <c r="O547" s="2762"/>
      <c r="P547" s="2762"/>
      <c r="Q547" s="2762"/>
      <c r="R547" s="2762"/>
      <c r="S547" s="2762"/>
      <c r="T547" s="2762"/>
      <c r="U547" s="2762"/>
      <c r="V547" s="2762"/>
      <c r="W547" s="2762"/>
      <c r="X547" s="2762"/>
      <c r="Y547" s="2762"/>
      <c r="Z547" s="2762"/>
      <c r="AA547" s="2763"/>
    </row>
    <row r="548" spans="1:27" ht="135.75" thickBot="1" x14ac:dyDescent="0.3">
      <c r="A548" s="1853" t="s">
        <v>176</v>
      </c>
      <c r="B548" s="253" t="s">
        <v>177</v>
      </c>
      <c r="C548" s="1855" t="s">
        <v>1250</v>
      </c>
      <c r="D548" s="1855" t="s">
        <v>209</v>
      </c>
      <c r="E548" s="1855" t="s">
        <v>210</v>
      </c>
      <c r="F548" s="1855" t="s">
        <v>1245</v>
      </c>
      <c r="G548" s="1855" t="s">
        <v>1251</v>
      </c>
      <c r="H548" s="1855" t="s">
        <v>1104</v>
      </c>
      <c r="I548" s="1855" t="s">
        <v>1243</v>
      </c>
      <c r="J548" s="1855" t="s">
        <v>1242</v>
      </c>
      <c r="K548" s="1855" t="s">
        <v>1102</v>
      </c>
      <c r="L548" s="262" t="s">
        <v>1229</v>
      </c>
      <c r="M548" s="128" t="s">
        <v>272</v>
      </c>
      <c r="N548" s="1855" t="s">
        <v>318</v>
      </c>
      <c r="O548" s="1855" t="s">
        <v>319</v>
      </c>
      <c r="P548" s="1855" t="s">
        <v>273</v>
      </c>
      <c r="Q548" s="1855" t="s">
        <v>455</v>
      </c>
      <c r="R548" s="1855" t="s">
        <v>274</v>
      </c>
      <c r="S548" s="1855" t="s">
        <v>288</v>
      </c>
      <c r="T548" s="1855" t="s">
        <v>1228</v>
      </c>
      <c r="U548" s="1855" t="s">
        <v>276</v>
      </c>
      <c r="V548" s="1855" t="s">
        <v>317</v>
      </c>
      <c r="W548" s="1855" t="s">
        <v>271</v>
      </c>
      <c r="X548" s="1855" t="s">
        <v>277</v>
      </c>
      <c r="Y548" s="1855" t="s">
        <v>278</v>
      </c>
      <c r="Z548" s="1855" t="s">
        <v>315</v>
      </c>
      <c r="AA548" s="83" t="s">
        <v>316</v>
      </c>
    </row>
    <row r="549" spans="1:27" ht="18.75" x14ac:dyDescent="0.25">
      <c r="A549" s="2736" t="s">
        <v>1095</v>
      </c>
      <c r="B549" s="1867">
        <v>2019</v>
      </c>
      <c r="C549" s="216">
        <f t="shared" ref="C549:C580" si="183">$S$25</f>
        <v>0</v>
      </c>
      <c r="D549" s="216">
        <f>$R$25*28</f>
        <v>0</v>
      </c>
      <c r="E549" s="216">
        <f>$T$25*298</f>
        <v>0</v>
      </c>
      <c r="F549" s="216">
        <f t="shared" ref="F549:F580" si="184">$O$25</f>
        <v>0</v>
      </c>
      <c r="G549" s="216">
        <f t="shared" ref="G549:G580" si="185">$P$25</f>
        <v>0</v>
      </c>
      <c r="H549" s="216">
        <f t="shared" ref="H549:H580" si="186">$N$25</f>
        <v>0</v>
      </c>
      <c r="I549" s="216">
        <f t="shared" ref="I549:I580" si="187">$Q$25</f>
        <v>0</v>
      </c>
      <c r="J549" s="216">
        <f t="shared" ref="J549:J580" si="188">$L$25</f>
        <v>0</v>
      </c>
      <c r="K549" s="216">
        <f t="shared" ref="K549:K580" si="189">$M$25</f>
        <v>0</v>
      </c>
      <c r="L549" s="217">
        <f>(C549/1000)+(D549/1000)+(E549/1000)</f>
        <v>0</v>
      </c>
      <c r="M549" s="643">
        <v>62</v>
      </c>
      <c r="N549" s="643">
        <f>29.53*1.02*1.0824</f>
        <v>32.602537440000006</v>
      </c>
      <c r="O549" s="643">
        <f>42.96*1.02*1.0824</f>
        <v>47.429902080000005</v>
      </c>
      <c r="P549" s="643">
        <f>16.43*1.02*1.0824</f>
        <v>18.139508640000003</v>
      </c>
      <c r="Q549" s="643">
        <f>12.76*1.02*1.0824</f>
        <v>14.087652480000001</v>
      </c>
      <c r="R549" s="643">
        <f>1.27*1.02*1.0824</f>
        <v>1.4021409600000001</v>
      </c>
      <c r="S549" s="643">
        <f>0.0584*1.02*1.0824</f>
        <v>6.4476403200000004E-2</v>
      </c>
      <c r="T549" s="644">
        <f>L549*M549</f>
        <v>0</v>
      </c>
      <c r="U549" s="644">
        <f t="shared" ref="U549:Y599" si="190">F549*N549</f>
        <v>0</v>
      </c>
      <c r="V549" s="644">
        <f t="shared" si="190"/>
        <v>0</v>
      </c>
      <c r="W549" s="644">
        <f t="shared" si="190"/>
        <v>0</v>
      </c>
      <c r="X549" s="644">
        <f t="shared" si="190"/>
        <v>0</v>
      </c>
      <c r="Y549" s="644">
        <f t="shared" si="190"/>
        <v>0</v>
      </c>
      <c r="Z549" s="644">
        <f t="shared" ref="Z549:Z714" si="191">S549*K549</f>
        <v>0</v>
      </c>
      <c r="AA549" s="2732">
        <f>(SUM(T549:T599)*1.2682)+(SUM(U549:U599))+(SUM(V549:V599))+(SUM(W549:W599))+(SUM(X549:X599))+(SUM(Y549:Y599))+(SUM(Z549:Z599))</f>
        <v>0</v>
      </c>
    </row>
    <row r="550" spans="1:27" ht="18.75" x14ac:dyDescent="0.25">
      <c r="A550" s="2456"/>
      <c r="B550" s="1849">
        <v>2020</v>
      </c>
      <c r="C550" s="218">
        <f t="shared" si="183"/>
        <v>0</v>
      </c>
      <c r="D550" s="218">
        <f t="shared" ref="D550:D599" si="192">$R$25*28</f>
        <v>0</v>
      </c>
      <c r="E550" s="218">
        <f t="shared" ref="E550:E599" si="193">$T$25*298</f>
        <v>0</v>
      </c>
      <c r="F550" s="218">
        <f t="shared" si="184"/>
        <v>0</v>
      </c>
      <c r="G550" s="218">
        <f t="shared" si="185"/>
        <v>0</v>
      </c>
      <c r="H550" s="218">
        <f t="shared" si="186"/>
        <v>0</v>
      </c>
      <c r="I550" s="218">
        <f t="shared" si="187"/>
        <v>0</v>
      </c>
      <c r="J550" s="218">
        <f t="shared" si="188"/>
        <v>0</v>
      </c>
      <c r="K550" s="218">
        <f t="shared" si="189"/>
        <v>0</v>
      </c>
      <c r="L550" s="192">
        <f t="shared" ref="L550:L599" si="194">(C550/1000)+(D550/1000)+(E550/1000)</f>
        <v>0</v>
      </c>
      <c r="M550" s="211">
        <v>64</v>
      </c>
      <c r="N550" s="211">
        <f>(29.53*1.02)*0.9804*1.0824</f>
        <v>31.963527706176006</v>
      </c>
      <c r="O550" s="211">
        <f>(42.96*1.02)*0.9804*1.0824</f>
        <v>46.500275999232002</v>
      </c>
      <c r="P550" s="211">
        <f>(16.43*1.02)*0.9804*1.0824</f>
        <v>17.783974270656003</v>
      </c>
      <c r="Q550" s="211">
        <f>(12.76*1.02)*0.9804*1.0824</f>
        <v>13.811534491392001</v>
      </c>
      <c r="R550" s="211">
        <f>(1.27*1.02)*0.9804*1.0824</f>
        <v>1.3746589971840002</v>
      </c>
      <c r="S550" s="211">
        <f>(0.0584*1.02)*0.9804*1.0824</f>
        <v>6.3212665697280013E-2</v>
      </c>
      <c r="T550" s="1850">
        <f t="shared" ref="T550:T599" si="195">L550*M550</f>
        <v>0</v>
      </c>
      <c r="U550" s="1850">
        <f t="shared" si="190"/>
        <v>0</v>
      </c>
      <c r="V550" s="1850">
        <f t="shared" si="190"/>
        <v>0</v>
      </c>
      <c r="W550" s="1850">
        <f t="shared" si="190"/>
        <v>0</v>
      </c>
      <c r="X550" s="1850">
        <f t="shared" si="190"/>
        <v>0</v>
      </c>
      <c r="Y550" s="1850">
        <f t="shared" si="190"/>
        <v>0</v>
      </c>
      <c r="Z550" s="1850">
        <f t="shared" si="191"/>
        <v>0</v>
      </c>
      <c r="AA550" s="2733"/>
    </row>
    <row r="551" spans="1:27" ht="18.75" x14ac:dyDescent="0.25">
      <c r="A551" s="2456"/>
      <c r="B551" s="1849">
        <v>2021</v>
      </c>
      <c r="C551" s="218">
        <f t="shared" si="183"/>
        <v>0</v>
      </c>
      <c r="D551" s="218">
        <f t="shared" si="192"/>
        <v>0</v>
      </c>
      <c r="E551" s="218">
        <f t="shared" si="193"/>
        <v>0</v>
      </c>
      <c r="F551" s="218">
        <f t="shared" si="184"/>
        <v>0</v>
      </c>
      <c r="G551" s="218">
        <f t="shared" si="185"/>
        <v>0</v>
      </c>
      <c r="H551" s="218">
        <f t="shared" si="186"/>
        <v>0</v>
      </c>
      <c r="I551" s="218">
        <f t="shared" si="187"/>
        <v>0</v>
      </c>
      <c r="J551" s="218">
        <f t="shared" si="188"/>
        <v>0</v>
      </c>
      <c r="K551" s="218">
        <f t="shared" si="189"/>
        <v>0</v>
      </c>
      <c r="L551" s="192">
        <f t="shared" si="194"/>
        <v>0</v>
      </c>
      <c r="M551" s="211">
        <v>65</v>
      </c>
      <c r="N551" s="211">
        <f>(29.53*1.02)*0.9612*1.0824</f>
        <v>31.337558987328006</v>
      </c>
      <c r="O551" s="211">
        <f>(42.96*1.02)*0.9612*1.0824</f>
        <v>45.589621879296011</v>
      </c>
      <c r="P551" s="211">
        <f>(16.43*1.02)*0.9612*1.0824</f>
        <v>17.435695704768001</v>
      </c>
      <c r="Q551" s="211">
        <f>(12.76*1.02)*0.9612*1.0824</f>
        <v>13.541051563776001</v>
      </c>
      <c r="R551" s="211">
        <f>(1.27*1.02)*0.9612*1.0824</f>
        <v>1.3477378907520003</v>
      </c>
      <c r="S551" s="211">
        <f>(0.0584*1.02)*0.9612*1.0824</f>
        <v>6.1974718755840007E-2</v>
      </c>
      <c r="T551" s="1850">
        <f t="shared" si="195"/>
        <v>0</v>
      </c>
      <c r="U551" s="1850">
        <f t="shared" si="190"/>
        <v>0</v>
      </c>
      <c r="V551" s="1850">
        <f t="shared" si="190"/>
        <v>0</v>
      </c>
      <c r="W551" s="1850">
        <f t="shared" si="190"/>
        <v>0</v>
      </c>
      <c r="X551" s="1850">
        <f t="shared" si="190"/>
        <v>0</v>
      </c>
      <c r="Y551" s="1850">
        <f t="shared" si="190"/>
        <v>0</v>
      </c>
      <c r="Z551" s="1850">
        <f t="shared" si="191"/>
        <v>0</v>
      </c>
      <c r="AA551" s="2733"/>
    </row>
    <row r="552" spans="1:27" ht="18.75" x14ac:dyDescent="0.25">
      <c r="A552" s="2456"/>
      <c r="B552" s="1849">
        <v>2022</v>
      </c>
      <c r="C552" s="218">
        <f t="shared" si="183"/>
        <v>0</v>
      </c>
      <c r="D552" s="218">
        <f t="shared" si="192"/>
        <v>0</v>
      </c>
      <c r="E552" s="218">
        <f t="shared" si="193"/>
        <v>0</v>
      </c>
      <c r="F552" s="218">
        <f t="shared" si="184"/>
        <v>0</v>
      </c>
      <c r="G552" s="218">
        <f t="shared" si="185"/>
        <v>0</v>
      </c>
      <c r="H552" s="218">
        <f t="shared" si="186"/>
        <v>0</v>
      </c>
      <c r="I552" s="218">
        <f t="shared" si="187"/>
        <v>0</v>
      </c>
      <c r="J552" s="218">
        <f t="shared" si="188"/>
        <v>0</v>
      </c>
      <c r="K552" s="218">
        <f t="shared" si="189"/>
        <v>0</v>
      </c>
      <c r="L552" s="192">
        <f t="shared" si="194"/>
        <v>0</v>
      </c>
      <c r="M552" s="211">
        <v>66</v>
      </c>
      <c r="N552" s="211">
        <f>(29.53*1.02)*0.9423*1.0824</f>
        <v>30.721371029712003</v>
      </c>
      <c r="O552" s="211">
        <f>(42.96*1.02)*0.9423*1.0824</f>
        <v>44.693196729984003</v>
      </c>
      <c r="P552" s="211">
        <f>(16.43*1.02)*0.9423*1.0824</f>
        <v>17.092858991472003</v>
      </c>
      <c r="Q552" s="211">
        <f>(12.76*1.02)*0.9423*1.0824</f>
        <v>13.274794931903999</v>
      </c>
      <c r="R552" s="211">
        <f>(1.27*1.02)*0.9423*1.0824</f>
        <v>1.3212374266080003</v>
      </c>
      <c r="S552" s="211">
        <f>(0.0584*1.02)*0.9423*1.0824</f>
        <v>6.0756114735360002E-2</v>
      </c>
      <c r="T552" s="1850">
        <f t="shared" si="195"/>
        <v>0</v>
      </c>
      <c r="U552" s="1850">
        <f t="shared" si="190"/>
        <v>0</v>
      </c>
      <c r="V552" s="1850">
        <f t="shared" si="190"/>
        <v>0</v>
      </c>
      <c r="W552" s="1850">
        <f t="shared" si="190"/>
        <v>0</v>
      </c>
      <c r="X552" s="1850">
        <f t="shared" si="190"/>
        <v>0</v>
      </c>
      <c r="Y552" s="1850">
        <f t="shared" si="190"/>
        <v>0</v>
      </c>
      <c r="Z552" s="1850">
        <f t="shared" si="191"/>
        <v>0</v>
      </c>
      <c r="AA552" s="2733"/>
    </row>
    <row r="553" spans="1:27" ht="18.75" x14ac:dyDescent="0.25">
      <c r="A553" s="2456"/>
      <c r="B553" s="1849">
        <v>2023</v>
      </c>
      <c r="C553" s="218">
        <f t="shared" si="183"/>
        <v>0</v>
      </c>
      <c r="D553" s="218">
        <f t="shared" si="192"/>
        <v>0</v>
      </c>
      <c r="E553" s="218">
        <f t="shared" si="193"/>
        <v>0</v>
      </c>
      <c r="F553" s="218">
        <f t="shared" si="184"/>
        <v>0</v>
      </c>
      <c r="G553" s="218">
        <f t="shared" si="185"/>
        <v>0</v>
      </c>
      <c r="H553" s="218">
        <f t="shared" si="186"/>
        <v>0</v>
      </c>
      <c r="I553" s="218">
        <f t="shared" si="187"/>
        <v>0</v>
      </c>
      <c r="J553" s="218">
        <f t="shared" si="188"/>
        <v>0</v>
      </c>
      <c r="K553" s="218">
        <f t="shared" si="189"/>
        <v>0</v>
      </c>
      <c r="L553" s="192">
        <f t="shared" si="194"/>
        <v>0</v>
      </c>
      <c r="M553" s="211">
        <v>67</v>
      </c>
      <c r="N553" s="211">
        <f>(29.53*1.02)*0.9238*1.0824</f>
        <v>30.118224087072001</v>
      </c>
      <c r="O553" s="211">
        <f>(42.96*1.02)*0.9238*1.0824</f>
        <v>43.815743541504006</v>
      </c>
      <c r="P553" s="211">
        <f>(16.43*1.02)*0.9238*1.0824</f>
        <v>16.757278081632002</v>
      </c>
      <c r="Q553" s="211">
        <f>(12.76*1.02)*0.9238*1.0824</f>
        <v>13.014173361024</v>
      </c>
      <c r="R553" s="211">
        <f>(1.27*1.02)*0.9238*1.0824</f>
        <v>1.295297818848</v>
      </c>
      <c r="S553" s="211">
        <f>(0.0584*1.02)*0.9238*1.0824</f>
        <v>5.9563301276160004E-2</v>
      </c>
      <c r="T553" s="1850">
        <f t="shared" si="195"/>
        <v>0</v>
      </c>
      <c r="U553" s="1850">
        <f t="shared" si="190"/>
        <v>0</v>
      </c>
      <c r="V553" s="1850">
        <f t="shared" si="190"/>
        <v>0</v>
      </c>
      <c r="W553" s="1850">
        <f t="shared" si="190"/>
        <v>0</v>
      </c>
      <c r="X553" s="1850">
        <f t="shared" si="190"/>
        <v>0</v>
      </c>
      <c r="Y553" s="1850">
        <f t="shared" si="190"/>
        <v>0</v>
      </c>
      <c r="Z553" s="1850">
        <f t="shared" si="191"/>
        <v>0</v>
      </c>
      <c r="AA553" s="2733"/>
    </row>
    <row r="554" spans="1:27" ht="18.75" x14ac:dyDescent="0.25">
      <c r="A554" s="2456"/>
      <c r="B554" s="1849">
        <v>2024</v>
      </c>
      <c r="C554" s="218">
        <f t="shared" si="183"/>
        <v>0</v>
      </c>
      <c r="D554" s="218">
        <f t="shared" si="192"/>
        <v>0</v>
      </c>
      <c r="E554" s="218">
        <f t="shared" si="193"/>
        <v>0</v>
      </c>
      <c r="F554" s="218">
        <f t="shared" si="184"/>
        <v>0</v>
      </c>
      <c r="G554" s="218">
        <f t="shared" si="185"/>
        <v>0</v>
      </c>
      <c r="H554" s="218">
        <f t="shared" si="186"/>
        <v>0</v>
      </c>
      <c r="I554" s="218">
        <f t="shared" si="187"/>
        <v>0</v>
      </c>
      <c r="J554" s="218">
        <f t="shared" si="188"/>
        <v>0</v>
      </c>
      <c r="K554" s="218">
        <f t="shared" si="189"/>
        <v>0</v>
      </c>
      <c r="L554" s="192">
        <f t="shared" si="194"/>
        <v>0</v>
      </c>
      <c r="M554" s="211">
        <v>68</v>
      </c>
      <c r="N554" s="211">
        <f>(29.53*1.02)*0.9057*1.0824</f>
        <v>29.528118159408002</v>
      </c>
      <c r="O554" s="211">
        <f>(42.96*1.02)*0.9057*1.0824</f>
        <v>42.957262313856006</v>
      </c>
      <c r="P554" s="211">
        <f>(16.43*1.02)*0.9057*1.0824</f>
        <v>16.428952975248002</v>
      </c>
      <c r="Q554" s="211">
        <f>(12.76*1.02)*0.9057*1.0824</f>
        <v>12.759186851135999</v>
      </c>
      <c r="R554" s="211">
        <f>(1.27*1.02)*0.9057*1.0824</f>
        <v>1.269919067472</v>
      </c>
      <c r="S554" s="211">
        <f>(0.0584*1.02)*0.9057*1.0824</f>
        <v>5.8396278378240005E-2</v>
      </c>
      <c r="T554" s="1850">
        <f t="shared" si="195"/>
        <v>0</v>
      </c>
      <c r="U554" s="1850">
        <f t="shared" si="190"/>
        <v>0</v>
      </c>
      <c r="V554" s="1850">
        <f t="shared" si="190"/>
        <v>0</v>
      </c>
      <c r="W554" s="1850">
        <f t="shared" si="190"/>
        <v>0</v>
      </c>
      <c r="X554" s="1850">
        <f t="shared" si="190"/>
        <v>0</v>
      </c>
      <c r="Y554" s="1850">
        <f t="shared" si="190"/>
        <v>0</v>
      </c>
      <c r="Z554" s="1850">
        <f t="shared" si="191"/>
        <v>0</v>
      </c>
      <c r="AA554" s="2733"/>
    </row>
    <row r="555" spans="1:27" ht="18.75" x14ac:dyDescent="0.25">
      <c r="A555" s="2456"/>
      <c r="B555" s="1849">
        <v>2025</v>
      </c>
      <c r="C555" s="218">
        <f t="shared" si="183"/>
        <v>0</v>
      </c>
      <c r="D555" s="218">
        <f t="shared" si="192"/>
        <v>0</v>
      </c>
      <c r="E555" s="218">
        <f t="shared" si="193"/>
        <v>0</v>
      </c>
      <c r="F555" s="218">
        <f t="shared" si="184"/>
        <v>0</v>
      </c>
      <c r="G555" s="218">
        <f t="shared" si="185"/>
        <v>0</v>
      </c>
      <c r="H555" s="218">
        <f t="shared" si="186"/>
        <v>0</v>
      </c>
      <c r="I555" s="218">
        <f t="shared" si="187"/>
        <v>0</v>
      </c>
      <c r="J555" s="218">
        <f t="shared" si="188"/>
        <v>0</v>
      </c>
      <c r="K555" s="218">
        <f t="shared" si="189"/>
        <v>0</v>
      </c>
      <c r="L555" s="192">
        <f t="shared" si="194"/>
        <v>0</v>
      </c>
      <c r="M555" s="211">
        <v>69</v>
      </c>
      <c r="N555" s="211">
        <f>(29.53*1.02)*0.888*1.0824</f>
        <v>28.951053246720004</v>
      </c>
      <c r="O555" s="211">
        <f>(42.96*1.02)*0.888*1.0824</f>
        <v>42.117753047040004</v>
      </c>
      <c r="P555" s="211">
        <f>(16.43*1.02)*0.888*1.0824</f>
        <v>16.10788367232</v>
      </c>
      <c r="Q555" s="211">
        <f>(12.76*1.02)*0.888*1.0824</f>
        <v>12.50983540224</v>
      </c>
      <c r="R555" s="211">
        <f>(1.27*1.02)*0.888*1.0824</f>
        <v>1.2451011724800001</v>
      </c>
      <c r="S555" s="211">
        <f>(0.0584*1.02)*0.888*1.0824</f>
        <v>5.7255046041600005E-2</v>
      </c>
      <c r="T555" s="1850">
        <f t="shared" si="195"/>
        <v>0</v>
      </c>
      <c r="U555" s="1850">
        <f t="shared" si="190"/>
        <v>0</v>
      </c>
      <c r="V555" s="1850">
        <f t="shared" si="190"/>
        <v>0</v>
      </c>
      <c r="W555" s="1850">
        <f t="shared" si="190"/>
        <v>0</v>
      </c>
      <c r="X555" s="1850">
        <f t="shared" si="190"/>
        <v>0</v>
      </c>
      <c r="Y555" s="1850">
        <f t="shared" si="190"/>
        <v>0</v>
      </c>
      <c r="Z555" s="1850">
        <f t="shared" si="191"/>
        <v>0</v>
      </c>
      <c r="AA555" s="2733"/>
    </row>
    <row r="556" spans="1:27" ht="18.75" x14ac:dyDescent="0.25">
      <c r="A556" s="2456"/>
      <c r="B556" s="1849">
        <v>2026</v>
      </c>
      <c r="C556" s="218">
        <f t="shared" si="183"/>
        <v>0</v>
      </c>
      <c r="D556" s="218">
        <f t="shared" si="192"/>
        <v>0</v>
      </c>
      <c r="E556" s="218">
        <f t="shared" si="193"/>
        <v>0</v>
      </c>
      <c r="F556" s="218">
        <f t="shared" si="184"/>
        <v>0</v>
      </c>
      <c r="G556" s="218">
        <f t="shared" si="185"/>
        <v>0</v>
      </c>
      <c r="H556" s="218">
        <f t="shared" si="186"/>
        <v>0</v>
      </c>
      <c r="I556" s="218">
        <f t="shared" si="187"/>
        <v>0</v>
      </c>
      <c r="J556" s="218">
        <f t="shared" si="188"/>
        <v>0</v>
      </c>
      <c r="K556" s="218">
        <f t="shared" si="189"/>
        <v>0</v>
      </c>
      <c r="L556" s="192">
        <f t="shared" si="194"/>
        <v>0</v>
      </c>
      <c r="M556" s="211">
        <v>70</v>
      </c>
      <c r="N556" s="211">
        <f>(29.53*1.02)*0.8706*1.0824</f>
        <v>28.383769095264007</v>
      </c>
      <c r="O556" s="211">
        <f>(42.96*1.02)*0.8706*1.0824</f>
        <v>41.292472750848006</v>
      </c>
      <c r="P556" s="211">
        <f>(16.43*1.02)*0.8706*1.0824</f>
        <v>15.792256221984003</v>
      </c>
      <c r="Q556" s="211">
        <f>(12.76*1.02)*0.8706*1.0824</f>
        <v>12.264710249088001</v>
      </c>
      <c r="R556" s="211">
        <f>(1.27*1.02)*0.8706*1.0824</f>
        <v>1.2207039197760001</v>
      </c>
      <c r="S556" s="211">
        <f>(0.0584*1.02)*0.8706*1.0824</f>
        <v>5.6133156625920007E-2</v>
      </c>
      <c r="T556" s="1850">
        <f t="shared" si="195"/>
        <v>0</v>
      </c>
      <c r="U556" s="1850">
        <f t="shared" si="190"/>
        <v>0</v>
      </c>
      <c r="V556" s="1850">
        <f t="shared" si="190"/>
        <v>0</v>
      </c>
      <c r="W556" s="1850">
        <f t="shared" si="190"/>
        <v>0</v>
      </c>
      <c r="X556" s="1850">
        <f t="shared" si="190"/>
        <v>0</v>
      </c>
      <c r="Y556" s="1850">
        <f t="shared" si="190"/>
        <v>0</v>
      </c>
      <c r="Z556" s="1850">
        <f t="shared" si="191"/>
        <v>0</v>
      </c>
      <c r="AA556" s="2733"/>
    </row>
    <row r="557" spans="1:27" ht="18.75" x14ac:dyDescent="0.25">
      <c r="A557" s="2456"/>
      <c r="B557" s="1849">
        <v>2027</v>
      </c>
      <c r="C557" s="218">
        <f t="shared" si="183"/>
        <v>0</v>
      </c>
      <c r="D557" s="218">
        <f t="shared" si="192"/>
        <v>0</v>
      </c>
      <c r="E557" s="218">
        <f t="shared" si="193"/>
        <v>0</v>
      </c>
      <c r="F557" s="218">
        <f t="shared" si="184"/>
        <v>0</v>
      </c>
      <c r="G557" s="218">
        <f t="shared" si="185"/>
        <v>0</v>
      </c>
      <c r="H557" s="218">
        <f t="shared" si="186"/>
        <v>0</v>
      </c>
      <c r="I557" s="218">
        <f t="shared" si="187"/>
        <v>0</v>
      </c>
      <c r="J557" s="218">
        <f t="shared" si="188"/>
        <v>0</v>
      </c>
      <c r="K557" s="218">
        <f t="shared" si="189"/>
        <v>0</v>
      </c>
      <c r="L557" s="192">
        <f t="shared" si="194"/>
        <v>0</v>
      </c>
      <c r="M557" s="211">
        <v>71</v>
      </c>
      <c r="N557" s="211">
        <f>(29.53*1.02)*0.8535*1.0824</f>
        <v>27.826265705040004</v>
      </c>
      <c r="O557" s="211">
        <f>(42.96*1.02)*0.8535*1.0824</f>
        <v>40.481421425280004</v>
      </c>
      <c r="P557" s="211">
        <f>(16.43*1.02)*0.8535*1.0824</f>
        <v>15.482070624240002</v>
      </c>
      <c r="Q557" s="211">
        <f>(12.76*1.02)*0.8535*1.0824</f>
        <v>12.023811391680001</v>
      </c>
      <c r="R557" s="211">
        <f>(1.27*1.02)*0.8535*1.0824</f>
        <v>1.1967273093600002</v>
      </c>
      <c r="S557" s="211">
        <f>(0.0584*1.02)*0.8535*1.0824</f>
        <v>5.503061013120001E-2</v>
      </c>
      <c r="T557" s="1850">
        <f t="shared" si="195"/>
        <v>0</v>
      </c>
      <c r="U557" s="1850">
        <f t="shared" si="190"/>
        <v>0</v>
      </c>
      <c r="V557" s="1850">
        <f t="shared" si="190"/>
        <v>0</v>
      </c>
      <c r="W557" s="1850">
        <f t="shared" si="190"/>
        <v>0</v>
      </c>
      <c r="X557" s="1850">
        <f t="shared" si="190"/>
        <v>0</v>
      </c>
      <c r="Y557" s="1850">
        <f t="shared" si="190"/>
        <v>0</v>
      </c>
      <c r="Z557" s="1850">
        <f t="shared" si="191"/>
        <v>0</v>
      </c>
      <c r="AA557" s="2733"/>
    </row>
    <row r="558" spans="1:27" ht="18.75" x14ac:dyDescent="0.25">
      <c r="A558" s="2456"/>
      <c r="B558" s="1849">
        <v>2028</v>
      </c>
      <c r="C558" s="218">
        <f t="shared" si="183"/>
        <v>0</v>
      </c>
      <c r="D558" s="218">
        <f t="shared" si="192"/>
        <v>0</v>
      </c>
      <c r="E558" s="218">
        <f t="shared" si="193"/>
        <v>0</v>
      </c>
      <c r="F558" s="218">
        <f t="shared" si="184"/>
        <v>0</v>
      </c>
      <c r="G558" s="218">
        <f t="shared" si="185"/>
        <v>0</v>
      </c>
      <c r="H558" s="218">
        <f t="shared" si="186"/>
        <v>0</v>
      </c>
      <c r="I558" s="218">
        <f t="shared" si="187"/>
        <v>0</v>
      </c>
      <c r="J558" s="218">
        <f t="shared" si="188"/>
        <v>0</v>
      </c>
      <c r="K558" s="218">
        <f t="shared" si="189"/>
        <v>0</v>
      </c>
      <c r="L558" s="192">
        <f t="shared" si="194"/>
        <v>0</v>
      </c>
      <c r="M558" s="211">
        <v>72</v>
      </c>
      <c r="N558" s="211">
        <f>(29.53*1.02)*0.8368*1.0824</f>
        <v>27.281803329792002</v>
      </c>
      <c r="O558" s="211">
        <f>(42.96*1.02)*0.8368*1.0824</f>
        <v>39.689342060544</v>
      </c>
      <c r="P558" s="211">
        <f>(16.43*1.02)*0.8368*1.0824</f>
        <v>15.179140829952001</v>
      </c>
      <c r="Q558" s="211">
        <f>(12.76*1.02)*0.8368*1.0824</f>
        <v>11.788547595263999</v>
      </c>
      <c r="R558" s="211">
        <f>(1.27*1.02)*0.8368*1.0824</f>
        <v>1.173311555328</v>
      </c>
      <c r="S558" s="211">
        <f>(0.0584*1.02)*0.8368*1.0824</f>
        <v>5.3953854197759998E-2</v>
      </c>
      <c r="T558" s="1850">
        <f t="shared" si="195"/>
        <v>0</v>
      </c>
      <c r="U558" s="1850">
        <f t="shared" si="190"/>
        <v>0</v>
      </c>
      <c r="V558" s="1850">
        <f t="shared" si="190"/>
        <v>0</v>
      </c>
      <c r="W558" s="1850">
        <f t="shared" si="190"/>
        <v>0</v>
      </c>
      <c r="X558" s="1850">
        <f t="shared" si="190"/>
        <v>0</v>
      </c>
      <c r="Y558" s="1850">
        <f t="shared" si="190"/>
        <v>0</v>
      </c>
      <c r="Z558" s="1850">
        <f t="shared" si="191"/>
        <v>0</v>
      </c>
      <c r="AA558" s="2733"/>
    </row>
    <row r="559" spans="1:27" ht="18.75" x14ac:dyDescent="0.25">
      <c r="A559" s="2456"/>
      <c r="B559" s="1849">
        <v>2029</v>
      </c>
      <c r="C559" s="218">
        <f t="shared" si="183"/>
        <v>0</v>
      </c>
      <c r="D559" s="218">
        <f t="shared" si="192"/>
        <v>0</v>
      </c>
      <c r="E559" s="218">
        <f t="shared" si="193"/>
        <v>0</v>
      </c>
      <c r="F559" s="218">
        <f t="shared" si="184"/>
        <v>0</v>
      </c>
      <c r="G559" s="218">
        <f t="shared" si="185"/>
        <v>0</v>
      </c>
      <c r="H559" s="218">
        <f t="shared" si="186"/>
        <v>0</v>
      </c>
      <c r="I559" s="218">
        <f t="shared" si="187"/>
        <v>0</v>
      </c>
      <c r="J559" s="218">
        <f t="shared" si="188"/>
        <v>0</v>
      </c>
      <c r="K559" s="218">
        <f t="shared" si="189"/>
        <v>0</v>
      </c>
      <c r="L559" s="192">
        <f t="shared" si="194"/>
        <v>0</v>
      </c>
      <c r="M559" s="211">
        <v>73</v>
      </c>
      <c r="N559" s="211">
        <f>(29.53*1.02)*0.8203*1.0824</f>
        <v>26.743861462032005</v>
      </c>
      <c r="O559" s="211">
        <f>(42.96*1.02)*0.8203*1.0824</f>
        <v>38.906748676224005</v>
      </c>
      <c r="P559" s="211">
        <f>(16.43*1.02)*0.8203*1.0824</f>
        <v>14.879838937392002</v>
      </c>
      <c r="Q559" s="211">
        <f>(12.76*1.02)*0.8203*1.0824</f>
        <v>11.556101329344001</v>
      </c>
      <c r="R559" s="211">
        <f>(1.27*1.02)*0.8203*1.0824</f>
        <v>1.1501762294880002</v>
      </c>
      <c r="S559" s="211">
        <f>(0.0584*1.02)*0.8203*1.0824</f>
        <v>5.2889993544960004E-2</v>
      </c>
      <c r="T559" s="1850">
        <f t="shared" si="195"/>
        <v>0</v>
      </c>
      <c r="U559" s="1850">
        <f t="shared" si="190"/>
        <v>0</v>
      </c>
      <c r="V559" s="1850">
        <f t="shared" si="190"/>
        <v>0</v>
      </c>
      <c r="W559" s="1850">
        <f t="shared" si="190"/>
        <v>0</v>
      </c>
      <c r="X559" s="1850">
        <f t="shared" si="190"/>
        <v>0</v>
      </c>
      <c r="Y559" s="1850">
        <f t="shared" si="190"/>
        <v>0</v>
      </c>
      <c r="Z559" s="1850">
        <f t="shared" si="191"/>
        <v>0</v>
      </c>
      <c r="AA559" s="2733"/>
    </row>
    <row r="560" spans="1:27" ht="18.75" x14ac:dyDescent="0.25">
      <c r="A560" s="2456"/>
      <c r="B560" s="1849">
        <v>2030</v>
      </c>
      <c r="C560" s="218">
        <f t="shared" si="183"/>
        <v>0</v>
      </c>
      <c r="D560" s="218">
        <f t="shared" si="192"/>
        <v>0</v>
      </c>
      <c r="E560" s="218">
        <f t="shared" si="193"/>
        <v>0</v>
      </c>
      <c r="F560" s="218">
        <f t="shared" si="184"/>
        <v>0</v>
      </c>
      <c r="G560" s="218">
        <f t="shared" si="185"/>
        <v>0</v>
      </c>
      <c r="H560" s="218">
        <f t="shared" si="186"/>
        <v>0</v>
      </c>
      <c r="I560" s="218">
        <f t="shared" si="187"/>
        <v>0</v>
      </c>
      <c r="J560" s="218">
        <f t="shared" si="188"/>
        <v>0</v>
      </c>
      <c r="K560" s="218">
        <f t="shared" si="189"/>
        <v>0</v>
      </c>
      <c r="L560" s="192">
        <f t="shared" si="194"/>
        <v>0</v>
      </c>
      <c r="M560" s="211">
        <v>75</v>
      </c>
      <c r="N560" s="211">
        <f>(29.53*1.02)*0.8043*1.0824</f>
        <v>26.222220862992003</v>
      </c>
      <c r="O560" s="211">
        <f>(42.96*1.02)*0.8043*1.0824</f>
        <v>38.147870242944002</v>
      </c>
      <c r="P560" s="211">
        <f>(16.43*1.02)*0.8043*1.0824</f>
        <v>14.589606799152003</v>
      </c>
      <c r="Q560" s="211">
        <f>(12.76*1.02)*0.8043*1.0824</f>
        <v>11.330698889664001</v>
      </c>
      <c r="R560" s="211">
        <f>(1.27*1.02)*0.8043*1.0824</f>
        <v>1.1277419741280001</v>
      </c>
      <c r="S560" s="211">
        <f>(0.0584*1.02)*0.8043*1.0824</f>
        <v>5.1858371093760007E-2</v>
      </c>
      <c r="T560" s="1850">
        <f t="shared" si="195"/>
        <v>0</v>
      </c>
      <c r="U560" s="1850">
        <f t="shared" si="190"/>
        <v>0</v>
      </c>
      <c r="V560" s="1850">
        <f t="shared" si="190"/>
        <v>0</v>
      </c>
      <c r="W560" s="1850">
        <f t="shared" si="190"/>
        <v>0</v>
      </c>
      <c r="X560" s="1850">
        <f t="shared" si="190"/>
        <v>0</v>
      </c>
      <c r="Y560" s="1850">
        <f t="shared" si="190"/>
        <v>0</v>
      </c>
      <c r="Z560" s="1850">
        <f t="shared" si="191"/>
        <v>0</v>
      </c>
      <c r="AA560" s="2733"/>
    </row>
    <row r="561" spans="1:27" ht="18.75" x14ac:dyDescent="0.25">
      <c r="A561" s="2456"/>
      <c r="B561" s="1849">
        <v>2031</v>
      </c>
      <c r="C561" s="218">
        <f t="shared" si="183"/>
        <v>0</v>
      </c>
      <c r="D561" s="218">
        <f t="shared" si="192"/>
        <v>0</v>
      </c>
      <c r="E561" s="218">
        <f t="shared" si="193"/>
        <v>0</v>
      </c>
      <c r="F561" s="218">
        <f t="shared" si="184"/>
        <v>0</v>
      </c>
      <c r="G561" s="218">
        <f t="shared" si="185"/>
        <v>0</v>
      </c>
      <c r="H561" s="218">
        <f t="shared" si="186"/>
        <v>0</v>
      </c>
      <c r="I561" s="218">
        <f t="shared" si="187"/>
        <v>0</v>
      </c>
      <c r="J561" s="218">
        <f t="shared" si="188"/>
        <v>0</v>
      </c>
      <c r="K561" s="218">
        <f t="shared" si="189"/>
        <v>0</v>
      </c>
      <c r="L561" s="192">
        <f t="shared" si="194"/>
        <v>0</v>
      </c>
      <c r="M561" s="211">
        <v>76</v>
      </c>
      <c r="N561" s="211">
        <f>(29.53*1.02)*0.7885*1.0824</f>
        <v>25.70710077144</v>
      </c>
      <c r="O561" s="211">
        <f>(42.96*1.02)*0.7885*1.0824</f>
        <v>37.398477790080001</v>
      </c>
      <c r="P561" s="211">
        <f>(16.43*1.02)*0.7885*1.0824</f>
        <v>14.303002562640001</v>
      </c>
      <c r="Q561" s="211">
        <f>(12.76*1.02)*0.7885*1.0824</f>
        <v>11.108113980480001</v>
      </c>
      <c r="R561" s="211">
        <f>(1.27*1.02)*0.7885*1.0824</f>
        <v>1.1055881469600002</v>
      </c>
      <c r="S561" s="211">
        <f>(0.0584*1.02)*0.7885*1.0824</f>
        <v>5.0839643923200006E-2</v>
      </c>
      <c r="T561" s="1850">
        <f t="shared" si="195"/>
        <v>0</v>
      </c>
      <c r="U561" s="1850">
        <f t="shared" si="190"/>
        <v>0</v>
      </c>
      <c r="V561" s="1850">
        <f t="shared" si="190"/>
        <v>0</v>
      </c>
      <c r="W561" s="1850">
        <f t="shared" si="190"/>
        <v>0</v>
      </c>
      <c r="X561" s="1850">
        <f t="shared" si="190"/>
        <v>0</v>
      </c>
      <c r="Y561" s="1850">
        <f t="shared" si="190"/>
        <v>0</v>
      </c>
      <c r="Z561" s="1850">
        <f t="shared" si="191"/>
        <v>0</v>
      </c>
      <c r="AA561" s="2733"/>
    </row>
    <row r="562" spans="1:27" ht="18.75" x14ac:dyDescent="0.25">
      <c r="A562" s="2456"/>
      <c r="B562" s="1849">
        <v>2032</v>
      </c>
      <c r="C562" s="218">
        <f t="shared" si="183"/>
        <v>0</v>
      </c>
      <c r="D562" s="218">
        <f t="shared" si="192"/>
        <v>0</v>
      </c>
      <c r="E562" s="218">
        <f t="shared" si="193"/>
        <v>0</v>
      </c>
      <c r="F562" s="218">
        <f t="shared" si="184"/>
        <v>0</v>
      </c>
      <c r="G562" s="218">
        <f t="shared" si="185"/>
        <v>0</v>
      </c>
      <c r="H562" s="218">
        <f t="shared" si="186"/>
        <v>0</v>
      </c>
      <c r="I562" s="218">
        <f t="shared" si="187"/>
        <v>0</v>
      </c>
      <c r="J562" s="218">
        <f t="shared" si="188"/>
        <v>0</v>
      </c>
      <c r="K562" s="218">
        <f t="shared" si="189"/>
        <v>0</v>
      </c>
      <c r="L562" s="192">
        <f t="shared" si="194"/>
        <v>0</v>
      </c>
      <c r="M562" s="211">
        <v>77</v>
      </c>
      <c r="N562" s="211">
        <f>(29.53*1.02)*0.773*1.0824</f>
        <v>25.201761441120002</v>
      </c>
      <c r="O562" s="211">
        <f>(42.96*1.02)*0.773*1.0824</f>
        <v>36.663314307840004</v>
      </c>
      <c r="P562" s="211">
        <f>(16.43*1.02)*0.773*1.0824</f>
        <v>14.021840178720002</v>
      </c>
      <c r="Q562" s="211">
        <f>(12.76*1.02)*0.773*1.0824</f>
        <v>10.889755367040001</v>
      </c>
      <c r="R562" s="211">
        <f>(1.27*1.02)*0.773*1.0824</f>
        <v>1.0838549620800002</v>
      </c>
      <c r="S562" s="211">
        <f>(0.0584*1.02)*0.773*1.0824</f>
        <v>4.9840259673600007E-2</v>
      </c>
      <c r="T562" s="1850">
        <f t="shared" si="195"/>
        <v>0</v>
      </c>
      <c r="U562" s="1850">
        <f t="shared" si="190"/>
        <v>0</v>
      </c>
      <c r="V562" s="1850">
        <f t="shared" si="190"/>
        <v>0</v>
      </c>
      <c r="W562" s="1850">
        <f t="shared" si="190"/>
        <v>0</v>
      </c>
      <c r="X562" s="1850">
        <f t="shared" si="190"/>
        <v>0</v>
      </c>
      <c r="Y562" s="1850">
        <f t="shared" si="190"/>
        <v>0</v>
      </c>
      <c r="Z562" s="1850">
        <f t="shared" si="191"/>
        <v>0</v>
      </c>
      <c r="AA562" s="2733"/>
    </row>
    <row r="563" spans="1:27" ht="18.75" x14ac:dyDescent="0.25">
      <c r="A563" s="2456"/>
      <c r="B563" s="1849">
        <v>2033</v>
      </c>
      <c r="C563" s="218">
        <f t="shared" si="183"/>
        <v>0</v>
      </c>
      <c r="D563" s="218">
        <f t="shared" si="192"/>
        <v>0</v>
      </c>
      <c r="E563" s="218">
        <f t="shared" si="193"/>
        <v>0</v>
      </c>
      <c r="F563" s="218">
        <f t="shared" si="184"/>
        <v>0</v>
      </c>
      <c r="G563" s="218">
        <f t="shared" si="185"/>
        <v>0</v>
      </c>
      <c r="H563" s="218">
        <f t="shared" si="186"/>
        <v>0</v>
      </c>
      <c r="I563" s="218">
        <f t="shared" si="187"/>
        <v>0</v>
      </c>
      <c r="J563" s="218">
        <f t="shared" si="188"/>
        <v>0</v>
      </c>
      <c r="K563" s="218">
        <f t="shared" si="189"/>
        <v>0</v>
      </c>
      <c r="L563" s="192">
        <f t="shared" si="194"/>
        <v>0</v>
      </c>
      <c r="M563" s="211">
        <v>78</v>
      </c>
      <c r="N563" s="211">
        <f>(29.53*1.02)*0.7579*1.0824</f>
        <v>24.709463125776001</v>
      </c>
      <c r="O563" s="211">
        <f>(42.96*1.02)*0.7579*1.0824</f>
        <v>35.947122786432004</v>
      </c>
      <c r="P563" s="211">
        <f>(16.43*1.02)*0.7579*1.0824</f>
        <v>13.747933598256003</v>
      </c>
      <c r="Q563" s="211">
        <f>(12.76*1.02)*0.7579*1.0824</f>
        <v>10.677031814592</v>
      </c>
      <c r="R563" s="211">
        <f>(1.27*1.02)*0.7579*1.0824</f>
        <v>1.0626826335840001</v>
      </c>
      <c r="S563" s="211">
        <f>(0.0584*1.02)*0.7579*1.0824</f>
        <v>4.8866665985280007E-2</v>
      </c>
      <c r="T563" s="1850">
        <f t="shared" si="195"/>
        <v>0</v>
      </c>
      <c r="U563" s="1850">
        <f t="shared" si="190"/>
        <v>0</v>
      </c>
      <c r="V563" s="1850">
        <f t="shared" si="190"/>
        <v>0</v>
      </c>
      <c r="W563" s="1850">
        <f t="shared" si="190"/>
        <v>0</v>
      </c>
      <c r="X563" s="1850">
        <f t="shared" si="190"/>
        <v>0</v>
      </c>
      <c r="Y563" s="1850">
        <f t="shared" si="190"/>
        <v>0</v>
      </c>
      <c r="Z563" s="1850">
        <f t="shared" si="191"/>
        <v>0</v>
      </c>
      <c r="AA563" s="2733"/>
    </row>
    <row r="564" spans="1:27" ht="18.75" x14ac:dyDescent="0.25">
      <c r="A564" s="2456"/>
      <c r="B564" s="1849">
        <v>2034</v>
      </c>
      <c r="C564" s="218">
        <f t="shared" si="183"/>
        <v>0</v>
      </c>
      <c r="D564" s="218">
        <f t="shared" si="192"/>
        <v>0</v>
      </c>
      <c r="E564" s="218">
        <f t="shared" si="193"/>
        <v>0</v>
      </c>
      <c r="F564" s="218">
        <f t="shared" si="184"/>
        <v>0</v>
      </c>
      <c r="G564" s="218">
        <f t="shared" si="185"/>
        <v>0</v>
      </c>
      <c r="H564" s="218">
        <f t="shared" si="186"/>
        <v>0</v>
      </c>
      <c r="I564" s="218">
        <f t="shared" si="187"/>
        <v>0</v>
      </c>
      <c r="J564" s="218">
        <f t="shared" si="188"/>
        <v>0</v>
      </c>
      <c r="K564" s="218">
        <f t="shared" si="189"/>
        <v>0</v>
      </c>
      <c r="L564" s="192">
        <f t="shared" si="194"/>
        <v>0</v>
      </c>
      <c r="M564" s="211">
        <v>79</v>
      </c>
      <c r="N564" s="211">
        <f>(29.53*1.02)*0.743*1.0824</f>
        <v>24.223685317920005</v>
      </c>
      <c r="O564" s="211">
        <f>(42.96*1.02)*0.743*1.0824</f>
        <v>35.24041724544</v>
      </c>
      <c r="P564" s="211">
        <f>(16.43*1.02)*0.743*1.0824</f>
        <v>13.477654919520001</v>
      </c>
      <c r="Q564" s="211">
        <f>(12.76*1.02)*0.743*1.0824</f>
        <v>10.467125792640001</v>
      </c>
      <c r="R564" s="211">
        <f>(1.27*1.02)*0.743*1.0824</f>
        <v>1.04179073328</v>
      </c>
      <c r="S564" s="211">
        <f>(0.0584*1.02)*0.743*1.0824</f>
        <v>4.7905967577600003E-2</v>
      </c>
      <c r="T564" s="1850">
        <f t="shared" si="195"/>
        <v>0</v>
      </c>
      <c r="U564" s="1850">
        <f t="shared" si="190"/>
        <v>0</v>
      </c>
      <c r="V564" s="1850">
        <f t="shared" si="190"/>
        <v>0</v>
      </c>
      <c r="W564" s="1850">
        <f t="shared" si="190"/>
        <v>0</v>
      </c>
      <c r="X564" s="1850">
        <f t="shared" si="190"/>
        <v>0</v>
      </c>
      <c r="Y564" s="1850">
        <f t="shared" si="190"/>
        <v>0</v>
      </c>
      <c r="Z564" s="1850">
        <f t="shared" si="191"/>
        <v>0</v>
      </c>
      <c r="AA564" s="2733"/>
    </row>
    <row r="565" spans="1:27" ht="18.75" x14ac:dyDescent="0.25">
      <c r="A565" s="2456"/>
      <c r="B565" s="1849">
        <v>2035</v>
      </c>
      <c r="C565" s="218">
        <f t="shared" si="183"/>
        <v>0</v>
      </c>
      <c r="D565" s="218">
        <f t="shared" si="192"/>
        <v>0</v>
      </c>
      <c r="E565" s="218">
        <f t="shared" si="193"/>
        <v>0</v>
      </c>
      <c r="F565" s="218">
        <f t="shared" si="184"/>
        <v>0</v>
      </c>
      <c r="G565" s="218">
        <f t="shared" si="185"/>
        <v>0</v>
      </c>
      <c r="H565" s="218">
        <f t="shared" si="186"/>
        <v>0</v>
      </c>
      <c r="I565" s="218">
        <f t="shared" si="187"/>
        <v>0</v>
      </c>
      <c r="J565" s="218">
        <f t="shared" si="188"/>
        <v>0</v>
      </c>
      <c r="K565" s="218">
        <f t="shared" si="189"/>
        <v>0</v>
      </c>
      <c r="L565" s="192">
        <f t="shared" si="194"/>
        <v>0</v>
      </c>
      <c r="M565" s="211">
        <v>80</v>
      </c>
      <c r="N565" s="211">
        <f>(29.53*1.02)*0.7284*1.0824</f>
        <v>23.747688271296006</v>
      </c>
      <c r="O565" s="211">
        <f>(42.96*1.02)*0.7284*1.0824</f>
        <v>34.547940675072006</v>
      </c>
      <c r="P565" s="211">
        <f>(16.43*1.02)*0.7284*1.0824</f>
        <v>13.212818093376002</v>
      </c>
      <c r="Q565" s="211">
        <f>(12.76*1.02)*0.7284*1.0824</f>
        <v>10.261446066432002</v>
      </c>
      <c r="R565" s="211">
        <f>(1.27*1.02)*0.7284*1.0824</f>
        <v>1.0213194752640002</v>
      </c>
      <c r="S565" s="211">
        <f>(0.0584*1.02)*0.7284*1.0824</f>
        <v>4.6964612090880008E-2</v>
      </c>
      <c r="T565" s="1850">
        <f t="shared" si="195"/>
        <v>0</v>
      </c>
      <c r="U565" s="1850">
        <f t="shared" si="190"/>
        <v>0</v>
      </c>
      <c r="V565" s="1850">
        <f t="shared" si="190"/>
        <v>0</v>
      </c>
      <c r="W565" s="1850">
        <f t="shared" si="190"/>
        <v>0</v>
      </c>
      <c r="X565" s="1850">
        <f t="shared" si="190"/>
        <v>0</v>
      </c>
      <c r="Y565" s="1850">
        <f t="shared" si="190"/>
        <v>0</v>
      </c>
      <c r="Z565" s="1850">
        <f t="shared" si="191"/>
        <v>0</v>
      </c>
      <c r="AA565" s="2733"/>
    </row>
    <row r="566" spans="1:27" ht="18.75" x14ac:dyDescent="0.25">
      <c r="A566" s="2456"/>
      <c r="B566" s="1849">
        <v>2036</v>
      </c>
      <c r="C566" s="218">
        <f t="shared" si="183"/>
        <v>0</v>
      </c>
      <c r="D566" s="218">
        <f t="shared" si="192"/>
        <v>0</v>
      </c>
      <c r="E566" s="218">
        <f t="shared" si="193"/>
        <v>0</v>
      </c>
      <c r="F566" s="218">
        <f t="shared" si="184"/>
        <v>0</v>
      </c>
      <c r="G566" s="218">
        <f t="shared" si="185"/>
        <v>0</v>
      </c>
      <c r="H566" s="218">
        <f t="shared" si="186"/>
        <v>0</v>
      </c>
      <c r="I566" s="218">
        <f t="shared" si="187"/>
        <v>0</v>
      </c>
      <c r="J566" s="218">
        <f t="shared" si="188"/>
        <v>0</v>
      </c>
      <c r="K566" s="218">
        <f t="shared" si="189"/>
        <v>0</v>
      </c>
      <c r="L566" s="192">
        <f t="shared" si="194"/>
        <v>0</v>
      </c>
      <c r="M566" s="211">
        <v>81</v>
      </c>
      <c r="N566" s="211">
        <f>(29.53*1.02)*0.7142*1.0824</f>
        <v>23.284732239648001</v>
      </c>
      <c r="O566" s="211">
        <f>(42.96*1.02)*0.7142*1.0824</f>
        <v>33.874436065536003</v>
      </c>
      <c r="P566" s="211">
        <f>(16.43*1.02)*0.7142*1.0824</f>
        <v>12.955237070688</v>
      </c>
      <c r="Q566" s="211">
        <f>(12.76*1.02)*0.7142*1.0824</f>
        <v>10.061401401215999</v>
      </c>
      <c r="R566" s="211">
        <f>(1.27*1.02)*0.7142*1.0824</f>
        <v>1.001409073632</v>
      </c>
      <c r="S566" s="211">
        <f>(0.0584*1.02)*0.7142*1.0824</f>
        <v>4.6049047165439998E-2</v>
      </c>
      <c r="T566" s="1850">
        <f t="shared" si="195"/>
        <v>0</v>
      </c>
      <c r="U566" s="1850">
        <f t="shared" si="190"/>
        <v>0</v>
      </c>
      <c r="V566" s="1850">
        <f t="shared" si="190"/>
        <v>0</v>
      </c>
      <c r="W566" s="1850">
        <f t="shared" si="190"/>
        <v>0</v>
      </c>
      <c r="X566" s="1850">
        <f t="shared" si="190"/>
        <v>0</v>
      </c>
      <c r="Y566" s="1850">
        <f t="shared" si="190"/>
        <v>0</v>
      </c>
      <c r="Z566" s="1850">
        <f t="shared" si="191"/>
        <v>0</v>
      </c>
      <c r="AA566" s="2733"/>
    </row>
    <row r="567" spans="1:27" ht="18.75" x14ac:dyDescent="0.25">
      <c r="A567" s="2456"/>
      <c r="B567" s="1849">
        <v>2037</v>
      </c>
      <c r="C567" s="218">
        <f t="shared" si="183"/>
        <v>0</v>
      </c>
      <c r="D567" s="218">
        <f t="shared" si="192"/>
        <v>0</v>
      </c>
      <c r="E567" s="218">
        <f t="shared" si="193"/>
        <v>0</v>
      </c>
      <c r="F567" s="218">
        <f t="shared" si="184"/>
        <v>0</v>
      </c>
      <c r="G567" s="218">
        <f t="shared" si="185"/>
        <v>0</v>
      </c>
      <c r="H567" s="218">
        <f t="shared" si="186"/>
        <v>0</v>
      </c>
      <c r="I567" s="218">
        <f t="shared" si="187"/>
        <v>0</v>
      </c>
      <c r="J567" s="218">
        <f t="shared" si="188"/>
        <v>0</v>
      </c>
      <c r="K567" s="218">
        <f t="shared" si="189"/>
        <v>0</v>
      </c>
      <c r="L567" s="192">
        <f t="shared" si="194"/>
        <v>0</v>
      </c>
      <c r="M567" s="211">
        <v>83</v>
      </c>
      <c r="N567" s="211">
        <f>(29.53*1.02)*0.7002*1.0824</f>
        <v>22.828296715488005</v>
      </c>
      <c r="O567" s="211">
        <f>(42.96*1.02)*0.7002*1.0824</f>
        <v>33.210417436416002</v>
      </c>
      <c r="P567" s="211">
        <f>(16.43*1.02)*0.7002*1.0824</f>
        <v>12.701283949728003</v>
      </c>
      <c r="Q567" s="211">
        <f>(12.76*1.02)*0.7002*1.0824</f>
        <v>9.8641742664960006</v>
      </c>
      <c r="R567" s="211">
        <f>(1.27*1.02)*0.7002*1.0824</f>
        <v>0.9817791001920001</v>
      </c>
      <c r="S567" s="211">
        <f>(0.0584*1.02)*0.7002*1.0824</f>
        <v>4.5146377520640005E-2</v>
      </c>
      <c r="T567" s="1850">
        <f t="shared" si="195"/>
        <v>0</v>
      </c>
      <c r="U567" s="1850">
        <f t="shared" si="190"/>
        <v>0</v>
      </c>
      <c r="V567" s="1850">
        <f t="shared" si="190"/>
        <v>0</v>
      </c>
      <c r="W567" s="1850">
        <f t="shared" si="190"/>
        <v>0</v>
      </c>
      <c r="X567" s="1850">
        <f t="shared" si="190"/>
        <v>0</v>
      </c>
      <c r="Y567" s="1850">
        <f t="shared" si="190"/>
        <v>0</v>
      </c>
      <c r="Z567" s="1850">
        <f t="shared" si="191"/>
        <v>0</v>
      </c>
      <c r="AA567" s="2733"/>
    </row>
    <row r="568" spans="1:27" ht="18.75" x14ac:dyDescent="0.25">
      <c r="A568" s="2456"/>
      <c r="B568" s="1849">
        <v>2038</v>
      </c>
      <c r="C568" s="218">
        <f t="shared" si="183"/>
        <v>0</v>
      </c>
      <c r="D568" s="218">
        <f t="shared" si="192"/>
        <v>0</v>
      </c>
      <c r="E568" s="218">
        <f t="shared" si="193"/>
        <v>0</v>
      </c>
      <c r="F568" s="218">
        <f t="shared" si="184"/>
        <v>0</v>
      </c>
      <c r="G568" s="218">
        <f t="shared" si="185"/>
        <v>0</v>
      </c>
      <c r="H568" s="218">
        <f t="shared" si="186"/>
        <v>0</v>
      </c>
      <c r="I568" s="218">
        <f t="shared" si="187"/>
        <v>0</v>
      </c>
      <c r="J568" s="218">
        <f t="shared" si="188"/>
        <v>0</v>
      </c>
      <c r="K568" s="218">
        <f t="shared" si="189"/>
        <v>0</v>
      </c>
      <c r="L568" s="192">
        <f t="shared" si="194"/>
        <v>0</v>
      </c>
      <c r="M568" s="211">
        <v>84</v>
      </c>
      <c r="N568" s="211">
        <f>(29.53*1.02)*0.6864*1.0824</f>
        <v>22.378381698816003</v>
      </c>
      <c r="O568" s="211">
        <f>(42.96*1.02)*0.6864*1.0824</f>
        <v>32.555884787712003</v>
      </c>
      <c r="P568" s="211">
        <f>(16.43*1.02)*0.6864*1.0824</f>
        <v>12.450958730496001</v>
      </c>
      <c r="Q568" s="211">
        <f>(12.76*1.02)*0.6864*1.0824</f>
        <v>9.6697646622720015</v>
      </c>
      <c r="R568" s="211">
        <f>(1.27*1.02)*0.6864*1.0824</f>
        <v>0.96242955494400007</v>
      </c>
      <c r="S568" s="211">
        <f>(0.0584*1.02)*0.6864*1.0824</f>
        <v>4.4256603156480001E-2</v>
      </c>
      <c r="T568" s="1850">
        <f t="shared" si="195"/>
        <v>0</v>
      </c>
      <c r="U568" s="1850">
        <f t="shared" si="190"/>
        <v>0</v>
      </c>
      <c r="V568" s="1850">
        <f t="shared" si="190"/>
        <v>0</v>
      </c>
      <c r="W568" s="1850">
        <f t="shared" si="190"/>
        <v>0</v>
      </c>
      <c r="X568" s="1850">
        <f t="shared" si="190"/>
        <v>0</v>
      </c>
      <c r="Y568" s="1850">
        <f t="shared" si="190"/>
        <v>0</v>
      </c>
      <c r="Z568" s="1850">
        <f t="shared" si="191"/>
        <v>0</v>
      </c>
      <c r="AA568" s="2733"/>
    </row>
    <row r="569" spans="1:27" ht="18.75" x14ac:dyDescent="0.25">
      <c r="A569" s="2456"/>
      <c r="B569" s="1849">
        <v>2039</v>
      </c>
      <c r="C569" s="218">
        <f t="shared" si="183"/>
        <v>0</v>
      </c>
      <c r="D569" s="218">
        <f t="shared" si="192"/>
        <v>0</v>
      </c>
      <c r="E569" s="218">
        <f t="shared" si="193"/>
        <v>0</v>
      </c>
      <c r="F569" s="218">
        <f t="shared" si="184"/>
        <v>0</v>
      </c>
      <c r="G569" s="218">
        <f t="shared" si="185"/>
        <v>0</v>
      </c>
      <c r="H569" s="218">
        <f t="shared" si="186"/>
        <v>0</v>
      </c>
      <c r="I569" s="218">
        <f t="shared" si="187"/>
        <v>0</v>
      </c>
      <c r="J569" s="218">
        <f t="shared" si="188"/>
        <v>0</v>
      </c>
      <c r="K569" s="218">
        <f t="shared" si="189"/>
        <v>0</v>
      </c>
      <c r="L569" s="192">
        <f t="shared" si="194"/>
        <v>0</v>
      </c>
      <c r="M569" s="211">
        <v>85</v>
      </c>
      <c r="N569" s="211">
        <f>(29.53*1.02)*0.673*1.0824</f>
        <v>21.941507697120006</v>
      </c>
      <c r="O569" s="211">
        <f>(42.96*1.02)*0.673*1.0824</f>
        <v>31.920324099840006</v>
      </c>
      <c r="P569" s="211">
        <f>(16.43*1.02)*0.673*1.0824</f>
        <v>12.207889314720003</v>
      </c>
      <c r="Q569" s="211">
        <f>(12.76*1.02)*0.673*1.0824</f>
        <v>9.4809901190400012</v>
      </c>
      <c r="R569" s="211">
        <f>(1.27*1.02)*0.673*1.0824</f>
        <v>0.9436408660800002</v>
      </c>
      <c r="S569" s="211">
        <f>(0.0584*1.02)*0.673*1.0824</f>
        <v>4.3392619353600011E-2</v>
      </c>
      <c r="T569" s="1850">
        <f t="shared" si="195"/>
        <v>0</v>
      </c>
      <c r="U569" s="1850">
        <f t="shared" si="190"/>
        <v>0</v>
      </c>
      <c r="V569" s="1850">
        <f t="shared" si="190"/>
        <v>0</v>
      </c>
      <c r="W569" s="1850">
        <f t="shared" si="190"/>
        <v>0</v>
      </c>
      <c r="X569" s="1850">
        <f t="shared" si="190"/>
        <v>0</v>
      </c>
      <c r="Y569" s="1850">
        <f t="shared" si="190"/>
        <v>0</v>
      </c>
      <c r="Z569" s="1850">
        <f t="shared" si="191"/>
        <v>0</v>
      </c>
      <c r="AA569" s="2733"/>
    </row>
    <row r="570" spans="1:27" ht="18.75" x14ac:dyDescent="0.25">
      <c r="A570" s="2456"/>
      <c r="B570" s="1849">
        <v>2040</v>
      </c>
      <c r="C570" s="218">
        <f t="shared" si="183"/>
        <v>0</v>
      </c>
      <c r="D570" s="218">
        <f t="shared" si="192"/>
        <v>0</v>
      </c>
      <c r="E570" s="218">
        <f t="shared" si="193"/>
        <v>0</v>
      </c>
      <c r="F570" s="218">
        <f t="shared" si="184"/>
        <v>0</v>
      </c>
      <c r="G570" s="218">
        <f t="shared" si="185"/>
        <v>0</v>
      </c>
      <c r="H570" s="218">
        <f t="shared" si="186"/>
        <v>0</v>
      </c>
      <c r="I570" s="218">
        <f t="shared" si="187"/>
        <v>0</v>
      </c>
      <c r="J570" s="218">
        <f t="shared" si="188"/>
        <v>0</v>
      </c>
      <c r="K570" s="218">
        <f t="shared" si="189"/>
        <v>0</v>
      </c>
      <c r="L570" s="192">
        <f t="shared" si="194"/>
        <v>0</v>
      </c>
      <c r="M570" s="211">
        <v>86</v>
      </c>
      <c r="N570" s="211">
        <f>(29.53*1.02)*0.6598*1.0824</f>
        <v>21.511154202912003</v>
      </c>
      <c r="O570" s="211">
        <f>(42.96*1.02)*0.6598*1.0824</f>
        <v>31.294249392384003</v>
      </c>
      <c r="P570" s="211">
        <f>(16.43*1.02)*0.6598*1.0824</f>
        <v>11.968447800672001</v>
      </c>
      <c r="Q570" s="211">
        <f>(12.76*1.02)*0.6598*1.0824</f>
        <v>9.2950331063040004</v>
      </c>
      <c r="R570" s="211">
        <f>(1.27*1.02)*0.6598*1.0824</f>
        <v>0.92513260540800013</v>
      </c>
      <c r="S570" s="211">
        <f>(0.0584*1.02)*0.6598*1.0824</f>
        <v>4.254153083136001E-2</v>
      </c>
      <c r="T570" s="1850">
        <f t="shared" si="195"/>
        <v>0</v>
      </c>
      <c r="U570" s="1850">
        <f t="shared" si="190"/>
        <v>0</v>
      </c>
      <c r="V570" s="1850">
        <f t="shared" si="190"/>
        <v>0</v>
      </c>
      <c r="W570" s="1850">
        <f t="shared" si="190"/>
        <v>0</v>
      </c>
      <c r="X570" s="1850">
        <f t="shared" si="190"/>
        <v>0</v>
      </c>
      <c r="Y570" s="1850">
        <f t="shared" si="190"/>
        <v>0</v>
      </c>
      <c r="Z570" s="1850">
        <f t="shared" si="191"/>
        <v>0</v>
      </c>
      <c r="AA570" s="2733"/>
    </row>
    <row r="571" spans="1:27" ht="18.75" x14ac:dyDescent="0.25">
      <c r="A571" s="2456"/>
      <c r="B571" s="1849">
        <v>2041</v>
      </c>
      <c r="C571" s="218">
        <f t="shared" si="183"/>
        <v>0</v>
      </c>
      <c r="D571" s="218">
        <f t="shared" si="192"/>
        <v>0</v>
      </c>
      <c r="E571" s="218">
        <f t="shared" si="193"/>
        <v>0</v>
      </c>
      <c r="F571" s="218">
        <f t="shared" si="184"/>
        <v>0</v>
      </c>
      <c r="G571" s="218">
        <f t="shared" si="185"/>
        <v>0</v>
      </c>
      <c r="H571" s="218">
        <f t="shared" si="186"/>
        <v>0</v>
      </c>
      <c r="I571" s="218">
        <f t="shared" si="187"/>
        <v>0</v>
      </c>
      <c r="J571" s="218">
        <f t="shared" si="188"/>
        <v>0</v>
      </c>
      <c r="K571" s="218">
        <f t="shared" si="189"/>
        <v>0</v>
      </c>
      <c r="L571" s="192">
        <f t="shared" si="194"/>
        <v>0</v>
      </c>
      <c r="M571" s="211">
        <v>87</v>
      </c>
      <c r="N571" s="211">
        <f>(29.53*1.02)*0.6468*1.0824</f>
        <v>21.087321216192002</v>
      </c>
      <c r="O571" s="211">
        <f>(42.96*1.02)*0.6468*1.0824</f>
        <v>30.677660665344007</v>
      </c>
      <c r="P571" s="211">
        <f>(16.43*1.02)*0.6468*1.0824</f>
        <v>11.732634188352002</v>
      </c>
      <c r="Q571" s="211">
        <f>(12.76*1.02)*0.6468*1.0824</f>
        <v>9.1118936240640007</v>
      </c>
      <c r="R571" s="211">
        <f>(1.27*1.02)*0.6468*1.0824</f>
        <v>0.9069047729280002</v>
      </c>
      <c r="S571" s="211">
        <f>(0.0584*1.02)*0.6468*1.0824</f>
        <v>4.1703337589760005E-2</v>
      </c>
      <c r="T571" s="1850">
        <f t="shared" si="195"/>
        <v>0</v>
      </c>
      <c r="U571" s="1850">
        <f t="shared" si="190"/>
        <v>0</v>
      </c>
      <c r="V571" s="1850">
        <f t="shared" si="190"/>
        <v>0</v>
      </c>
      <c r="W571" s="1850">
        <f t="shared" si="190"/>
        <v>0</v>
      </c>
      <c r="X571" s="1850">
        <f t="shared" si="190"/>
        <v>0</v>
      </c>
      <c r="Y571" s="1850">
        <f t="shared" si="190"/>
        <v>0</v>
      </c>
      <c r="Z571" s="1850">
        <f t="shared" si="191"/>
        <v>0</v>
      </c>
      <c r="AA571" s="2733"/>
    </row>
    <row r="572" spans="1:27" ht="18.75" x14ac:dyDescent="0.25">
      <c r="A572" s="2456"/>
      <c r="B572" s="1849">
        <v>2042</v>
      </c>
      <c r="C572" s="218">
        <f t="shared" si="183"/>
        <v>0</v>
      </c>
      <c r="D572" s="218">
        <f t="shared" si="192"/>
        <v>0</v>
      </c>
      <c r="E572" s="218">
        <f t="shared" si="193"/>
        <v>0</v>
      </c>
      <c r="F572" s="218">
        <f t="shared" si="184"/>
        <v>0</v>
      </c>
      <c r="G572" s="218">
        <f t="shared" si="185"/>
        <v>0</v>
      </c>
      <c r="H572" s="218">
        <f t="shared" si="186"/>
        <v>0</v>
      </c>
      <c r="I572" s="218">
        <f t="shared" si="187"/>
        <v>0</v>
      </c>
      <c r="J572" s="218">
        <f t="shared" si="188"/>
        <v>0</v>
      </c>
      <c r="K572" s="218">
        <f t="shared" si="189"/>
        <v>0</v>
      </c>
      <c r="L572" s="192">
        <f t="shared" si="194"/>
        <v>0</v>
      </c>
      <c r="M572" s="211">
        <v>88</v>
      </c>
      <c r="N572" s="211">
        <f>(29.53*1.02)*0.6342*1.0824</f>
        <v>20.676529244448002</v>
      </c>
      <c r="O572" s="211">
        <f>(42.96*1.02)*0.6342*1.0824</f>
        <v>30.080043899136001</v>
      </c>
      <c r="P572" s="211">
        <f>(16.43*1.02)*0.6342*1.0824</f>
        <v>11.504076379488001</v>
      </c>
      <c r="Q572" s="211">
        <f>(12.76*1.02)*0.6342*1.0824</f>
        <v>8.9343892028159999</v>
      </c>
      <c r="R572" s="211">
        <f>(1.27*1.02)*0.6342*1.0824</f>
        <v>0.8892377968320001</v>
      </c>
      <c r="S572" s="211">
        <f>(0.0584*1.02)*0.6342*1.0824</f>
        <v>4.0890934909439999E-2</v>
      </c>
      <c r="T572" s="1850">
        <f t="shared" si="195"/>
        <v>0</v>
      </c>
      <c r="U572" s="1850">
        <f t="shared" si="190"/>
        <v>0</v>
      </c>
      <c r="V572" s="1850">
        <f t="shared" si="190"/>
        <v>0</v>
      </c>
      <c r="W572" s="1850">
        <f t="shared" si="190"/>
        <v>0</v>
      </c>
      <c r="X572" s="1850">
        <f t="shared" si="190"/>
        <v>0</v>
      </c>
      <c r="Y572" s="1850">
        <f t="shared" si="190"/>
        <v>0</v>
      </c>
      <c r="Z572" s="1850">
        <f t="shared" si="191"/>
        <v>0</v>
      </c>
      <c r="AA572" s="2733"/>
    </row>
    <row r="573" spans="1:27" ht="18.75" x14ac:dyDescent="0.25">
      <c r="A573" s="2456"/>
      <c r="B573" s="1849">
        <v>2043</v>
      </c>
      <c r="C573" s="218">
        <f t="shared" si="183"/>
        <v>0</v>
      </c>
      <c r="D573" s="218">
        <f t="shared" si="192"/>
        <v>0</v>
      </c>
      <c r="E573" s="218">
        <f t="shared" si="193"/>
        <v>0</v>
      </c>
      <c r="F573" s="218">
        <f t="shared" si="184"/>
        <v>0</v>
      </c>
      <c r="G573" s="218">
        <f t="shared" si="185"/>
        <v>0</v>
      </c>
      <c r="H573" s="218">
        <f t="shared" si="186"/>
        <v>0</v>
      </c>
      <c r="I573" s="218">
        <f t="shared" si="187"/>
        <v>0</v>
      </c>
      <c r="J573" s="218">
        <f t="shared" si="188"/>
        <v>0</v>
      </c>
      <c r="K573" s="218">
        <f t="shared" si="189"/>
        <v>0</v>
      </c>
      <c r="L573" s="192">
        <f t="shared" si="194"/>
        <v>0</v>
      </c>
      <c r="M573" s="211">
        <v>89</v>
      </c>
      <c r="N573" s="211">
        <f>(29.53*1.02)*0.6217*1.0824</f>
        <v>20.268997526448004</v>
      </c>
      <c r="O573" s="211">
        <f>(42.96*1.02)*0.6217*1.0824</f>
        <v>29.487170123136003</v>
      </c>
      <c r="P573" s="211">
        <f>(16.43*1.02)*0.6217*1.0824</f>
        <v>11.277332521488001</v>
      </c>
      <c r="Q573" s="211">
        <f>(12.76*1.02)*0.6217*1.0824</f>
        <v>8.7582935468160006</v>
      </c>
      <c r="R573" s="211">
        <f>(1.27*1.02)*0.6217*1.0824</f>
        <v>0.87171103483200019</v>
      </c>
      <c r="S573" s="211">
        <f>(0.0584*1.02)*0.6217*1.0824</f>
        <v>4.0084979869440006E-2</v>
      </c>
      <c r="T573" s="1850">
        <f t="shared" si="195"/>
        <v>0</v>
      </c>
      <c r="U573" s="1850">
        <f t="shared" si="190"/>
        <v>0</v>
      </c>
      <c r="V573" s="1850">
        <f t="shared" si="190"/>
        <v>0</v>
      </c>
      <c r="W573" s="1850">
        <f t="shared" si="190"/>
        <v>0</v>
      </c>
      <c r="X573" s="1850">
        <f t="shared" si="190"/>
        <v>0</v>
      </c>
      <c r="Y573" s="1850">
        <f t="shared" si="190"/>
        <v>0</v>
      </c>
      <c r="Z573" s="1850">
        <f t="shared" si="191"/>
        <v>0</v>
      </c>
      <c r="AA573" s="2733"/>
    </row>
    <row r="574" spans="1:27" ht="18.75" x14ac:dyDescent="0.25">
      <c r="A574" s="2456"/>
      <c r="B574" s="1849">
        <v>2044</v>
      </c>
      <c r="C574" s="218">
        <f t="shared" si="183"/>
        <v>0</v>
      </c>
      <c r="D574" s="218">
        <f t="shared" si="192"/>
        <v>0</v>
      </c>
      <c r="E574" s="218">
        <f t="shared" si="193"/>
        <v>0</v>
      </c>
      <c r="F574" s="218">
        <f t="shared" si="184"/>
        <v>0</v>
      </c>
      <c r="G574" s="218">
        <f t="shared" si="185"/>
        <v>0</v>
      </c>
      <c r="H574" s="218">
        <f t="shared" si="186"/>
        <v>0</v>
      </c>
      <c r="I574" s="218">
        <f t="shared" si="187"/>
        <v>0</v>
      </c>
      <c r="J574" s="218">
        <f t="shared" si="188"/>
        <v>0</v>
      </c>
      <c r="K574" s="218">
        <f t="shared" si="189"/>
        <v>0</v>
      </c>
      <c r="L574" s="192">
        <f t="shared" si="194"/>
        <v>0</v>
      </c>
      <c r="M574" s="211">
        <v>90</v>
      </c>
      <c r="N574" s="211">
        <f>(29.53*1.02)*0.6095*1.0824</f>
        <v>19.871246569680004</v>
      </c>
      <c r="O574" s="211">
        <f>(42.96*1.02)*0.6095*1.0824</f>
        <v>28.908525317760002</v>
      </c>
      <c r="P574" s="211">
        <f>(16.43*1.02)*0.6095*1.0824</f>
        <v>11.056030516080002</v>
      </c>
      <c r="Q574" s="211">
        <f>(12.76*1.02)*0.6095*1.0824</f>
        <v>8.5864241865600004</v>
      </c>
      <c r="R574" s="211">
        <f>(1.27*1.02)*0.6095*1.0824</f>
        <v>0.85460491512000014</v>
      </c>
      <c r="S574" s="211">
        <f>(0.0584*1.02)*0.6095*1.0824</f>
        <v>3.9298367750400007E-2</v>
      </c>
      <c r="T574" s="1850">
        <f t="shared" si="195"/>
        <v>0</v>
      </c>
      <c r="U574" s="1850">
        <f t="shared" si="190"/>
        <v>0</v>
      </c>
      <c r="V574" s="1850">
        <f t="shared" si="190"/>
        <v>0</v>
      </c>
      <c r="W574" s="1850">
        <f t="shared" si="190"/>
        <v>0</v>
      </c>
      <c r="X574" s="1850">
        <f t="shared" si="190"/>
        <v>0</v>
      </c>
      <c r="Y574" s="1850">
        <f t="shared" si="190"/>
        <v>0</v>
      </c>
      <c r="Z574" s="1850">
        <f t="shared" si="191"/>
        <v>0</v>
      </c>
      <c r="AA574" s="2733"/>
    </row>
    <row r="575" spans="1:27" ht="18.75" x14ac:dyDescent="0.25">
      <c r="A575" s="2456"/>
      <c r="B575" s="1849">
        <v>2045</v>
      </c>
      <c r="C575" s="218">
        <f t="shared" si="183"/>
        <v>0</v>
      </c>
      <c r="D575" s="218">
        <f t="shared" si="192"/>
        <v>0</v>
      </c>
      <c r="E575" s="218">
        <f t="shared" si="193"/>
        <v>0</v>
      </c>
      <c r="F575" s="218">
        <f t="shared" si="184"/>
        <v>0</v>
      </c>
      <c r="G575" s="218">
        <f t="shared" si="185"/>
        <v>0</v>
      </c>
      <c r="H575" s="218">
        <f t="shared" si="186"/>
        <v>0</v>
      </c>
      <c r="I575" s="218">
        <f t="shared" si="187"/>
        <v>0</v>
      </c>
      <c r="J575" s="218">
        <f t="shared" si="188"/>
        <v>0</v>
      </c>
      <c r="K575" s="218">
        <f t="shared" si="189"/>
        <v>0</v>
      </c>
      <c r="L575" s="192">
        <f t="shared" si="194"/>
        <v>0</v>
      </c>
      <c r="M575" s="211">
        <v>92</v>
      </c>
      <c r="N575" s="211">
        <f>(29.53*1.02)*0.5976*1.0824</f>
        <v>19.483276374144001</v>
      </c>
      <c r="O575" s="211">
        <f>(42.96*1.02)*0.5976*1.0824</f>
        <v>28.344109483008001</v>
      </c>
      <c r="P575" s="211">
        <f>(16.43*1.02)*0.5976*1.0824</f>
        <v>10.840170363264003</v>
      </c>
      <c r="Q575" s="211">
        <f>(12.76*1.02)*0.5976*1.0824</f>
        <v>8.4187811220480011</v>
      </c>
      <c r="R575" s="211">
        <f>(1.27*1.02)*0.5976*1.0824</f>
        <v>0.83791943769600008</v>
      </c>
      <c r="S575" s="211">
        <f>(0.0584*1.02)*0.5976*1.0824</f>
        <v>3.8531098552320009E-2</v>
      </c>
      <c r="T575" s="1850">
        <f t="shared" si="195"/>
        <v>0</v>
      </c>
      <c r="U575" s="1850">
        <f t="shared" si="190"/>
        <v>0</v>
      </c>
      <c r="V575" s="1850">
        <f t="shared" si="190"/>
        <v>0</v>
      </c>
      <c r="W575" s="1850">
        <f t="shared" si="190"/>
        <v>0</v>
      </c>
      <c r="X575" s="1850">
        <f t="shared" si="190"/>
        <v>0</v>
      </c>
      <c r="Y575" s="1850">
        <f t="shared" si="190"/>
        <v>0</v>
      </c>
      <c r="Z575" s="1850">
        <f t="shared" si="191"/>
        <v>0</v>
      </c>
      <c r="AA575" s="2733"/>
    </row>
    <row r="576" spans="1:27" ht="18.75" x14ac:dyDescent="0.25">
      <c r="A576" s="2456"/>
      <c r="B576" s="1849">
        <v>2046</v>
      </c>
      <c r="C576" s="218">
        <f t="shared" si="183"/>
        <v>0</v>
      </c>
      <c r="D576" s="218">
        <f t="shared" si="192"/>
        <v>0</v>
      </c>
      <c r="E576" s="218">
        <f t="shared" si="193"/>
        <v>0</v>
      </c>
      <c r="F576" s="218">
        <f t="shared" si="184"/>
        <v>0</v>
      </c>
      <c r="G576" s="218">
        <f t="shared" si="185"/>
        <v>0</v>
      </c>
      <c r="H576" s="218">
        <f t="shared" si="186"/>
        <v>0</v>
      </c>
      <c r="I576" s="218">
        <f t="shared" si="187"/>
        <v>0</v>
      </c>
      <c r="J576" s="218">
        <f t="shared" si="188"/>
        <v>0</v>
      </c>
      <c r="K576" s="218">
        <f t="shared" si="189"/>
        <v>0</v>
      </c>
      <c r="L576" s="192">
        <f t="shared" si="194"/>
        <v>0</v>
      </c>
      <c r="M576" s="211">
        <v>93</v>
      </c>
      <c r="N576" s="211">
        <f>(29.53*1.02)*0.5859*1.0824</f>
        <v>19.101826686096</v>
      </c>
      <c r="O576" s="211">
        <f>(42.96*1.02)*0.5859*1.0824</f>
        <v>27.789179628671999</v>
      </c>
      <c r="P576" s="211">
        <f>(16.43*1.02)*0.5859*1.0824</f>
        <v>10.627938112176002</v>
      </c>
      <c r="Q576" s="211">
        <f>(12.76*1.02)*0.5859*1.0824</f>
        <v>8.2539555880319995</v>
      </c>
      <c r="R576" s="211">
        <f>(1.27*1.02)*0.5859*1.0824</f>
        <v>0.82151438846400004</v>
      </c>
      <c r="S576" s="211">
        <f>(0.0584*1.02)*0.5859*1.0824</f>
        <v>3.777672463488E-2</v>
      </c>
      <c r="T576" s="1850">
        <f t="shared" si="195"/>
        <v>0</v>
      </c>
      <c r="U576" s="1850">
        <f t="shared" si="190"/>
        <v>0</v>
      </c>
      <c r="V576" s="1850">
        <f t="shared" si="190"/>
        <v>0</v>
      </c>
      <c r="W576" s="1850">
        <f t="shared" si="190"/>
        <v>0</v>
      </c>
      <c r="X576" s="1850">
        <f t="shared" si="190"/>
        <v>0</v>
      </c>
      <c r="Y576" s="1850">
        <f t="shared" si="190"/>
        <v>0</v>
      </c>
      <c r="Z576" s="1850">
        <f t="shared" si="191"/>
        <v>0</v>
      </c>
      <c r="AA576" s="2733"/>
    </row>
    <row r="577" spans="1:27" ht="18.75" x14ac:dyDescent="0.25">
      <c r="A577" s="2456"/>
      <c r="B577" s="1849">
        <v>2047</v>
      </c>
      <c r="C577" s="218">
        <f t="shared" si="183"/>
        <v>0</v>
      </c>
      <c r="D577" s="218">
        <f t="shared" si="192"/>
        <v>0</v>
      </c>
      <c r="E577" s="218">
        <f t="shared" si="193"/>
        <v>0</v>
      </c>
      <c r="F577" s="218">
        <f t="shared" si="184"/>
        <v>0</v>
      </c>
      <c r="G577" s="218">
        <f t="shared" si="185"/>
        <v>0</v>
      </c>
      <c r="H577" s="218">
        <f t="shared" si="186"/>
        <v>0</v>
      </c>
      <c r="I577" s="218">
        <f t="shared" si="187"/>
        <v>0</v>
      </c>
      <c r="J577" s="218">
        <f t="shared" si="188"/>
        <v>0</v>
      </c>
      <c r="K577" s="218">
        <f t="shared" si="189"/>
        <v>0</v>
      </c>
      <c r="L577" s="192">
        <f t="shared" si="194"/>
        <v>0</v>
      </c>
      <c r="M577" s="211">
        <v>94</v>
      </c>
      <c r="N577" s="211">
        <f>(29.53*1.02)*0.5744*1.0824</f>
        <v>18.726897505536005</v>
      </c>
      <c r="O577" s="211">
        <f>(42.96*1.02)*0.5744*1.0824</f>
        <v>27.243735754752002</v>
      </c>
      <c r="P577" s="211">
        <f>(16.43*1.02)*0.5744*1.0824</f>
        <v>10.419333762816001</v>
      </c>
      <c r="Q577" s="211">
        <f>(12.76*1.02)*0.5744*1.0824</f>
        <v>8.0919475845120008</v>
      </c>
      <c r="R577" s="211">
        <f>(1.27*1.02)*0.5744*1.0824</f>
        <v>0.80538976742400015</v>
      </c>
      <c r="S577" s="211">
        <f>(0.0584*1.02)*0.5744*1.0824</f>
        <v>3.7035245998080002E-2</v>
      </c>
      <c r="T577" s="1850">
        <f t="shared" si="195"/>
        <v>0</v>
      </c>
      <c r="U577" s="1850">
        <f t="shared" si="190"/>
        <v>0</v>
      </c>
      <c r="V577" s="1850">
        <f t="shared" si="190"/>
        <v>0</v>
      </c>
      <c r="W577" s="1850">
        <f t="shared" si="190"/>
        <v>0</v>
      </c>
      <c r="X577" s="1850">
        <f t="shared" si="190"/>
        <v>0</v>
      </c>
      <c r="Y577" s="1850">
        <f t="shared" si="190"/>
        <v>0</v>
      </c>
      <c r="Z577" s="1850">
        <f t="shared" si="191"/>
        <v>0</v>
      </c>
      <c r="AA577" s="2733"/>
    </row>
    <row r="578" spans="1:27" ht="18.75" x14ac:dyDescent="0.25">
      <c r="A578" s="2456"/>
      <c r="B578" s="1849">
        <v>2048</v>
      </c>
      <c r="C578" s="218">
        <f t="shared" si="183"/>
        <v>0</v>
      </c>
      <c r="D578" s="218">
        <f t="shared" si="192"/>
        <v>0</v>
      </c>
      <c r="E578" s="218">
        <f t="shared" si="193"/>
        <v>0</v>
      </c>
      <c r="F578" s="218">
        <f t="shared" si="184"/>
        <v>0</v>
      </c>
      <c r="G578" s="218">
        <f t="shared" si="185"/>
        <v>0</v>
      </c>
      <c r="H578" s="218">
        <f t="shared" si="186"/>
        <v>0</v>
      </c>
      <c r="I578" s="218">
        <f t="shared" si="187"/>
        <v>0</v>
      </c>
      <c r="J578" s="218">
        <f t="shared" si="188"/>
        <v>0</v>
      </c>
      <c r="K578" s="218">
        <f t="shared" si="189"/>
        <v>0</v>
      </c>
      <c r="L578" s="192">
        <f t="shared" si="194"/>
        <v>0</v>
      </c>
      <c r="M578" s="211">
        <v>95</v>
      </c>
      <c r="N578" s="211">
        <f>(29.53*1.02)*0.5631*1.0824</f>
        <v>18.358488832464005</v>
      </c>
      <c r="O578" s="211">
        <f>(42.96*1.02)*0.5631*1.0824</f>
        <v>26.707777861248005</v>
      </c>
      <c r="P578" s="211">
        <f>(16.43*1.02)*0.5631*1.0824</f>
        <v>10.214357315184001</v>
      </c>
      <c r="Q578" s="211">
        <f>(12.76*1.02)*0.5631*1.0824</f>
        <v>7.9327571114880007</v>
      </c>
      <c r="R578" s="211">
        <f>(1.27*1.02)*0.5631*1.0824</f>
        <v>0.78954557457600016</v>
      </c>
      <c r="S578" s="211">
        <f>(0.0584*1.02)*0.5631*1.0824</f>
        <v>3.6306662641920007E-2</v>
      </c>
      <c r="T578" s="1850">
        <f t="shared" si="195"/>
        <v>0</v>
      </c>
      <c r="U578" s="1850">
        <f t="shared" si="190"/>
        <v>0</v>
      </c>
      <c r="V578" s="1850">
        <f t="shared" si="190"/>
        <v>0</v>
      </c>
      <c r="W578" s="1850">
        <f t="shared" si="190"/>
        <v>0</v>
      </c>
      <c r="X578" s="1850">
        <f t="shared" si="190"/>
        <v>0</v>
      </c>
      <c r="Y578" s="1850">
        <f t="shared" si="190"/>
        <v>0</v>
      </c>
      <c r="Z578" s="1850">
        <f t="shared" si="191"/>
        <v>0</v>
      </c>
      <c r="AA578" s="2733"/>
    </row>
    <row r="579" spans="1:27" ht="18.75" x14ac:dyDescent="0.25">
      <c r="A579" s="2456"/>
      <c r="B579" s="1849">
        <v>2049</v>
      </c>
      <c r="C579" s="218">
        <f t="shared" si="183"/>
        <v>0</v>
      </c>
      <c r="D579" s="218">
        <f t="shared" si="192"/>
        <v>0</v>
      </c>
      <c r="E579" s="218">
        <f t="shared" si="193"/>
        <v>0</v>
      </c>
      <c r="F579" s="218">
        <f t="shared" si="184"/>
        <v>0</v>
      </c>
      <c r="G579" s="218">
        <f t="shared" si="185"/>
        <v>0</v>
      </c>
      <c r="H579" s="218">
        <f t="shared" si="186"/>
        <v>0</v>
      </c>
      <c r="I579" s="218">
        <f t="shared" si="187"/>
        <v>0</v>
      </c>
      <c r="J579" s="218">
        <f t="shared" si="188"/>
        <v>0</v>
      </c>
      <c r="K579" s="218">
        <f t="shared" si="189"/>
        <v>0</v>
      </c>
      <c r="L579" s="192">
        <f t="shared" si="194"/>
        <v>0</v>
      </c>
      <c r="M579" s="211">
        <v>96</v>
      </c>
      <c r="N579" s="211">
        <f>(29.53*1.02)*0.5521*1.0824</f>
        <v>17.999860920624005</v>
      </c>
      <c r="O579" s="211">
        <f>(42.96*1.02)*0.5521*1.0824</f>
        <v>26.186048938368003</v>
      </c>
      <c r="P579" s="211">
        <f>(16.43*1.02)*0.5521*1.0824</f>
        <v>10.014822720144002</v>
      </c>
      <c r="Q579" s="211">
        <f>(12.76*1.02)*0.5521*1.0824</f>
        <v>7.7777929342080014</v>
      </c>
      <c r="R579" s="211">
        <f>(1.27*1.02)*0.5521*1.0824</f>
        <v>0.77412202401600017</v>
      </c>
      <c r="S579" s="211">
        <f>(0.0584*1.02)*0.5521*1.0824</f>
        <v>3.5597422206719999E-2</v>
      </c>
      <c r="T579" s="1850">
        <f t="shared" si="195"/>
        <v>0</v>
      </c>
      <c r="U579" s="1850">
        <f t="shared" si="190"/>
        <v>0</v>
      </c>
      <c r="V579" s="1850">
        <f t="shared" si="190"/>
        <v>0</v>
      </c>
      <c r="W579" s="1850">
        <f t="shared" si="190"/>
        <v>0</v>
      </c>
      <c r="X579" s="1850">
        <f t="shared" si="190"/>
        <v>0</v>
      </c>
      <c r="Y579" s="1850">
        <f t="shared" si="190"/>
        <v>0</v>
      </c>
      <c r="Z579" s="1850">
        <f t="shared" si="191"/>
        <v>0</v>
      </c>
      <c r="AA579" s="2733"/>
    </row>
    <row r="580" spans="1:27" ht="18.75" x14ac:dyDescent="0.25">
      <c r="A580" s="2456"/>
      <c r="B580" s="1849">
        <v>2050</v>
      </c>
      <c r="C580" s="218">
        <f t="shared" si="183"/>
        <v>0</v>
      </c>
      <c r="D580" s="218">
        <f t="shared" si="192"/>
        <v>0</v>
      </c>
      <c r="E580" s="218">
        <f t="shared" si="193"/>
        <v>0</v>
      </c>
      <c r="F580" s="218">
        <f t="shared" si="184"/>
        <v>0</v>
      </c>
      <c r="G580" s="218">
        <f t="shared" si="185"/>
        <v>0</v>
      </c>
      <c r="H580" s="218">
        <f t="shared" si="186"/>
        <v>0</v>
      </c>
      <c r="I580" s="218">
        <f t="shared" si="187"/>
        <v>0</v>
      </c>
      <c r="J580" s="218">
        <f t="shared" si="188"/>
        <v>0</v>
      </c>
      <c r="K580" s="218">
        <f t="shared" si="189"/>
        <v>0</v>
      </c>
      <c r="L580" s="192">
        <f t="shared" si="194"/>
        <v>0</v>
      </c>
      <c r="M580" s="211">
        <v>97</v>
      </c>
      <c r="N580" s="211">
        <f>(29.53*1.02)*0.5412*1.0824</f>
        <v>17.644493262528005</v>
      </c>
      <c r="O580" s="211">
        <f>(42.96*1.02)*0.5412*1.0824</f>
        <v>25.669063005696003</v>
      </c>
      <c r="P580" s="211">
        <f>(16.43*1.02)*0.5412*1.0824</f>
        <v>9.8171020759680019</v>
      </c>
      <c r="Q580" s="211">
        <f>(12.76*1.02)*0.5412*1.0824</f>
        <v>7.624237522176001</v>
      </c>
      <c r="R580" s="211">
        <f>(1.27*1.02)*0.5412*1.0824</f>
        <v>0.75883868755200012</v>
      </c>
      <c r="S580" s="211">
        <f>(0.0584*1.02)*0.5412*1.0824</f>
        <v>3.4894629411840003E-2</v>
      </c>
      <c r="T580" s="1850">
        <f t="shared" si="195"/>
        <v>0</v>
      </c>
      <c r="U580" s="1850">
        <f t="shared" si="190"/>
        <v>0</v>
      </c>
      <c r="V580" s="1850">
        <f t="shared" si="190"/>
        <v>0</v>
      </c>
      <c r="W580" s="1850">
        <f t="shared" si="190"/>
        <v>0</v>
      </c>
      <c r="X580" s="1850">
        <f t="shared" si="190"/>
        <v>0</v>
      </c>
      <c r="Y580" s="1850">
        <f t="shared" si="190"/>
        <v>0</v>
      </c>
      <c r="Z580" s="1850">
        <f t="shared" si="191"/>
        <v>0</v>
      </c>
      <c r="AA580" s="2733"/>
    </row>
    <row r="581" spans="1:27" ht="18.75" x14ac:dyDescent="0.25">
      <c r="A581" s="2456"/>
      <c r="B581" s="1849">
        <v>2051</v>
      </c>
      <c r="C581" s="218">
        <f t="shared" ref="C581:C599" si="196">$S$25</f>
        <v>0</v>
      </c>
      <c r="D581" s="218">
        <f t="shared" si="192"/>
        <v>0</v>
      </c>
      <c r="E581" s="218">
        <f t="shared" si="193"/>
        <v>0</v>
      </c>
      <c r="F581" s="218">
        <f t="shared" ref="F581:F599" si="197">$O$25</f>
        <v>0</v>
      </c>
      <c r="G581" s="218">
        <f t="shared" ref="G581:G599" si="198">$P$25</f>
        <v>0</v>
      </c>
      <c r="H581" s="218">
        <f t="shared" ref="H581:H599" si="199">$N$25</f>
        <v>0</v>
      </c>
      <c r="I581" s="218">
        <f t="shared" ref="I581:I599" si="200">$Q$25</f>
        <v>0</v>
      </c>
      <c r="J581" s="218">
        <f t="shared" ref="J581:J599" si="201">$L$25</f>
        <v>0</v>
      </c>
      <c r="K581" s="218">
        <f t="shared" ref="K581:K599" si="202">$M$25</f>
        <v>0</v>
      </c>
      <c r="L581" s="192">
        <f t="shared" si="194"/>
        <v>0</v>
      </c>
      <c r="M581" s="211">
        <v>97</v>
      </c>
      <c r="N581" s="211">
        <f>(29.53*1.02)*0.5306*1.0824</f>
        <v>17.298906365664003</v>
      </c>
      <c r="O581" s="211">
        <f>(42.96*1.02)*0.5306*1.0824</f>
        <v>25.166306043648003</v>
      </c>
      <c r="P581" s="211">
        <f>(16.43*1.02)*0.5306*1.0824</f>
        <v>9.624823284384</v>
      </c>
      <c r="Q581" s="211">
        <f>(12.76*1.02)*0.5306*1.0824</f>
        <v>7.4749084058879998</v>
      </c>
      <c r="R581" s="211">
        <f>(1.27*1.02)*0.5306*1.0824</f>
        <v>0.74397599337600007</v>
      </c>
      <c r="S581" s="211">
        <f>(0.0584*1.02)*0.5306*1.0824</f>
        <v>3.4211179537920001E-2</v>
      </c>
      <c r="T581" s="1850">
        <f t="shared" si="195"/>
        <v>0</v>
      </c>
      <c r="U581" s="1850">
        <f t="shared" si="190"/>
        <v>0</v>
      </c>
      <c r="V581" s="1850">
        <f t="shared" si="190"/>
        <v>0</v>
      </c>
      <c r="W581" s="1850">
        <f t="shared" si="190"/>
        <v>0</v>
      </c>
      <c r="X581" s="1850">
        <f t="shared" si="190"/>
        <v>0</v>
      </c>
      <c r="Y581" s="1850">
        <f t="shared" si="190"/>
        <v>0</v>
      </c>
      <c r="Z581" s="1850">
        <f t="shared" si="191"/>
        <v>0</v>
      </c>
      <c r="AA581" s="2733"/>
    </row>
    <row r="582" spans="1:27" ht="18.75" x14ac:dyDescent="0.25">
      <c r="A582" s="2456"/>
      <c r="B582" s="1849">
        <v>2052</v>
      </c>
      <c r="C582" s="218">
        <f t="shared" si="196"/>
        <v>0</v>
      </c>
      <c r="D582" s="218">
        <f t="shared" si="192"/>
        <v>0</v>
      </c>
      <c r="E582" s="218">
        <f t="shared" si="193"/>
        <v>0</v>
      </c>
      <c r="F582" s="218">
        <f t="shared" si="197"/>
        <v>0</v>
      </c>
      <c r="G582" s="218">
        <f t="shared" si="198"/>
        <v>0</v>
      </c>
      <c r="H582" s="218">
        <f t="shared" si="199"/>
        <v>0</v>
      </c>
      <c r="I582" s="218">
        <f t="shared" si="200"/>
        <v>0</v>
      </c>
      <c r="J582" s="218">
        <f t="shared" si="201"/>
        <v>0</v>
      </c>
      <c r="K582" s="218">
        <f t="shared" si="202"/>
        <v>0</v>
      </c>
      <c r="L582" s="192">
        <f t="shared" si="194"/>
        <v>0</v>
      </c>
      <c r="M582" s="211">
        <v>97</v>
      </c>
      <c r="N582" s="211">
        <f>(29.53*1.02)*0.5202*1.0824</f>
        <v>16.959839976288002</v>
      </c>
      <c r="O582" s="211">
        <f>(42.96*1.02)*0.5202*1.0824</f>
        <v>24.673035062016002</v>
      </c>
      <c r="P582" s="211">
        <f>(16.43*1.02)*0.5202*1.0824</f>
        <v>9.4361723945280005</v>
      </c>
      <c r="Q582" s="211">
        <f>(12.76*1.02)*0.5202*1.0824</f>
        <v>7.3283968200960006</v>
      </c>
      <c r="R582" s="211">
        <f>(1.27*1.02)*0.5202*1.0824</f>
        <v>0.72939372739200004</v>
      </c>
      <c r="S582" s="211">
        <f>(0.0584*1.02)*0.5202*1.0824</f>
        <v>3.3540624944640003E-2</v>
      </c>
      <c r="T582" s="1850">
        <f t="shared" si="195"/>
        <v>0</v>
      </c>
      <c r="U582" s="1850">
        <f t="shared" si="190"/>
        <v>0</v>
      </c>
      <c r="V582" s="1850">
        <f t="shared" si="190"/>
        <v>0</v>
      </c>
      <c r="W582" s="1850">
        <f t="shared" si="190"/>
        <v>0</v>
      </c>
      <c r="X582" s="1850">
        <f t="shared" si="190"/>
        <v>0</v>
      </c>
      <c r="Y582" s="1850">
        <f t="shared" si="190"/>
        <v>0</v>
      </c>
      <c r="Z582" s="1850">
        <f t="shared" si="191"/>
        <v>0</v>
      </c>
      <c r="AA582" s="2733"/>
    </row>
    <row r="583" spans="1:27" ht="18.75" x14ac:dyDescent="0.25">
      <c r="A583" s="2456"/>
      <c r="B583" s="1849">
        <v>2053</v>
      </c>
      <c r="C583" s="218">
        <f t="shared" si="196"/>
        <v>0</v>
      </c>
      <c r="D583" s="218">
        <f t="shared" si="192"/>
        <v>0</v>
      </c>
      <c r="E583" s="218">
        <f t="shared" si="193"/>
        <v>0</v>
      </c>
      <c r="F583" s="218">
        <f t="shared" si="197"/>
        <v>0</v>
      </c>
      <c r="G583" s="218">
        <f t="shared" si="198"/>
        <v>0</v>
      </c>
      <c r="H583" s="218">
        <f t="shared" si="199"/>
        <v>0</v>
      </c>
      <c r="I583" s="218">
        <f t="shared" si="200"/>
        <v>0</v>
      </c>
      <c r="J583" s="218">
        <f t="shared" si="201"/>
        <v>0</v>
      </c>
      <c r="K583" s="218">
        <f t="shared" si="202"/>
        <v>0</v>
      </c>
      <c r="L583" s="192">
        <f t="shared" si="194"/>
        <v>0</v>
      </c>
      <c r="M583" s="211">
        <v>97</v>
      </c>
      <c r="N583" s="211">
        <f>(29.53*1.02)*0.51*1</f>
        <v>15.361506000000002</v>
      </c>
      <c r="O583" s="211">
        <f>(42.96*1.02)*0.51*1.0824</f>
        <v>24.189250060800003</v>
      </c>
      <c r="P583" s="211">
        <f>(16.43*1.02)*0.51*1.0824</f>
        <v>9.2511494064000015</v>
      </c>
      <c r="Q583" s="211">
        <f>(12.76*1.02)*0.51*1.0824</f>
        <v>7.1847027647999999</v>
      </c>
      <c r="R583" s="211">
        <f>(1.27*1.02)*0.51*1.0824</f>
        <v>0.71509188960000014</v>
      </c>
      <c r="S583" s="211">
        <f>(0.0584*1.02)*0.51*1.0824</f>
        <v>3.2882965632000001E-2</v>
      </c>
      <c r="T583" s="1850">
        <f t="shared" si="195"/>
        <v>0</v>
      </c>
      <c r="U583" s="1850">
        <f t="shared" si="190"/>
        <v>0</v>
      </c>
      <c r="V583" s="1850">
        <f t="shared" si="190"/>
        <v>0</v>
      </c>
      <c r="W583" s="1850">
        <f t="shared" si="190"/>
        <v>0</v>
      </c>
      <c r="X583" s="1850">
        <f t="shared" si="190"/>
        <v>0</v>
      </c>
      <c r="Y583" s="1850">
        <f t="shared" si="190"/>
        <v>0</v>
      </c>
      <c r="Z583" s="1850">
        <f t="shared" si="191"/>
        <v>0</v>
      </c>
      <c r="AA583" s="2733"/>
    </row>
    <row r="584" spans="1:27" ht="18.75" x14ac:dyDescent="0.25">
      <c r="A584" s="2456"/>
      <c r="B584" s="1849">
        <v>2054</v>
      </c>
      <c r="C584" s="218">
        <f t="shared" si="196"/>
        <v>0</v>
      </c>
      <c r="D584" s="218">
        <f t="shared" si="192"/>
        <v>0</v>
      </c>
      <c r="E584" s="218">
        <f t="shared" si="193"/>
        <v>0</v>
      </c>
      <c r="F584" s="218">
        <f t="shared" si="197"/>
        <v>0</v>
      </c>
      <c r="G584" s="218">
        <f t="shared" si="198"/>
        <v>0</v>
      </c>
      <c r="H584" s="218">
        <f t="shared" si="199"/>
        <v>0</v>
      </c>
      <c r="I584" s="218">
        <f t="shared" si="200"/>
        <v>0</v>
      </c>
      <c r="J584" s="218">
        <f t="shared" si="201"/>
        <v>0</v>
      </c>
      <c r="K584" s="218">
        <f t="shared" si="202"/>
        <v>0</v>
      </c>
      <c r="L584" s="192">
        <f t="shared" si="194"/>
        <v>0</v>
      </c>
      <c r="M584" s="211">
        <v>97</v>
      </c>
      <c r="N584" s="211">
        <f>(29.53*1.02)*0.5*1.0824</f>
        <v>16.301268720000003</v>
      </c>
      <c r="O584" s="211">
        <f>(42.96*1.02)*0.5*1.0824</f>
        <v>23.714951040000003</v>
      </c>
      <c r="P584" s="211">
        <f>(16.43*1.02)*0.5*1.0824</f>
        <v>9.0697543200000013</v>
      </c>
      <c r="Q584" s="211">
        <f>(12.76*1.02)*0.5*1.0824</f>
        <v>7.0438262400000005</v>
      </c>
      <c r="R584" s="211">
        <f>(1.27*1.02)*0.5*1.0824</f>
        <v>0.70107048000000005</v>
      </c>
      <c r="S584" s="211">
        <f>(0.0584*1.02)*0.5*1.0824</f>
        <v>3.2238201600000002E-2</v>
      </c>
      <c r="T584" s="1850">
        <f t="shared" si="195"/>
        <v>0</v>
      </c>
      <c r="U584" s="1850">
        <f t="shared" si="190"/>
        <v>0</v>
      </c>
      <c r="V584" s="1850">
        <f t="shared" si="190"/>
        <v>0</v>
      </c>
      <c r="W584" s="1850">
        <f t="shared" si="190"/>
        <v>0</v>
      </c>
      <c r="X584" s="1850">
        <f t="shared" si="190"/>
        <v>0</v>
      </c>
      <c r="Y584" s="1850">
        <f t="shared" si="190"/>
        <v>0</v>
      </c>
      <c r="Z584" s="1850">
        <f t="shared" si="191"/>
        <v>0</v>
      </c>
      <c r="AA584" s="2733"/>
    </row>
    <row r="585" spans="1:27" ht="18.75" x14ac:dyDescent="0.25">
      <c r="A585" s="2456"/>
      <c r="B585" s="1849">
        <v>2055</v>
      </c>
      <c r="C585" s="218">
        <f t="shared" si="196"/>
        <v>0</v>
      </c>
      <c r="D585" s="218">
        <f t="shared" si="192"/>
        <v>0</v>
      </c>
      <c r="E585" s="218">
        <f t="shared" si="193"/>
        <v>0</v>
      </c>
      <c r="F585" s="218">
        <f t="shared" si="197"/>
        <v>0</v>
      </c>
      <c r="G585" s="218">
        <f t="shared" si="198"/>
        <v>0</v>
      </c>
      <c r="H585" s="218">
        <f t="shared" si="199"/>
        <v>0</v>
      </c>
      <c r="I585" s="218">
        <f t="shared" si="200"/>
        <v>0</v>
      </c>
      <c r="J585" s="218">
        <f t="shared" si="201"/>
        <v>0</v>
      </c>
      <c r="K585" s="218">
        <f t="shared" si="202"/>
        <v>0</v>
      </c>
      <c r="L585" s="192">
        <f t="shared" si="194"/>
        <v>0</v>
      </c>
      <c r="M585" s="211">
        <v>97</v>
      </c>
      <c r="N585" s="211">
        <f>(29.53*1.02)*0.4902*1.0824</f>
        <v>15.981763853088003</v>
      </c>
      <c r="O585" s="211">
        <f>(42.96*1.02)*0.4902*1.0824</f>
        <v>23.250137999616001</v>
      </c>
      <c r="P585" s="211">
        <f>(16.43*1.02)*0.4902*1.0824</f>
        <v>8.8919871353280016</v>
      </c>
      <c r="Q585" s="211">
        <f>(12.76*1.02)*0.4902*1.0824</f>
        <v>6.9057672456960004</v>
      </c>
      <c r="R585" s="211">
        <f>(1.27*1.02)*0.4902*1.0824</f>
        <v>0.6873294985920001</v>
      </c>
      <c r="S585" s="211">
        <f>(0.0584*1.02)*0.4902*1.0824</f>
        <v>3.1606332848640006E-2</v>
      </c>
      <c r="T585" s="1850">
        <f t="shared" si="195"/>
        <v>0</v>
      </c>
      <c r="U585" s="1850">
        <f t="shared" si="190"/>
        <v>0</v>
      </c>
      <c r="V585" s="1850">
        <f t="shared" si="190"/>
        <v>0</v>
      </c>
      <c r="W585" s="1850">
        <f t="shared" si="190"/>
        <v>0</v>
      </c>
      <c r="X585" s="1850">
        <f t="shared" si="190"/>
        <v>0</v>
      </c>
      <c r="Y585" s="1850">
        <f t="shared" si="190"/>
        <v>0</v>
      </c>
      <c r="Z585" s="1850">
        <f t="shared" si="191"/>
        <v>0</v>
      </c>
      <c r="AA585" s="2733"/>
    </row>
    <row r="586" spans="1:27" ht="18.75" x14ac:dyDescent="0.25">
      <c r="A586" s="2456"/>
      <c r="B586" s="1849">
        <v>2056</v>
      </c>
      <c r="C586" s="218">
        <f t="shared" si="196"/>
        <v>0</v>
      </c>
      <c r="D586" s="218">
        <f t="shared" si="192"/>
        <v>0</v>
      </c>
      <c r="E586" s="218">
        <f t="shared" si="193"/>
        <v>0</v>
      </c>
      <c r="F586" s="218">
        <f t="shared" si="197"/>
        <v>0</v>
      </c>
      <c r="G586" s="218">
        <f t="shared" si="198"/>
        <v>0</v>
      </c>
      <c r="H586" s="218">
        <f t="shared" si="199"/>
        <v>0</v>
      </c>
      <c r="I586" s="218">
        <f t="shared" si="200"/>
        <v>0</v>
      </c>
      <c r="J586" s="218">
        <f t="shared" si="201"/>
        <v>0</v>
      </c>
      <c r="K586" s="218">
        <f t="shared" si="202"/>
        <v>0</v>
      </c>
      <c r="L586" s="192">
        <f t="shared" si="194"/>
        <v>0</v>
      </c>
      <c r="M586" s="211">
        <v>97</v>
      </c>
      <c r="N586" s="211">
        <f>(29.53*1.02)*0.4806*1.0824</f>
        <v>15.668779493664003</v>
      </c>
      <c r="O586" s="211">
        <f>(42.96*1.02)*0.4806*1.0824</f>
        <v>22.794810939648006</v>
      </c>
      <c r="P586" s="211">
        <f>(16.43*1.02)*0.4806*1.0824</f>
        <v>8.7178478523840006</v>
      </c>
      <c r="Q586" s="211">
        <f>(12.76*1.02)*0.4806*1.0824</f>
        <v>6.7705257818880007</v>
      </c>
      <c r="R586" s="211">
        <f>(1.27*1.02)*0.4806*1.0824</f>
        <v>0.67386894537600017</v>
      </c>
      <c r="S586" s="211">
        <f>(0.0584*1.02)*0.4806*1.0824</f>
        <v>3.0987359377920003E-2</v>
      </c>
      <c r="T586" s="1850">
        <f t="shared" si="195"/>
        <v>0</v>
      </c>
      <c r="U586" s="1850">
        <f t="shared" si="190"/>
        <v>0</v>
      </c>
      <c r="V586" s="1850">
        <f t="shared" si="190"/>
        <v>0</v>
      </c>
      <c r="W586" s="1850">
        <f t="shared" si="190"/>
        <v>0</v>
      </c>
      <c r="X586" s="1850">
        <f t="shared" si="190"/>
        <v>0</v>
      </c>
      <c r="Y586" s="1850">
        <f t="shared" si="190"/>
        <v>0</v>
      </c>
      <c r="Z586" s="1850">
        <f t="shared" si="191"/>
        <v>0</v>
      </c>
      <c r="AA586" s="2733"/>
    </row>
    <row r="587" spans="1:27" ht="18.75" x14ac:dyDescent="0.25">
      <c r="A587" s="2456"/>
      <c r="B587" s="1849">
        <v>2057</v>
      </c>
      <c r="C587" s="218">
        <f t="shared" si="196"/>
        <v>0</v>
      </c>
      <c r="D587" s="218">
        <f t="shared" si="192"/>
        <v>0</v>
      </c>
      <c r="E587" s="218">
        <f t="shared" si="193"/>
        <v>0</v>
      </c>
      <c r="F587" s="218">
        <f t="shared" si="197"/>
        <v>0</v>
      </c>
      <c r="G587" s="218">
        <f t="shared" si="198"/>
        <v>0</v>
      </c>
      <c r="H587" s="218">
        <f t="shared" si="199"/>
        <v>0</v>
      </c>
      <c r="I587" s="218">
        <f t="shared" si="200"/>
        <v>0</v>
      </c>
      <c r="J587" s="218">
        <f t="shared" si="201"/>
        <v>0</v>
      </c>
      <c r="K587" s="218">
        <f t="shared" si="202"/>
        <v>0</v>
      </c>
      <c r="L587" s="192">
        <f t="shared" si="194"/>
        <v>0</v>
      </c>
      <c r="M587" s="211">
        <v>97</v>
      </c>
      <c r="N587" s="211">
        <f>(29.53*1.02)*0.4712*1.0824</f>
        <v>15.362315641728001</v>
      </c>
      <c r="O587" s="211">
        <f>(42.96*1.02)*0.4712*1.0824</f>
        <v>22.348969860096002</v>
      </c>
      <c r="P587" s="211">
        <f>(16.43*1.02)*0.4712*1.0824</f>
        <v>8.547336471168002</v>
      </c>
      <c r="Q587" s="211">
        <f>(12.76*1.02)*0.4712*1.0824</f>
        <v>6.6381018485760004</v>
      </c>
      <c r="R587" s="211">
        <f>(1.27*1.02)*0.4712*1.0824</f>
        <v>0.66068882035200005</v>
      </c>
      <c r="S587" s="211">
        <f>(0.0584*1.02)*0.4712*1.0824</f>
        <v>3.038128118784E-2</v>
      </c>
      <c r="T587" s="1850">
        <f t="shared" si="195"/>
        <v>0</v>
      </c>
      <c r="U587" s="1850">
        <f t="shared" si="190"/>
        <v>0</v>
      </c>
      <c r="V587" s="1850">
        <f t="shared" si="190"/>
        <v>0</v>
      </c>
      <c r="W587" s="1850">
        <f t="shared" si="190"/>
        <v>0</v>
      </c>
      <c r="X587" s="1850">
        <f t="shared" si="190"/>
        <v>0</v>
      </c>
      <c r="Y587" s="1850">
        <f t="shared" si="190"/>
        <v>0</v>
      </c>
      <c r="Z587" s="1850">
        <f t="shared" si="191"/>
        <v>0</v>
      </c>
      <c r="AA587" s="2733"/>
    </row>
    <row r="588" spans="1:27" ht="18.75" x14ac:dyDescent="0.25">
      <c r="A588" s="2456"/>
      <c r="B588" s="1849">
        <v>2058</v>
      </c>
      <c r="C588" s="218">
        <f t="shared" si="196"/>
        <v>0</v>
      </c>
      <c r="D588" s="218">
        <f t="shared" si="192"/>
        <v>0</v>
      </c>
      <c r="E588" s="218">
        <f t="shared" si="193"/>
        <v>0</v>
      </c>
      <c r="F588" s="218">
        <f t="shared" si="197"/>
        <v>0</v>
      </c>
      <c r="G588" s="218">
        <f t="shared" si="198"/>
        <v>0</v>
      </c>
      <c r="H588" s="218">
        <f t="shared" si="199"/>
        <v>0</v>
      </c>
      <c r="I588" s="218">
        <f t="shared" si="200"/>
        <v>0</v>
      </c>
      <c r="J588" s="218">
        <f t="shared" si="201"/>
        <v>0</v>
      </c>
      <c r="K588" s="218">
        <f t="shared" si="202"/>
        <v>0</v>
      </c>
      <c r="L588" s="192">
        <f t="shared" si="194"/>
        <v>0</v>
      </c>
      <c r="M588" s="211">
        <v>97</v>
      </c>
      <c r="N588" s="211">
        <f>(29.53*1.02)*0.4619*1.0824</f>
        <v>15.059112043536</v>
      </c>
      <c r="O588" s="211">
        <f>(42.96*1.02)*0.4619*1.0824</f>
        <v>21.907871770752003</v>
      </c>
      <c r="P588" s="211">
        <f>(16.43*1.02)*0.4619*1.0824</f>
        <v>8.378639040816001</v>
      </c>
      <c r="Q588" s="211">
        <f>(12.76*1.02)*0.4619*1.0824</f>
        <v>6.5070866805119998</v>
      </c>
      <c r="R588" s="211">
        <f>(1.27*1.02)*0.4619*1.0824</f>
        <v>0.647648909424</v>
      </c>
      <c r="S588" s="211">
        <f>(0.0584*1.02)*0.4619*1.0824</f>
        <v>2.9781650638080002E-2</v>
      </c>
      <c r="T588" s="1850">
        <f t="shared" si="195"/>
        <v>0</v>
      </c>
      <c r="U588" s="1850">
        <f t="shared" si="190"/>
        <v>0</v>
      </c>
      <c r="V588" s="1850">
        <f t="shared" si="190"/>
        <v>0</v>
      </c>
      <c r="W588" s="1850">
        <f t="shared" si="190"/>
        <v>0</v>
      </c>
      <c r="X588" s="1850">
        <f t="shared" si="190"/>
        <v>0</v>
      </c>
      <c r="Y588" s="1850">
        <f t="shared" si="190"/>
        <v>0</v>
      </c>
      <c r="Z588" s="1850">
        <f t="shared" si="191"/>
        <v>0</v>
      </c>
      <c r="AA588" s="2733"/>
    </row>
    <row r="589" spans="1:27" ht="18.75" x14ac:dyDescent="0.25">
      <c r="A589" s="2456"/>
      <c r="B589" s="1849">
        <v>2059</v>
      </c>
      <c r="C589" s="218">
        <f t="shared" si="196"/>
        <v>0</v>
      </c>
      <c r="D589" s="218">
        <f t="shared" si="192"/>
        <v>0</v>
      </c>
      <c r="E589" s="218">
        <f t="shared" si="193"/>
        <v>0</v>
      </c>
      <c r="F589" s="218">
        <f t="shared" si="197"/>
        <v>0</v>
      </c>
      <c r="G589" s="218">
        <f t="shared" si="198"/>
        <v>0</v>
      </c>
      <c r="H589" s="218">
        <f t="shared" si="199"/>
        <v>0</v>
      </c>
      <c r="I589" s="218">
        <f t="shared" si="200"/>
        <v>0</v>
      </c>
      <c r="J589" s="218">
        <f t="shared" si="201"/>
        <v>0</v>
      </c>
      <c r="K589" s="218">
        <f t="shared" si="202"/>
        <v>0</v>
      </c>
      <c r="L589" s="192">
        <f t="shared" si="194"/>
        <v>0</v>
      </c>
      <c r="M589" s="211">
        <v>97</v>
      </c>
      <c r="N589" s="211">
        <f>(29.53*1.02)*0.4529*1.0824</f>
        <v>14.765689206576004</v>
      </c>
      <c r="O589" s="211">
        <f>(42.96*1.02)*0.4529*1.0824</f>
        <v>21.481002652032004</v>
      </c>
      <c r="P589" s="211">
        <f>(16.43*1.02)*0.4529*1.0824</f>
        <v>8.2153834630560016</v>
      </c>
      <c r="Q589" s="211">
        <f>(12.76*1.02)*0.4529*1.0824</f>
        <v>6.380297808192001</v>
      </c>
      <c r="R589" s="211">
        <f>(1.27*1.02)*0.4529*1.0824</f>
        <v>0.63502964078400004</v>
      </c>
      <c r="S589" s="211">
        <f>(0.0584*1.02)*0.4529*1.0824</f>
        <v>2.9201363009280005E-2</v>
      </c>
      <c r="T589" s="1850">
        <f t="shared" si="195"/>
        <v>0</v>
      </c>
      <c r="U589" s="1850">
        <f t="shared" si="190"/>
        <v>0</v>
      </c>
      <c r="V589" s="1850">
        <f t="shared" si="190"/>
        <v>0</v>
      </c>
      <c r="W589" s="1850">
        <f t="shared" si="190"/>
        <v>0</v>
      </c>
      <c r="X589" s="1850">
        <f t="shared" si="190"/>
        <v>0</v>
      </c>
      <c r="Y589" s="1850">
        <f t="shared" si="190"/>
        <v>0</v>
      </c>
      <c r="Z589" s="1850">
        <f t="shared" si="191"/>
        <v>0</v>
      </c>
      <c r="AA589" s="2733"/>
    </row>
    <row r="590" spans="1:27" ht="18.75" x14ac:dyDescent="0.25">
      <c r="A590" s="2456"/>
      <c r="B590" s="1849">
        <v>2060</v>
      </c>
      <c r="C590" s="218">
        <f t="shared" si="196"/>
        <v>0</v>
      </c>
      <c r="D590" s="218">
        <f t="shared" si="192"/>
        <v>0</v>
      </c>
      <c r="E590" s="218">
        <f t="shared" si="193"/>
        <v>0</v>
      </c>
      <c r="F590" s="218">
        <f t="shared" si="197"/>
        <v>0</v>
      </c>
      <c r="G590" s="218">
        <f t="shared" si="198"/>
        <v>0</v>
      </c>
      <c r="H590" s="218">
        <f t="shared" si="199"/>
        <v>0</v>
      </c>
      <c r="I590" s="218">
        <f t="shared" si="200"/>
        <v>0</v>
      </c>
      <c r="J590" s="218">
        <f t="shared" si="201"/>
        <v>0</v>
      </c>
      <c r="K590" s="218">
        <f t="shared" si="202"/>
        <v>0</v>
      </c>
      <c r="L590" s="192">
        <f t="shared" si="194"/>
        <v>0</v>
      </c>
      <c r="M590" s="211">
        <v>97</v>
      </c>
      <c r="N590" s="211">
        <f>(29.53*1.02)*0.444*1.0824</f>
        <v>14.475526623360002</v>
      </c>
      <c r="O590" s="211">
        <f>(42.96*1.02)*0.444*1.0824</f>
        <v>21.058876523520002</v>
      </c>
      <c r="P590" s="211">
        <f>(16.43*1.02)*0.444*1.0824</f>
        <v>8.0539418361599999</v>
      </c>
      <c r="Q590" s="211">
        <f>(12.76*1.02)*0.444*1.0824</f>
        <v>6.2549177011200001</v>
      </c>
      <c r="R590" s="211">
        <f>(1.27*1.02)*0.444*1.0824</f>
        <v>0.62255058624000004</v>
      </c>
      <c r="S590" s="211">
        <f>(0.0584*1.02)*0.444*1.0824</f>
        <v>2.8627523020800003E-2</v>
      </c>
      <c r="T590" s="1850">
        <f t="shared" si="195"/>
        <v>0</v>
      </c>
      <c r="U590" s="1850">
        <f t="shared" si="190"/>
        <v>0</v>
      </c>
      <c r="V590" s="1850">
        <f t="shared" si="190"/>
        <v>0</v>
      </c>
      <c r="W590" s="1850">
        <f t="shared" si="190"/>
        <v>0</v>
      </c>
      <c r="X590" s="1850">
        <f t="shared" si="190"/>
        <v>0</v>
      </c>
      <c r="Y590" s="1850">
        <f t="shared" si="190"/>
        <v>0</v>
      </c>
      <c r="Z590" s="1850">
        <f t="shared" si="191"/>
        <v>0</v>
      </c>
      <c r="AA590" s="2733"/>
    </row>
    <row r="591" spans="1:27" ht="18.75" x14ac:dyDescent="0.25">
      <c r="A591" s="2456"/>
      <c r="B591" s="1849">
        <v>2061</v>
      </c>
      <c r="C591" s="218">
        <f t="shared" si="196"/>
        <v>0</v>
      </c>
      <c r="D591" s="218">
        <f t="shared" si="192"/>
        <v>0</v>
      </c>
      <c r="E591" s="218">
        <f t="shared" si="193"/>
        <v>0</v>
      </c>
      <c r="F591" s="218">
        <f t="shared" si="197"/>
        <v>0</v>
      </c>
      <c r="G591" s="218">
        <f t="shared" si="198"/>
        <v>0</v>
      </c>
      <c r="H591" s="218">
        <f t="shared" si="199"/>
        <v>0</v>
      </c>
      <c r="I591" s="218">
        <f t="shared" si="200"/>
        <v>0</v>
      </c>
      <c r="J591" s="218">
        <f t="shared" si="201"/>
        <v>0</v>
      </c>
      <c r="K591" s="218">
        <f t="shared" si="202"/>
        <v>0</v>
      </c>
      <c r="L591" s="192">
        <f t="shared" si="194"/>
        <v>0</v>
      </c>
      <c r="M591" s="211">
        <v>97</v>
      </c>
      <c r="N591" s="211">
        <f>(29.53*1.02)*0.4353*1.0824</f>
        <v>14.191884547632004</v>
      </c>
      <c r="O591" s="211">
        <f>(42.96*1.02)*0.4353*1.0824</f>
        <v>20.646236375424003</v>
      </c>
      <c r="P591" s="211">
        <f>(16.43*1.02)*0.4353*1.0824</f>
        <v>7.8961281109920014</v>
      </c>
      <c r="Q591" s="211">
        <f>(12.76*1.02)*0.4353*1.0824</f>
        <v>6.1323551245440004</v>
      </c>
      <c r="R591" s="211">
        <f>(1.27*1.02)*0.4353*1.0824</f>
        <v>0.61035195988800006</v>
      </c>
      <c r="S591" s="211">
        <f>(0.0584*1.02)*0.4353*1.0824</f>
        <v>2.8066578312960003E-2</v>
      </c>
      <c r="T591" s="1850">
        <f t="shared" si="195"/>
        <v>0</v>
      </c>
      <c r="U591" s="1850">
        <f t="shared" si="190"/>
        <v>0</v>
      </c>
      <c r="V591" s="1850">
        <f t="shared" si="190"/>
        <v>0</v>
      </c>
      <c r="W591" s="1850">
        <f t="shared" si="190"/>
        <v>0</v>
      </c>
      <c r="X591" s="1850">
        <f t="shared" si="190"/>
        <v>0</v>
      </c>
      <c r="Y591" s="1850">
        <f t="shared" si="190"/>
        <v>0</v>
      </c>
      <c r="Z591" s="1850">
        <f t="shared" si="191"/>
        <v>0</v>
      </c>
      <c r="AA591" s="2733"/>
    </row>
    <row r="592" spans="1:27" ht="18.75" x14ac:dyDescent="0.25">
      <c r="A592" s="2456"/>
      <c r="B592" s="1849">
        <v>2062</v>
      </c>
      <c r="C592" s="218">
        <f t="shared" si="196"/>
        <v>0</v>
      </c>
      <c r="D592" s="218">
        <f t="shared" si="192"/>
        <v>0</v>
      </c>
      <c r="E592" s="218">
        <f t="shared" si="193"/>
        <v>0</v>
      </c>
      <c r="F592" s="218">
        <f t="shared" si="197"/>
        <v>0</v>
      </c>
      <c r="G592" s="218">
        <f t="shared" si="198"/>
        <v>0</v>
      </c>
      <c r="H592" s="218">
        <f t="shared" si="199"/>
        <v>0</v>
      </c>
      <c r="I592" s="218">
        <f t="shared" si="200"/>
        <v>0</v>
      </c>
      <c r="J592" s="218">
        <f t="shared" si="201"/>
        <v>0</v>
      </c>
      <c r="K592" s="218">
        <f t="shared" si="202"/>
        <v>0</v>
      </c>
      <c r="L592" s="192">
        <f t="shared" si="194"/>
        <v>0</v>
      </c>
      <c r="M592" s="211">
        <v>97</v>
      </c>
      <c r="N592" s="211">
        <f>(29.53*1.02)*0.4268*1.0824</f>
        <v>13.914762979392002</v>
      </c>
      <c r="O592" s="211">
        <f>(42.96*1.02)*0.4268*1.0824</f>
        <v>20.243082207744003</v>
      </c>
      <c r="P592" s="211">
        <f>(16.43*1.02)*0.4268*1.0824</f>
        <v>7.7419422875520008</v>
      </c>
      <c r="Q592" s="211">
        <f>(12.76*1.02)*0.4268*1.0824</f>
        <v>6.0126100784640002</v>
      </c>
      <c r="R592" s="211">
        <f>(1.27*1.02)*0.4268*1.0824</f>
        <v>0.59843376172800011</v>
      </c>
      <c r="S592" s="211">
        <f>(0.0584*1.02)*0.4268*1.0824</f>
        <v>2.7518528885760004E-2</v>
      </c>
      <c r="T592" s="1850">
        <f t="shared" si="195"/>
        <v>0</v>
      </c>
      <c r="U592" s="1850">
        <f t="shared" si="190"/>
        <v>0</v>
      </c>
      <c r="V592" s="1850">
        <f t="shared" si="190"/>
        <v>0</v>
      </c>
      <c r="W592" s="1850">
        <f t="shared" si="190"/>
        <v>0</v>
      </c>
      <c r="X592" s="1850">
        <f t="shared" si="190"/>
        <v>0</v>
      </c>
      <c r="Y592" s="1850">
        <f t="shared" si="190"/>
        <v>0</v>
      </c>
      <c r="Z592" s="1850">
        <f t="shared" si="191"/>
        <v>0</v>
      </c>
      <c r="AA592" s="2733"/>
    </row>
    <row r="593" spans="1:27" ht="18.75" x14ac:dyDescent="0.25">
      <c r="A593" s="2456"/>
      <c r="B593" s="1849">
        <v>2063</v>
      </c>
      <c r="C593" s="218">
        <f t="shared" si="196"/>
        <v>0</v>
      </c>
      <c r="D593" s="218">
        <f t="shared" si="192"/>
        <v>0</v>
      </c>
      <c r="E593" s="218">
        <f t="shared" si="193"/>
        <v>0</v>
      </c>
      <c r="F593" s="218">
        <f t="shared" si="197"/>
        <v>0</v>
      </c>
      <c r="G593" s="218">
        <f t="shared" si="198"/>
        <v>0</v>
      </c>
      <c r="H593" s="218">
        <f t="shared" si="199"/>
        <v>0</v>
      </c>
      <c r="I593" s="218">
        <f t="shared" si="200"/>
        <v>0</v>
      </c>
      <c r="J593" s="218">
        <f t="shared" si="201"/>
        <v>0</v>
      </c>
      <c r="K593" s="218">
        <f t="shared" si="202"/>
        <v>0</v>
      </c>
      <c r="L593" s="192">
        <f t="shared" si="194"/>
        <v>0</v>
      </c>
      <c r="M593" s="211">
        <v>97</v>
      </c>
      <c r="N593" s="211">
        <f>(29.53*1.02)*0.4184*1.0824</f>
        <v>13.640901664896001</v>
      </c>
      <c r="O593" s="211">
        <f>(42.96*1.02)*0.4184*1.0824</f>
        <v>19.844671030272</v>
      </c>
      <c r="P593" s="211">
        <f>(16.43*1.02)*0.4184*1.0824</f>
        <v>7.5895704149760004</v>
      </c>
      <c r="Q593" s="211">
        <f>(12.76*1.02)*0.4184*1.0824</f>
        <v>5.8942737976319997</v>
      </c>
      <c r="R593" s="211">
        <f>(1.27*1.02)*0.4184*1.0824</f>
        <v>0.58665577766400001</v>
      </c>
      <c r="S593" s="211">
        <f>(0.0584*1.02)*0.4184*1.0824</f>
        <v>2.6976927098879999E-2</v>
      </c>
      <c r="T593" s="1850">
        <f t="shared" si="195"/>
        <v>0</v>
      </c>
      <c r="U593" s="1850">
        <f t="shared" si="190"/>
        <v>0</v>
      </c>
      <c r="V593" s="1850">
        <f t="shared" si="190"/>
        <v>0</v>
      </c>
      <c r="W593" s="1850">
        <f t="shared" si="190"/>
        <v>0</v>
      </c>
      <c r="X593" s="1850">
        <f t="shared" si="190"/>
        <v>0</v>
      </c>
      <c r="Y593" s="1850">
        <f t="shared" si="190"/>
        <v>0</v>
      </c>
      <c r="Z593" s="1850">
        <f t="shared" si="191"/>
        <v>0</v>
      </c>
      <c r="AA593" s="2733"/>
    </row>
    <row r="594" spans="1:27" ht="18.75" x14ac:dyDescent="0.25">
      <c r="A594" s="2456"/>
      <c r="B594" s="1849">
        <v>2064</v>
      </c>
      <c r="C594" s="218">
        <f t="shared" si="196"/>
        <v>0</v>
      </c>
      <c r="D594" s="218">
        <f t="shared" si="192"/>
        <v>0</v>
      </c>
      <c r="E594" s="218">
        <f t="shared" si="193"/>
        <v>0</v>
      </c>
      <c r="F594" s="218">
        <f t="shared" si="197"/>
        <v>0</v>
      </c>
      <c r="G594" s="218">
        <f t="shared" si="198"/>
        <v>0</v>
      </c>
      <c r="H594" s="218">
        <f t="shared" si="199"/>
        <v>0</v>
      </c>
      <c r="I594" s="218">
        <f t="shared" si="200"/>
        <v>0</v>
      </c>
      <c r="J594" s="218">
        <f t="shared" si="201"/>
        <v>0</v>
      </c>
      <c r="K594" s="218">
        <f t="shared" si="202"/>
        <v>0</v>
      </c>
      <c r="L594" s="192">
        <f t="shared" si="194"/>
        <v>0</v>
      </c>
      <c r="M594" s="211">
        <v>97</v>
      </c>
      <c r="N594" s="211">
        <f>(29.53*1.02)*0.4102*1.0824</f>
        <v>13.373560857888002</v>
      </c>
      <c r="O594" s="211">
        <f>(42.96*1.02)*0.4102*1.0824</f>
        <v>19.455745833216003</v>
      </c>
      <c r="P594" s="211">
        <f>(16.43*1.02)*0.4102*1.0824</f>
        <v>7.4408264441280014</v>
      </c>
      <c r="Q594" s="211">
        <f>(12.76*1.02)*0.4102*1.0824</f>
        <v>5.7787550472960003</v>
      </c>
      <c r="R594" s="211">
        <f>(1.27*1.02)*0.4102*1.0824</f>
        <v>0.57515822179200005</v>
      </c>
      <c r="S594" s="211">
        <f>(0.0584*1.02)*0.4102*1.0824</f>
        <v>2.6448220592640001E-2</v>
      </c>
      <c r="T594" s="1850">
        <f t="shared" si="195"/>
        <v>0</v>
      </c>
      <c r="U594" s="1850">
        <f t="shared" si="190"/>
        <v>0</v>
      </c>
      <c r="V594" s="1850">
        <f t="shared" si="190"/>
        <v>0</v>
      </c>
      <c r="W594" s="1850">
        <f t="shared" si="190"/>
        <v>0</v>
      </c>
      <c r="X594" s="1850">
        <f t="shared" si="190"/>
        <v>0</v>
      </c>
      <c r="Y594" s="1850">
        <f t="shared" si="190"/>
        <v>0</v>
      </c>
      <c r="Z594" s="1850">
        <f t="shared" si="191"/>
        <v>0</v>
      </c>
      <c r="AA594" s="2733"/>
    </row>
    <row r="595" spans="1:27" ht="18.75" x14ac:dyDescent="0.25">
      <c r="A595" s="2456"/>
      <c r="B595" s="1849">
        <v>2065</v>
      </c>
      <c r="C595" s="218">
        <f t="shared" si="196"/>
        <v>0</v>
      </c>
      <c r="D595" s="218">
        <f t="shared" si="192"/>
        <v>0</v>
      </c>
      <c r="E595" s="218">
        <f t="shared" si="193"/>
        <v>0</v>
      </c>
      <c r="F595" s="218">
        <f t="shared" si="197"/>
        <v>0</v>
      </c>
      <c r="G595" s="218">
        <f t="shared" si="198"/>
        <v>0</v>
      </c>
      <c r="H595" s="218">
        <f t="shared" si="199"/>
        <v>0</v>
      </c>
      <c r="I595" s="218">
        <f t="shared" si="200"/>
        <v>0</v>
      </c>
      <c r="J595" s="218">
        <f t="shared" si="201"/>
        <v>0</v>
      </c>
      <c r="K595" s="218">
        <f t="shared" si="202"/>
        <v>0</v>
      </c>
      <c r="L595" s="192">
        <f t="shared" si="194"/>
        <v>0</v>
      </c>
      <c r="M595" s="211">
        <v>97</v>
      </c>
      <c r="N595" s="211">
        <f>(29.53*1.02)*0.4022*1.0824</f>
        <v>13.112740558368001</v>
      </c>
      <c r="O595" s="211">
        <f>(42.96*1.02)*0.4022*1.0824</f>
        <v>19.076306616576002</v>
      </c>
      <c r="P595" s="211">
        <f>(16.43*1.02)*0.4022*1.0824</f>
        <v>7.2957103750080003</v>
      </c>
      <c r="Q595" s="211">
        <f>(12.76*1.02)*0.4022*1.0824</f>
        <v>5.6660538274560004</v>
      </c>
      <c r="R595" s="211">
        <f>(1.27*1.02)*0.4022*1.0824</f>
        <v>0.56394109411200011</v>
      </c>
      <c r="S595" s="211">
        <f>(0.0584*1.02)*0.4022*1.0824</f>
        <v>2.5932409367040003E-2</v>
      </c>
      <c r="T595" s="1850">
        <f t="shared" si="195"/>
        <v>0</v>
      </c>
      <c r="U595" s="1850">
        <f t="shared" si="190"/>
        <v>0</v>
      </c>
      <c r="V595" s="1850">
        <f t="shared" si="190"/>
        <v>0</v>
      </c>
      <c r="W595" s="1850">
        <f t="shared" si="190"/>
        <v>0</v>
      </c>
      <c r="X595" s="1850">
        <f t="shared" si="190"/>
        <v>0</v>
      </c>
      <c r="Y595" s="1850">
        <f t="shared" si="190"/>
        <v>0</v>
      </c>
      <c r="Z595" s="1850">
        <f t="shared" si="191"/>
        <v>0</v>
      </c>
      <c r="AA595" s="2733"/>
    </row>
    <row r="596" spans="1:27" ht="18.75" x14ac:dyDescent="0.25">
      <c r="A596" s="2456"/>
      <c r="B596" s="1849">
        <v>2066</v>
      </c>
      <c r="C596" s="218">
        <f t="shared" si="196"/>
        <v>0</v>
      </c>
      <c r="D596" s="218">
        <f t="shared" si="192"/>
        <v>0</v>
      </c>
      <c r="E596" s="218">
        <f t="shared" si="193"/>
        <v>0</v>
      </c>
      <c r="F596" s="218">
        <f t="shared" si="197"/>
        <v>0</v>
      </c>
      <c r="G596" s="218">
        <f t="shared" si="198"/>
        <v>0</v>
      </c>
      <c r="H596" s="218">
        <f t="shared" si="199"/>
        <v>0</v>
      </c>
      <c r="I596" s="218">
        <f t="shared" si="200"/>
        <v>0</v>
      </c>
      <c r="J596" s="218">
        <f t="shared" si="201"/>
        <v>0</v>
      </c>
      <c r="K596" s="218">
        <f t="shared" si="202"/>
        <v>0</v>
      </c>
      <c r="L596" s="192">
        <f t="shared" si="194"/>
        <v>0</v>
      </c>
      <c r="M596" s="211">
        <v>97</v>
      </c>
      <c r="N596" s="211">
        <f>(29.53*1.02)*0.3943*1.0824</f>
        <v>12.855180512592</v>
      </c>
      <c r="O596" s="211">
        <f>(42.96*1.02)*0.3943*1.0824</f>
        <v>18.701610390143998</v>
      </c>
      <c r="P596" s="211">
        <f>(16.43*1.02)*0.3943*1.0824</f>
        <v>7.1524082567520004</v>
      </c>
      <c r="Q596" s="211">
        <f>(12.76*1.02)*0.3943*1.0824</f>
        <v>5.5547613728639993</v>
      </c>
      <c r="R596" s="211">
        <f>(1.27*1.02)*0.3943*1.0824</f>
        <v>0.55286418052800002</v>
      </c>
      <c r="S596" s="211">
        <f>(0.0584*1.02)*0.3943*1.0824</f>
        <v>2.5423045781760002E-2</v>
      </c>
      <c r="T596" s="1850">
        <f t="shared" si="195"/>
        <v>0</v>
      </c>
      <c r="U596" s="1850">
        <f t="shared" si="190"/>
        <v>0</v>
      </c>
      <c r="V596" s="1850">
        <f t="shared" si="190"/>
        <v>0</v>
      </c>
      <c r="W596" s="1850">
        <f t="shared" si="190"/>
        <v>0</v>
      </c>
      <c r="X596" s="1850">
        <f t="shared" si="190"/>
        <v>0</v>
      </c>
      <c r="Y596" s="1850">
        <f t="shared" si="190"/>
        <v>0</v>
      </c>
      <c r="Z596" s="1850">
        <f t="shared" si="191"/>
        <v>0</v>
      </c>
      <c r="AA596" s="2733"/>
    </row>
    <row r="597" spans="1:27" ht="18.75" x14ac:dyDescent="0.25">
      <c r="A597" s="2456"/>
      <c r="B597" s="1849">
        <v>2067</v>
      </c>
      <c r="C597" s="218">
        <f t="shared" si="196"/>
        <v>0</v>
      </c>
      <c r="D597" s="218">
        <f t="shared" si="192"/>
        <v>0</v>
      </c>
      <c r="E597" s="218">
        <f t="shared" si="193"/>
        <v>0</v>
      </c>
      <c r="F597" s="218">
        <f t="shared" si="197"/>
        <v>0</v>
      </c>
      <c r="G597" s="218">
        <f t="shared" si="198"/>
        <v>0</v>
      </c>
      <c r="H597" s="218">
        <f t="shared" si="199"/>
        <v>0</v>
      </c>
      <c r="I597" s="218">
        <f t="shared" si="200"/>
        <v>0</v>
      </c>
      <c r="J597" s="218">
        <f t="shared" si="201"/>
        <v>0</v>
      </c>
      <c r="K597" s="218">
        <f t="shared" si="202"/>
        <v>0</v>
      </c>
      <c r="L597" s="192">
        <f t="shared" si="194"/>
        <v>0</v>
      </c>
      <c r="M597" s="211">
        <v>97</v>
      </c>
      <c r="N597" s="211">
        <f>(29.53*1.02)*0.3865*1.0824</f>
        <v>12.600880720560001</v>
      </c>
      <c r="O597" s="211">
        <f>(42.96*1.02)*0.3865*1.0824</f>
        <v>18.331657153920002</v>
      </c>
      <c r="P597" s="211">
        <f>(16.43*1.02)*0.3865*1.0824</f>
        <v>7.0109200893600008</v>
      </c>
      <c r="Q597" s="211">
        <f>(12.76*1.02)*0.3865*1.0824</f>
        <v>5.4448776835200006</v>
      </c>
      <c r="R597" s="211">
        <f>(1.27*1.02)*0.3865*1.0824</f>
        <v>0.5419274810400001</v>
      </c>
      <c r="S597" s="211">
        <f>(0.0584*1.02)*0.3865*1.0824</f>
        <v>2.4920129836800003E-2</v>
      </c>
      <c r="T597" s="1850">
        <f t="shared" si="195"/>
        <v>0</v>
      </c>
      <c r="U597" s="1850">
        <f t="shared" si="190"/>
        <v>0</v>
      </c>
      <c r="V597" s="1850">
        <f t="shared" si="190"/>
        <v>0</v>
      </c>
      <c r="W597" s="1850">
        <f t="shared" si="190"/>
        <v>0</v>
      </c>
      <c r="X597" s="1850">
        <f t="shared" si="190"/>
        <v>0</v>
      </c>
      <c r="Y597" s="1850">
        <f t="shared" si="190"/>
        <v>0</v>
      </c>
      <c r="Z597" s="1850">
        <f t="shared" si="191"/>
        <v>0</v>
      </c>
      <c r="AA597" s="2733"/>
    </row>
    <row r="598" spans="1:27" ht="18.75" x14ac:dyDescent="0.25">
      <c r="A598" s="2456"/>
      <c r="B598" s="1849">
        <v>2068</v>
      </c>
      <c r="C598" s="218">
        <f t="shared" si="196"/>
        <v>0</v>
      </c>
      <c r="D598" s="218">
        <f t="shared" si="192"/>
        <v>0</v>
      </c>
      <c r="E598" s="218">
        <f t="shared" si="193"/>
        <v>0</v>
      </c>
      <c r="F598" s="218">
        <f t="shared" si="197"/>
        <v>0</v>
      </c>
      <c r="G598" s="218">
        <f t="shared" si="198"/>
        <v>0</v>
      </c>
      <c r="H598" s="218">
        <f t="shared" si="199"/>
        <v>0</v>
      </c>
      <c r="I598" s="218">
        <f t="shared" si="200"/>
        <v>0</v>
      </c>
      <c r="J598" s="218">
        <f t="shared" si="201"/>
        <v>0</v>
      </c>
      <c r="K598" s="218">
        <f t="shared" si="202"/>
        <v>0</v>
      </c>
      <c r="L598" s="192">
        <f t="shared" si="194"/>
        <v>0</v>
      </c>
      <c r="M598" s="211">
        <v>97</v>
      </c>
      <c r="N598" s="211">
        <f>(29.53*1.02)*0.379*1.0824</f>
        <v>12.356361689760002</v>
      </c>
      <c r="O598" s="211">
        <f>(42.96*1.02)*0.379*1.0824</f>
        <v>17.975932888320003</v>
      </c>
      <c r="P598" s="211">
        <f>(16.43*1.02)*0.379*1.0824</f>
        <v>6.8748737745600002</v>
      </c>
      <c r="Q598" s="211">
        <f>(12.76*1.02)*0.379*1.0824</f>
        <v>5.339220289920001</v>
      </c>
      <c r="R598" s="211">
        <f>(1.27*1.02)*0.379*1.0824</f>
        <v>0.53141142384000006</v>
      </c>
      <c r="S598" s="211">
        <f>(0.0584*1.02)*0.379*1.0824</f>
        <v>2.4436556812800003E-2</v>
      </c>
      <c r="T598" s="1850">
        <f t="shared" si="195"/>
        <v>0</v>
      </c>
      <c r="U598" s="1850">
        <f t="shared" si="190"/>
        <v>0</v>
      </c>
      <c r="V598" s="1850">
        <f t="shared" si="190"/>
        <v>0</v>
      </c>
      <c r="W598" s="1850">
        <f t="shared" si="190"/>
        <v>0</v>
      </c>
      <c r="X598" s="1850">
        <f t="shared" si="190"/>
        <v>0</v>
      </c>
      <c r="Y598" s="1850">
        <f t="shared" si="190"/>
        <v>0</v>
      </c>
      <c r="Z598" s="1850">
        <f t="shared" si="191"/>
        <v>0</v>
      </c>
      <c r="AA598" s="2733"/>
    </row>
    <row r="599" spans="1:27" ht="19.5" thickBot="1" x14ac:dyDescent="0.3">
      <c r="A599" s="2457"/>
      <c r="B599" s="1851">
        <v>2069</v>
      </c>
      <c r="C599" s="222">
        <f t="shared" si="196"/>
        <v>0</v>
      </c>
      <c r="D599" s="222">
        <f t="shared" si="192"/>
        <v>0</v>
      </c>
      <c r="E599" s="222">
        <f t="shared" si="193"/>
        <v>0</v>
      </c>
      <c r="F599" s="222">
        <f t="shared" si="197"/>
        <v>0</v>
      </c>
      <c r="G599" s="222">
        <f t="shared" si="198"/>
        <v>0</v>
      </c>
      <c r="H599" s="222">
        <f t="shared" si="199"/>
        <v>0</v>
      </c>
      <c r="I599" s="222">
        <f t="shared" si="200"/>
        <v>0</v>
      </c>
      <c r="J599" s="222">
        <f t="shared" si="201"/>
        <v>0</v>
      </c>
      <c r="K599" s="222">
        <f t="shared" si="202"/>
        <v>0</v>
      </c>
      <c r="L599" s="220">
        <f t="shared" si="194"/>
        <v>0</v>
      </c>
      <c r="M599" s="416">
        <v>97</v>
      </c>
      <c r="N599" s="416">
        <f>(29.53*1.02)*0.3715*1.0824</f>
        <v>12.111842658960002</v>
      </c>
      <c r="O599" s="416">
        <f>(42.96*1.02)*0.3715*1.0824</f>
        <v>17.62020862272</v>
      </c>
      <c r="P599" s="416">
        <f>(16.43*1.02)*0.3715*1.0824</f>
        <v>6.7388274597600004</v>
      </c>
      <c r="Q599" s="416">
        <f>(12.76*1.02)*0.3715*1.0824</f>
        <v>5.2335628963200005</v>
      </c>
      <c r="R599" s="416">
        <f>(1.27*1.02)*0.3715*1.0824</f>
        <v>0.52089536664000002</v>
      </c>
      <c r="S599" s="416">
        <f>(0.0584*1.02)*0.3715*1.0824</f>
        <v>2.3952983788800002E-2</v>
      </c>
      <c r="T599" s="175">
        <f t="shared" si="195"/>
        <v>0</v>
      </c>
      <c r="U599" s="175">
        <f t="shared" si="190"/>
        <v>0</v>
      </c>
      <c r="V599" s="175">
        <f t="shared" si="190"/>
        <v>0</v>
      </c>
      <c r="W599" s="175">
        <f t="shared" si="190"/>
        <v>0</v>
      </c>
      <c r="X599" s="175">
        <f t="shared" si="190"/>
        <v>0</v>
      </c>
      <c r="Y599" s="175">
        <f t="shared" si="190"/>
        <v>0</v>
      </c>
      <c r="Z599" s="175">
        <f t="shared" si="191"/>
        <v>0</v>
      </c>
      <c r="AA599" s="2735"/>
    </row>
    <row r="600" spans="1:27" ht="18.75" x14ac:dyDescent="0.25">
      <c r="A600" s="2736" t="s">
        <v>1774</v>
      </c>
      <c r="B600" s="1867">
        <v>2019</v>
      </c>
      <c r="C600" s="216">
        <f t="shared" ref="C600:C631" si="203">$S$26</f>
        <v>0</v>
      </c>
      <c r="D600" s="216">
        <f>$R$26*28</f>
        <v>0</v>
      </c>
      <c r="E600" s="216">
        <f>$T$26*298</f>
        <v>0</v>
      </c>
      <c r="F600" s="216">
        <f t="shared" ref="F600:F631" si="204">$O$26</f>
        <v>0</v>
      </c>
      <c r="G600" s="216">
        <f t="shared" ref="G600:G631" si="205">$P$26</f>
        <v>0</v>
      </c>
      <c r="H600" s="216">
        <f t="shared" ref="H600:H631" si="206">$N$26</f>
        <v>0</v>
      </c>
      <c r="I600" s="216">
        <f t="shared" ref="I600:I631" si="207">$Q$26</f>
        <v>0</v>
      </c>
      <c r="J600" s="216">
        <f t="shared" ref="J600:J631" si="208">$L$26</f>
        <v>0</v>
      </c>
      <c r="K600" s="216">
        <f t="shared" ref="K600:K631" si="209">$M$26</f>
        <v>0</v>
      </c>
      <c r="L600" s="217">
        <f>(C600/1000)+(D600/1000)+(E600/1000)</f>
        <v>0</v>
      </c>
      <c r="M600" s="643">
        <v>62</v>
      </c>
      <c r="N600" s="643">
        <f>29.53*1.02*1.0824</f>
        <v>32.602537440000006</v>
      </c>
      <c r="O600" s="643">
        <f>42.96*1.02*1.0824</f>
        <v>47.429902080000005</v>
      </c>
      <c r="P600" s="643">
        <f>16.43*1.02*1.0824</f>
        <v>18.139508640000003</v>
      </c>
      <c r="Q600" s="643">
        <f>12.76*1.02*1.0824</f>
        <v>14.087652480000001</v>
      </c>
      <c r="R600" s="643">
        <f>1.27*1.02*1.0824</f>
        <v>1.4021409600000001</v>
      </c>
      <c r="S600" s="643">
        <f>0.0584*1.02*1.0824</f>
        <v>6.4476403200000004E-2</v>
      </c>
      <c r="T600" s="644">
        <f>L600*M600</f>
        <v>0</v>
      </c>
      <c r="U600" s="644">
        <f t="shared" ref="U600:Y650" si="210">F600*N600</f>
        <v>0</v>
      </c>
      <c r="V600" s="644">
        <f t="shared" si="210"/>
        <v>0</v>
      </c>
      <c r="W600" s="644">
        <f t="shared" si="210"/>
        <v>0</v>
      </c>
      <c r="X600" s="644">
        <f t="shared" si="210"/>
        <v>0</v>
      </c>
      <c r="Y600" s="644">
        <f t="shared" si="210"/>
        <v>0</v>
      </c>
      <c r="Z600" s="644">
        <f t="shared" si="191"/>
        <v>0</v>
      </c>
      <c r="AA600" s="2732">
        <f>(SUM(T600:T650)*1.2682)+(SUM(U600:U650))+(SUM(V600:V650))+(SUM(W600:W650))+(SUM(X600:X650))+(SUM(Y600:Y650))+(SUM(Z600:Z650))</f>
        <v>0</v>
      </c>
    </row>
    <row r="601" spans="1:27" ht="18.75" x14ac:dyDescent="0.25">
      <c r="A601" s="2456"/>
      <c r="B601" s="1849">
        <v>2020</v>
      </c>
      <c r="C601" s="218">
        <f t="shared" si="203"/>
        <v>0</v>
      </c>
      <c r="D601" s="221">
        <f t="shared" ref="D601:D650" si="211">$R$26*28</f>
        <v>0</v>
      </c>
      <c r="E601" s="221">
        <f t="shared" ref="E601:E650" si="212">$T$26*298</f>
        <v>0</v>
      </c>
      <c r="F601" s="218">
        <f t="shared" si="204"/>
        <v>0</v>
      </c>
      <c r="G601" s="218">
        <f t="shared" si="205"/>
        <v>0</v>
      </c>
      <c r="H601" s="218">
        <f t="shared" si="206"/>
        <v>0</v>
      </c>
      <c r="I601" s="218">
        <f t="shared" si="207"/>
        <v>0</v>
      </c>
      <c r="J601" s="218">
        <f t="shared" si="208"/>
        <v>0</v>
      </c>
      <c r="K601" s="218">
        <f t="shared" si="209"/>
        <v>0</v>
      </c>
      <c r="L601" s="192">
        <f t="shared" ref="L601:L650" si="213">(C601/1000)+(D601/1000)+(E601/1000)</f>
        <v>0</v>
      </c>
      <c r="M601" s="211">
        <v>64</v>
      </c>
      <c r="N601" s="211">
        <f>(29.53*1.02)*0.9804*1.0824</f>
        <v>31.963527706176006</v>
      </c>
      <c r="O601" s="211">
        <f>(42.96*1.02)*0.9804*1.0824</f>
        <v>46.500275999232002</v>
      </c>
      <c r="P601" s="211">
        <f>(16.43*1.02)*0.9804*1.0824</f>
        <v>17.783974270656003</v>
      </c>
      <c r="Q601" s="211">
        <f>(12.76*1.02)*0.9804*1.0824</f>
        <v>13.811534491392001</v>
      </c>
      <c r="R601" s="211">
        <f>(1.27*1.02)*0.9804*1.0824</f>
        <v>1.3746589971840002</v>
      </c>
      <c r="S601" s="211">
        <f>(0.0584*1.02)*0.9804*1.0824</f>
        <v>6.3212665697280013E-2</v>
      </c>
      <c r="T601" s="1850">
        <f t="shared" ref="T601:T650" si="214">L601*M601</f>
        <v>0</v>
      </c>
      <c r="U601" s="1850">
        <f t="shared" si="210"/>
        <v>0</v>
      </c>
      <c r="V601" s="1850">
        <f t="shared" si="210"/>
        <v>0</v>
      </c>
      <c r="W601" s="1850">
        <f t="shared" si="210"/>
        <v>0</v>
      </c>
      <c r="X601" s="1850">
        <f t="shared" si="210"/>
        <v>0</v>
      </c>
      <c r="Y601" s="1850">
        <f t="shared" si="210"/>
        <v>0</v>
      </c>
      <c r="Z601" s="1850">
        <f t="shared" si="191"/>
        <v>0</v>
      </c>
      <c r="AA601" s="2733"/>
    </row>
    <row r="602" spans="1:27" ht="18.75" x14ac:dyDescent="0.25">
      <c r="A602" s="2456"/>
      <c r="B602" s="1849">
        <v>2021</v>
      </c>
      <c r="C602" s="218">
        <f t="shared" si="203"/>
        <v>0</v>
      </c>
      <c r="D602" s="221">
        <f t="shared" si="211"/>
        <v>0</v>
      </c>
      <c r="E602" s="221">
        <f t="shared" si="212"/>
        <v>0</v>
      </c>
      <c r="F602" s="218">
        <f t="shared" si="204"/>
        <v>0</v>
      </c>
      <c r="G602" s="218">
        <f t="shared" si="205"/>
        <v>0</v>
      </c>
      <c r="H602" s="218">
        <f t="shared" si="206"/>
        <v>0</v>
      </c>
      <c r="I602" s="218">
        <f t="shared" si="207"/>
        <v>0</v>
      </c>
      <c r="J602" s="218">
        <f t="shared" si="208"/>
        <v>0</v>
      </c>
      <c r="K602" s="218">
        <f t="shared" si="209"/>
        <v>0</v>
      </c>
      <c r="L602" s="192">
        <f t="shared" si="213"/>
        <v>0</v>
      </c>
      <c r="M602" s="211">
        <v>65</v>
      </c>
      <c r="N602" s="211">
        <f>(29.53*1.02)*0.9612*1.0824</f>
        <v>31.337558987328006</v>
      </c>
      <c r="O602" s="211">
        <f>(42.96*1.02)*0.9612*1.0824</f>
        <v>45.589621879296011</v>
      </c>
      <c r="P602" s="211">
        <f>(16.43*1.02)*0.9612*1.0824</f>
        <v>17.435695704768001</v>
      </c>
      <c r="Q602" s="211">
        <f>(12.76*1.02)*0.9612*1.0824</f>
        <v>13.541051563776001</v>
      </c>
      <c r="R602" s="211">
        <f>(1.27*1.02)*0.9612*1.0824</f>
        <v>1.3477378907520003</v>
      </c>
      <c r="S602" s="211">
        <f>(0.0584*1.02)*0.9612*1.0824</f>
        <v>6.1974718755840007E-2</v>
      </c>
      <c r="T602" s="1850">
        <f t="shared" si="214"/>
        <v>0</v>
      </c>
      <c r="U602" s="1850">
        <f t="shared" si="210"/>
        <v>0</v>
      </c>
      <c r="V602" s="1850">
        <f t="shared" si="210"/>
        <v>0</v>
      </c>
      <c r="W602" s="1850">
        <f t="shared" si="210"/>
        <v>0</v>
      </c>
      <c r="X602" s="1850">
        <f t="shared" si="210"/>
        <v>0</v>
      </c>
      <c r="Y602" s="1850">
        <f t="shared" si="210"/>
        <v>0</v>
      </c>
      <c r="Z602" s="1850">
        <f t="shared" si="191"/>
        <v>0</v>
      </c>
      <c r="AA602" s="2733"/>
    </row>
    <row r="603" spans="1:27" ht="18.75" x14ac:dyDescent="0.25">
      <c r="A603" s="2456"/>
      <c r="B603" s="1849">
        <v>2022</v>
      </c>
      <c r="C603" s="218">
        <f t="shared" si="203"/>
        <v>0</v>
      </c>
      <c r="D603" s="221">
        <f t="shared" si="211"/>
        <v>0</v>
      </c>
      <c r="E603" s="221">
        <f t="shared" si="212"/>
        <v>0</v>
      </c>
      <c r="F603" s="218">
        <f t="shared" si="204"/>
        <v>0</v>
      </c>
      <c r="G603" s="218">
        <f t="shared" si="205"/>
        <v>0</v>
      </c>
      <c r="H603" s="218">
        <f t="shared" si="206"/>
        <v>0</v>
      </c>
      <c r="I603" s="218">
        <f t="shared" si="207"/>
        <v>0</v>
      </c>
      <c r="J603" s="218">
        <f t="shared" si="208"/>
        <v>0</v>
      </c>
      <c r="K603" s="218">
        <f t="shared" si="209"/>
        <v>0</v>
      </c>
      <c r="L603" s="192">
        <f t="shared" si="213"/>
        <v>0</v>
      </c>
      <c r="M603" s="211">
        <v>66</v>
      </c>
      <c r="N603" s="211">
        <f>(29.53*1.02)*0.9423*1.0824</f>
        <v>30.721371029712003</v>
      </c>
      <c r="O603" s="211">
        <f>(42.96*1.02)*0.9423*1.0824</f>
        <v>44.693196729984003</v>
      </c>
      <c r="P603" s="211">
        <f>(16.43*1.02)*0.9423*1.0824</f>
        <v>17.092858991472003</v>
      </c>
      <c r="Q603" s="211">
        <f>(12.76*1.02)*0.9423*1.0824</f>
        <v>13.274794931903999</v>
      </c>
      <c r="R603" s="211">
        <f>(1.27*1.02)*0.9423*1.0824</f>
        <v>1.3212374266080003</v>
      </c>
      <c r="S603" s="211">
        <f>(0.0584*1.02)*0.9423*1.0824</f>
        <v>6.0756114735360002E-2</v>
      </c>
      <c r="T603" s="1850">
        <f t="shared" si="214"/>
        <v>0</v>
      </c>
      <c r="U603" s="1850">
        <f t="shared" si="210"/>
        <v>0</v>
      </c>
      <c r="V603" s="1850">
        <f t="shared" si="210"/>
        <v>0</v>
      </c>
      <c r="W603" s="1850">
        <f t="shared" si="210"/>
        <v>0</v>
      </c>
      <c r="X603" s="1850">
        <f t="shared" si="210"/>
        <v>0</v>
      </c>
      <c r="Y603" s="1850">
        <f t="shared" si="210"/>
        <v>0</v>
      </c>
      <c r="Z603" s="1850">
        <f t="shared" si="191"/>
        <v>0</v>
      </c>
      <c r="AA603" s="2733"/>
    </row>
    <row r="604" spans="1:27" ht="18.75" x14ac:dyDescent="0.25">
      <c r="A604" s="2456"/>
      <c r="B604" s="1849">
        <v>2023</v>
      </c>
      <c r="C604" s="218">
        <f t="shared" si="203"/>
        <v>0</v>
      </c>
      <c r="D604" s="221">
        <f t="shared" si="211"/>
        <v>0</v>
      </c>
      <c r="E604" s="221">
        <f t="shared" si="212"/>
        <v>0</v>
      </c>
      <c r="F604" s="218">
        <f t="shared" si="204"/>
        <v>0</v>
      </c>
      <c r="G604" s="218">
        <f t="shared" si="205"/>
        <v>0</v>
      </c>
      <c r="H604" s="218">
        <f t="shared" si="206"/>
        <v>0</v>
      </c>
      <c r="I604" s="218">
        <f t="shared" si="207"/>
        <v>0</v>
      </c>
      <c r="J604" s="218">
        <f t="shared" si="208"/>
        <v>0</v>
      </c>
      <c r="K604" s="218">
        <f t="shared" si="209"/>
        <v>0</v>
      </c>
      <c r="L604" s="192">
        <f t="shared" si="213"/>
        <v>0</v>
      </c>
      <c r="M604" s="211">
        <v>67</v>
      </c>
      <c r="N604" s="211">
        <f>(29.53*1.02)*0.9238*1.0824</f>
        <v>30.118224087072001</v>
      </c>
      <c r="O604" s="211">
        <f>(42.96*1.02)*0.9238*1.0824</f>
        <v>43.815743541504006</v>
      </c>
      <c r="P604" s="211">
        <f>(16.43*1.02)*0.9238*1.0824</f>
        <v>16.757278081632002</v>
      </c>
      <c r="Q604" s="211">
        <f>(12.76*1.02)*0.9238*1.0824</f>
        <v>13.014173361024</v>
      </c>
      <c r="R604" s="211">
        <f>(1.27*1.02)*0.9238*1.0824</f>
        <v>1.295297818848</v>
      </c>
      <c r="S604" s="211">
        <f>(0.0584*1.02)*0.9238*1.0824</f>
        <v>5.9563301276160004E-2</v>
      </c>
      <c r="T604" s="1850">
        <f t="shared" si="214"/>
        <v>0</v>
      </c>
      <c r="U604" s="1850">
        <f t="shared" si="210"/>
        <v>0</v>
      </c>
      <c r="V604" s="1850">
        <f t="shared" si="210"/>
        <v>0</v>
      </c>
      <c r="W604" s="1850">
        <f t="shared" si="210"/>
        <v>0</v>
      </c>
      <c r="X604" s="1850">
        <f t="shared" si="210"/>
        <v>0</v>
      </c>
      <c r="Y604" s="1850">
        <f t="shared" si="210"/>
        <v>0</v>
      </c>
      <c r="Z604" s="1850">
        <f t="shared" si="191"/>
        <v>0</v>
      </c>
      <c r="AA604" s="2733"/>
    </row>
    <row r="605" spans="1:27" ht="18.75" x14ac:dyDescent="0.25">
      <c r="A605" s="2456"/>
      <c r="B605" s="1849">
        <v>2024</v>
      </c>
      <c r="C605" s="218">
        <f t="shared" si="203"/>
        <v>0</v>
      </c>
      <c r="D605" s="221">
        <f t="shared" si="211"/>
        <v>0</v>
      </c>
      <c r="E605" s="221">
        <f t="shared" si="212"/>
        <v>0</v>
      </c>
      <c r="F605" s="218">
        <f t="shared" si="204"/>
        <v>0</v>
      </c>
      <c r="G605" s="218">
        <f t="shared" si="205"/>
        <v>0</v>
      </c>
      <c r="H605" s="218">
        <f t="shared" si="206"/>
        <v>0</v>
      </c>
      <c r="I605" s="218">
        <f t="shared" si="207"/>
        <v>0</v>
      </c>
      <c r="J605" s="218">
        <f t="shared" si="208"/>
        <v>0</v>
      </c>
      <c r="K605" s="218">
        <f t="shared" si="209"/>
        <v>0</v>
      </c>
      <c r="L605" s="192">
        <f t="shared" si="213"/>
        <v>0</v>
      </c>
      <c r="M605" s="211">
        <v>68</v>
      </c>
      <c r="N605" s="211">
        <f>(29.53*1.02)*0.9057*1.0824</f>
        <v>29.528118159408002</v>
      </c>
      <c r="O605" s="211">
        <f>(42.96*1.02)*0.9057*1.0824</f>
        <v>42.957262313856006</v>
      </c>
      <c r="P605" s="211">
        <f>(16.43*1.02)*0.9057*1.0824</f>
        <v>16.428952975248002</v>
      </c>
      <c r="Q605" s="211">
        <f>(12.76*1.02)*0.9057*1.0824</f>
        <v>12.759186851135999</v>
      </c>
      <c r="R605" s="211">
        <f>(1.27*1.02)*0.9057*1.0824</f>
        <v>1.269919067472</v>
      </c>
      <c r="S605" s="211">
        <f>(0.0584*1.02)*0.9057*1.0824</f>
        <v>5.8396278378240005E-2</v>
      </c>
      <c r="T605" s="1850">
        <f t="shared" si="214"/>
        <v>0</v>
      </c>
      <c r="U605" s="1850">
        <f t="shared" si="210"/>
        <v>0</v>
      </c>
      <c r="V605" s="1850">
        <f t="shared" si="210"/>
        <v>0</v>
      </c>
      <c r="W605" s="1850">
        <f t="shared" si="210"/>
        <v>0</v>
      </c>
      <c r="X605" s="1850">
        <f t="shared" si="210"/>
        <v>0</v>
      </c>
      <c r="Y605" s="1850">
        <f t="shared" si="210"/>
        <v>0</v>
      </c>
      <c r="Z605" s="1850">
        <f t="shared" si="191"/>
        <v>0</v>
      </c>
      <c r="AA605" s="2733"/>
    </row>
    <row r="606" spans="1:27" ht="18.75" x14ac:dyDescent="0.25">
      <c r="A606" s="2456"/>
      <c r="B606" s="1849">
        <v>2025</v>
      </c>
      <c r="C606" s="218">
        <f t="shared" si="203"/>
        <v>0</v>
      </c>
      <c r="D606" s="221">
        <f t="shared" si="211"/>
        <v>0</v>
      </c>
      <c r="E606" s="221">
        <f t="shared" si="212"/>
        <v>0</v>
      </c>
      <c r="F606" s="218">
        <f t="shared" si="204"/>
        <v>0</v>
      </c>
      <c r="G606" s="218">
        <f t="shared" si="205"/>
        <v>0</v>
      </c>
      <c r="H606" s="218">
        <f t="shared" si="206"/>
        <v>0</v>
      </c>
      <c r="I606" s="218">
        <f t="shared" si="207"/>
        <v>0</v>
      </c>
      <c r="J606" s="218">
        <f t="shared" si="208"/>
        <v>0</v>
      </c>
      <c r="K606" s="218">
        <f t="shared" si="209"/>
        <v>0</v>
      </c>
      <c r="L606" s="192">
        <f t="shared" si="213"/>
        <v>0</v>
      </c>
      <c r="M606" s="211">
        <v>69</v>
      </c>
      <c r="N606" s="211">
        <f>(29.53*1.02)*0.888*1.0824</f>
        <v>28.951053246720004</v>
      </c>
      <c r="O606" s="211">
        <f>(42.96*1.02)*0.888*1.0824</f>
        <v>42.117753047040004</v>
      </c>
      <c r="P606" s="211">
        <f>(16.43*1.02)*0.888*1.0824</f>
        <v>16.10788367232</v>
      </c>
      <c r="Q606" s="211">
        <f>(12.76*1.02)*0.888*1.0824</f>
        <v>12.50983540224</v>
      </c>
      <c r="R606" s="211">
        <f>(1.27*1.02)*0.888*1.0824</f>
        <v>1.2451011724800001</v>
      </c>
      <c r="S606" s="211">
        <f>(0.0584*1.02)*0.888*1.0824</f>
        <v>5.7255046041600005E-2</v>
      </c>
      <c r="T606" s="1850">
        <f t="shared" si="214"/>
        <v>0</v>
      </c>
      <c r="U606" s="1850">
        <f t="shared" si="210"/>
        <v>0</v>
      </c>
      <c r="V606" s="1850">
        <f t="shared" si="210"/>
        <v>0</v>
      </c>
      <c r="W606" s="1850">
        <f t="shared" si="210"/>
        <v>0</v>
      </c>
      <c r="X606" s="1850">
        <f t="shared" si="210"/>
        <v>0</v>
      </c>
      <c r="Y606" s="1850">
        <f t="shared" si="210"/>
        <v>0</v>
      </c>
      <c r="Z606" s="1850">
        <f t="shared" si="191"/>
        <v>0</v>
      </c>
      <c r="AA606" s="2733"/>
    </row>
    <row r="607" spans="1:27" ht="18.75" x14ac:dyDescent="0.25">
      <c r="A607" s="2456"/>
      <c r="B607" s="1849">
        <v>2026</v>
      </c>
      <c r="C607" s="218">
        <f t="shared" si="203"/>
        <v>0</v>
      </c>
      <c r="D607" s="221">
        <f t="shared" si="211"/>
        <v>0</v>
      </c>
      <c r="E607" s="221">
        <f t="shared" si="212"/>
        <v>0</v>
      </c>
      <c r="F607" s="218">
        <f t="shared" si="204"/>
        <v>0</v>
      </c>
      <c r="G607" s="218">
        <f t="shared" si="205"/>
        <v>0</v>
      </c>
      <c r="H607" s="218">
        <f t="shared" si="206"/>
        <v>0</v>
      </c>
      <c r="I607" s="218">
        <f t="shared" si="207"/>
        <v>0</v>
      </c>
      <c r="J607" s="218">
        <f t="shared" si="208"/>
        <v>0</v>
      </c>
      <c r="K607" s="218">
        <f t="shared" si="209"/>
        <v>0</v>
      </c>
      <c r="L607" s="192">
        <f t="shared" si="213"/>
        <v>0</v>
      </c>
      <c r="M607" s="211">
        <v>70</v>
      </c>
      <c r="N607" s="211">
        <f>(29.53*1.02)*0.8706*1.0824</f>
        <v>28.383769095264007</v>
      </c>
      <c r="O607" s="211">
        <f>(42.96*1.02)*0.8706*1.0824</f>
        <v>41.292472750848006</v>
      </c>
      <c r="P607" s="211">
        <f>(16.43*1.02)*0.8706*1.0824</f>
        <v>15.792256221984003</v>
      </c>
      <c r="Q607" s="211">
        <f>(12.76*1.02)*0.8706*1.0824</f>
        <v>12.264710249088001</v>
      </c>
      <c r="R607" s="211">
        <f>(1.27*1.02)*0.8706*1.0824</f>
        <v>1.2207039197760001</v>
      </c>
      <c r="S607" s="211">
        <f>(0.0584*1.02)*0.8706*1.0824</f>
        <v>5.6133156625920007E-2</v>
      </c>
      <c r="T607" s="1850">
        <f t="shared" si="214"/>
        <v>0</v>
      </c>
      <c r="U607" s="1850">
        <f t="shared" si="210"/>
        <v>0</v>
      </c>
      <c r="V607" s="1850">
        <f t="shared" si="210"/>
        <v>0</v>
      </c>
      <c r="W607" s="1850">
        <f t="shared" si="210"/>
        <v>0</v>
      </c>
      <c r="X607" s="1850">
        <f t="shared" si="210"/>
        <v>0</v>
      </c>
      <c r="Y607" s="1850">
        <f t="shared" si="210"/>
        <v>0</v>
      </c>
      <c r="Z607" s="1850">
        <f t="shared" si="191"/>
        <v>0</v>
      </c>
      <c r="AA607" s="2733"/>
    </row>
    <row r="608" spans="1:27" ht="18.75" x14ac:dyDescent="0.25">
      <c r="A608" s="2456"/>
      <c r="B608" s="1849">
        <v>2027</v>
      </c>
      <c r="C608" s="218">
        <f t="shared" si="203"/>
        <v>0</v>
      </c>
      <c r="D608" s="221">
        <f t="shared" si="211"/>
        <v>0</v>
      </c>
      <c r="E608" s="221">
        <f t="shared" si="212"/>
        <v>0</v>
      </c>
      <c r="F608" s="218">
        <f t="shared" si="204"/>
        <v>0</v>
      </c>
      <c r="G608" s="218">
        <f t="shared" si="205"/>
        <v>0</v>
      </c>
      <c r="H608" s="218">
        <f t="shared" si="206"/>
        <v>0</v>
      </c>
      <c r="I608" s="218">
        <f t="shared" si="207"/>
        <v>0</v>
      </c>
      <c r="J608" s="218">
        <f t="shared" si="208"/>
        <v>0</v>
      </c>
      <c r="K608" s="218">
        <f t="shared" si="209"/>
        <v>0</v>
      </c>
      <c r="L608" s="192">
        <f t="shared" si="213"/>
        <v>0</v>
      </c>
      <c r="M608" s="211">
        <v>71</v>
      </c>
      <c r="N608" s="211">
        <f>(29.53*1.02)*0.8535*1.0824</f>
        <v>27.826265705040004</v>
      </c>
      <c r="O608" s="211">
        <f>(42.96*1.02)*0.8535*1.0824</f>
        <v>40.481421425280004</v>
      </c>
      <c r="P608" s="211">
        <f>(16.43*1.02)*0.8535*1.0824</f>
        <v>15.482070624240002</v>
      </c>
      <c r="Q608" s="211">
        <f>(12.76*1.02)*0.8535*1.0824</f>
        <v>12.023811391680001</v>
      </c>
      <c r="R608" s="211">
        <f>(1.27*1.02)*0.8535*1.0824</f>
        <v>1.1967273093600002</v>
      </c>
      <c r="S608" s="211">
        <f>(0.0584*1.02)*0.8535*1.0824</f>
        <v>5.503061013120001E-2</v>
      </c>
      <c r="T608" s="1850">
        <f t="shared" si="214"/>
        <v>0</v>
      </c>
      <c r="U608" s="1850">
        <f t="shared" si="210"/>
        <v>0</v>
      </c>
      <c r="V608" s="1850">
        <f t="shared" si="210"/>
        <v>0</v>
      </c>
      <c r="W608" s="1850">
        <f t="shared" si="210"/>
        <v>0</v>
      </c>
      <c r="X608" s="1850">
        <f t="shared" si="210"/>
        <v>0</v>
      </c>
      <c r="Y608" s="1850">
        <f t="shared" si="210"/>
        <v>0</v>
      </c>
      <c r="Z608" s="1850">
        <f t="shared" si="191"/>
        <v>0</v>
      </c>
      <c r="AA608" s="2733"/>
    </row>
    <row r="609" spans="1:27" ht="18.75" x14ac:dyDescent="0.25">
      <c r="A609" s="2456"/>
      <c r="B609" s="1849">
        <v>2028</v>
      </c>
      <c r="C609" s="218">
        <f t="shared" si="203"/>
        <v>0</v>
      </c>
      <c r="D609" s="221">
        <f t="shared" si="211"/>
        <v>0</v>
      </c>
      <c r="E609" s="221">
        <f t="shared" si="212"/>
        <v>0</v>
      </c>
      <c r="F609" s="218">
        <f t="shared" si="204"/>
        <v>0</v>
      </c>
      <c r="G609" s="218">
        <f t="shared" si="205"/>
        <v>0</v>
      </c>
      <c r="H609" s="218">
        <f t="shared" si="206"/>
        <v>0</v>
      </c>
      <c r="I609" s="218">
        <f t="shared" si="207"/>
        <v>0</v>
      </c>
      <c r="J609" s="218">
        <f t="shared" si="208"/>
        <v>0</v>
      </c>
      <c r="K609" s="218">
        <f t="shared" si="209"/>
        <v>0</v>
      </c>
      <c r="L609" s="192">
        <f t="shared" si="213"/>
        <v>0</v>
      </c>
      <c r="M609" s="211">
        <v>72</v>
      </c>
      <c r="N609" s="211">
        <f>(29.53*1.02)*0.8368*1.0824</f>
        <v>27.281803329792002</v>
      </c>
      <c r="O609" s="211">
        <f>(42.96*1.02)*0.8368*1.0824</f>
        <v>39.689342060544</v>
      </c>
      <c r="P609" s="211">
        <f>(16.43*1.02)*0.8368*1.0824</f>
        <v>15.179140829952001</v>
      </c>
      <c r="Q609" s="211">
        <f>(12.76*1.02)*0.8368*1.0824</f>
        <v>11.788547595263999</v>
      </c>
      <c r="R609" s="211">
        <f>(1.27*1.02)*0.8368*1.0824</f>
        <v>1.173311555328</v>
      </c>
      <c r="S609" s="211">
        <f>(0.0584*1.02)*0.8368*1.0824</f>
        <v>5.3953854197759998E-2</v>
      </c>
      <c r="T609" s="1850">
        <f t="shared" si="214"/>
        <v>0</v>
      </c>
      <c r="U609" s="1850">
        <f t="shared" si="210"/>
        <v>0</v>
      </c>
      <c r="V609" s="1850">
        <f t="shared" si="210"/>
        <v>0</v>
      </c>
      <c r="W609" s="1850">
        <f t="shared" si="210"/>
        <v>0</v>
      </c>
      <c r="X609" s="1850">
        <f t="shared" si="210"/>
        <v>0</v>
      </c>
      <c r="Y609" s="1850">
        <f t="shared" si="210"/>
        <v>0</v>
      </c>
      <c r="Z609" s="1850">
        <f t="shared" si="191"/>
        <v>0</v>
      </c>
      <c r="AA609" s="2733"/>
    </row>
    <row r="610" spans="1:27" ht="18.75" x14ac:dyDescent="0.25">
      <c r="A610" s="2456"/>
      <c r="B610" s="1849">
        <v>2029</v>
      </c>
      <c r="C610" s="218">
        <f t="shared" si="203"/>
        <v>0</v>
      </c>
      <c r="D610" s="221">
        <f t="shared" si="211"/>
        <v>0</v>
      </c>
      <c r="E610" s="221">
        <f t="shared" si="212"/>
        <v>0</v>
      </c>
      <c r="F610" s="218">
        <f t="shared" si="204"/>
        <v>0</v>
      </c>
      <c r="G610" s="218">
        <f t="shared" si="205"/>
        <v>0</v>
      </c>
      <c r="H610" s="218">
        <f t="shared" si="206"/>
        <v>0</v>
      </c>
      <c r="I610" s="218">
        <f t="shared" si="207"/>
        <v>0</v>
      </c>
      <c r="J610" s="218">
        <f t="shared" si="208"/>
        <v>0</v>
      </c>
      <c r="K610" s="218">
        <f t="shared" si="209"/>
        <v>0</v>
      </c>
      <c r="L610" s="192">
        <f t="shared" si="213"/>
        <v>0</v>
      </c>
      <c r="M610" s="211">
        <v>73</v>
      </c>
      <c r="N610" s="211">
        <f>(29.53*1.02)*0.8203*1.0824</f>
        <v>26.743861462032005</v>
      </c>
      <c r="O610" s="211">
        <f>(42.96*1.02)*0.8203*1.0824</f>
        <v>38.906748676224005</v>
      </c>
      <c r="P610" s="211">
        <f>(16.43*1.02)*0.8203*1.0824</f>
        <v>14.879838937392002</v>
      </c>
      <c r="Q610" s="211">
        <f>(12.76*1.02)*0.8203*1.0824</f>
        <v>11.556101329344001</v>
      </c>
      <c r="R610" s="211">
        <f>(1.27*1.02)*0.8203*1.0824</f>
        <v>1.1501762294880002</v>
      </c>
      <c r="S610" s="211">
        <f>(0.0584*1.02)*0.8203*1.0824</f>
        <v>5.2889993544960004E-2</v>
      </c>
      <c r="T610" s="1850">
        <f t="shared" si="214"/>
        <v>0</v>
      </c>
      <c r="U610" s="1850">
        <f t="shared" si="210"/>
        <v>0</v>
      </c>
      <c r="V610" s="1850">
        <f t="shared" si="210"/>
        <v>0</v>
      </c>
      <c r="W610" s="1850">
        <f t="shared" si="210"/>
        <v>0</v>
      </c>
      <c r="X610" s="1850">
        <f t="shared" si="210"/>
        <v>0</v>
      </c>
      <c r="Y610" s="1850">
        <f t="shared" si="210"/>
        <v>0</v>
      </c>
      <c r="Z610" s="1850">
        <f t="shared" si="191"/>
        <v>0</v>
      </c>
      <c r="AA610" s="2733"/>
    </row>
    <row r="611" spans="1:27" ht="18.75" x14ac:dyDescent="0.25">
      <c r="A611" s="2456"/>
      <c r="B611" s="1849">
        <v>2030</v>
      </c>
      <c r="C611" s="218">
        <f t="shared" si="203"/>
        <v>0</v>
      </c>
      <c r="D611" s="221">
        <f t="shared" si="211"/>
        <v>0</v>
      </c>
      <c r="E611" s="221">
        <f t="shared" si="212"/>
        <v>0</v>
      </c>
      <c r="F611" s="218">
        <f t="shared" si="204"/>
        <v>0</v>
      </c>
      <c r="G611" s="218">
        <f t="shared" si="205"/>
        <v>0</v>
      </c>
      <c r="H611" s="218">
        <f t="shared" si="206"/>
        <v>0</v>
      </c>
      <c r="I611" s="218">
        <f t="shared" si="207"/>
        <v>0</v>
      </c>
      <c r="J611" s="218">
        <f t="shared" si="208"/>
        <v>0</v>
      </c>
      <c r="K611" s="218">
        <f t="shared" si="209"/>
        <v>0</v>
      </c>
      <c r="L611" s="192">
        <f t="shared" si="213"/>
        <v>0</v>
      </c>
      <c r="M611" s="211">
        <v>75</v>
      </c>
      <c r="N611" s="211">
        <f>(29.53*1.02)*0.8043*1.0824</f>
        <v>26.222220862992003</v>
      </c>
      <c r="O611" s="211">
        <f>(42.96*1.02)*0.8043*1.0824</f>
        <v>38.147870242944002</v>
      </c>
      <c r="P611" s="211">
        <f>(16.43*1.02)*0.8043*1.0824</f>
        <v>14.589606799152003</v>
      </c>
      <c r="Q611" s="211">
        <f>(12.76*1.02)*0.8043*1.0824</f>
        <v>11.330698889664001</v>
      </c>
      <c r="R611" s="211">
        <f>(1.27*1.02)*0.8043*1.0824</f>
        <v>1.1277419741280001</v>
      </c>
      <c r="S611" s="211">
        <f>(0.0584*1.02)*0.8043*1.0824</f>
        <v>5.1858371093760007E-2</v>
      </c>
      <c r="T611" s="1850">
        <f t="shared" si="214"/>
        <v>0</v>
      </c>
      <c r="U611" s="1850">
        <f t="shared" si="210"/>
        <v>0</v>
      </c>
      <c r="V611" s="1850">
        <f t="shared" si="210"/>
        <v>0</v>
      </c>
      <c r="W611" s="1850">
        <f t="shared" si="210"/>
        <v>0</v>
      </c>
      <c r="X611" s="1850">
        <f t="shared" si="210"/>
        <v>0</v>
      </c>
      <c r="Y611" s="1850">
        <f t="shared" si="210"/>
        <v>0</v>
      </c>
      <c r="Z611" s="1850">
        <f t="shared" si="191"/>
        <v>0</v>
      </c>
      <c r="AA611" s="2733"/>
    </row>
    <row r="612" spans="1:27" ht="18.75" x14ac:dyDescent="0.25">
      <c r="A612" s="2456"/>
      <c r="B612" s="1849">
        <v>2031</v>
      </c>
      <c r="C612" s="218">
        <f t="shared" si="203"/>
        <v>0</v>
      </c>
      <c r="D612" s="221">
        <f t="shared" si="211"/>
        <v>0</v>
      </c>
      <c r="E612" s="221">
        <f t="shared" si="212"/>
        <v>0</v>
      </c>
      <c r="F612" s="218">
        <f t="shared" si="204"/>
        <v>0</v>
      </c>
      <c r="G612" s="218">
        <f t="shared" si="205"/>
        <v>0</v>
      </c>
      <c r="H612" s="218">
        <f t="shared" si="206"/>
        <v>0</v>
      </c>
      <c r="I612" s="218">
        <f t="shared" si="207"/>
        <v>0</v>
      </c>
      <c r="J612" s="218">
        <f t="shared" si="208"/>
        <v>0</v>
      </c>
      <c r="K612" s="218">
        <f t="shared" si="209"/>
        <v>0</v>
      </c>
      <c r="L612" s="192">
        <f t="shared" si="213"/>
        <v>0</v>
      </c>
      <c r="M612" s="211">
        <v>76</v>
      </c>
      <c r="N612" s="211">
        <f>(29.53*1.02)*0.7885*1.0824</f>
        <v>25.70710077144</v>
      </c>
      <c r="O612" s="211">
        <f>(42.96*1.02)*0.7885*1.0824</f>
        <v>37.398477790080001</v>
      </c>
      <c r="P612" s="211">
        <f>(16.43*1.02)*0.7885*1.0824</f>
        <v>14.303002562640001</v>
      </c>
      <c r="Q612" s="211">
        <f>(12.76*1.02)*0.7885*1.0824</f>
        <v>11.108113980480001</v>
      </c>
      <c r="R612" s="211">
        <f>(1.27*1.02)*0.7885*1.0824</f>
        <v>1.1055881469600002</v>
      </c>
      <c r="S612" s="211">
        <f>(0.0584*1.02)*0.7885*1.0824</f>
        <v>5.0839643923200006E-2</v>
      </c>
      <c r="T612" s="1850">
        <f t="shared" si="214"/>
        <v>0</v>
      </c>
      <c r="U612" s="1850">
        <f t="shared" si="210"/>
        <v>0</v>
      </c>
      <c r="V612" s="1850">
        <f t="shared" si="210"/>
        <v>0</v>
      </c>
      <c r="W612" s="1850">
        <f t="shared" si="210"/>
        <v>0</v>
      </c>
      <c r="X612" s="1850">
        <f t="shared" si="210"/>
        <v>0</v>
      </c>
      <c r="Y612" s="1850">
        <f t="shared" si="210"/>
        <v>0</v>
      </c>
      <c r="Z612" s="1850">
        <f t="shared" si="191"/>
        <v>0</v>
      </c>
      <c r="AA612" s="2733"/>
    </row>
    <row r="613" spans="1:27" ht="18.75" x14ac:dyDescent="0.25">
      <c r="A613" s="2456"/>
      <c r="B613" s="1849">
        <v>2032</v>
      </c>
      <c r="C613" s="218">
        <f t="shared" si="203"/>
        <v>0</v>
      </c>
      <c r="D613" s="221">
        <f t="shared" si="211"/>
        <v>0</v>
      </c>
      <c r="E613" s="221">
        <f t="shared" si="212"/>
        <v>0</v>
      </c>
      <c r="F613" s="218">
        <f t="shared" si="204"/>
        <v>0</v>
      </c>
      <c r="G613" s="218">
        <f t="shared" si="205"/>
        <v>0</v>
      </c>
      <c r="H613" s="218">
        <f t="shared" si="206"/>
        <v>0</v>
      </c>
      <c r="I613" s="218">
        <f t="shared" si="207"/>
        <v>0</v>
      </c>
      <c r="J613" s="218">
        <f t="shared" si="208"/>
        <v>0</v>
      </c>
      <c r="K613" s="218">
        <f t="shared" si="209"/>
        <v>0</v>
      </c>
      <c r="L613" s="192">
        <f t="shared" si="213"/>
        <v>0</v>
      </c>
      <c r="M613" s="211">
        <v>77</v>
      </c>
      <c r="N613" s="211">
        <f>(29.53*1.02)*0.773*1.0824</f>
        <v>25.201761441120002</v>
      </c>
      <c r="O613" s="211">
        <f>(42.96*1.02)*0.773*1.0824</f>
        <v>36.663314307840004</v>
      </c>
      <c r="P613" s="211">
        <f>(16.43*1.02)*0.773*1.0824</f>
        <v>14.021840178720002</v>
      </c>
      <c r="Q613" s="211">
        <f>(12.76*1.02)*0.773*1.0824</f>
        <v>10.889755367040001</v>
      </c>
      <c r="R613" s="211">
        <f>(1.27*1.02)*0.773*1.0824</f>
        <v>1.0838549620800002</v>
      </c>
      <c r="S613" s="211">
        <f>(0.0584*1.02)*0.773*1.0824</f>
        <v>4.9840259673600007E-2</v>
      </c>
      <c r="T613" s="1850">
        <f t="shared" si="214"/>
        <v>0</v>
      </c>
      <c r="U613" s="1850">
        <f t="shared" si="210"/>
        <v>0</v>
      </c>
      <c r="V613" s="1850">
        <f t="shared" si="210"/>
        <v>0</v>
      </c>
      <c r="W613" s="1850">
        <f t="shared" si="210"/>
        <v>0</v>
      </c>
      <c r="X613" s="1850">
        <f t="shared" si="210"/>
        <v>0</v>
      </c>
      <c r="Y613" s="1850">
        <f t="shared" si="210"/>
        <v>0</v>
      </c>
      <c r="Z613" s="1850">
        <f t="shared" si="191"/>
        <v>0</v>
      </c>
      <c r="AA613" s="2733"/>
    </row>
    <row r="614" spans="1:27" ht="18.75" x14ac:dyDescent="0.25">
      <c r="A614" s="2456"/>
      <c r="B614" s="1849">
        <v>2033</v>
      </c>
      <c r="C614" s="218">
        <f t="shared" si="203"/>
        <v>0</v>
      </c>
      <c r="D614" s="221">
        <f t="shared" si="211"/>
        <v>0</v>
      </c>
      <c r="E614" s="221">
        <f t="shared" si="212"/>
        <v>0</v>
      </c>
      <c r="F614" s="218">
        <f t="shared" si="204"/>
        <v>0</v>
      </c>
      <c r="G614" s="218">
        <f t="shared" si="205"/>
        <v>0</v>
      </c>
      <c r="H614" s="218">
        <f t="shared" si="206"/>
        <v>0</v>
      </c>
      <c r="I614" s="218">
        <f t="shared" si="207"/>
        <v>0</v>
      </c>
      <c r="J614" s="218">
        <f t="shared" si="208"/>
        <v>0</v>
      </c>
      <c r="K614" s="218">
        <f t="shared" si="209"/>
        <v>0</v>
      </c>
      <c r="L614" s="192">
        <f t="shared" si="213"/>
        <v>0</v>
      </c>
      <c r="M614" s="211">
        <v>78</v>
      </c>
      <c r="N614" s="211">
        <f>(29.53*1.02)*0.7579*1.0824</f>
        <v>24.709463125776001</v>
      </c>
      <c r="O614" s="211">
        <f>(42.96*1.02)*0.7579*1.0824</f>
        <v>35.947122786432004</v>
      </c>
      <c r="P614" s="211">
        <f>(16.43*1.02)*0.7579*1.0824</f>
        <v>13.747933598256003</v>
      </c>
      <c r="Q614" s="211">
        <f>(12.76*1.02)*0.7579*1.0824</f>
        <v>10.677031814592</v>
      </c>
      <c r="R614" s="211">
        <f>(1.27*1.02)*0.7579*1.0824</f>
        <v>1.0626826335840001</v>
      </c>
      <c r="S614" s="211">
        <f>(0.0584*1.02)*0.7579*1.0824</f>
        <v>4.8866665985280007E-2</v>
      </c>
      <c r="T614" s="1850">
        <f t="shared" si="214"/>
        <v>0</v>
      </c>
      <c r="U614" s="1850">
        <f t="shared" si="210"/>
        <v>0</v>
      </c>
      <c r="V614" s="1850">
        <f t="shared" si="210"/>
        <v>0</v>
      </c>
      <c r="W614" s="1850">
        <f t="shared" si="210"/>
        <v>0</v>
      </c>
      <c r="X614" s="1850">
        <f t="shared" si="210"/>
        <v>0</v>
      </c>
      <c r="Y614" s="1850">
        <f t="shared" si="210"/>
        <v>0</v>
      </c>
      <c r="Z614" s="1850">
        <f t="shared" si="191"/>
        <v>0</v>
      </c>
      <c r="AA614" s="2733"/>
    </row>
    <row r="615" spans="1:27" ht="18.75" x14ac:dyDescent="0.25">
      <c r="A615" s="2456"/>
      <c r="B615" s="1849">
        <v>2034</v>
      </c>
      <c r="C615" s="218">
        <f t="shared" si="203"/>
        <v>0</v>
      </c>
      <c r="D615" s="221">
        <f t="shared" si="211"/>
        <v>0</v>
      </c>
      <c r="E615" s="221">
        <f t="shared" si="212"/>
        <v>0</v>
      </c>
      <c r="F615" s="218">
        <f t="shared" si="204"/>
        <v>0</v>
      </c>
      <c r="G615" s="218">
        <f t="shared" si="205"/>
        <v>0</v>
      </c>
      <c r="H615" s="218">
        <f t="shared" si="206"/>
        <v>0</v>
      </c>
      <c r="I615" s="218">
        <f t="shared" si="207"/>
        <v>0</v>
      </c>
      <c r="J615" s="218">
        <f t="shared" si="208"/>
        <v>0</v>
      </c>
      <c r="K615" s="218">
        <f t="shared" si="209"/>
        <v>0</v>
      </c>
      <c r="L615" s="192">
        <f t="shared" si="213"/>
        <v>0</v>
      </c>
      <c r="M615" s="211">
        <v>79</v>
      </c>
      <c r="N615" s="211">
        <f>(29.53*1.02)*0.743*1.0824</f>
        <v>24.223685317920005</v>
      </c>
      <c r="O615" s="211">
        <f>(42.96*1.02)*0.743*1.0824</f>
        <v>35.24041724544</v>
      </c>
      <c r="P615" s="211">
        <f>(16.43*1.02)*0.743*1.0824</f>
        <v>13.477654919520001</v>
      </c>
      <c r="Q615" s="211">
        <f>(12.76*1.02)*0.743*1.0824</f>
        <v>10.467125792640001</v>
      </c>
      <c r="R615" s="211">
        <f>(1.27*1.02)*0.743*1.0824</f>
        <v>1.04179073328</v>
      </c>
      <c r="S615" s="211">
        <f>(0.0584*1.02)*0.743*1.0824</f>
        <v>4.7905967577600003E-2</v>
      </c>
      <c r="T615" s="1850">
        <f t="shared" si="214"/>
        <v>0</v>
      </c>
      <c r="U615" s="1850">
        <f t="shared" si="210"/>
        <v>0</v>
      </c>
      <c r="V615" s="1850">
        <f t="shared" si="210"/>
        <v>0</v>
      </c>
      <c r="W615" s="1850">
        <f t="shared" si="210"/>
        <v>0</v>
      </c>
      <c r="X615" s="1850">
        <f t="shared" si="210"/>
        <v>0</v>
      </c>
      <c r="Y615" s="1850">
        <f t="shared" si="210"/>
        <v>0</v>
      </c>
      <c r="Z615" s="1850">
        <f t="shared" si="191"/>
        <v>0</v>
      </c>
      <c r="AA615" s="2733"/>
    </row>
    <row r="616" spans="1:27" ht="18.75" x14ac:dyDescent="0.25">
      <c r="A616" s="2456"/>
      <c r="B616" s="1849">
        <v>2035</v>
      </c>
      <c r="C616" s="218">
        <f t="shared" si="203"/>
        <v>0</v>
      </c>
      <c r="D616" s="221">
        <f t="shared" si="211"/>
        <v>0</v>
      </c>
      <c r="E616" s="221">
        <f t="shared" si="212"/>
        <v>0</v>
      </c>
      <c r="F616" s="218">
        <f t="shared" si="204"/>
        <v>0</v>
      </c>
      <c r="G616" s="218">
        <f t="shared" si="205"/>
        <v>0</v>
      </c>
      <c r="H616" s="218">
        <f t="shared" si="206"/>
        <v>0</v>
      </c>
      <c r="I616" s="218">
        <f t="shared" si="207"/>
        <v>0</v>
      </c>
      <c r="J616" s="218">
        <f t="shared" si="208"/>
        <v>0</v>
      </c>
      <c r="K616" s="218">
        <f t="shared" si="209"/>
        <v>0</v>
      </c>
      <c r="L616" s="192">
        <f t="shared" si="213"/>
        <v>0</v>
      </c>
      <c r="M616" s="211">
        <v>80</v>
      </c>
      <c r="N616" s="211">
        <f>(29.53*1.02)*0.7284*1.0824</f>
        <v>23.747688271296006</v>
      </c>
      <c r="O616" s="211">
        <f>(42.96*1.02)*0.7284*1.0824</f>
        <v>34.547940675072006</v>
      </c>
      <c r="P616" s="211">
        <f>(16.43*1.02)*0.7284*1.0824</f>
        <v>13.212818093376002</v>
      </c>
      <c r="Q616" s="211">
        <f>(12.76*1.02)*0.7284*1.0824</f>
        <v>10.261446066432002</v>
      </c>
      <c r="R616" s="211">
        <f>(1.27*1.02)*0.7284*1.0824</f>
        <v>1.0213194752640002</v>
      </c>
      <c r="S616" s="211">
        <f>(0.0584*1.02)*0.7284*1.0824</f>
        <v>4.6964612090880008E-2</v>
      </c>
      <c r="T616" s="1850">
        <f t="shared" si="214"/>
        <v>0</v>
      </c>
      <c r="U616" s="1850">
        <f t="shared" si="210"/>
        <v>0</v>
      </c>
      <c r="V616" s="1850">
        <f t="shared" si="210"/>
        <v>0</v>
      </c>
      <c r="W616" s="1850">
        <f t="shared" si="210"/>
        <v>0</v>
      </c>
      <c r="X616" s="1850">
        <f t="shared" si="210"/>
        <v>0</v>
      </c>
      <c r="Y616" s="1850">
        <f t="shared" si="210"/>
        <v>0</v>
      </c>
      <c r="Z616" s="1850">
        <f t="shared" si="191"/>
        <v>0</v>
      </c>
      <c r="AA616" s="2733"/>
    </row>
    <row r="617" spans="1:27" ht="18.75" x14ac:dyDescent="0.25">
      <c r="A617" s="2456"/>
      <c r="B617" s="1849">
        <v>2036</v>
      </c>
      <c r="C617" s="218">
        <f t="shared" si="203"/>
        <v>0</v>
      </c>
      <c r="D617" s="221">
        <f t="shared" si="211"/>
        <v>0</v>
      </c>
      <c r="E617" s="221">
        <f t="shared" si="212"/>
        <v>0</v>
      </c>
      <c r="F617" s="218">
        <f t="shared" si="204"/>
        <v>0</v>
      </c>
      <c r="G617" s="218">
        <f t="shared" si="205"/>
        <v>0</v>
      </c>
      <c r="H617" s="218">
        <f t="shared" si="206"/>
        <v>0</v>
      </c>
      <c r="I617" s="218">
        <f t="shared" si="207"/>
        <v>0</v>
      </c>
      <c r="J617" s="218">
        <f t="shared" si="208"/>
        <v>0</v>
      </c>
      <c r="K617" s="218">
        <f t="shared" si="209"/>
        <v>0</v>
      </c>
      <c r="L617" s="192">
        <f t="shared" si="213"/>
        <v>0</v>
      </c>
      <c r="M617" s="211">
        <v>81</v>
      </c>
      <c r="N617" s="211">
        <f>(29.53*1.02)*0.7142*1.0824</f>
        <v>23.284732239648001</v>
      </c>
      <c r="O617" s="211">
        <f>(42.96*1.02)*0.7142*1.0824</f>
        <v>33.874436065536003</v>
      </c>
      <c r="P617" s="211">
        <f>(16.43*1.02)*0.7142*1.0824</f>
        <v>12.955237070688</v>
      </c>
      <c r="Q617" s="211">
        <f>(12.76*1.02)*0.7142*1.0824</f>
        <v>10.061401401215999</v>
      </c>
      <c r="R617" s="211">
        <f>(1.27*1.02)*0.7142*1.0824</f>
        <v>1.001409073632</v>
      </c>
      <c r="S617" s="211">
        <f>(0.0584*1.02)*0.7142*1.0824</f>
        <v>4.6049047165439998E-2</v>
      </c>
      <c r="T617" s="1850">
        <f t="shared" si="214"/>
        <v>0</v>
      </c>
      <c r="U617" s="1850">
        <f t="shared" si="210"/>
        <v>0</v>
      </c>
      <c r="V617" s="1850">
        <f t="shared" si="210"/>
        <v>0</v>
      </c>
      <c r="W617" s="1850">
        <f t="shared" si="210"/>
        <v>0</v>
      </c>
      <c r="X617" s="1850">
        <f t="shared" si="210"/>
        <v>0</v>
      </c>
      <c r="Y617" s="1850">
        <f t="shared" si="210"/>
        <v>0</v>
      </c>
      <c r="Z617" s="1850">
        <f t="shared" si="191"/>
        <v>0</v>
      </c>
      <c r="AA617" s="2733"/>
    </row>
    <row r="618" spans="1:27" ht="18.75" x14ac:dyDescent="0.25">
      <c r="A618" s="2456"/>
      <c r="B618" s="1849">
        <v>2037</v>
      </c>
      <c r="C618" s="218">
        <f t="shared" si="203"/>
        <v>0</v>
      </c>
      <c r="D618" s="221">
        <f t="shared" si="211"/>
        <v>0</v>
      </c>
      <c r="E618" s="221">
        <f t="shared" si="212"/>
        <v>0</v>
      </c>
      <c r="F618" s="218">
        <f t="shared" si="204"/>
        <v>0</v>
      </c>
      <c r="G618" s="218">
        <f t="shared" si="205"/>
        <v>0</v>
      </c>
      <c r="H618" s="218">
        <f t="shared" si="206"/>
        <v>0</v>
      </c>
      <c r="I618" s="218">
        <f t="shared" si="207"/>
        <v>0</v>
      </c>
      <c r="J618" s="218">
        <f t="shared" si="208"/>
        <v>0</v>
      </c>
      <c r="K618" s="218">
        <f t="shared" si="209"/>
        <v>0</v>
      </c>
      <c r="L618" s="192">
        <f t="shared" si="213"/>
        <v>0</v>
      </c>
      <c r="M618" s="211">
        <v>83</v>
      </c>
      <c r="N618" s="211">
        <f>(29.53*1.02)*0.7002*1.0824</f>
        <v>22.828296715488005</v>
      </c>
      <c r="O618" s="211">
        <f>(42.96*1.02)*0.7002*1.0824</f>
        <v>33.210417436416002</v>
      </c>
      <c r="P618" s="211">
        <f>(16.43*1.02)*0.7002*1.0824</f>
        <v>12.701283949728003</v>
      </c>
      <c r="Q618" s="211">
        <f>(12.76*1.02)*0.7002*1.0824</f>
        <v>9.8641742664960006</v>
      </c>
      <c r="R618" s="211">
        <f>(1.27*1.02)*0.7002*1.0824</f>
        <v>0.9817791001920001</v>
      </c>
      <c r="S618" s="211">
        <f>(0.0584*1.02)*0.7002*1.0824</f>
        <v>4.5146377520640005E-2</v>
      </c>
      <c r="T618" s="1850">
        <f t="shared" si="214"/>
        <v>0</v>
      </c>
      <c r="U618" s="1850">
        <f t="shared" si="210"/>
        <v>0</v>
      </c>
      <c r="V618" s="1850">
        <f t="shared" si="210"/>
        <v>0</v>
      </c>
      <c r="W618" s="1850">
        <f t="shared" si="210"/>
        <v>0</v>
      </c>
      <c r="X618" s="1850">
        <f t="shared" si="210"/>
        <v>0</v>
      </c>
      <c r="Y618" s="1850">
        <f t="shared" si="210"/>
        <v>0</v>
      </c>
      <c r="Z618" s="1850">
        <f t="shared" si="191"/>
        <v>0</v>
      </c>
      <c r="AA618" s="2733"/>
    </row>
    <row r="619" spans="1:27" ht="18.75" x14ac:dyDescent="0.25">
      <c r="A619" s="2456"/>
      <c r="B619" s="1849">
        <v>2038</v>
      </c>
      <c r="C619" s="218">
        <f t="shared" si="203"/>
        <v>0</v>
      </c>
      <c r="D619" s="221">
        <f t="shared" si="211"/>
        <v>0</v>
      </c>
      <c r="E619" s="221">
        <f t="shared" si="212"/>
        <v>0</v>
      </c>
      <c r="F619" s="218">
        <f t="shared" si="204"/>
        <v>0</v>
      </c>
      <c r="G619" s="218">
        <f t="shared" si="205"/>
        <v>0</v>
      </c>
      <c r="H619" s="218">
        <f t="shared" si="206"/>
        <v>0</v>
      </c>
      <c r="I619" s="218">
        <f t="shared" si="207"/>
        <v>0</v>
      </c>
      <c r="J619" s="218">
        <f t="shared" si="208"/>
        <v>0</v>
      </c>
      <c r="K619" s="218">
        <f t="shared" si="209"/>
        <v>0</v>
      </c>
      <c r="L619" s="192">
        <f t="shared" si="213"/>
        <v>0</v>
      </c>
      <c r="M619" s="211">
        <v>84</v>
      </c>
      <c r="N619" s="211">
        <f>(29.53*1.02)*0.6864*1.0824</f>
        <v>22.378381698816003</v>
      </c>
      <c r="O619" s="211">
        <f>(42.96*1.02)*0.6864*1.0824</f>
        <v>32.555884787712003</v>
      </c>
      <c r="P619" s="211">
        <f>(16.43*1.02)*0.6864*1.0824</f>
        <v>12.450958730496001</v>
      </c>
      <c r="Q619" s="211">
        <f>(12.76*1.02)*0.6864*1.0824</f>
        <v>9.6697646622720015</v>
      </c>
      <c r="R619" s="211">
        <f>(1.27*1.02)*0.6864*1.0824</f>
        <v>0.96242955494400007</v>
      </c>
      <c r="S619" s="211">
        <f>(0.0584*1.02)*0.6864*1.0824</f>
        <v>4.4256603156480001E-2</v>
      </c>
      <c r="T619" s="1850">
        <f t="shared" si="214"/>
        <v>0</v>
      </c>
      <c r="U619" s="1850">
        <f t="shared" si="210"/>
        <v>0</v>
      </c>
      <c r="V619" s="1850">
        <f t="shared" si="210"/>
        <v>0</v>
      </c>
      <c r="W619" s="1850">
        <f t="shared" si="210"/>
        <v>0</v>
      </c>
      <c r="X619" s="1850">
        <f t="shared" si="210"/>
        <v>0</v>
      </c>
      <c r="Y619" s="1850">
        <f t="shared" si="210"/>
        <v>0</v>
      </c>
      <c r="Z619" s="1850">
        <f t="shared" si="191"/>
        <v>0</v>
      </c>
      <c r="AA619" s="2733"/>
    </row>
    <row r="620" spans="1:27" ht="18.75" x14ac:dyDescent="0.25">
      <c r="A620" s="2456"/>
      <c r="B620" s="1849">
        <v>2039</v>
      </c>
      <c r="C620" s="218">
        <f t="shared" si="203"/>
        <v>0</v>
      </c>
      <c r="D620" s="221">
        <f t="shared" si="211"/>
        <v>0</v>
      </c>
      <c r="E620" s="221">
        <f t="shared" si="212"/>
        <v>0</v>
      </c>
      <c r="F620" s="218">
        <f t="shared" si="204"/>
        <v>0</v>
      </c>
      <c r="G620" s="218">
        <f t="shared" si="205"/>
        <v>0</v>
      </c>
      <c r="H620" s="218">
        <f t="shared" si="206"/>
        <v>0</v>
      </c>
      <c r="I620" s="218">
        <f t="shared" si="207"/>
        <v>0</v>
      </c>
      <c r="J620" s="218">
        <f t="shared" si="208"/>
        <v>0</v>
      </c>
      <c r="K620" s="218">
        <f t="shared" si="209"/>
        <v>0</v>
      </c>
      <c r="L620" s="192">
        <f t="shared" si="213"/>
        <v>0</v>
      </c>
      <c r="M620" s="211">
        <v>85</v>
      </c>
      <c r="N620" s="211">
        <f>(29.53*1.02)*0.673*1.0824</f>
        <v>21.941507697120006</v>
      </c>
      <c r="O620" s="211">
        <f>(42.96*1.02)*0.673*1.0824</f>
        <v>31.920324099840006</v>
      </c>
      <c r="P620" s="211">
        <f>(16.43*1.02)*0.673*1.0824</f>
        <v>12.207889314720003</v>
      </c>
      <c r="Q620" s="211">
        <f>(12.76*1.02)*0.673*1.0824</f>
        <v>9.4809901190400012</v>
      </c>
      <c r="R620" s="211">
        <f>(1.27*1.02)*0.673*1.0824</f>
        <v>0.9436408660800002</v>
      </c>
      <c r="S620" s="211">
        <f>(0.0584*1.02)*0.673*1.0824</f>
        <v>4.3392619353600011E-2</v>
      </c>
      <c r="T620" s="1850">
        <f t="shared" si="214"/>
        <v>0</v>
      </c>
      <c r="U620" s="1850">
        <f t="shared" si="210"/>
        <v>0</v>
      </c>
      <c r="V620" s="1850">
        <f t="shared" si="210"/>
        <v>0</v>
      </c>
      <c r="W620" s="1850">
        <f t="shared" si="210"/>
        <v>0</v>
      </c>
      <c r="X620" s="1850">
        <f t="shared" si="210"/>
        <v>0</v>
      </c>
      <c r="Y620" s="1850">
        <f t="shared" si="210"/>
        <v>0</v>
      </c>
      <c r="Z620" s="1850">
        <f t="shared" si="191"/>
        <v>0</v>
      </c>
      <c r="AA620" s="2733"/>
    </row>
    <row r="621" spans="1:27" ht="18.75" x14ac:dyDescent="0.25">
      <c r="A621" s="2456"/>
      <c r="B621" s="1849">
        <v>2040</v>
      </c>
      <c r="C621" s="218">
        <f t="shared" si="203"/>
        <v>0</v>
      </c>
      <c r="D621" s="221">
        <f t="shared" si="211"/>
        <v>0</v>
      </c>
      <c r="E621" s="221">
        <f t="shared" si="212"/>
        <v>0</v>
      </c>
      <c r="F621" s="218">
        <f t="shared" si="204"/>
        <v>0</v>
      </c>
      <c r="G621" s="218">
        <f t="shared" si="205"/>
        <v>0</v>
      </c>
      <c r="H621" s="218">
        <f t="shared" si="206"/>
        <v>0</v>
      </c>
      <c r="I621" s="218">
        <f t="shared" si="207"/>
        <v>0</v>
      </c>
      <c r="J621" s="218">
        <f t="shared" si="208"/>
        <v>0</v>
      </c>
      <c r="K621" s="218">
        <f t="shared" si="209"/>
        <v>0</v>
      </c>
      <c r="L621" s="192">
        <f t="shared" si="213"/>
        <v>0</v>
      </c>
      <c r="M621" s="211">
        <v>86</v>
      </c>
      <c r="N621" s="211">
        <f>(29.53*1.02)*0.6598*1.0824</f>
        <v>21.511154202912003</v>
      </c>
      <c r="O621" s="211">
        <f>(42.96*1.02)*0.6598*1.0824</f>
        <v>31.294249392384003</v>
      </c>
      <c r="P621" s="211">
        <f>(16.43*1.02)*0.6598*1.0824</f>
        <v>11.968447800672001</v>
      </c>
      <c r="Q621" s="211">
        <f>(12.76*1.02)*0.6598*1.0824</f>
        <v>9.2950331063040004</v>
      </c>
      <c r="R621" s="211">
        <f>(1.27*1.02)*0.6598*1.0824</f>
        <v>0.92513260540800013</v>
      </c>
      <c r="S621" s="211">
        <f>(0.0584*1.02)*0.6598*1.0824</f>
        <v>4.254153083136001E-2</v>
      </c>
      <c r="T621" s="1850">
        <f t="shared" si="214"/>
        <v>0</v>
      </c>
      <c r="U621" s="1850">
        <f t="shared" si="210"/>
        <v>0</v>
      </c>
      <c r="V621" s="1850">
        <f t="shared" si="210"/>
        <v>0</v>
      </c>
      <c r="W621" s="1850">
        <f t="shared" si="210"/>
        <v>0</v>
      </c>
      <c r="X621" s="1850">
        <f t="shared" si="210"/>
        <v>0</v>
      </c>
      <c r="Y621" s="1850">
        <f t="shared" si="210"/>
        <v>0</v>
      </c>
      <c r="Z621" s="1850">
        <f t="shared" si="191"/>
        <v>0</v>
      </c>
      <c r="AA621" s="2733"/>
    </row>
    <row r="622" spans="1:27" ht="18.75" x14ac:dyDescent="0.25">
      <c r="A622" s="2456"/>
      <c r="B622" s="1849">
        <v>2041</v>
      </c>
      <c r="C622" s="218">
        <f t="shared" si="203"/>
        <v>0</v>
      </c>
      <c r="D622" s="221">
        <f t="shared" si="211"/>
        <v>0</v>
      </c>
      <c r="E622" s="221">
        <f t="shared" si="212"/>
        <v>0</v>
      </c>
      <c r="F622" s="218">
        <f t="shared" si="204"/>
        <v>0</v>
      </c>
      <c r="G622" s="218">
        <f t="shared" si="205"/>
        <v>0</v>
      </c>
      <c r="H622" s="218">
        <f t="shared" si="206"/>
        <v>0</v>
      </c>
      <c r="I622" s="218">
        <f t="shared" si="207"/>
        <v>0</v>
      </c>
      <c r="J622" s="218">
        <f t="shared" si="208"/>
        <v>0</v>
      </c>
      <c r="K622" s="218">
        <f t="shared" si="209"/>
        <v>0</v>
      </c>
      <c r="L622" s="192">
        <f t="shared" si="213"/>
        <v>0</v>
      </c>
      <c r="M622" s="211">
        <v>87</v>
      </c>
      <c r="N622" s="211">
        <f>(29.53*1.02)*0.6468*1.0824</f>
        <v>21.087321216192002</v>
      </c>
      <c r="O622" s="211">
        <f>(42.96*1.02)*0.6468*1.0824</f>
        <v>30.677660665344007</v>
      </c>
      <c r="P622" s="211">
        <f>(16.43*1.02)*0.6468*1.0824</f>
        <v>11.732634188352002</v>
      </c>
      <c r="Q622" s="211">
        <f>(12.76*1.02)*0.6468*1.0824</f>
        <v>9.1118936240640007</v>
      </c>
      <c r="R622" s="211">
        <f>(1.27*1.02)*0.6468*1.0824</f>
        <v>0.9069047729280002</v>
      </c>
      <c r="S622" s="211">
        <f>(0.0584*1.02)*0.6468*1.0824</f>
        <v>4.1703337589760005E-2</v>
      </c>
      <c r="T622" s="1850">
        <f t="shared" si="214"/>
        <v>0</v>
      </c>
      <c r="U622" s="1850">
        <f t="shared" si="210"/>
        <v>0</v>
      </c>
      <c r="V622" s="1850">
        <f t="shared" si="210"/>
        <v>0</v>
      </c>
      <c r="W622" s="1850">
        <f t="shared" si="210"/>
        <v>0</v>
      </c>
      <c r="X622" s="1850">
        <f t="shared" si="210"/>
        <v>0</v>
      </c>
      <c r="Y622" s="1850">
        <f t="shared" si="210"/>
        <v>0</v>
      </c>
      <c r="Z622" s="1850">
        <f t="shared" si="191"/>
        <v>0</v>
      </c>
      <c r="AA622" s="2733"/>
    </row>
    <row r="623" spans="1:27" ht="18.75" x14ac:dyDescent="0.25">
      <c r="A623" s="2456"/>
      <c r="B623" s="1849">
        <v>2042</v>
      </c>
      <c r="C623" s="218">
        <f t="shared" si="203"/>
        <v>0</v>
      </c>
      <c r="D623" s="221">
        <f t="shared" si="211"/>
        <v>0</v>
      </c>
      <c r="E623" s="221">
        <f t="shared" si="212"/>
        <v>0</v>
      </c>
      <c r="F623" s="218">
        <f t="shared" si="204"/>
        <v>0</v>
      </c>
      <c r="G623" s="218">
        <f t="shared" si="205"/>
        <v>0</v>
      </c>
      <c r="H623" s="218">
        <f t="shared" si="206"/>
        <v>0</v>
      </c>
      <c r="I623" s="218">
        <f t="shared" si="207"/>
        <v>0</v>
      </c>
      <c r="J623" s="218">
        <f t="shared" si="208"/>
        <v>0</v>
      </c>
      <c r="K623" s="218">
        <f t="shared" si="209"/>
        <v>0</v>
      </c>
      <c r="L623" s="192">
        <f t="shared" si="213"/>
        <v>0</v>
      </c>
      <c r="M623" s="211">
        <v>88</v>
      </c>
      <c r="N623" s="211">
        <f>(29.53*1.02)*0.6342*1.0824</f>
        <v>20.676529244448002</v>
      </c>
      <c r="O623" s="211">
        <f>(42.96*1.02)*0.6342*1.0824</f>
        <v>30.080043899136001</v>
      </c>
      <c r="P623" s="211">
        <f>(16.43*1.02)*0.6342*1.0824</f>
        <v>11.504076379488001</v>
      </c>
      <c r="Q623" s="211">
        <f>(12.76*1.02)*0.6342*1.0824</f>
        <v>8.9343892028159999</v>
      </c>
      <c r="R623" s="211">
        <f>(1.27*1.02)*0.6342*1.0824</f>
        <v>0.8892377968320001</v>
      </c>
      <c r="S623" s="211">
        <f>(0.0584*1.02)*0.6342*1.0824</f>
        <v>4.0890934909439999E-2</v>
      </c>
      <c r="T623" s="1850">
        <f t="shared" si="214"/>
        <v>0</v>
      </c>
      <c r="U623" s="1850">
        <f t="shared" si="210"/>
        <v>0</v>
      </c>
      <c r="V623" s="1850">
        <f t="shared" si="210"/>
        <v>0</v>
      </c>
      <c r="W623" s="1850">
        <f t="shared" si="210"/>
        <v>0</v>
      </c>
      <c r="X623" s="1850">
        <f t="shared" si="210"/>
        <v>0</v>
      </c>
      <c r="Y623" s="1850">
        <f t="shared" si="210"/>
        <v>0</v>
      </c>
      <c r="Z623" s="1850">
        <f t="shared" si="191"/>
        <v>0</v>
      </c>
      <c r="AA623" s="2733"/>
    </row>
    <row r="624" spans="1:27" ht="18.75" x14ac:dyDescent="0.25">
      <c r="A624" s="2456"/>
      <c r="B624" s="1849">
        <v>2043</v>
      </c>
      <c r="C624" s="218">
        <f t="shared" si="203"/>
        <v>0</v>
      </c>
      <c r="D624" s="221">
        <f t="shared" si="211"/>
        <v>0</v>
      </c>
      <c r="E624" s="221">
        <f t="shared" si="212"/>
        <v>0</v>
      </c>
      <c r="F624" s="218">
        <f t="shared" si="204"/>
        <v>0</v>
      </c>
      <c r="G624" s="218">
        <f t="shared" si="205"/>
        <v>0</v>
      </c>
      <c r="H624" s="218">
        <f t="shared" si="206"/>
        <v>0</v>
      </c>
      <c r="I624" s="218">
        <f t="shared" si="207"/>
        <v>0</v>
      </c>
      <c r="J624" s="218">
        <f t="shared" si="208"/>
        <v>0</v>
      </c>
      <c r="K624" s="218">
        <f t="shared" si="209"/>
        <v>0</v>
      </c>
      <c r="L624" s="192">
        <f t="shared" si="213"/>
        <v>0</v>
      </c>
      <c r="M624" s="211">
        <v>89</v>
      </c>
      <c r="N624" s="211">
        <f>(29.53*1.02)*0.6217*1.0824</f>
        <v>20.268997526448004</v>
      </c>
      <c r="O624" s="211">
        <f>(42.96*1.02)*0.6217*1.0824</f>
        <v>29.487170123136003</v>
      </c>
      <c r="P624" s="211">
        <f>(16.43*1.02)*0.6217*1.0824</f>
        <v>11.277332521488001</v>
      </c>
      <c r="Q624" s="211">
        <f>(12.76*1.02)*0.6217*1.0824</f>
        <v>8.7582935468160006</v>
      </c>
      <c r="R624" s="211">
        <f>(1.27*1.02)*0.6217*1.0824</f>
        <v>0.87171103483200019</v>
      </c>
      <c r="S624" s="211">
        <f>(0.0584*1.02)*0.6217*1.0824</f>
        <v>4.0084979869440006E-2</v>
      </c>
      <c r="T624" s="1850">
        <f t="shared" si="214"/>
        <v>0</v>
      </c>
      <c r="U624" s="1850">
        <f t="shared" si="210"/>
        <v>0</v>
      </c>
      <c r="V624" s="1850">
        <f t="shared" si="210"/>
        <v>0</v>
      </c>
      <c r="W624" s="1850">
        <f t="shared" si="210"/>
        <v>0</v>
      </c>
      <c r="X624" s="1850">
        <f t="shared" si="210"/>
        <v>0</v>
      </c>
      <c r="Y624" s="1850">
        <f t="shared" si="210"/>
        <v>0</v>
      </c>
      <c r="Z624" s="1850">
        <f t="shared" si="191"/>
        <v>0</v>
      </c>
      <c r="AA624" s="2733"/>
    </row>
    <row r="625" spans="1:27" ht="18.75" x14ac:dyDescent="0.25">
      <c r="A625" s="2456"/>
      <c r="B625" s="1849">
        <v>2044</v>
      </c>
      <c r="C625" s="218">
        <f t="shared" si="203"/>
        <v>0</v>
      </c>
      <c r="D625" s="221">
        <f t="shared" si="211"/>
        <v>0</v>
      </c>
      <c r="E625" s="221">
        <f t="shared" si="212"/>
        <v>0</v>
      </c>
      <c r="F625" s="218">
        <f t="shared" si="204"/>
        <v>0</v>
      </c>
      <c r="G625" s="218">
        <f t="shared" si="205"/>
        <v>0</v>
      </c>
      <c r="H625" s="218">
        <f t="shared" si="206"/>
        <v>0</v>
      </c>
      <c r="I625" s="218">
        <f t="shared" si="207"/>
        <v>0</v>
      </c>
      <c r="J625" s="218">
        <f t="shared" si="208"/>
        <v>0</v>
      </c>
      <c r="K625" s="218">
        <f t="shared" si="209"/>
        <v>0</v>
      </c>
      <c r="L625" s="192">
        <f t="shared" si="213"/>
        <v>0</v>
      </c>
      <c r="M625" s="211">
        <v>90</v>
      </c>
      <c r="N625" s="211">
        <f>(29.53*1.02)*0.6095*1.0824</f>
        <v>19.871246569680004</v>
      </c>
      <c r="O625" s="211">
        <f>(42.96*1.02)*0.6095*1.0824</f>
        <v>28.908525317760002</v>
      </c>
      <c r="P625" s="211">
        <f>(16.43*1.02)*0.6095*1.0824</f>
        <v>11.056030516080002</v>
      </c>
      <c r="Q625" s="211">
        <f>(12.76*1.02)*0.6095*1.0824</f>
        <v>8.5864241865600004</v>
      </c>
      <c r="R625" s="211">
        <f>(1.27*1.02)*0.6095*1.0824</f>
        <v>0.85460491512000014</v>
      </c>
      <c r="S625" s="211">
        <f>(0.0584*1.02)*0.6095*1.0824</f>
        <v>3.9298367750400007E-2</v>
      </c>
      <c r="T625" s="1850">
        <f t="shared" si="214"/>
        <v>0</v>
      </c>
      <c r="U625" s="1850">
        <f t="shared" si="210"/>
        <v>0</v>
      </c>
      <c r="V625" s="1850">
        <f t="shared" si="210"/>
        <v>0</v>
      </c>
      <c r="W625" s="1850">
        <f t="shared" si="210"/>
        <v>0</v>
      </c>
      <c r="X625" s="1850">
        <f t="shared" si="210"/>
        <v>0</v>
      </c>
      <c r="Y625" s="1850">
        <f t="shared" si="210"/>
        <v>0</v>
      </c>
      <c r="Z625" s="1850">
        <f t="shared" si="191"/>
        <v>0</v>
      </c>
      <c r="AA625" s="2733"/>
    </row>
    <row r="626" spans="1:27" ht="18.75" x14ac:dyDescent="0.25">
      <c r="A626" s="2456"/>
      <c r="B626" s="1849">
        <v>2045</v>
      </c>
      <c r="C626" s="218">
        <f t="shared" si="203"/>
        <v>0</v>
      </c>
      <c r="D626" s="221">
        <f t="shared" si="211"/>
        <v>0</v>
      </c>
      <c r="E626" s="221">
        <f t="shared" si="212"/>
        <v>0</v>
      </c>
      <c r="F626" s="218">
        <f t="shared" si="204"/>
        <v>0</v>
      </c>
      <c r="G626" s="218">
        <f t="shared" si="205"/>
        <v>0</v>
      </c>
      <c r="H626" s="218">
        <f t="shared" si="206"/>
        <v>0</v>
      </c>
      <c r="I626" s="218">
        <f t="shared" si="207"/>
        <v>0</v>
      </c>
      <c r="J626" s="218">
        <f t="shared" si="208"/>
        <v>0</v>
      </c>
      <c r="K626" s="218">
        <f t="shared" si="209"/>
        <v>0</v>
      </c>
      <c r="L626" s="192">
        <f t="shared" si="213"/>
        <v>0</v>
      </c>
      <c r="M626" s="211">
        <v>92</v>
      </c>
      <c r="N626" s="211">
        <f>(29.53*1.02)*0.5976*1.0824</f>
        <v>19.483276374144001</v>
      </c>
      <c r="O626" s="211">
        <f>(42.96*1.02)*0.5976*1.0824</f>
        <v>28.344109483008001</v>
      </c>
      <c r="P626" s="211">
        <f>(16.43*1.02)*0.5976*1.0824</f>
        <v>10.840170363264003</v>
      </c>
      <c r="Q626" s="211">
        <f>(12.76*1.02)*0.5976*1.0824</f>
        <v>8.4187811220480011</v>
      </c>
      <c r="R626" s="211">
        <f>(1.27*1.02)*0.5976*1.0824</f>
        <v>0.83791943769600008</v>
      </c>
      <c r="S626" s="211">
        <f>(0.0584*1.02)*0.5976*1.0824</f>
        <v>3.8531098552320009E-2</v>
      </c>
      <c r="T626" s="1850">
        <f t="shared" si="214"/>
        <v>0</v>
      </c>
      <c r="U626" s="1850">
        <f t="shared" si="210"/>
        <v>0</v>
      </c>
      <c r="V626" s="1850">
        <f t="shared" si="210"/>
        <v>0</v>
      </c>
      <c r="W626" s="1850">
        <f t="shared" si="210"/>
        <v>0</v>
      </c>
      <c r="X626" s="1850">
        <f t="shared" si="210"/>
        <v>0</v>
      </c>
      <c r="Y626" s="1850">
        <f t="shared" si="210"/>
        <v>0</v>
      </c>
      <c r="Z626" s="1850">
        <f t="shared" si="191"/>
        <v>0</v>
      </c>
      <c r="AA626" s="2733"/>
    </row>
    <row r="627" spans="1:27" ht="18.75" x14ac:dyDescent="0.25">
      <c r="A627" s="2456"/>
      <c r="B627" s="1849">
        <v>2046</v>
      </c>
      <c r="C627" s="218">
        <f t="shared" si="203"/>
        <v>0</v>
      </c>
      <c r="D627" s="221">
        <f t="shared" si="211"/>
        <v>0</v>
      </c>
      <c r="E627" s="221">
        <f t="shared" si="212"/>
        <v>0</v>
      </c>
      <c r="F627" s="218">
        <f t="shared" si="204"/>
        <v>0</v>
      </c>
      <c r="G627" s="218">
        <f t="shared" si="205"/>
        <v>0</v>
      </c>
      <c r="H627" s="218">
        <f t="shared" si="206"/>
        <v>0</v>
      </c>
      <c r="I627" s="218">
        <f t="shared" si="207"/>
        <v>0</v>
      </c>
      <c r="J627" s="218">
        <f t="shared" si="208"/>
        <v>0</v>
      </c>
      <c r="K627" s="218">
        <f t="shared" si="209"/>
        <v>0</v>
      </c>
      <c r="L627" s="192">
        <f t="shared" si="213"/>
        <v>0</v>
      </c>
      <c r="M627" s="211">
        <v>93</v>
      </c>
      <c r="N627" s="211">
        <f>(29.53*1.02)*0.5859*1.0824</f>
        <v>19.101826686096</v>
      </c>
      <c r="O627" s="211">
        <f>(42.96*1.02)*0.5859*1.0824</f>
        <v>27.789179628671999</v>
      </c>
      <c r="P627" s="211">
        <f>(16.43*1.02)*0.5859*1.0824</f>
        <v>10.627938112176002</v>
      </c>
      <c r="Q627" s="211">
        <f>(12.76*1.02)*0.5859*1.0824</f>
        <v>8.2539555880319995</v>
      </c>
      <c r="R627" s="211">
        <f>(1.27*1.02)*0.5859*1.0824</f>
        <v>0.82151438846400004</v>
      </c>
      <c r="S627" s="211">
        <f>(0.0584*1.02)*0.5859*1.0824</f>
        <v>3.777672463488E-2</v>
      </c>
      <c r="T627" s="1850">
        <f t="shared" si="214"/>
        <v>0</v>
      </c>
      <c r="U627" s="1850">
        <f t="shared" si="210"/>
        <v>0</v>
      </c>
      <c r="V627" s="1850">
        <f t="shared" si="210"/>
        <v>0</v>
      </c>
      <c r="W627" s="1850">
        <f t="shared" si="210"/>
        <v>0</v>
      </c>
      <c r="X627" s="1850">
        <f t="shared" si="210"/>
        <v>0</v>
      </c>
      <c r="Y627" s="1850">
        <f t="shared" si="210"/>
        <v>0</v>
      </c>
      <c r="Z627" s="1850">
        <f t="shared" si="191"/>
        <v>0</v>
      </c>
      <c r="AA627" s="2733"/>
    </row>
    <row r="628" spans="1:27" ht="18.75" x14ac:dyDescent="0.25">
      <c r="A628" s="2456"/>
      <c r="B628" s="1849">
        <v>2047</v>
      </c>
      <c r="C628" s="218">
        <f t="shared" si="203"/>
        <v>0</v>
      </c>
      <c r="D628" s="221">
        <f t="shared" si="211"/>
        <v>0</v>
      </c>
      <c r="E628" s="221">
        <f t="shared" si="212"/>
        <v>0</v>
      </c>
      <c r="F628" s="218">
        <f t="shared" si="204"/>
        <v>0</v>
      </c>
      <c r="G628" s="218">
        <f t="shared" si="205"/>
        <v>0</v>
      </c>
      <c r="H628" s="218">
        <f t="shared" si="206"/>
        <v>0</v>
      </c>
      <c r="I628" s="218">
        <f t="shared" si="207"/>
        <v>0</v>
      </c>
      <c r="J628" s="218">
        <f t="shared" si="208"/>
        <v>0</v>
      </c>
      <c r="K628" s="218">
        <f t="shared" si="209"/>
        <v>0</v>
      </c>
      <c r="L628" s="192">
        <f t="shared" si="213"/>
        <v>0</v>
      </c>
      <c r="M628" s="211">
        <v>94</v>
      </c>
      <c r="N628" s="211">
        <f>(29.53*1.02)*0.5744*1.0824</f>
        <v>18.726897505536005</v>
      </c>
      <c r="O628" s="211">
        <f>(42.96*1.02)*0.5744*1.0824</f>
        <v>27.243735754752002</v>
      </c>
      <c r="P628" s="211">
        <f>(16.43*1.02)*0.5744*1.0824</f>
        <v>10.419333762816001</v>
      </c>
      <c r="Q628" s="211">
        <f>(12.76*1.02)*0.5744*1.0824</f>
        <v>8.0919475845120008</v>
      </c>
      <c r="R628" s="211">
        <f>(1.27*1.02)*0.5744*1.0824</f>
        <v>0.80538976742400015</v>
      </c>
      <c r="S628" s="211">
        <f>(0.0584*1.02)*0.5744*1.0824</f>
        <v>3.7035245998080002E-2</v>
      </c>
      <c r="T628" s="1850">
        <f t="shared" si="214"/>
        <v>0</v>
      </c>
      <c r="U628" s="1850">
        <f t="shared" si="210"/>
        <v>0</v>
      </c>
      <c r="V628" s="1850">
        <f t="shared" si="210"/>
        <v>0</v>
      </c>
      <c r="W628" s="1850">
        <f t="shared" si="210"/>
        <v>0</v>
      </c>
      <c r="X628" s="1850">
        <f t="shared" si="210"/>
        <v>0</v>
      </c>
      <c r="Y628" s="1850">
        <f t="shared" si="210"/>
        <v>0</v>
      </c>
      <c r="Z628" s="1850">
        <f t="shared" si="191"/>
        <v>0</v>
      </c>
      <c r="AA628" s="2733"/>
    </row>
    <row r="629" spans="1:27" ht="18.75" x14ac:dyDescent="0.25">
      <c r="A629" s="2456"/>
      <c r="B629" s="1849">
        <v>2048</v>
      </c>
      <c r="C629" s="218">
        <f t="shared" si="203"/>
        <v>0</v>
      </c>
      <c r="D629" s="221">
        <f t="shared" si="211"/>
        <v>0</v>
      </c>
      <c r="E629" s="221">
        <f t="shared" si="212"/>
        <v>0</v>
      </c>
      <c r="F629" s="218">
        <f t="shared" si="204"/>
        <v>0</v>
      </c>
      <c r="G629" s="218">
        <f t="shared" si="205"/>
        <v>0</v>
      </c>
      <c r="H629" s="218">
        <f t="shared" si="206"/>
        <v>0</v>
      </c>
      <c r="I629" s="218">
        <f t="shared" si="207"/>
        <v>0</v>
      </c>
      <c r="J629" s="218">
        <f t="shared" si="208"/>
        <v>0</v>
      </c>
      <c r="K629" s="218">
        <f t="shared" si="209"/>
        <v>0</v>
      </c>
      <c r="L629" s="192">
        <f t="shared" si="213"/>
        <v>0</v>
      </c>
      <c r="M629" s="211">
        <v>95</v>
      </c>
      <c r="N629" s="211">
        <f>(29.53*1.02)*0.5631*1.0824</f>
        <v>18.358488832464005</v>
      </c>
      <c r="O629" s="211">
        <f>(42.96*1.02)*0.5631*1.0824</f>
        <v>26.707777861248005</v>
      </c>
      <c r="P629" s="211">
        <f>(16.43*1.02)*0.5631*1.0824</f>
        <v>10.214357315184001</v>
      </c>
      <c r="Q629" s="211">
        <f>(12.76*1.02)*0.5631*1.0824</f>
        <v>7.9327571114880007</v>
      </c>
      <c r="R629" s="211">
        <f>(1.27*1.02)*0.5631*1.0824</f>
        <v>0.78954557457600016</v>
      </c>
      <c r="S629" s="211">
        <f>(0.0584*1.02)*0.5631*1.0824</f>
        <v>3.6306662641920007E-2</v>
      </c>
      <c r="T629" s="1850">
        <f t="shared" si="214"/>
        <v>0</v>
      </c>
      <c r="U629" s="1850">
        <f t="shared" si="210"/>
        <v>0</v>
      </c>
      <c r="V629" s="1850">
        <f t="shared" si="210"/>
        <v>0</v>
      </c>
      <c r="W629" s="1850">
        <f t="shared" si="210"/>
        <v>0</v>
      </c>
      <c r="X629" s="1850">
        <f t="shared" si="210"/>
        <v>0</v>
      </c>
      <c r="Y629" s="1850">
        <f t="shared" si="210"/>
        <v>0</v>
      </c>
      <c r="Z629" s="1850">
        <f t="shared" si="191"/>
        <v>0</v>
      </c>
      <c r="AA629" s="2733"/>
    </row>
    <row r="630" spans="1:27" ht="18.75" x14ac:dyDescent="0.25">
      <c r="A630" s="2456"/>
      <c r="B630" s="1849">
        <v>2049</v>
      </c>
      <c r="C630" s="218">
        <f t="shared" si="203"/>
        <v>0</v>
      </c>
      <c r="D630" s="221">
        <f t="shared" si="211"/>
        <v>0</v>
      </c>
      <c r="E630" s="221">
        <f t="shared" si="212"/>
        <v>0</v>
      </c>
      <c r="F630" s="218">
        <f t="shared" si="204"/>
        <v>0</v>
      </c>
      <c r="G630" s="218">
        <f t="shared" si="205"/>
        <v>0</v>
      </c>
      <c r="H630" s="218">
        <f t="shared" si="206"/>
        <v>0</v>
      </c>
      <c r="I630" s="218">
        <f t="shared" si="207"/>
        <v>0</v>
      </c>
      <c r="J630" s="218">
        <f t="shared" si="208"/>
        <v>0</v>
      </c>
      <c r="K630" s="218">
        <f t="shared" si="209"/>
        <v>0</v>
      </c>
      <c r="L630" s="192">
        <f t="shared" si="213"/>
        <v>0</v>
      </c>
      <c r="M630" s="211">
        <v>96</v>
      </c>
      <c r="N630" s="211">
        <f>(29.53*1.02)*0.5521*1.0824</f>
        <v>17.999860920624005</v>
      </c>
      <c r="O630" s="211">
        <f>(42.96*1.02)*0.5521*1.0824</f>
        <v>26.186048938368003</v>
      </c>
      <c r="P630" s="211">
        <f>(16.43*1.02)*0.5521*1.0824</f>
        <v>10.014822720144002</v>
      </c>
      <c r="Q630" s="211">
        <f>(12.76*1.02)*0.5521*1.0824</f>
        <v>7.7777929342080014</v>
      </c>
      <c r="R630" s="211">
        <f>(1.27*1.02)*0.5521*1.0824</f>
        <v>0.77412202401600017</v>
      </c>
      <c r="S630" s="211">
        <f>(0.0584*1.02)*0.5521*1.0824</f>
        <v>3.5597422206719999E-2</v>
      </c>
      <c r="T630" s="1850">
        <f t="shared" si="214"/>
        <v>0</v>
      </c>
      <c r="U630" s="1850">
        <f t="shared" si="210"/>
        <v>0</v>
      </c>
      <c r="V630" s="1850">
        <f t="shared" si="210"/>
        <v>0</v>
      </c>
      <c r="W630" s="1850">
        <f t="shared" si="210"/>
        <v>0</v>
      </c>
      <c r="X630" s="1850">
        <f t="shared" si="210"/>
        <v>0</v>
      </c>
      <c r="Y630" s="1850">
        <f t="shared" si="210"/>
        <v>0</v>
      </c>
      <c r="Z630" s="1850">
        <f t="shared" si="191"/>
        <v>0</v>
      </c>
      <c r="AA630" s="2733"/>
    </row>
    <row r="631" spans="1:27" ht="18.75" x14ac:dyDescent="0.25">
      <c r="A631" s="2456"/>
      <c r="B631" s="1849">
        <v>2050</v>
      </c>
      <c r="C631" s="218">
        <f t="shared" si="203"/>
        <v>0</v>
      </c>
      <c r="D631" s="221">
        <f t="shared" si="211"/>
        <v>0</v>
      </c>
      <c r="E631" s="221">
        <f t="shared" si="212"/>
        <v>0</v>
      </c>
      <c r="F631" s="218">
        <f t="shared" si="204"/>
        <v>0</v>
      </c>
      <c r="G631" s="218">
        <f t="shared" si="205"/>
        <v>0</v>
      </c>
      <c r="H631" s="218">
        <f t="shared" si="206"/>
        <v>0</v>
      </c>
      <c r="I631" s="218">
        <f t="shared" si="207"/>
        <v>0</v>
      </c>
      <c r="J631" s="218">
        <f t="shared" si="208"/>
        <v>0</v>
      </c>
      <c r="K631" s="218">
        <f t="shared" si="209"/>
        <v>0</v>
      </c>
      <c r="L631" s="192">
        <f t="shared" si="213"/>
        <v>0</v>
      </c>
      <c r="M631" s="211">
        <v>97</v>
      </c>
      <c r="N631" s="211">
        <f>(29.53*1.02)*0.5412*1.0824</f>
        <v>17.644493262528005</v>
      </c>
      <c r="O631" s="211">
        <f>(42.96*1.02)*0.5412*1.0824</f>
        <v>25.669063005696003</v>
      </c>
      <c r="P631" s="211">
        <f>(16.43*1.02)*0.5412*1.0824</f>
        <v>9.8171020759680019</v>
      </c>
      <c r="Q631" s="211">
        <f>(12.76*1.02)*0.5412*1.0824</f>
        <v>7.624237522176001</v>
      </c>
      <c r="R631" s="211">
        <f>(1.27*1.02)*0.5412*1.0824</f>
        <v>0.75883868755200012</v>
      </c>
      <c r="S631" s="211">
        <f>(0.0584*1.02)*0.5412*1.0824</f>
        <v>3.4894629411840003E-2</v>
      </c>
      <c r="T631" s="1850">
        <f t="shared" si="214"/>
        <v>0</v>
      </c>
      <c r="U631" s="1850">
        <f t="shared" si="210"/>
        <v>0</v>
      </c>
      <c r="V631" s="1850">
        <f t="shared" si="210"/>
        <v>0</v>
      </c>
      <c r="W631" s="1850">
        <f t="shared" si="210"/>
        <v>0</v>
      </c>
      <c r="X631" s="1850">
        <f t="shared" si="210"/>
        <v>0</v>
      </c>
      <c r="Y631" s="1850">
        <f t="shared" si="210"/>
        <v>0</v>
      </c>
      <c r="Z631" s="1850">
        <f t="shared" si="191"/>
        <v>0</v>
      </c>
      <c r="AA631" s="2733"/>
    </row>
    <row r="632" spans="1:27" ht="18.75" x14ac:dyDescent="0.25">
      <c r="A632" s="2456"/>
      <c r="B632" s="1849">
        <v>2051</v>
      </c>
      <c r="C632" s="218">
        <f t="shared" ref="C632:C650" si="215">$S$26</f>
        <v>0</v>
      </c>
      <c r="D632" s="221">
        <f t="shared" si="211"/>
        <v>0</v>
      </c>
      <c r="E632" s="221">
        <f t="shared" si="212"/>
        <v>0</v>
      </c>
      <c r="F632" s="218">
        <f t="shared" ref="F632:F650" si="216">$O$26</f>
        <v>0</v>
      </c>
      <c r="G632" s="218">
        <f t="shared" ref="G632:G650" si="217">$P$26</f>
        <v>0</v>
      </c>
      <c r="H632" s="218">
        <f t="shared" ref="H632:H650" si="218">$N$26</f>
        <v>0</v>
      </c>
      <c r="I632" s="218">
        <f t="shared" ref="I632:I650" si="219">$Q$26</f>
        <v>0</v>
      </c>
      <c r="J632" s="218">
        <f t="shared" ref="J632:J650" si="220">$L$26</f>
        <v>0</v>
      </c>
      <c r="K632" s="218">
        <f t="shared" ref="K632:K650" si="221">$M$26</f>
        <v>0</v>
      </c>
      <c r="L632" s="192">
        <f t="shared" si="213"/>
        <v>0</v>
      </c>
      <c r="M632" s="211">
        <v>97</v>
      </c>
      <c r="N632" s="211">
        <f>(29.53*1.02)*0.5306*1.0824</f>
        <v>17.298906365664003</v>
      </c>
      <c r="O632" s="211">
        <f>(42.96*1.02)*0.5306*1.0824</f>
        <v>25.166306043648003</v>
      </c>
      <c r="P632" s="211">
        <f>(16.43*1.02)*0.5306*1.0824</f>
        <v>9.624823284384</v>
      </c>
      <c r="Q632" s="211">
        <f>(12.76*1.02)*0.5306*1.0824</f>
        <v>7.4749084058879998</v>
      </c>
      <c r="R632" s="211">
        <f>(1.27*1.02)*0.5306*1.0824</f>
        <v>0.74397599337600007</v>
      </c>
      <c r="S632" s="211">
        <f>(0.0584*1.02)*0.5306*1.0824</f>
        <v>3.4211179537920001E-2</v>
      </c>
      <c r="T632" s="1850">
        <f t="shared" si="214"/>
        <v>0</v>
      </c>
      <c r="U632" s="1850">
        <f t="shared" si="210"/>
        <v>0</v>
      </c>
      <c r="V632" s="1850">
        <f t="shared" si="210"/>
        <v>0</v>
      </c>
      <c r="W632" s="1850">
        <f t="shared" si="210"/>
        <v>0</v>
      </c>
      <c r="X632" s="1850">
        <f t="shared" si="210"/>
        <v>0</v>
      </c>
      <c r="Y632" s="1850">
        <f t="shared" si="210"/>
        <v>0</v>
      </c>
      <c r="Z632" s="1850">
        <f t="shared" si="191"/>
        <v>0</v>
      </c>
      <c r="AA632" s="2733"/>
    </row>
    <row r="633" spans="1:27" ht="18.75" x14ac:dyDescent="0.25">
      <c r="A633" s="2456"/>
      <c r="B633" s="1849">
        <v>2052</v>
      </c>
      <c r="C633" s="218">
        <f t="shared" si="215"/>
        <v>0</v>
      </c>
      <c r="D633" s="221">
        <f t="shared" si="211"/>
        <v>0</v>
      </c>
      <c r="E633" s="221">
        <f t="shared" si="212"/>
        <v>0</v>
      </c>
      <c r="F633" s="218">
        <f t="shared" si="216"/>
        <v>0</v>
      </c>
      <c r="G633" s="218">
        <f t="shared" si="217"/>
        <v>0</v>
      </c>
      <c r="H633" s="218">
        <f t="shared" si="218"/>
        <v>0</v>
      </c>
      <c r="I633" s="218">
        <f t="shared" si="219"/>
        <v>0</v>
      </c>
      <c r="J633" s="218">
        <f t="shared" si="220"/>
        <v>0</v>
      </c>
      <c r="K633" s="218">
        <f t="shared" si="221"/>
        <v>0</v>
      </c>
      <c r="L633" s="192">
        <f t="shared" si="213"/>
        <v>0</v>
      </c>
      <c r="M633" s="211">
        <v>97</v>
      </c>
      <c r="N633" s="211">
        <f>(29.53*1.02)*0.5202*1.0824</f>
        <v>16.959839976288002</v>
      </c>
      <c r="O633" s="211">
        <f>(42.96*1.02)*0.5202*1.0824</f>
        <v>24.673035062016002</v>
      </c>
      <c r="P633" s="211">
        <f>(16.43*1.02)*0.5202*1.0824</f>
        <v>9.4361723945280005</v>
      </c>
      <c r="Q633" s="211">
        <f>(12.76*1.02)*0.5202*1.0824</f>
        <v>7.3283968200960006</v>
      </c>
      <c r="R633" s="211">
        <f>(1.27*1.02)*0.5202*1.0824</f>
        <v>0.72939372739200004</v>
      </c>
      <c r="S633" s="211">
        <f>(0.0584*1.02)*0.5202*1.0824</f>
        <v>3.3540624944640003E-2</v>
      </c>
      <c r="T633" s="1850">
        <f t="shared" si="214"/>
        <v>0</v>
      </c>
      <c r="U633" s="1850">
        <f t="shared" si="210"/>
        <v>0</v>
      </c>
      <c r="V633" s="1850">
        <f t="shared" si="210"/>
        <v>0</v>
      </c>
      <c r="W633" s="1850">
        <f t="shared" si="210"/>
        <v>0</v>
      </c>
      <c r="X633" s="1850">
        <f t="shared" si="210"/>
        <v>0</v>
      </c>
      <c r="Y633" s="1850">
        <f t="shared" si="210"/>
        <v>0</v>
      </c>
      <c r="Z633" s="1850">
        <f t="shared" si="191"/>
        <v>0</v>
      </c>
      <c r="AA633" s="2733"/>
    </row>
    <row r="634" spans="1:27" ht="18.75" x14ac:dyDescent="0.25">
      <c r="A634" s="2456"/>
      <c r="B634" s="1849">
        <v>2053</v>
      </c>
      <c r="C634" s="218">
        <f t="shared" si="215"/>
        <v>0</v>
      </c>
      <c r="D634" s="221">
        <f t="shared" si="211"/>
        <v>0</v>
      </c>
      <c r="E634" s="221">
        <f t="shared" si="212"/>
        <v>0</v>
      </c>
      <c r="F634" s="218">
        <f t="shared" si="216"/>
        <v>0</v>
      </c>
      <c r="G634" s="218">
        <f t="shared" si="217"/>
        <v>0</v>
      </c>
      <c r="H634" s="218">
        <f t="shared" si="218"/>
        <v>0</v>
      </c>
      <c r="I634" s="218">
        <f t="shared" si="219"/>
        <v>0</v>
      </c>
      <c r="J634" s="218">
        <f t="shared" si="220"/>
        <v>0</v>
      </c>
      <c r="K634" s="218">
        <f t="shared" si="221"/>
        <v>0</v>
      </c>
      <c r="L634" s="192">
        <f t="shared" si="213"/>
        <v>0</v>
      </c>
      <c r="M634" s="211">
        <v>97</v>
      </c>
      <c r="N634" s="211">
        <f>(29.53*1.02)*0.51*1</f>
        <v>15.361506000000002</v>
      </c>
      <c r="O634" s="211">
        <f>(42.96*1.02)*0.51*1.0824</f>
        <v>24.189250060800003</v>
      </c>
      <c r="P634" s="211">
        <f>(16.43*1.02)*0.51*1.0824</f>
        <v>9.2511494064000015</v>
      </c>
      <c r="Q634" s="211">
        <f>(12.76*1.02)*0.51*1.0824</f>
        <v>7.1847027647999999</v>
      </c>
      <c r="R634" s="211">
        <f>(1.27*1.02)*0.51*1.0824</f>
        <v>0.71509188960000014</v>
      </c>
      <c r="S634" s="211">
        <f>(0.0584*1.02)*0.51*1.0824</f>
        <v>3.2882965632000001E-2</v>
      </c>
      <c r="T634" s="1850">
        <f t="shared" si="214"/>
        <v>0</v>
      </c>
      <c r="U634" s="1850">
        <f t="shared" si="210"/>
        <v>0</v>
      </c>
      <c r="V634" s="1850">
        <f t="shared" si="210"/>
        <v>0</v>
      </c>
      <c r="W634" s="1850">
        <f t="shared" si="210"/>
        <v>0</v>
      </c>
      <c r="X634" s="1850">
        <f t="shared" si="210"/>
        <v>0</v>
      </c>
      <c r="Y634" s="1850">
        <f t="shared" si="210"/>
        <v>0</v>
      </c>
      <c r="Z634" s="1850">
        <f t="shared" si="191"/>
        <v>0</v>
      </c>
      <c r="AA634" s="2733"/>
    </row>
    <row r="635" spans="1:27" ht="18.75" x14ac:dyDescent="0.25">
      <c r="A635" s="2456"/>
      <c r="B635" s="1849">
        <v>2054</v>
      </c>
      <c r="C635" s="218">
        <f t="shared" si="215"/>
        <v>0</v>
      </c>
      <c r="D635" s="221">
        <f t="shared" si="211"/>
        <v>0</v>
      </c>
      <c r="E635" s="221">
        <f t="shared" si="212"/>
        <v>0</v>
      </c>
      <c r="F635" s="218">
        <f t="shared" si="216"/>
        <v>0</v>
      </c>
      <c r="G635" s="218">
        <f t="shared" si="217"/>
        <v>0</v>
      </c>
      <c r="H635" s="218">
        <f t="shared" si="218"/>
        <v>0</v>
      </c>
      <c r="I635" s="218">
        <f t="shared" si="219"/>
        <v>0</v>
      </c>
      <c r="J635" s="218">
        <f t="shared" si="220"/>
        <v>0</v>
      </c>
      <c r="K635" s="218">
        <f t="shared" si="221"/>
        <v>0</v>
      </c>
      <c r="L635" s="192">
        <f t="shared" si="213"/>
        <v>0</v>
      </c>
      <c r="M635" s="211">
        <v>97</v>
      </c>
      <c r="N635" s="211">
        <f>(29.53*1.02)*0.5*1.0824</f>
        <v>16.301268720000003</v>
      </c>
      <c r="O635" s="211">
        <f>(42.96*1.02)*0.5*1.0824</f>
        <v>23.714951040000003</v>
      </c>
      <c r="P635" s="211">
        <f>(16.43*1.02)*0.5*1.0824</f>
        <v>9.0697543200000013</v>
      </c>
      <c r="Q635" s="211">
        <f>(12.76*1.02)*0.5*1.0824</f>
        <v>7.0438262400000005</v>
      </c>
      <c r="R635" s="211">
        <f>(1.27*1.02)*0.5*1.0824</f>
        <v>0.70107048000000005</v>
      </c>
      <c r="S635" s="211">
        <f>(0.0584*1.02)*0.5*1.0824</f>
        <v>3.2238201600000002E-2</v>
      </c>
      <c r="T635" s="1850">
        <f t="shared" si="214"/>
        <v>0</v>
      </c>
      <c r="U635" s="1850">
        <f t="shared" si="210"/>
        <v>0</v>
      </c>
      <c r="V635" s="1850">
        <f t="shared" si="210"/>
        <v>0</v>
      </c>
      <c r="W635" s="1850">
        <f t="shared" si="210"/>
        <v>0</v>
      </c>
      <c r="X635" s="1850">
        <f t="shared" si="210"/>
        <v>0</v>
      </c>
      <c r="Y635" s="1850">
        <f t="shared" si="210"/>
        <v>0</v>
      </c>
      <c r="Z635" s="1850">
        <f t="shared" si="191"/>
        <v>0</v>
      </c>
      <c r="AA635" s="2733"/>
    </row>
    <row r="636" spans="1:27" ht="18.75" x14ac:dyDescent="0.25">
      <c r="A636" s="2456"/>
      <c r="B636" s="1849">
        <v>2055</v>
      </c>
      <c r="C636" s="218">
        <f t="shared" si="215"/>
        <v>0</v>
      </c>
      <c r="D636" s="221">
        <f t="shared" si="211"/>
        <v>0</v>
      </c>
      <c r="E636" s="221">
        <f t="shared" si="212"/>
        <v>0</v>
      </c>
      <c r="F636" s="218">
        <f t="shared" si="216"/>
        <v>0</v>
      </c>
      <c r="G636" s="218">
        <f t="shared" si="217"/>
        <v>0</v>
      </c>
      <c r="H636" s="218">
        <f t="shared" si="218"/>
        <v>0</v>
      </c>
      <c r="I636" s="218">
        <f t="shared" si="219"/>
        <v>0</v>
      </c>
      <c r="J636" s="218">
        <f t="shared" si="220"/>
        <v>0</v>
      </c>
      <c r="K636" s="218">
        <f t="shared" si="221"/>
        <v>0</v>
      </c>
      <c r="L636" s="192">
        <f t="shared" si="213"/>
        <v>0</v>
      </c>
      <c r="M636" s="211">
        <v>97</v>
      </c>
      <c r="N636" s="211">
        <f>(29.53*1.02)*0.4902*1.0824</f>
        <v>15.981763853088003</v>
      </c>
      <c r="O636" s="211">
        <f>(42.96*1.02)*0.4902*1.0824</f>
        <v>23.250137999616001</v>
      </c>
      <c r="P636" s="211">
        <f>(16.43*1.02)*0.4902*1.0824</f>
        <v>8.8919871353280016</v>
      </c>
      <c r="Q636" s="211">
        <f>(12.76*1.02)*0.4902*1.0824</f>
        <v>6.9057672456960004</v>
      </c>
      <c r="R636" s="211">
        <f>(1.27*1.02)*0.4902*1.0824</f>
        <v>0.6873294985920001</v>
      </c>
      <c r="S636" s="211">
        <f>(0.0584*1.02)*0.4902*1.0824</f>
        <v>3.1606332848640006E-2</v>
      </c>
      <c r="T636" s="1850">
        <f t="shared" si="214"/>
        <v>0</v>
      </c>
      <c r="U636" s="1850">
        <f t="shared" si="210"/>
        <v>0</v>
      </c>
      <c r="V636" s="1850">
        <f t="shared" si="210"/>
        <v>0</v>
      </c>
      <c r="W636" s="1850">
        <f t="shared" si="210"/>
        <v>0</v>
      </c>
      <c r="X636" s="1850">
        <f t="shared" si="210"/>
        <v>0</v>
      </c>
      <c r="Y636" s="1850">
        <f t="shared" si="210"/>
        <v>0</v>
      </c>
      <c r="Z636" s="1850">
        <f t="shared" si="191"/>
        <v>0</v>
      </c>
      <c r="AA636" s="2733"/>
    </row>
    <row r="637" spans="1:27" ht="18.75" x14ac:dyDescent="0.25">
      <c r="A637" s="2456"/>
      <c r="B637" s="1849">
        <v>2056</v>
      </c>
      <c r="C637" s="218">
        <f t="shared" si="215"/>
        <v>0</v>
      </c>
      <c r="D637" s="221">
        <f t="shared" si="211"/>
        <v>0</v>
      </c>
      <c r="E637" s="221">
        <f t="shared" si="212"/>
        <v>0</v>
      </c>
      <c r="F637" s="218">
        <f t="shared" si="216"/>
        <v>0</v>
      </c>
      <c r="G637" s="218">
        <f t="shared" si="217"/>
        <v>0</v>
      </c>
      <c r="H637" s="218">
        <f t="shared" si="218"/>
        <v>0</v>
      </c>
      <c r="I637" s="218">
        <f t="shared" si="219"/>
        <v>0</v>
      </c>
      <c r="J637" s="218">
        <f t="shared" si="220"/>
        <v>0</v>
      </c>
      <c r="K637" s="218">
        <f t="shared" si="221"/>
        <v>0</v>
      </c>
      <c r="L637" s="192">
        <f t="shared" si="213"/>
        <v>0</v>
      </c>
      <c r="M637" s="211">
        <v>97</v>
      </c>
      <c r="N637" s="211">
        <f>(29.53*1.02)*0.4806*1.0824</f>
        <v>15.668779493664003</v>
      </c>
      <c r="O637" s="211">
        <f>(42.96*1.02)*0.4806*1.0824</f>
        <v>22.794810939648006</v>
      </c>
      <c r="P637" s="211">
        <f>(16.43*1.02)*0.4806*1.0824</f>
        <v>8.7178478523840006</v>
      </c>
      <c r="Q637" s="211">
        <f>(12.76*1.02)*0.4806*1.0824</f>
        <v>6.7705257818880007</v>
      </c>
      <c r="R637" s="211">
        <f>(1.27*1.02)*0.4806*1.0824</f>
        <v>0.67386894537600017</v>
      </c>
      <c r="S637" s="211">
        <f>(0.0584*1.02)*0.4806*1.0824</f>
        <v>3.0987359377920003E-2</v>
      </c>
      <c r="T637" s="1850">
        <f t="shared" si="214"/>
        <v>0</v>
      </c>
      <c r="U637" s="1850">
        <f t="shared" si="210"/>
        <v>0</v>
      </c>
      <c r="V637" s="1850">
        <f t="shared" si="210"/>
        <v>0</v>
      </c>
      <c r="W637" s="1850">
        <f t="shared" si="210"/>
        <v>0</v>
      </c>
      <c r="X637" s="1850">
        <f t="shared" si="210"/>
        <v>0</v>
      </c>
      <c r="Y637" s="1850">
        <f t="shared" si="210"/>
        <v>0</v>
      </c>
      <c r="Z637" s="1850">
        <f t="shared" si="191"/>
        <v>0</v>
      </c>
      <c r="AA637" s="2733"/>
    </row>
    <row r="638" spans="1:27" ht="18.75" x14ac:dyDescent="0.25">
      <c r="A638" s="2456"/>
      <c r="B638" s="1849">
        <v>2057</v>
      </c>
      <c r="C638" s="218">
        <f t="shared" si="215"/>
        <v>0</v>
      </c>
      <c r="D638" s="221">
        <f t="shared" si="211"/>
        <v>0</v>
      </c>
      <c r="E638" s="221">
        <f t="shared" si="212"/>
        <v>0</v>
      </c>
      <c r="F638" s="218">
        <f t="shared" si="216"/>
        <v>0</v>
      </c>
      <c r="G638" s="218">
        <f t="shared" si="217"/>
        <v>0</v>
      </c>
      <c r="H638" s="218">
        <f t="shared" si="218"/>
        <v>0</v>
      </c>
      <c r="I638" s="218">
        <f t="shared" si="219"/>
        <v>0</v>
      </c>
      <c r="J638" s="218">
        <f t="shared" si="220"/>
        <v>0</v>
      </c>
      <c r="K638" s="218">
        <f t="shared" si="221"/>
        <v>0</v>
      </c>
      <c r="L638" s="192">
        <f t="shared" si="213"/>
        <v>0</v>
      </c>
      <c r="M638" s="211">
        <v>97</v>
      </c>
      <c r="N638" s="211">
        <f>(29.53*1.02)*0.4712*1.0824</f>
        <v>15.362315641728001</v>
      </c>
      <c r="O638" s="211">
        <f>(42.96*1.02)*0.4712*1.0824</f>
        <v>22.348969860096002</v>
      </c>
      <c r="P638" s="211">
        <f>(16.43*1.02)*0.4712*1.0824</f>
        <v>8.547336471168002</v>
      </c>
      <c r="Q638" s="211">
        <f>(12.76*1.02)*0.4712*1.0824</f>
        <v>6.6381018485760004</v>
      </c>
      <c r="R638" s="211">
        <f>(1.27*1.02)*0.4712*1.0824</f>
        <v>0.66068882035200005</v>
      </c>
      <c r="S638" s="211">
        <f>(0.0584*1.02)*0.4712*1.0824</f>
        <v>3.038128118784E-2</v>
      </c>
      <c r="T638" s="1850">
        <f t="shared" si="214"/>
        <v>0</v>
      </c>
      <c r="U638" s="1850">
        <f t="shared" si="210"/>
        <v>0</v>
      </c>
      <c r="V638" s="1850">
        <f t="shared" si="210"/>
        <v>0</v>
      </c>
      <c r="W638" s="1850">
        <f t="shared" si="210"/>
        <v>0</v>
      </c>
      <c r="X638" s="1850">
        <f t="shared" si="210"/>
        <v>0</v>
      </c>
      <c r="Y638" s="1850">
        <f t="shared" si="210"/>
        <v>0</v>
      </c>
      <c r="Z638" s="1850">
        <f t="shared" si="191"/>
        <v>0</v>
      </c>
      <c r="AA638" s="2733"/>
    </row>
    <row r="639" spans="1:27" ht="18.75" x14ac:dyDescent="0.25">
      <c r="A639" s="2456"/>
      <c r="B639" s="1849">
        <v>2058</v>
      </c>
      <c r="C639" s="218">
        <f t="shared" si="215"/>
        <v>0</v>
      </c>
      <c r="D639" s="221">
        <f t="shared" si="211"/>
        <v>0</v>
      </c>
      <c r="E639" s="221">
        <f t="shared" si="212"/>
        <v>0</v>
      </c>
      <c r="F639" s="218">
        <f t="shared" si="216"/>
        <v>0</v>
      </c>
      <c r="G639" s="218">
        <f t="shared" si="217"/>
        <v>0</v>
      </c>
      <c r="H639" s="218">
        <f t="shared" si="218"/>
        <v>0</v>
      </c>
      <c r="I639" s="218">
        <f t="shared" si="219"/>
        <v>0</v>
      </c>
      <c r="J639" s="218">
        <f t="shared" si="220"/>
        <v>0</v>
      </c>
      <c r="K639" s="218">
        <f t="shared" si="221"/>
        <v>0</v>
      </c>
      <c r="L639" s="192">
        <f t="shared" si="213"/>
        <v>0</v>
      </c>
      <c r="M639" s="211">
        <v>97</v>
      </c>
      <c r="N639" s="211">
        <f>(29.53*1.02)*0.4619*1.0824</f>
        <v>15.059112043536</v>
      </c>
      <c r="O639" s="211">
        <f>(42.96*1.02)*0.4619*1.0824</f>
        <v>21.907871770752003</v>
      </c>
      <c r="P639" s="211">
        <f>(16.43*1.02)*0.4619*1.0824</f>
        <v>8.378639040816001</v>
      </c>
      <c r="Q639" s="211">
        <f>(12.76*1.02)*0.4619*1.0824</f>
        <v>6.5070866805119998</v>
      </c>
      <c r="R639" s="211">
        <f>(1.27*1.02)*0.4619*1.0824</f>
        <v>0.647648909424</v>
      </c>
      <c r="S639" s="211">
        <f>(0.0584*1.02)*0.4619*1.0824</f>
        <v>2.9781650638080002E-2</v>
      </c>
      <c r="T639" s="1850">
        <f t="shared" si="214"/>
        <v>0</v>
      </c>
      <c r="U639" s="1850">
        <f t="shared" si="210"/>
        <v>0</v>
      </c>
      <c r="V639" s="1850">
        <f t="shared" si="210"/>
        <v>0</v>
      </c>
      <c r="W639" s="1850">
        <f t="shared" si="210"/>
        <v>0</v>
      </c>
      <c r="X639" s="1850">
        <f t="shared" si="210"/>
        <v>0</v>
      </c>
      <c r="Y639" s="1850">
        <f t="shared" si="210"/>
        <v>0</v>
      </c>
      <c r="Z639" s="1850">
        <f t="shared" si="191"/>
        <v>0</v>
      </c>
      <c r="AA639" s="2733"/>
    </row>
    <row r="640" spans="1:27" ht="18.75" x14ac:dyDescent="0.25">
      <c r="A640" s="2456"/>
      <c r="B640" s="1849">
        <v>2059</v>
      </c>
      <c r="C640" s="218">
        <f t="shared" si="215"/>
        <v>0</v>
      </c>
      <c r="D640" s="221">
        <f t="shared" si="211"/>
        <v>0</v>
      </c>
      <c r="E640" s="221">
        <f t="shared" si="212"/>
        <v>0</v>
      </c>
      <c r="F640" s="218">
        <f t="shared" si="216"/>
        <v>0</v>
      </c>
      <c r="G640" s="218">
        <f t="shared" si="217"/>
        <v>0</v>
      </c>
      <c r="H640" s="218">
        <f t="shared" si="218"/>
        <v>0</v>
      </c>
      <c r="I640" s="218">
        <f t="shared" si="219"/>
        <v>0</v>
      </c>
      <c r="J640" s="218">
        <f t="shared" si="220"/>
        <v>0</v>
      </c>
      <c r="K640" s="218">
        <f t="shared" si="221"/>
        <v>0</v>
      </c>
      <c r="L640" s="192">
        <f t="shared" si="213"/>
        <v>0</v>
      </c>
      <c r="M640" s="211">
        <v>97</v>
      </c>
      <c r="N640" s="211">
        <f>(29.53*1.02)*0.4529*1.0824</f>
        <v>14.765689206576004</v>
      </c>
      <c r="O640" s="211">
        <f>(42.96*1.02)*0.4529*1.0824</f>
        <v>21.481002652032004</v>
      </c>
      <c r="P640" s="211">
        <f>(16.43*1.02)*0.4529*1.0824</f>
        <v>8.2153834630560016</v>
      </c>
      <c r="Q640" s="211">
        <f>(12.76*1.02)*0.4529*1.0824</f>
        <v>6.380297808192001</v>
      </c>
      <c r="R640" s="211">
        <f>(1.27*1.02)*0.4529*1.0824</f>
        <v>0.63502964078400004</v>
      </c>
      <c r="S640" s="211">
        <f>(0.0584*1.02)*0.4529*1.0824</f>
        <v>2.9201363009280005E-2</v>
      </c>
      <c r="T640" s="1850">
        <f t="shared" si="214"/>
        <v>0</v>
      </c>
      <c r="U640" s="1850">
        <f t="shared" si="210"/>
        <v>0</v>
      </c>
      <c r="V640" s="1850">
        <f t="shared" si="210"/>
        <v>0</v>
      </c>
      <c r="W640" s="1850">
        <f t="shared" si="210"/>
        <v>0</v>
      </c>
      <c r="X640" s="1850">
        <f t="shared" si="210"/>
        <v>0</v>
      </c>
      <c r="Y640" s="1850">
        <f t="shared" si="210"/>
        <v>0</v>
      </c>
      <c r="Z640" s="1850">
        <f t="shared" si="191"/>
        <v>0</v>
      </c>
      <c r="AA640" s="2733"/>
    </row>
    <row r="641" spans="1:27" ht="18.75" x14ac:dyDescent="0.25">
      <c r="A641" s="2456"/>
      <c r="B641" s="1849">
        <v>2060</v>
      </c>
      <c r="C641" s="218">
        <f t="shared" si="215"/>
        <v>0</v>
      </c>
      <c r="D641" s="221">
        <f t="shared" si="211"/>
        <v>0</v>
      </c>
      <c r="E641" s="221">
        <f t="shared" si="212"/>
        <v>0</v>
      </c>
      <c r="F641" s="218">
        <f t="shared" si="216"/>
        <v>0</v>
      </c>
      <c r="G641" s="218">
        <f t="shared" si="217"/>
        <v>0</v>
      </c>
      <c r="H641" s="218">
        <f t="shared" si="218"/>
        <v>0</v>
      </c>
      <c r="I641" s="218">
        <f t="shared" si="219"/>
        <v>0</v>
      </c>
      <c r="J641" s="218">
        <f t="shared" si="220"/>
        <v>0</v>
      </c>
      <c r="K641" s="218">
        <f t="shared" si="221"/>
        <v>0</v>
      </c>
      <c r="L641" s="192">
        <f t="shared" si="213"/>
        <v>0</v>
      </c>
      <c r="M641" s="211">
        <v>97</v>
      </c>
      <c r="N641" s="211">
        <f>(29.53*1.02)*0.444*1.0824</f>
        <v>14.475526623360002</v>
      </c>
      <c r="O641" s="211">
        <f>(42.96*1.02)*0.444*1.0824</f>
        <v>21.058876523520002</v>
      </c>
      <c r="P641" s="211">
        <f>(16.43*1.02)*0.444*1.0824</f>
        <v>8.0539418361599999</v>
      </c>
      <c r="Q641" s="211">
        <f>(12.76*1.02)*0.444*1.0824</f>
        <v>6.2549177011200001</v>
      </c>
      <c r="R641" s="211">
        <f>(1.27*1.02)*0.444*1.0824</f>
        <v>0.62255058624000004</v>
      </c>
      <c r="S641" s="211">
        <f>(0.0584*1.02)*0.444*1.0824</f>
        <v>2.8627523020800003E-2</v>
      </c>
      <c r="T641" s="1850">
        <f t="shared" si="214"/>
        <v>0</v>
      </c>
      <c r="U641" s="1850">
        <f t="shared" si="210"/>
        <v>0</v>
      </c>
      <c r="V641" s="1850">
        <f t="shared" si="210"/>
        <v>0</v>
      </c>
      <c r="W641" s="1850">
        <f t="shared" si="210"/>
        <v>0</v>
      </c>
      <c r="X641" s="1850">
        <f t="shared" si="210"/>
        <v>0</v>
      </c>
      <c r="Y641" s="1850">
        <f t="shared" si="210"/>
        <v>0</v>
      </c>
      <c r="Z641" s="1850">
        <f t="shared" si="191"/>
        <v>0</v>
      </c>
      <c r="AA641" s="2733"/>
    </row>
    <row r="642" spans="1:27" ht="18.75" x14ac:dyDescent="0.25">
      <c r="A642" s="2456"/>
      <c r="B642" s="1849">
        <v>2061</v>
      </c>
      <c r="C642" s="218">
        <f t="shared" si="215"/>
        <v>0</v>
      </c>
      <c r="D642" s="221">
        <f t="shared" si="211"/>
        <v>0</v>
      </c>
      <c r="E642" s="221">
        <f t="shared" si="212"/>
        <v>0</v>
      </c>
      <c r="F642" s="218">
        <f t="shared" si="216"/>
        <v>0</v>
      </c>
      <c r="G642" s="218">
        <f t="shared" si="217"/>
        <v>0</v>
      </c>
      <c r="H642" s="218">
        <f t="shared" si="218"/>
        <v>0</v>
      </c>
      <c r="I642" s="218">
        <f t="shared" si="219"/>
        <v>0</v>
      </c>
      <c r="J642" s="218">
        <f t="shared" si="220"/>
        <v>0</v>
      </c>
      <c r="K642" s="218">
        <f t="shared" si="221"/>
        <v>0</v>
      </c>
      <c r="L642" s="192">
        <f t="shared" si="213"/>
        <v>0</v>
      </c>
      <c r="M642" s="211">
        <v>97</v>
      </c>
      <c r="N642" s="211">
        <f>(29.53*1.02)*0.4353*1.0824</f>
        <v>14.191884547632004</v>
      </c>
      <c r="O642" s="211">
        <f>(42.96*1.02)*0.4353*1.0824</f>
        <v>20.646236375424003</v>
      </c>
      <c r="P642" s="211">
        <f>(16.43*1.02)*0.4353*1.0824</f>
        <v>7.8961281109920014</v>
      </c>
      <c r="Q642" s="211">
        <f>(12.76*1.02)*0.4353*1.0824</f>
        <v>6.1323551245440004</v>
      </c>
      <c r="R642" s="211">
        <f>(1.27*1.02)*0.4353*1.0824</f>
        <v>0.61035195988800006</v>
      </c>
      <c r="S642" s="211">
        <f>(0.0584*1.02)*0.4353*1.0824</f>
        <v>2.8066578312960003E-2</v>
      </c>
      <c r="T642" s="1850">
        <f t="shared" si="214"/>
        <v>0</v>
      </c>
      <c r="U642" s="1850">
        <f t="shared" si="210"/>
        <v>0</v>
      </c>
      <c r="V642" s="1850">
        <f t="shared" si="210"/>
        <v>0</v>
      </c>
      <c r="W642" s="1850">
        <f t="shared" si="210"/>
        <v>0</v>
      </c>
      <c r="X642" s="1850">
        <f t="shared" si="210"/>
        <v>0</v>
      </c>
      <c r="Y642" s="1850">
        <f t="shared" si="210"/>
        <v>0</v>
      </c>
      <c r="Z642" s="1850">
        <f t="shared" si="191"/>
        <v>0</v>
      </c>
      <c r="AA642" s="2733"/>
    </row>
    <row r="643" spans="1:27" ht="18.75" x14ac:dyDescent="0.25">
      <c r="A643" s="2456"/>
      <c r="B643" s="1849">
        <v>2062</v>
      </c>
      <c r="C643" s="218">
        <f t="shared" si="215"/>
        <v>0</v>
      </c>
      <c r="D643" s="221">
        <f t="shared" si="211"/>
        <v>0</v>
      </c>
      <c r="E643" s="221">
        <f t="shared" si="212"/>
        <v>0</v>
      </c>
      <c r="F643" s="218">
        <f t="shared" si="216"/>
        <v>0</v>
      </c>
      <c r="G643" s="218">
        <f t="shared" si="217"/>
        <v>0</v>
      </c>
      <c r="H643" s="218">
        <f t="shared" si="218"/>
        <v>0</v>
      </c>
      <c r="I643" s="218">
        <f t="shared" si="219"/>
        <v>0</v>
      </c>
      <c r="J643" s="218">
        <f t="shared" si="220"/>
        <v>0</v>
      </c>
      <c r="K643" s="218">
        <f t="shared" si="221"/>
        <v>0</v>
      </c>
      <c r="L643" s="192">
        <f t="shared" si="213"/>
        <v>0</v>
      </c>
      <c r="M643" s="211">
        <v>97</v>
      </c>
      <c r="N643" s="211">
        <f>(29.53*1.02)*0.4268*1.0824</f>
        <v>13.914762979392002</v>
      </c>
      <c r="O643" s="211">
        <f>(42.96*1.02)*0.4268*1.0824</f>
        <v>20.243082207744003</v>
      </c>
      <c r="P643" s="211">
        <f>(16.43*1.02)*0.4268*1.0824</f>
        <v>7.7419422875520008</v>
      </c>
      <c r="Q643" s="211">
        <f>(12.76*1.02)*0.4268*1.0824</f>
        <v>6.0126100784640002</v>
      </c>
      <c r="R643" s="211">
        <f>(1.27*1.02)*0.4268*1.0824</f>
        <v>0.59843376172800011</v>
      </c>
      <c r="S643" s="211">
        <f>(0.0584*1.02)*0.4268*1.0824</f>
        <v>2.7518528885760004E-2</v>
      </c>
      <c r="T643" s="1850">
        <f t="shared" si="214"/>
        <v>0</v>
      </c>
      <c r="U643" s="1850">
        <f t="shared" si="210"/>
        <v>0</v>
      </c>
      <c r="V643" s="1850">
        <f t="shared" si="210"/>
        <v>0</v>
      </c>
      <c r="W643" s="1850">
        <f t="shared" si="210"/>
        <v>0</v>
      </c>
      <c r="X643" s="1850">
        <f t="shared" si="210"/>
        <v>0</v>
      </c>
      <c r="Y643" s="1850">
        <f t="shared" si="210"/>
        <v>0</v>
      </c>
      <c r="Z643" s="1850">
        <f t="shared" si="191"/>
        <v>0</v>
      </c>
      <c r="AA643" s="2733"/>
    </row>
    <row r="644" spans="1:27" ht="18.75" x14ac:dyDescent="0.25">
      <c r="A644" s="2456"/>
      <c r="B644" s="1849">
        <v>2063</v>
      </c>
      <c r="C644" s="218">
        <f t="shared" si="215"/>
        <v>0</v>
      </c>
      <c r="D644" s="221">
        <f t="shared" si="211"/>
        <v>0</v>
      </c>
      <c r="E644" s="221">
        <f t="shared" si="212"/>
        <v>0</v>
      </c>
      <c r="F644" s="218">
        <f t="shared" si="216"/>
        <v>0</v>
      </c>
      <c r="G644" s="218">
        <f t="shared" si="217"/>
        <v>0</v>
      </c>
      <c r="H644" s="218">
        <f t="shared" si="218"/>
        <v>0</v>
      </c>
      <c r="I644" s="218">
        <f t="shared" si="219"/>
        <v>0</v>
      </c>
      <c r="J644" s="218">
        <f t="shared" si="220"/>
        <v>0</v>
      </c>
      <c r="K644" s="218">
        <f t="shared" si="221"/>
        <v>0</v>
      </c>
      <c r="L644" s="192">
        <f t="shared" si="213"/>
        <v>0</v>
      </c>
      <c r="M644" s="211">
        <v>97</v>
      </c>
      <c r="N644" s="211">
        <f>(29.53*1.02)*0.4184*1.0824</f>
        <v>13.640901664896001</v>
      </c>
      <c r="O644" s="211">
        <f>(42.96*1.02)*0.4184*1.0824</f>
        <v>19.844671030272</v>
      </c>
      <c r="P644" s="211">
        <f>(16.43*1.02)*0.4184*1.0824</f>
        <v>7.5895704149760004</v>
      </c>
      <c r="Q644" s="211">
        <f>(12.76*1.02)*0.4184*1.0824</f>
        <v>5.8942737976319997</v>
      </c>
      <c r="R644" s="211">
        <f>(1.27*1.02)*0.4184*1.0824</f>
        <v>0.58665577766400001</v>
      </c>
      <c r="S644" s="211">
        <f>(0.0584*1.02)*0.4184*1.0824</f>
        <v>2.6976927098879999E-2</v>
      </c>
      <c r="T644" s="1850">
        <f t="shared" si="214"/>
        <v>0</v>
      </c>
      <c r="U644" s="1850">
        <f t="shared" si="210"/>
        <v>0</v>
      </c>
      <c r="V644" s="1850">
        <f t="shared" si="210"/>
        <v>0</v>
      </c>
      <c r="W644" s="1850">
        <f t="shared" si="210"/>
        <v>0</v>
      </c>
      <c r="X644" s="1850">
        <f t="shared" si="210"/>
        <v>0</v>
      </c>
      <c r="Y644" s="1850">
        <f t="shared" si="210"/>
        <v>0</v>
      </c>
      <c r="Z644" s="1850">
        <f t="shared" si="191"/>
        <v>0</v>
      </c>
      <c r="AA644" s="2733"/>
    </row>
    <row r="645" spans="1:27" ht="18.75" x14ac:dyDescent="0.25">
      <c r="A645" s="2456"/>
      <c r="B645" s="1849">
        <v>2064</v>
      </c>
      <c r="C645" s="218">
        <f t="shared" si="215"/>
        <v>0</v>
      </c>
      <c r="D645" s="221">
        <f t="shared" si="211"/>
        <v>0</v>
      </c>
      <c r="E645" s="221">
        <f t="shared" si="212"/>
        <v>0</v>
      </c>
      <c r="F645" s="218">
        <f t="shared" si="216"/>
        <v>0</v>
      </c>
      <c r="G645" s="218">
        <f t="shared" si="217"/>
        <v>0</v>
      </c>
      <c r="H645" s="218">
        <f t="shared" si="218"/>
        <v>0</v>
      </c>
      <c r="I645" s="218">
        <f t="shared" si="219"/>
        <v>0</v>
      </c>
      <c r="J645" s="218">
        <f t="shared" si="220"/>
        <v>0</v>
      </c>
      <c r="K645" s="218">
        <f t="shared" si="221"/>
        <v>0</v>
      </c>
      <c r="L645" s="192">
        <f t="shared" si="213"/>
        <v>0</v>
      </c>
      <c r="M645" s="211">
        <v>97</v>
      </c>
      <c r="N645" s="211">
        <f>(29.53*1.02)*0.4102*1.0824</f>
        <v>13.373560857888002</v>
      </c>
      <c r="O645" s="211">
        <f>(42.96*1.02)*0.4102*1.0824</f>
        <v>19.455745833216003</v>
      </c>
      <c r="P645" s="211">
        <f>(16.43*1.02)*0.4102*1.0824</f>
        <v>7.4408264441280014</v>
      </c>
      <c r="Q645" s="211">
        <f>(12.76*1.02)*0.4102*1.0824</f>
        <v>5.7787550472960003</v>
      </c>
      <c r="R645" s="211">
        <f>(1.27*1.02)*0.4102*1.0824</f>
        <v>0.57515822179200005</v>
      </c>
      <c r="S645" s="211">
        <f>(0.0584*1.02)*0.4102*1.0824</f>
        <v>2.6448220592640001E-2</v>
      </c>
      <c r="T645" s="1850">
        <f t="shared" si="214"/>
        <v>0</v>
      </c>
      <c r="U645" s="1850">
        <f t="shared" si="210"/>
        <v>0</v>
      </c>
      <c r="V645" s="1850">
        <f t="shared" si="210"/>
        <v>0</v>
      </c>
      <c r="W645" s="1850">
        <f t="shared" si="210"/>
        <v>0</v>
      </c>
      <c r="X645" s="1850">
        <f t="shared" si="210"/>
        <v>0</v>
      </c>
      <c r="Y645" s="1850">
        <f t="shared" si="210"/>
        <v>0</v>
      </c>
      <c r="Z645" s="1850">
        <f t="shared" si="191"/>
        <v>0</v>
      </c>
      <c r="AA645" s="2733"/>
    </row>
    <row r="646" spans="1:27" ht="18.75" x14ac:dyDescent="0.25">
      <c r="A646" s="2456"/>
      <c r="B646" s="1849">
        <v>2065</v>
      </c>
      <c r="C646" s="218">
        <f t="shared" si="215"/>
        <v>0</v>
      </c>
      <c r="D646" s="221">
        <f t="shared" si="211"/>
        <v>0</v>
      </c>
      <c r="E646" s="221">
        <f t="shared" si="212"/>
        <v>0</v>
      </c>
      <c r="F646" s="218">
        <f t="shared" si="216"/>
        <v>0</v>
      </c>
      <c r="G646" s="218">
        <f t="shared" si="217"/>
        <v>0</v>
      </c>
      <c r="H646" s="218">
        <f t="shared" si="218"/>
        <v>0</v>
      </c>
      <c r="I646" s="218">
        <f t="shared" si="219"/>
        <v>0</v>
      </c>
      <c r="J646" s="218">
        <f t="shared" si="220"/>
        <v>0</v>
      </c>
      <c r="K646" s="218">
        <f t="shared" si="221"/>
        <v>0</v>
      </c>
      <c r="L646" s="192">
        <f t="shared" si="213"/>
        <v>0</v>
      </c>
      <c r="M646" s="211">
        <v>97</v>
      </c>
      <c r="N646" s="211">
        <f>(29.53*1.02)*0.4022*1.0824</f>
        <v>13.112740558368001</v>
      </c>
      <c r="O646" s="211">
        <f>(42.96*1.02)*0.4022*1.0824</f>
        <v>19.076306616576002</v>
      </c>
      <c r="P646" s="211">
        <f>(16.43*1.02)*0.4022*1.0824</f>
        <v>7.2957103750080003</v>
      </c>
      <c r="Q646" s="211">
        <f>(12.76*1.02)*0.4022*1.0824</f>
        <v>5.6660538274560004</v>
      </c>
      <c r="R646" s="211">
        <f>(1.27*1.02)*0.4022*1.0824</f>
        <v>0.56394109411200011</v>
      </c>
      <c r="S646" s="211">
        <f>(0.0584*1.02)*0.4022*1.0824</f>
        <v>2.5932409367040003E-2</v>
      </c>
      <c r="T646" s="1850">
        <f t="shared" si="214"/>
        <v>0</v>
      </c>
      <c r="U646" s="1850">
        <f t="shared" si="210"/>
        <v>0</v>
      </c>
      <c r="V646" s="1850">
        <f t="shared" si="210"/>
        <v>0</v>
      </c>
      <c r="W646" s="1850">
        <f t="shared" si="210"/>
        <v>0</v>
      </c>
      <c r="X646" s="1850">
        <f t="shared" si="210"/>
        <v>0</v>
      </c>
      <c r="Y646" s="1850">
        <f t="shared" si="210"/>
        <v>0</v>
      </c>
      <c r="Z646" s="1850">
        <f t="shared" si="191"/>
        <v>0</v>
      </c>
      <c r="AA646" s="2733"/>
    </row>
    <row r="647" spans="1:27" ht="18.75" x14ac:dyDescent="0.25">
      <c r="A647" s="2456"/>
      <c r="B647" s="1849">
        <v>2066</v>
      </c>
      <c r="C647" s="218">
        <f t="shared" si="215"/>
        <v>0</v>
      </c>
      <c r="D647" s="221">
        <f t="shared" si="211"/>
        <v>0</v>
      </c>
      <c r="E647" s="221">
        <f t="shared" si="212"/>
        <v>0</v>
      </c>
      <c r="F647" s="218">
        <f t="shared" si="216"/>
        <v>0</v>
      </c>
      <c r="G647" s="218">
        <f t="shared" si="217"/>
        <v>0</v>
      </c>
      <c r="H647" s="218">
        <f t="shared" si="218"/>
        <v>0</v>
      </c>
      <c r="I647" s="218">
        <f t="shared" si="219"/>
        <v>0</v>
      </c>
      <c r="J647" s="218">
        <f t="shared" si="220"/>
        <v>0</v>
      </c>
      <c r="K647" s="218">
        <f t="shared" si="221"/>
        <v>0</v>
      </c>
      <c r="L647" s="192">
        <f t="shared" si="213"/>
        <v>0</v>
      </c>
      <c r="M647" s="211">
        <v>97</v>
      </c>
      <c r="N647" s="211">
        <f>(29.53*1.02)*0.3943*1.0824</f>
        <v>12.855180512592</v>
      </c>
      <c r="O647" s="211">
        <f>(42.96*1.02)*0.3943*1.0824</f>
        <v>18.701610390143998</v>
      </c>
      <c r="P647" s="211">
        <f>(16.43*1.02)*0.3943*1.0824</f>
        <v>7.1524082567520004</v>
      </c>
      <c r="Q647" s="211">
        <f>(12.76*1.02)*0.3943*1.0824</f>
        <v>5.5547613728639993</v>
      </c>
      <c r="R647" s="211">
        <f>(1.27*1.02)*0.3943*1.0824</f>
        <v>0.55286418052800002</v>
      </c>
      <c r="S647" s="211">
        <f>(0.0584*1.02)*0.3943*1.0824</f>
        <v>2.5423045781760002E-2</v>
      </c>
      <c r="T647" s="1850">
        <f t="shared" si="214"/>
        <v>0</v>
      </c>
      <c r="U647" s="1850">
        <f t="shared" si="210"/>
        <v>0</v>
      </c>
      <c r="V647" s="1850">
        <f t="shared" si="210"/>
        <v>0</v>
      </c>
      <c r="W647" s="1850">
        <f t="shared" si="210"/>
        <v>0</v>
      </c>
      <c r="X647" s="1850">
        <f t="shared" si="210"/>
        <v>0</v>
      </c>
      <c r="Y647" s="1850">
        <f t="shared" si="210"/>
        <v>0</v>
      </c>
      <c r="Z647" s="1850">
        <f t="shared" si="191"/>
        <v>0</v>
      </c>
      <c r="AA647" s="2733"/>
    </row>
    <row r="648" spans="1:27" ht="18.75" x14ac:dyDescent="0.25">
      <c r="A648" s="2456"/>
      <c r="B648" s="1849">
        <v>2067</v>
      </c>
      <c r="C648" s="218">
        <f t="shared" si="215"/>
        <v>0</v>
      </c>
      <c r="D648" s="221">
        <f t="shared" si="211"/>
        <v>0</v>
      </c>
      <c r="E648" s="221">
        <f t="shared" si="212"/>
        <v>0</v>
      </c>
      <c r="F648" s="218">
        <f t="shared" si="216"/>
        <v>0</v>
      </c>
      <c r="G648" s="218">
        <f t="shared" si="217"/>
        <v>0</v>
      </c>
      <c r="H648" s="218">
        <f t="shared" si="218"/>
        <v>0</v>
      </c>
      <c r="I648" s="218">
        <f t="shared" si="219"/>
        <v>0</v>
      </c>
      <c r="J648" s="218">
        <f t="shared" si="220"/>
        <v>0</v>
      </c>
      <c r="K648" s="218">
        <f t="shared" si="221"/>
        <v>0</v>
      </c>
      <c r="L648" s="192">
        <f t="shared" si="213"/>
        <v>0</v>
      </c>
      <c r="M648" s="211">
        <v>97</v>
      </c>
      <c r="N648" s="211">
        <f>(29.53*1.02)*0.3865*1.0824</f>
        <v>12.600880720560001</v>
      </c>
      <c r="O648" s="211">
        <f>(42.96*1.02)*0.3865*1.0824</f>
        <v>18.331657153920002</v>
      </c>
      <c r="P648" s="211">
        <f>(16.43*1.02)*0.3865*1.0824</f>
        <v>7.0109200893600008</v>
      </c>
      <c r="Q648" s="211">
        <f>(12.76*1.02)*0.3865*1.0824</f>
        <v>5.4448776835200006</v>
      </c>
      <c r="R648" s="211">
        <f>(1.27*1.02)*0.3865*1.0824</f>
        <v>0.5419274810400001</v>
      </c>
      <c r="S648" s="211">
        <f>(0.0584*1.02)*0.3865*1.0824</f>
        <v>2.4920129836800003E-2</v>
      </c>
      <c r="T648" s="1850">
        <f t="shared" si="214"/>
        <v>0</v>
      </c>
      <c r="U648" s="1850">
        <f t="shared" si="210"/>
        <v>0</v>
      </c>
      <c r="V648" s="1850">
        <f t="shared" si="210"/>
        <v>0</v>
      </c>
      <c r="W648" s="1850">
        <f t="shared" si="210"/>
        <v>0</v>
      </c>
      <c r="X648" s="1850">
        <f t="shared" si="210"/>
        <v>0</v>
      </c>
      <c r="Y648" s="1850">
        <f t="shared" si="210"/>
        <v>0</v>
      </c>
      <c r="Z648" s="1850">
        <f t="shared" si="191"/>
        <v>0</v>
      </c>
      <c r="AA648" s="2733"/>
    </row>
    <row r="649" spans="1:27" ht="18.75" x14ac:dyDescent="0.25">
      <c r="A649" s="2456"/>
      <c r="B649" s="1849">
        <v>2068</v>
      </c>
      <c r="C649" s="218">
        <f t="shared" si="215"/>
        <v>0</v>
      </c>
      <c r="D649" s="221">
        <f t="shared" si="211"/>
        <v>0</v>
      </c>
      <c r="E649" s="221">
        <f t="shared" si="212"/>
        <v>0</v>
      </c>
      <c r="F649" s="218">
        <f t="shared" si="216"/>
        <v>0</v>
      </c>
      <c r="G649" s="218">
        <f t="shared" si="217"/>
        <v>0</v>
      </c>
      <c r="H649" s="218">
        <f t="shared" si="218"/>
        <v>0</v>
      </c>
      <c r="I649" s="218">
        <f t="shared" si="219"/>
        <v>0</v>
      </c>
      <c r="J649" s="218">
        <f t="shared" si="220"/>
        <v>0</v>
      </c>
      <c r="K649" s="218">
        <f t="shared" si="221"/>
        <v>0</v>
      </c>
      <c r="L649" s="192">
        <f t="shared" si="213"/>
        <v>0</v>
      </c>
      <c r="M649" s="211">
        <v>97</v>
      </c>
      <c r="N649" s="211">
        <f>(29.53*1.02)*0.379*1.0824</f>
        <v>12.356361689760002</v>
      </c>
      <c r="O649" s="211">
        <f>(42.96*1.02)*0.379*1.0824</f>
        <v>17.975932888320003</v>
      </c>
      <c r="P649" s="211">
        <f>(16.43*1.02)*0.379*1.0824</f>
        <v>6.8748737745600002</v>
      </c>
      <c r="Q649" s="211">
        <f>(12.76*1.02)*0.379*1.0824</f>
        <v>5.339220289920001</v>
      </c>
      <c r="R649" s="211">
        <f>(1.27*1.02)*0.379*1.0824</f>
        <v>0.53141142384000006</v>
      </c>
      <c r="S649" s="211">
        <f>(0.0584*1.02)*0.379*1.0824</f>
        <v>2.4436556812800003E-2</v>
      </c>
      <c r="T649" s="1850">
        <f t="shared" si="214"/>
        <v>0</v>
      </c>
      <c r="U649" s="1850">
        <f t="shared" si="210"/>
        <v>0</v>
      </c>
      <c r="V649" s="1850">
        <f t="shared" si="210"/>
        <v>0</v>
      </c>
      <c r="W649" s="1850">
        <f t="shared" si="210"/>
        <v>0</v>
      </c>
      <c r="X649" s="1850">
        <f t="shared" si="210"/>
        <v>0</v>
      </c>
      <c r="Y649" s="1850">
        <f t="shared" si="210"/>
        <v>0</v>
      </c>
      <c r="Z649" s="1850">
        <f t="shared" si="191"/>
        <v>0</v>
      </c>
      <c r="AA649" s="2733"/>
    </row>
    <row r="650" spans="1:27" ht="19.5" thickBot="1" x14ac:dyDescent="0.3">
      <c r="A650" s="2457"/>
      <c r="B650" s="1851">
        <v>2069</v>
      </c>
      <c r="C650" s="222">
        <f t="shared" si="215"/>
        <v>0</v>
      </c>
      <c r="D650" s="328">
        <f t="shared" si="211"/>
        <v>0</v>
      </c>
      <c r="E650" s="328">
        <f t="shared" si="212"/>
        <v>0</v>
      </c>
      <c r="F650" s="222">
        <f t="shared" si="216"/>
        <v>0</v>
      </c>
      <c r="G650" s="222">
        <f t="shared" si="217"/>
        <v>0</v>
      </c>
      <c r="H650" s="222">
        <f t="shared" si="218"/>
        <v>0</v>
      </c>
      <c r="I650" s="222">
        <f t="shared" si="219"/>
        <v>0</v>
      </c>
      <c r="J650" s="222">
        <f t="shared" si="220"/>
        <v>0</v>
      </c>
      <c r="K650" s="222">
        <f t="shared" si="221"/>
        <v>0</v>
      </c>
      <c r="L650" s="220">
        <f t="shared" si="213"/>
        <v>0</v>
      </c>
      <c r="M650" s="416">
        <v>97</v>
      </c>
      <c r="N650" s="416">
        <f>(29.53*1.02)*0.3715*1.0824</f>
        <v>12.111842658960002</v>
      </c>
      <c r="O650" s="416">
        <f>(42.96*1.02)*0.3715*1.0824</f>
        <v>17.62020862272</v>
      </c>
      <c r="P650" s="416">
        <f>(16.43*1.02)*0.3715*1.0824</f>
        <v>6.7388274597600004</v>
      </c>
      <c r="Q650" s="416">
        <f>(12.76*1.02)*0.3715*1.0824</f>
        <v>5.2335628963200005</v>
      </c>
      <c r="R650" s="416">
        <f>(1.27*1.02)*0.3715*1.0824</f>
        <v>0.52089536664000002</v>
      </c>
      <c r="S650" s="416">
        <f>(0.0584*1.02)*0.3715*1.0824</f>
        <v>2.3952983788800002E-2</v>
      </c>
      <c r="T650" s="175">
        <f t="shared" si="214"/>
        <v>0</v>
      </c>
      <c r="U650" s="175">
        <f t="shared" si="210"/>
        <v>0</v>
      </c>
      <c r="V650" s="175">
        <f t="shared" si="210"/>
        <v>0</v>
      </c>
      <c r="W650" s="175">
        <f t="shared" si="210"/>
        <v>0</v>
      </c>
      <c r="X650" s="175">
        <f t="shared" si="210"/>
        <v>0</v>
      </c>
      <c r="Y650" s="175">
        <f t="shared" si="210"/>
        <v>0</v>
      </c>
      <c r="Z650" s="175">
        <f t="shared" si="191"/>
        <v>0</v>
      </c>
      <c r="AA650" s="2735"/>
    </row>
    <row r="651" spans="1:27" ht="18.75" x14ac:dyDescent="0.25">
      <c r="A651" s="2736" t="s">
        <v>285</v>
      </c>
      <c r="B651" s="1867">
        <v>2019</v>
      </c>
      <c r="C651" s="216">
        <f t="shared" ref="C651:C682" si="222">$S$27</f>
        <v>0</v>
      </c>
      <c r="D651" s="216">
        <f>$R$27*28</f>
        <v>0</v>
      </c>
      <c r="E651" s="216">
        <f>$T$27*298</f>
        <v>0</v>
      </c>
      <c r="F651" s="216">
        <f t="shared" ref="F651:F682" si="223">$O$27</f>
        <v>0</v>
      </c>
      <c r="G651" s="216">
        <f t="shared" ref="G651:G682" si="224">$P$27</f>
        <v>0</v>
      </c>
      <c r="H651" s="216">
        <f t="shared" ref="H651:H682" si="225">$N$27</f>
        <v>0</v>
      </c>
      <c r="I651" s="216">
        <f t="shared" ref="I651:I682" si="226">$Q$27</f>
        <v>0</v>
      </c>
      <c r="J651" s="216">
        <f t="shared" ref="J651:J682" si="227">$L$27</f>
        <v>0</v>
      </c>
      <c r="K651" s="216">
        <f t="shared" ref="K651:K682" si="228">$M$27</f>
        <v>0</v>
      </c>
      <c r="L651" s="217">
        <f>(C651/1000)+(D651/1000)+(E651/1000)</f>
        <v>0</v>
      </c>
      <c r="M651" s="643">
        <v>62</v>
      </c>
      <c r="N651" s="643">
        <f>29.53*1.02*1.0824</f>
        <v>32.602537440000006</v>
      </c>
      <c r="O651" s="643">
        <f>42.96*1.02*1.0824</f>
        <v>47.429902080000005</v>
      </c>
      <c r="P651" s="643">
        <f>16.43*1.02*1.0824</f>
        <v>18.139508640000003</v>
      </c>
      <c r="Q651" s="643">
        <f>12.76*1.02*1.0824</f>
        <v>14.087652480000001</v>
      </c>
      <c r="R651" s="643">
        <f>1.27*1.02*1.0824</f>
        <v>1.4021409600000001</v>
      </c>
      <c r="S651" s="643">
        <f>0.0584*1.02*1.0824</f>
        <v>6.4476403200000004E-2</v>
      </c>
      <c r="T651" s="644">
        <f>L651*M651</f>
        <v>0</v>
      </c>
      <c r="U651" s="644">
        <f t="shared" ref="U651:Y701" si="229">F651*N651</f>
        <v>0</v>
      </c>
      <c r="V651" s="644">
        <f t="shared" si="229"/>
        <v>0</v>
      </c>
      <c r="W651" s="644">
        <f t="shared" si="229"/>
        <v>0</v>
      </c>
      <c r="X651" s="644">
        <f t="shared" si="229"/>
        <v>0</v>
      </c>
      <c r="Y651" s="644">
        <f t="shared" si="229"/>
        <v>0</v>
      </c>
      <c r="Z651" s="644">
        <f t="shared" si="191"/>
        <v>0</v>
      </c>
      <c r="AA651" s="2732">
        <f>(SUM(T651:T701)*1.2682)+(SUM(U651:U701))+(SUM(V651:V701))+(SUM(W651:W701))+(SUM(X651:X701))+(SUM(Y651:Y701))+(SUM(Z651:Z701))</f>
        <v>0</v>
      </c>
    </row>
    <row r="652" spans="1:27" ht="18.75" x14ac:dyDescent="0.25">
      <c r="A652" s="2456"/>
      <c r="B652" s="1849">
        <v>2020</v>
      </c>
      <c r="C652" s="218">
        <f t="shared" si="222"/>
        <v>0</v>
      </c>
      <c r="D652" s="218">
        <f t="shared" ref="D652:D701" si="230">$R$27*28</f>
        <v>0</v>
      </c>
      <c r="E652" s="218">
        <f t="shared" ref="E652:E701" si="231">$T$27*298</f>
        <v>0</v>
      </c>
      <c r="F652" s="218">
        <f t="shared" si="223"/>
        <v>0</v>
      </c>
      <c r="G652" s="218">
        <f t="shared" si="224"/>
        <v>0</v>
      </c>
      <c r="H652" s="218">
        <f t="shared" si="225"/>
        <v>0</v>
      </c>
      <c r="I652" s="218">
        <f t="shared" si="226"/>
        <v>0</v>
      </c>
      <c r="J652" s="218">
        <f t="shared" si="227"/>
        <v>0</v>
      </c>
      <c r="K652" s="218">
        <f t="shared" si="228"/>
        <v>0</v>
      </c>
      <c r="L652" s="192">
        <f t="shared" ref="L652:L715" si="232">(C652/1000)+(D652/1000)+(E652/1000)</f>
        <v>0</v>
      </c>
      <c r="M652" s="211">
        <v>64</v>
      </c>
      <c r="N652" s="211">
        <f>(29.53*1.02)*0.9804*1.0824</f>
        <v>31.963527706176006</v>
      </c>
      <c r="O652" s="211">
        <f>(42.96*1.02)*0.9804*1.0824</f>
        <v>46.500275999232002</v>
      </c>
      <c r="P652" s="211">
        <f>(16.43*1.02)*0.9804*1.0824</f>
        <v>17.783974270656003</v>
      </c>
      <c r="Q652" s="211">
        <f>(12.76*1.02)*0.9804*1.0824</f>
        <v>13.811534491392001</v>
      </c>
      <c r="R652" s="211">
        <f>(1.27*1.02)*0.9804*1.0824</f>
        <v>1.3746589971840002</v>
      </c>
      <c r="S652" s="211">
        <f>(0.0584*1.02)*0.9804*1.0824</f>
        <v>6.3212665697280013E-2</v>
      </c>
      <c r="T652" s="1850">
        <f t="shared" ref="T652:T715" si="233">L652*M652</f>
        <v>0</v>
      </c>
      <c r="U652" s="1850">
        <f t="shared" si="229"/>
        <v>0</v>
      </c>
      <c r="V652" s="1850">
        <f t="shared" si="229"/>
        <v>0</v>
      </c>
      <c r="W652" s="1850">
        <f t="shared" si="229"/>
        <v>0</v>
      </c>
      <c r="X652" s="1850">
        <f t="shared" si="229"/>
        <v>0</v>
      </c>
      <c r="Y652" s="1850">
        <f t="shared" si="229"/>
        <v>0</v>
      </c>
      <c r="Z652" s="1850">
        <f t="shared" si="191"/>
        <v>0</v>
      </c>
      <c r="AA652" s="2733"/>
    </row>
    <row r="653" spans="1:27" ht="18.75" x14ac:dyDescent="0.25">
      <c r="A653" s="2456"/>
      <c r="B653" s="1849">
        <v>2021</v>
      </c>
      <c r="C653" s="218">
        <f t="shared" si="222"/>
        <v>0</v>
      </c>
      <c r="D653" s="218">
        <f t="shared" si="230"/>
        <v>0</v>
      </c>
      <c r="E653" s="218">
        <f t="shared" si="231"/>
        <v>0</v>
      </c>
      <c r="F653" s="218">
        <f t="shared" si="223"/>
        <v>0</v>
      </c>
      <c r="G653" s="218">
        <f t="shared" si="224"/>
        <v>0</v>
      </c>
      <c r="H653" s="218">
        <f t="shared" si="225"/>
        <v>0</v>
      </c>
      <c r="I653" s="218">
        <f t="shared" si="226"/>
        <v>0</v>
      </c>
      <c r="J653" s="218">
        <f t="shared" si="227"/>
        <v>0</v>
      </c>
      <c r="K653" s="218">
        <f t="shared" si="228"/>
        <v>0</v>
      </c>
      <c r="L653" s="192">
        <f t="shared" si="232"/>
        <v>0</v>
      </c>
      <c r="M653" s="211">
        <v>65</v>
      </c>
      <c r="N653" s="211">
        <f>(29.53*1.02)*0.9612*1.0824</f>
        <v>31.337558987328006</v>
      </c>
      <c r="O653" s="211">
        <f>(42.96*1.02)*0.9612*1.0824</f>
        <v>45.589621879296011</v>
      </c>
      <c r="P653" s="211">
        <f>(16.43*1.02)*0.9612*1.0824</f>
        <v>17.435695704768001</v>
      </c>
      <c r="Q653" s="211">
        <f>(12.76*1.02)*0.9612*1.0824</f>
        <v>13.541051563776001</v>
      </c>
      <c r="R653" s="211">
        <f>(1.27*1.02)*0.9612*1.0824</f>
        <v>1.3477378907520003</v>
      </c>
      <c r="S653" s="211">
        <f>(0.0584*1.02)*0.9612*1.0824</f>
        <v>6.1974718755840007E-2</v>
      </c>
      <c r="T653" s="1850">
        <f t="shared" si="233"/>
        <v>0</v>
      </c>
      <c r="U653" s="1850">
        <f t="shared" si="229"/>
        <v>0</v>
      </c>
      <c r="V653" s="1850">
        <f t="shared" si="229"/>
        <v>0</v>
      </c>
      <c r="W653" s="1850">
        <f t="shared" si="229"/>
        <v>0</v>
      </c>
      <c r="X653" s="1850">
        <f t="shared" si="229"/>
        <v>0</v>
      </c>
      <c r="Y653" s="1850">
        <f t="shared" si="229"/>
        <v>0</v>
      </c>
      <c r="Z653" s="1850">
        <f t="shared" si="191"/>
        <v>0</v>
      </c>
      <c r="AA653" s="2733"/>
    </row>
    <row r="654" spans="1:27" ht="18.75" x14ac:dyDescent="0.25">
      <c r="A654" s="2456"/>
      <c r="B654" s="1849">
        <v>2022</v>
      </c>
      <c r="C654" s="218">
        <f t="shared" si="222"/>
        <v>0</v>
      </c>
      <c r="D654" s="218">
        <f t="shared" si="230"/>
        <v>0</v>
      </c>
      <c r="E654" s="218">
        <f t="shared" si="231"/>
        <v>0</v>
      </c>
      <c r="F654" s="218">
        <f t="shared" si="223"/>
        <v>0</v>
      </c>
      <c r="G654" s="218">
        <f t="shared" si="224"/>
        <v>0</v>
      </c>
      <c r="H654" s="218">
        <f t="shared" si="225"/>
        <v>0</v>
      </c>
      <c r="I654" s="218">
        <f t="shared" si="226"/>
        <v>0</v>
      </c>
      <c r="J654" s="218">
        <f t="shared" si="227"/>
        <v>0</v>
      </c>
      <c r="K654" s="218">
        <f t="shared" si="228"/>
        <v>0</v>
      </c>
      <c r="L654" s="192">
        <f t="shared" si="232"/>
        <v>0</v>
      </c>
      <c r="M654" s="211">
        <v>66</v>
      </c>
      <c r="N654" s="211">
        <f>(29.53*1.02)*0.9423*1.0824</f>
        <v>30.721371029712003</v>
      </c>
      <c r="O654" s="211">
        <f>(42.96*1.02)*0.9423*1.0824</f>
        <v>44.693196729984003</v>
      </c>
      <c r="P654" s="211">
        <f>(16.43*1.02)*0.9423*1.0824</f>
        <v>17.092858991472003</v>
      </c>
      <c r="Q654" s="211">
        <f>(12.76*1.02)*0.9423*1.0824</f>
        <v>13.274794931903999</v>
      </c>
      <c r="R654" s="211">
        <f>(1.27*1.02)*0.9423*1.0824</f>
        <v>1.3212374266080003</v>
      </c>
      <c r="S654" s="211">
        <f>(0.0584*1.02)*0.9423*1.0824</f>
        <v>6.0756114735360002E-2</v>
      </c>
      <c r="T654" s="1850">
        <f t="shared" si="233"/>
        <v>0</v>
      </c>
      <c r="U654" s="1850">
        <f t="shared" si="229"/>
        <v>0</v>
      </c>
      <c r="V654" s="1850">
        <f t="shared" si="229"/>
        <v>0</v>
      </c>
      <c r="W654" s="1850">
        <f t="shared" si="229"/>
        <v>0</v>
      </c>
      <c r="X654" s="1850">
        <f t="shared" si="229"/>
        <v>0</v>
      </c>
      <c r="Y654" s="1850">
        <f t="shared" si="229"/>
        <v>0</v>
      </c>
      <c r="Z654" s="1850">
        <f t="shared" si="191"/>
        <v>0</v>
      </c>
      <c r="AA654" s="2733"/>
    </row>
    <row r="655" spans="1:27" ht="18.75" x14ac:dyDescent="0.25">
      <c r="A655" s="2456"/>
      <c r="B655" s="1849">
        <v>2023</v>
      </c>
      <c r="C655" s="218">
        <f t="shared" si="222"/>
        <v>0</v>
      </c>
      <c r="D655" s="218">
        <f t="shared" si="230"/>
        <v>0</v>
      </c>
      <c r="E655" s="218">
        <f t="shared" si="231"/>
        <v>0</v>
      </c>
      <c r="F655" s="218">
        <f t="shared" si="223"/>
        <v>0</v>
      </c>
      <c r="G655" s="218">
        <f t="shared" si="224"/>
        <v>0</v>
      </c>
      <c r="H655" s="218">
        <f t="shared" si="225"/>
        <v>0</v>
      </c>
      <c r="I655" s="218">
        <f t="shared" si="226"/>
        <v>0</v>
      </c>
      <c r="J655" s="218">
        <f t="shared" si="227"/>
        <v>0</v>
      </c>
      <c r="K655" s="218">
        <f t="shared" si="228"/>
        <v>0</v>
      </c>
      <c r="L655" s="192">
        <f t="shared" si="232"/>
        <v>0</v>
      </c>
      <c r="M655" s="211">
        <v>67</v>
      </c>
      <c r="N655" s="211">
        <f>(29.53*1.02)*0.9238*1.0824</f>
        <v>30.118224087072001</v>
      </c>
      <c r="O655" s="211">
        <f>(42.96*1.02)*0.9238*1.0824</f>
        <v>43.815743541504006</v>
      </c>
      <c r="P655" s="211">
        <f>(16.43*1.02)*0.9238*1.0824</f>
        <v>16.757278081632002</v>
      </c>
      <c r="Q655" s="211">
        <f>(12.76*1.02)*0.9238*1.0824</f>
        <v>13.014173361024</v>
      </c>
      <c r="R655" s="211">
        <f>(1.27*1.02)*0.9238*1.0824</f>
        <v>1.295297818848</v>
      </c>
      <c r="S655" s="211">
        <f>(0.0584*1.02)*0.9238*1.0824</f>
        <v>5.9563301276160004E-2</v>
      </c>
      <c r="T655" s="1850">
        <f t="shared" si="233"/>
        <v>0</v>
      </c>
      <c r="U655" s="1850">
        <f t="shared" si="229"/>
        <v>0</v>
      </c>
      <c r="V655" s="1850">
        <f t="shared" si="229"/>
        <v>0</v>
      </c>
      <c r="W655" s="1850">
        <f t="shared" si="229"/>
        <v>0</v>
      </c>
      <c r="X655" s="1850">
        <f t="shared" si="229"/>
        <v>0</v>
      </c>
      <c r="Y655" s="1850">
        <f t="shared" si="229"/>
        <v>0</v>
      </c>
      <c r="Z655" s="1850">
        <f t="shared" si="191"/>
        <v>0</v>
      </c>
      <c r="AA655" s="2733"/>
    </row>
    <row r="656" spans="1:27" ht="18.75" x14ac:dyDescent="0.25">
      <c r="A656" s="2456"/>
      <c r="B656" s="1849">
        <v>2024</v>
      </c>
      <c r="C656" s="218">
        <f t="shared" si="222"/>
        <v>0</v>
      </c>
      <c r="D656" s="218">
        <f t="shared" si="230"/>
        <v>0</v>
      </c>
      <c r="E656" s="218">
        <f t="shared" si="231"/>
        <v>0</v>
      </c>
      <c r="F656" s="218">
        <f t="shared" si="223"/>
        <v>0</v>
      </c>
      <c r="G656" s="218">
        <f t="shared" si="224"/>
        <v>0</v>
      </c>
      <c r="H656" s="218">
        <f t="shared" si="225"/>
        <v>0</v>
      </c>
      <c r="I656" s="218">
        <f t="shared" si="226"/>
        <v>0</v>
      </c>
      <c r="J656" s="218">
        <f t="shared" si="227"/>
        <v>0</v>
      </c>
      <c r="K656" s="218">
        <f t="shared" si="228"/>
        <v>0</v>
      </c>
      <c r="L656" s="192">
        <f t="shared" si="232"/>
        <v>0</v>
      </c>
      <c r="M656" s="211">
        <v>68</v>
      </c>
      <c r="N656" s="211">
        <f>(29.53*1.02)*0.9057*1.0824</f>
        <v>29.528118159408002</v>
      </c>
      <c r="O656" s="211">
        <f>(42.96*1.02)*0.9057*1.0824</f>
        <v>42.957262313856006</v>
      </c>
      <c r="P656" s="211">
        <f>(16.43*1.02)*0.9057*1.0824</f>
        <v>16.428952975248002</v>
      </c>
      <c r="Q656" s="211">
        <f>(12.76*1.02)*0.9057*1.0824</f>
        <v>12.759186851135999</v>
      </c>
      <c r="R656" s="211">
        <f>(1.27*1.02)*0.9057*1.0824</f>
        <v>1.269919067472</v>
      </c>
      <c r="S656" s="211">
        <f>(0.0584*1.02)*0.9057*1.0824</f>
        <v>5.8396278378240005E-2</v>
      </c>
      <c r="T656" s="1850">
        <f t="shared" si="233"/>
        <v>0</v>
      </c>
      <c r="U656" s="1850">
        <f t="shared" si="229"/>
        <v>0</v>
      </c>
      <c r="V656" s="1850">
        <f t="shared" si="229"/>
        <v>0</v>
      </c>
      <c r="W656" s="1850">
        <f t="shared" si="229"/>
        <v>0</v>
      </c>
      <c r="X656" s="1850">
        <f t="shared" si="229"/>
        <v>0</v>
      </c>
      <c r="Y656" s="1850">
        <f t="shared" si="229"/>
        <v>0</v>
      </c>
      <c r="Z656" s="1850">
        <f t="shared" si="191"/>
        <v>0</v>
      </c>
      <c r="AA656" s="2733"/>
    </row>
    <row r="657" spans="1:27" ht="18.75" x14ac:dyDescent="0.25">
      <c r="A657" s="2456"/>
      <c r="B657" s="1849">
        <v>2025</v>
      </c>
      <c r="C657" s="218">
        <f t="shared" si="222"/>
        <v>0</v>
      </c>
      <c r="D657" s="218">
        <f t="shared" si="230"/>
        <v>0</v>
      </c>
      <c r="E657" s="218">
        <f t="shared" si="231"/>
        <v>0</v>
      </c>
      <c r="F657" s="218">
        <f t="shared" si="223"/>
        <v>0</v>
      </c>
      <c r="G657" s="218">
        <f t="shared" si="224"/>
        <v>0</v>
      </c>
      <c r="H657" s="218">
        <f t="shared" si="225"/>
        <v>0</v>
      </c>
      <c r="I657" s="218">
        <f t="shared" si="226"/>
        <v>0</v>
      </c>
      <c r="J657" s="218">
        <f t="shared" si="227"/>
        <v>0</v>
      </c>
      <c r="K657" s="218">
        <f t="shared" si="228"/>
        <v>0</v>
      </c>
      <c r="L657" s="192">
        <f t="shared" si="232"/>
        <v>0</v>
      </c>
      <c r="M657" s="211">
        <v>69</v>
      </c>
      <c r="N657" s="211">
        <f>(29.53*1.02)*0.888*1.0824</f>
        <v>28.951053246720004</v>
      </c>
      <c r="O657" s="211">
        <f>(42.96*1.02)*0.888*1.0824</f>
        <v>42.117753047040004</v>
      </c>
      <c r="P657" s="211">
        <f>(16.43*1.02)*0.888*1.0824</f>
        <v>16.10788367232</v>
      </c>
      <c r="Q657" s="211">
        <f>(12.76*1.02)*0.888*1.0824</f>
        <v>12.50983540224</v>
      </c>
      <c r="R657" s="211">
        <f>(1.27*1.02)*0.888*1.0824</f>
        <v>1.2451011724800001</v>
      </c>
      <c r="S657" s="211">
        <f>(0.0584*1.02)*0.888*1.0824</f>
        <v>5.7255046041600005E-2</v>
      </c>
      <c r="T657" s="1850">
        <f t="shared" si="233"/>
        <v>0</v>
      </c>
      <c r="U657" s="1850">
        <f t="shared" si="229"/>
        <v>0</v>
      </c>
      <c r="V657" s="1850">
        <f t="shared" si="229"/>
        <v>0</v>
      </c>
      <c r="W657" s="1850">
        <f t="shared" si="229"/>
        <v>0</v>
      </c>
      <c r="X657" s="1850">
        <f t="shared" si="229"/>
        <v>0</v>
      </c>
      <c r="Y657" s="1850">
        <f t="shared" si="229"/>
        <v>0</v>
      </c>
      <c r="Z657" s="1850">
        <f t="shared" si="191"/>
        <v>0</v>
      </c>
      <c r="AA657" s="2733"/>
    </row>
    <row r="658" spans="1:27" ht="18.75" x14ac:dyDescent="0.25">
      <c r="A658" s="2456"/>
      <c r="B658" s="1849">
        <v>2026</v>
      </c>
      <c r="C658" s="218">
        <f t="shared" si="222"/>
        <v>0</v>
      </c>
      <c r="D658" s="218">
        <f t="shared" si="230"/>
        <v>0</v>
      </c>
      <c r="E658" s="218">
        <f t="shared" si="231"/>
        <v>0</v>
      </c>
      <c r="F658" s="218">
        <f t="shared" si="223"/>
        <v>0</v>
      </c>
      <c r="G658" s="218">
        <f t="shared" si="224"/>
        <v>0</v>
      </c>
      <c r="H658" s="218">
        <f t="shared" si="225"/>
        <v>0</v>
      </c>
      <c r="I658" s="218">
        <f t="shared" si="226"/>
        <v>0</v>
      </c>
      <c r="J658" s="218">
        <f t="shared" si="227"/>
        <v>0</v>
      </c>
      <c r="K658" s="218">
        <f t="shared" si="228"/>
        <v>0</v>
      </c>
      <c r="L658" s="192">
        <f t="shared" si="232"/>
        <v>0</v>
      </c>
      <c r="M658" s="211">
        <v>70</v>
      </c>
      <c r="N658" s="211">
        <f>(29.53*1.02)*0.8706*1.0824</f>
        <v>28.383769095264007</v>
      </c>
      <c r="O658" s="211">
        <f>(42.96*1.02)*0.8706*1.0824</f>
        <v>41.292472750848006</v>
      </c>
      <c r="P658" s="211">
        <f>(16.43*1.02)*0.8706*1.0824</f>
        <v>15.792256221984003</v>
      </c>
      <c r="Q658" s="211">
        <f>(12.76*1.02)*0.8706*1.0824</f>
        <v>12.264710249088001</v>
      </c>
      <c r="R658" s="211">
        <f>(1.27*1.02)*0.8706*1.0824</f>
        <v>1.2207039197760001</v>
      </c>
      <c r="S658" s="211">
        <f>(0.0584*1.02)*0.8706*1.0824</f>
        <v>5.6133156625920007E-2</v>
      </c>
      <c r="T658" s="1850">
        <f t="shared" si="233"/>
        <v>0</v>
      </c>
      <c r="U658" s="1850">
        <f t="shared" si="229"/>
        <v>0</v>
      </c>
      <c r="V658" s="1850">
        <f t="shared" si="229"/>
        <v>0</v>
      </c>
      <c r="W658" s="1850">
        <f t="shared" si="229"/>
        <v>0</v>
      </c>
      <c r="X658" s="1850">
        <f t="shared" si="229"/>
        <v>0</v>
      </c>
      <c r="Y658" s="1850">
        <f t="shared" si="229"/>
        <v>0</v>
      </c>
      <c r="Z658" s="1850">
        <f t="shared" si="191"/>
        <v>0</v>
      </c>
      <c r="AA658" s="2733"/>
    </row>
    <row r="659" spans="1:27" ht="18.75" x14ac:dyDescent="0.25">
      <c r="A659" s="2456"/>
      <c r="B659" s="1849">
        <v>2027</v>
      </c>
      <c r="C659" s="218">
        <f t="shared" si="222"/>
        <v>0</v>
      </c>
      <c r="D659" s="218">
        <f t="shared" si="230"/>
        <v>0</v>
      </c>
      <c r="E659" s="218">
        <f t="shared" si="231"/>
        <v>0</v>
      </c>
      <c r="F659" s="218">
        <f t="shared" si="223"/>
        <v>0</v>
      </c>
      <c r="G659" s="218">
        <f t="shared" si="224"/>
        <v>0</v>
      </c>
      <c r="H659" s="218">
        <f t="shared" si="225"/>
        <v>0</v>
      </c>
      <c r="I659" s="218">
        <f t="shared" si="226"/>
        <v>0</v>
      </c>
      <c r="J659" s="218">
        <f t="shared" si="227"/>
        <v>0</v>
      </c>
      <c r="K659" s="218">
        <f t="shared" si="228"/>
        <v>0</v>
      </c>
      <c r="L659" s="192">
        <f t="shared" si="232"/>
        <v>0</v>
      </c>
      <c r="M659" s="211">
        <v>71</v>
      </c>
      <c r="N659" s="211">
        <f>(29.53*1.02)*0.8535*1.0824</f>
        <v>27.826265705040004</v>
      </c>
      <c r="O659" s="211">
        <f>(42.96*1.02)*0.8535*1.0824</f>
        <v>40.481421425280004</v>
      </c>
      <c r="P659" s="211">
        <f>(16.43*1.02)*0.8535*1.0824</f>
        <v>15.482070624240002</v>
      </c>
      <c r="Q659" s="211">
        <f>(12.76*1.02)*0.8535*1.0824</f>
        <v>12.023811391680001</v>
      </c>
      <c r="R659" s="211">
        <f>(1.27*1.02)*0.8535*1.0824</f>
        <v>1.1967273093600002</v>
      </c>
      <c r="S659" s="211">
        <f>(0.0584*1.02)*0.8535*1.0824</f>
        <v>5.503061013120001E-2</v>
      </c>
      <c r="T659" s="1850">
        <f t="shared" si="233"/>
        <v>0</v>
      </c>
      <c r="U659" s="1850">
        <f t="shared" si="229"/>
        <v>0</v>
      </c>
      <c r="V659" s="1850">
        <f t="shared" si="229"/>
        <v>0</v>
      </c>
      <c r="W659" s="1850">
        <f t="shared" si="229"/>
        <v>0</v>
      </c>
      <c r="X659" s="1850">
        <f t="shared" si="229"/>
        <v>0</v>
      </c>
      <c r="Y659" s="1850">
        <f t="shared" si="229"/>
        <v>0</v>
      </c>
      <c r="Z659" s="1850">
        <f t="shared" si="191"/>
        <v>0</v>
      </c>
      <c r="AA659" s="2733"/>
    </row>
    <row r="660" spans="1:27" ht="18.75" x14ac:dyDescent="0.25">
      <c r="A660" s="2456"/>
      <c r="B660" s="1849">
        <v>2028</v>
      </c>
      <c r="C660" s="218">
        <f t="shared" si="222"/>
        <v>0</v>
      </c>
      <c r="D660" s="218">
        <f t="shared" si="230"/>
        <v>0</v>
      </c>
      <c r="E660" s="218">
        <f t="shared" si="231"/>
        <v>0</v>
      </c>
      <c r="F660" s="218">
        <f t="shared" si="223"/>
        <v>0</v>
      </c>
      <c r="G660" s="218">
        <f t="shared" si="224"/>
        <v>0</v>
      </c>
      <c r="H660" s="218">
        <f t="shared" si="225"/>
        <v>0</v>
      </c>
      <c r="I660" s="218">
        <f t="shared" si="226"/>
        <v>0</v>
      </c>
      <c r="J660" s="218">
        <f t="shared" si="227"/>
        <v>0</v>
      </c>
      <c r="K660" s="218">
        <f t="shared" si="228"/>
        <v>0</v>
      </c>
      <c r="L660" s="192">
        <f t="shared" si="232"/>
        <v>0</v>
      </c>
      <c r="M660" s="211">
        <v>72</v>
      </c>
      <c r="N660" s="211">
        <f>(29.53*1.02)*0.8368*1.0824</f>
        <v>27.281803329792002</v>
      </c>
      <c r="O660" s="211">
        <f>(42.96*1.02)*0.8368*1.0824</f>
        <v>39.689342060544</v>
      </c>
      <c r="P660" s="211">
        <f>(16.43*1.02)*0.8368*1.0824</f>
        <v>15.179140829952001</v>
      </c>
      <c r="Q660" s="211">
        <f>(12.76*1.02)*0.8368*1.0824</f>
        <v>11.788547595263999</v>
      </c>
      <c r="R660" s="211">
        <f>(1.27*1.02)*0.8368*1.0824</f>
        <v>1.173311555328</v>
      </c>
      <c r="S660" s="211">
        <f>(0.0584*1.02)*0.8368*1.0824</f>
        <v>5.3953854197759998E-2</v>
      </c>
      <c r="T660" s="1850">
        <f t="shared" si="233"/>
        <v>0</v>
      </c>
      <c r="U660" s="1850">
        <f t="shared" si="229"/>
        <v>0</v>
      </c>
      <c r="V660" s="1850">
        <f t="shared" si="229"/>
        <v>0</v>
      </c>
      <c r="W660" s="1850">
        <f t="shared" si="229"/>
        <v>0</v>
      </c>
      <c r="X660" s="1850">
        <f t="shared" si="229"/>
        <v>0</v>
      </c>
      <c r="Y660" s="1850">
        <f t="shared" si="229"/>
        <v>0</v>
      </c>
      <c r="Z660" s="1850">
        <f t="shared" si="191"/>
        <v>0</v>
      </c>
      <c r="AA660" s="2733"/>
    </row>
    <row r="661" spans="1:27" ht="18.75" x14ac:dyDescent="0.25">
      <c r="A661" s="2456"/>
      <c r="B661" s="1849">
        <v>2029</v>
      </c>
      <c r="C661" s="218">
        <f t="shared" si="222"/>
        <v>0</v>
      </c>
      <c r="D661" s="218">
        <f t="shared" si="230"/>
        <v>0</v>
      </c>
      <c r="E661" s="218">
        <f t="shared" si="231"/>
        <v>0</v>
      </c>
      <c r="F661" s="218">
        <f t="shared" si="223"/>
        <v>0</v>
      </c>
      <c r="G661" s="218">
        <f t="shared" si="224"/>
        <v>0</v>
      </c>
      <c r="H661" s="218">
        <f t="shared" si="225"/>
        <v>0</v>
      </c>
      <c r="I661" s="218">
        <f t="shared" si="226"/>
        <v>0</v>
      </c>
      <c r="J661" s="218">
        <f t="shared" si="227"/>
        <v>0</v>
      </c>
      <c r="K661" s="218">
        <f t="shared" si="228"/>
        <v>0</v>
      </c>
      <c r="L661" s="192">
        <f t="shared" si="232"/>
        <v>0</v>
      </c>
      <c r="M661" s="211">
        <v>73</v>
      </c>
      <c r="N661" s="211">
        <f>(29.53*1.02)*0.8203*1.0824</f>
        <v>26.743861462032005</v>
      </c>
      <c r="O661" s="211">
        <f>(42.96*1.02)*0.8203*1.0824</f>
        <v>38.906748676224005</v>
      </c>
      <c r="P661" s="211">
        <f>(16.43*1.02)*0.8203*1.0824</f>
        <v>14.879838937392002</v>
      </c>
      <c r="Q661" s="211">
        <f>(12.76*1.02)*0.8203*1.0824</f>
        <v>11.556101329344001</v>
      </c>
      <c r="R661" s="211">
        <f>(1.27*1.02)*0.8203*1.0824</f>
        <v>1.1501762294880002</v>
      </c>
      <c r="S661" s="211">
        <f>(0.0584*1.02)*0.8203*1.0824</f>
        <v>5.2889993544960004E-2</v>
      </c>
      <c r="T661" s="1850">
        <f t="shared" si="233"/>
        <v>0</v>
      </c>
      <c r="U661" s="1850">
        <f t="shared" si="229"/>
        <v>0</v>
      </c>
      <c r="V661" s="1850">
        <f t="shared" si="229"/>
        <v>0</v>
      </c>
      <c r="W661" s="1850">
        <f t="shared" si="229"/>
        <v>0</v>
      </c>
      <c r="X661" s="1850">
        <f t="shared" si="229"/>
        <v>0</v>
      </c>
      <c r="Y661" s="1850">
        <f t="shared" si="229"/>
        <v>0</v>
      </c>
      <c r="Z661" s="1850">
        <f t="shared" si="191"/>
        <v>0</v>
      </c>
      <c r="AA661" s="2733"/>
    </row>
    <row r="662" spans="1:27" ht="18.75" x14ac:dyDescent="0.25">
      <c r="A662" s="2456"/>
      <c r="B662" s="1849">
        <v>2030</v>
      </c>
      <c r="C662" s="218">
        <f t="shared" si="222"/>
        <v>0</v>
      </c>
      <c r="D662" s="218">
        <f t="shared" si="230"/>
        <v>0</v>
      </c>
      <c r="E662" s="218">
        <f t="shared" si="231"/>
        <v>0</v>
      </c>
      <c r="F662" s="218">
        <f t="shared" si="223"/>
        <v>0</v>
      </c>
      <c r="G662" s="218">
        <f t="shared" si="224"/>
        <v>0</v>
      </c>
      <c r="H662" s="218">
        <f t="shared" si="225"/>
        <v>0</v>
      </c>
      <c r="I662" s="218">
        <f t="shared" si="226"/>
        <v>0</v>
      </c>
      <c r="J662" s="218">
        <f t="shared" si="227"/>
        <v>0</v>
      </c>
      <c r="K662" s="218">
        <f t="shared" si="228"/>
        <v>0</v>
      </c>
      <c r="L662" s="192">
        <f t="shared" si="232"/>
        <v>0</v>
      </c>
      <c r="M662" s="211">
        <v>75</v>
      </c>
      <c r="N662" s="211">
        <f>(29.53*1.02)*0.8043*1.0824</f>
        <v>26.222220862992003</v>
      </c>
      <c r="O662" s="211">
        <f>(42.96*1.02)*0.8043*1.0824</f>
        <v>38.147870242944002</v>
      </c>
      <c r="P662" s="211">
        <f>(16.43*1.02)*0.8043*1.0824</f>
        <v>14.589606799152003</v>
      </c>
      <c r="Q662" s="211">
        <f>(12.76*1.02)*0.8043*1.0824</f>
        <v>11.330698889664001</v>
      </c>
      <c r="R662" s="211">
        <f>(1.27*1.02)*0.8043*1.0824</f>
        <v>1.1277419741280001</v>
      </c>
      <c r="S662" s="211">
        <f>(0.0584*1.02)*0.8043*1.0824</f>
        <v>5.1858371093760007E-2</v>
      </c>
      <c r="T662" s="1850">
        <f t="shared" si="233"/>
        <v>0</v>
      </c>
      <c r="U662" s="1850">
        <f t="shared" si="229"/>
        <v>0</v>
      </c>
      <c r="V662" s="1850">
        <f t="shared" si="229"/>
        <v>0</v>
      </c>
      <c r="W662" s="1850">
        <f t="shared" si="229"/>
        <v>0</v>
      </c>
      <c r="X662" s="1850">
        <f t="shared" si="229"/>
        <v>0</v>
      </c>
      <c r="Y662" s="1850">
        <f t="shared" si="229"/>
        <v>0</v>
      </c>
      <c r="Z662" s="1850">
        <f t="shared" si="191"/>
        <v>0</v>
      </c>
      <c r="AA662" s="2733"/>
    </row>
    <row r="663" spans="1:27" ht="18.75" x14ac:dyDescent="0.25">
      <c r="A663" s="2456"/>
      <c r="B663" s="1849">
        <v>2031</v>
      </c>
      <c r="C663" s="218">
        <f t="shared" si="222"/>
        <v>0</v>
      </c>
      <c r="D663" s="218">
        <f t="shared" si="230"/>
        <v>0</v>
      </c>
      <c r="E663" s="218">
        <f t="shared" si="231"/>
        <v>0</v>
      </c>
      <c r="F663" s="218">
        <f t="shared" si="223"/>
        <v>0</v>
      </c>
      <c r="G663" s="218">
        <f t="shared" si="224"/>
        <v>0</v>
      </c>
      <c r="H663" s="218">
        <f t="shared" si="225"/>
        <v>0</v>
      </c>
      <c r="I663" s="218">
        <f t="shared" si="226"/>
        <v>0</v>
      </c>
      <c r="J663" s="218">
        <f t="shared" si="227"/>
        <v>0</v>
      </c>
      <c r="K663" s="218">
        <f t="shared" si="228"/>
        <v>0</v>
      </c>
      <c r="L663" s="192">
        <f t="shared" si="232"/>
        <v>0</v>
      </c>
      <c r="M663" s="211">
        <v>76</v>
      </c>
      <c r="N663" s="211">
        <f>(29.53*1.02)*0.7885*1.0824</f>
        <v>25.70710077144</v>
      </c>
      <c r="O663" s="211">
        <f>(42.96*1.02)*0.7885*1.0824</f>
        <v>37.398477790080001</v>
      </c>
      <c r="P663" s="211">
        <f>(16.43*1.02)*0.7885*1.0824</f>
        <v>14.303002562640001</v>
      </c>
      <c r="Q663" s="211">
        <f>(12.76*1.02)*0.7885*1.0824</f>
        <v>11.108113980480001</v>
      </c>
      <c r="R663" s="211">
        <f>(1.27*1.02)*0.7885*1.0824</f>
        <v>1.1055881469600002</v>
      </c>
      <c r="S663" s="211">
        <f>(0.0584*1.02)*0.7885*1.0824</f>
        <v>5.0839643923200006E-2</v>
      </c>
      <c r="T663" s="1850">
        <f t="shared" si="233"/>
        <v>0</v>
      </c>
      <c r="U663" s="1850">
        <f t="shared" si="229"/>
        <v>0</v>
      </c>
      <c r="V663" s="1850">
        <f t="shared" si="229"/>
        <v>0</v>
      </c>
      <c r="W663" s="1850">
        <f t="shared" si="229"/>
        <v>0</v>
      </c>
      <c r="X663" s="1850">
        <f t="shared" si="229"/>
        <v>0</v>
      </c>
      <c r="Y663" s="1850">
        <f t="shared" si="229"/>
        <v>0</v>
      </c>
      <c r="Z663" s="1850">
        <f t="shared" si="191"/>
        <v>0</v>
      </c>
      <c r="AA663" s="2733"/>
    </row>
    <row r="664" spans="1:27" ht="18.75" x14ac:dyDescent="0.25">
      <c r="A664" s="2456"/>
      <c r="B664" s="1849">
        <v>2032</v>
      </c>
      <c r="C664" s="218">
        <f t="shared" si="222"/>
        <v>0</v>
      </c>
      <c r="D664" s="218">
        <f t="shared" si="230"/>
        <v>0</v>
      </c>
      <c r="E664" s="218">
        <f t="shared" si="231"/>
        <v>0</v>
      </c>
      <c r="F664" s="218">
        <f t="shared" si="223"/>
        <v>0</v>
      </c>
      <c r="G664" s="218">
        <f t="shared" si="224"/>
        <v>0</v>
      </c>
      <c r="H664" s="218">
        <f t="shared" si="225"/>
        <v>0</v>
      </c>
      <c r="I664" s="218">
        <f t="shared" si="226"/>
        <v>0</v>
      </c>
      <c r="J664" s="218">
        <f t="shared" si="227"/>
        <v>0</v>
      </c>
      <c r="K664" s="218">
        <f t="shared" si="228"/>
        <v>0</v>
      </c>
      <c r="L664" s="192">
        <f t="shared" si="232"/>
        <v>0</v>
      </c>
      <c r="M664" s="211">
        <v>77</v>
      </c>
      <c r="N664" s="211">
        <f>(29.53*1.02)*0.773*1.0824</f>
        <v>25.201761441120002</v>
      </c>
      <c r="O664" s="211">
        <f>(42.96*1.02)*0.773*1.0824</f>
        <v>36.663314307840004</v>
      </c>
      <c r="P664" s="211">
        <f>(16.43*1.02)*0.773*1.0824</f>
        <v>14.021840178720002</v>
      </c>
      <c r="Q664" s="211">
        <f>(12.76*1.02)*0.773*1.0824</f>
        <v>10.889755367040001</v>
      </c>
      <c r="R664" s="211">
        <f>(1.27*1.02)*0.773*1.0824</f>
        <v>1.0838549620800002</v>
      </c>
      <c r="S664" s="211">
        <f>(0.0584*1.02)*0.773*1.0824</f>
        <v>4.9840259673600007E-2</v>
      </c>
      <c r="T664" s="1850">
        <f t="shared" si="233"/>
        <v>0</v>
      </c>
      <c r="U664" s="1850">
        <f t="shared" si="229"/>
        <v>0</v>
      </c>
      <c r="V664" s="1850">
        <f t="shared" si="229"/>
        <v>0</v>
      </c>
      <c r="W664" s="1850">
        <f t="shared" si="229"/>
        <v>0</v>
      </c>
      <c r="X664" s="1850">
        <f t="shared" si="229"/>
        <v>0</v>
      </c>
      <c r="Y664" s="1850">
        <f t="shared" si="229"/>
        <v>0</v>
      </c>
      <c r="Z664" s="1850">
        <f t="shared" si="191"/>
        <v>0</v>
      </c>
      <c r="AA664" s="2733"/>
    </row>
    <row r="665" spans="1:27" ht="18.75" x14ac:dyDescent="0.25">
      <c r="A665" s="2456"/>
      <c r="B665" s="1849">
        <v>2033</v>
      </c>
      <c r="C665" s="218">
        <f t="shared" si="222"/>
        <v>0</v>
      </c>
      <c r="D665" s="218">
        <f t="shared" si="230"/>
        <v>0</v>
      </c>
      <c r="E665" s="218">
        <f t="shared" si="231"/>
        <v>0</v>
      </c>
      <c r="F665" s="218">
        <f t="shared" si="223"/>
        <v>0</v>
      </c>
      <c r="G665" s="218">
        <f t="shared" si="224"/>
        <v>0</v>
      </c>
      <c r="H665" s="218">
        <f t="shared" si="225"/>
        <v>0</v>
      </c>
      <c r="I665" s="218">
        <f t="shared" si="226"/>
        <v>0</v>
      </c>
      <c r="J665" s="218">
        <f t="shared" si="227"/>
        <v>0</v>
      </c>
      <c r="K665" s="218">
        <f t="shared" si="228"/>
        <v>0</v>
      </c>
      <c r="L665" s="192">
        <f t="shared" si="232"/>
        <v>0</v>
      </c>
      <c r="M665" s="211">
        <v>78</v>
      </c>
      <c r="N665" s="211">
        <f>(29.53*1.02)*0.7579*1.0824</f>
        <v>24.709463125776001</v>
      </c>
      <c r="O665" s="211">
        <f>(42.96*1.02)*0.7579*1.0824</f>
        <v>35.947122786432004</v>
      </c>
      <c r="P665" s="211">
        <f>(16.43*1.02)*0.7579*1.0824</f>
        <v>13.747933598256003</v>
      </c>
      <c r="Q665" s="211">
        <f>(12.76*1.02)*0.7579*1.0824</f>
        <v>10.677031814592</v>
      </c>
      <c r="R665" s="211">
        <f>(1.27*1.02)*0.7579*1.0824</f>
        <v>1.0626826335840001</v>
      </c>
      <c r="S665" s="211">
        <f>(0.0584*1.02)*0.7579*1.0824</f>
        <v>4.8866665985280007E-2</v>
      </c>
      <c r="T665" s="1850">
        <f t="shared" si="233"/>
        <v>0</v>
      </c>
      <c r="U665" s="1850">
        <f t="shared" si="229"/>
        <v>0</v>
      </c>
      <c r="V665" s="1850">
        <f t="shared" si="229"/>
        <v>0</v>
      </c>
      <c r="W665" s="1850">
        <f t="shared" si="229"/>
        <v>0</v>
      </c>
      <c r="X665" s="1850">
        <f t="shared" si="229"/>
        <v>0</v>
      </c>
      <c r="Y665" s="1850">
        <f t="shared" si="229"/>
        <v>0</v>
      </c>
      <c r="Z665" s="1850">
        <f t="shared" si="191"/>
        <v>0</v>
      </c>
      <c r="AA665" s="2733"/>
    </row>
    <row r="666" spans="1:27" ht="18.75" x14ac:dyDescent="0.25">
      <c r="A666" s="2456"/>
      <c r="B666" s="1849">
        <v>2034</v>
      </c>
      <c r="C666" s="218">
        <f t="shared" si="222"/>
        <v>0</v>
      </c>
      <c r="D666" s="218">
        <f t="shared" si="230"/>
        <v>0</v>
      </c>
      <c r="E666" s="218">
        <f t="shared" si="231"/>
        <v>0</v>
      </c>
      <c r="F666" s="218">
        <f t="shared" si="223"/>
        <v>0</v>
      </c>
      <c r="G666" s="218">
        <f t="shared" si="224"/>
        <v>0</v>
      </c>
      <c r="H666" s="218">
        <f t="shared" si="225"/>
        <v>0</v>
      </c>
      <c r="I666" s="218">
        <f t="shared" si="226"/>
        <v>0</v>
      </c>
      <c r="J666" s="218">
        <f t="shared" si="227"/>
        <v>0</v>
      </c>
      <c r="K666" s="218">
        <f t="shared" si="228"/>
        <v>0</v>
      </c>
      <c r="L666" s="192">
        <f t="shared" si="232"/>
        <v>0</v>
      </c>
      <c r="M666" s="211">
        <v>79</v>
      </c>
      <c r="N666" s="211">
        <f>(29.53*1.02)*0.743*1.0824</f>
        <v>24.223685317920005</v>
      </c>
      <c r="O666" s="211">
        <f>(42.96*1.02)*0.743*1.0824</f>
        <v>35.24041724544</v>
      </c>
      <c r="P666" s="211">
        <f>(16.43*1.02)*0.743*1.0824</f>
        <v>13.477654919520001</v>
      </c>
      <c r="Q666" s="211">
        <f>(12.76*1.02)*0.743*1.0824</f>
        <v>10.467125792640001</v>
      </c>
      <c r="R666" s="211">
        <f>(1.27*1.02)*0.743*1.0824</f>
        <v>1.04179073328</v>
      </c>
      <c r="S666" s="211">
        <f>(0.0584*1.02)*0.743*1.0824</f>
        <v>4.7905967577600003E-2</v>
      </c>
      <c r="T666" s="1850">
        <f t="shared" si="233"/>
        <v>0</v>
      </c>
      <c r="U666" s="1850">
        <f t="shared" si="229"/>
        <v>0</v>
      </c>
      <c r="V666" s="1850">
        <f t="shared" si="229"/>
        <v>0</v>
      </c>
      <c r="W666" s="1850">
        <f t="shared" si="229"/>
        <v>0</v>
      </c>
      <c r="X666" s="1850">
        <f t="shared" si="229"/>
        <v>0</v>
      </c>
      <c r="Y666" s="1850">
        <f t="shared" si="229"/>
        <v>0</v>
      </c>
      <c r="Z666" s="1850">
        <f t="shared" si="191"/>
        <v>0</v>
      </c>
      <c r="AA666" s="2733"/>
    </row>
    <row r="667" spans="1:27" ht="18.75" x14ac:dyDescent="0.25">
      <c r="A667" s="2456"/>
      <c r="B667" s="1849">
        <v>2035</v>
      </c>
      <c r="C667" s="218">
        <f t="shared" si="222"/>
        <v>0</v>
      </c>
      <c r="D667" s="218">
        <f t="shared" si="230"/>
        <v>0</v>
      </c>
      <c r="E667" s="218">
        <f t="shared" si="231"/>
        <v>0</v>
      </c>
      <c r="F667" s="218">
        <f t="shared" si="223"/>
        <v>0</v>
      </c>
      <c r="G667" s="218">
        <f t="shared" si="224"/>
        <v>0</v>
      </c>
      <c r="H667" s="218">
        <f t="shared" si="225"/>
        <v>0</v>
      </c>
      <c r="I667" s="218">
        <f t="shared" si="226"/>
        <v>0</v>
      </c>
      <c r="J667" s="218">
        <f t="shared" si="227"/>
        <v>0</v>
      </c>
      <c r="K667" s="218">
        <f t="shared" si="228"/>
        <v>0</v>
      </c>
      <c r="L667" s="192">
        <f t="shared" si="232"/>
        <v>0</v>
      </c>
      <c r="M667" s="211">
        <v>80</v>
      </c>
      <c r="N667" s="211">
        <f>(29.53*1.02)*0.7284*1.0824</f>
        <v>23.747688271296006</v>
      </c>
      <c r="O667" s="211">
        <f>(42.96*1.02)*0.7284*1.0824</f>
        <v>34.547940675072006</v>
      </c>
      <c r="P667" s="211">
        <f>(16.43*1.02)*0.7284*1.0824</f>
        <v>13.212818093376002</v>
      </c>
      <c r="Q667" s="211">
        <f>(12.76*1.02)*0.7284*1.0824</f>
        <v>10.261446066432002</v>
      </c>
      <c r="R667" s="211">
        <f>(1.27*1.02)*0.7284*1.0824</f>
        <v>1.0213194752640002</v>
      </c>
      <c r="S667" s="211">
        <f>(0.0584*1.02)*0.7284*1.0824</f>
        <v>4.6964612090880008E-2</v>
      </c>
      <c r="T667" s="1850">
        <f t="shared" si="233"/>
        <v>0</v>
      </c>
      <c r="U667" s="1850">
        <f t="shared" si="229"/>
        <v>0</v>
      </c>
      <c r="V667" s="1850">
        <f t="shared" si="229"/>
        <v>0</v>
      </c>
      <c r="W667" s="1850">
        <f t="shared" si="229"/>
        <v>0</v>
      </c>
      <c r="X667" s="1850">
        <f t="shared" si="229"/>
        <v>0</v>
      </c>
      <c r="Y667" s="1850">
        <f t="shared" si="229"/>
        <v>0</v>
      </c>
      <c r="Z667" s="1850">
        <f t="shared" si="191"/>
        <v>0</v>
      </c>
      <c r="AA667" s="2733"/>
    </row>
    <row r="668" spans="1:27" ht="18.75" x14ac:dyDescent="0.25">
      <c r="A668" s="2456"/>
      <c r="B668" s="1849">
        <v>2036</v>
      </c>
      <c r="C668" s="218">
        <f t="shared" si="222"/>
        <v>0</v>
      </c>
      <c r="D668" s="218">
        <f t="shared" si="230"/>
        <v>0</v>
      </c>
      <c r="E668" s="218">
        <f t="shared" si="231"/>
        <v>0</v>
      </c>
      <c r="F668" s="218">
        <f t="shared" si="223"/>
        <v>0</v>
      </c>
      <c r="G668" s="218">
        <f t="shared" si="224"/>
        <v>0</v>
      </c>
      <c r="H668" s="218">
        <f t="shared" si="225"/>
        <v>0</v>
      </c>
      <c r="I668" s="218">
        <f t="shared" si="226"/>
        <v>0</v>
      </c>
      <c r="J668" s="218">
        <f t="shared" si="227"/>
        <v>0</v>
      </c>
      <c r="K668" s="218">
        <f t="shared" si="228"/>
        <v>0</v>
      </c>
      <c r="L668" s="192">
        <f t="shared" si="232"/>
        <v>0</v>
      </c>
      <c r="M668" s="211">
        <v>81</v>
      </c>
      <c r="N668" s="211">
        <f>(29.53*1.02)*0.7142*1.0824</f>
        <v>23.284732239648001</v>
      </c>
      <c r="O668" s="211">
        <f>(42.96*1.02)*0.7142*1.0824</f>
        <v>33.874436065536003</v>
      </c>
      <c r="P668" s="211">
        <f>(16.43*1.02)*0.7142*1.0824</f>
        <v>12.955237070688</v>
      </c>
      <c r="Q668" s="211">
        <f>(12.76*1.02)*0.7142*1.0824</f>
        <v>10.061401401215999</v>
      </c>
      <c r="R668" s="211">
        <f>(1.27*1.02)*0.7142*1.0824</f>
        <v>1.001409073632</v>
      </c>
      <c r="S668" s="211">
        <f>(0.0584*1.02)*0.7142*1.0824</f>
        <v>4.6049047165439998E-2</v>
      </c>
      <c r="T668" s="1850">
        <f t="shared" si="233"/>
        <v>0</v>
      </c>
      <c r="U668" s="1850">
        <f t="shared" si="229"/>
        <v>0</v>
      </c>
      <c r="V668" s="1850">
        <f t="shared" si="229"/>
        <v>0</v>
      </c>
      <c r="W668" s="1850">
        <f t="shared" si="229"/>
        <v>0</v>
      </c>
      <c r="X668" s="1850">
        <f t="shared" si="229"/>
        <v>0</v>
      </c>
      <c r="Y668" s="1850">
        <f t="shared" si="229"/>
        <v>0</v>
      </c>
      <c r="Z668" s="1850">
        <f t="shared" si="191"/>
        <v>0</v>
      </c>
      <c r="AA668" s="2733"/>
    </row>
    <row r="669" spans="1:27" ht="18.75" x14ac:dyDescent="0.25">
      <c r="A669" s="2456"/>
      <c r="B669" s="1849">
        <v>2037</v>
      </c>
      <c r="C669" s="218">
        <f t="shared" si="222"/>
        <v>0</v>
      </c>
      <c r="D669" s="218">
        <f t="shared" si="230"/>
        <v>0</v>
      </c>
      <c r="E669" s="218">
        <f t="shared" si="231"/>
        <v>0</v>
      </c>
      <c r="F669" s="218">
        <f t="shared" si="223"/>
        <v>0</v>
      </c>
      <c r="G669" s="218">
        <f t="shared" si="224"/>
        <v>0</v>
      </c>
      <c r="H669" s="218">
        <f t="shared" si="225"/>
        <v>0</v>
      </c>
      <c r="I669" s="218">
        <f t="shared" si="226"/>
        <v>0</v>
      </c>
      <c r="J669" s="218">
        <f t="shared" si="227"/>
        <v>0</v>
      </c>
      <c r="K669" s="218">
        <f t="shared" si="228"/>
        <v>0</v>
      </c>
      <c r="L669" s="192">
        <f t="shared" si="232"/>
        <v>0</v>
      </c>
      <c r="M669" s="211">
        <v>83</v>
      </c>
      <c r="N669" s="211">
        <f>(29.53*1.02)*0.7002*1.0824</f>
        <v>22.828296715488005</v>
      </c>
      <c r="O669" s="211">
        <f>(42.96*1.02)*0.7002*1.0824</f>
        <v>33.210417436416002</v>
      </c>
      <c r="P669" s="211">
        <f>(16.43*1.02)*0.7002*1.0824</f>
        <v>12.701283949728003</v>
      </c>
      <c r="Q669" s="211">
        <f>(12.76*1.02)*0.7002*1.0824</f>
        <v>9.8641742664960006</v>
      </c>
      <c r="R669" s="211">
        <f>(1.27*1.02)*0.7002*1.0824</f>
        <v>0.9817791001920001</v>
      </c>
      <c r="S669" s="211">
        <f>(0.0584*1.02)*0.7002*1.0824</f>
        <v>4.5146377520640005E-2</v>
      </c>
      <c r="T669" s="1850">
        <f t="shared" si="233"/>
        <v>0</v>
      </c>
      <c r="U669" s="1850">
        <f t="shared" si="229"/>
        <v>0</v>
      </c>
      <c r="V669" s="1850">
        <f t="shared" si="229"/>
        <v>0</v>
      </c>
      <c r="W669" s="1850">
        <f t="shared" si="229"/>
        <v>0</v>
      </c>
      <c r="X669" s="1850">
        <f t="shared" si="229"/>
        <v>0</v>
      </c>
      <c r="Y669" s="1850">
        <f t="shared" si="229"/>
        <v>0</v>
      </c>
      <c r="Z669" s="1850">
        <f t="shared" si="191"/>
        <v>0</v>
      </c>
      <c r="AA669" s="2733"/>
    </row>
    <row r="670" spans="1:27" ht="18.75" x14ac:dyDescent="0.25">
      <c r="A670" s="2456"/>
      <c r="B670" s="1849">
        <v>2038</v>
      </c>
      <c r="C670" s="218">
        <f t="shared" si="222"/>
        <v>0</v>
      </c>
      <c r="D670" s="218">
        <f t="shared" si="230"/>
        <v>0</v>
      </c>
      <c r="E670" s="218">
        <f t="shared" si="231"/>
        <v>0</v>
      </c>
      <c r="F670" s="218">
        <f t="shared" si="223"/>
        <v>0</v>
      </c>
      <c r="G670" s="218">
        <f t="shared" si="224"/>
        <v>0</v>
      </c>
      <c r="H670" s="218">
        <f t="shared" si="225"/>
        <v>0</v>
      </c>
      <c r="I670" s="218">
        <f t="shared" si="226"/>
        <v>0</v>
      </c>
      <c r="J670" s="218">
        <f t="shared" si="227"/>
        <v>0</v>
      </c>
      <c r="K670" s="218">
        <f t="shared" si="228"/>
        <v>0</v>
      </c>
      <c r="L670" s="192">
        <f t="shared" si="232"/>
        <v>0</v>
      </c>
      <c r="M670" s="211">
        <v>84</v>
      </c>
      <c r="N670" s="211">
        <f>(29.53*1.02)*0.6864*1.0824</f>
        <v>22.378381698816003</v>
      </c>
      <c r="O670" s="211">
        <f>(42.96*1.02)*0.6864*1.0824</f>
        <v>32.555884787712003</v>
      </c>
      <c r="P670" s="211">
        <f>(16.43*1.02)*0.6864*1.0824</f>
        <v>12.450958730496001</v>
      </c>
      <c r="Q670" s="211">
        <f>(12.76*1.02)*0.6864*1.0824</f>
        <v>9.6697646622720015</v>
      </c>
      <c r="R670" s="211">
        <f>(1.27*1.02)*0.6864*1.0824</f>
        <v>0.96242955494400007</v>
      </c>
      <c r="S670" s="211">
        <f>(0.0584*1.02)*0.6864*1.0824</f>
        <v>4.4256603156480001E-2</v>
      </c>
      <c r="T670" s="1850">
        <f t="shared" si="233"/>
        <v>0</v>
      </c>
      <c r="U670" s="1850">
        <f t="shared" si="229"/>
        <v>0</v>
      </c>
      <c r="V670" s="1850">
        <f t="shared" si="229"/>
        <v>0</v>
      </c>
      <c r="W670" s="1850">
        <f t="shared" si="229"/>
        <v>0</v>
      </c>
      <c r="X670" s="1850">
        <f t="shared" si="229"/>
        <v>0</v>
      </c>
      <c r="Y670" s="1850">
        <f t="shared" si="229"/>
        <v>0</v>
      </c>
      <c r="Z670" s="1850">
        <f t="shared" si="191"/>
        <v>0</v>
      </c>
      <c r="AA670" s="2733"/>
    </row>
    <row r="671" spans="1:27" ht="18.75" x14ac:dyDescent="0.25">
      <c r="A671" s="2456"/>
      <c r="B671" s="1849">
        <v>2039</v>
      </c>
      <c r="C671" s="218">
        <f t="shared" si="222"/>
        <v>0</v>
      </c>
      <c r="D671" s="218">
        <f t="shared" si="230"/>
        <v>0</v>
      </c>
      <c r="E671" s="218">
        <f t="shared" si="231"/>
        <v>0</v>
      </c>
      <c r="F671" s="218">
        <f t="shared" si="223"/>
        <v>0</v>
      </c>
      <c r="G671" s="218">
        <f t="shared" si="224"/>
        <v>0</v>
      </c>
      <c r="H671" s="218">
        <f t="shared" si="225"/>
        <v>0</v>
      </c>
      <c r="I671" s="218">
        <f t="shared" si="226"/>
        <v>0</v>
      </c>
      <c r="J671" s="218">
        <f t="shared" si="227"/>
        <v>0</v>
      </c>
      <c r="K671" s="218">
        <f t="shared" si="228"/>
        <v>0</v>
      </c>
      <c r="L671" s="192">
        <f t="shared" si="232"/>
        <v>0</v>
      </c>
      <c r="M671" s="211">
        <v>85</v>
      </c>
      <c r="N671" s="211">
        <f>(29.53*1.02)*0.673*1.0824</f>
        <v>21.941507697120006</v>
      </c>
      <c r="O671" s="211">
        <f>(42.96*1.02)*0.673*1.0824</f>
        <v>31.920324099840006</v>
      </c>
      <c r="P671" s="211">
        <f>(16.43*1.02)*0.673*1.0824</f>
        <v>12.207889314720003</v>
      </c>
      <c r="Q671" s="211">
        <f>(12.76*1.02)*0.673*1.0824</f>
        <v>9.4809901190400012</v>
      </c>
      <c r="R671" s="211">
        <f>(1.27*1.02)*0.673*1.0824</f>
        <v>0.9436408660800002</v>
      </c>
      <c r="S671" s="211">
        <f>(0.0584*1.02)*0.673*1.0824</f>
        <v>4.3392619353600011E-2</v>
      </c>
      <c r="T671" s="1850">
        <f t="shared" si="233"/>
        <v>0</v>
      </c>
      <c r="U671" s="1850">
        <f t="shared" si="229"/>
        <v>0</v>
      </c>
      <c r="V671" s="1850">
        <f t="shared" si="229"/>
        <v>0</v>
      </c>
      <c r="W671" s="1850">
        <f t="shared" si="229"/>
        <v>0</v>
      </c>
      <c r="X671" s="1850">
        <f t="shared" si="229"/>
        <v>0</v>
      </c>
      <c r="Y671" s="1850">
        <f t="shared" si="229"/>
        <v>0</v>
      </c>
      <c r="Z671" s="1850">
        <f t="shared" si="191"/>
        <v>0</v>
      </c>
      <c r="AA671" s="2733"/>
    </row>
    <row r="672" spans="1:27" ht="18.75" x14ac:dyDescent="0.25">
      <c r="A672" s="2456"/>
      <c r="B672" s="1849">
        <v>2040</v>
      </c>
      <c r="C672" s="218">
        <f t="shared" si="222"/>
        <v>0</v>
      </c>
      <c r="D672" s="218">
        <f t="shared" si="230"/>
        <v>0</v>
      </c>
      <c r="E672" s="218">
        <f t="shared" si="231"/>
        <v>0</v>
      </c>
      <c r="F672" s="218">
        <f t="shared" si="223"/>
        <v>0</v>
      </c>
      <c r="G672" s="218">
        <f t="shared" si="224"/>
        <v>0</v>
      </c>
      <c r="H672" s="218">
        <f t="shared" si="225"/>
        <v>0</v>
      </c>
      <c r="I672" s="218">
        <f t="shared" si="226"/>
        <v>0</v>
      </c>
      <c r="J672" s="218">
        <f t="shared" si="227"/>
        <v>0</v>
      </c>
      <c r="K672" s="218">
        <f t="shared" si="228"/>
        <v>0</v>
      </c>
      <c r="L672" s="192">
        <f t="shared" si="232"/>
        <v>0</v>
      </c>
      <c r="M672" s="211">
        <v>86</v>
      </c>
      <c r="N672" s="211">
        <f>(29.53*1.02)*0.6598*1.0824</f>
        <v>21.511154202912003</v>
      </c>
      <c r="O672" s="211">
        <f>(42.96*1.02)*0.6598*1.0824</f>
        <v>31.294249392384003</v>
      </c>
      <c r="P672" s="211">
        <f>(16.43*1.02)*0.6598*1.0824</f>
        <v>11.968447800672001</v>
      </c>
      <c r="Q672" s="211">
        <f>(12.76*1.02)*0.6598*1.0824</f>
        <v>9.2950331063040004</v>
      </c>
      <c r="R672" s="211">
        <f>(1.27*1.02)*0.6598*1.0824</f>
        <v>0.92513260540800013</v>
      </c>
      <c r="S672" s="211">
        <f>(0.0584*1.02)*0.6598*1.0824</f>
        <v>4.254153083136001E-2</v>
      </c>
      <c r="T672" s="1850">
        <f t="shared" si="233"/>
        <v>0</v>
      </c>
      <c r="U672" s="1850">
        <f t="shared" si="229"/>
        <v>0</v>
      </c>
      <c r="V672" s="1850">
        <f t="shared" si="229"/>
        <v>0</v>
      </c>
      <c r="W672" s="1850">
        <f t="shared" si="229"/>
        <v>0</v>
      </c>
      <c r="X672" s="1850">
        <f t="shared" si="229"/>
        <v>0</v>
      </c>
      <c r="Y672" s="1850">
        <f t="shared" si="229"/>
        <v>0</v>
      </c>
      <c r="Z672" s="1850">
        <f t="shared" si="191"/>
        <v>0</v>
      </c>
      <c r="AA672" s="2733"/>
    </row>
    <row r="673" spans="1:27" ht="18.75" x14ac:dyDescent="0.25">
      <c r="A673" s="2456"/>
      <c r="B673" s="1849">
        <v>2041</v>
      </c>
      <c r="C673" s="218">
        <f t="shared" si="222"/>
        <v>0</v>
      </c>
      <c r="D673" s="218">
        <f t="shared" si="230"/>
        <v>0</v>
      </c>
      <c r="E673" s="218">
        <f t="shared" si="231"/>
        <v>0</v>
      </c>
      <c r="F673" s="218">
        <f t="shared" si="223"/>
        <v>0</v>
      </c>
      <c r="G673" s="218">
        <f t="shared" si="224"/>
        <v>0</v>
      </c>
      <c r="H673" s="218">
        <f t="shared" si="225"/>
        <v>0</v>
      </c>
      <c r="I673" s="218">
        <f t="shared" si="226"/>
        <v>0</v>
      </c>
      <c r="J673" s="218">
        <f t="shared" si="227"/>
        <v>0</v>
      </c>
      <c r="K673" s="218">
        <f t="shared" si="228"/>
        <v>0</v>
      </c>
      <c r="L673" s="192">
        <f t="shared" si="232"/>
        <v>0</v>
      </c>
      <c r="M673" s="211">
        <v>87</v>
      </c>
      <c r="N673" s="211">
        <f>(29.53*1.02)*0.6468*1.0824</f>
        <v>21.087321216192002</v>
      </c>
      <c r="O673" s="211">
        <f>(42.96*1.02)*0.6468*1.0824</f>
        <v>30.677660665344007</v>
      </c>
      <c r="P673" s="211">
        <f>(16.43*1.02)*0.6468*1.0824</f>
        <v>11.732634188352002</v>
      </c>
      <c r="Q673" s="211">
        <f>(12.76*1.02)*0.6468*1.0824</f>
        <v>9.1118936240640007</v>
      </c>
      <c r="R673" s="211">
        <f>(1.27*1.02)*0.6468*1.0824</f>
        <v>0.9069047729280002</v>
      </c>
      <c r="S673" s="211">
        <f>(0.0584*1.02)*0.6468*1.0824</f>
        <v>4.1703337589760005E-2</v>
      </c>
      <c r="T673" s="1850">
        <f t="shared" si="233"/>
        <v>0</v>
      </c>
      <c r="U673" s="1850">
        <f t="shared" si="229"/>
        <v>0</v>
      </c>
      <c r="V673" s="1850">
        <f t="shared" si="229"/>
        <v>0</v>
      </c>
      <c r="W673" s="1850">
        <f t="shared" si="229"/>
        <v>0</v>
      </c>
      <c r="X673" s="1850">
        <f t="shared" si="229"/>
        <v>0</v>
      </c>
      <c r="Y673" s="1850">
        <f t="shared" si="229"/>
        <v>0</v>
      </c>
      <c r="Z673" s="1850">
        <f t="shared" si="191"/>
        <v>0</v>
      </c>
      <c r="AA673" s="2733"/>
    </row>
    <row r="674" spans="1:27" ht="18.75" x14ac:dyDescent="0.25">
      <c r="A674" s="2456"/>
      <c r="B674" s="1849">
        <v>2042</v>
      </c>
      <c r="C674" s="218">
        <f t="shared" si="222"/>
        <v>0</v>
      </c>
      <c r="D674" s="218">
        <f t="shared" si="230"/>
        <v>0</v>
      </c>
      <c r="E674" s="218">
        <f t="shared" si="231"/>
        <v>0</v>
      </c>
      <c r="F674" s="218">
        <f t="shared" si="223"/>
        <v>0</v>
      </c>
      <c r="G674" s="218">
        <f t="shared" si="224"/>
        <v>0</v>
      </c>
      <c r="H674" s="218">
        <f t="shared" si="225"/>
        <v>0</v>
      </c>
      <c r="I674" s="218">
        <f t="shared" si="226"/>
        <v>0</v>
      </c>
      <c r="J674" s="218">
        <f t="shared" si="227"/>
        <v>0</v>
      </c>
      <c r="K674" s="218">
        <f t="shared" si="228"/>
        <v>0</v>
      </c>
      <c r="L674" s="192">
        <f t="shared" si="232"/>
        <v>0</v>
      </c>
      <c r="M674" s="211">
        <v>88</v>
      </c>
      <c r="N674" s="211">
        <f>(29.53*1.02)*0.6342*1.0824</f>
        <v>20.676529244448002</v>
      </c>
      <c r="O674" s="211">
        <f>(42.96*1.02)*0.6342*1.0824</f>
        <v>30.080043899136001</v>
      </c>
      <c r="P674" s="211">
        <f>(16.43*1.02)*0.6342*1.0824</f>
        <v>11.504076379488001</v>
      </c>
      <c r="Q674" s="211">
        <f>(12.76*1.02)*0.6342*1.0824</f>
        <v>8.9343892028159999</v>
      </c>
      <c r="R674" s="211">
        <f>(1.27*1.02)*0.6342*1.0824</f>
        <v>0.8892377968320001</v>
      </c>
      <c r="S674" s="211">
        <f>(0.0584*1.02)*0.6342*1.0824</f>
        <v>4.0890934909439999E-2</v>
      </c>
      <c r="T674" s="1850">
        <f t="shared" si="233"/>
        <v>0</v>
      </c>
      <c r="U674" s="1850">
        <f t="shared" si="229"/>
        <v>0</v>
      </c>
      <c r="V674" s="1850">
        <f t="shared" si="229"/>
        <v>0</v>
      </c>
      <c r="W674" s="1850">
        <f t="shared" si="229"/>
        <v>0</v>
      </c>
      <c r="X674" s="1850">
        <f t="shared" si="229"/>
        <v>0</v>
      </c>
      <c r="Y674" s="1850">
        <f t="shared" si="229"/>
        <v>0</v>
      </c>
      <c r="Z674" s="1850">
        <f t="shared" si="191"/>
        <v>0</v>
      </c>
      <c r="AA674" s="2733"/>
    </row>
    <row r="675" spans="1:27" ht="18.75" x14ac:dyDescent="0.25">
      <c r="A675" s="2456"/>
      <c r="B675" s="1849">
        <v>2043</v>
      </c>
      <c r="C675" s="218">
        <f t="shared" si="222"/>
        <v>0</v>
      </c>
      <c r="D675" s="218">
        <f t="shared" si="230"/>
        <v>0</v>
      </c>
      <c r="E675" s="218">
        <f t="shared" si="231"/>
        <v>0</v>
      </c>
      <c r="F675" s="218">
        <f t="shared" si="223"/>
        <v>0</v>
      </c>
      <c r="G675" s="218">
        <f t="shared" si="224"/>
        <v>0</v>
      </c>
      <c r="H675" s="218">
        <f t="shared" si="225"/>
        <v>0</v>
      </c>
      <c r="I675" s="218">
        <f t="shared" si="226"/>
        <v>0</v>
      </c>
      <c r="J675" s="218">
        <f t="shared" si="227"/>
        <v>0</v>
      </c>
      <c r="K675" s="218">
        <f t="shared" si="228"/>
        <v>0</v>
      </c>
      <c r="L675" s="192">
        <f t="shared" si="232"/>
        <v>0</v>
      </c>
      <c r="M675" s="211">
        <v>89</v>
      </c>
      <c r="N675" s="211">
        <f>(29.53*1.02)*0.6217*1.0824</f>
        <v>20.268997526448004</v>
      </c>
      <c r="O675" s="211">
        <f>(42.96*1.02)*0.6217*1.0824</f>
        <v>29.487170123136003</v>
      </c>
      <c r="P675" s="211">
        <f>(16.43*1.02)*0.6217*1.0824</f>
        <v>11.277332521488001</v>
      </c>
      <c r="Q675" s="211">
        <f>(12.76*1.02)*0.6217*1.0824</f>
        <v>8.7582935468160006</v>
      </c>
      <c r="R675" s="211">
        <f>(1.27*1.02)*0.6217*1.0824</f>
        <v>0.87171103483200019</v>
      </c>
      <c r="S675" s="211">
        <f>(0.0584*1.02)*0.6217*1.0824</f>
        <v>4.0084979869440006E-2</v>
      </c>
      <c r="T675" s="1850">
        <f t="shared" si="233"/>
        <v>0</v>
      </c>
      <c r="U675" s="1850">
        <f t="shared" si="229"/>
        <v>0</v>
      </c>
      <c r="V675" s="1850">
        <f t="shared" si="229"/>
        <v>0</v>
      </c>
      <c r="W675" s="1850">
        <f t="shared" si="229"/>
        <v>0</v>
      </c>
      <c r="X675" s="1850">
        <f t="shared" si="229"/>
        <v>0</v>
      </c>
      <c r="Y675" s="1850">
        <f t="shared" si="229"/>
        <v>0</v>
      </c>
      <c r="Z675" s="1850">
        <f t="shared" si="191"/>
        <v>0</v>
      </c>
      <c r="AA675" s="2733"/>
    </row>
    <row r="676" spans="1:27" ht="18.75" x14ac:dyDescent="0.25">
      <c r="A676" s="2456"/>
      <c r="B676" s="1849">
        <v>2044</v>
      </c>
      <c r="C676" s="218">
        <f t="shared" si="222"/>
        <v>0</v>
      </c>
      <c r="D676" s="218">
        <f t="shared" si="230"/>
        <v>0</v>
      </c>
      <c r="E676" s="218">
        <f t="shared" si="231"/>
        <v>0</v>
      </c>
      <c r="F676" s="218">
        <f t="shared" si="223"/>
        <v>0</v>
      </c>
      <c r="G676" s="218">
        <f t="shared" si="224"/>
        <v>0</v>
      </c>
      <c r="H676" s="218">
        <f t="shared" si="225"/>
        <v>0</v>
      </c>
      <c r="I676" s="218">
        <f t="shared" si="226"/>
        <v>0</v>
      </c>
      <c r="J676" s="218">
        <f t="shared" si="227"/>
        <v>0</v>
      </c>
      <c r="K676" s="218">
        <f t="shared" si="228"/>
        <v>0</v>
      </c>
      <c r="L676" s="192">
        <f t="shared" si="232"/>
        <v>0</v>
      </c>
      <c r="M676" s="211">
        <v>90</v>
      </c>
      <c r="N676" s="211">
        <f>(29.53*1.02)*0.6095*1.0824</f>
        <v>19.871246569680004</v>
      </c>
      <c r="O676" s="211">
        <f>(42.96*1.02)*0.6095*1.0824</f>
        <v>28.908525317760002</v>
      </c>
      <c r="P676" s="211">
        <f>(16.43*1.02)*0.6095*1.0824</f>
        <v>11.056030516080002</v>
      </c>
      <c r="Q676" s="211">
        <f>(12.76*1.02)*0.6095*1.0824</f>
        <v>8.5864241865600004</v>
      </c>
      <c r="R676" s="211">
        <f>(1.27*1.02)*0.6095*1.0824</f>
        <v>0.85460491512000014</v>
      </c>
      <c r="S676" s="211">
        <f>(0.0584*1.02)*0.6095*1.0824</f>
        <v>3.9298367750400007E-2</v>
      </c>
      <c r="T676" s="1850">
        <f t="shared" si="233"/>
        <v>0</v>
      </c>
      <c r="U676" s="1850">
        <f t="shared" si="229"/>
        <v>0</v>
      </c>
      <c r="V676" s="1850">
        <f t="shared" si="229"/>
        <v>0</v>
      </c>
      <c r="W676" s="1850">
        <f t="shared" si="229"/>
        <v>0</v>
      </c>
      <c r="X676" s="1850">
        <f t="shared" si="229"/>
        <v>0</v>
      </c>
      <c r="Y676" s="1850">
        <f t="shared" si="229"/>
        <v>0</v>
      </c>
      <c r="Z676" s="1850">
        <f t="shared" si="191"/>
        <v>0</v>
      </c>
      <c r="AA676" s="2733"/>
    </row>
    <row r="677" spans="1:27" ht="18.75" x14ac:dyDescent="0.25">
      <c r="A677" s="2456"/>
      <c r="B677" s="1849">
        <v>2045</v>
      </c>
      <c r="C677" s="218">
        <f t="shared" si="222"/>
        <v>0</v>
      </c>
      <c r="D677" s="218">
        <f t="shared" si="230"/>
        <v>0</v>
      </c>
      <c r="E677" s="218">
        <f t="shared" si="231"/>
        <v>0</v>
      </c>
      <c r="F677" s="218">
        <f t="shared" si="223"/>
        <v>0</v>
      </c>
      <c r="G677" s="218">
        <f t="shared" si="224"/>
        <v>0</v>
      </c>
      <c r="H677" s="218">
        <f t="shared" si="225"/>
        <v>0</v>
      </c>
      <c r="I677" s="218">
        <f t="shared" si="226"/>
        <v>0</v>
      </c>
      <c r="J677" s="218">
        <f t="shared" si="227"/>
        <v>0</v>
      </c>
      <c r="K677" s="218">
        <f t="shared" si="228"/>
        <v>0</v>
      </c>
      <c r="L677" s="192">
        <f t="shared" si="232"/>
        <v>0</v>
      </c>
      <c r="M677" s="211">
        <v>92</v>
      </c>
      <c r="N677" s="211">
        <f>(29.53*1.02)*0.5976*1.0824</f>
        <v>19.483276374144001</v>
      </c>
      <c r="O677" s="211">
        <f>(42.96*1.02)*0.5976*1.0824</f>
        <v>28.344109483008001</v>
      </c>
      <c r="P677" s="211">
        <f>(16.43*1.02)*0.5976*1.0824</f>
        <v>10.840170363264003</v>
      </c>
      <c r="Q677" s="211">
        <f>(12.76*1.02)*0.5976*1.0824</f>
        <v>8.4187811220480011</v>
      </c>
      <c r="R677" s="211">
        <f>(1.27*1.02)*0.5976*1.0824</f>
        <v>0.83791943769600008</v>
      </c>
      <c r="S677" s="211">
        <f>(0.0584*1.02)*0.5976*1.0824</f>
        <v>3.8531098552320009E-2</v>
      </c>
      <c r="T677" s="1850">
        <f t="shared" si="233"/>
        <v>0</v>
      </c>
      <c r="U677" s="1850">
        <f t="shared" si="229"/>
        <v>0</v>
      </c>
      <c r="V677" s="1850">
        <f t="shared" si="229"/>
        <v>0</v>
      </c>
      <c r="W677" s="1850">
        <f t="shared" si="229"/>
        <v>0</v>
      </c>
      <c r="X677" s="1850">
        <f t="shared" si="229"/>
        <v>0</v>
      </c>
      <c r="Y677" s="1850">
        <f t="shared" si="229"/>
        <v>0</v>
      </c>
      <c r="Z677" s="1850">
        <f t="shared" si="191"/>
        <v>0</v>
      </c>
      <c r="AA677" s="2733"/>
    </row>
    <row r="678" spans="1:27" ht="18.75" x14ac:dyDescent="0.25">
      <c r="A678" s="2456"/>
      <c r="B678" s="1849">
        <v>2046</v>
      </c>
      <c r="C678" s="218">
        <f t="shared" si="222"/>
        <v>0</v>
      </c>
      <c r="D678" s="218">
        <f t="shared" si="230"/>
        <v>0</v>
      </c>
      <c r="E678" s="218">
        <f t="shared" si="231"/>
        <v>0</v>
      </c>
      <c r="F678" s="218">
        <f t="shared" si="223"/>
        <v>0</v>
      </c>
      <c r="G678" s="218">
        <f t="shared" si="224"/>
        <v>0</v>
      </c>
      <c r="H678" s="218">
        <f t="shared" si="225"/>
        <v>0</v>
      </c>
      <c r="I678" s="218">
        <f t="shared" si="226"/>
        <v>0</v>
      </c>
      <c r="J678" s="218">
        <f t="shared" si="227"/>
        <v>0</v>
      </c>
      <c r="K678" s="218">
        <f t="shared" si="228"/>
        <v>0</v>
      </c>
      <c r="L678" s="192">
        <f t="shared" si="232"/>
        <v>0</v>
      </c>
      <c r="M678" s="211">
        <v>93</v>
      </c>
      <c r="N678" s="211">
        <f>(29.53*1.02)*0.5859*1.0824</f>
        <v>19.101826686096</v>
      </c>
      <c r="O678" s="211">
        <f>(42.96*1.02)*0.5859*1.0824</f>
        <v>27.789179628671999</v>
      </c>
      <c r="P678" s="211">
        <f>(16.43*1.02)*0.5859*1.0824</f>
        <v>10.627938112176002</v>
      </c>
      <c r="Q678" s="211">
        <f>(12.76*1.02)*0.5859*1.0824</f>
        <v>8.2539555880319995</v>
      </c>
      <c r="R678" s="211">
        <f>(1.27*1.02)*0.5859*1.0824</f>
        <v>0.82151438846400004</v>
      </c>
      <c r="S678" s="211">
        <f>(0.0584*1.02)*0.5859*1.0824</f>
        <v>3.777672463488E-2</v>
      </c>
      <c r="T678" s="1850">
        <f t="shared" si="233"/>
        <v>0</v>
      </c>
      <c r="U678" s="1850">
        <f t="shared" si="229"/>
        <v>0</v>
      </c>
      <c r="V678" s="1850">
        <f t="shared" si="229"/>
        <v>0</v>
      </c>
      <c r="W678" s="1850">
        <f t="shared" si="229"/>
        <v>0</v>
      </c>
      <c r="X678" s="1850">
        <f t="shared" si="229"/>
        <v>0</v>
      </c>
      <c r="Y678" s="1850">
        <f t="shared" si="229"/>
        <v>0</v>
      </c>
      <c r="Z678" s="1850">
        <f t="shared" si="191"/>
        <v>0</v>
      </c>
      <c r="AA678" s="2733"/>
    </row>
    <row r="679" spans="1:27" ht="18.75" x14ac:dyDescent="0.25">
      <c r="A679" s="2456"/>
      <c r="B679" s="1849">
        <v>2047</v>
      </c>
      <c r="C679" s="218">
        <f t="shared" si="222"/>
        <v>0</v>
      </c>
      <c r="D679" s="218">
        <f t="shared" si="230"/>
        <v>0</v>
      </c>
      <c r="E679" s="218">
        <f t="shared" si="231"/>
        <v>0</v>
      </c>
      <c r="F679" s="218">
        <f t="shared" si="223"/>
        <v>0</v>
      </c>
      <c r="G679" s="218">
        <f t="shared" si="224"/>
        <v>0</v>
      </c>
      <c r="H679" s="218">
        <f t="shared" si="225"/>
        <v>0</v>
      </c>
      <c r="I679" s="218">
        <f t="shared" si="226"/>
        <v>0</v>
      </c>
      <c r="J679" s="218">
        <f t="shared" si="227"/>
        <v>0</v>
      </c>
      <c r="K679" s="218">
        <f t="shared" si="228"/>
        <v>0</v>
      </c>
      <c r="L679" s="192">
        <f t="shared" si="232"/>
        <v>0</v>
      </c>
      <c r="M679" s="211">
        <v>94</v>
      </c>
      <c r="N679" s="211">
        <f>(29.53*1.02)*0.5744*1.0824</f>
        <v>18.726897505536005</v>
      </c>
      <c r="O679" s="211">
        <f>(42.96*1.02)*0.5744*1.0824</f>
        <v>27.243735754752002</v>
      </c>
      <c r="P679" s="211">
        <f>(16.43*1.02)*0.5744*1.0824</f>
        <v>10.419333762816001</v>
      </c>
      <c r="Q679" s="211">
        <f>(12.76*1.02)*0.5744*1.0824</f>
        <v>8.0919475845120008</v>
      </c>
      <c r="R679" s="211">
        <f>(1.27*1.02)*0.5744*1.0824</f>
        <v>0.80538976742400015</v>
      </c>
      <c r="S679" s="211">
        <f>(0.0584*1.02)*0.5744*1.0824</f>
        <v>3.7035245998080002E-2</v>
      </c>
      <c r="T679" s="1850">
        <f t="shared" si="233"/>
        <v>0</v>
      </c>
      <c r="U679" s="1850">
        <f t="shared" si="229"/>
        <v>0</v>
      </c>
      <c r="V679" s="1850">
        <f t="shared" si="229"/>
        <v>0</v>
      </c>
      <c r="W679" s="1850">
        <f t="shared" si="229"/>
        <v>0</v>
      </c>
      <c r="X679" s="1850">
        <f t="shared" si="229"/>
        <v>0</v>
      </c>
      <c r="Y679" s="1850">
        <f t="shared" si="229"/>
        <v>0</v>
      </c>
      <c r="Z679" s="1850">
        <f t="shared" si="191"/>
        <v>0</v>
      </c>
      <c r="AA679" s="2733"/>
    </row>
    <row r="680" spans="1:27" ht="18.75" x14ac:dyDescent="0.25">
      <c r="A680" s="2456"/>
      <c r="B680" s="1849">
        <v>2048</v>
      </c>
      <c r="C680" s="218">
        <f t="shared" si="222"/>
        <v>0</v>
      </c>
      <c r="D680" s="218">
        <f t="shared" si="230"/>
        <v>0</v>
      </c>
      <c r="E680" s="218">
        <f t="shared" si="231"/>
        <v>0</v>
      </c>
      <c r="F680" s="218">
        <f t="shared" si="223"/>
        <v>0</v>
      </c>
      <c r="G680" s="218">
        <f t="shared" si="224"/>
        <v>0</v>
      </c>
      <c r="H680" s="218">
        <f t="shared" si="225"/>
        <v>0</v>
      </c>
      <c r="I680" s="218">
        <f t="shared" si="226"/>
        <v>0</v>
      </c>
      <c r="J680" s="218">
        <f t="shared" si="227"/>
        <v>0</v>
      </c>
      <c r="K680" s="218">
        <f t="shared" si="228"/>
        <v>0</v>
      </c>
      <c r="L680" s="192">
        <f t="shared" si="232"/>
        <v>0</v>
      </c>
      <c r="M680" s="211">
        <v>95</v>
      </c>
      <c r="N680" s="211">
        <f>(29.53*1.02)*0.5631*1.0824</f>
        <v>18.358488832464005</v>
      </c>
      <c r="O680" s="211">
        <f>(42.96*1.02)*0.5631*1.0824</f>
        <v>26.707777861248005</v>
      </c>
      <c r="P680" s="211">
        <f>(16.43*1.02)*0.5631*1.0824</f>
        <v>10.214357315184001</v>
      </c>
      <c r="Q680" s="211">
        <f>(12.76*1.02)*0.5631*1.0824</f>
        <v>7.9327571114880007</v>
      </c>
      <c r="R680" s="211">
        <f>(1.27*1.02)*0.5631*1.0824</f>
        <v>0.78954557457600016</v>
      </c>
      <c r="S680" s="211">
        <f>(0.0584*1.02)*0.5631*1.0824</f>
        <v>3.6306662641920007E-2</v>
      </c>
      <c r="T680" s="1850">
        <f t="shared" si="233"/>
        <v>0</v>
      </c>
      <c r="U680" s="1850">
        <f t="shared" si="229"/>
        <v>0</v>
      </c>
      <c r="V680" s="1850">
        <f t="shared" si="229"/>
        <v>0</v>
      </c>
      <c r="W680" s="1850">
        <f t="shared" si="229"/>
        <v>0</v>
      </c>
      <c r="X680" s="1850">
        <f t="shared" si="229"/>
        <v>0</v>
      </c>
      <c r="Y680" s="1850">
        <f t="shared" si="229"/>
        <v>0</v>
      </c>
      <c r="Z680" s="1850">
        <f t="shared" si="191"/>
        <v>0</v>
      </c>
      <c r="AA680" s="2733"/>
    </row>
    <row r="681" spans="1:27" ht="18.75" x14ac:dyDescent="0.25">
      <c r="A681" s="2456"/>
      <c r="B681" s="1849">
        <v>2049</v>
      </c>
      <c r="C681" s="218">
        <f t="shared" si="222"/>
        <v>0</v>
      </c>
      <c r="D681" s="218">
        <f t="shared" si="230"/>
        <v>0</v>
      </c>
      <c r="E681" s="218">
        <f t="shared" si="231"/>
        <v>0</v>
      </c>
      <c r="F681" s="218">
        <f t="shared" si="223"/>
        <v>0</v>
      </c>
      <c r="G681" s="218">
        <f t="shared" si="224"/>
        <v>0</v>
      </c>
      <c r="H681" s="218">
        <f t="shared" si="225"/>
        <v>0</v>
      </c>
      <c r="I681" s="218">
        <f t="shared" si="226"/>
        <v>0</v>
      </c>
      <c r="J681" s="218">
        <f t="shared" si="227"/>
        <v>0</v>
      </c>
      <c r="K681" s="218">
        <f t="shared" si="228"/>
        <v>0</v>
      </c>
      <c r="L681" s="192">
        <f t="shared" si="232"/>
        <v>0</v>
      </c>
      <c r="M681" s="211">
        <v>96</v>
      </c>
      <c r="N681" s="211">
        <f>(29.53*1.02)*0.5521*1.0824</f>
        <v>17.999860920624005</v>
      </c>
      <c r="O681" s="211">
        <f>(42.96*1.02)*0.5521*1.0824</f>
        <v>26.186048938368003</v>
      </c>
      <c r="P681" s="211">
        <f>(16.43*1.02)*0.5521*1.0824</f>
        <v>10.014822720144002</v>
      </c>
      <c r="Q681" s="211">
        <f>(12.76*1.02)*0.5521*1.0824</f>
        <v>7.7777929342080014</v>
      </c>
      <c r="R681" s="211">
        <f>(1.27*1.02)*0.5521*1.0824</f>
        <v>0.77412202401600017</v>
      </c>
      <c r="S681" s="211">
        <f>(0.0584*1.02)*0.5521*1.0824</f>
        <v>3.5597422206719999E-2</v>
      </c>
      <c r="T681" s="1850">
        <f t="shared" si="233"/>
        <v>0</v>
      </c>
      <c r="U681" s="1850">
        <f t="shared" si="229"/>
        <v>0</v>
      </c>
      <c r="V681" s="1850">
        <f t="shared" si="229"/>
        <v>0</v>
      </c>
      <c r="W681" s="1850">
        <f t="shared" si="229"/>
        <v>0</v>
      </c>
      <c r="X681" s="1850">
        <f t="shared" si="229"/>
        <v>0</v>
      </c>
      <c r="Y681" s="1850">
        <f t="shared" si="229"/>
        <v>0</v>
      </c>
      <c r="Z681" s="1850">
        <f t="shared" si="191"/>
        <v>0</v>
      </c>
      <c r="AA681" s="2733"/>
    </row>
    <row r="682" spans="1:27" ht="18.75" x14ac:dyDescent="0.25">
      <c r="A682" s="2456"/>
      <c r="B682" s="1849">
        <v>2050</v>
      </c>
      <c r="C682" s="218">
        <f t="shared" si="222"/>
        <v>0</v>
      </c>
      <c r="D682" s="218">
        <f t="shared" si="230"/>
        <v>0</v>
      </c>
      <c r="E682" s="218">
        <f t="shared" si="231"/>
        <v>0</v>
      </c>
      <c r="F682" s="218">
        <f t="shared" si="223"/>
        <v>0</v>
      </c>
      <c r="G682" s="218">
        <f t="shared" si="224"/>
        <v>0</v>
      </c>
      <c r="H682" s="218">
        <f t="shared" si="225"/>
        <v>0</v>
      </c>
      <c r="I682" s="218">
        <f t="shared" si="226"/>
        <v>0</v>
      </c>
      <c r="J682" s="218">
        <f t="shared" si="227"/>
        <v>0</v>
      </c>
      <c r="K682" s="218">
        <f t="shared" si="228"/>
        <v>0</v>
      </c>
      <c r="L682" s="192">
        <f t="shared" si="232"/>
        <v>0</v>
      </c>
      <c r="M682" s="211">
        <v>97</v>
      </c>
      <c r="N682" s="211">
        <f>(29.53*1.02)*0.5412*1.0824</f>
        <v>17.644493262528005</v>
      </c>
      <c r="O682" s="211">
        <f>(42.96*1.02)*0.5412*1.0824</f>
        <v>25.669063005696003</v>
      </c>
      <c r="P682" s="211">
        <f>(16.43*1.02)*0.5412*1.0824</f>
        <v>9.8171020759680019</v>
      </c>
      <c r="Q682" s="211">
        <f>(12.76*1.02)*0.5412*1.0824</f>
        <v>7.624237522176001</v>
      </c>
      <c r="R682" s="211">
        <f>(1.27*1.02)*0.5412*1.0824</f>
        <v>0.75883868755200012</v>
      </c>
      <c r="S682" s="211">
        <f>(0.0584*1.02)*0.5412*1.0824</f>
        <v>3.4894629411840003E-2</v>
      </c>
      <c r="T682" s="1850">
        <f t="shared" si="233"/>
        <v>0</v>
      </c>
      <c r="U682" s="1850">
        <f t="shared" si="229"/>
        <v>0</v>
      </c>
      <c r="V682" s="1850">
        <f t="shared" si="229"/>
        <v>0</v>
      </c>
      <c r="W682" s="1850">
        <f t="shared" si="229"/>
        <v>0</v>
      </c>
      <c r="X682" s="1850">
        <f t="shared" si="229"/>
        <v>0</v>
      </c>
      <c r="Y682" s="1850">
        <f t="shared" si="229"/>
        <v>0</v>
      </c>
      <c r="Z682" s="1850">
        <f t="shared" si="191"/>
        <v>0</v>
      </c>
      <c r="AA682" s="2733"/>
    </row>
    <row r="683" spans="1:27" ht="18.75" x14ac:dyDescent="0.25">
      <c r="A683" s="2456"/>
      <c r="B683" s="1849">
        <v>2051</v>
      </c>
      <c r="C683" s="218">
        <f t="shared" ref="C683:C701" si="234">$S$27</f>
        <v>0</v>
      </c>
      <c r="D683" s="218">
        <f t="shared" si="230"/>
        <v>0</v>
      </c>
      <c r="E683" s="218">
        <f t="shared" si="231"/>
        <v>0</v>
      </c>
      <c r="F683" s="218">
        <f t="shared" ref="F683:F701" si="235">$O$27</f>
        <v>0</v>
      </c>
      <c r="G683" s="218">
        <f t="shared" ref="G683:G701" si="236">$P$27</f>
        <v>0</v>
      </c>
      <c r="H683" s="218">
        <f t="shared" ref="H683:H701" si="237">$N$27</f>
        <v>0</v>
      </c>
      <c r="I683" s="218">
        <f t="shared" ref="I683:I701" si="238">$Q$27</f>
        <v>0</v>
      </c>
      <c r="J683" s="218">
        <f t="shared" ref="J683:J701" si="239">$L$27</f>
        <v>0</v>
      </c>
      <c r="K683" s="218">
        <f t="shared" ref="K683:K701" si="240">$M$27</f>
        <v>0</v>
      </c>
      <c r="L683" s="192">
        <f t="shared" si="232"/>
        <v>0</v>
      </c>
      <c r="M683" s="211">
        <v>97</v>
      </c>
      <c r="N683" s="211">
        <f>(29.53*1.02)*0.5306*1.0824</f>
        <v>17.298906365664003</v>
      </c>
      <c r="O683" s="211">
        <f>(42.96*1.02)*0.5306*1.0824</f>
        <v>25.166306043648003</v>
      </c>
      <c r="P683" s="211">
        <f>(16.43*1.02)*0.5306*1.0824</f>
        <v>9.624823284384</v>
      </c>
      <c r="Q683" s="211">
        <f>(12.76*1.02)*0.5306*1.0824</f>
        <v>7.4749084058879998</v>
      </c>
      <c r="R683" s="211">
        <f>(1.27*1.02)*0.5306*1.0824</f>
        <v>0.74397599337600007</v>
      </c>
      <c r="S683" s="211">
        <f>(0.0584*1.02)*0.5306*1.0824</f>
        <v>3.4211179537920001E-2</v>
      </c>
      <c r="T683" s="1850">
        <f t="shared" si="233"/>
        <v>0</v>
      </c>
      <c r="U683" s="1850">
        <f t="shared" si="229"/>
        <v>0</v>
      </c>
      <c r="V683" s="1850">
        <f t="shared" si="229"/>
        <v>0</v>
      </c>
      <c r="W683" s="1850">
        <f t="shared" si="229"/>
        <v>0</v>
      </c>
      <c r="X683" s="1850">
        <f t="shared" si="229"/>
        <v>0</v>
      </c>
      <c r="Y683" s="1850">
        <f t="shared" si="229"/>
        <v>0</v>
      </c>
      <c r="Z683" s="1850">
        <f t="shared" si="191"/>
        <v>0</v>
      </c>
      <c r="AA683" s="2733"/>
    </row>
    <row r="684" spans="1:27" ht="18.75" x14ac:dyDescent="0.25">
      <c r="A684" s="2456"/>
      <c r="B684" s="1849">
        <v>2052</v>
      </c>
      <c r="C684" s="218">
        <f t="shared" si="234"/>
        <v>0</v>
      </c>
      <c r="D684" s="218">
        <f t="shared" si="230"/>
        <v>0</v>
      </c>
      <c r="E684" s="218">
        <f t="shared" si="231"/>
        <v>0</v>
      </c>
      <c r="F684" s="218">
        <f t="shared" si="235"/>
        <v>0</v>
      </c>
      <c r="G684" s="218">
        <f t="shared" si="236"/>
        <v>0</v>
      </c>
      <c r="H684" s="218">
        <f t="shared" si="237"/>
        <v>0</v>
      </c>
      <c r="I684" s="218">
        <f t="shared" si="238"/>
        <v>0</v>
      </c>
      <c r="J684" s="218">
        <f t="shared" si="239"/>
        <v>0</v>
      </c>
      <c r="K684" s="218">
        <f t="shared" si="240"/>
        <v>0</v>
      </c>
      <c r="L684" s="192">
        <f t="shared" si="232"/>
        <v>0</v>
      </c>
      <c r="M684" s="211">
        <v>97</v>
      </c>
      <c r="N684" s="211">
        <f>(29.53*1.02)*0.5202*1.0824</f>
        <v>16.959839976288002</v>
      </c>
      <c r="O684" s="211">
        <f>(42.96*1.02)*0.5202*1.0824</f>
        <v>24.673035062016002</v>
      </c>
      <c r="P684" s="211">
        <f>(16.43*1.02)*0.5202*1.0824</f>
        <v>9.4361723945280005</v>
      </c>
      <c r="Q684" s="211">
        <f>(12.76*1.02)*0.5202*1.0824</f>
        <v>7.3283968200960006</v>
      </c>
      <c r="R684" s="211">
        <f>(1.27*1.02)*0.5202*1.0824</f>
        <v>0.72939372739200004</v>
      </c>
      <c r="S684" s="211">
        <f>(0.0584*1.02)*0.5202*1.0824</f>
        <v>3.3540624944640003E-2</v>
      </c>
      <c r="T684" s="1850">
        <f t="shared" si="233"/>
        <v>0</v>
      </c>
      <c r="U684" s="1850">
        <f t="shared" si="229"/>
        <v>0</v>
      </c>
      <c r="V684" s="1850">
        <f t="shared" si="229"/>
        <v>0</v>
      </c>
      <c r="W684" s="1850">
        <f t="shared" si="229"/>
        <v>0</v>
      </c>
      <c r="X684" s="1850">
        <f t="shared" si="229"/>
        <v>0</v>
      </c>
      <c r="Y684" s="1850">
        <f t="shared" si="229"/>
        <v>0</v>
      </c>
      <c r="Z684" s="1850">
        <f t="shared" si="191"/>
        <v>0</v>
      </c>
      <c r="AA684" s="2733"/>
    </row>
    <row r="685" spans="1:27" ht="18.75" x14ac:dyDescent="0.25">
      <c r="A685" s="2456"/>
      <c r="B685" s="1849">
        <v>2053</v>
      </c>
      <c r="C685" s="218">
        <f t="shared" si="234"/>
        <v>0</v>
      </c>
      <c r="D685" s="218">
        <f t="shared" si="230"/>
        <v>0</v>
      </c>
      <c r="E685" s="218">
        <f t="shared" si="231"/>
        <v>0</v>
      </c>
      <c r="F685" s="218">
        <f t="shared" si="235"/>
        <v>0</v>
      </c>
      <c r="G685" s="218">
        <f t="shared" si="236"/>
        <v>0</v>
      </c>
      <c r="H685" s="218">
        <f t="shared" si="237"/>
        <v>0</v>
      </c>
      <c r="I685" s="218">
        <f t="shared" si="238"/>
        <v>0</v>
      </c>
      <c r="J685" s="218">
        <f t="shared" si="239"/>
        <v>0</v>
      </c>
      <c r="K685" s="218">
        <f t="shared" si="240"/>
        <v>0</v>
      </c>
      <c r="L685" s="192">
        <f t="shared" si="232"/>
        <v>0</v>
      </c>
      <c r="M685" s="211">
        <v>97</v>
      </c>
      <c r="N685" s="211">
        <f>(29.53*1.02)*0.51*1</f>
        <v>15.361506000000002</v>
      </c>
      <c r="O685" s="211">
        <f>(42.96*1.02)*0.51*1.0824</f>
        <v>24.189250060800003</v>
      </c>
      <c r="P685" s="211">
        <f>(16.43*1.02)*0.51*1.0824</f>
        <v>9.2511494064000015</v>
      </c>
      <c r="Q685" s="211">
        <f>(12.76*1.02)*0.51*1.0824</f>
        <v>7.1847027647999999</v>
      </c>
      <c r="R685" s="211">
        <f>(1.27*1.02)*0.51*1.0824</f>
        <v>0.71509188960000014</v>
      </c>
      <c r="S685" s="211">
        <f>(0.0584*1.02)*0.51*1.0824</f>
        <v>3.2882965632000001E-2</v>
      </c>
      <c r="T685" s="1850">
        <f t="shared" si="233"/>
        <v>0</v>
      </c>
      <c r="U685" s="1850">
        <f t="shared" si="229"/>
        <v>0</v>
      </c>
      <c r="V685" s="1850">
        <f t="shared" si="229"/>
        <v>0</v>
      </c>
      <c r="W685" s="1850">
        <f t="shared" si="229"/>
        <v>0</v>
      </c>
      <c r="X685" s="1850">
        <f t="shared" si="229"/>
        <v>0</v>
      </c>
      <c r="Y685" s="1850">
        <f t="shared" si="229"/>
        <v>0</v>
      </c>
      <c r="Z685" s="1850">
        <f t="shared" si="191"/>
        <v>0</v>
      </c>
      <c r="AA685" s="2733"/>
    </row>
    <row r="686" spans="1:27" ht="18.75" x14ac:dyDescent="0.25">
      <c r="A686" s="2456"/>
      <c r="B686" s="1849">
        <v>2054</v>
      </c>
      <c r="C686" s="218">
        <f t="shared" si="234"/>
        <v>0</v>
      </c>
      <c r="D686" s="218">
        <f t="shared" si="230"/>
        <v>0</v>
      </c>
      <c r="E686" s="218">
        <f t="shared" si="231"/>
        <v>0</v>
      </c>
      <c r="F686" s="218">
        <f t="shared" si="235"/>
        <v>0</v>
      </c>
      <c r="G686" s="218">
        <f t="shared" si="236"/>
        <v>0</v>
      </c>
      <c r="H686" s="218">
        <f t="shared" si="237"/>
        <v>0</v>
      </c>
      <c r="I686" s="218">
        <f t="shared" si="238"/>
        <v>0</v>
      </c>
      <c r="J686" s="218">
        <f t="shared" si="239"/>
        <v>0</v>
      </c>
      <c r="K686" s="218">
        <f t="shared" si="240"/>
        <v>0</v>
      </c>
      <c r="L686" s="192">
        <f t="shared" si="232"/>
        <v>0</v>
      </c>
      <c r="M686" s="211">
        <v>97</v>
      </c>
      <c r="N686" s="211">
        <f>(29.53*1.02)*0.5*1.0824</f>
        <v>16.301268720000003</v>
      </c>
      <c r="O686" s="211">
        <f>(42.96*1.02)*0.5*1.0824</f>
        <v>23.714951040000003</v>
      </c>
      <c r="P686" s="211">
        <f>(16.43*1.02)*0.5*1.0824</f>
        <v>9.0697543200000013</v>
      </c>
      <c r="Q686" s="211">
        <f>(12.76*1.02)*0.5*1.0824</f>
        <v>7.0438262400000005</v>
      </c>
      <c r="R686" s="211">
        <f>(1.27*1.02)*0.5*1.0824</f>
        <v>0.70107048000000005</v>
      </c>
      <c r="S686" s="211">
        <f>(0.0584*1.02)*0.5*1.0824</f>
        <v>3.2238201600000002E-2</v>
      </c>
      <c r="T686" s="1850">
        <f t="shared" si="233"/>
        <v>0</v>
      </c>
      <c r="U686" s="1850">
        <f t="shared" si="229"/>
        <v>0</v>
      </c>
      <c r="V686" s="1850">
        <f t="shared" si="229"/>
        <v>0</v>
      </c>
      <c r="W686" s="1850">
        <f t="shared" si="229"/>
        <v>0</v>
      </c>
      <c r="X686" s="1850">
        <f t="shared" si="229"/>
        <v>0</v>
      </c>
      <c r="Y686" s="1850">
        <f t="shared" si="229"/>
        <v>0</v>
      </c>
      <c r="Z686" s="1850">
        <f t="shared" si="191"/>
        <v>0</v>
      </c>
      <c r="AA686" s="2733"/>
    </row>
    <row r="687" spans="1:27" ht="18.75" x14ac:dyDescent="0.25">
      <c r="A687" s="2456"/>
      <c r="B687" s="1849">
        <v>2055</v>
      </c>
      <c r="C687" s="218">
        <f t="shared" si="234"/>
        <v>0</v>
      </c>
      <c r="D687" s="218">
        <f t="shared" si="230"/>
        <v>0</v>
      </c>
      <c r="E687" s="218">
        <f t="shared" si="231"/>
        <v>0</v>
      </c>
      <c r="F687" s="218">
        <f t="shared" si="235"/>
        <v>0</v>
      </c>
      <c r="G687" s="218">
        <f t="shared" si="236"/>
        <v>0</v>
      </c>
      <c r="H687" s="218">
        <f t="shared" si="237"/>
        <v>0</v>
      </c>
      <c r="I687" s="218">
        <f t="shared" si="238"/>
        <v>0</v>
      </c>
      <c r="J687" s="218">
        <f t="shared" si="239"/>
        <v>0</v>
      </c>
      <c r="K687" s="218">
        <f t="shared" si="240"/>
        <v>0</v>
      </c>
      <c r="L687" s="192">
        <f t="shared" si="232"/>
        <v>0</v>
      </c>
      <c r="M687" s="211">
        <v>97</v>
      </c>
      <c r="N687" s="211">
        <f>(29.53*1.02)*0.4902*1.0824</f>
        <v>15.981763853088003</v>
      </c>
      <c r="O687" s="211">
        <f>(42.96*1.02)*0.4902*1.0824</f>
        <v>23.250137999616001</v>
      </c>
      <c r="P687" s="211">
        <f>(16.43*1.02)*0.4902*1.0824</f>
        <v>8.8919871353280016</v>
      </c>
      <c r="Q687" s="211">
        <f>(12.76*1.02)*0.4902*1.0824</f>
        <v>6.9057672456960004</v>
      </c>
      <c r="R687" s="211">
        <f>(1.27*1.02)*0.4902*1.0824</f>
        <v>0.6873294985920001</v>
      </c>
      <c r="S687" s="211">
        <f>(0.0584*1.02)*0.4902*1.0824</f>
        <v>3.1606332848640006E-2</v>
      </c>
      <c r="T687" s="1850">
        <f t="shared" si="233"/>
        <v>0</v>
      </c>
      <c r="U687" s="1850">
        <f t="shared" si="229"/>
        <v>0</v>
      </c>
      <c r="V687" s="1850">
        <f t="shared" si="229"/>
        <v>0</v>
      </c>
      <c r="W687" s="1850">
        <f t="shared" si="229"/>
        <v>0</v>
      </c>
      <c r="X687" s="1850">
        <f t="shared" si="229"/>
        <v>0</v>
      </c>
      <c r="Y687" s="1850">
        <f t="shared" si="229"/>
        <v>0</v>
      </c>
      <c r="Z687" s="1850">
        <f t="shared" si="191"/>
        <v>0</v>
      </c>
      <c r="AA687" s="2733"/>
    </row>
    <row r="688" spans="1:27" ht="18.75" x14ac:dyDescent="0.25">
      <c r="A688" s="2456"/>
      <c r="B688" s="1849">
        <v>2056</v>
      </c>
      <c r="C688" s="218">
        <f t="shared" si="234"/>
        <v>0</v>
      </c>
      <c r="D688" s="218">
        <f t="shared" si="230"/>
        <v>0</v>
      </c>
      <c r="E688" s="218">
        <f t="shared" si="231"/>
        <v>0</v>
      </c>
      <c r="F688" s="218">
        <f t="shared" si="235"/>
        <v>0</v>
      </c>
      <c r="G688" s="218">
        <f t="shared" si="236"/>
        <v>0</v>
      </c>
      <c r="H688" s="218">
        <f t="shared" si="237"/>
        <v>0</v>
      </c>
      <c r="I688" s="218">
        <f t="shared" si="238"/>
        <v>0</v>
      </c>
      <c r="J688" s="218">
        <f t="shared" si="239"/>
        <v>0</v>
      </c>
      <c r="K688" s="218">
        <f t="shared" si="240"/>
        <v>0</v>
      </c>
      <c r="L688" s="192">
        <f t="shared" si="232"/>
        <v>0</v>
      </c>
      <c r="M688" s="211">
        <v>97</v>
      </c>
      <c r="N688" s="211">
        <f>(29.53*1.02)*0.4806*1.0824</f>
        <v>15.668779493664003</v>
      </c>
      <c r="O688" s="211">
        <f>(42.96*1.02)*0.4806*1.0824</f>
        <v>22.794810939648006</v>
      </c>
      <c r="P688" s="211">
        <f>(16.43*1.02)*0.4806*1.0824</f>
        <v>8.7178478523840006</v>
      </c>
      <c r="Q688" s="211">
        <f>(12.76*1.02)*0.4806*1.0824</f>
        <v>6.7705257818880007</v>
      </c>
      <c r="R688" s="211">
        <f>(1.27*1.02)*0.4806*1.0824</f>
        <v>0.67386894537600017</v>
      </c>
      <c r="S688" s="211">
        <f>(0.0584*1.02)*0.4806*1.0824</f>
        <v>3.0987359377920003E-2</v>
      </c>
      <c r="T688" s="1850">
        <f t="shared" si="233"/>
        <v>0</v>
      </c>
      <c r="U688" s="1850">
        <f t="shared" si="229"/>
        <v>0</v>
      </c>
      <c r="V688" s="1850">
        <f t="shared" si="229"/>
        <v>0</v>
      </c>
      <c r="W688" s="1850">
        <f t="shared" si="229"/>
        <v>0</v>
      </c>
      <c r="X688" s="1850">
        <f t="shared" si="229"/>
        <v>0</v>
      </c>
      <c r="Y688" s="1850">
        <f t="shared" si="229"/>
        <v>0</v>
      </c>
      <c r="Z688" s="1850">
        <f t="shared" si="191"/>
        <v>0</v>
      </c>
      <c r="AA688" s="2733"/>
    </row>
    <row r="689" spans="1:27" ht="18.75" x14ac:dyDescent="0.25">
      <c r="A689" s="2456"/>
      <c r="B689" s="1849">
        <v>2057</v>
      </c>
      <c r="C689" s="218">
        <f t="shared" si="234"/>
        <v>0</v>
      </c>
      <c r="D689" s="218">
        <f t="shared" si="230"/>
        <v>0</v>
      </c>
      <c r="E689" s="218">
        <f t="shared" si="231"/>
        <v>0</v>
      </c>
      <c r="F689" s="218">
        <f t="shared" si="235"/>
        <v>0</v>
      </c>
      <c r="G689" s="218">
        <f t="shared" si="236"/>
        <v>0</v>
      </c>
      <c r="H689" s="218">
        <f t="shared" si="237"/>
        <v>0</v>
      </c>
      <c r="I689" s="218">
        <f t="shared" si="238"/>
        <v>0</v>
      </c>
      <c r="J689" s="218">
        <f t="shared" si="239"/>
        <v>0</v>
      </c>
      <c r="K689" s="218">
        <f t="shared" si="240"/>
        <v>0</v>
      </c>
      <c r="L689" s="192">
        <f t="shared" si="232"/>
        <v>0</v>
      </c>
      <c r="M689" s="211">
        <v>97</v>
      </c>
      <c r="N689" s="211">
        <f>(29.53*1.02)*0.4712*1.0824</f>
        <v>15.362315641728001</v>
      </c>
      <c r="O689" s="211">
        <f>(42.96*1.02)*0.4712*1.0824</f>
        <v>22.348969860096002</v>
      </c>
      <c r="P689" s="211">
        <f>(16.43*1.02)*0.4712*1.0824</f>
        <v>8.547336471168002</v>
      </c>
      <c r="Q689" s="211">
        <f>(12.76*1.02)*0.4712*1.0824</f>
        <v>6.6381018485760004</v>
      </c>
      <c r="R689" s="211">
        <f>(1.27*1.02)*0.4712*1.0824</f>
        <v>0.66068882035200005</v>
      </c>
      <c r="S689" s="211">
        <f>(0.0584*1.02)*0.4712*1.0824</f>
        <v>3.038128118784E-2</v>
      </c>
      <c r="T689" s="1850">
        <f t="shared" si="233"/>
        <v>0</v>
      </c>
      <c r="U689" s="1850">
        <f t="shared" si="229"/>
        <v>0</v>
      </c>
      <c r="V689" s="1850">
        <f t="shared" si="229"/>
        <v>0</v>
      </c>
      <c r="W689" s="1850">
        <f t="shared" si="229"/>
        <v>0</v>
      </c>
      <c r="X689" s="1850">
        <f t="shared" si="229"/>
        <v>0</v>
      </c>
      <c r="Y689" s="1850">
        <f t="shared" si="229"/>
        <v>0</v>
      </c>
      <c r="Z689" s="1850">
        <f t="shared" si="191"/>
        <v>0</v>
      </c>
      <c r="AA689" s="2733"/>
    </row>
    <row r="690" spans="1:27" ht="18.75" x14ac:dyDescent="0.25">
      <c r="A690" s="2456"/>
      <c r="B690" s="1849">
        <v>2058</v>
      </c>
      <c r="C690" s="218">
        <f t="shared" si="234"/>
        <v>0</v>
      </c>
      <c r="D690" s="218">
        <f t="shared" si="230"/>
        <v>0</v>
      </c>
      <c r="E690" s="218">
        <f t="shared" si="231"/>
        <v>0</v>
      </c>
      <c r="F690" s="218">
        <f t="shared" si="235"/>
        <v>0</v>
      </c>
      <c r="G690" s="218">
        <f t="shared" si="236"/>
        <v>0</v>
      </c>
      <c r="H690" s="218">
        <f t="shared" si="237"/>
        <v>0</v>
      </c>
      <c r="I690" s="218">
        <f t="shared" si="238"/>
        <v>0</v>
      </c>
      <c r="J690" s="218">
        <f t="shared" si="239"/>
        <v>0</v>
      </c>
      <c r="K690" s="218">
        <f t="shared" si="240"/>
        <v>0</v>
      </c>
      <c r="L690" s="192">
        <f t="shared" si="232"/>
        <v>0</v>
      </c>
      <c r="M690" s="211">
        <v>97</v>
      </c>
      <c r="N690" s="211">
        <f>(29.53*1.02)*0.4619*1.0824</f>
        <v>15.059112043536</v>
      </c>
      <c r="O690" s="211">
        <f>(42.96*1.02)*0.4619*1.0824</f>
        <v>21.907871770752003</v>
      </c>
      <c r="P690" s="211">
        <f>(16.43*1.02)*0.4619*1.0824</f>
        <v>8.378639040816001</v>
      </c>
      <c r="Q690" s="211">
        <f>(12.76*1.02)*0.4619*1.0824</f>
        <v>6.5070866805119998</v>
      </c>
      <c r="R690" s="211">
        <f>(1.27*1.02)*0.4619*1.0824</f>
        <v>0.647648909424</v>
      </c>
      <c r="S690" s="211">
        <f>(0.0584*1.02)*0.4619*1.0824</f>
        <v>2.9781650638080002E-2</v>
      </c>
      <c r="T690" s="1850">
        <f t="shared" si="233"/>
        <v>0</v>
      </c>
      <c r="U690" s="1850">
        <f t="shared" si="229"/>
        <v>0</v>
      </c>
      <c r="V690" s="1850">
        <f t="shared" si="229"/>
        <v>0</v>
      </c>
      <c r="W690" s="1850">
        <f t="shared" si="229"/>
        <v>0</v>
      </c>
      <c r="X690" s="1850">
        <f t="shared" si="229"/>
        <v>0</v>
      </c>
      <c r="Y690" s="1850">
        <f t="shared" si="229"/>
        <v>0</v>
      </c>
      <c r="Z690" s="1850">
        <f t="shared" si="191"/>
        <v>0</v>
      </c>
      <c r="AA690" s="2733"/>
    </row>
    <row r="691" spans="1:27" ht="18.75" x14ac:dyDescent="0.25">
      <c r="A691" s="2456"/>
      <c r="B691" s="1849">
        <v>2059</v>
      </c>
      <c r="C691" s="218">
        <f t="shared" si="234"/>
        <v>0</v>
      </c>
      <c r="D691" s="218">
        <f t="shared" si="230"/>
        <v>0</v>
      </c>
      <c r="E691" s="218">
        <f t="shared" si="231"/>
        <v>0</v>
      </c>
      <c r="F691" s="218">
        <f t="shared" si="235"/>
        <v>0</v>
      </c>
      <c r="G691" s="218">
        <f t="shared" si="236"/>
        <v>0</v>
      </c>
      <c r="H691" s="218">
        <f t="shared" si="237"/>
        <v>0</v>
      </c>
      <c r="I691" s="218">
        <f t="shared" si="238"/>
        <v>0</v>
      </c>
      <c r="J691" s="218">
        <f t="shared" si="239"/>
        <v>0</v>
      </c>
      <c r="K691" s="218">
        <f t="shared" si="240"/>
        <v>0</v>
      </c>
      <c r="L691" s="192">
        <f t="shared" si="232"/>
        <v>0</v>
      </c>
      <c r="M691" s="211">
        <v>97</v>
      </c>
      <c r="N691" s="211">
        <f>(29.53*1.02)*0.4529*1.0824</f>
        <v>14.765689206576004</v>
      </c>
      <c r="O691" s="211">
        <f>(42.96*1.02)*0.4529*1.0824</f>
        <v>21.481002652032004</v>
      </c>
      <c r="P691" s="211">
        <f>(16.43*1.02)*0.4529*1.0824</f>
        <v>8.2153834630560016</v>
      </c>
      <c r="Q691" s="211">
        <f>(12.76*1.02)*0.4529*1.0824</f>
        <v>6.380297808192001</v>
      </c>
      <c r="R691" s="211">
        <f>(1.27*1.02)*0.4529*1.0824</f>
        <v>0.63502964078400004</v>
      </c>
      <c r="S691" s="211">
        <f>(0.0584*1.02)*0.4529*1.0824</f>
        <v>2.9201363009280005E-2</v>
      </c>
      <c r="T691" s="1850">
        <f t="shared" si="233"/>
        <v>0</v>
      </c>
      <c r="U691" s="1850">
        <f t="shared" si="229"/>
        <v>0</v>
      </c>
      <c r="V691" s="1850">
        <f t="shared" si="229"/>
        <v>0</v>
      </c>
      <c r="W691" s="1850">
        <f t="shared" si="229"/>
        <v>0</v>
      </c>
      <c r="X691" s="1850">
        <f t="shared" si="229"/>
        <v>0</v>
      </c>
      <c r="Y691" s="1850">
        <f t="shared" si="229"/>
        <v>0</v>
      </c>
      <c r="Z691" s="1850">
        <f t="shared" si="191"/>
        <v>0</v>
      </c>
      <c r="AA691" s="2733"/>
    </row>
    <row r="692" spans="1:27" ht="18.75" x14ac:dyDescent="0.25">
      <c r="A692" s="2456"/>
      <c r="B692" s="1849">
        <v>2060</v>
      </c>
      <c r="C692" s="218">
        <f t="shared" si="234"/>
        <v>0</v>
      </c>
      <c r="D692" s="218">
        <f t="shared" si="230"/>
        <v>0</v>
      </c>
      <c r="E692" s="218">
        <f t="shared" si="231"/>
        <v>0</v>
      </c>
      <c r="F692" s="218">
        <f t="shared" si="235"/>
        <v>0</v>
      </c>
      <c r="G692" s="218">
        <f t="shared" si="236"/>
        <v>0</v>
      </c>
      <c r="H692" s="218">
        <f t="shared" si="237"/>
        <v>0</v>
      </c>
      <c r="I692" s="218">
        <f t="shared" si="238"/>
        <v>0</v>
      </c>
      <c r="J692" s="218">
        <f t="shared" si="239"/>
        <v>0</v>
      </c>
      <c r="K692" s="218">
        <f t="shared" si="240"/>
        <v>0</v>
      </c>
      <c r="L692" s="192">
        <f t="shared" si="232"/>
        <v>0</v>
      </c>
      <c r="M692" s="211">
        <v>97</v>
      </c>
      <c r="N692" s="211">
        <f>(29.53*1.02)*0.444*1.0824</f>
        <v>14.475526623360002</v>
      </c>
      <c r="O692" s="211">
        <f>(42.96*1.02)*0.444*1.0824</f>
        <v>21.058876523520002</v>
      </c>
      <c r="P692" s="211">
        <f>(16.43*1.02)*0.444*1.0824</f>
        <v>8.0539418361599999</v>
      </c>
      <c r="Q692" s="211">
        <f>(12.76*1.02)*0.444*1.0824</f>
        <v>6.2549177011200001</v>
      </c>
      <c r="R692" s="211">
        <f>(1.27*1.02)*0.444*1.0824</f>
        <v>0.62255058624000004</v>
      </c>
      <c r="S692" s="211">
        <f>(0.0584*1.02)*0.444*1.0824</f>
        <v>2.8627523020800003E-2</v>
      </c>
      <c r="T692" s="1850">
        <f t="shared" si="233"/>
        <v>0</v>
      </c>
      <c r="U692" s="1850">
        <f t="shared" si="229"/>
        <v>0</v>
      </c>
      <c r="V692" s="1850">
        <f t="shared" si="229"/>
        <v>0</v>
      </c>
      <c r="W692" s="1850">
        <f t="shared" si="229"/>
        <v>0</v>
      </c>
      <c r="X692" s="1850">
        <f t="shared" si="229"/>
        <v>0</v>
      </c>
      <c r="Y692" s="1850">
        <f t="shared" si="229"/>
        <v>0</v>
      </c>
      <c r="Z692" s="1850">
        <f t="shared" si="191"/>
        <v>0</v>
      </c>
      <c r="AA692" s="2733"/>
    </row>
    <row r="693" spans="1:27" ht="18.75" x14ac:dyDescent="0.25">
      <c r="A693" s="2456"/>
      <c r="B693" s="1849">
        <v>2061</v>
      </c>
      <c r="C693" s="218">
        <f t="shared" si="234"/>
        <v>0</v>
      </c>
      <c r="D693" s="218">
        <f t="shared" si="230"/>
        <v>0</v>
      </c>
      <c r="E693" s="218">
        <f t="shared" si="231"/>
        <v>0</v>
      </c>
      <c r="F693" s="218">
        <f t="shared" si="235"/>
        <v>0</v>
      </c>
      <c r="G693" s="218">
        <f t="shared" si="236"/>
        <v>0</v>
      </c>
      <c r="H693" s="218">
        <f t="shared" si="237"/>
        <v>0</v>
      </c>
      <c r="I693" s="218">
        <f t="shared" si="238"/>
        <v>0</v>
      </c>
      <c r="J693" s="218">
        <f t="shared" si="239"/>
        <v>0</v>
      </c>
      <c r="K693" s="218">
        <f t="shared" si="240"/>
        <v>0</v>
      </c>
      <c r="L693" s="192">
        <f t="shared" si="232"/>
        <v>0</v>
      </c>
      <c r="M693" s="211">
        <v>97</v>
      </c>
      <c r="N693" s="211">
        <f>(29.53*1.02)*0.4353*1.0824</f>
        <v>14.191884547632004</v>
      </c>
      <c r="O693" s="211">
        <f>(42.96*1.02)*0.4353*1.0824</f>
        <v>20.646236375424003</v>
      </c>
      <c r="P693" s="211">
        <f>(16.43*1.02)*0.4353*1.0824</f>
        <v>7.8961281109920014</v>
      </c>
      <c r="Q693" s="211">
        <f>(12.76*1.02)*0.4353*1.0824</f>
        <v>6.1323551245440004</v>
      </c>
      <c r="R693" s="211">
        <f>(1.27*1.02)*0.4353*1.0824</f>
        <v>0.61035195988800006</v>
      </c>
      <c r="S693" s="211">
        <f>(0.0584*1.02)*0.4353*1.0824</f>
        <v>2.8066578312960003E-2</v>
      </c>
      <c r="T693" s="1850">
        <f t="shared" si="233"/>
        <v>0</v>
      </c>
      <c r="U693" s="1850">
        <f t="shared" si="229"/>
        <v>0</v>
      </c>
      <c r="V693" s="1850">
        <f t="shared" si="229"/>
        <v>0</v>
      </c>
      <c r="W693" s="1850">
        <f t="shared" si="229"/>
        <v>0</v>
      </c>
      <c r="X693" s="1850">
        <f t="shared" si="229"/>
        <v>0</v>
      </c>
      <c r="Y693" s="1850">
        <f t="shared" si="229"/>
        <v>0</v>
      </c>
      <c r="Z693" s="1850">
        <f t="shared" si="191"/>
        <v>0</v>
      </c>
      <c r="AA693" s="2733"/>
    </row>
    <row r="694" spans="1:27" ht="18.75" x14ac:dyDescent="0.25">
      <c r="A694" s="2456"/>
      <c r="B694" s="1849">
        <v>2062</v>
      </c>
      <c r="C694" s="218">
        <f t="shared" si="234"/>
        <v>0</v>
      </c>
      <c r="D694" s="218">
        <f t="shared" si="230"/>
        <v>0</v>
      </c>
      <c r="E694" s="218">
        <f t="shared" si="231"/>
        <v>0</v>
      </c>
      <c r="F694" s="218">
        <f t="shared" si="235"/>
        <v>0</v>
      </c>
      <c r="G694" s="218">
        <f t="shared" si="236"/>
        <v>0</v>
      </c>
      <c r="H694" s="218">
        <f t="shared" si="237"/>
        <v>0</v>
      </c>
      <c r="I694" s="218">
        <f t="shared" si="238"/>
        <v>0</v>
      </c>
      <c r="J694" s="218">
        <f t="shared" si="239"/>
        <v>0</v>
      </c>
      <c r="K694" s="218">
        <f t="shared" si="240"/>
        <v>0</v>
      </c>
      <c r="L694" s="192">
        <f t="shared" si="232"/>
        <v>0</v>
      </c>
      <c r="M694" s="211">
        <v>97</v>
      </c>
      <c r="N694" s="211">
        <f>(29.53*1.02)*0.4268*1.0824</f>
        <v>13.914762979392002</v>
      </c>
      <c r="O694" s="211">
        <f>(42.96*1.02)*0.4268*1.0824</f>
        <v>20.243082207744003</v>
      </c>
      <c r="P694" s="211">
        <f>(16.43*1.02)*0.4268*1.0824</f>
        <v>7.7419422875520008</v>
      </c>
      <c r="Q694" s="211">
        <f>(12.76*1.02)*0.4268*1.0824</f>
        <v>6.0126100784640002</v>
      </c>
      <c r="R694" s="211">
        <f>(1.27*1.02)*0.4268*1.0824</f>
        <v>0.59843376172800011</v>
      </c>
      <c r="S694" s="211">
        <f>(0.0584*1.02)*0.4268*1.0824</f>
        <v>2.7518528885760004E-2</v>
      </c>
      <c r="T694" s="1850">
        <f t="shared" si="233"/>
        <v>0</v>
      </c>
      <c r="U694" s="1850">
        <f t="shared" si="229"/>
        <v>0</v>
      </c>
      <c r="V694" s="1850">
        <f t="shared" si="229"/>
        <v>0</v>
      </c>
      <c r="W694" s="1850">
        <f t="shared" si="229"/>
        <v>0</v>
      </c>
      <c r="X694" s="1850">
        <f t="shared" si="229"/>
        <v>0</v>
      </c>
      <c r="Y694" s="1850">
        <f t="shared" si="229"/>
        <v>0</v>
      </c>
      <c r="Z694" s="1850">
        <f t="shared" si="191"/>
        <v>0</v>
      </c>
      <c r="AA694" s="2733"/>
    </row>
    <row r="695" spans="1:27" ht="18.75" x14ac:dyDescent="0.25">
      <c r="A695" s="2456"/>
      <c r="B695" s="1849">
        <v>2063</v>
      </c>
      <c r="C695" s="218">
        <f t="shared" si="234"/>
        <v>0</v>
      </c>
      <c r="D695" s="218">
        <f t="shared" si="230"/>
        <v>0</v>
      </c>
      <c r="E695" s="218">
        <f t="shared" si="231"/>
        <v>0</v>
      </c>
      <c r="F695" s="218">
        <f t="shared" si="235"/>
        <v>0</v>
      </c>
      <c r="G695" s="218">
        <f t="shared" si="236"/>
        <v>0</v>
      </c>
      <c r="H695" s="218">
        <f t="shared" si="237"/>
        <v>0</v>
      </c>
      <c r="I695" s="218">
        <f t="shared" si="238"/>
        <v>0</v>
      </c>
      <c r="J695" s="218">
        <f t="shared" si="239"/>
        <v>0</v>
      </c>
      <c r="K695" s="218">
        <f t="shared" si="240"/>
        <v>0</v>
      </c>
      <c r="L695" s="192">
        <f t="shared" si="232"/>
        <v>0</v>
      </c>
      <c r="M695" s="211">
        <v>97</v>
      </c>
      <c r="N695" s="211">
        <f>(29.53*1.02)*0.4184*1.0824</f>
        <v>13.640901664896001</v>
      </c>
      <c r="O695" s="211">
        <f>(42.96*1.02)*0.4184*1.0824</f>
        <v>19.844671030272</v>
      </c>
      <c r="P695" s="211">
        <f>(16.43*1.02)*0.4184*1.0824</f>
        <v>7.5895704149760004</v>
      </c>
      <c r="Q695" s="211">
        <f>(12.76*1.02)*0.4184*1.0824</f>
        <v>5.8942737976319997</v>
      </c>
      <c r="R695" s="211">
        <f>(1.27*1.02)*0.4184*1.0824</f>
        <v>0.58665577766400001</v>
      </c>
      <c r="S695" s="211">
        <f>(0.0584*1.02)*0.4184*1.0824</f>
        <v>2.6976927098879999E-2</v>
      </c>
      <c r="T695" s="1850">
        <f t="shared" si="233"/>
        <v>0</v>
      </c>
      <c r="U695" s="1850">
        <f t="shared" si="229"/>
        <v>0</v>
      </c>
      <c r="V695" s="1850">
        <f t="shared" si="229"/>
        <v>0</v>
      </c>
      <c r="W695" s="1850">
        <f t="shared" si="229"/>
        <v>0</v>
      </c>
      <c r="X695" s="1850">
        <f t="shared" si="229"/>
        <v>0</v>
      </c>
      <c r="Y695" s="1850">
        <f t="shared" si="229"/>
        <v>0</v>
      </c>
      <c r="Z695" s="1850">
        <f t="shared" si="191"/>
        <v>0</v>
      </c>
      <c r="AA695" s="2733"/>
    </row>
    <row r="696" spans="1:27" ht="18.75" x14ac:dyDescent="0.25">
      <c r="A696" s="2456"/>
      <c r="B696" s="1849">
        <v>2064</v>
      </c>
      <c r="C696" s="218">
        <f t="shared" si="234"/>
        <v>0</v>
      </c>
      <c r="D696" s="218">
        <f t="shared" si="230"/>
        <v>0</v>
      </c>
      <c r="E696" s="218">
        <f t="shared" si="231"/>
        <v>0</v>
      </c>
      <c r="F696" s="218">
        <f t="shared" si="235"/>
        <v>0</v>
      </c>
      <c r="G696" s="218">
        <f t="shared" si="236"/>
        <v>0</v>
      </c>
      <c r="H696" s="218">
        <f t="shared" si="237"/>
        <v>0</v>
      </c>
      <c r="I696" s="218">
        <f t="shared" si="238"/>
        <v>0</v>
      </c>
      <c r="J696" s="218">
        <f t="shared" si="239"/>
        <v>0</v>
      </c>
      <c r="K696" s="218">
        <f t="shared" si="240"/>
        <v>0</v>
      </c>
      <c r="L696" s="192">
        <f t="shared" si="232"/>
        <v>0</v>
      </c>
      <c r="M696" s="211">
        <v>97</v>
      </c>
      <c r="N696" s="211">
        <f>(29.53*1.02)*0.4102*1.0824</f>
        <v>13.373560857888002</v>
      </c>
      <c r="O696" s="211">
        <f>(42.96*1.02)*0.4102*1.0824</f>
        <v>19.455745833216003</v>
      </c>
      <c r="P696" s="211">
        <f>(16.43*1.02)*0.4102*1.0824</f>
        <v>7.4408264441280014</v>
      </c>
      <c r="Q696" s="211">
        <f>(12.76*1.02)*0.4102*1.0824</f>
        <v>5.7787550472960003</v>
      </c>
      <c r="R696" s="211">
        <f>(1.27*1.02)*0.4102*1.0824</f>
        <v>0.57515822179200005</v>
      </c>
      <c r="S696" s="211">
        <f>(0.0584*1.02)*0.4102*1.0824</f>
        <v>2.6448220592640001E-2</v>
      </c>
      <c r="T696" s="1850">
        <f t="shared" si="233"/>
        <v>0</v>
      </c>
      <c r="U696" s="1850">
        <f t="shared" si="229"/>
        <v>0</v>
      </c>
      <c r="V696" s="1850">
        <f t="shared" si="229"/>
        <v>0</v>
      </c>
      <c r="W696" s="1850">
        <f t="shared" si="229"/>
        <v>0</v>
      </c>
      <c r="X696" s="1850">
        <f t="shared" si="229"/>
        <v>0</v>
      </c>
      <c r="Y696" s="1850">
        <f t="shared" si="229"/>
        <v>0</v>
      </c>
      <c r="Z696" s="1850">
        <f t="shared" si="191"/>
        <v>0</v>
      </c>
      <c r="AA696" s="2733"/>
    </row>
    <row r="697" spans="1:27" ht="18.75" x14ac:dyDescent="0.25">
      <c r="A697" s="2456"/>
      <c r="B697" s="1849">
        <v>2065</v>
      </c>
      <c r="C697" s="218">
        <f t="shared" si="234"/>
        <v>0</v>
      </c>
      <c r="D697" s="218">
        <f t="shared" si="230"/>
        <v>0</v>
      </c>
      <c r="E697" s="218">
        <f t="shared" si="231"/>
        <v>0</v>
      </c>
      <c r="F697" s="218">
        <f t="shared" si="235"/>
        <v>0</v>
      </c>
      <c r="G697" s="218">
        <f t="shared" si="236"/>
        <v>0</v>
      </c>
      <c r="H697" s="218">
        <f t="shared" si="237"/>
        <v>0</v>
      </c>
      <c r="I697" s="218">
        <f t="shared" si="238"/>
        <v>0</v>
      </c>
      <c r="J697" s="218">
        <f t="shared" si="239"/>
        <v>0</v>
      </c>
      <c r="K697" s="218">
        <f t="shared" si="240"/>
        <v>0</v>
      </c>
      <c r="L697" s="192">
        <f t="shared" si="232"/>
        <v>0</v>
      </c>
      <c r="M697" s="211">
        <v>97</v>
      </c>
      <c r="N697" s="211">
        <f>(29.53*1.02)*0.4022*1.0824</f>
        <v>13.112740558368001</v>
      </c>
      <c r="O697" s="211">
        <f>(42.96*1.02)*0.4022*1.0824</f>
        <v>19.076306616576002</v>
      </c>
      <c r="P697" s="211">
        <f>(16.43*1.02)*0.4022*1.0824</f>
        <v>7.2957103750080003</v>
      </c>
      <c r="Q697" s="211">
        <f>(12.76*1.02)*0.4022*1.0824</f>
        <v>5.6660538274560004</v>
      </c>
      <c r="R697" s="211">
        <f>(1.27*1.02)*0.4022*1.0824</f>
        <v>0.56394109411200011</v>
      </c>
      <c r="S697" s="211">
        <f>(0.0584*1.02)*0.4022*1.0824</f>
        <v>2.5932409367040003E-2</v>
      </c>
      <c r="T697" s="1850">
        <f t="shared" si="233"/>
        <v>0</v>
      </c>
      <c r="U697" s="1850">
        <f t="shared" si="229"/>
        <v>0</v>
      </c>
      <c r="V697" s="1850">
        <f t="shared" si="229"/>
        <v>0</v>
      </c>
      <c r="W697" s="1850">
        <f t="shared" si="229"/>
        <v>0</v>
      </c>
      <c r="X697" s="1850">
        <f t="shared" si="229"/>
        <v>0</v>
      </c>
      <c r="Y697" s="1850">
        <f t="shared" si="229"/>
        <v>0</v>
      </c>
      <c r="Z697" s="1850">
        <f t="shared" si="191"/>
        <v>0</v>
      </c>
      <c r="AA697" s="2733"/>
    </row>
    <row r="698" spans="1:27" ht="18.75" x14ac:dyDescent="0.25">
      <c r="A698" s="2456"/>
      <c r="B698" s="1849">
        <v>2066</v>
      </c>
      <c r="C698" s="218">
        <f t="shared" si="234"/>
        <v>0</v>
      </c>
      <c r="D698" s="218">
        <f t="shared" si="230"/>
        <v>0</v>
      </c>
      <c r="E698" s="218">
        <f t="shared" si="231"/>
        <v>0</v>
      </c>
      <c r="F698" s="218">
        <f t="shared" si="235"/>
        <v>0</v>
      </c>
      <c r="G698" s="218">
        <f t="shared" si="236"/>
        <v>0</v>
      </c>
      <c r="H698" s="218">
        <f t="shared" si="237"/>
        <v>0</v>
      </c>
      <c r="I698" s="218">
        <f t="shared" si="238"/>
        <v>0</v>
      </c>
      <c r="J698" s="218">
        <f t="shared" si="239"/>
        <v>0</v>
      </c>
      <c r="K698" s="218">
        <f t="shared" si="240"/>
        <v>0</v>
      </c>
      <c r="L698" s="192">
        <f t="shared" si="232"/>
        <v>0</v>
      </c>
      <c r="M698" s="211">
        <v>97</v>
      </c>
      <c r="N698" s="211">
        <f>(29.53*1.02)*0.3943*1.0824</f>
        <v>12.855180512592</v>
      </c>
      <c r="O698" s="211">
        <f>(42.96*1.02)*0.3943*1.0824</f>
        <v>18.701610390143998</v>
      </c>
      <c r="P698" s="211">
        <f>(16.43*1.02)*0.3943*1.0824</f>
        <v>7.1524082567520004</v>
      </c>
      <c r="Q698" s="211">
        <f>(12.76*1.02)*0.3943*1.0824</f>
        <v>5.5547613728639993</v>
      </c>
      <c r="R698" s="211">
        <f>(1.27*1.02)*0.3943*1.0824</f>
        <v>0.55286418052800002</v>
      </c>
      <c r="S698" s="211">
        <f>(0.0584*1.02)*0.3943*1.0824</f>
        <v>2.5423045781760002E-2</v>
      </c>
      <c r="T698" s="1850">
        <f t="shared" si="233"/>
        <v>0</v>
      </c>
      <c r="U698" s="1850">
        <f t="shared" si="229"/>
        <v>0</v>
      </c>
      <c r="V698" s="1850">
        <f t="shared" si="229"/>
        <v>0</v>
      </c>
      <c r="W698" s="1850">
        <f t="shared" si="229"/>
        <v>0</v>
      </c>
      <c r="X698" s="1850">
        <f t="shared" si="229"/>
        <v>0</v>
      </c>
      <c r="Y698" s="1850">
        <f t="shared" si="229"/>
        <v>0</v>
      </c>
      <c r="Z698" s="1850">
        <f t="shared" si="191"/>
        <v>0</v>
      </c>
      <c r="AA698" s="2733"/>
    </row>
    <row r="699" spans="1:27" ht="18.75" x14ac:dyDescent="0.25">
      <c r="A699" s="2456"/>
      <c r="B699" s="1849">
        <v>2067</v>
      </c>
      <c r="C699" s="218">
        <f t="shared" si="234"/>
        <v>0</v>
      </c>
      <c r="D699" s="218">
        <f t="shared" si="230"/>
        <v>0</v>
      </c>
      <c r="E699" s="218">
        <f t="shared" si="231"/>
        <v>0</v>
      </c>
      <c r="F699" s="218">
        <f t="shared" si="235"/>
        <v>0</v>
      </c>
      <c r="G699" s="218">
        <f t="shared" si="236"/>
        <v>0</v>
      </c>
      <c r="H699" s="218">
        <f t="shared" si="237"/>
        <v>0</v>
      </c>
      <c r="I699" s="218">
        <f t="shared" si="238"/>
        <v>0</v>
      </c>
      <c r="J699" s="218">
        <f t="shared" si="239"/>
        <v>0</v>
      </c>
      <c r="K699" s="218">
        <f t="shared" si="240"/>
        <v>0</v>
      </c>
      <c r="L699" s="192">
        <f t="shared" si="232"/>
        <v>0</v>
      </c>
      <c r="M699" s="211">
        <v>97</v>
      </c>
      <c r="N699" s="211">
        <f>(29.53*1.02)*0.3865*1.0824</f>
        <v>12.600880720560001</v>
      </c>
      <c r="O699" s="211">
        <f>(42.96*1.02)*0.3865*1.0824</f>
        <v>18.331657153920002</v>
      </c>
      <c r="P699" s="211">
        <f>(16.43*1.02)*0.3865*1.0824</f>
        <v>7.0109200893600008</v>
      </c>
      <c r="Q699" s="211">
        <f>(12.76*1.02)*0.3865*1.0824</f>
        <v>5.4448776835200006</v>
      </c>
      <c r="R699" s="211">
        <f>(1.27*1.02)*0.3865*1.0824</f>
        <v>0.5419274810400001</v>
      </c>
      <c r="S699" s="211">
        <f>(0.0584*1.02)*0.3865*1.0824</f>
        <v>2.4920129836800003E-2</v>
      </c>
      <c r="T699" s="1850">
        <f t="shared" si="233"/>
        <v>0</v>
      </c>
      <c r="U699" s="1850">
        <f t="shared" si="229"/>
        <v>0</v>
      </c>
      <c r="V699" s="1850">
        <f t="shared" si="229"/>
        <v>0</v>
      </c>
      <c r="W699" s="1850">
        <f t="shared" si="229"/>
        <v>0</v>
      </c>
      <c r="X699" s="1850">
        <f t="shared" si="229"/>
        <v>0</v>
      </c>
      <c r="Y699" s="1850">
        <f t="shared" si="229"/>
        <v>0</v>
      </c>
      <c r="Z699" s="1850">
        <f t="shared" si="191"/>
        <v>0</v>
      </c>
      <c r="AA699" s="2733"/>
    </row>
    <row r="700" spans="1:27" ht="18.75" x14ac:dyDescent="0.25">
      <c r="A700" s="2456"/>
      <c r="B700" s="1849">
        <v>2068</v>
      </c>
      <c r="C700" s="218">
        <f t="shared" si="234"/>
        <v>0</v>
      </c>
      <c r="D700" s="218">
        <f t="shared" si="230"/>
        <v>0</v>
      </c>
      <c r="E700" s="218">
        <f t="shared" si="231"/>
        <v>0</v>
      </c>
      <c r="F700" s="218">
        <f t="shared" si="235"/>
        <v>0</v>
      </c>
      <c r="G700" s="218">
        <f t="shared" si="236"/>
        <v>0</v>
      </c>
      <c r="H700" s="218">
        <f t="shared" si="237"/>
        <v>0</v>
      </c>
      <c r="I700" s="218">
        <f t="shared" si="238"/>
        <v>0</v>
      </c>
      <c r="J700" s="218">
        <f t="shared" si="239"/>
        <v>0</v>
      </c>
      <c r="K700" s="218">
        <f t="shared" si="240"/>
        <v>0</v>
      </c>
      <c r="L700" s="192">
        <f t="shared" si="232"/>
        <v>0</v>
      </c>
      <c r="M700" s="211">
        <v>97</v>
      </c>
      <c r="N700" s="211">
        <f>(29.53*1.02)*0.379*1.0824</f>
        <v>12.356361689760002</v>
      </c>
      <c r="O700" s="211">
        <f>(42.96*1.02)*0.379*1.0824</f>
        <v>17.975932888320003</v>
      </c>
      <c r="P700" s="211">
        <f>(16.43*1.02)*0.379*1.0824</f>
        <v>6.8748737745600002</v>
      </c>
      <c r="Q700" s="211">
        <f>(12.76*1.02)*0.379*1.0824</f>
        <v>5.339220289920001</v>
      </c>
      <c r="R700" s="211">
        <f>(1.27*1.02)*0.379*1.0824</f>
        <v>0.53141142384000006</v>
      </c>
      <c r="S700" s="211">
        <f>(0.0584*1.02)*0.379*1.0824</f>
        <v>2.4436556812800003E-2</v>
      </c>
      <c r="T700" s="1850">
        <f t="shared" si="233"/>
        <v>0</v>
      </c>
      <c r="U700" s="1850">
        <f t="shared" si="229"/>
        <v>0</v>
      </c>
      <c r="V700" s="1850">
        <f t="shared" si="229"/>
        <v>0</v>
      </c>
      <c r="W700" s="1850">
        <f t="shared" si="229"/>
        <v>0</v>
      </c>
      <c r="X700" s="1850">
        <f t="shared" si="229"/>
        <v>0</v>
      </c>
      <c r="Y700" s="1850">
        <f t="shared" si="229"/>
        <v>0</v>
      </c>
      <c r="Z700" s="1850">
        <f t="shared" si="191"/>
        <v>0</v>
      </c>
      <c r="AA700" s="2733"/>
    </row>
    <row r="701" spans="1:27" ht="19.5" thickBot="1" x14ac:dyDescent="0.3">
      <c r="A701" s="2457"/>
      <c r="B701" s="1851">
        <v>2069</v>
      </c>
      <c r="C701" s="222">
        <f t="shared" si="234"/>
        <v>0</v>
      </c>
      <c r="D701" s="222">
        <f t="shared" si="230"/>
        <v>0</v>
      </c>
      <c r="E701" s="222">
        <f t="shared" si="231"/>
        <v>0</v>
      </c>
      <c r="F701" s="222">
        <f t="shared" si="235"/>
        <v>0</v>
      </c>
      <c r="G701" s="222">
        <f t="shared" si="236"/>
        <v>0</v>
      </c>
      <c r="H701" s="222">
        <f t="shared" si="237"/>
        <v>0</v>
      </c>
      <c r="I701" s="222">
        <f t="shared" si="238"/>
        <v>0</v>
      </c>
      <c r="J701" s="222">
        <f t="shared" si="239"/>
        <v>0</v>
      </c>
      <c r="K701" s="222">
        <f t="shared" si="240"/>
        <v>0</v>
      </c>
      <c r="L701" s="220">
        <f t="shared" si="232"/>
        <v>0</v>
      </c>
      <c r="M701" s="416">
        <v>97</v>
      </c>
      <c r="N701" s="416">
        <f>(29.53*1.02)*0.3715*1.0824</f>
        <v>12.111842658960002</v>
      </c>
      <c r="O701" s="416">
        <f>(42.96*1.02)*0.3715*1.0824</f>
        <v>17.62020862272</v>
      </c>
      <c r="P701" s="416">
        <f>(16.43*1.02)*0.3715*1.0824</f>
        <v>6.7388274597600004</v>
      </c>
      <c r="Q701" s="416">
        <f>(12.76*1.02)*0.3715*1.0824</f>
        <v>5.2335628963200005</v>
      </c>
      <c r="R701" s="416">
        <f>(1.27*1.02)*0.3715*1.0824</f>
        <v>0.52089536664000002</v>
      </c>
      <c r="S701" s="416">
        <f>(0.0584*1.02)*0.3715*1.0824</f>
        <v>2.3952983788800002E-2</v>
      </c>
      <c r="T701" s="175">
        <f t="shared" si="233"/>
        <v>0</v>
      </c>
      <c r="U701" s="175">
        <f t="shared" si="229"/>
        <v>0</v>
      </c>
      <c r="V701" s="175">
        <f t="shared" si="229"/>
        <v>0</v>
      </c>
      <c r="W701" s="175">
        <f t="shared" si="229"/>
        <v>0</v>
      </c>
      <c r="X701" s="175">
        <f t="shared" si="229"/>
        <v>0</v>
      </c>
      <c r="Y701" s="175">
        <f t="shared" si="229"/>
        <v>0</v>
      </c>
      <c r="Z701" s="175">
        <f t="shared" si="191"/>
        <v>0</v>
      </c>
      <c r="AA701" s="2735"/>
    </row>
    <row r="702" spans="1:27" ht="18.75" x14ac:dyDescent="0.25">
      <c r="A702" s="2738" t="s">
        <v>1096</v>
      </c>
      <c r="B702" s="1865">
        <v>2019</v>
      </c>
      <c r="C702" s="221">
        <f t="shared" ref="C702:C733" si="241">$S$28</f>
        <v>0</v>
      </c>
      <c r="D702" s="221">
        <f>$R$28*28</f>
        <v>0</v>
      </c>
      <c r="E702" s="221">
        <f>$T$28*298</f>
        <v>0</v>
      </c>
      <c r="F702" s="221">
        <f t="shared" ref="F702:F733" si="242">$O$28</f>
        <v>0</v>
      </c>
      <c r="G702" s="221">
        <f t="shared" ref="G702:G733" si="243">$P$28</f>
        <v>0</v>
      </c>
      <c r="H702" s="221">
        <f t="shared" ref="H702:H733" si="244">$N$28</f>
        <v>0</v>
      </c>
      <c r="I702" s="221">
        <f t="shared" ref="I702:I733" si="245">$Q$28</f>
        <v>0</v>
      </c>
      <c r="J702" s="221">
        <f t="shared" ref="J702:J733" si="246">$L$28</f>
        <v>0</v>
      </c>
      <c r="K702" s="221">
        <f t="shared" ref="K702:K733" si="247">$M$28</f>
        <v>0</v>
      </c>
      <c r="L702" s="354">
        <f t="shared" si="232"/>
        <v>0</v>
      </c>
      <c r="M702" s="643">
        <v>62</v>
      </c>
      <c r="N702" s="643">
        <f>29.53*1.02*1.0824</f>
        <v>32.602537440000006</v>
      </c>
      <c r="O702" s="643">
        <f>42.96*1.02*1.0824</f>
        <v>47.429902080000005</v>
      </c>
      <c r="P702" s="643">
        <f>16.43*1.02*1.0824</f>
        <v>18.139508640000003</v>
      </c>
      <c r="Q702" s="643">
        <f>12.76*1.02*1.0824</f>
        <v>14.087652480000001</v>
      </c>
      <c r="R702" s="643">
        <f>1.27*1.02*1.0824</f>
        <v>1.4021409600000001</v>
      </c>
      <c r="S702" s="643">
        <f>0.0584*1.02*1.0824</f>
        <v>6.4476403200000004E-2</v>
      </c>
      <c r="T702" s="757">
        <f t="shared" si="233"/>
        <v>0</v>
      </c>
      <c r="U702" s="1848">
        <f t="shared" ref="U702:Y752" si="248">F702*N702</f>
        <v>0</v>
      </c>
      <c r="V702" s="1848">
        <f t="shared" si="248"/>
        <v>0</v>
      </c>
      <c r="W702" s="1848">
        <f t="shared" si="248"/>
        <v>0</v>
      </c>
      <c r="X702" s="1848">
        <f t="shared" si="248"/>
        <v>0</v>
      </c>
      <c r="Y702" s="1848">
        <f t="shared" si="248"/>
        <v>0</v>
      </c>
      <c r="Z702" s="1848">
        <f t="shared" si="191"/>
        <v>0</v>
      </c>
      <c r="AA702" s="2740">
        <f>(SUM(T702:T752)*1.2682)+(SUM(U702:U752))+(SUM(V702:V752))+(SUM(W702:W752))+(SUM(X702:X752))+(SUM(Y702:Y752))+(SUM(Z702:Z752))</f>
        <v>0</v>
      </c>
    </row>
    <row r="703" spans="1:27" ht="18.75" x14ac:dyDescent="0.25">
      <c r="A703" s="2738"/>
      <c r="B703" s="746">
        <v>2020</v>
      </c>
      <c r="C703" s="218">
        <f t="shared" si="241"/>
        <v>0</v>
      </c>
      <c r="D703" s="221">
        <f t="shared" ref="D703:D752" si="249">$R$28*28</f>
        <v>0</v>
      </c>
      <c r="E703" s="221">
        <f t="shared" ref="E703:E752" si="250">$T$28*298</f>
        <v>0</v>
      </c>
      <c r="F703" s="218">
        <f t="shared" si="242"/>
        <v>0</v>
      </c>
      <c r="G703" s="218">
        <f t="shared" si="243"/>
        <v>0</v>
      </c>
      <c r="H703" s="218">
        <f t="shared" si="244"/>
        <v>0</v>
      </c>
      <c r="I703" s="218">
        <f t="shared" si="245"/>
        <v>0</v>
      </c>
      <c r="J703" s="218">
        <f t="shared" si="246"/>
        <v>0</v>
      </c>
      <c r="K703" s="218">
        <f t="shared" si="247"/>
        <v>0</v>
      </c>
      <c r="L703" s="192">
        <f t="shared" si="232"/>
        <v>0</v>
      </c>
      <c r="M703" s="211">
        <v>64</v>
      </c>
      <c r="N703" s="211">
        <f>(29.53*1.02)*0.9804*1.0824</f>
        <v>31.963527706176006</v>
      </c>
      <c r="O703" s="211">
        <f>(42.96*1.02)*0.9804*1.0824</f>
        <v>46.500275999232002</v>
      </c>
      <c r="P703" s="211">
        <f>(16.43*1.02)*0.9804*1.0824</f>
        <v>17.783974270656003</v>
      </c>
      <c r="Q703" s="211">
        <f>(12.76*1.02)*0.9804*1.0824</f>
        <v>13.811534491392001</v>
      </c>
      <c r="R703" s="211">
        <f>(1.27*1.02)*0.9804*1.0824</f>
        <v>1.3746589971840002</v>
      </c>
      <c r="S703" s="211">
        <f>(0.0584*1.02)*0.9804*1.0824</f>
        <v>6.3212665697280013E-2</v>
      </c>
      <c r="T703" s="174">
        <f t="shared" si="233"/>
        <v>0</v>
      </c>
      <c r="U703" s="358">
        <f t="shared" si="248"/>
        <v>0</v>
      </c>
      <c r="V703" s="358">
        <f t="shared" si="248"/>
        <v>0</v>
      </c>
      <c r="W703" s="358">
        <f t="shared" si="248"/>
        <v>0</v>
      </c>
      <c r="X703" s="358">
        <f t="shared" si="248"/>
        <v>0</v>
      </c>
      <c r="Y703" s="358">
        <f t="shared" si="248"/>
        <v>0</v>
      </c>
      <c r="Z703" s="358">
        <f t="shared" si="191"/>
        <v>0</v>
      </c>
      <c r="AA703" s="2733"/>
    </row>
    <row r="704" spans="1:27" ht="18.75" x14ac:dyDescent="0.25">
      <c r="A704" s="2738"/>
      <c r="B704" s="746">
        <v>2021</v>
      </c>
      <c r="C704" s="218">
        <f t="shared" si="241"/>
        <v>0</v>
      </c>
      <c r="D704" s="221">
        <f t="shared" si="249"/>
        <v>0</v>
      </c>
      <c r="E704" s="221">
        <f t="shared" si="250"/>
        <v>0</v>
      </c>
      <c r="F704" s="218">
        <f t="shared" si="242"/>
        <v>0</v>
      </c>
      <c r="G704" s="218">
        <f t="shared" si="243"/>
        <v>0</v>
      </c>
      <c r="H704" s="218">
        <f t="shared" si="244"/>
        <v>0</v>
      </c>
      <c r="I704" s="218">
        <f t="shared" si="245"/>
        <v>0</v>
      </c>
      <c r="J704" s="218">
        <f t="shared" si="246"/>
        <v>0</v>
      </c>
      <c r="K704" s="218">
        <f t="shared" si="247"/>
        <v>0</v>
      </c>
      <c r="L704" s="192">
        <f t="shared" si="232"/>
        <v>0</v>
      </c>
      <c r="M704" s="211">
        <v>65</v>
      </c>
      <c r="N704" s="211">
        <f>(29.53*1.02)*0.9612*1.0824</f>
        <v>31.337558987328006</v>
      </c>
      <c r="O704" s="211">
        <f>(42.96*1.02)*0.9612*1.0824</f>
        <v>45.589621879296011</v>
      </c>
      <c r="P704" s="211">
        <f>(16.43*1.02)*0.9612*1.0824</f>
        <v>17.435695704768001</v>
      </c>
      <c r="Q704" s="211">
        <f>(12.76*1.02)*0.9612*1.0824</f>
        <v>13.541051563776001</v>
      </c>
      <c r="R704" s="211">
        <f>(1.27*1.02)*0.9612*1.0824</f>
        <v>1.3477378907520003</v>
      </c>
      <c r="S704" s="211">
        <f>(0.0584*1.02)*0.9612*1.0824</f>
        <v>6.1974718755840007E-2</v>
      </c>
      <c r="T704" s="174">
        <f t="shared" si="233"/>
        <v>0</v>
      </c>
      <c r="U704" s="358">
        <f t="shared" si="248"/>
        <v>0</v>
      </c>
      <c r="V704" s="358">
        <f t="shared" si="248"/>
        <v>0</v>
      </c>
      <c r="W704" s="358">
        <f t="shared" si="248"/>
        <v>0</v>
      </c>
      <c r="X704" s="358">
        <f t="shared" si="248"/>
        <v>0</v>
      </c>
      <c r="Y704" s="358">
        <f t="shared" si="248"/>
        <v>0</v>
      </c>
      <c r="Z704" s="358">
        <f t="shared" si="191"/>
        <v>0</v>
      </c>
      <c r="AA704" s="2733"/>
    </row>
    <row r="705" spans="1:27" ht="18.75" x14ac:dyDescent="0.25">
      <c r="A705" s="2738"/>
      <c r="B705" s="746">
        <v>2022</v>
      </c>
      <c r="C705" s="218">
        <f t="shared" si="241"/>
        <v>0</v>
      </c>
      <c r="D705" s="221">
        <f t="shared" si="249"/>
        <v>0</v>
      </c>
      <c r="E705" s="221">
        <f t="shared" si="250"/>
        <v>0</v>
      </c>
      <c r="F705" s="218">
        <f t="shared" si="242"/>
        <v>0</v>
      </c>
      <c r="G705" s="218">
        <f t="shared" si="243"/>
        <v>0</v>
      </c>
      <c r="H705" s="218">
        <f t="shared" si="244"/>
        <v>0</v>
      </c>
      <c r="I705" s="218">
        <f t="shared" si="245"/>
        <v>0</v>
      </c>
      <c r="J705" s="218">
        <f t="shared" si="246"/>
        <v>0</v>
      </c>
      <c r="K705" s="218">
        <f t="shared" si="247"/>
        <v>0</v>
      </c>
      <c r="L705" s="192">
        <f t="shared" si="232"/>
        <v>0</v>
      </c>
      <c r="M705" s="211">
        <v>66</v>
      </c>
      <c r="N705" s="211">
        <f>(29.53*1.02)*0.9423*1.0824</f>
        <v>30.721371029712003</v>
      </c>
      <c r="O705" s="211">
        <f>(42.96*1.02)*0.9423*1.0824</f>
        <v>44.693196729984003</v>
      </c>
      <c r="P705" s="211">
        <f>(16.43*1.02)*0.9423*1.0824</f>
        <v>17.092858991472003</v>
      </c>
      <c r="Q705" s="211">
        <f>(12.76*1.02)*0.9423*1.0824</f>
        <v>13.274794931903999</v>
      </c>
      <c r="R705" s="211">
        <f>(1.27*1.02)*0.9423*1.0824</f>
        <v>1.3212374266080003</v>
      </c>
      <c r="S705" s="211">
        <f>(0.0584*1.02)*0.9423*1.0824</f>
        <v>6.0756114735360002E-2</v>
      </c>
      <c r="T705" s="174">
        <f t="shared" si="233"/>
        <v>0</v>
      </c>
      <c r="U705" s="358">
        <f t="shared" si="248"/>
        <v>0</v>
      </c>
      <c r="V705" s="358">
        <f t="shared" si="248"/>
        <v>0</v>
      </c>
      <c r="W705" s="358">
        <f t="shared" si="248"/>
        <v>0</v>
      </c>
      <c r="X705" s="358">
        <f t="shared" si="248"/>
        <v>0</v>
      </c>
      <c r="Y705" s="358">
        <f t="shared" si="248"/>
        <v>0</v>
      </c>
      <c r="Z705" s="358">
        <f t="shared" si="191"/>
        <v>0</v>
      </c>
      <c r="AA705" s="2733"/>
    </row>
    <row r="706" spans="1:27" ht="18.75" x14ac:dyDescent="0.25">
      <c r="A706" s="2738"/>
      <c r="B706" s="746">
        <v>2023</v>
      </c>
      <c r="C706" s="218">
        <f t="shared" si="241"/>
        <v>0</v>
      </c>
      <c r="D706" s="221">
        <f t="shared" si="249"/>
        <v>0</v>
      </c>
      <c r="E706" s="221">
        <f t="shared" si="250"/>
        <v>0</v>
      </c>
      <c r="F706" s="218">
        <f t="shared" si="242"/>
        <v>0</v>
      </c>
      <c r="G706" s="218">
        <f t="shared" si="243"/>
        <v>0</v>
      </c>
      <c r="H706" s="218">
        <f t="shared" si="244"/>
        <v>0</v>
      </c>
      <c r="I706" s="218">
        <f t="shared" si="245"/>
        <v>0</v>
      </c>
      <c r="J706" s="218">
        <f t="shared" si="246"/>
        <v>0</v>
      </c>
      <c r="K706" s="218">
        <f t="shared" si="247"/>
        <v>0</v>
      </c>
      <c r="L706" s="192">
        <f t="shared" si="232"/>
        <v>0</v>
      </c>
      <c r="M706" s="211">
        <v>67</v>
      </c>
      <c r="N706" s="211">
        <f>(29.53*1.02)*0.9238*1.0824</f>
        <v>30.118224087072001</v>
      </c>
      <c r="O706" s="211">
        <f>(42.96*1.02)*0.9238*1.0824</f>
        <v>43.815743541504006</v>
      </c>
      <c r="P706" s="211">
        <f>(16.43*1.02)*0.9238*1.0824</f>
        <v>16.757278081632002</v>
      </c>
      <c r="Q706" s="211">
        <f>(12.76*1.02)*0.9238*1.0824</f>
        <v>13.014173361024</v>
      </c>
      <c r="R706" s="211">
        <f>(1.27*1.02)*0.9238*1.0824</f>
        <v>1.295297818848</v>
      </c>
      <c r="S706" s="211">
        <f>(0.0584*1.02)*0.9238*1.0824</f>
        <v>5.9563301276160004E-2</v>
      </c>
      <c r="T706" s="174">
        <f t="shared" si="233"/>
        <v>0</v>
      </c>
      <c r="U706" s="358">
        <f t="shared" si="248"/>
        <v>0</v>
      </c>
      <c r="V706" s="358">
        <f t="shared" si="248"/>
        <v>0</v>
      </c>
      <c r="W706" s="358">
        <f t="shared" si="248"/>
        <v>0</v>
      </c>
      <c r="X706" s="358">
        <f t="shared" si="248"/>
        <v>0</v>
      </c>
      <c r="Y706" s="358">
        <f t="shared" si="248"/>
        <v>0</v>
      </c>
      <c r="Z706" s="358">
        <f t="shared" si="191"/>
        <v>0</v>
      </c>
      <c r="AA706" s="2733"/>
    </row>
    <row r="707" spans="1:27" ht="18.75" x14ac:dyDescent="0.25">
      <c r="A707" s="2738"/>
      <c r="B707" s="746">
        <v>2024</v>
      </c>
      <c r="C707" s="218">
        <f t="shared" si="241"/>
        <v>0</v>
      </c>
      <c r="D707" s="221">
        <f t="shared" si="249"/>
        <v>0</v>
      </c>
      <c r="E707" s="221">
        <f t="shared" si="250"/>
        <v>0</v>
      </c>
      <c r="F707" s="218">
        <f t="shared" si="242"/>
        <v>0</v>
      </c>
      <c r="G707" s="218">
        <f t="shared" si="243"/>
        <v>0</v>
      </c>
      <c r="H707" s="218">
        <f t="shared" si="244"/>
        <v>0</v>
      </c>
      <c r="I707" s="218">
        <f t="shared" si="245"/>
        <v>0</v>
      </c>
      <c r="J707" s="218">
        <f t="shared" si="246"/>
        <v>0</v>
      </c>
      <c r="K707" s="218">
        <f t="shared" si="247"/>
        <v>0</v>
      </c>
      <c r="L707" s="192">
        <f t="shared" si="232"/>
        <v>0</v>
      </c>
      <c r="M707" s="211">
        <v>68</v>
      </c>
      <c r="N707" s="211">
        <f>(29.53*1.02)*0.9057*1.0824</f>
        <v>29.528118159408002</v>
      </c>
      <c r="O707" s="211">
        <f>(42.96*1.02)*0.9057*1.0824</f>
        <v>42.957262313856006</v>
      </c>
      <c r="P707" s="211">
        <f>(16.43*1.02)*0.9057*1.0824</f>
        <v>16.428952975248002</v>
      </c>
      <c r="Q707" s="211">
        <f>(12.76*1.02)*0.9057*1.0824</f>
        <v>12.759186851135999</v>
      </c>
      <c r="R707" s="211">
        <f>(1.27*1.02)*0.9057*1.0824</f>
        <v>1.269919067472</v>
      </c>
      <c r="S707" s="211">
        <f>(0.0584*1.02)*0.9057*1.0824</f>
        <v>5.8396278378240005E-2</v>
      </c>
      <c r="T707" s="174">
        <f t="shared" si="233"/>
        <v>0</v>
      </c>
      <c r="U707" s="358">
        <f t="shared" si="248"/>
        <v>0</v>
      </c>
      <c r="V707" s="358">
        <f t="shared" si="248"/>
        <v>0</v>
      </c>
      <c r="W707" s="358">
        <f t="shared" si="248"/>
        <v>0</v>
      </c>
      <c r="X707" s="358">
        <f t="shared" si="248"/>
        <v>0</v>
      </c>
      <c r="Y707" s="358">
        <f t="shared" si="248"/>
        <v>0</v>
      </c>
      <c r="Z707" s="358">
        <f t="shared" si="191"/>
        <v>0</v>
      </c>
      <c r="AA707" s="2733"/>
    </row>
    <row r="708" spans="1:27" ht="18.75" x14ac:dyDescent="0.25">
      <c r="A708" s="2738"/>
      <c r="B708" s="746">
        <v>2025</v>
      </c>
      <c r="C708" s="218">
        <f t="shared" si="241"/>
        <v>0</v>
      </c>
      <c r="D708" s="221">
        <f t="shared" si="249"/>
        <v>0</v>
      </c>
      <c r="E708" s="221">
        <f t="shared" si="250"/>
        <v>0</v>
      </c>
      <c r="F708" s="218">
        <f t="shared" si="242"/>
        <v>0</v>
      </c>
      <c r="G708" s="218">
        <f t="shared" si="243"/>
        <v>0</v>
      </c>
      <c r="H708" s="218">
        <f t="shared" si="244"/>
        <v>0</v>
      </c>
      <c r="I708" s="218">
        <f t="shared" si="245"/>
        <v>0</v>
      </c>
      <c r="J708" s="218">
        <f t="shared" si="246"/>
        <v>0</v>
      </c>
      <c r="K708" s="218">
        <f t="shared" si="247"/>
        <v>0</v>
      </c>
      <c r="L708" s="192">
        <f t="shared" si="232"/>
        <v>0</v>
      </c>
      <c r="M708" s="211">
        <v>69</v>
      </c>
      <c r="N708" s="211">
        <f>(29.53*1.02)*0.888*1.0824</f>
        <v>28.951053246720004</v>
      </c>
      <c r="O708" s="211">
        <f>(42.96*1.02)*0.888*1.0824</f>
        <v>42.117753047040004</v>
      </c>
      <c r="P708" s="211">
        <f>(16.43*1.02)*0.888*1.0824</f>
        <v>16.10788367232</v>
      </c>
      <c r="Q708" s="211">
        <f>(12.76*1.02)*0.888*1.0824</f>
        <v>12.50983540224</v>
      </c>
      <c r="R708" s="211">
        <f>(1.27*1.02)*0.888*1.0824</f>
        <v>1.2451011724800001</v>
      </c>
      <c r="S708" s="211">
        <f>(0.0584*1.02)*0.888*1.0824</f>
        <v>5.7255046041600005E-2</v>
      </c>
      <c r="T708" s="174">
        <f t="shared" si="233"/>
        <v>0</v>
      </c>
      <c r="U708" s="358">
        <f t="shared" si="248"/>
        <v>0</v>
      </c>
      <c r="V708" s="358">
        <f t="shared" si="248"/>
        <v>0</v>
      </c>
      <c r="W708" s="358">
        <f t="shared" si="248"/>
        <v>0</v>
      </c>
      <c r="X708" s="358">
        <f t="shared" si="248"/>
        <v>0</v>
      </c>
      <c r="Y708" s="358">
        <f t="shared" si="248"/>
        <v>0</v>
      </c>
      <c r="Z708" s="358">
        <f t="shared" si="191"/>
        <v>0</v>
      </c>
      <c r="AA708" s="2733"/>
    </row>
    <row r="709" spans="1:27" ht="18.75" x14ac:dyDescent="0.25">
      <c r="A709" s="2738"/>
      <c r="B709" s="746">
        <v>2026</v>
      </c>
      <c r="C709" s="218">
        <f t="shared" si="241"/>
        <v>0</v>
      </c>
      <c r="D709" s="221">
        <f t="shared" si="249"/>
        <v>0</v>
      </c>
      <c r="E709" s="221">
        <f t="shared" si="250"/>
        <v>0</v>
      </c>
      <c r="F709" s="218">
        <f t="shared" si="242"/>
        <v>0</v>
      </c>
      <c r="G709" s="218">
        <f t="shared" si="243"/>
        <v>0</v>
      </c>
      <c r="H709" s="218">
        <f t="shared" si="244"/>
        <v>0</v>
      </c>
      <c r="I709" s="218">
        <f t="shared" si="245"/>
        <v>0</v>
      </c>
      <c r="J709" s="218">
        <f t="shared" si="246"/>
        <v>0</v>
      </c>
      <c r="K709" s="218">
        <f t="shared" si="247"/>
        <v>0</v>
      </c>
      <c r="L709" s="192">
        <f t="shared" si="232"/>
        <v>0</v>
      </c>
      <c r="M709" s="211">
        <v>70</v>
      </c>
      <c r="N709" s="211">
        <f>(29.53*1.02)*0.8706*1.0824</f>
        <v>28.383769095264007</v>
      </c>
      <c r="O709" s="211">
        <f>(42.96*1.02)*0.8706*1.0824</f>
        <v>41.292472750848006</v>
      </c>
      <c r="P709" s="211">
        <f>(16.43*1.02)*0.8706*1.0824</f>
        <v>15.792256221984003</v>
      </c>
      <c r="Q709" s="211">
        <f>(12.76*1.02)*0.8706*1.0824</f>
        <v>12.264710249088001</v>
      </c>
      <c r="R709" s="211">
        <f>(1.27*1.02)*0.8706*1.0824</f>
        <v>1.2207039197760001</v>
      </c>
      <c r="S709" s="211">
        <f>(0.0584*1.02)*0.8706*1.0824</f>
        <v>5.6133156625920007E-2</v>
      </c>
      <c r="T709" s="174">
        <f t="shared" si="233"/>
        <v>0</v>
      </c>
      <c r="U709" s="358">
        <f t="shared" si="248"/>
        <v>0</v>
      </c>
      <c r="V709" s="358">
        <f t="shared" si="248"/>
        <v>0</v>
      </c>
      <c r="W709" s="358">
        <f t="shared" si="248"/>
        <v>0</v>
      </c>
      <c r="X709" s="358">
        <f t="shared" si="248"/>
        <v>0</v>
      </c>
      <c r="Y709" s="358">
        <f t="shared" si="248"/>
        <v>0</v>
      </c>
      <c r="Z709" s="358">
        <f t="shared" si="191"/>
        <v>0</v>
      </c>
      <c r="AA709" s="2733"/>
    </row>
    <row r="710" spans="1:27" ht="18.75" x14ac:dyDescent="0.25">
      <c r="A710" s="2738"/>
      <c r="B710" s="746">
        <v>2027</v>
      </c>
      <c r="C710" s="218">
        <f t="shared" si="241"/>
        <v>0</v>
      </c>
      <c r="D710" s="221">
        <f t="shared" si="249"/>
        <v>0</v>
      </c>
      <c r="E710" s="221">
        <f t="shared" si="250"/>
        <v>0</v>
      </c>
      <c r="F710" s="218">
        <f t="shared" si="242"/>
        <v>0</v>
      </c>
      <c r="G710" s="218">
        <f t="shared" si="243"/>
        <v>0</v>
      </c>
      <c r="H710" s="218">
        <f t="shared" si="244"/>
        <v>0</v>
      </c>
      <c r="I710" s="218">
        <f t="shared" si="245"/>
        <v>0</v>
      </c>
      <c r="J710" s="218">
        <f t="shared" si="246"/>
        <v>0</v>
      </c>
      <c r="K710" s="218">
        <f t="shared" si="247"/>
        <v>0</v>
      </c>
      <c r="L710" s="192">
        <f t="shared" si="232"/>
        <v>0</v>
      </c>
      <c r="M710" s="211">
        <v>71</v>
      </c>
      <c r="N710" s="211">
        <f>(29.53*1.02)*0.8535*1.0824</f>
        <v>27.826265705040004</v>
      </c>
      <c r="O710" s="211">
        <f>(42.96*1.02)*0.8535*1.0824</f>
        <v>40.481421425280004</v>
      </c>
      <c r="P710" s="211">
        <f>(16.43*1.02)*0.8535*1.0824</f>
        <v>15.482070624240002</v>
      </c>
      <c r="Q710" s="211">
        <f>(12.76*1.02)*0.8535*1.0824</f>
        <v>12.023811391680001</v>
      </c>
      <c r="R710" s="211">
        <f>(1.27*1.02)*0.8535*1.0824</f>
        <v>1.1967273093600002</v>
      </c>
      <c r="S710" s="211">
        <f>(0.0584*1.02)*0.8535*1.0824</f>
        <v>5.503061013120001E-2</v>
      </c>
      <c r="T710" s="174">
        <f t="shared" si="233"/>
        <v>0</v>
      </c>
      <c r="U710" s="358">
        <f t="shared" si="248"/>
        <v>0</v>
      </c>
      <c r="V710" s="358">
        <f t="shared" si="248"/>
        <v>0</v>
      </c>
      <c r="W710" s="358">
        <f t="shared" si="248"/>
        <v>0</v>
      </c>
      <c r="X710" s="358">
        <f t="shared" si="248"/>
        <v>0</v>
      </c>
      <c r="Y710" s="358">
        <f t="shared" si="248"/>
        <v>0</v>
      </c>
      <c r="Z710" s="358">
        <f t="shared" si="191"/>
        <v>0</v>
      </c>
      <c r="AA710" s="2733"/>
    </row>
    <row r="711" spans="1:27" ht="18.75" x14ac:dyDescent="0.25">
      <c r="A711" s="2738"/>
      <c r="B711" s="746">
        <v>2028</v>
      </c>
      <c r="C711" s="218">
        <f t="shared" si="241"/>
        <v>0</v>
      </c>
      <c r="D711" s="221">
        <f t="shared" si="249"/>
        <v>0</v>
      </c>
      <c r="E711" s="221">
        <f t="shared" si="250"/>
        <v>0</v>
      </c>
      <c r="F711" s="218">
        <f t="shared" si="242"/>
        <v>0</v>
      </c>
      <c r="G711" s="218">
        <f t="shared" si="243"/>
        <v>0</v>
      </c>
      <c r="H711" s="218">
        <f t="shared" si="244"/>
        <v>0</v>
      </c>
      <c r="I711" s="218">
        <f t="shared" si="245"/>
        <v>0</v>
      </c>
      <c r="J711" s="218">
        <f t="shared" si="246"/>
        <v>0</v>
      </c>
      <c r="K711" s="218">
        <f t="shared" si="247"/>
        <v>0</v>
      </c>
      <c r="L711" s="192">
        <f t="shared" si="232"/>
        <v>0</v>
      </c>
      <c r="M711" s="211">
        <v>72</v>
      </c>
      <c r="N711" s="211">
        <f>(29.53*1.02)*0.8368*1.0824</f>
        <v>27.281803329792002</v>
      </c>
      <c r="O711" s="211">
        <f>(42.96*1.02)*0.8368*1.0824</f>
        <v>39.689342060544</v>
      </c>
      <c r="P711" s="211">
        <f>(16.43*1.02)*0.8368*1.0824</f>
        <v>15.179140829952001</v>
      </c>
      <c r="Q711" s="211">
        <f>(12.76*1.02)*0.8368*1.0824</f>
        <v>11.788547595263999</v>
      </c>
      <c r="R711" s="211">
        <f>(1.27*1.02)*0.8368*1.0824</f>
        <v>1.173311555328</v>
      </c>
      <c r="S711" s="211">
        <f>(0.0584*1.02)*0.8368*1.0824</f>
        <v>5.3953854197759998E-2</v>
      </c>
      <c r="T711" s="174">
        <f t="shared" si="233"/>
        <v>0</v>
      </c>
      <c r="U711" s="358">
        <f t="shared" si="248"/>
        <v>0</v>
      </c>
      <c r="V711" s="358">
        <f t="shared" si="248"/>
        <v>0</v>
      </c>
      <c r="W711" s="358">
        <f t="shared" si="248"/>
        <v>0</v>
      </c>
      <c r="X711" s="358">
        <f t="shared" si="248"/>
        <v>0</v>
      </c>
      <c r="Y711" s="358">
        <f t="shared" si="248"/>
        <v>0</v>
      </c>
      <c r="Z711" s="358">
        <f t="shared" si="191"/>
        <v>0</v>
      </c>
      <c r="AA711" s="2733"/>
    </row>
    <row r="712" spans="1:27" ht="18.75" x14ac:dyDescent="0.25">
      <c r="A712" s="2738"/>
      <c r="B712" s="746">
        <v>2029</v>
      </c>
      <c r="C712" s="218">
        <f t="shared" si="241"/>
        <v>0</v>
      </c>
      <c r="D712" s="221">
        <f t="shared" si="249"/>
        <v>0</v>
      </c>
      <c r="E712" s="221">
        <f t="shared" si="250"/>
        <v>0</v>
      </c>
      <c r="F712" s="218">
        <f t="shared" si="242"/>
        <v>0</v>
      </c>
      <c r="G712" s="218">
        <f t="shared" si="243"/>
        <v>0</v>
      </c>
      <c r="H712" s="218">
        <f t="shared" si="244"/>
        <v>0</v>
      </c>
      <c r="I712" s="218">
        <f t="shared" si="245"/>
        <v>0</v>
      </c>
      <c r="J712" s="218">
        <f t="shared" si="246"/>
        <v>0</v>
      </c>
      <c r="K712" s="218">
        <f t="shared" si="247"/>
        <v>0</v>
      </c>
      <c r="L712" s="192">
        <f t="shared" si="232"/>
        <v>0</v>
      </c>
      <c r="M712" s="211">
        <v>73</v>
      </c>
      <c r="N712" s="211">
        <f>(29.53*1.02)*0.8203*1.0824</f>
        <v>26.743861462032005</v>
      </c>
      <c r="O712" s="211">
        <f>(42.96*1.02)*0.8203*1.0824</f>
        <v>38.906748676224005</v>
      </c>
      <c r="P712" s="211">
        <f>(16.43*1.02)*0.8203*1.0824</f>
        <v>14.879838937392002</v>
      </c>
      <c r="Q712" s="211">
        <f>(12.76*1.02)*0.8203*1.0824</f>
        <v>11.556101329344001</v>
      </c>
      <c r="R712" s="211">
        <f>(1.27*1.02)*0.8203*1.0824</f>
        <v>1.1501762294880002</v>
      </c>
      <c r="S712" s="211">
        <f>(0.0584*1.02)*0.8203*1.0824</f>
        <v>5.2889993544960004E-2</v>
      </c>
      <c r="T712" s="174">
        <f t="shared" si="233"/>
        <v>0</v>
      </c>
      <c r="U712" s="358">
        <f t="shared" si="248"/>
        <v>0</v>
      </c>
      <c r="V712" s="358">
        <f t="shared" si="248"/>
        <v>0</v>
      </c>
      <c r="W712" s="358">
        <f t="shared" si="248"/>
        <v>0</v>
      </c>
      <c r="X712" s="358">
        <f t="shared" si="248"/>
        <v>0</v>
      </c>
      <c r="Y712" s="358">
        <f t="shared" si="248"/>
        <v>0</v>
      </c>
      <c r="Z712" s="358">
        <f t="shared" si="191"/>
        <v>0</v>
      </c>
      <c r="AA712" s="2733"/>
    </row>
    <row r="713" spans="1:27" ht="18.75" x14ac:dyDescent="0.25">
      <c r="A713" s="2738"/>
      <c r="B713" s="746">
        <v>2030</v>
      </c>
      <c r="C713" s="218">
        <f t="shared" si="241"/>
        <v>0</v>
      </c>
      <c r="D713" s="221">
        <f t="shared" si="249"/>
        <v>0</v>
      </c>
      <c r="E713" s="221">
        <f t="shared" si="250"/>
        <v>0</v>
      </c>
      <c r="F713" s="218">
        <f t="shared" si="242"/>
        <v>0</v>
      </c>
      <c r="G713" s="218">
        <f t="shared" si="243"/>
        <v>0</v>
      </c>
      <c r="H713" s="218">
        <f t="shared" si="244"/>
        <v>0</v>
      </c>
      <c r="I713" s="218">
        <f t="shared" si="245"/>
        <v>0</v>
      </c>
      <c r="J713" s="218">
        <f t="shared" si="246"/>
        <v>0</v>
      </c>
      <c r="K713" s="218">
        <f t="shared" si="247"/>
        <v>0</v>
      </c>
      <c r="L713" s="192">
        <f t="shared" si="232"/>
        <v>0</v>
      </c>
      <c r="M713" s="211">
        <v>75</v>
      </c>
      <c r="N713" s="211">
        <f>(29.53*1.02)*0.8043*1.0824</f>
        <v>26.222220862992003</v>
      </c>
      <c r="O713" s="211">
        <f>(42.96*1.02)*0.8043*1.0824</f>
        <v>38.147870242944002</v>
      </c>
      <c r="P713" s="211">
        <f>(16.43*1.02)*0.8043*1.0824</f>
        <v>14.589606799152003</v>
      </c>
      <c r="Q713" s="211">
        <f>(12.76*1.02)*0.8043*1.0824</f>
        <v>11.330698889664001</v>
      </c>
      <c r="R713" s="211">
        <f>(1.27*1.02)*0.8043*1.0824</f>
        <v>1.1277419741280001</v>
      </c>
      <c r="S713" s="211">
        <f>(0.0584*1.02)*0.8043*1.0824</f>
        <v>5.1858371093760007E-2</v>
      </c>
      <c r="T713" s="174">
        <f t="shared" si="233"/>
        <v>0</v>
      </c>
      <c r="U713" s="358">
        <f t="shared" si="248"/>
        <v>0</v>
      </c>
      <c r="V713" s="358">
        <f t="shared" si="248"/>
        <v>0</v>
      </c>
      <c r="W713" s="358">
        <f t="shared" si="248"/>
        <v>0</v>
      </c>
      <c r="X713" s="358">
        <f t="shared" si="248"/>
        <v>0</v>
      </c>
      <c r="Y713" s="358">
        <f t="shared" si="248"/>
        <v>0</v>
      </c>
      <c r="Z713" s="358">
        <f t="shared" si="191"/>
        <v>0</v>
      </c>
      <c r="AA713" s="2733"/>
    </row>
    <row r="714" spans="1:27" ht="18.75" x14ac:dyDescent="0.25">
      <c r="A714" s="2738"/>
      <c r="B714" s="746">
        <v>2031</v>
      </c>
      <c r="C714" s="218">
        <f t="shared" si="241"/>
        <v>0</v>
      </c>
      <c r="D714" s="221">
        <f t="shared" si="249"/>
        <v>0</v>
      </c>
      <c r="E714" s="221">
        <f t="shared" si="250"/>
        <v>0</v>
      </c>
      <c r="F714" s="218">
        <f t="shared" si="242"/>
        <v>0</v>
      </c>
      <c r="G714" s="218">
        <f t="shared" si="243"/>
        <v>0</v>
      </c>
      <c r="H714" s="218">
        <f t="shared" si="244"/>
        <v>0</v>
      </c>
      <c r="I714" s="218">
        <f t="shared" si="245"/>
        <v>0</v>
      </c>
      <c r="J714" s="218">
        <f t="shared" si="246"/>
        <v>0</v>
      </c>
      <c r="K714" s="218">
        <f t="shared" si="247"/>
        <v>0</v>
      </c>
      <c r="L714" s="192">
        <f t="shared" si="232"/>
        <v>0</v>
      </c>
      <c r="M714" s="211">
        <v>76</v>
      </c>
      <c r="N714" s="211">
        <f>(29.53*1.02)*0.7885*1.0824</f>
        <v>25.70710077144</v>
      </c>
      <c r="O714" s="211">
        <f>(42.96*1.02)*0.7885*1.0824</f>
        <v>37.398477790080001</v>
      </c>
      <c r="P714" s="211">
        <f>(16.43*1.02)*0.7885*1.0824</f>
        <v>14.303002562640001</v>
      </c>
      <c r="Q714" s="211">
        <f>(12.76*1.02)*0.7885*1.0824</f>
        <v>11.108113980480001</v>
      </c>
      <c r="R714" s="211">
        <f>(1.27*1.02)*0.7885*1.0824</f>
        <v>1.1055881469600002</v>
      </c>
      <c r="S714" s="211">
        <f>(0.0584*1.02)*0.7885*1.0824</f>
        <v>5.0839643923200006E-2</v>
      </c>
      <c r="T714" s="174">
        <f t="shared" si="233"/>
        <v>0</v>
      </c>
      <c r="U714" s="358">
        <f t="shared" si="248"/>
        <v>0</v>
      </c>
      <c r="V714" s="358">
        <f t="shared" si="248"/>
        <v>0</v>
      </c>
      <c r="W714" s="358">
        <f t="shared" si="248"/>
        <v>0</v>
      </c>
      <c r="X714" s="358">
        <f t="shared" si="248"/>
        <v>0</v>
      </c>
      <c r="Y714" s="358">
        <f t="shared" si="248"/>
        <v>0</v>
      </c>
      <c r="Z714" s="358">
        <f t="shared" si="191"/>
        <v>0</v>
      </c>
      <c r="AA714" s="2733"/>
    </row>
    <row r="715" spans="1:27" ht="18.75" x14ac:dyDescent="0.25">
      <c r="A715" s="2738"/>
      <c r="B715" s="746">
        <v>2032</v>
      </c>
      <c r="C715" s="218">
        <f t="shared" si="241"/>
        <v>0</v>
      </c>
      <c r="D715" s="221">
        <f t="shared" si="249"/>
        <v>0</v>
      </c>
      <c r="E715" s="221">
        <f t="shared" si="250"/>
        <v>0</v>
      </c>
      <c r="F715" s="218">
        <f t="shared" si="242"/>
        <v>0</v>
      </c>
      <c r="G715" s="218">
        <f t="shared" si="243"/>
        <v>0</v>
      </c>
      <c r="H715" s="218">
        <f t="shared" si="244"/>
        <v>0</v>
      </c>
      <c r="I715" s="218">
        <f t="shared" si="245"/>
        <v>0</v>
      </c>
      <c r="J715" s="218">
        <f t="shared" si="246"/>
        <v>0</v>
      </c>
      <c r="K715" s="218">
        <f t="shared" si="247"/>
        <v>0</v>
      </c>
      <c r="L715" s="192">
        <f t="shared" si="232"/>
        <v>0</v>
      </c>
      <c r="M715" s="211">
        <v>77</v>
      </c>
      <c r="N715" s="211">
        <f>(29.53*1.02)*0.773*1.0824</f>
        <v>25.201761441120002</v>
      </c>
      <c r="O715" s="211">
        <f>(42.96*1.02)*0.773*1.0824</f>
        <v>36.663314307840004</v>
      </c>
      <c r="P715" s="211">
        <f>(16.43*1.02)*0.773*1.0824</f>
        <v>14.021840178720002</v>
      </c>
      <c r="Q715" s="211">
        <f>(12.76*1.02)*0.773*1.0824</f>
        <v>10.889755367040001</v>
      </c>
      <c r="R715" s="211">
        <f>(1.27*1.02)*0.773*1.0824</f>
        <v>1.0838549620800002</v>
      </c>
      <c r="S715" s="211">
        <f>(0.0584*1.02)*0.773*1.0824</f>
        <v>4.9840259673600007E-2</v>
      </c>
      <c r="T715" s="174">
        <f t="shared" si="233"/>
        <v>0</v>
      </c>
      <c r="U715" s="358">
        <f t="shared" si="248"/>
        <v>0</v>
      </c>
      <c r="V715" s="358">
        <f t="shared" si="248"/>
        <v>0</v>
      </c>
      <c r="W715" s="358">
        <f t="shared" si="248"/>
        <v>0</v>
      </c>
      <c r="X715" s="358">
        <f t="shared" si="248"/>
        <v>0</v>
      </c>
      <c r="Y715" s="358">
        <f t="shared" si="248"/>
        <v>0</v>
      </c>
      <c r="Z715" s="358">
        <f t="shared" ref="Z715:Z778" si="251">S715*K715</f>
        <v>0</v>
      </c>
      <c r="AA715" s="2733"/>
    </row>
    <row r="716" spans="1:27" ht="18.75" x14ac:dyDescent="0.25">
      <c r="A716" s="2738"/>
      <c r="B716" s="746">
        <v>2033</v>
      </c>
      <c r="C716" s="218">
        <f t="shared" si="241"/>
        <v>0</v>
      </c>
      <c r="D716" s="221">
        <f t="shared" si="249"/>
        <v>0</v>
      </c>
      <c r="E716" s="221">
        <f t="shared" si="250"/>
        <v>0</v>
      </c>
      <c r="F716" s="218">
        <f t="shared" si="242"/>
        <v>0</v>
      </c>
      <c r="G716" s="218">
        <f t="shared" si="243"/>
        <v>0</v>
      </c>
      <c r="H716" s="218">
        <f t="shared" si="244"/>
        <v>0</v>
      </c>
      <c r="I716" s="218">
        <f t="shared" si="245"/>
        <v>0</v>
      </c>
      <c r="J716" s="218">
        <f t="shared" si="246"/>
        <v>0</v>
      </c>
      <c r="K716" s="218">
        <f t="shared" si="247"/>
        <v>0</v>
      </c>
      <c r="L716" s="192">
        <f t="shared" ref="L716:L779" si="252">(C716/1000)+(D716/1000)+(E716/1000)</f>
        <v>0</v>
      </c>
      <c r="M716" s="211">
        <v>78</v>
      </c>
      <c r="N716" s="211">
        <f>(29.53*1.02)*0.7579*1.0824</f>
        <v>24.709463125776001</v>
      </c>
      <c r="O716" s="211">
        <f>(42.96*1.02)*0.7579*1.0824</f>
        <v>35.947122786432004</v>
      </c>
      <c r="P716" s="211">
        <f>(16.43*1.02)*0.7579*1.0824</f>
        <v>13.747933598256003</v>
      </c>
      <c r="Q716" s="211">
        <f>(12.76*1.02)*0.7579*1.0824</f>
        <v>10.677031814592</v>
      </c>
      <c r="R716" s="211">
        <f>(1.27*1.02)*0.7579*1.0824</f>
        <v>1.0626826335840001</v>
      </c>
      <c r="S716" s="211">
        <f>(0.0584*1.02)*0.7579*1.0824</f>
        <v>4.8866665985280007E-2</v>
      </c>
      <c r="T716" s="174">
        <f t="shared" ref="T716:T779" si="253">L716*M716</f>
        <v>0</v>
      </c>
      <c r="U716" s="358">
        <f t="shared" si="248"/>
        <v>0</v>
      </c>
      <c r="V716" s="358">
        <f t="shared" si="248"/>
        <v>0</v>
      </c>
      <c r="W716" s="358">
        <f t="shared" si="248"/>
        <v>0</v>
      </c>
      <c r="X716" s="358">
        <f t="shared" si="248"/>
        <v>0</v>
      </c>
      <c r="Y716" s="358">
        <f t="shared" si="248"/>
        <v>0</v>
      </c>
      <c r="Z716" s="358">
        <f t="shared" si="251"/>
        <v>0</v>
      </c>
      <c r="AA716" s="2733"/>
    </row>
    <row r="717" spans="1:27" ht="18.75" x14ac:dyDescent="0.25">
      <c r="A717" s="2738"/>
      <c r="B717" s="746">
        <v>2034</v>
      </c>
      <c r="C717" s="218">
        <f t="shared" si="241"/>
        <v>0</v>
      </c>
      <c r="D717" s="221">
        <f t="shared" si="249"/>
        <v>0</v>
      </c>
      <c r="E717" s="221">
        <f t="shared" si="250"/>
        <v>0</v>
      </c>
      <c r="F717" s="218">
        <f t="shared" si="242"/>
        <v>0</v>
      </c>
      <c r="G717" s="218">
        <f t="shared" si="243"/>
        <v>0</v>
      </c>
      <c r="H717" s="218">
        <f t="shared" si="244"/>
        <v>0</v>
      </c>
      <c r="I717" s="218">
        <f t="shared" si="245"/>
        <v>0</v>
      </c>
      <c r="J717" s="218">
        <f t="shared" si="246"/>
        <v>0</v>
      </c>
      <c r="K717" s="218">
        <f t="shared" si="247"/>
        <v>0</v>
      </c>
      <c r="L717" s="192">
        <f t="shared" si="252"/>
        <v>0</v>
      </c>
      <c r="M717" s="211">
        <v>79</v>
      </c>
      <c r="N717" s="211">
        <f>(29.53*1.02)*0.743*1.0824</f>
        <v>24.223685317920005</v>
      </c>
      <c r="O717" s="211">
        <f>(42.96*1.02)*0.743*1.0824</f>
        <v>35.24041724544</v>
      </c>
      <c r="P717" s="211">
        <f>(16.43*1.02)*0.743*1.0824</f>
        <v>13.477654919520001</v>
      </c>
      <c r="Q717" s="211">
        <f>(12.76*1.02)*0.743*1.0824</f>
        <v>10.467125792640001</v>
      </c>
      <c r="R717" s="211">
        <f>(1.27*1.02)*0.743*1.0824</f>
        <v>1.04179073328</v>
      </c>
      <c r="S717" s="211">
        <f>(0.0584*1.02)*0.743*1.0824</f>
        <v>4.7905967577600003E-2</v>
      </c>
      <c r="T717" s="174">
        <f t="shared" si="253"/>
        <v>0</v>
      </c>
      <c r="U717" s="358">
        <f t="shared" si="248"/>
        <v>0</v>
      </c>
      <c r="V717" s="358">
        <f t="shared" si="248"/>
        <v>0</v>
      </c>
      <c r="W717" s="358">
        <f t="shared" si="248"/>
        <v>0</v>
      </c>
      <c r="X717" s="358">
        <f t="shared" si="248"/>
        <v>0</v>
      </c>
      <c r="Y717" s="358">
        <f t="shared" si="248"/>
        <v>0</v>
      </c>
      <c r="Z717" s="358">
        <f t="shared" si="251"/>
        <v>0</v>
      </c>
      <c r="AA717" s="2733"/>
    </row>
    <row r="718" spans="1:27" ht="18.75" x14ac:dyDescent="0.25">
      <c r="A718" s="2738"/>
      <c r="B718" s="746">
        <v>2035</v>
      </c>
      <c r="C718" s="218">
        <f t="shared" si="241"/>
        <v>0</v>
      </c>
      <c r="D718" s="221">
        <f t="shared" si="249"/>
        <v>0</v>
      </c>
      <c r="E718" s="221">
        <f t="shared" si="250"/>
        <v>0</v>
      </c>
      <c r="F718" s="218">
        <f t="shared" si="242"/>
        <v>0</v>
      </c>
      <c r="G718" s="218">
        <f t="shared" si="243"/>
        <v>0</v>
      </c>
      <c r="H718" s="218">
        <f t="shared" si="244"/>
        <v>0</v>
      </c>
      <c r="I718" s="218">
        <f t="shared" si="245"/>
        <v>0</v>
      </c>
      <c r="J718" s="218">
        <f t="shared" si="246"/>
        <v>0</v>
      </c>
      <c r="K718" s="218">
        <f t="shared" si="247"/>
        <v>0</v>
      </c>
      <c r="L718" s="192">
        <f t="shared" si="252"/>
        <v>0</v>
      </c>
      <c r="M718" s="211">
        <v>80</v>
      </c>
      <c r="N718" s="211">
        <f>(29.53*1.02)*0.7284*1.0824</f>
        <v>23.747688271296006</v>
      </c>
      <c r="O718" s="211">
        <f>(42.96*1.02)*0.7284*1.0824</f>
        <v>34.547940675072006</v>
      </c>
      <c r="P718" s="211">
        <f>(16.43*1.02)*0.7284*1.0824</f>
        <v>13.212818093376002</v>
      </c>
      <c r="Q718" s="211">
        <f>(12.76*1.02)*0.7284*1.0824</f>
        <v>10.261446066432002</v>
      </c>
      <c r="R718" s="211">
        <f>(1.27*1.02)*0.7284*1.0824</f>
        <v>1.0213194752640002</v>
      </c>
      <c r="S718" s="211">
        <f>(0.0584*1.02)*0.7284*1.0824</f>
        <v>4.6964612090880008E-2</v>
      </c>
      <c r="T718" s="174">
        <f t="shared" si="253"/>
        <v>0</v>
      </c>
      <c r="U718" s="358">
        <f t="shared" si="248"/>
        <v>0</v>
      </c>
      <c r="V718" s="358">
        <f t="shared" si="248"/>
        <v>0</v>
      </c>
      <c r="W718" s="358">
        <f t="shared" si="248"/>
        <v>0</v>
      </c>
      <c r="X718" s="358">
        <f t="shared" si="248"/>
        <v>0</v>
      </c>
      <c r="Y718" s="358">
        <f t="shared" si="248"/>
        <v>0</v>
      </c>
      <c r="Z718" s="358">
        <f t="shared" si="251"/>
        <v>0</v>
      </c>
      <c r="AA718" s="2733"/>
    </row>
    <row r="719" spans="1:27" ht="18.75" x14ac:dyDescent="0.25">
      <c r="A719" s="2738"/>
      <c r="B719" s="746">
        <v>2036</v>
      </c>
      <c r="C719" s="218">
        <f t="shared" si="241"/>
        <v>0</v>
      </c>
      <c r="D719" s="221">
        <f t="shared" si="249"/>
        <v>0</v>
      </c>
      <c r="E719" s="221">
        <f t="shared" si="250"/>
        <v>0</v>
      </c>
      <c r="F719" s="218">
        <f t="shared" si="242"/>
        <v>0</v>
      </c>
      <c r="G719" s="218">
        <f t="shared" si="243"/>
        <v>0</v>
      </c>
      <c r="H719" s="218">
        <f t="shared" si="244"/>
        <v>0</v>
      </c>
      <c r="I719" s="218">
        <f t="shared" si="245"/>
        <v>0</v>
      </c>
      <c r="J719" s="218">
        <f t="shared" si="246"/>
        <v>0</v>
      </c>
      <c r="K719" s="218">
        <f t="shared" si="247"/>
        <v>0</v>
      </c>
      <c r="L719" s="192">
        <f t="shared" si="252"/>
        <v>0</v>
      </c>
      <c r="M719" s="211">
        <v>81</v>
      </c>
      <c r="N719" s="211">
        <f>(29.53*1.02)*0.7142*1.0824</f>
        <v>23.284732239648001</v>
      </c>
      <c r="O719" s="211">
        <f>(42.96*1.02)*0.7142*1.0824</f>
        <v>33.874436065536003</v>
      </c>
      <c r="P719" s="211">
        <f>(16.43*1.02)*0.7142*1.0824</f>
        <v>12.955237070688</v>
      </c>
      <c r="Q719" s="211">
        <f>(12.76*1.02)*0.7142*1.0824</f>
        <v>10.061401401215999</v>
      </c>
      <c r="R719" s="211">
        <f>(1.27*1.02)*0.7142*1.0824</f>
        <v>1.001409073632</v>
      </c>
      <c r="S719" s="211">
        <f>(0.0584*1.02)*0.7142*1.0824</f>
        <v>4.6049047165439998E-2</v>
      </c>
      <c r="T719" s="174">
        <f t="shared" si="253"/>
        <v>0</v>
      </c>
      <c r="U719" s="358">
        <f t="shared" si="248"/>
        <v>0</v>
      </c>
      <c r="V719" s="358">
        <f t="shared" si="248"/>
        <v>0</v>
      </c>
      <c r="W719" s="358">
        <f t="shared" si="248"/>
        <v>0</v>
      </c>
      <c r="X719" s="358">
        <f t="shared" si="248"/>
        <v>0</v>
      </c>
      <c r="Y719" s="358">
        <f t="shared" si="248"/>
        <v>0</v>
      </c>
      <c r="Z719" s="358">
        <f t="shared" si="251"/>
        <v>0</v>
      </c>
      <c r="AA719" s="2733"/>
    </row>
    <row r="720" spans="1:27" ht="18.75" x14ac:dyDescent="0.25">
      <c r="A720" s="2738"/>
      <c r="B720" s="746">
        <v>2037</v>
      </c>
      <c r="C720" s="218">
        <f t="shared" si="241"/>
        <v>0</v>
      </c>
      <c r="D720" s="221">
        <f t="shared" si="249"/>
        <v>0</v>
      </c>
      <c r="E720" s="221">
        <f t="shared" si="250"/>
        <v>0</v>
      </c>
      <c r="F720" s="218">
        <f t="shared" si="242"/>
        <v>0</v>
      </c>
      <c r="G720" s="218">
        <f t="shared" si="243"/>
        <v>0</v>
      </c>
      <c r="H720" s="218">
        <f t="shared" si="244"/>
        <v>0</v>
      </c>
      <c r="I720" s="218">
        <f t="shared" si="245"/>
        <v>0</v>
      </c>
      <c r="J720" s="218">
        <f t="shared" si="246"/>
        <v>0</v>
      </c>
      <c r="K720" s="218">
        <f t="shared" si="247"/>
        <v>0</v>
      </c>
      <c r="L720" s="192">
        <f t="shared" si="252"/>
        <v>0</v>
      </c>
      <c r="M720" s="211">
        <v>83</v>
      </c>
      <c r="N720" s="211">
        <f>(29.53*1.02)*0.7002*1.0824</f>
        <v>22.828296715488005</v>
      </c>
      <c r="O720" s="211">
        <f>(42.96*1.02)*0.7002*1.0824</f>
        <v>33.210417436416002</v>
      </c>
      <c r="P720" s="211">
        <f>(16.43*1.02)*0.7002*1.0824</f>
        <v>12.701283949728003</v>
      </c>
      <c r="Q720" s="211">
        <f>(12.76*1.02)*0.7002*1.0824</f>
        <v>9.8641742664960006</v>
      </c>
      <c r="R720" s="211">
        <f>(1.27*1.02)*0.7002*1.0824</f>
        <v>0.9817791001920001</v>
      </c>
      <c r="S720" s="211">
        <f>(0.0584*1.02)*0.7002*1.0824</f>
        <v>4.5146377520640005E-2</v>
      </c>
      <c r="T720" s="174">
        <f t="shared" si="253"/>
        <v>0</v>
      </c>
      <c r="U720" s="358">
        <f t="shared" si="248"/>
        <v>0</v>
      </c>
      <c r="V720" s="358">
        <f t="shared" si="248"/>
        <v>0</v>
      </c>
      <c r="W720" s="358">
        <f t="shared" si="248"/>
        <v>0</v>
      </c>
      <c r="X720" s="358">
        <f t="shared" si="248"/>
        <v>0</v>
      </c>
      <c r="Y720" s="358">
        <f t="shared" si="248"/>
        <v>0</v>
      </c>
      <c r="Z720" s="358">
        <f t="shared" si="251"/>
        <v>0</v>
      </c>
      <c r="AA720" s="2733"/>
    </row>
    <row r="721" spans="1:27" ht="18.75" x14ac:dyDescent="0.25">
      <c r="A721" s="2738"/>
      <c r="B721" s="746">
        <v>2038</v>
      </c>
      <c r="C721" s="218">
        <f t="shared" si="241"/>
        <v>0</v>
      </c>
      <c r="D721" s="221">
        <f t="shared" si="249"/>
        <v>0</v>
      </c>
      <c r="E721" s="221">
        <f t="shared" si="250"/>
        <v>0</v>
      </c>
      <c r="F721" s="218">
        <f t="shared" si="242"/>
        <v>0</v>
      </c>
      <c r="G721" s="218">
        <f t="shared" si="243"/>
        <v>0</v>
      </c>
      <c r="H721" s="218">
        <f t="shared" si="244"/>
        <v>0</v>
      </c>
      <c r="I721" s="218">
        <f t="shared" si="245"/>
        <v>0</v>
      </c>
      <c r="J721" s="218">
        <f t="shared" si="246"/>
        <v>0</v>
      </c>
      <c r="K721" s="218">
        <f t="shared" si="247"/>
        <v>0</v>
      </c>
      <c r="L721" s="192">
        <f t="shared" si="252"/>
        <v>0</v>
      </c>
      <c r="M721" s="211">
        <v>84</v>
      </c>
      <c r="N721" s="211">
        <f>(29.53*1.02)*0.6864*1.0824</f>
        <v>22.378381698816003</v>
      </c>
      <c r="O721" s="211">
        <f>(42.96*1.02)*0.6864*1.0824</f>
        <v>32.555884787712003</v>
      </c>
      <c r="P721" s="211">
        <f>(16.43*1.02)*0.6864*1.0824</f>
        <v>12.450958730496001</v>
      </c>
      <c r="Q721" s="211">
        <f>(12.76*1.02)*0.6864*1.0824</f>
        <v>9.6697646622720015</v>
      </c>
      <c r="R721" s="211">
        <f>(1.27*1.02)*0.6864*1.0824</f>
        <v>0.96242955494400007</v>
      </c>
      <c r="S721" s="211">
        <f>(0.0584*1.02)*0.6864*1.0824</f>
        <v>4.4256603156480001E-2</v>
      </c>
      <c r="T721" s="174">
        <f t="shared" si="253"/>
        <v>0</v>
      </c>
      <c r="U721" s="358">
        <f t="shared" si="248"/>
        <v>0</v>
      </c>
      <c r="V721" s="358">
        <f t="shared" si="248"/>
        <v>0</v>
      </c>
      <c r="W721" s="358">
        <f t="shared" si="248"/>
        <v>0</v>
      </c>
      <c r="X721" s="358">
        <f t="shared" si="248"/>
        <v>0</v>
      </c>
      <c r="Y721" s="358">
        <f t="shared" si="248"/>
        <v>0</v>
      </c>
      <c r="Z721" s="358">
        <f t="shared" si="251"/>
        <v>0</v>
      </c>
      <c r="AA721" s="2733"/>
    </row>
    <row r="722" spans="1:27" ht="18.75" x14ac:dyDescent="0.25">
      <c r="A722" s="2738"/>
      <c r="B722" s="746">
        <v>2039</v>
      </c>
      <c r="C722" s="218">
        <f t="shared" si="241"/>
        <v>0</v>
      </c>
      <c r="D722" s="221">
        <f t="shared" si="249"/>
        <v>0</v>
      </c>
      <c r="E722" s="221">
        <f t="shared" si="250"/>
        <v>0</v>
      </c>
      <c r="F722" s="218">
        <f t="shared" si="242"/>
        <v>0</v>
      </c>
      <c r="G722" s="218">
        <f t="shared" si="243"/>
        <v>0</v>
      </c>
      <c r="H722" s="218">
        <f t="shared" si="244"/>
        <v>0</v>
      </c>
      <c r="I722" s="218">
        <f t="shared" si="245"/>
        <v>0</v>
      </c>
      <c r="J722" s="218">
        <f t="shared" si="246"/>
        <v>0</v>
      </c>
      <c r="K722" s="218">
        <f t="shared" si="247"/>
        <v>0</v>
      </c>
      <c r="L722" s="192">
        <f t="shared" si="252"/>
        <v>0</v>
      </c>
      <c r="M722" s="211">
        <v>85</v>
      </c>
      <c r="N722" s="211">
        <f>(29.53*1.02)*0.673*1.0824</f>
        <v>21.941507697120006</v>
      </c>
      <c r="O722" s="211">
        <f>(42.96*1.02)*0.673*1.0824</f>
        <v>31.920324099840006</v>
      </c>
      <c r="P722" s="211">
        <f>(16.43*1.02)*0.673*1.0824</f>
        <v>12.207889314720003</v>
      </c>
      <c r="Q722" s="211">
        <f>(12.76*1.02)*0.673*1.0824</f>
        <v>9.4809901190400012</v>
      </c>
      <c r="R722" s="211">
        <f>(1.27*1.02)*0.673*1.0824</f>
        <v>0.9436408660800002</v>
      </c>
      <c r="S722" s="211">
        <f>(0.0584*1.02)*0.673*1.0824</f>
        <v>4.3392619353600011E-2</v>
      </c>
      <c r="T722" s="174">
        <f t="shared" si="253"/>
        <v>0</v>
      </c>
      <c r="U722" s="358">
        <f t="shared" si="248"/>
        <v>0</v>
      </c>
      <c r="V722" s="358">
        <f t="shared" si="248"/>
        <v>0</v>
      </c>
      <c r="W722" s="358">
        <f t="shared" si="248"/>
        <v>0</v>
      </c>
      <c r="X722" s="358">
        <f t="shared" si="248"/>
        <v>0</v>
      </c>
      <c r="Y722" s="358">
        <f t="shared" si="248"/>
        <v>0</v>
      </c>
      <c r="Z722" s="358">
        <f t="shared" si="251"/>
        <v>0</v>
      </c>
      <c r="AA722" s="2733"/>
    </row>
    <row r="723" spans="1:27" ht="18.75" x14ac:dyDescent="0.25">
      <c r="A723" s="2738"/>
      <c r="B723" s="746">
        <v>2040</v>
      </c>
      <c r="C723" s="218">
        <f t="shared" si="241"/>
        <v>0</v>
      </c>
      <c r="D723" s="221">
        <f t="shared" si="249"/>
        <v>0</v>
      </c>
      <c r="E723" s="221">
        <f t="shared" si="250"/>
        <v>0</v>
      </c>
      <c r="F723" s="218">
        <f t="shared" si="242"/>
        <v>0</v>
      </c>
      <c r="G723" s="218">
        <f t="shared" si="243"/>
        <v>0</v>
      </c>
      <c r="H723" s="218">
        <f t="shared" si="244"/>
        <v>0</v>
      </c>
      <c r="I723" s="218">
        <f t="shared" si="245"/>
        <v>0</v>
      </c>
      <c r="J723" s="218">
        <f t="shared" si="246"/>
        <v>0</v>
      </c>
      <c r="K723" s="218">
        <f t="shared" si="247"/>
        <v>0</v>
      </c>
      <c r="L723" s="192">
        <f t="shared" si="252"/>
        <v>0</v>
      </c>
      <c r="M723" s="211">
        <v>86</v>
      </c>
      <c r="N723" s="211">
        <f>(29.53*1.02)*0.6598*1.0824</f>
        <v>21.511154202912003</v>
      </c>
      <c r="O723" s="211">
        <f>(42.96*1.02)*0.6598*1.0824</f>
        <v>31.294249392384003</v>
      </c>
      <c r="P723" s="211">
        <f>(16.43*1.02)*0.6598*1.0824</f>
        <v>11.968447800672001</v>
      </c>
      <c r="Q723" s="211">
        <f>(12.76*1.02)*0.6598*1.0824</f>
        <v>9.2950331063040004</v>
      </c>
      <c r="R723" s="211">
        <f>(1.27*1.02)*0.6598*1.0824</f>
        <v>0.92513260540800013</v>
      </c>
      <c r="S723" s="211">
        <f>(0.0584*1.02)*0.6598*1.0824</f>
        <v>4.254153083136001E-2</v>
      </c>
      <c r="T723" s="174">
        <f t="shared" si="253"/>
        <v>0</v>
      </c>
      <c r="U723" s="358">
        <f t="shared" si="248"/>
        <v>0</v>
      </c>
      <c r="V723" s="358">
        <f t="shared" si="248"/>
        <v>0</v>
      </c>
      <c r="W723" s="358">
        <f t="shared" si="248"/>
        <v>0</v>
      </c>
      <c r="X723" s="358">
        <f t="shared" si="248"/>
        <v>0</v>
      </c>
      <c r="Y723" s="358">
        <f t="shared" si="248"/>
        <v>0</v>
      </c>
      <c r="Z723" s="358">
        <f t="shared" si="251"/>
        <v>0</v>
      </c>
      <c r="AA723" s="2733"/>
    </row>
    <row r="724" spans="1:27" ht="18.75" x14ac:dyDescent="0.25">
      <c r="A724" s="2738"/>
      <c r="B724" s="746">
        <v>2041</v>
      </c>
      <c r="C724" s="218">
        <f t="shared" si="241"/>
        <v>0</v>
      </c>
      <c r="D724" s="221">
        <f t="shared" si="249"/>
        <v>0</v>
      </c>
      <c r="E724" s="221">
        <f t="shared" si="250"/>
        <v>0</v>
      </c>
      <c r="F724" s="218">
        <f t="shared" si="242"/>
        <v>0</v>
      </c>
      <c r="G724" s="218">
        <f t="shared" si="243"/>
        <v>0</v>
      </c>
      <c r="H724" s="218">
        <f t="shared" si="244"/>
        <v>0</v>
      </c>
      <c r="I724" s="218">
        <f t="shared" si="245"/>
        <v>0</v>
      </c>
      <c r="J724" s="218">
        <f t="shared" si="246"/>
        <v>0</v>
      </c>
      <c r="K724" s="218">
        <f t="shared" si="247"/>
        <v>0</v>
      </c>
      <c r="L724" s="192">
        <f t="shared" si="252"/>
        <v>0</v>
      </c>
      <c r="M724" s="211">
        <v>87</v>
      </c>
      <c r="N724" s="211">
        <f>(29.53*1.02)*0.6468*1.0824</f>
        <v>21.087321216192002</v>
      </c>
      <c r="O724" s="211">
        <f>(42.96*1.02)*0.6468*1.0824</f>
        <v>30.677660665344007</v>
      </c>
      <c r="P724" s="211">
        <f>(16.43*1.02)*0.6468*1.0824</f>
        <v>11.732634188352002</v>
      </c>
      <c r="Q724" s="211">
        <f>(12.76*1.02)*0.6468*1.0824</f>
        <v>9.1118936240640007</v>
      </c>
      <c r="R724" s="211">
        <f>(1.27*1.02)*0.6468*1.0824</f>
        <v>0.9069047729280002</v>
      </c>
      <c r="S724" s="211">
        <f>(0.0584*1.02)*0.6468*1.0824</f>
        <v>4.1703337589760005E-2</v>
      </c>
      <c r="T724" s="174">
        <f t="shared" si="253"/>
        <v>0</v>
      </c>
      <c r="U724" s="358">
        <f t="shared" si="248"/>
        <v>0</v>
      </c>
      <c r="V724" s="358">
        <f t="shared" si="248"/>
        <v>0</v>
      </c>
      <c r="W724" s="358">
        <f t="shared" si="248"/>
        <v>0</v>
      </c>
      <c r="X724" s="358">
        <f t="shared" si="248"/>
        <v>0</v>
      </c>
      <c r="Y724" s="358">
        <f t="shared" si="248"/>
        <v>0</v>
      </c>
      <c r="Z724" s="358">
        <f t="shared" si="251"/>
        <v>0</v>
      </c>
      <c r="AA724" s="2733"/>
    </row>
    <row r="725" spans="1:27" ht="18.75" x14ac:dyDescent="0.25">
      <c r="A725" s="2738"/>
      <c r="B725" s="746">
        <v>2042</v>
      </c>
      <c r="C725" s="218">
        <f t="shared" si="241"/>
        <v>0</v>
      </c>
      <c r="D725" s="221">
        <f t="shared" si="249"/>
        <v>0</v>
      </c>
      <c r="E725" s="221">
        <f t="shared" si="250"/>
        <v>0</v>
      </c>
      <c r="F725" s="218">
        <f t="shared" si="242"/>
        <v>0</v>
      </c>
      <c r="G725" s="218">
        <f t="shared" si="243"/>
        <v>0</v>
      </c>
      <c r="H725" s="218">
        <f t="shared" si="244"/>
        <v>0</v>
      </c>
      <c r="I725" s="218">
        <f t="shared" si="245"/>
        <v>0</v>
      </c>
      <c r="J725" s="218">
        <f t="shared" si="246"/>
        <v>0</v>
      </c>
      <c r="K725" s="218">
        <f t="shared" si="247"/>
        <v>0</v>
      </c>
      <c r="L725" s="192">
        <f t="shared" si="252"/>
        <v>0</v>
      </c>
      <c r="M725" s="211">
        <v>88</v>
      </c>
      <c r="N725" s="211">
        <f>(29.53*1.02)*0.6342*1.0824</f>
        <v>20.676529244448002</v>
      </c>
      <c r="O725" s="211">
        <f>(42.96*1.02)*0.6342*1.0824</f>
        <v>30.080043899136001</v>
      </c>
      <c r="P725" s="211">
        <f>(16.43*1.02)*0.6342*1.0824</f>
        <v>11.504076379488001</v>
      </c>
      <c r="Q725" s="211">
        <f>(12.76*1.02)*0.6342*1.0824</f>
        <v>8.9343892028159999</v>
      </c>
      <c r="R725" s="211">
        <f>(1.27*1.02)*0.6342*1.0824</f>
        <v>0.8892377968320001</v>
      </c>
      <c r="S725" s="211">
        <f>(0.0584*1.02)*0.6342*1.0824</f>
        <v>4.0890934909439999E-2</v>
      </c>
      <c r="T725" s="174">
        <f t="shared" si="253"/>
        <v>0</v>
      </c>
      <c r="U725" s="358">
        <f t="shared" si="248"/>
        <v>0</v>
      </c>
      <c r="V725" s="358">
        <f t="shared" si="248"/>
        <v>0</v>
      </c>
      <c r="W725" s="358">
        <f t="shared" si="248"/>
        <v>0</v>
      </c>
      <c r="X725" s="358">
        <f t="shared" si="248"/>
        <v>0</v>
      </c>
      <c r="Y725" s="358">
        <f t="shared" si="248"/>
        <v>0</v>
      </c>
      <c r="Z725" s="358">
        <f t="shared" si="251"/>
        <v>0</v>
      </c>
      <c r="AA725" s="2733"/>
    </row>
    <row r="726" spans="1:27" ht="18.75" x14ac:dyDescent="0.25">
      <c r="A726" s="2738"/>
      <c r="B726" s="746">
        <v>2043</v>
      </c>
      <c r="C726" s="218">
        <f t="shared" si="241"/>
        <v>0</v>
      </c>
      <c r="D726" s="221">
        <f t="shared" si="249"/>
        <v>0</v>
      </c>
      <c r="E726" s="221">
        <f t="shared" si="250"/>
        <v>0</v>
      </c>
      <c r="F726" s="218">
        <f t="shared" si="242"/>
        <v>0</v>
      </c>
      <c r="G726" s="218">
        <f t="shared" si="243"/>
        <v>0</v>
      </c>
      <c r="H726" s="218">
        <f t="shared" si="244"/>
        <v>0</v>
      </c>
      <c r="I726" s="218">
        <f t="shared" si="245"/>
        <v>0</v>
      </c>
      <c r="J726" s="218">
        <f t="shared" si="246"/>
        <v>0</v>
      </c>
      <c r="K726" s="218">
        <f t="shared" si="247"/>
        <v>0</v>
      </c>
      <c r="L726" s="192">
        <f t="shared" si="252"/>
        <v>0</v>
      </c>
      <c r="M726" s="211">
        <v>89</v>
      </c>
      <c r="N726" s="211">
        <f>(29.53*1.02)*0.6217*1.0824</f>
        <v>20.268997526448004</v>
      </c>
      <c r="O726" s="211">
        <f>(42.96*1.02)*0.6217*1.0824</f>
        <v>29.487170123136003</v>
      </c>
      <c r="P726" s="211">
        <f>(16.43*1.02)*0.6217*1.0824</f>
        <v>11.277332521488001</v>
      </c>
      <c r="Q726" s="211">
        <f>(12.76*1.02)*0.6217*1.0824</f>
        <v>8.7582935468160006</v>
      </c>
      <c r="R726" s="211">
        <f>(1.27*1.02)*0.6217*1.0824</f>
        <v>0.87171103483200019</v>
      </c>
      <c r="S726" s="211">
        <f>(0.0584*1.02)*0.6217*1.0824</f>
        <v>4.0084979869440006E-2</v>
      </c>
      <c r="T726" s="174">
        <f t="shared" si="253"/>
        <v>0</v>
      </c>
      <c r="U726" s="358">
        <f t="shared" si="248"/>
        <v>0</v>
      </c>
      <c r="V726" s="358">
        <f t="shared" si="248"/>
        <v>0</v>
      </c>
      <c r="W726" s="358">
        <f t="shared" si="248"/>
        <v>0</v>
      </c>
      <c r="X726" s="358">
        <f t="shared" si="248"/>
        <v>0</v>
      </c>
      <c r="Y726" s="358">
        <f t="shared" si="248"/>
        <v>0</v>
      </c>
      <c r="Z726" s="358">
        <f t="shared" si="251"/>
        <v>0</v>
      </c>
      <c r="AA726" s="2733"/>
    </row>
    <row r="727" spans="1:27" ht="18.75" x14ac:dyDescent="0.25">
      <c r="A727" s="2738"/>
      <c r="B727" s="746">
        <v>2044</v>
      </c>
      <c r="C727" s="218">
        <f t="shared" si="241"/>
        <v>0</v>
      </c>
      <c r="D727" s="221">
        <f t="shared" si="249"/>
        <v>0</v>
      </c>
      <c r="E727" s="221">
        <f t="shared" si="250"/>
        <v>0</v>
      </c>
      <c r="F727" s="218">
        <f t="shared" si="242"/>
        <v>0</v>
      </c>
      <c r="G727" s="218">
        <f t="shared" si="243"/>
        <v>0</v>
      </c>
      <c r="H727" s="218">
        <f t="shared" si="244"/>
        <v>0</v>
      </c>
      <c r="I727" s="218">
        <f t="shared" si="245"/>
        <v>0</v>
      </c>
      <c r="J727" s="218">
        <f t="shared" si="246"/>
        <v>0</v>
      </c>
      <c r="K727" s="218">
        <f t="shared" si="247"/>
        <v>0</v>
      </c>
      <c r="L727" s="192">
        <f t="shared" si="252"/>
        <v>0</v>
      </c>
      <c r="M727" s="211">
        <v>90</v>
      </c>
      <c r="N727" s="211">
        <f>(29.53*1.02)*0.6095*1.0824</f>
        <v>19.871246569680004</v>
      </c>
      <c r="O727" s="211">
        <f>(42.96*1.02)*0.6095*1.0824</f>
        <v>28.908525317760002</v>
      </c>
      <c r="P727" s="211">
        <f>(16.43*1.02)*0.6095*1.0824</f>
        <v>11.056030516080002</v>
      </c>
      <c r="Q727" s="211">
        <f>(12.76*1.02)*0.6095*1.0824</f>
        <v>8.5864241865600004</v>
      </c>
      <c r="R727" s="211">
        <f>(1.27*1.02)*0.6095*1.0824</f>
        <v>0.85460491512000014</v>
      </c>
      <c r="S727" s="211">
        <f>(0.0584*1.02)*0.6095*1.0824</f>
        <v>3.9298367750400007E-2</v>
      </c>
      <c r="T727" s="174">
        <f t="shared" si="253"/>
        <v>0</v>
      </c>
      <c r="U727" s="358">
        <f t="shared" si="248"/>
        <v>0</v>
      </c>
      <c r="V727" s="358">
        <f t="shared" si="248"/>
        <v>0</v>
      </c>
      <c r="W727" s="358">
        <f t="shared" si="248"/>
        <v>0</v>
      </c>
      <c r="X727" s="358">
        <f t="shared" si="248"/>
        <v>0</v>
      </c>
      <c r="Y727" s="358">
        <f t="shared" si="248"/>
        <v>0</v>
      </c>
      <c r="Z727" s="358">
        <f t="shared" si="251"/>
        <v>0</v>
      </c>
      <c r="AA727" s="2733"/>
    </row>
    <row r="728" spans="1:27" ht="18.75" x14ac:dyDescent="0.25">
      <c r="A728" s="2738"/>
      <c r="B728" s="746">
        <v>2045</v>
      </c>
      <c r="C728" s="218">
        <f t="shared" si="241"/>
        <v>0</v>
      </c>
      <c r="D728" s="221">
        <f t="shared" si="249"/>
        <v>0</v>
      </c>
      <c r="E728" s="221">
        <f t="shared" si="250"/>
        <v>0</v>
      </c>
      <c r="F728" s="218">
        <f t="shared" si="242"/>
        <v>0</v>
      </c>
      <c r="G728" s="218">
        <f t="shared" si="243"/>
        <v>0</v>
      </c>
      <c r="H728" s="218">
        <f t="shared" si="244"/>
        <v>0</v>
      </c>
      <c r="I728" s="218">
        <f t="shared" si="245"/>
        <v>0</v>
      </c>
      <c r="J728" s="218">
        <f t="shared" si="246"/>
        <v>0</v>
      </c>
      <c r="K728" s="218">
        <f t="shared" si="247"/>
        <v>0</v>
      </c>
      <c r="L728" s="192">
        <f t="shared" si="252"/>
        <v>0</v>
      </c>
      <c r="M728" s="211">
        <v>92</v>
      </c>
      <c r="N728" s="211">
        <f>(29.53*1.02)*0.5976*1.0824</f>
        <v>19.483276374144001</v>
      </c>
      <c r="O728" s="211">
        <f>(42.96*1.02)*0.5976*1.0824</f>
        <v>28.344109483008001</v>
      </c>
      <c r="P728" s="211">
        <f>(16.43*1.02)*0.5976*1.0824</f>
        <v>10.840170363264003</v>
      </c>
      <c r="Q728" s="211">
        <f>(12.76*1.02)*0.5976*1.0824</f>
        <v>8.4187811220480011</v>
      </c>
      <c r="R728" s="211">
        <f>(1.27*1.02)*0.5976*1.0824</f>
        <v>0.83791943769600008</v>
      </c>
      <c r="S728" s="211">
        <f>(0.0584*1.02)*0.5976*1.0824</f>
        <v>3.8531098552320009E-2</v>
      </c>
      <c r="T728" s="174">
        <f t="shared" si="253"/>
        <v>0</v>
      </c>
      <c r="U728" s="358">
        <f t="shared" si="248"/>
        <v>0</v>
      </c>
      <c r="V728" s="358">
        <f t="shared" si="248"/>
        <v>0</v>
      </c>
      <c r="W728" s="358">
        <f t="shared" si="248"/>
        <v>0</v>
      </c>
      <c r="X728" s="358">
        <f t="shared" si="248"/>
        <v>0</v>
      </c>
      <c r="Y728" s="358">
        <f t="shared" si="248"/>
        <v>0</v>
      </c>
      <c r="Z728" s="358">
        <f t="shared" si="251"/>
        <v>0</v>
      </c>
      <c r="AA728" s="2733"/>
    </row>
    <row r="729" spans="1:27" ht="18.75" x14ac:dyDescent="0.25">
      <c r="A729" s="2738"/>
      <c r="B729" s="746">
        <v>2046</v>
      </c>
      <c r="C729" s="218">
        <f t="shared" si="241"/>
        <v>0</v>
      </c>
      <c r="D729" s="221">
        <f t="shared" si="249"/>
        <v>0</v>
      </c>
      <c r="E729" s="221">
        <f t="shared" si="250"/>
        <v>0</v>
      </c>
      <c r="F729" s="218">
        <f t="shared" si="242"/>
        <v>0</v>
      </c>
      <c r="G729" s="218">
        <f t="shared" si="243"/>
        <v>0</v>
      </c>
      <c r="H729" s="218">
        <f t="shared" si="244"/>
        <v>0</v>
      </c>
      <c r="I729" s="218">
        <f t="shared" si="245"/>
        <v>0</v>
      </c>
      <c r="J729" s="218">
        <f t="shared" si="246"/>
        <v>0</v>
      </c>
      <c r="K729" s="218">
        <f t="shared" si="247"/>
        <v>0</v>
      </c>
      <c r="L729" s="192">
        <f t="shared" si="252"/>
        <v>0</v>
      </c>
      <c r="M729" s="211">
        <v>93</v>
      </c>
      <c r="N729" s="211">
        <f>(29.53*1.02)*0.5859*1.0824</f>
        <v>19.101826686096</v>
      </c>
      <c r="O729" s="211">
        <f>(42.96*1.02)*0.5859*1.0824</f>
        <v>27.789179628671999</v>
      </c>
      <c r="P729" s="211">
        <f>(16.43*1.02)*0.5859*1.0824</f>
        <v>10.627938112176002</v>
      </c>
      <c r="Q729" s="211">
        <f>(12.76*1.02)*0.5859*1.0824</f>
        <v>8.2539555880319995</v>
      </c>
      <c r="R729" s="211">
        <f>(1.27*1.02)*0.5859*1.0824</f>
        <v>0.82151438846400004</v>
      </c>
      <c r="S729" s="211">
        <f>(0.0584*1.02)*0.5859*1.0824</f>
        <v>3.777672463488E-2</v>
      </c>
      <c r="T729" s="174">
        <f t="shared" si="253"/>
        <v>0</v>
      </c>
      <c r="U729" s="358">
        <f t="shared" si="248"/>
        <v>0</v>
      </c>
      <c r="V729" s="358">
        <f t="shared" si="248"/>
        <v>0</v>
      </c>
      <c r="W729" s="358">
        <f t="shared" si="248"/>
        <v>0</v>
      </c>
      <c r="X729" s="358">
        <f t="shared" si="248"/>
        <v>0</v>
      </c>
      <c r="Y729" s="358">
        <f t="shared" si="248"/>
        <v>0</v>
      </c>
      <c r="Z729" s="358">
        <f t="shared" si="251"/>
        <v>0</v>
      </c>
      <c r="AA729" s="2733"/>
    </row>
    <row r="730" spans="1:27" ht="18.75" x14ac:dyDescent="0.25">
      <c r="A730" s="2738"/>
      <c r="B730" s="746">
        <v>2047</v>
      </c>
      <c r="C730" s="218">
        <f t="shared" si="241"/>
        <v>0</v>
      </c>
      <c r="D730" s="221">
        <f t="shared" si="249"/>
        <v>0</v>
      </c>
      <c r="E730" s="221">
        <f t="shared" si="250"/>
        <v>0</v>
      </c>
      <c r="F730" s="218">
        <f t="shared" si="242"/>
        <v>0</v>
      </c>
      <c r="G730" s="218">
        <f t="shared" si="243"/>
        <v>0</v>
      </c>
      <c r="H730" s="218">
        <f t="shared" si="244"/>
        <v>0</v>
      </c>
      <c r="I730" s="218">
        <f t="shared" si="245"/>
        <v>0</v>
      </c>
      <c r="J730" s="218">
        <f t="shared" si="246"/>
        <v>0</v>
      </c>
      <c r="K730" s="218">
        <f t="shared" si="247"/>
        <v>0</v>
      </c>
      <c r="L730" s="192">
        <f t="shared" si="252"/>
        <v>0</v>
      </c>
      <c r="M730" s="211">
        <v>94</v>
      </c>
      <c r="N730" s="211">
        <f>(29.53*1.02)*0.5744*1.0824</f>
        <v>18.726897505536005</v>
      </c>
      <c r="O730" s="211">
        <f>(42.96*1.02)*0.5744*1.0824</f>
        <v>27.243735754752002</v>
      </c>
      <c r="P730" s="211">
        <f>(16.43*1.02)*0.5744*1.0824</f>
        <v>10.419333762816001</v>
      </c>
      <c r="Q730" s="211">
        <f>(12.76*1.02)*0.5744*1.0824</f>
        <v>8.0919475845120008</v>
      </c>
      <c r="R730" s="211">
        <f>(1.27*1.02)*0.5744*1.0824</f>
        <v>0.80538976742400015</v>
      </c>
      <c r="S730" s="211">
        <f>(0.0584*1.02)*0.5744*1.0824</f>
        <v>3.7035245998080002E-2</v>
      </c>
      <c r="T730" s="174">
        <f t="shared" si="253"/>
        <v>0</v>
      </c>
      <c r="U730" s="358">
        <f t="shared" si="248"/>
        <v>0</v>
      </c>
      <c r="V730" s="358">
        <f t="shared" si="248"/>
        <v>0</v>
      </c>
      <c r="W730" s="358">
        <f t="shared" si="248"/>
        <v>0</v>
      </c>
      <c r="X730" s="358">
        <f t="shared" si="248"/>
        <v>0</v>
      </c>
      <c r="Y730" s="358">
        <f t="shared" si="248"/>
        <v>0</v>
      </c>
      <c r="Z730" s="358">
        <f t="shared" si="251"/>
        <v>0</v>
      </c>
      <c r="AA730" s="2733"/>
    </row>
    <row r="731" spans="1:27" ht="18.75" x14ac:dyDescent="0.25">
      <c r="A731" s="2738"/>
      <c r="B731" s="746">
        <v>2048</v>
      </c>
      <c r="C731" s="218">
        <f t="shared" si="241"/>
        <v>0</v>
      </c>
      <c r="D731" s="221">
        <f t="shared" si="249"/>
        <v>0</v>
      </c>
      <c r="E731" s="221">
        <f t="shared" si="250"/>
        <v>0</v>
      </c>
      <c r="F731" s="218">
        <f t="shared" si="242"/>
        <v>0</v>
      </c>
      <c r="G731" s="218">
        <f t="shared" si="243"/>
        <v>0</v>
      </c>
      <c r="H731" s="218">
        <f t="shared" si="244"/>
        <v>0</v>
      </c>
      <c r="I731" s="218">
        <f t="shared" si="245"/>
        <v>0</v>
      </c>
      <c r="J731" s="218">
        <f t="shared" si="246"/>
        <v>0</v>
      </c>
      <c r="K731" s="218">
        <f t="shared" si="247"/>
        <v>0</v>
      </c>
      <c r="L731" s="192">
        <f t="shared" si="252"/>
        <v>0</v>
      </c>
      <c r="M731" s="211">
        <v>95</v>
      </c>
      <c r="N731" s="211">
        <f>(29.53*1.02)*0.5631*1.0824</f>
        <v>18.358488832464005</v>
      </c>
      <c r="O731" s="211">
        <f>(42.96*1.02)*0.5631*1.0824</f>
        <v>26.707777861248005</v>
      </c>
      <c r="P731" s="211">
        <f>(16.43*1.02)*0.5631*1.0824</f>
        <v>10.214357315184001</v>
      </c>
      <c r="Q731" s="211">
        <f>(12.76*1.02)*0.5631*1.0824</f>
        <v>7.9327571114880007</v>
      </c>
      <c r="R731" s="211">
        <f>(1.27*1.02)*0.5631*1.0824</f>
        <v>0.78954557457600016</v>
      </c>
      <c r="S731" s="211">
        <f>(0.0584*1.02)*0.5631*1.0824</f>
        <v>3.6306662641920007E-2</v>
      </c>
      <c r="T731" s="174">
        <f t="shared" si="253"/>
        <v>0</v>
      </c>
      <c r="U731" s="358">
        <f t="shared" si="248"/>
        <v>0</v>
      </c>
      <c r="V731" s="358">
        <f t="shared" si="248"/>
        <v>0</v>
      </c>
      <c r="W731" s="358">
        <f t="shared" si="248"/>
        <v>0</v>
      </c>
      <c r="X731" s="358">
        <f t="shared" si="248"/>
        <v>0</v>
      </c>
      <c r="Y731" s="358">
        <f t="shared" si="248"/>
        <v>0</v>
      </c>
      <c r="Z731" s="358">
        <f t="shared" si="251"/>
        <v>0</v>
      </c>
      <c r="AA731" s="2733"/>
    </row>
    <row r="732" spans="1:27" ht="18.75" x14ac:dyDescent="0.25">
      <c r="A732" s="2738"/>
      <c r="B732" s="746">
        <v>2049</v>
      </c>
      <c r="C732" s="218">
        <f t="shared" si="241"/>
        <v>0</v>
      </c>
      <c r="D732" s="221">
        <f t="shared" si="249"/>
        <v>0</v>
      </c>
      <c r="E732" s="221">
        <f t="shared" si="250"/>
        <v>0</v>
      </c>
      <c r="F732" s="218">
        <f t="shared" si="242"/>
        <v>0</v>
      </c>
      <c r="G732" s="218">
        <f t="shared" si="243"/>
        <v>0</v>
      </c>
      <c r="H732" s="218">
        <f t="shared" si="244"/>
        <v>0</v>
      </c>
      <c r="I732" s="218">
        <f t="shared" si="245"/>
        <v>0</v>
      </c>
      <c r="J732" s="218">
        <f t="shared" si="246"/>
        <v>0</v>
      </c>
      <c r="K732" s="218">
        <f t="shared" si="247"/>
        <v>0</v>
      </c>
      <c r="L732" s="192">
        <f t="shared" si="252"/>
        <v>0</v>
      </c>
      <c r="M732" s="211">
        <v>96</v>
      </c>
      <c r="N732" s="211">
        <f>(29.53*1.02)*0.5521*1.0824</f>
        <v>17.999860920624005</v>
      </c>
      <c r="O732" s="211">
        <f>(42.96*1.02)*0.5521*1.0824</f>
        <v>26.186048938368003</v>
      </c>
      <c r="P732" s="211">
        <f>(16.43*1.02)*0.5521*1.0824</f>
        <v>10.014822720144002</v>
      </c>
      <c r="Q732" s="211">
        <f>(12.76*1.02)*0.5521*1.0824</f>
        <v>7.7777929342080014</v>
      </c>
      <c r="R732" s="211">
        <f>(1.27*1.02)*0.5521*1.0824</f>
        <v>0.77412202401600017</v>
      </c>
      <c r="S732" s="211">
        <f>(0.0584*1.02)*0.5521*1.0824</f>
        <v>3.5597422206719999E-2</v>
      </c>
      <c r="T732" s="174">
        <f t="shared" si="253"/>
        <v>0</v>
      </c>
      <c r="U732" s="358">
        <f t="shared" si="248"/>
        <v>0</v>
      </c>
      <c r="V732" s="358">
        <f t="shared" si="248"/>
        <v>0</v>
      </c>
      <c r="W732" s="358">
        <f t="shared" si="248"/>
        <v>0</v>
      </c>
      <c r="X732" s="358">
        <f t="shared" si="248"/>
        <v>0</v>
      </c>
      <c r="Y732" s="358">
        <f t="shared" si="248"/>
        <v>0</v>
      </c>
      <c r="Z732" s="358">
        <f t="shared" si="251"/>
        <v>0</v>
      </c>
      <c r="AA732" s="2733"/>
    </row>
    <row r="733" spans="1:27" ht="18.75" x14ac:dyDescent="0.25">
      <c r="A733" s="2738"/>
      <c r="B733" s="746">
        <v>2050</v>
      </c>
      <c r="C733" s="218">
        <f t="shared" si="241"/>
        <v>0</v>
      </c>
      <c r="D733" s="221">
        <f t="shared" si="249"/>
        <v>0</v>
      </c>
      <c r="E733" s="221">
        <f t="shared" si="250"/>
        <v>0</v>
      </c>
      <c r="F733" s="218">
        <f t="shared" si="242"/>
        <v>0</v>
      </c>
      <c r="G733" s="218">
        <f t="shared" si="243"/>
        <v>0</v>
      </c>
      <c r="H733" s="218">
        <f t="shared" si="244"/>
        <v>0</v>
      </c>
      <c r="I733" s="218">
        <f t="shared" si="245"/>
        <v>0</v>
      </c>
      <c r="J733" s="218">
        <f t="shared" si="246"/>
        <v>0</v>
      </c>
      <c r="K733" s="218">
        <f t="shared" si="247"/>
        <v>0</v>
      </c>
      <c r="L733" s="192">
        <f t="shared" si="252"/>
        <v>0</v>
      </c>
      <c r="M733" s="211">
        <v>97</v>
      </c>
      <c r="N733" s="211">
        <f>(29.53*1.02)*0.5412*1.0824</f>
        <v>17.644493262528005</v>
      </c>
      <c r="O733" s="211">
        <f>(42.96*1.02)*0.5412*1.0824</f>
        <v>25.669063005696003</v>
      </c>
      <c r="P733" s="211">
        <f>(16.43*1.02)*0.5412*1.0824</f>
        <v>9.8171020759680019</v>
      </c>
      <c r="Q733" s="211">
        <f>(12.76*1.02)*0.5412*1.0824</f>
        <v>7.624237522176001</v>
      </c>
      <c r="R733" s="211">
        <f>(1.27*1.02)*0.5412*1.0824</f>
        <v>0.75883868755200012</v>
      </c>
      <c r="S733" s="211">
        <f>(0.0584*1.02)*0.5412*1.0824</f>
        <v>3.4894629411840003E-2</v>
      </c>
      <c r="T733" s="174">
        <f t="shared" si="253"/>
        <v>0</v>
      </c>
      <c r="U733" s="358">
        <f t="shared" si="248"/>
        <v>0</v>
      </c>
      <c r="V733" s="358">
        <f t="shared" si="248"/>
        <v>0</v>
      </c>
      <c r="W733" s="358">
        <f t="shared" si="248"/>
        <v>0</v>
      </c>
      <c r="X733" s="358">
        <f t="shared" si="248"/>
        <v>0</v>
      </c>
      <c r="Y733" s="358">
        <f t="shared" si="248"/>
        <v>0</v>
      </c>
      <c r="Z733" s="358">
        <f t="shared" si="251"/>
        <v>0</v>
      </c>
      <c r="AA733" s="2733"/>
    </row>
    <row r="734" spans="1:27" ht="18.75" x14ac:dyDescent="0.25">
      <c r="A734" s="2738"/>
      <c r="B734" s="746">
        <v>2051</v>
      </c>
      <c r="C734" s="218">
        <f t="shared" ref="C734:C752" si="254">$S$28</f>
        <v>0</v>
      </c>
      <c r="D734" s="221">
        <f t="shared" si="249"/>
        <v>0</v>
      </c>
      <c r="E734" s="221">
        <f t="shared" si="250"/>
        <v>0</v>
      </c>
      <c r="F734" s="218">
        <f t="shared" ref="F734:F752" si="255">$O$28</f>
        <v>0</v>
      </c>
      <c r="G734" s="218">
        <f t="shared" ref="G734:G752" si="256">$P$28</f>
        <v>0</v>
      </c>
      <c r="H734" s="218">
        <f t="shared" ref="H734:H752" si="257">$N$28</f>
        <v>0</v>
      </c>
      <c r="I734" s="218">
        <f t="shared" ref="I734:I752" si="258">$Q$28</f>
        <v>0</v>
      </c>
      <c r="J734" s="218">
        <f t="shared" ref="J734:J752" si="259">$L$28</f>
        <v>0</v>
      </c>
      <c r="K734" s="218">
        <f t="shared" ref="K734:K752" si="260">$M$28</f>
        <v>0</v>
      </c>
      <c r="L734" s="192">
        <f t="shared" si="252"/>
        <v>0</v>
      </c>
      <c r="M734" s="211">
        <v>97</v>
      </c>
      <c r="N734" s="211">
        <f>(29.53*1.02)*0.5306*1.0824</f>
        <v>17.298906365664003</v>
      </c>
      <c r="O734" s="211">
        <f>(42.96*1.02)*0.5306*1.0824</f>
        <v>25.166306043648003</v>
      </c>
      <c r="P734" s="211">
        <f>(16.43*1.02)*0.5306*1.0824</f>
        <v>9.624823284384</v>
      </c>
      <c r="Q734" s="211">
        <f>(12.76*1.02)*0.5306*1.0824</f>
        <v>7.4749084058879998</v>
      </c>
      <c r="R734" s="211">
        <f>(1.27*1.02)*0.5306*1.0824</f>
        <v>0.74397599337600007</v>
      </c>
      <c r="S734" s="211">
        <f>(0.0584*1.02)*0.5306*1.0824</f>
        <v>3.4211179537920001E-2</v>
      </c>
      <c r="T734" s="174">
        <f t="shared" si="253"/>
        <v>0</v>
      </c>
      <c r="U734" s="358">
        <f t="shared" si="248"/>
        <v>0</v>
      </c>
      <c r="V734" s="358">
        <f t="shared" si="248"/>
        <v>0</v>
      </c>
      <c r="W734" s="358">
        <f t="shared" si="248"/>
        <v>0</v>
      </c>
      <c r="X734" s="358">
        <f t="shared" si="248"/>
        <v>0</v>
      </c>
      <c r="Y734" s="358">
        <f t="shared" si="248"/>
        <v>0</v>
      </c>
      <c r="Z734" s="358">
        <f t="shared" si="251"/>
        <v>0</v>
      </c>
      <c r="AA734" s="2733"/>
    </row>
    <row r="735" spans="1:27" ht="18.75" x14ac:dyDescent="0.25">
      <c r="A735" s="2738"/>
      <c r="B735" s="746">
        <v>2052</v>
      </c>
      <c r="C735" s="218">
        <f t="shared" si="254"/>
        <v>0</v>
      </c>
      <c r="D735" s="221">
        <f t="shared" si="249"/>
        <v>0</v>
      </c>
      <c r="E735" s="221">
        <f t="shared" si="250"/>
        <v>0</v>
      </c>
      <c r="F735" s="218">
        <f t="shared" si="255"/>
        <v>0</v>
      </c>
      <c r="G735" s="218">
        <f t="shared" si="256"/>
        <v>0</v>
      </c>
      <c r="H735" s="218">
        <f t="shared" si="257"/>
        <v>0</v>
      </c>
      <c r="I735" s="218">
        <f t="shared" si="258"/>
        <v>0</v>
      </c>
      <c r="J735" s="218">
        <f t="shared" si="259"/>
        <v>0</v>
      </c>
      <c r="K735" s="218">
        <f t="shared" si="260"/>
        <v>0</v>
      </c>
      <c r="L735" s="192">
        <f t="shared" si="252"/>
        <v>0</v>
      </c>
      <c r="M735" s="211">
        <v>97</v>
      </c>
      <c r="N735" s="211">
        <f>(29.53*1.02)*0.5202*1.0824</f>
        <v>16.959839976288002</v>
      </c>
      <c r="O735" s="211">
        <f>(42.96*1.02)*0.5202*1.0824</f>
        <v>24.673035062016002</v>
      </c>
      <c r="P735" s="211">
        <f>(16.43*1.02)*0.5202*1.0824</f>
        <v>9.4361723945280005</v>
      </c>
      <c r="Q735" s="211">
        <f>(12.76*1.02)*0.5202*1.0824</f>
        <v>7.3283968200960006</v>
      </c>
      <c r="R735" s="211">
        <f>(1.27*1.02)*0.5202*1.0824</f>
        <v>0.72939372739200004</v>
      </c>
      <c r="S735" s="211">
        <f>(0.0584*1.02)*0.5202*1.0824</f>
        <v>3.3540624944640003E-2</v>
      </c>
      <c r="T735" s="174">
        <f t="shared" si="253"/>
        <v>0</v>
      </c>
      <c r="U735" s="358">
        <f t="shared" si="248"/>
        <v>0</v>
      </c>
      <c r="V735" s="358">
        <f t="shared" si="248"/>
        <v>0</v>
      </c>
      <c r="W735" s="358">
        <f t="shared" si="248"/>
        <v>0</v>
      </c>
      <c r="X735" s="358">
        <f t="shared" si="248"/>
        <v>0</v>
      </c>
      <c r="Y735" s="358">
        <f t="shared" si="248"/>
        <v>0</v>
      </c>
      <c r="Z735" s="358">
        <f t="shared" si="251"/>
        <v>0</v>
      </c>
      <c r="AA735" s="2733"/>
    </row>
    <row r="736" spans="1:27" ht="18.75" x14ac:dyDescent="0.25">
      <c r="A736" s="2738"/>
      <c r="B736" s="746">
        <v>2053</v>
      </c>
      <c r="C736" s="218">
        <f t="shared" si="254"/>
        <v>0</v>
      </c>
      <c r="D736" s="221">
        <f t="shared" si="249"/>
        <v>0</v>
      </c>
      <c r="E736" s="221">
        <f t="shared" si="250"/>
        <v>0</v>
      </c>
      <c r="F736" s="218">
        <f t="shared" si="255"/>
        <v>0</v>
      </c>
      <c r="G736" s="218">
        <f t="shared" si="256"/>
        <v>0</v>
      </c>
      <c r="H736" s="218">
        <f t="shared" si="257"/>
        <v>0</v>
      </c>
      <c r="I736" s="218">
        <f t="shared" si="258"/>
        <v>0</v>
      </c>
      <c r="J736" s="218">
        <f t="shared" si="259"/>
        <v>0</v>
      </c>
      <c r="K736" s="218">
        <f t="shared" si="260"/>
        <v>0</v>
      </c>
      <c r="L736" s="192">
        <f t="shared" si="252"/>
        <v>0</v>
      </c>
      <c r="M736" s="211">
        <v>97</v>
      </c>
      <c r="N736" s="211">
        <f>(29.53*1.02)*0.51*1</f>
        <v>15.361506000000002</v>
      </c>
      <c r="O736" s="211">
        <f>(42.96*1.02)*0.51*1.0824</f>
        <v>24.189250060800003</v>
      </c>
      <c r="P736" s="211">
        <f>(16.43*1.02)*0.51*1.0824</f>
        <v>9.2511494064000015</v>
      </c>
      <c r="Q736" s="211">
        <f>(12.76*1.02)*0.51*1.0824</f>
        <v>7.1847027647999999</v>
      </c>
      <c r="R736" s="211">
        <f>(1.27*1.02)*0.51*1.0824</f>
        <v>0.71509188960000014</v>
      </c>
      <c r="S736" s="211">
        <f>(0.0584*1.02)*0.51*1.0824</f>
        <v>3.2882965632000001E-2</v>
      </c>
      <c r="T736" s="174">
        <f t="shared" si="253"/>
        <v>0</v>
      </c>
      <c r="U736" s="358">
        <f t="shared" si="248"/>
        <v>0</v>
      </c>
      <c r="V736" s="358">
        <f t="shared" si="248"/>
        <v>0</v>
      </c>
      <c r="W736" s="358">
        <f t="shared" si="248"/>
        <v>0</v>
      </c>
      <c r="X736" s="358">
        <f t="shared" si="248"/>
        <v>0</v>
      </c>
      <c r="Y736" s="358">
        <f t="shared" si="248"/>
        <v>0</v>
      </c>
      <c r="Z736" s="358">
        <f t="shared" si="251"/>
        <v>0</v>
      </c>
      <c r="AA736" s="2733"/>
    </row>
    <row r="737" spans="1:27" ht="18.75" x14ac:dyDescent="0.25">
      <c r="A737" s="2738"/>
      <c r="B737" s="746">
        <v>2054</v>
      </c>
      <c r="C737" s="218">
        <f t="shared" si="254"/>
        <v>0</v>
      </c>
      <c r="D737" s="221">
        <f t="shared" si="249"/>
        <v>0</v>
      </c>
      <c r="E737" s="221">
        <f t="shared" si="250"/>
        <v>0</v>
      </c>
      <c r="F737" s="218">
        <f t="shared" si="255"/>
        <v>0</v>
      </c>
      <c r="G737" s="218">
        <f t="shared" si="256"/>
        <v>0</v>
      </c>
      <c r="H737" s="218">
        <f t="shared" si="257"/>
        <v>0</v>
      </c>
      <c r="I737" s="218">
        <f t="shared" si="258"/>
        <v>0</v>
      </c>
      <c r="J737" s="218">
        <f t="shared" si="259"/>
        <v>0</v>
      </c>
      <c r="K737" s="218">
        <f t="shared" si="260"/>
        <v>0</v>
      </c>
      <c r="L737" s="192">
        <f t="shared" si="252"/>
        <v>0</v>
      </c>
      <c r="M737" s="211">
        <v>97</v>
      </c>
      <c r="N737" s="211">
        <f>(29.53*1.02)*0.5*1.0824</f>
        <v>16.301268720000003</v>
      </c>
      <c r="O737" s="211">
        <f>(42.96*1.02)*0.5*1.0824</f>
        <v>23.714951040000003</v>
      </c>
      <c r="P737" s="211">
        <f>(16.43*1.02)*0.5*1.0824</f>
        <v>9.0697543200000013</v>
      </c>
      <c r="Q737" s="211">
        <f>(12.76*1.02)*0.5*1.0824</f>
        <v>7.0438262400000005</v>
      </c>
      <c r="R737" s="211">
        <f>(1.27*1.02)*0.5*1.0824</f>
        <v>0.70107048000000005</v>
      </c>
      <c r="S737" s="211">
        <f>(0.0584*1.02)*0.5*1.0824</f>
        <v>3.2238201600000002E-2</v>
      </c>
      <c r="T737" s="174">
        <f t="shared" si="253"/>
        <v>0</v>
      </c>
      <c r="U737" s="358">
        <f t="shared" si="248"/>
        <v>0</v>
      </c>
      <c r="V737" s="358">
        <f t="shared" si="248"/>
        <v>0</v>
      </c>
      <c r="W737" s="358">
        <f t="shared" si="248"/>
        <v>0</v>
      </c>
      <c r="X737" s="358">
        <f t="shared" si="248"/>
        <v>0</v>
      </c>
      <c r="Y737" s="358">
        <f t="shared" si="248"/>
        <v>0</v>
      </c>
      <c r="Z737" s="358">
        <f t="shared" si="251"/>
        <v>0</v>
      </c>
      <c r="AA737" s="2733"/>
    </row>
    <row r="738" spans="1:27" ht="18.75" x14ac:dyDescent="0.25">
      <c r="A738" s="2738"/>
      <c r="B738" s="746">
        <v>2055</v>
      </c>
      <c r="C738" s="218">
        <f t="shared" si="254"/>
        <v>0</v>
      </c>
      <c r="D738" s="221">
        <f t="shared" si="249"/>
        <v>0</v>
      </c>
      <c r="E738" s="221">
        <f t="shared" si="250"/>
        <v>0</v>
      </c>
      <c r="F738" s="218">
        <f t="shared" si="255"/>
        <v>0</v>
      </c>
      <c r="G738" s="218">
        <f t="shared" si="256"/>
        <v>0</v>
      </c>
      <c r="H738" s="218">
        <f t="shared" si="257"/>
        <v>0</v>
      </c>
      <c r="I738" s="218">
        <f t="shared" si="258"/>
        <v>0</v>
      </c>
      <c r="J738" s="218">
        <f t="shared" si="259"/>
        <v>0</v>
      </c>
      <c r="K738" s="218">
        <f t="shared" si="260"/>
        <v>0</v>
      </c>
      <c r="L738" s="192">
        <f t="shared" si="252"/>
        <v>0</v>
      </c>
      <c r="M738" s="211">
        <v>97</v>
      </c>
      <c r="N738" s="211">
        <f>(29.53*1.02)*0.4902*1.0824</f>
        <v>15.981763853088003</v>
      </c>
      <c r="O738" s="211">
        <f>(42.96*1.02)*0.4902*1.0824</f>
        <v>23.250137999616001</v>
      </c>
      <c r="P738" s="211">
        <f>(16.43*1.02)*0.4902*1.0824</f>
        <v>8.8919871353280016</v>
      </c>
      <c r="Q738" s="211">
        <f>(12.76*1.02)*0.4902*1.0824</f>
        <v>6.9057672456960004</v>
      </c>
      <c r="R738" s="211">
        <f>(1.27*1.02)*0.4902*1.0824</f>
        <v>0.6873294985920001</v>
      </c>
      <c r="S738" s="211">
        <f>(0.0584*1.02)*0.4902*1.0824</f>
        <v>3.1606332848640006E-2</v>
      </c>
      <c r="T738" s="174">
        <f t="shared" si="253"/>
        <v>0</v>
      </c>
      <c r="U738" s="358">
        <f t="shared" si="248"/>
        <v>0</v>
      </c>
      <c r="V738" s="358">
        <f t="shared" si="248"/>
        <v>0</v>
      </c>
      <c r="W738" s="358">
        <f t="shared" si="248"/>
        <v>0</v>
      </c>
      <c r="X738" s="358">
        <f t="shared" si="248"/>
        <v>0</v>
      </c>
      <c r="Y738" s="358">
        <f t="shared" si="248"/>
        <v>0</v>
      </c>
      <c r="Z738" s="358">
        <f t="shared" si="251"/>
        <v>0</v>
      </c>
      <c r="AA738" s="2733"/>
    </row>
    <row r="739" spans="1:27" ht="18.75" x14ac:dyDescent="0.25">
      <c r="A739" s="2738"/>
      <c r="B739" s="746">
        <v>2056</v>
      </c>
      <c r="C739" s="218">
        <f t="shared" si="254"/>
        <v>0</v>
      </c>
      <c r="D739" s="221">
        <f t="shared" si="249"/>
        <v>0</v>
      </c>
      <c r="E739" s="221">
        <f t="shared" si="250"/>
        <v>0</v>
      </c>
      <c r="F739" s="218">
        <f t="shared" si="255"/>
        <v>0</v>
      </c>
      <c r="G739" s="218">
        <f t="shared" si="256"/>
        <v>0</v>
      </c>
      <c r="H739" s="218">
        <f t="shared" si="257"/>
        <v>0</v>
      </c>
      <c r="I739" s="218">
        <f t="shared" si="258"/>
        <v>0</v>
      </c>
      <c r="J739" s="218">
        <f t="shared" si="259"/>
        <v>0</v>
      </c>
      <c r="K739" s="218">
        <f t="shared" si="260"/>
        <v>0</v>
      </c>
      <c r="L739" s="192">
        <f t="shared" si="252"/>
        <v>0</v>
      </c>
      <c r="M739" s="211">
        <v>97</v>
      </c>
      <c r="N739" s="211">
        <f>(29.53*1.02)*0.4806*1.0824</f>
        <v>15.668779493664003</v>
      </c>
      <c r="O739" s="211">
        <f>(42.96*1.02)*0.4806*1.0824</f>
        <v>22.794810939648006</v>
      </c>
      <c r="P739" s="211">
        <f>(16.43*1.02)*0.4806*1.0824</f>
        <v>8.7178478523840006</v>
      </c>
      <c r="Q739" s="211">
        <f>(12.76*1.02)*0.4806*1.0824</f>
        <v>6.7705257818880007</v>
      </c>
      <c r="R739" s="211">
        <f>(1.27*1.02)*0.4806*1.0824</f>
        <v>0.67386894537600017</v>
      </c>
      <c r="S739" s="211">
        <f>(0.0584*1.02)*0.4806*1.0824</f>
        <v>3.0987359377920003E-2</v>
      </c>
      <c r="T739" s="174">
        <f t="shared" si="253"/>
        <v>0</v>
      </c>
      <c r="U739" s="358">
        <f t="shared" si="248"/>
        <v>0</v>
      </c>
      <c r="V739" s="358">
        <f t="shared" si="248"/>
        <v>0</v>
      </c>
      <c r="W739" s="358">
        <f t="shared" si="248"/>
        <v>0</v>
      </c>
      <c r="X739" s="358">
        <f t="shared" si="248"/>
        <v>0</v>
      </c>
      <c r="Y739" s="358">
        <f t="shared" si="248"/>
        <v>0</v>
      </c>
      <c r="Z739" s="358">
        <f t="shared" si="251"/>
        <v>0</v>
      </c>
      <c r="AA739" s="2733"/>
    </row>
    <row r="740" spans="1:27" ht="18.75" x14ac:dyDescent="0.25">
      <c r="A740" s="2738"/>
      <c r="B740" s="746">
        <v>2057</v>
      </c>
      <c r="C740" s="218">
        <f t="shared" si="254"/>
        <v>0</v>
      </c>
      <c r="D740" s="221">
        <f t="shared" si="249"/>
        <v>0</v>
      </c>
      <c r="E740" s="221">
        <f t="shared" si="250"/>
        <v>0</v>
      </c>
      <c r="F740" s="218">
        <f t="shared" si="255"/>
        <v>0</v>
      </c>
      <c r="G740" s="218">
        <f t="shared" si="256"/>
        <v>0</v>
      </c>
      <c r="H740" s="218">
        <f t="shared" si="257"/>
        <v>0</v>
      </c>
      <c r="I740" s="218">
        <f t="shared" si="258"/>
        <v>0</v>
      </c>
      <c r="J740" s="218">
        <f t="shared" si="259"/>
        <v>0</v>
      </c>
      <c r="K740" s="218">
        <f t="shared" si="260"/>
        <v>0</v>
      </c>
      <c r="L740" s="192">
        <f t="shared" si="252"/>
        <v>0</v>
      </c>
      <c r="M740" s="211">
        <v>97</v>
      </c>
      <c r="N740" s="211">
        <f>(29.53*1.02)*0.4712*1.0824</f>
        <v>15.362315641728001</v>
      </c>
      <c r="O740" s="211">
        <f>(42.96*1.02)*0.4712*1.0824</f>
        <v>22.348969860096002</v>
      </c>
      <c r="P740" s="211">
        <f>(16.43*1.02)*0.4712*1.0824</f>
        <v>8.547336471168002</v>
      </c>
      <c r="Q740" s="211">
        <f>(12.76*1.02)*0.4712*1.0824</f>
        <v>6.6381018485760004</v>
      </c>
      <c r="R740" s="211">
        <f>(1.27*1.02)*0.4712*1.0824</f>
        <v>0.66068882035200005</v>
      </c>
      <c r="S740" s="211">
        <f>(0.0584*1.02)*0.4712*1.0824</f>
        <v>3.038128118784E-2</v>
      </c>
      <c r="T740" s="174">
        <f t="shared" si="253"/>
        <v>0</v>
      </c>
      <c r="U740" s="358">
        <f t="shared" si="248"/>
        <v>0</v>
      </c>
      <c r="V740" s="358">
        <f t="shared" si="248"/>
        <v>0</v>
      </c>
      <c r="W740" s="358">
        <f t="shared" si="248"/>
        <v>0</v>
      </c>
      <c r="X740" s="358">
        <f t="shared" si="248"/>
        <v>0</v>
      </c>
      <c r="Y740" s="358">
        <f t="shared" si="248"/>
        <v>0</v>
      </c>
      <c r="Z740" s="358">
        <f t="shared" si="251"/>
        <v>0</v>
      </c>
      <c r="AA740" s="2733"/>
    </row>
    <row r="741" spans="1:27" ht="18.75" x14ac:dyDescent="0.25">
      <c r="A741" s="2738"/>
      <c r="B741" s="746">
        <v>2058</v>
      </c>
      <c r="C741" s="218">
        <f t="shared" si="254"/>
        <v>0</v>
      </c>
      <c r="D741" s="221">
        <f t="shared" si="249"/>
        <v>0</v>
      </c>
      <c r="E741" s="221">
        <f t="shared" si="250"/>
        <v>0</v>
      </c>
      <c r="F741" s="218">
        <f t="shared" si="255"/>
        <v>0</v>
      </c>
      <c r="G741" s="218">
        <f t="shared" si="256"/>
        <v>0</v>
      </c>
      <c r="H741" s="218">
        <f t="shared" si="257"/>
        <v>0</v>
      </c>
      <c r="I741" s="218">
        <f t="shared" si="258"/>
        <v>0</v>
      </c>
      <c r="J741" s="218">
        <f t="shared" si="259"/>
        <v>0</v>
      </c>
      <c r="K741" s="218">
        <f t="shared" si="260"/>
        <v>0</v>
      </c>
      <c r="L741" s="192">
        <f t="shared" si="252"/>
        <v>0</v>
      </c>
      <c r="M741" s="211">
        <v>97</v>
      </c>
      <c r="N741" s="211">
        <f>(29.53*1.02)*0.4619*1.0824</f>
        <v>15.059112043536</v>
      </c>
      <c r="O741" s="211">
        <f>(42.96*1.02)*0.4619*1.0824</f>
        <v>21.907871770752003</v>
      </c>
      <c r="P741" s="211">
        <f>(16.43*1.02)*0.4619*1.0824</f>
        <v>8.378639040816001</v>
      </c>
      <c r="Q741" s="211">
        <f>(12.76*1.02)*0.4619*1.0824</f>
        <v>6.5070866805119998</v>
      </c>
      <c r="R741" s="211">
        <f>(1.27*1.02)*0.4619*1.0824</f>
        <v>0.647648909424</v>
      </c>
      <c r="S741" s="211">
        <f>(0.0584*1.02)*0.4619*1.0824</f>
        <v>2.9781650638080002E-2</v>
      </c>
      <c r="T741" s="174">
        <f t="shared" si="253"/>
        <v>0</v>
      </c>
      <c r="U741" s="358">
        <f t="shared" si="248"/>
        <v>0</v>
      </c>
      <c r="V741" s="358">
        <f t="shared" si="248"/>
        <v>0</v>
      </c>
      <c r="W741" s="358">
        <f t="shared" si="248"/>
        <v>0</v>
      </c>
      <c r="X741" s="358">
        <f t="shared" si="248"/>
        <v>0</v>
      </c>
      <c r="Y741" s="358">
        <f t="shared" si="248"/>
        <v>0</v>
      </c>
      <c r="Z741" s="358">
        <f t="shared" si="251"/>
        <v>0</v>
      </c>
      <c r="AA741" s="2733"/>
    </row>
    <row r="742" spans="1:27" ht="18.75" x14ac:dyDescent="0.25">
      <c r="A742" s="2738"/>
      <c r="B742" s="746">
        <v>2059</v>
      </c>
      <c r="C742" s="218">
        <f t="shared" si="254"/>
        <v>0</v>
      </c>
      <c r="D742" s="221">
        <f t="shared" si="249"/>
        <v>0</v>
      </c>
      <c r="E742" s="221">
        <f t="shared" si="250"/>
        <v>0</v>
      </c>
      <c r="F742" s="218">
        <f t="shared" si="255"/>
        <v>0</v>
      </c>
      <c r="G742" s="218">
        <f t="shared" si="256"/>
        <v>0</v>
      </c>
      <c r="H742" s="218">
        <f t="shared" si="257"/>
        <v>0</v>
      </c>
      <c r="I742" s="218">
        <f t="shared" si="258"/>
        <v>0</v>
      </c>
      <c r="J742" s="218">
        <f t="shared" si="259"/>
        <v>0</v>
      </c>
      <c r="K742" s="218">
        <f t="shared" si="260"/>
        <v>0</v>
      </c>
      <c r="L742" s="192">
        <f t="shared" si="252"/>
        <v>0</v>
      </c>
      <c r="M742" s="211">
        <v>97</v>
      </c>
      <c r="N742" s="211">
        <f>(29.53*1.02)*0.4529*1.0824</f>
        <v>14.765689206576004</v>
      </c>
      <c r="O742" s="211">
        <f>(42.96*1.02)*0.4529*1.0824</f>
        <v>21.481002652032004</v>
      </c>
      <c r="P742" s="211">
        <f>(16.43*1.02)*0.4529*1.0824</f>
        <v>8.2153834630560016</v>
      </c>
      <c r="Q742" s="211">
        <f>(12.76*1.02)*0.4529*1.0824</f>
        <v>6.380297808192001</v>
      </c>
      <c r="R742" s="211">
        <f>(1.27*1.02)*0.4529*1.0824</f>
        <v>0.63502964078400004</v>
      </c>
      <c r="S742" s="211">
        <f>(0.0584*1.02)*0.4529*1.0824</f>
        <v>2.9201363009280005E-2</v>
      </c>
      <c r="T742" s="174">
        <f t="shared" si="253"/>
        <v>0</v>
      </c>
      <c r="U742" s="358">
        <f t="shared" si="248"/>
        <v>0</v>
      </c>
      <c r="V742" s="358">
        <f t="shared" si="248"/>
        <v>0</v>
      </c>
      <c r="W742" s="358">
        <f t="shared" si="248"/>
        <v>0</v>
      </c>
      <c r="X742" s="358">
        <f t="shared" si="248"/>
        <v>0</v>
      </c>
      <c r="Y742" s="358">
        <f t="shared" si="248"/>
        <v>0</v>
      </c>
      <c r="Z742" s="358">
        <f t="shared" si="251"/>
        <v>0</v>
      </c>
      <c r="AA742" s="2733"/>
    </row>
    <row r="743" spans="1:27" ht="18.75" x14ac:dyDescent="0.25">
      <c r="A743" s="2738"/>
      <c r="B743" s="746">
        <v>2060</v>
      </c>
      <c r="C743" s="218">
        <f t="shared" si="254"/>
        <v>0</v>
      </c>
      <c r="D743" s="221">
        <f t="shared" si="249"/>
        <v>0</v>
      </c>
      <c r="E743" s="221">
        <f t="shared" si="250"/>
        <v>0</v>
      </c>
      <c r="F743" s="218">
        <f t="shared" si="255"/>
        <v>0</v>
      </c>
      <c r="G743" s="218">
        <f t="shared" si="256"/>
        <v>0</v>
      </c>
      <c r="H743" s="218">
        <f t="shared" si="257"/>
        <v>0</v>
      </c>
      <c r="I743" s="218">
        <f t="shared" si="258"/>
        <v>0</v>
      </c>
      <c r="J743" s="218">
        <f t="shared" si="259"/>
        <v>0</v>
      </c>
      <c r="K743" s="218">
        <f t="shared" si="260"/>
        <v>0</v>
      </c>
      <c r="L743" s="192">
        <f t="shared" si="252"/>
        <v>0</v>
      </c>
      <c r="M743" s="211">
        <v>97</v>
      </c>
      <c r="N743" s="211">
        <f>(29.53*1.02)*0.444*1.0824</f>
        <v>14.475526623360002</v>
      </c>
      <c r="O743" s="211">
        <f>(42.96*1.02)*0.444*1.0824</f>
        <v>21.058876523520002</v>
      </c>
      <c r="P743" s="211">
        <f>(16.43*1.02)*0.444*1.0824</f>
        <v>8.0539418361599999</v>
      </c>
      <c r="Q743" s="211">
        <f>(12.76*1.02)*0.444*1.0824</f>
        <v>6.2549177011200001</v>
      </c>
      <c r="R743" s="211">
        <f>(1.27*1.02)*0.444*1.0824</f>
        <v>0.62255058624000004</v>
      </c>
      <c r="S743" s="211">
        <f>(0.0584*1.02)*0.444*1.0824</f>
        <v>2.8627523020800003E-2</v>
      </c>
      <c r="T743" s="174">
        <f t="shared" si="253"/>
        <v>0</v>
      </c>
      <c r="U743" s="358">
        <f t="shared" si="248"/>
        <v>0</v>
      </c>
      <c r="V743" s="358">
        <f t="shared" si="248"/>
        <v>0</v>
      </c>
      <c r="W743" s="358">
        <f t="shared" si="248"/>
        <v>0</v>
      </c>
      <c r="X743" s="358">
        <f t="shared" si="248"/>
        <v>0</v>
      </c>
      <c r="Y743" s="358">
        <f t="shared" si="248"/>
        <v>0</v>
      </c>
      <c r="Z743" s="358">
        <f t="shared" si="251"/>
        <v>0</v>
      </c>
      <c r="AA743" s="2733"/>
    </row>
    <row r="744" spans="1:27" ht="18.75" x14ac:dyDescent="0.25">
      <c r="A744" s="2738"/>
      <c r="B744" s="746">
        <v>2061</v>
      </c>
      <c r="C744" s="218">
        <f t="shared" si="254"/>
        <v>0</v>
      </c>
      <c r="D744" s="221">
        <f t="shared" si="249"/>
        <v>0</v>
      </c>
      <c r="E744" s="221">
        <f t="shared" si="250"/>
        <v>0</v>
      </c>
      <c r="F744" s="218">
        <f t="shared" si="255"/>
        <v>0</v>
      </c>
      <c r="G744" s="218">
        <f t="shared" si="256"/>
        <v>0</v>
      </c>
      <c r="H744" s="218">
        <f t="shared" si="257"/>
        <v>0</v>
      </c>
      <c r="I744" s="218">
        <f t="shared" si="258"/>
        <v>0</v>
      </c>
      <c r="J744" s="218">
        <f t="shared" si="259"/>
        <v>0</v>
      </c>
      <c r="K744" s="218">
        <f t="shared" si="260"/>
        <v>0</v>
      </c>
      <c r="L744" s="192">
        <f t="shared" si="252"/>
        <v>0</v>
      </c>
      <c r="M744" s="211">
        <v>97</v>
      </c>
      <c r="N744" s="211">
        <f>(29.53*1.02)*0.4353*1.0824</f>
        <v>14.191884547632004</v>
      </c>
      <c r="O744" s="211">
        <f>(42.96*1.02)*0.4353*1.0824</f>
        <v>20.646236375424003</v>
      </c>
      <c r="P744" s="211">
        <f>(16.43*1.02)*0.4353*1.0824</f>
        <v>7.8961281109920014</v>
      </c>
      <c r="Q744" s="211">
        <f>(12.76*1.02)*0.4353*1.0824</f>
        <v>6.1323551245440004</v>
      </c>
      <c r="R744" s="211">
        <f>(1.27*1.02)*0.4353*1.0824</f>
        <v>0.61035195988800006</v>
      </c>
      <c r="S744" s="211">
        <f>(0.0584*1.02)*0.4353*1.0824</f>
        <v>2.8066578312960003E-2</v>
      </c>
      <c r="T744" s="174">
        <f t="shared" si="253"/>
        <v>0</v>
      </c>
      <c r="U744" s="358">
        <f t="shared" si="248"/>
        <v>0</v>
      </c>
      <c r="V744" s="358">
        <f t="shared" si="248"/>
        <v>0</v>
      </c>
      <c r="W744" s="358">
        <f t="shared" si="248"/>
        <v>0</v>
      </c>
      <c r="X744" s="358">
        <f t="shared" si="248"/>
        <v>0</v>
      </c>
      <c r="Y744" s="358">
        <f t="shared" si="248"/>
        <v>0</v>
      </c>
      <c r="Z744" s="358">
        <f t="shared" si="251"/>
        <v>0</v>
      </c>
      <c r="AA744" s="2733"/>
    </row>
    <row r="745" spans="1:27" ht="18.75" x14ac:dyDescent="0.25">
      <c r="A745" s="2738"/>
      <c r="B745" s="746">
        <v>2062</v>
      </c>
      <c r="C745" s="218">
        <f t="shared" si="254"/>
        <v>0</v>
      </c>
      <c r="D745" s="221">
        <f t="shared" si="249"/>
        <v>0</v>
      </c>
      <c r="E745" s="221">
        <f t="shared" si="250"/>
        <v>0</v>
      </c>
      <c r="F745" s="218">
        <f t="shared" si="255"/>
        <v>0</v>
      </c>
      <c r="G745" s="218">
        <f t="shared" si="256"/>
        <v>0</v>
      </c>
      <c r="H745" s="218">
        <f t="shared" si="257"/>
        <v>0</v>
      </c>
      <c r="I745" s="218">
        <f t="shared" si="258"/>
        <v>0</v>
      </c>
      <c r="J745" s="218">
        <f t="shared" si="259"/>
        <v>0</v>
      </c>
      <c r="K745" s="218">
        <f t="shared" si="260"/>
        <v>0</v>
      </c>
      <c r="L745" s="192">
        <f t="shared" si="252"/>
        <v>0</v>
      </c>
      <c r="M745" s="211">
        <v>97</v>
      </c>
      <c r="N745" s="211">
        <f>(29.53*1.02)*0.4268*1.0824</f>
        <v>13.914762979392002</v>
      </c>
      <c r="O745" s="211">
        <f>(42.96*1.02)*0.4268*1.0824</f>
        <v>20.243082207744003</v>
      </c>
      <c r="P745" s="211">
        <f>(16.43*1.02)*0.4268*1.0824</f>
        <v>7.7419422875520008</v>
      </c>
      <c r="Q745" s="211">
        <f>(12.76*1.02)*0.4268*1.0824</f>
        <v>6.0126100784640002</v>
      </c>
      <c r="R745" s="211">
        <f>(1.27*1.02)*0.4268*1.0824</f>
        <v>0.59843376172800011</v>
      </c>
      <c r="S745" s="211">
        <f>(0.0584*1.02)*0.4268*1.0824</f>
        <v>2.7518528885760004E-2</v>
      </c>
      <c r="T745" s="174">
        <f t="shared" si="253"/>
        <v>0</v>
      </c>
      <c r="U745" s="358">
        <f t="shared" si="248"/>
        <v>0</v>
      </c>
      <c r="V745" s="358">
        <f t="shared" si="248"/>
        <v>0</v>
      </c>
      <c r="W745" s="358">
        <f t="shared" si="248"/>
        <v>0</v>
      </c>
      <c r="X745" s="358">
        <f t="shared" si="248"/>
        <v>0</v>
      </c>
      <c r="Y745" s="358">
        <f t="shared" si="248"/>
        <v>0</v>
      </c>
      <c r="Z745" s="358">
        <f t="shared" si="251"/>
        <v>0</v>
      </c>
      <c r="AA745" s="2733"/>
    </row>
    <row r="746" spans="1:27" ht="18.75" x14ac:dyDescent="0.25">
      <c r="A746" s="2738"/>
      <c r="B746" s="746">
        <v>2063</v>
      </c>
      <c r="C746" s="218">
        <f t="shared" si="254"/>
        <v>0</v>
      </c>
      <c r="D746" s="221">
        <f t="shared" si="249"/>
        <v>0</v>
      </c>
      <c r="E746" s="221">
        <f t="shared" si="250"/>
        <v>0</v>
      </c>
      <c r="F746" s="218">
        <f t="shared" si="255"/>
        <v>0</v>
      </c>
      <c r="G746" s="218">
        <f t="shared" si="256"/>
        <v>0</v>
      </c>
      <c r="H746" s="218">
        <f t="shared" si="257"/>
        <v>0</v>
      </c>
      <c r="I746" s="218">
        <f t="shared" si="258"/>
        <v>0</v>
      </c>
      <c r="J746" s="218">
        <f t="shared" si="259"/>
        <v>0</v>
      </c>
      <c r="K746" s="218">
        <f t="shared" si="260"/>
        <v>0</v>
      </c>
      <c r="L746" s="192">
        <f t="shared" si="252"/>
        <v>0</v>
      </c>
      <c r="M746" s="211">
        <v>97</v>
      </c>
      <c r="N746" s="211">
        <f>(29.53*1.02)*0.4184*1.0824</f>
        <v>13.640901664896001</v>
      </c>
      <c r="O746" s="211">
        <f>(42.96*1.02)*0.4184*1.0824</f>
        <v>19.844671030272</v>
      </c>
      <c r="P746" s="211">
        <f>(16.43*1.02)*0.4184*1.0824</f>
        <v>7.5895704149760004</v>
      </c>
      <c r="Q746" s="211">
        <f>(12.76*1.02)*0.4184*1.0824</f>
        <v>5.8942737976319997</v>
      </c>
      <c r="R746" s="211">
        <f>(1.27*1.02)*0.4184*1.0824</f>
        <v>0.58665577766400001</v>
      </c>
      <c r="S746" s="211">
        <f>(0.0584*1.02)*0.4184*1.0824</f>
        <v>2.6976927098879999E-2</v>
      </c>
      <c r="T746" s="174">
        <f t="shared" si="253"/>
        <v>0</v>
      </c>
      <c r="U746" s="358">
        <f t="shared" si="248"/>
        <v>0</v>
      </c>
      <c r="V746" s="358">
        <f t="shared" si="248"/>
        <v>0</v>
      </c>
      <c r="W746" s="358">
        <f t="shared" si="248"/>
        <v>0</v>
      </c>
      <c r="X746" s="358">
        <f t="shared" si="248"/>
        <v>0</v>
      </c>
      <c r="Y746" s="358">
        <f t="shared" si="248"/>
        <v>0</v>
      </c>
      <c r="Z746" s="358">
        <f t="shared" si="251"/>
        <v>0</v>
      </c>
      <c r="AA746" s="2733"/>
    </row>
    <row r="747" spans="1:27" ht="18.75" x14ac:dyDescent="0.25">
      <c r="A747" s="2738"/>
      <c r="B747" s="746">
        <v>2064</v>
      </c>
      <c r="C747" s="218">
        <f t="shared" si="254"/>
        <v>0</v>
      </c>
      <c r="D747" s="221">
        <f t="shared" si="249"/>
        <v>0</v>
      </c>
      <c r="E747" s="221">
        <f t="shared" si="250"/>
        <v>0</v>
      </c>
      <c r="F747" s="218">
        <f t="shared" si="255"/>
        <v>0</v>
      </c>
      <c r="G747" s="218">
        <f t="shared" si="256"/>
        <v>0</v>
      </c>
      <c r="H747" s="218">
        <f t="shared" si="257"/>
        <v>0</v>
      </c>
      <c r="I747" s="218">
        <f t="shared" si="258"/>
        <v>0</v>
      </c>
      <c r="J747" s="218">
        <f t="shared" si="259"/>
        <v>0</v>
      </c>
      <c r="K747" s="218">
        <f t="shared" si="260"/>
        <v>0</v>
      </c>
      <c r="L747" s="192">
        <f t="shared" si="252"/>
        <v>0</v>
      </c>
      <c r="M747" s="211">
        <v>97</v>
      </c>
      <c r="N747" s="211">
        <f>(29.53*1.02)*0.4102*1.0824</f>
        <v>13.373560857888002</v>
      </c>
      <c r="O747" s="211">
        <f>(42.96*1.02)*0.4102*1.0824</f>
        <v>19.455745833216003</v>
      </c>
      <c r="P747" s="211">
        <f>(16.43*1.02)*0.4102*1.0824</f>
        <v>7.4408264441280014</v>
      </c>
      <c r="Q747" s="211">
        <f>(12.76*1.02)*0.4102*1.0824</f>
        <v>5.7787550472960003</v>
      </c>
      <c r="R747" s="211">
        <f>(1.27*1.02)*0.4102*1.0824</f>
        <v>0.57515822179200005</v>
      </c>
      <c r="S747" s="211">
        <f>(0.0584*1.02)*0.4102*1.0824</f>
        <v>2.6448220592640001E-2</v>
      </c>
      <c r="T747" s="174">
        <f t="shared" si="253"/>
        <v>0</v>
      </c>
      <c r="U747" s="358">
        <f t="shared" si="248"/>
        <v>0</v>
      </c>
      <c r="V747" s="358">
        <f t="shared" si="248"/>
        <v>0</v>
      </c>
      <c r="W747" s="358">
        <f t="shared" si="248"/>
        <v>0</v>
      </c>
      <c r="X747" s="358">
        <f t="shared" si="248"/>
        <v>0</v>
      </c>
      <c r="Y747" s="358">
        <f t="shared" si="248"/>
        <v>0</v>
      </c>
      <c r="Z747" s="358">
        <f t="shared" si="251"/>
        <v>0</v>
      </c>
      <c r="AA747" s="2733"/>
    </row>
    <row r="748" spans="1:27" ht="18.75" x14ac:dyDescent="0.25">
      <c r="A748" s="2738"/>
      <c r="B748" s="746">
        <v>2065</v>
      </c>
      <c r="C748" s="218">
        <f t="shared" si="254"/>
        <v>0</v>
      </c>
      <c r="D748" s="221">
        <f t="shared" si="249"/>
        <v>0</v>
      </c>
      <c r="E748" s="221">
        <f t="shared" si="250"/>
        <v>0</v>
      </c>
      <c r="F748" s="218">
        <f t="shared" si="255"/>
        <v>0</v>
      </c>
      <c r="G748" s="218">
        <f t="shared" si="256"/>
        <v>0</v>
      </c>
      <c r="H748" s="218">
        <f t="shared" si="257"/>
        <v>0</v>
      </c>
      <c r="I748" s="218">
        <f t="shared" si="258"/>
        <v>0</v>
      </c>
      <c r="J748" s="218">
        <f t="shared" si="259"/>
        <v>0</v>
      </c>
      <c r="K748" s="218">
        <f t="shared" si="260"/>
        <v>0</v>
      </c>
      <c r="L748" s="192">
        <f t="shared" si="252"/>
        <v>0</v>
      </c>
      <c r="M748" s="211">
        <v>97</v>
      </c>
      <c r="N748" s="211">
        <f>(29.53*1.02)*0.4022*1.0824</f>
        <v>13.112740558368001</v>
      </c>
      <c r="O748" s="211">
        <f>(42.96*1.02)*0.4022*1.0824</f>
        <v>19.076306616576002</v>
      </c>
      <c r="P748" s="211">
        <f>(16.43*1.02)*0.4022*1.0824</f>
        <v>7.2957103750080003</v>
      </c>
      <c r="Q748" s="211">
        <f>(12.76*1.02)*0.4022*1.0824</f>
        <v>5.6660538274560004</v>
      </c>
      <c r="R748" s="211">
        <f>(1.27*1.02)*0.4022*1.0824</f>
        <v>0.56394109411200011</v>
      </c>
      <c r="S748" s="211">
        <f>(0.0584*1.02)*0.4022*1.0824</f>
        <v>2.5932409367040003E-2</v>
      </c>
      <c r="T748" s="174">
        <f t="shared" si="253"/>
        <v>0</v>
      </c>
      <c r="U748" s="358">
        <f t="shared" si="248"/>
        <v>0</v>
      </c>
      <c r="V748" s="358">
        <f t="shared" si="248"/>
        <v>0</v>
      </c>
      <c r="W748" s="358">
        <f t="shared" si="248"/>
        <v>0</v>
      </c>
      <c r="X748" s="358">
        <f t="shared" si="248"/>
        <v>0</v>
      </c>
      <c r="Y748" s="358">
        <f t="shared" si="248"/>
        <v>0</v>
      </c>
      <c r="Z748" s="358">
        <f t="shared" si="251"/>
        <v>0</v>
      </c>
      <c r="AA748" s="2733"/>
    </row>
    <row r="749" spans="1:27" ht="18.75" x14ac:dyDescent="0.25">
      <c r="A749" s="2738"/>
      <c r="B749" s="746">
        <v>2066</v>
      </c>
      <c r="C749" s="218">
        <f t="shared" si="254"/>
        <v>0</v>
      </c>
      <c r="D749" s="221">
        <f t="shared" si="249"/>
        <v>0</v>
      </c>
      <c r="E749" s="221">
        <f t="shared" si="250"/>
        <v>0</v>
      </c>
      <c r="F749" s="218">
        <f t="shared" si="255"/>
        <v>0</v>
      </c>
      <c r="G749" s="218">
        <f t="shared" si="256"/>
        <v>0</v>
      </c>
      <c r="H749" s="218">
        <f t="shared" si="257"/>
        <v>0</v>
      </c>
      <c r="I749" s="218">
        <f t="shared" si="258"/>
        <v>0</v>
      </c>
      <c r="J749" s="218">
        <f t="shared" si="259"/>
        <v>0</v>
      </c>
      <c r="K749" s="218">
        <f t="shared" si="260"/>
        <v>0</v>
      </c>
      <c r="L749" s="192">
        <f t="shared" si="252"/>
        <v>0</v>
      </c>
      <c r="M749" s="211">
        <v>97</v>
      </c>
      <c r="N749" s="211">
        <f>(29.53*1.02)*0.3943*1.0824</f>
        <v>12.855180512592</v>
      </c>
      <c r="O749" s="211">
        <f>(42.96*1.02)*0.3943*1.0824</f>
        <v>18.701610390143998</v>
      </c>
      <c r="P749" s="211">
        <f>(16.43*1.02)*0.3943*1.0824</f>
        <v>7.1524082567520004</v>
      </c>
      <c r="Q749" s="211">
        <f>(12.76*1.02)*0.3943*1.0824</f>
        <v>5.5547613728639993</v>
      </c>
      <c r="R749" s="211">
        <f>(1.27*1.02)*0.3943*1.0824</f>
        <v>0.55286418052800002</v>
      </c>
      <c r="S749" s="211">
        <f>(0.0584*1.02)*0.3943*1.0824</f>
        <v>2.5423045781760002E-2</v>
      </c>
      <c r="T749" s="174">
        <f t="shared" si="253"/>
        <v>0</v>
      </c>
      <c r="U749" s="358">
        <f t="shared" si="248"/>
        <v>0</v>
      </c>
      <c r="V749" s="358">
        <f t="shared" si="248"/>
        <v>0</v>
      </c>
      <c r="W749" s="358">
        <f t="shared" si="248"/>
        <v>0</v>
      </c>
      <c r="X749" s="358">
        <f t="shared" si="248"/>
        <v>0</v>
      </c>
      <c r="Y749" s="358">
        <f t="shared" si="248"/>
        <v>0</v>
      </c>
      <c r="Z749" s="358">
        <f t="shared" si="251"/>
        <v>0</v>
      </c>
      <c r="AA749" s="2733"/>
    </row>
    <row r="750" spans="1:27" ht="18.75" x14ac:dyDescent="0.25">
      <c r="A750" s="2738"/>
      <c r="B750" s="746">
        <v>2067</v>
      </c>
      <c r="C750" s="218">
        <f t="shared" si="254"/>
        <v>0</v>
      </c>
      <c r="D750" s="221">
        <f t="shared" si="249"/>
        <v>0</v>
      </c>
      <c r="E750" s="221">
        <f t="shared" si="250"/>
        <v>0</v>
      </c>
      <c r="F750" s="218">
        <f t="shared" si="255"/>
        <v>0</v>
      </c>
      <c r="G750" s="218">
        <f t="shared" si="256"/>
        <v>0</v>
      </c>
      <c r="H750" s="218">
        <f t="shared" si="257"/>
        <v>0</v>
      </c>
      <c r="I750" s="218">
        <f t="shared" si="258"/>
        <v>0</v>
      </c>
      <c r="J750" s="218">
        <f t="shared" si="259"/>
        <v>0</v>
      </c>
      <c r="K750" s="218">
        <f t="shared" si="260"/>
        <v>0</v>
      </c>
      <c r="L750" s="192">
        <f t="shared" si="252"/>
        <v>0</v>
      </c>
      <c r="M750" s="211">
        <v>97</v>
      </c>
      <c r="N750" s="211">
        <f>(29.53*1.02)*0.3865*1.0824</f>
        <v>12.600880720560001</v>
      </c>
      <c r="O750" s="211">
        <f>(42.96*1.02)*0.3865*1.0824</f>
        <v>18.331657153920002</v>
      </c>
      <c r="P750" s="211">
        <f>(16.43*1.02)*0.3865*1.0824</f>
        <v>7.0109200893600008</v>
      </c>
      <c r="Q750" s="211">
        <f>(12.76*1.02)*0.3865*1.0824</f>
        <v>5.4448776835200006</v>
      </c>
      <c r="R750" s="211">
        <f>(1.27*1.02)*0.3865*1.0824</f>
        <v>0.5419274810400001</v>
      </c>
      <c r="S750" s="211">
        <f>(0.0584*1.02)*0.3865*1.0824</f>
        <v>2.4920129836800003E-2</v>
      </c>
      <c r="T750" s="174">
        <f t="shared" si="253"/>
        <v>0</v>
      </c>
      <c r="U750" s="358">
        <f t="shared" si="248"/>
        <v>0</v>
      </c>
      <c r="V750" s="358">
        <f t="shared" si="248"/>
        <v>0</v>
      </c>
      <c r="W750" s="358">
        <f t="shared" si="248"/>
        <v>0</v>
      </c>
      <c r="X750" s="358">
        <f t="shared" si="248"/>
        <v>0</v>
      </c>
      <c r="Y750" s="358">
        <f t="shared" si="248"/>
        <v>0</v>
      </c>
      <c r="Z750" s="358">
        <f t="shared" si="251"/>
        <v>0</v>
      </c>
      <c r="AA750" s="2733"/>
    </row>
    <row r="751" spans="1:27" ht="18.75" x14ac:dyDescent="0.25">
      <c r="A751" s="2738"/>
      <c r="B751" s="746">
        <v>2068</v>
      </c>
      <c r="C751" s="218">
        <f t="shared" si="254"/>
        <v>0</v>
      </c>
      <c r="D751" s="221">
        <f t="shared" si="249"/>
        <v>0</v>
      </c>
      <c r="E751" s="221">
        <f t="shared" si="250"/>
        <v>0</v>
      </c>
      <c r="F751" s="218">
        <f t="shared" si="255"/>
        <v>0</v>
      </c>
      <c r="G751" s="218">
        <f t="shared" si="256"/>
        <v>0</v>
      </c>
      <c r="H751" s="218">
        <f t="shared" si="257"/>
        <v>0</v>
      </c>
      <c r="I751" s="218">
        <f t="shared" si="258"/>
        <v>0</v>
      </c>
      <c r="J751" s="218">
        <f t="shared" si="259"/>
        <v>0</v>
      </c>
      <c r="K751" s="218">
        <f t="shared" si="260"/>
        <v>0</v>
      </c>
      <c r="L751" s="192">
        <f t="shared" si="252"/>
        <v>0</v>
      </c>
      <c r="M751" s="211">
        <v>97</v>
      </c>
      <c r="N751" s="211">
        <f>(29.53*1.02)*0.379*1.0824</f>
        <v>12.356361689760002</v>
      </c>
      <c r="O751" s="211">
        <f>(42.96*1.02)*0.379*1.0824</f>
        <v>17.975932888320003</v>
      </c>
      <c r="P751" s="211">
        <f>(16.43*1.02)*0.379*1.0824</f>
        <v>6.8748737745600002</v>
      </c>
      <c r="Q751" s="211">
        <f>(12.76*1.02)*0.379*1.0824</f>
        <v>5.339220289920001</v>
      </c>
      <c r="R751" s="211">
        <f>(1.27*1.02)*0.379*1.0824</f>
        <v>0.53141142384000006</v>
      </c>
      <c r="S751" s="211">
        <f>(0.0584*1.02)*0.379*1.0824</f>
        <v>2.4436556812800003E-2</v>
      </c>
      <c r="T751" s="174">
        <f t="shared" si="253"/>
        <v>0</v>
      </c>
      <c r="U751" s="358">
        <f t="shared" si="248"/>
        <v>0</v>
      </c>
      <c r="V751" s="358">
        <f t="shared" si="248"/>
        <v>0</v>
      </c>
      <c r="W751" s="358">
        <f t="shared" si="248"/>
        <v>0</v>
      </c>
      <c r="X751" s="358">
        <f t="shared" si="248"/>
        <v>0</v>
      </c>
      <c r="Y751" s="358">
        <f t="shared" si="248"/>
        <v>0</v>
      </c>
      <c r="Z751" s="358">
        <f t="shared" si="251"/>
        <v>0</v>
      </c>
      <c r="AA751" s="2733"/>
    </row>
    <row r="752" spans="1:27" ht="19.5" thickBot="1" x14ac:dyDescent="0.3">
      <c r="A752" s="2738"/>
      <c r="B752" s="1866">
        <v>2069</v>
      </c>
      <c r="C752" s="327">
        <f t="shared" si="254"/>
        <v>0</v>
      </c>
      <c r="D752" s="648">
        <f t="shared" si="249"/>
        <v>0</v>
      </c>
      <c r="E752" s="648">
        <f t="shared" si="250"/>
        <v>0</v>
      </c>
      <c r="F752" s="327">
        <f t="shared" si="255"/>
        <v>0</v>
      </c>
      <c r="G752" s="327">
        <f t="shared" si="256"/>
        <v>0</v>
      </c>
      <c r="H752" s="327">
        <f t="shared" si="257"/>
        <v>0</v>
      </c>
      <c r="I752" s="327">
        <f t="shared" si="258"/>
        <v>0</v>
      </c>
      <c r="J752" s="327">
        <f t="shared" si="259"/>
        <v>0</v>
      </c>
      <c r="K752" s="327">
        <f t="shared" si="260"/>
        <v>0</v>
      </c>
      <c r="L752" s="219">
        <f t="shared" si="252"/>
        <v>0</v>
      </c>
      <c r="M752" s="416">
        <v>97</v>
      </c>
      <c r="N752" s="416">
        <f>(29.53*1.02)*0.3715*1.0824</f>
        <v>12.111842658960002</v>
      </c>
      <c r="O752" s="416">
        <f>(42.96*1.02)*0.3715*1.0824</f>
        <v>17.62020862272</v>
      </c>
      <c r="P752" s="416">
        <f>(16.43*1.02)*0.3715*1.0824</f>
        <v>6.7388274597600004</v>
      </c>
      <c r="Q752" s="416">
        <f>(12.76*1.02)*0.3715*1.0824</f>
        <v>5.2335628963200005</v>
      </c>
      <c r="R752" s="416">
        <f>(1.27*1.02)*0.3715*1.0824</f>
        <v>0.52089536664000002</v>
      </c>
      <c r="S752" s="416">
        <f>(0.0584*1.02)*0.3715*1.0824</f>
        <v>2.3952983788800002E-2</v>
      </c>
      <c r="T752" s="758">
        <f t="shared" si="253"/>
        <v>0</v>
      </c>
      <c r="U752" s="1847">
        <f t="shared" si="248"/>
        <v>0</v>
      </c>
      <c r="V752" s="1847">
        <f t="shared" si="248"/>
        <v>0</v>
      </c>
      <c r="W752" s="1847">
        <f t="shared" si="248"/>
        <v>0</v>
      </c>
      <c r="X752" s="1847">
        <f t="shared" si="248"/>
        <v>0</v>
      </c>
      <c r="Y752" s="1847">
        <f t="shared" si="248"/>
        <v>0</v>
      </c>
      <c r="Z752" s="1847">
        <f t="shared" si="251"/>
        <v>0</v>
      </c>
      <c r="AA752" s="2734"/>
    </row>
    <row r="753" spans="1:27" ht="18.75" x14ac:dyDescent="0.25">
      <c r="A753" s="2737" t="s">
        <v>1097</v>
      </c>
      <c r="B753" s="1862">
        <v>2019</v>
      </c>
      <c r="C753" s="216">
        <f t="shared" ref="C753:C784" si="261">$S$29</f>
        <v>0</v>
      </c>
      <c r="D753" s="216">
        <f>$R$29*28</f>
        <v>0</v>
      </c>
      <c r="E753" s="216">
        <f>$T$29*298</f>
        <v>0</v>
      </c>
      <c r="F753" s="216">
        <f t="shared" ref="F753:F784" si="262">$O$29</f>
        <v>0</v>
      </c>
      <c r="G753" s="216">
        <f t="shared" ref="G753:G784" si="263">$P$29</f>
        <v>0</v>
      </c>
      <c r="H753" s="216">
        <f t="shared" ref="H753:H784" si="264">$N$29</f>
        <v>0</v>
      </c>
      <c r="I753" s="216">
        <f t="shared" ref="I753:I784" si="265">$Q$29</f>
        <v>0</v>
      </c>
      <c r="J753" s="216">
        <f t="shared" ref="J753:J784" si="266">$L$29</f>
        <v>0</v>
      </c>
      <c r="K753" s="216">
        <f t="shared" ref="K753:K784" si="267">$M$29</f>
        <v>0</v>
      </c>
      <c r="L753" s="217">
        <f t="shared" si="252"/>
        <v>0</v>
      </c>
      <c r="M753" s="643">
        <v>62</v>
      </c>
      <c r="N753" s="643">
        <f>29.53*1.02*1.0824</f>
        <v>32.602537440000006</v>
      </c>
      <c r="O753" s="643">
        <f>42.96*1.02*1.0824</f>
        <v>47.429902080000005</v>
      </c>
      <c r="P753" s="643">
        <f>16.43*1.02*1.0824</f>
        <v>18.139508640000003</v>
      </c>
      <c r="Q753" s="643">
        <f>12.76*1.02*1.0824</f>
        <v>14.087652480000001</v>
      </c>
      <c r="R753" s="643">
        <f>1.27*1.02*1.0824</f>
        <v>1.4021409600000001</v>
      </c>
      <c r="S753" s="643">
        <f>0.0584*1.02*1.0824</f>
        <v>6.4476403200000004E-2</v>
      </c>
      <c r="T753" s="645">
        <f t="shared" si="253"/>
        <v>0</v>
      </c>
      <c r="U753" s="644">
        <f t="shared" ref="U753:U803" si="268">F753*N753</f>
        <v>0</v>
      </c>
      <c r="V753" s="644">
        <f t="shared" ref="V753:V803" si="269">G753*O753</f>
        <v>0</v>
      </c>
      <c r="W753" s="644">
        <f t="shared" ref="W753:W803" si="270">H753*P753</f>
        <v>0</v>
      </c>
      <c r="X753" s="644">
        <f t="shared" ref="X753:X803" si="271">I753*Q753</f>
        <v>0</v>
      </c>
      <c r="Y753" s="644">
        <f>J753*R753</f>
        <v>0</v>
      </c>
      <c r="Z753" s="644">
        <f t="shared" si="251"/>
        <v>0</v>
      </c>
      <c r="AA753" s="2732">
        <f>(SUM(T753:T803)*1.2682)+(SUM(U753:U803))+(SUM(V753:V803))+(SUM(W753:W803))+(SUM(X753:X803))+(SUM(Y753:Y803))+(SUM(Z753:Z803))</f>
        <v>0</v>
      </c>
    </row>
    <row r="754" spans="1:27" ht="18.75" x14ac:dyDescent="0.25">
      <c r="A754" s="2738"/>
      <c r="B754" s="1863">
        <v>2020</v>
      </c>
      <c r="C754" s="218">
        <f t="shared" si="261"/>
        <v>0</v>
      </c>
      <c r="D754" s="218">
        <f t="shared" ref="D754:D803" si="272">$R$29*28</f>
        <v>0</v>
      </c>
      <c r="E754" s="218">
        <f t="shared" ref="E754:E803" si="273">$T$29*298</f>
        <v>0</v>
      </c>
      <c r="F754" s="218">
        <f t="shared" si="262"/>
        <v>0</v>
      </c>
      <c r="G754" s="218">
        <f t="shared" si="263"/>
        <v>0</v>
      </c>
      <c r="H754" s="218">
        <f t="shared" si="264"/>
        <v>0</v>
      </c>
      <c r="I754" s="218">
        <f t="shared" si="265"/>
        <v>0</v>
      </c>
      <c r="J754" s="218">
        <f t="shared" si="266"/>
        <v>0</v>
      </c>
      <c r="K754" s="218">
        <f t="shared" si="267"/>
        <v>0</v>
      </c>
      <c r="L754" s="192">
        <f t="shared" si="252"/>
        <v>0</v>
      </c>
      <c r="M754" s="211">
        <v>64</v>
      </c>
      <c r="N754" s="211">
        <f>(29.53*1.02)*0.9804*1.0824</f>
        <v>31.963527706176006</v>
      </c>
      <c r="O754" s="211">
        <f>(42.96*1.02)*0.9804*1.0824</f>
        <v>46.500275999232002</v>
      </c>
      <c r="P754" s="211">
        <f>(16.43*1.02)*0.9804*1.0824</f>
        <v>17.783974270656003</v>
      </c>
      <c r="Q754" s="211">
        <f>(12.76*1.02)*0.9804*1.0824</f>
        <v>13.811534491392001</v>
      </c>
      <c r="R754" s="211">
        <f>(1.27*1.02)*0.9804*1.0824</f>
        <v>1.3746589971840002</v>
      </c>
      <c r="S754" s="211">
        <f>(0.0584*1.02)*0.9804*1.0824</f>
        <v>6.3212665697280013E-2</v>
      </c>
      <c r="T754" s="174">
        <f t="shared" si="253"/>
        <v>0</v>
      </c>
      <c r="U754" s="1850">
        <f t="shared" si="268"/>
        <v>0</v>
      </c>
      <c r="V754" s="1850">
        <f t="shared" si="269"/>
        <v>0</v>
      </c>
      <c r="W754" s="1850">
        <f t="shared" si="270"/>
        <v>0</v>
      </c>
      <c r="X754" s="1850">
        <f t="shared" si="271"/>
        <v>0</v>
      </c>
      <c r="Y754" s="1850">
        <f t="shared" ref="Y754:Y803" si="274">J754*R754</f>
        <v>0</v>
      </c>
      <c r="Z754" s="1850">
        <f t="shared" si="251"/>
        <v>0</v>
      </c>
      <c r="AA754" s="2733"/>
    </row>
    <row r="755" spans="1:27" ht="18.75" x14ac:dyDescent="0.25">
      <c r="A755" s="2738"/>
      <c r="B755" s="1863">
        <v>2021</v>
      </c>
      <c r="C755" s="218">
        <f t="shared" si="261"/>
        <v>0</v>
      </c>
      <c r="D755" s="218">
        <f t="shared" si="272"/>
        <v>0</v>
      </c>
      <c r="E755" s="218">
        <f t="shared" si="273"/>
        <v>0</v>
      </c>
      <c r="F755" s="218">
        <f t="shared" si="262"/>
        <v>0</v>
      </c>
      <c r="G755" s="218">
        <f t="shared" si="263"/>
        <v>0</v>
      </c>
      <c r="H755" s="218">
        <f t="shared" si="264"/>
        <v>0</v>
      </c>
      <c r="I755" s="218">
        <f t="shared" si="265"/>
        <v>0</v>
      </c>
      <c r="J755" s="218">
        <f t="shared" si="266"/>
        <v>0</v>
      </c>
      <c r="K755" s="218">
        <f t="shared" si="267"/>
        <v>0</v>
      </c>
      <c r="L755" s="192">
        <f t="shared" si="252"/>
        <v>0</v>
      </c>
      <c r="M755" s="211">
        <v>65</v>
      </c>
      <c r="N755" s="211">
        <f>(29.53*1.02)*0.9612*1.0824</f>
        <v>31.337558987328006</v>
      </c>
      <c r="O755" s="211">
        <f>(42.96*1.02)*0.9612*1.0824</f>
        <v>45.589621879296011</v>
      </c>
      <c r="P755" s="211">
        <f>(16.43*1.02)*0.9612*1.0824</f>
        <v>17.435695704768001</v>
      </c>
      <c r="Q755" s="211">
        <f>(12.76*1.02)*0.9612*1.0824</f>
        <v>13.541051563776001</v>
      </c>
      <c r="R755" s="211">
        <f>(1.27*1.02)*0.9612*1.0824</f>
        <v>1.3477378907520003</v>
      </c>
      <c r="S755" s="211">
        <f>(0.0584*1.02)*0.9612*1.0824</f>
        <v>6.1974718755840007E-2</v>
      </c>
      <c r="T755" s="174">
        <f t="shared" si="253"/>
        <v>0</v>
      </c>
      <c r="U755" s="1850">
        <f t="shared" si="268"/>
        <v>0</v>
      </c>
      <c r="V755" s="1850">
        <f t="shared" si="269"/>
        <v>0</v>
      </c>
      <c r="W755" s="1850">
        <f t="shared" si="270"/>
        <v>0</v>
      </c>
      <c r="X755" s="1850">
        <f t="shared" si="271"/>
        <v>0</v>
      </c>
      <c r="Y755" s="1850">
        <f t="shared" si="274"/>
        <v>0</v>
      </c>
      <c r="Z755" s="1850">
        <f t="shared" si="251"/>
        <v>0</v>
      </c>
      <c r="AA755" s="2733"/>
    </row>
    <row r="756" spans="1:27" ht="18.75" x14ac:dyDescent="0.25">
      <c r="A756" s="2738"/>
      <c r="B756" s="1863">
        <v>2022</v>
      </c>
      <c r="C756" s="218">
        <f t="shared" si="261"/>
        <v>0</v>
      </c>
      <c r="D756" s="218">
        <f t="shared" si="272"/>
        <v>0</v>
      </c>
      <c r="E756" s="218">
        <f t="shared" si="273"/>
        <v>0</v>
      </c>
      <c r="F756" s="218">
        <f t="shared" si="262"/>
        <v>0</v>
      </c>
      <c r="G756" s="218">
        <f t="shared" si="263"/>
        <v>0</v>
      </c>
      <c r="H756" s="218">
        <f t="shared" si="264"/>
        <v>0</v>
      </c>
      <c r="I756" s="218">
        <f t="shared" si="265"/>
        <v>0</v>
      </c>
      <c r="J756" s="218">
        <f t="shared" si="266"/>
        <v>0</v>
      </c>
      <c r="K756" s="218">
        <f t="shared" si="267"/>
        <v>0</v>
      </c>
      <c r="L756" s="192">
        <f t="shared" si="252"/>
        <v>0</v>
      </c>
      <c r="M756" s="211">
        <v>66</v>
      </c>
      <c r="N756" s="211">
        <f>(29.53*1.02)*0.9423*1.0824</f>
        <v>30.721371029712003</v>
      </c>
      <c r="O756" s="211">
        <f>(42.96*1.02)*0.9423*1.0824</f>
        <v>44.693196729984003</v>
      </c>
      <c r="P756" s="211">
        <f>(16.43*1.02)*0.9423*1.0824</f>
        <v>17.092858991472003</v>
      </c>
      <c r="Q756" s="211">
        <f>(12.76*1.02)*0.9423*1.0824</f>
        <v>13.274794931903999</v>
      </c>
      <c r="R756" s="211">
        <f>(1.27*1.02)*0.9423*1.0824</f>
        <v>1.3212374266080003</v>
      </c>
      <c r="S756" s="211">
        <f>(0.0584*1.02)*0.9423*1.0824</f>
        <v>6.0756114735360002E-2</v>
      </c>
      <c r="T756" s="174">
        <f t="shared" si="253"/>
        <v>0</v>
      </c>
      <c r="U756" s="1850">
        <f t="shared" si="268"/>
        <v>0</v>
      </c>
      <c r="V756" s="1850">
        <f t="shared" si="269"/>
        <v>0</v>
      </c>
      <c r="W756" s="1850">
        <f t="shared" si="270"/>
        <v>0</v>
      </c>
      <c r="X756" s="1850">
        <f t="shared" si="271"/>
        <v>0</v>
      </c>
      <c r="Y756" s="1850">
        <f t="shared" si="274"/>
        <v>0</v>
      </c>
      <c r="Z756" s="1850">
        <f t="shared" si="251"/>
        <v>0</v>
      </c>
      <c r="AA756" s="2733"/>
    </row>
    <row r="757" spans="1:27" ht="18.75" x14ac:dyDescent="0.25">
      <c r="A757" s="2738"/>
      <c r="B757" s="1863">
        <v>2023</v>
      </c>
      <c r="C757" s="218">
        <f t="shared" si="261"/>
        <v>0</v>
      </c>
      <c r="D757" s="218">
        <f t="shared" si="272"/>
        <v>0</v>
      </c>
      <c r="E757" s="218">
        <f t="shared" si="273"/>
        <v>0</v>
      </c>
      <c r="F757" s="218">
        <f t="shared" si="262"/>
        <v>0</v>
      </c>
      <c r="G757" s="218">
        <f t="shared" si="263"/>
        <v>0</v>
      </c>
      <c r="H757" s="218">
        <f t="shared" si="264"/>
        <v>0</v>
      </c>
      <c r="I757" s="218">
        <f t="shared" si="265"/>
        <v>0</v>
      </c>
      <c r="J757" s="218">
        <f t="shared" si="266"/>
        <v>0</v>
      </c>
      <c r="K757" s="218">
        <f t="shared" si="267"/>
        <v>0</v>
      </c>
      <c r="L757" s="192">
        <f t="shared" si="252"/>
        <v>0</v>
      </c>
      <c r="M757" s="211">
        <v>67</v>
      </c>
      <c r="N757" s="211">
        <f>(29.53*1.02)*0.9238*1.0824</f>
        <v>30.118224087072001</v>
      </c>
      <c r="O757" s="211">
        <f>(42.96*1.02)*0.9238*1.0824</f>
        <v>43.815743541504006</v>
      </c>
      <c r="P757" s="211">
        <f>(16.43*1.02)*0.9238*1.0824</f>
        <v>16.757278081632002</v>
      </c>
      <c r="Q757" s="211">
        <f>(12.76*1.02)*0.9238*1.0824</f>
        <v>13.014173361024</v>
      </c>
      <c r="R757" s="211">
        <f>(1.27*1.02)*0.9238*1.0824</f>
        <v>1.295297818848</v>
      </c>
      <c r="S757" s="211">
        <f>(0.0584*1.02)*0.9238*1.0824</f>
        <v>5.9563301276160004E-2</v>
      </c>
      <c r="T757" s="174">
        <f t="shared" si="253"/>
        <v>0</v>
      </c>
      <c r="U757" s="1850">
        <f t="shared" si="268"/>
        <v>0</v>
      </c>
      <c r="V757" s="1850">
        <f t="shared" si="269"/>
        <v>0</v>
      </c>
      <c r="W757" s="1850">
        <f t="shared" si="270"/>
        <v>0</v>
      </c>
      <c r="X757" s="1850">
        <f t="shared" si="271"/>
        <v>0</v>
      </c>
      <c r="Y757" s="1850">
        <f t="shared" si="274"/>
        <v>0</v>
      </c>
      <c r="Z757" s="1850">
        <f t="shared" si="251"/>
        <v>0</v>
      </c>
      <c r="AA757" s="2733"/>
    </row>
    <row r="758" spans="1:27" ht="18.75" x14ac:dyDescent="0.25">
      <c r="A758" s="2738"/>
      <c r="B758" s="1863">
        <v>2024</v>
      </c>
      <c r="C758" s="218">
        <f t="shared" si="261"/>
        <v>0</v>
      </c>
      <c r="D758" s="218">
        <f t="shared" si="272"/>
        <v>0</v>
      </c>
      <c r="E758" s="218">
        <f t="shared" si="273"/>
        <v>0</v>
      </c>
      <c r="F758" s="218">
        <f t="shared" si="262"/>
        <v>0</v>
      </c>
      <c r="G758" s="218">
        <f t="shared" si="263"/>
        <v>0</v>
      </c>
      <c r="H758" s="218">
        <f t="shared" si="264"/>
        <v>0</v>
      </c>
      <c r="I758" s="218">
        <f t="shared" si="265"/>
        <v>0</v>
      </c>
      <c r="J758" s="218">
        <f t="shared" si="266"/>
        <v>0</v>
      </c>
      <c r="K758" s="218">
        <f t="shared" si="267"/>
        <v>0</v>
      </c>
      <c r="L758" s="192">
        <f t="shared" si="252"/>
        <v>0</v>
      </c>
      <c r="M758" s="211">
        <v>68</v>
      </c>
      <c r="N758" s="211">
        <f>(29.53*1.02)*0.9057*1.0824</f>
        <v>29.528118159408002</v>
      </c>
      <c r="O758" s="211">
        <f>(42.96*1.02)*0.9057*1.0824</f>
        <v>42.957262313856006</v>
      </c>
      <c r="P758" s="211">
        <f>(16.43*1.02)*0.9057*1.0824</f>
        <v>16.428952975248002</v>
      </c>
      <c r="Q758" s="211">
        <f>(12.76*1.02)*0.9057*1.0824</f>
        <v>12.759186851135999</v>
      </c>
      <c r="R758" s="211">
        <f>(1.27*1.02)*0.9057*1.0824</f>
        <v>1.269919067472</v>
      </c>
      <c r="S758" s="211">
        <f>(0.0584*1.02)*0.9057*1.0824</f>
        <v>5.8396278378240005E-2</v>
      </c>
      <c r="T758" s="174">
        <f t="shared" si="253"/>
        <v>0</v>
      </c>
      <c r="U758" s="1850">
        <f t="shared" si="268"/>
        <v>0</v>
      </c>
      <c r="V758" s="1850">
        <f t="shared" si="269"/>
        <v>0</v>
      </c>
      <c r="W758" s="1850">
        <f t="shared" si="270"/>
        <v>0</v>
      </c>
      <c r="X758" s="1850">
        <f t="shared" si="271"/>
        <v>0</v>
      </c>
      <c r="Y758" s="1850">
        <f t="shared" si="274"/>
        <v>0</v>
      </c>
      <c r="Z758" s="1850">
        <f t="shared" si="251"/>
        <v>0</v>
      </c>
      <c r="AA758" s="2733"/>
    </row>
    <row r="759" spans="1:27" ht="18.75" x14ac:dyDescent="0.25">
      <c r="A759" s="2738"/>
      <c r="B759" s="1863">
        <v>2025</v>
      </c>
      <c r="C759" s="218">
        <f t="shared" si="261"/>
        <v>0</v>
      </c>
      <c r="D759" s="218">
        <f t="shared" si="272"/>
        <v>0</v>
      </c>
      <c r="E759" s="218">
        <f t="shared" si="273"/>
        <v>0</v>
      </c>
      <c r="F759" s="218">
        <f t="shared" si="262"/>
        <v>0</v>
      </c>
      <c r="G759" s="218">
        <f t="shared" si="263"/>
        <v>0</v>
      </c>
      <c r="H759" s="218">
        <f t="shared" si="264"/>
        <v>0</v>
      </c>
      <c r="I759" s="218">
        <f t="shared" si="265"/>
        <v>0</v>
      </c>
      <c r="J759" s="218">
        <f t="shared" si="266"/>
        <v>0</v>
      </c>
      <c r="K759" s="218">
        <f t="shared" si="267"/>
        <v>0</v>
      </c>
      <c r="L759" s="192">
        <f t="shared" si="252"/>
        <v>0</v>
      </c>
      <c r="M759" s="211">
        <v>69</v>
      </c>
      <c r="N759" s="211">
        <f>(29.53*1.02)*0.888*1.0824</f>
        <v>28.951053246720004</v>
      </c>
      <c r="O759" s="211">
        <f>(42.96*1.02)*0.888*1.0824</f>
        <v>42.117753047040004</v>
      </c>
      <c r="P759" s="211">
        <f>(16.43*1.02)*0.888*1.0824</f>
        <v>16.10788367232</v>
      </c>
      <c r="Q759" s="211">
        <f>(12.76*1.02)*0.888*1.0824</f>
        <v>12.50983540224</v>
      </c>
      <c r="R759" s="211">
        <f>(1.27*1.02)*0.888*1.0824</f>
        <v>1.2451011724800001</v>
      </c>
      <c r="S759" s="211">
        <f>(0.0584*1.02)*0.888*1.0824</f>
        <v>5.7255046041600005E-2</v>
      </c>
      <c r="T759" s="174">
        <f t="shared" si="253"/>
        <v>0</v>
      </c>
      <c r="U759" s="1850">
        <f t="shared" si="268"/>
        <v>0</v>
      </c>
      <c r="V759" s="1850">
        <f t="shared" si="269"/>
        <v>0</v>
      </c>
      <c r="W759" s="1850">
        <f t="shared" si="270"/>
        <v>0</v>
      </c>
      <c r="X759" s="1850">
        <f t="shared" si="271"/>
        <v>0</v>
      </c>
      <c r="Y759" s="1850">
        <f t="shared" si="274"/>
        <v>0</v>
      </c>
      <c r="Z759" s="1850">
        <f t="shared" si="251"/>
        <v>0</v>
      </c>
      <c r="AA759" s="2733"/>
    </row>
    <row r="760" spans="1:27" ht="18.75" x14ac:dyDescent="0.25">
      <c r="A760" s="2738"/>
      <c r="B760" s="1863">
        <v>2026</v>
      </c>
      <c r="C760" s="218">
        <f t="shared" si="261"/>
        <v>0</v>
      </c>
      <c r="D760" s="218">
        <f t="shared" si="272"/>
        <v>0</v>
      </c>
      <c r="E760" s="218">
        <f t="shared" si="273"/>
        <v>0</v>
      </c>
      <c r="F760" s="218">
        <f t="shared" si="262"/>
        <v>0</v>
      </c>
      <c r="G760" s="218">
        <f t="shared" si="263"/>
        <v>0</v>
      </c>
      <c r="H760" s="218">
        <f t="shared" si="264"/>
        <v>0</v>
      </c>
      <c r="I760" s="218">
        <f t="shared" si="265"/>
        <v>0</v>
      </c>
      <c r="J760" s="218">
        <f t="shared" si="266"/>
        <v>0</v>
      </c>
      <c r="K760" s="218">
        <f t="shared" si="267"/>
        <v>0</v>
      </c>
      <c r="L760" s="192">
        <f t="shared" si="252"/>
        <v>0</v>
      </c>
      <c r="M760" s="211">
        <v>70</v>
      </c>
      <c r="N760" s="211">
        <f>(29.53*1.02)*0.8706*1.0824</f>
        <v>28.383769095264007</v>
      </c>
      <c r="O760" s="211">
        <f>(42.96*1.02)*0.8706*1.0824</f>
        <v>41.292472750848006</v>
      </c>
      <c r="P760" s="211">
        <f>(16.43*1.02)*0.8706*1.0824</f>
        <v>15.792256221984003</v>
      </c>
      <c r="Q760" s="211">
        <f>(12.76*1.02)*0.8706*1.0824</f>
        <v>12.264710249088001</v>
      </c>
      <c r="R760" s="211">
        <f>(1.27*1.02)*0.8706*1.0824</f>
        <v>1.2207039197760001</v>
      </c>
      <c r="S760" s="211">
        <f>(0.0584*1.02)*0.8706*1.0824</f>
        <v>5.6133156625920007E-2</v>
      </c>
      <c r="T760" s="174">
        <f t="shared" si="253"/>
        <v>0</v>
      </c>
      <c r="U760" s="1850">
        <f t="shared" si="268"/>
        <v>0</v>
      </c>
      <c r="V760" s="1850">
        <f t="shared" si="269"/>
        <v>0</v>
      </c>
      <c r="W760" s="1850">
        <f t="shared" si="270"/>
        <v>0</v>
      </c>
      <c r="X760" s="1850">
        <f t="shared" si="271"/>
        <v>0</v>
      </c>
      <c r="Y760" s="1850">
        <f t="shared" si="274"/>
        <v>0</v>
      </c>
      <c r="Z760" s="1850">
        <f t="shared" si="251"/>
        <v>0</v>
      </c>
      <c r="AA760" s="2733"/>
    </row>
    <row r="761" spans="1:27" ht="18.75" x14ac:dyDescent="0.25">
      <c r="A761" s="2738"/>
      <c r="B761" s="1863">
        <v>2027</v>
      </c>
      <c r="C761" s="218">
        <f t="shared" si="261"/>
        <v>0</v>
      </c>
      <c r="D761" s="218">
        <f t="shared" si="272"/>
        <v>0</v>
      </c>
      <c r="E761" s="218">
        <f t="shared" si="273"/>
        <v>0</v>
      </c>
      <c r="F761" s="218">
        <f t="shared" si="262"/>
        <v>0</v>
      </c>
      <c r="G761" s="218">
        <f t="shared" si="263"/>
        <v>0</v>
      </c>
      <c r="H761" s="218">
        <f t="shared" si="264"/>
        <v>0</v>
      </c>
      <c r="I761" s="218">
        <f t="shared" si="265"/>
        <v>0</v>
      </c>
      <c r="J761" s="218">
        <f t="shared" si="266"/>
        <v>0</v>
      </c>
      <c r="K761" s="218">
        <f t="shared" si="267"/>
        <v>0</v>
      </c>
      <c r="L761" s="192">
        <f t="shared" si="252"/>
        <v>0</v>
      </c>
      <c r="M761" s="211">
        <v>71</v>
      </c>
      <c r="N761" s="211">
        <f>(29.53*1.02)*0.8535*1.0824</f>
        <v>27.826265705040004</v>
      </c>
      <c r="O761" s="211">
        <f>(42.96*1.02)*0.8535*1.0824</f>
        <v>40.481421425280004</v>
      </c>
      <c r="P761" s="211">
        <f>(16.43*1.02)*0.8535*1.0824</f>
        <v>15.482070624240002</v>
      </c>
      <c r="Q761" s="211">
        <f>(12.76*1.02)*0.8535*1.0824</f>
        <v>12.023811391680001</v>
      </c>
      <c r="R761" s="211">
        <f>(1.27*1.02)*0.8535*1.0824</f>
        <v>1.1967273093600002</v>
      </c>
      <c r="S761" s="211">
        <f>(0.0584*1.02)*0.8535*1.0824</f>
        <v>5.503061013120001E-2</v>
      </c>
      <c r="T761" s="174">
        <f t="shared" si="253"/>
        <v>0</v>
      </c>
      <c r="U761" s="1850">
        <f t="shared" si="268"/>
        <v>0</v>
      </c>
      <c r="V761" s="1850">
        <f t="shared" si="269"/>
        <v>0</v>
      </c>
      <c r="W761" s="1850">
        <f t="shared" si="270"/>
        <v>0</v>
      </c>
      <c r="X761" s="1850">
        <f t="shared" si="271"/>
        <v>0</v>
      </c>
      <c r="Y761" s="1850">
        <f t="shared" si="274"/>
        <v>0</v>
      </c>
      <c r="Z761" s="1850">
        <f t="shared" si="251"/>
        <v>0</v>
      </c>
      <c r="AA761" s="2733"/>
    </row>
    <row r="762" spans="1:27" ht="18.75" x14ac:dyDescent="0.25">
      <c r="A762" s="2738"/>
      <c r="B762" s="1863">
        <v>2028</v>
      </c>
      <c r="C762" s="218">
        <f t="shared" si="261"/>
        <v>0</v>
      </c>
      <c r="D762" s="218">
        <f t="shared" si="272"/>
        <v>0</v>
      </c>
      <c r="E762" s="218">
        <f t="shared" si="273"/>
        <v>0</v>
      </c>
      <c r="F762" s="218">
        <f t="shared" si="262"/>
        <v>0</v>
      </c>
      <c r="G762" s="218">
        <f t="shared" si="263"/>
        <v>0</v>
      </c>
      <c r="H762" s="218">
        <f t="shared" si="264"/>
        <v>0</v>
      </c>
      <c r="I762" s="218">
        <f t="shared" si="265"/>
        <v>0</v>
      </c>
      <c r="J762" s="218">
        <f t="shared" si="266"/>
        <v>0</v>
      </c>
      <c r="K762" s="218">
        <f t="shared" si="267"/>
        <v>0</v>
      </c>
      <c r="L762" s="192">
        <f t="shared" si="252"/>
        <v>0</v>
      </c>
      <c r="M762" s="211">
        <v>72</v>
      </c>
      <c r="N762" s="211">
        <f>(29.53*1.02)*0.8368*1.0824</f>
        <v>27.281803329792002</v>
      </c>
      <c r="O762" s="211">
        <f>(42.96*1.02)*0.8368*1.0824</f>
        <v>39.689342060544</v>
      </c>
      <c r="P762" s="211">
        <f>(16.43*1.02)*0.8368*1.0824</f>
        <v>15.179140829952001</v>
      </c>
      <c r="Q762" s="211">
        <f>(12.76*1.02)*0.8368*1.0824</f>
        <v>11.788547595263999</v>
      </c>
      <c r="R762" s="211">
        <f>(1.27*1.02)*0.8368*1.0824</f>
        <v>1.173311555328</v>
      </c>
      <c r="S762" s="211">
        <f>(0.0584*1.02)*0.8368*1.0824</f>
        <v>5.3953854197759998E-2</v>
      </c>
      <c r="T762" s="174">
        <f t="shared" si="253"/>
        <v>0</v>
      </c>
      <c r="U762" s="1850">
        <f t="shared" si="268"/>
        <v>0</v>
      </c>
      <c r="V762" s="1850">
        <f t="shared" si="269"/>
        <v>0</v>
      </c>
      <c r="W762" s="1850">
        <f t="shared" si="270"/>
        <v>0</v>
      </c>
      <c r="X762" s="1850">
        <f t="shared" si="271"/>
        <v>0</v>
      </c>
      <c r="Y762" s="1850">
        <f t="shared" si="274"/>
        <v>0</v>
      </c>
      <c r="Z762" s="1850">
        <f t="shared" si="251"/>
        <v>0</v>
      </c>
      <c r="AA762" s="2733"/>
    </row>
    <row r="763" spans="1:27" ht="18.75" x14ac:dyDescent="0.25">
      <c r="A763" s="2738"/>
      <c r="B763" s="1863">
        <v>2029</v>
      </c>
      <c r="C763" s="218">
        <f t="shared" si="261"/>
        <v>0</v>
      </c>
      <c r="D763" s="218">
        <f t="shared" si="272"/>
        <v>0</v>
      </c>
      <c r="E763" s="218">
        <f t="shared" si="273"/>
        <v>0</v>
      </c>
      <c r="F763" s="218">
        <f t="shared" si="262"/>
        <v>0</v>
      </c>
      <c r="G763" s="218">
        <f t="shared" si="263"/>
        <v>0</v>
      </c>
      <c r="H763" s="218">
        <f t="shared" si="264"/>
        <v>0</v>
      </c>
      <c r="I763" s="218">
        <f t="shared" si="265"/>
        <v>0</v>
      </c>
      <c r="J763" s="218">
        <f t="shared" si="266"/>
        <v>0</v>
      </c>
      <c r="K763" s="218">
        <f t="shared" si="267"/>
        <v>0</v>
      </c>
      <c r="L763" s="192">
        <f t="shared" si="252"/>
        <v>0</v>
      </c>
      <c r="M763" s="211">
        <v>73</v>
      </c>
      <c r="N763" s="211">
        <f>(29.53*1.02)*0.8203*1.0824</f>
        <v>26.743861462032005</v>
      </c>
      <c r="O763" s="211">
        <f>(42.96*1.02)*0.8203*1.0824</f>
        <v>38.906748676224005</v>
      </c>
      <c r="P763" s="211">
        <f>(16.43*1.02)*0.8203*1.0824</f>
        <v>14.879838937392002</v>
      </c>
      <c r="Q763" s="211">
        <f>(12.76*1.02)*0.8203*1.0824</f>
        <v>11.556101329344001</v>
      </c>
      <c r="R763" s="211">
        <f>(1.27*1.02)*0.8203*1.0824</f>
        <v>1.1501762294880002</v>
      </c>
      <c r="S763" s="211">
        <f>(0.0584*1.02)*0.8203*1.0824</f>
        <v>5.2889993544960004E-2</v>
      </c>
      <c r="T763" s="174">
        <f t="shared" si="253"/>
        <v>0</v>
      </c>
      <c r="U763" s="1850">
        <f t="shared" si="268"/>
        <v>0</v>
      </c>
      <c r="V763" s="1850">
        <f t="shared" si="269"/>
        <v>0</v>
      </c>
      <c r="W763" s="1850">
        <f t="shared" si="270"/>
        <v>0</v>
      </c>
      <c r="X763" s="1850">
        <f t="shared" si="271"/>
        <v>0</v>
      </c>
      <c r="Y763" s="1850">
        <f t="shared" si="274"/>
        <v>0</v>
      </c>
      <c r="Z763" s="1850">
        <f t="shared" si="251"/>
        <v>0</v>
      </c>
      <c r="AA763" s="2733"/>
    </row>
    <row r="764" spans="1:27" ht="18.75" x14ac:dyDescent="0.25">
      <c r="A764" s="2738"/>
      <c r="B764" s="1863">
        <v>2030</v>
      </c>
      <c r="C764" s="218">
        <f t="shared" si="261"/>
        <v>0</v>
      </c>
      <c r="D764" s="218">
        <f t="shared" si="272"/>
        <v>0</v>
      </c>
      <c r="E764" s="218">
        <f t="shared" si="273"/>
        <v>0</v>
      </c>
      <c r="F764" s="218">
        <f t="shared" si="262"/>
        <v>0</v>
      </c>
      <c r="G764" s="218">
        <f t="shared" si="263"/>
        <v>0</v>
      </c>
      <c r="H764" s="218">
        <f t="shared" si="264"/>
        <v>0</v>
      </c>
      <c r="I764" s="218">
        <f t="shared" si="265"/>
        <v>0</v>
      </c>
      <c r="J764" s="218">
        <f t="shared" si="266"/>
        <v>0</v>
      </c>
      <c r="K764" s="218">
        <f t="shared" si="267"/>
        <v>0</v>
      </c>
      <c r="L764" s="192">
        <f t="shared" si="252"/>
        <v>0</v>
      </c>
      <c r="M764" s="211">
        <v>75</v>
      </c>
      <c r="N764" s="211">
        <f>(29.53*1.02)*0.8043*1.0824</f>
        <v>26.222220862992003</v>
      </c>
      <c r="O764" s="211">
        <f>(42.96*1.02)*0.8043*1.0824</f>
        <v>38.147870242944002</v>
      </c>
      <c r="P764" s="211">
        <f>(16.43*1.02)*0.8043*1.0824</f>
        <v>14.589606799152003</v>
      </c>
      <c r="Q764" s="211">
        <f>(12.76*1.02)*0.8043*1.0824</f>
        <v>11.330698889664001</v>
      </c>
      <c r="R764" s="211">
        <f>(1.27*1.02)*0.8043*1.0824</f>
        <v>1.1277419741280001</v>
      </c>
      <c r="S764" s="211">
        <f>(0.0584*1.02)*0.8043*1.0824</f>
        <v>5.1858371093760007E-2</v>
      </c>
      <c r="T764" s="174">
        <f t="shared" si="253"/>
        <v>0</v>
      </c>
      <c r="U764" s="1850">
        <f t="shared" si="268"/>
        <v>0</v>
      </c>
      <c r="V764" s="1850">
        <f t="shared" si="269"/>
        <v>0</v>
      </c>
      <c r="W764" s="1850">
        <f t="shared" si="270"/>
        <v>0</v>
      </c>
      <c r="X764" s="1850">
        <f t="shared" si="271"/>
        <v>0</v>
      </c>
      <c r="Y764" s="1850">
        <f t="shared" si="274"/>
        <v>0</v>
      </c>
      <c r="Z764" s="1850">
        <f t="shared" si="251"/>
        <v>0</v>
      </c>
      <c r="AA764" s="2733"/>
    </row>
    <row r="765" spans="1:27" ht="18.75" x14ac:dyDescent="0.25">
      <c r="A765" s="2738"/>
      <c r="B765" s="1863">
        <v>2031</v>
      </c>
      <c r="C765" s="218">
        <f t="shared" si="261"/>
        <v>0</v>
      </c>
      <c r="D765" s="218">
        <f t="shared" si="272"/>
        <v>0</v>
      </c>
      <c r="E765" s="218">
        <f t="shared" si="273"/>
        <v>0</v>
      </c>
      <c r="F765" s="218">
        <f t="shared" si="262"/>
        <v>0</v>
      </c>
      <c r="G765" s="218">
        <f t="shared" si="263"/>
        <v>0</v>
      </c>
      <c r="H765" s="218">
        <f t="shared" si="264"/>
        <v>0</v>
      </c>
      <c r="I765" s="218">
        <f t="shared" si="265"/>
        <v>0</v>
      </c>
      <c r="J765" s="218">
        <f t="shared" si="266"/>
        <v>0</v>
      </c>
      <c r="K765" s="218">
        <f t="shared" si="267"/>
        <v>0</v>
      </c>
      <c r="L765" s="192">
        <f t="shared" si="252"/>
        <v>0</v>
      </c>
      <c r="M765" s="211">
        <v>76</v>
      </c>
      <c r="N765" s="211">
        <f>(29.53*1.02)*0.7885*1.0824</f>
        <v>25.70710077144</v>
      </c>
      <c r="O765" s="211">
        <f>(42.96*1.02)*0.7885*1.0824</f>
        <v>37.398477790080001</v>
      </c>
      <c r="P765" s="211">
        <f>(16.43*1.02)*0.7885*1.0824</f>
        <v>14.303002562640001</v>
      </c>
      <c r="Q765" s="211">
        <f>(12.76*1.02)*0.7885*1.0824</f>
        <v>11.108113980480001</v>
      </c>
      <c r="R765" s="211">
        <f>(1.27*1.02)*0.7885*1.0824</f>
        <v>1.1055881469600002</v>
      </c>
      <c r="S765" s="211">
        <f>(0.0584*1.02)*0.7885*1.0824</f>
        <v>5.0839643923200006E-2</v>
      </c>
      <c r="T765" s="174">
        <f t="shared" si="253"/>
        <v>0</v>
      </c>
      <c r="U765" s="1850">
        <f t="shared" si="268"/>
        <v>0</v>
      </c>
      <c r="V765" s="1850">
        <f t="shared" si="269"/>
        <v>0</v>
      </c>
      <c r="W765" s="1850">
        <f t="shared" si="270"/>
        <v>0</v>
      </c>
      <c r="X765" s="1850">
        <f t="shared" si="271"/>
        <v>0</v>
      </c>
      <c r="Y765" s="1850">
        <f t="shared" si="274"/>
        <v>0</v>
      </c>
      <c r="Z765" s="1850">
        <f t="shared" si="251"/>
        <v>0</v>
      </c>
      <c r="AA765" s="2733"/>
    </row>
    <row r="766" spans="1:27" ht="18.75" x14ac:dyDescent="0.25">
      <c r="A766" s="2738"/>
      <c r="B766" s="1863">
        <v>2032</v>
      </c>
      <c r="C766" s="218">
        <f t="shared" si="261"/>
        <v>0</v>
      </c>
      <c r="D766" s="218">
        <f t="shared" si="272"/>
        <v>0</v>
      </c>
      <c r="E766" s="218">
        <f t="shared" si="273"/>
        <v>0</v>
      </c>
      <c r="F766" s="218">
        <f t="shared" si="262"/>
        <v>0</v>
      </c>
      <c r="G766" s="218">
        <f t="shared" si="263"/>
        <v>0</v>
      </c>
      <c r="H766" s="218">
        <f t="shared" si="264"/>
        <v>0</v>
      </c>
      <c r="I766" s="218">
        <f t="shared" si="265"/>
        <v>0</v>
      </c>
      <c r="J766" s="218">
        <f t="shared" si="266"/>
        <v>0</v>
      </c>
      <c r="K766" s="218">
        <f t="shared" si="267"/>
        <v>0</v>
      </c>
      <c r="L766" s="192">
        <f t="shared" si="252"/>
        <v>0</v>
      </c>
      <c r="M766" s="211">
        <v>77</v>
      </c>
      <c r="N766" s="211">
        <f>(29.53*1.02)*0.773*1.0824</f>
        <v>25.201761441120002</v>
      </c>
      <c r="O766" s="211">
        <f>(42.96*1.02)*0.773*1.0824</f>
        <v>36.663314307840004</v>
      </c>
      <c r="P766" s="211">
        <f>(16.43*1.02)*0.773*1.0824</f>
        <v>14.021840178720002</v>
      </c>
      <c r="Q766" s="211">
        <f>(12.76*1.02)*0.773*1.0824</f>
        <v>10.889755367040001</v>
      </c>
      <c r="R766" s="211">
        <f>(1.27*1.02)*0.773*1.0824</f>
        <v>1.0838549620800002</v>
      </c>
      <c r="S766" s="211">
        <f>(0.0584*1.02)*0.773*1.0824</f>
        <v>4.9840259673600007E-2</v>
      </c>
      <c r="T766" s="174">
        <f t="shared" si="253"/>
        <v>0</v>
      </c>
      <c r="U766" s="1850">
        <f t="shared" si="268"/>
        <v>0</v>
      </c>
      <c r="V766" s="1850">
        <f t="shared" si="269"/>
        <v>0</v>
      </c>
      <c r="W766" s="1850">
        <f t="shared" si="270"/>
        <v>0</v>
      </c>
      <c r="X766" s="1850">
        <f t="shared" si="271"/>
        <v>0</v>
      </c>
      <c r="Y766" s="1850">
        <f t="shared" si="274"/>
        <v>0</v>
      </c>
      <c r="Z766" s="1850">
        <f t="shared" si="251"/>
        <v>0</v>
      </c>
      <c r="AA766" s="2733"/>
    </row>
    <row r="767" spans="1:27" ht="18.75" x14ac:dyDescent="0.25">
      <c r="A767" s="2738"/>
      <c r="B767" s="1863">
        <v>2033</v>
      </c>
      <c r="C767" s="218">
        <f t="shared" si="261"/>
        <v>0</v>
      </c>
      <c r="D767" s="218">
        <f t="shared" si="272"/>
        <v>0</v>
      </c>
      <c r="E767" s="218">
        <f t="shared" si="273"/>
        <v>0</v>
      </c>
      <c r="F767" s="218">
        <f t="shared" si="262"/>
        <v>0</v>
      </c>
      <c r="G767" s="218">
        <f t="shared" si="263"/>
        <v>0</v>
      </c>
      <c r="H767" s="218">
        <f t="shared" si="264"/>
        <v>0</v>
      </c>
      <c r="I767" s="218">
        <f t="shared" si="265"/>
        <v>0</v>
      </c>
      <c r="J767" s="218">
        <f t="shared" si="266"/>
        <v>0</v>
      </c>
      <c r="K767" s="218">
        <f t="shared" si="267"/>
        <v>0</v>
      </c>
      <c r="L767" s="192">
        <f t="shared" si="252"/>
        <v>0</v>
      </c>
      <c r="M767" s="211">
        <v>78</v>
      </c>
      <c r="N767" s="211">
        <f>(29.53*1.02)*0.7579*1.0824</f>
        <v>24.709463125776001</v>
      </c>
      <c r="O767" s="211">
        <f>(42.96*1.02)*0.7579*1.0824</f>
        <v>35.947122786432004</v>
      </c>
      <c r="P767" s="211">
        <f>(16.43*1.02)*0.7579*1.0824</f>
        <v>13.747933598256003</v>
      </c>
      <c r="Q767" s="211">
        <f>(12.76*1.02)*0.7579*1.0824</f>
        <v>10.677031814592</v>
      </c>
      <c r="R767" s="211">
        <f>(1.27*1.02)*0.7579*1.0824</f>
        <v>1.0626826335840001</v>
      </c>
      <c r="S767" s="211">
        <f>(0.0584*1.02)*0.7579*1.0824</f>
        <v>4.8866665985280007E-2</v>
      </c>
      <c r="T767" s="174">
        <f t="shared" si="253"/>
        <v>0</v>
      </c>
      <c r="U767" s="1850">
        <f t="shared" si="268"/>
        <v>0</v>
      </c>
      <c r="V767" s="1850">
        <f t="shared" si="269"/>
        <v>0</v>
      </c>
      <c r="W767" s="1850">
        <f t="shared" si="270"/>
        <v>0</v>
      </c>
      <c r="X767" s="1850">
        <f t="shared" si="271"/>
        <v>0</v>
      </c>
      <c r="Y767" s="1850">
        <f t="shared" si="274"/>
        <v>0</v>
      </c>
      <c r="Z767" s="1850">
        <f t="shared" si="251"/>
        <v>0</v>
      </c>
      <c r="AA767" s="2733"/>
    </row>
    <row r="768" spans="1:27" ht="18.75" x14ac:dyDescent="0.25">
      <c r="A768" s="2738"/>
      <c r="B768" s="1863">
        <v>2034</v>
      </c>
      <c r="C768" s="218">
        <f t="shared" si="261"/>
        <v>0</v>
      </c>
      <c r="D768" s="218">
        <f t="shared" si="272"/>
        <v>0</v>
      </c>
      <c r="E768" s="218">
        <f t="shared" si="273"/>
        <v>0</v>
      </c>
      <c r="F768" s="218">
        <f t="shared" si="262"/>
        <v>0</v>
      </c>
      <c r="G768" s="218">
        <f t="shared" si="263"/>
        <v>0</v>
      </c>
      <c r="H768" s="218">
        <f t="shared" si="264"/>
        <v>0</v>
      </c>
      <c r="I768" s="218">
        <f t="shared" si="265"/>
        <v>0</v>
      </c>
      <c r="J768" s="218">
        <f t="shared" si="266"/>
        <v>0</v>
      </c>
      <c r="K768" s="218">
        <f t="shared" si="267"/>
        <v>0</v>
      </c>
      <c r="L768" s="192">
        <f t="shared" si="252"/>
        <v>0</v>
      </c>
      <c r="M768" s="211">
        <v>79</v>
      </c>
      <c r="N768" s="211">
        <f>(29.53*1.02)*0.743*1.0824</f>
        <v>24.223685317920005</v>
      </c>
      <c r="O768" s="211">
        <f>(42.96*1.02)*0.743*1.0824</f>
        <v>35.24041724544</v>
      </c>
      <c r="P768" s="211">
        <f>(16.43*1.02)*0.743*1.0824</f>
        <v>13.477654919520001</v>
      </c>
      <c r="Q768" s="211">
        <f>(12.76*1.02)*0.743*1.0824</f>
        <v>10.467125792640001</v>
      </c>
      <c r="R768" s="211">
        <f>(1.27*1.02)*0.743*1.0824</f>
        <v>1.04179073328</v>
      </c>
      <c r="S768" s="211">
        <f>(0.0584*1.02)*0.743*1.0824</f>
        <v>4.7905967577600003E-2</v>
      </c>
      <c r="T768" s="174">
        <f t="shared" si="253"/>
        <v>0</v>
      </c>
      <c r="U768" s="1850">
        <f t="shared" si="268"/>
        <v>0</v>
      </c>
      <c r="V768" s="1850">
        <f t="shared" si="269"/>
        <v>0</v>
      </c>
      <c r="W768" s="1850">
        <f t="shared" si="270"/>
        <v>0</v>
      </c>
      <c r="X768" s="1850">
        <f t="shared" si="271"/>
        <v>0</v>
      </c>
      <c r="Y768" s="1850">
        <f t="shared" si="274"/>
        <v>0</v>
      </c>
      <c r="Z768" s="1850">
        <f t="shared" si="251"/>
        <v>0</v>
      </c>
      <c r="AA768" s="2733"/>
    </row>
    <row r="769" spans="1:27" ht="18.75" x14ac:dyDescent="0.25">
      <c r="A769" s="2738"/>
      <c r="B769" s="1863">
        <v>2035</v>
      </c>
      <c r="C769" s="218">
        <f t="shared" si="261"/>
        <v>0</v>
      </c>
      <c r="D769" s="218">
        <f t="shared" si="272"/>
        <v>0</v>
      </c>
      <c r="E769" s="218">
        <f t="shared" si="273"/>
        <v>0</v>
      </c>
      <c r="F769" s="218">
        <f t="shared" si="262"/>
        <v>0</v>
      </c>
      <c r="G769" s="218">
        <f t="shared" si="263"/>
        <v>0</v>
      </c>
      <c r="H769" s="218">
        <f t="shared" si="264"/>
        <v>0</v>
      </c>
      <c r="I769" s="218">
        <f t="shared" si="265"/>
        <v>0</v>
      </c>
      <c r="J769" s="218">
        <f t="shared" si="266"/>
        <v>0</v>
      </c>
      <c r="K769" s="218">
        <f t="shared" si="267"/>
        <v>0</v>
      </c>
      <c r="L769" s="192">
        <f t="shared" si="252"/>
        <v>0</v>
      </c>
      <c r="M769" s="211">
        <v>80</v>
      </c>
      <c r="N769" s="211">
        <f>(29.53*1.02)*0.7284*1.0824</f>
        <v>23.747688271296006</v>
      </c>
      <c r="O769" s="211">
        <f>(42.96*1.02)*0.7284*1.0824</f>
        <v>34.547940675072006</v>
      </c>
      <c r="P769" s="211">
        <f>(16.43*1.02)*0.7284*1.0824</f>
        <v>13.212818093376002</v>
      </c>
      <c r="Q769" s="211">
        <f>(12.76*1.02)*0.7284*1.0824</f>
        <v>10.261446066432002</v>
      </c>
      <c r="R769" s="211">
        <f>(1.27*1.02)*0.7284*1.0824</f>
        <v>1.0213194752640002</v>
      </c>
      <c r="S769" s="211">
        <f>(0.0584*1.02)*0.7284*1.0824</f>
        <v>4.6964612090880008E-2</v>
      </c>
      <c r="T769" s="174">
        <f t="shared" si="253"/>
        <v>0</v>
      </c>
      <c r="U769" s="1850">
        <f t="shared" si="268"/>
        <v>0</v>
      </c>
      <c r="V769" s="1850">
        <f t="shared" si="269"/>
        <v>0</v>
      </c>
      <c r="W769" s="1850">
        <f t="shared" si="270"/>
        <v>0</v>
      </c>
      <c r="X769" s="1850">
        <f t="shared" si="271"/>
        <v>0</v>
      </c>
      <c r="Y769" s="1850">
        <f t="shared" si="274"/>
        <v>0</v>
      </c>
      <c r="Z769" s="1850">
        <f t="shared" si="251"/>
        <v>0</v>
      </c>
      <c r="AA769" s="2733"/>
    </row>
    <row r="770" spans="1:27" ht="18.75" x14ac:dyDescent="0.25">
      <c r="A770" s="2738"/>
      <c r="B770" s="1863">
        <v>2036</v>
      </c>
      <c r="C770" s="218">
        <f t="shared" si="261"/>
        <v>0</v>
      </c>
      <c r="D770" s="218">
        <f t="shared" si="272"/>
        <v>0</v>
      </c>
      <c r="E770" s="218">
        <f t="shared" si="273"/>
        <v>0</v>
      </c>
      <c r="F770" s="218">
        <f t="shared" si="262"/>
        <v>0</v>
      </c>
      <c r="G770" s="218">
        <f t="shared" si="263"/>
        <v>0</v>
      </c>
      <c r="H770" s="218">
        <f t="shared" si="264"/>
        <v>0</v>
      </c>
      <c r="I770" s="218">
        <f t="shared" si="265"/>
        <v>0</v>
      </c>
      <c r="J770" s="218">
        <f t="shared" si="266"/>
        <v>0</v>
      </c>
      <c r="K770" s="218">
        <f t="shared" si="267"/>
        <v>0</v>
      </c>
      <c r="L770" s="192">
        <f t="shared" si="252"/>
        <v>0</v>
      </c>
      <c r="M770" s="211">
        <v>81</v>
      </c>
      <c r="N770" s="211">
        <f>(29.53*1.02)*0.7142*1.0824</f>
        <v>23.284732239648001</v>
      </c>
      <c r="O770" s="211">
        <f>(42.96*1.02)*0.7142*1.0824</f>
        <v>33.874436065536003</v>
      </c>
      <c r="P770" s="211">
        <f>(16.43*1.02)*0.7142*1.0824</f>
        <v>12.955237070688</v>
      </c>
      <c r="Q770" s="211">
        <f>(12.76*1.02)*0.7142*1.0824</f>
        <v>10.061401401215999</v>
      </c>
      <c r="R770" s="211">
        <f>(1.27*1.02)*0.7142*1.0824</f>
        <v>1.001409073632</v>
      </c>
      <c r="S770" s="211">
        <f>(0.0584*1.02)*0.7142*1.0824</f>
        <v>4.6049047165439998E-2</v>
      </c>
      <c r="T770" s="174">
        <f t="shared" si="253"/>
        <v>0</v>
      </c>
      <c r="U770" s="1850">
        <f t="shared" si="268"/>
        <v>0</v>
      </c>
      <c r="V770" s="1850">
        <f t="shared" si="269"/>
        <v>0</v>
      </c>
      <c r="W770" s="1850">
        <f t="shared" si="270"/>
        <v>0</v>
      </c>
      <c r="X770" s="1850">
        <f t="shared" si="271"/>
        <v>0</v>
      </c>
      <c r="Y770" s="1850">
        <f t="shared" si="274"/>
        <v>0</v>
      </c>
      <c r="Z770" s="1850">
        <f t="shared" si="251"/>
        <v>0</v>
      </c>
      <c r="AA770" s="2733"/>
    </row>
    <row r="771" spans="1:27" ht="18.75" x14ac:dyDescent="0.25">
      <c r="A771" s="2738"/>
      <c r="B771" s="1863">
        <v>2037</v>
      </c>
      <c r="C771" s="218">
        <f t="shared" si="261"/>
        <v>0</v>
      </c>
      <c r="D771" s="218">
        <f t="shared" si="272"/>
        <v>0</v>
      </c>
      <c r="E771" s="218">
        <f t="shared" si="273"/>
        <v>0</v>
      </c>
      <c r="F771" s="218">
        <f t="shared" si="262"/>
        <v>0</v>
      </c>
      <c r="G771" s="218">
        <f t="shared" si="263"/>
        <v>0</v>
      </c>
      <c r="H771" s="218">
        <f t="shared" si="264"/>
        <v>0</v>
      </c>
      <c r="I771" s="218">
        <f t="shared" si="265"/>
        <v>0</v>
      </c>
      <c r="J771" s="218">
        <f t="shared" si="266"/>
        <v>0</v>
      </c>
      <c r="K771" s="218">
        <f t="shared" si="267"/>
        <v>0</v>
      </c>
      <c r="L771" s="192">
        <f t="shared" si="252"/>
        <v>0</v>
      </c>
      <c r="M771" s="211">
        <v>83</v>
      </c>
      <c r="N771" s="211">
        <f>(29.53*1.02)*0.7002*1.0824</f>
        <v>22.828296715488005</v>
      </c>
      <c r="O771" s="211">
        <f>(42.96*1.02)*0.7002*1.0824</f>
        <v>33.210417436416002</v>
      </c>
      <c r="P771" s="211">
        <f>(16.43*1.02)*0.7002*1.0824</f>
        <v>12.701283949728003</v>
      </c>
      <c r="Q771" s="211">
        <f>(12.76*1.02)*0.7002*1.0824</f>
        <v>9.8641742664960006</v>
      </c>
      <c r="R771" s="211">
        <f>(1.27*1.02)*0.7002*1.0824</f>
        <v>0.9817791001920001</v>
      </c>
      <c r="S771" s="211">
        <f>(0.0584*1.02)*0.7002*1.0824</f>
        <v>4.5146377520640005E-2</v>
      </c>
      <c r="T771" s="174">
        <f t="shared" si="253"/>
        <v>0</v>
      </c>
      <c r="U771" s="1850">
        <f t="shared" si="268"/>
        <v>0</v>
      </c>
      <c r="V771" s="1850">
        <f t="shared" si="269"/>
        <v>0</v>
      </c>
      <c r="W771" s="1850">
        <f t="shared" si="270"/>
        <v>0</v>
      </c>
      <c r="X771" s="1850">
        <f t="shared" si="271"/>
        <v>0</v>
      </c>
      <c r="Y771" s="1850">
        <f t="shared" si="274"/>
        <v>0</v>
      </c>
      <c r="Z771" s="1850">
        <f t="shared" si="251"/>
        <v>0</v>
      </c>
      <c r="AA771" s="2733"/>
    </row>
    <row r="772" spans="1:27" ht="18.75" x14ac:dyDescent="0.25">
      <c r="A772" s="2738"/>
      <c r="B772" s="1863">
        <v>2038</v>
      </c>
      <c r="C772" s="218">
        <f t="shared" si="261"/>
        <v>0</v>
      </c>
      <c r="D772" s="218">
        <f t="shared" si="272"/>
        <v>0</v>
      </c>
      <c r="E772" s="218">
        <f t="shared" si="273"/>
        <v>0</v>
      </c>
      <c r="F772" s="218">
        <f t="shared" si="262"/>
        <v>0</v>
      </c>
      <c r="G772" s="218">
        <f t="shared" si="263"/>
        <v>0</v>
      </c>
      <c r="H772" s="218">
        <f t="shared" si="264"/>
        <v>0</v>
      </c>
      <c r="I772" s="218">
        <f t="shared" si="265"/>
        <v>0</v>
      </c>
      <c r="J772" s="218">
        <f t="shared" si="266"/>
        <v>0</v>
      </c>
      <c r="K772" s="218">
        <f t="shared" si="267"/>
        <v>0</v>
      </c>
      <c r="L772" s="192">
        <f t="shared" si="252"/>
        <v>0</v>
      </c>
      <c r="M772" s="211">
        <v>84</v>
      </c>
      <c r="N772" s="211">
        <f>(29.53*1.02)*0.6864*1.0824</f>
        <v>22.378381698816003</v>
      </c>
      <c r="O772" s="211">
        <f>(42.96*1.02)*0.6864*1.0824</f>
        <v>32.555884787712003</v>
      </c>
      <c r="P772" s="211">
        <f>(16.43*1.02)*0.6864*1.0824</f>
        <v>12.450958730496001</v>
      </c>
      <c r="Q772" s="211">
        <f>(12.76*1.02)*0.6864*1.0824</f>
        <v>9.6697646622720015</v>
      </c>
      <c r="R772" s="211">
        <f>(1.27*1.02)*0.6864*1.0824</f>
        <v>0.96242955494400007</v>
      </c>
      <c r="S772" s="211">
        <f>(0.0584*1.02)*0.6864*1.0824</f>
        <v>4.4256603156480001E-2</v>
      </c>
      <c r="T772" s="174">
        <f t="shared" si="253"/>
        <v>0</v>
      </c>
      <c r="U772" s="1850">
        <f t="shared" si="268"/>
        <v>0</v>
      </c>
      <c r="V772" s="1850">
        <f t="shared" si="269"/>
        <v>0</v>
      </c>
      <c r="W772" s="1850">
        <f t="shared" si="270"/>
        <v>0</v>
      </c>
      <c r="X772" s="1850">
        <f t="shared" si="271"/>
        <v>0</v>
      </c>
      <c r="Y772" s="1850">
        <f t="shared" si="274"/>
        <v>0</v>
      </c>
      <c r="Z772" s="1850">
        <f t="shared" si="251"/>
        <v>0</v>
      </c>
      <c r="AA772" s="2733"/>
    </row>
    <row r="773" spans="1:27" ht="18.75" x14ac:dyDescent="0.25">
      <c r="A773" s="2738"/>
      <c r="B773" s="1863">
        <v>2039</v>
      </c>
      <c r="C773" s="218">
        <f t="shared" si="261"/>
        <v>0</v>
      </c>
      <c r="D773" s="218">
        <f t="shared" si="272"/>
        <v>0</v>
      </c>
      <c r="E773" s="218">
        <f t="shared" si="273"/>
        <v>0</v>
      </c>
      <c r="F773" s="218">
        <f t="shared" si="262"/>
        <v>0</v>
      </c>
      <c r="G773" s="218">
        <f t="shared" si="263"/>
        <v>0</v>
      </c>
      <c r="H773" s="218">
        <f t="shared" si="264"/>
        <v>0</v>
      </c>
      <c r="I773" s="218">
        <f t="shared" si="265"/>
        <v>0</v>
      </c>
      <c r="J773" s="218">
        <f t="shared" si="266"/>
        <v>0</v>
      </c>
      <c r="K773" s="218">
        <f t="shared" si="267"/>
        <v>0</v>
      </c>
      <c r="L773" s="192">
        <f t="shared" si="252"/>
        <v>0</v>
      </c>
      <c r="M773" s="211">
        <v>85</v>
      </c>
      <c r="N773" s="211">
        <f>(29.53*1.02)*0.673*1.0824</f>
        <v>21.941507697120006</v>
      </c>
      <c r="O773" s="211">
        <f>(42.96*1.02)*0.673*1.0824</f>
        <v>31.920324099840006</v>
      </c>
      <c r="P773" s="211">
        <f>(16.43*1.02)*0.673*1.0824</f>
        <v>12.207889314720003</v>
      </c>
      <c r="Q773" s="211">
        <f>(12.76*1.02)*0.673*1.0824</f>
        <v>9.4809901190400012</v>
      </c>
      <c r="R773" s="211">
        <f>(1.27*1.02)*0.673*1.0824</f>
        <v>0.9436408660800002</v>
      </c>
      <c r="S773" s="211">
        <f>(0.0584*1.02)*0.673*1.0824</f>
        <v>4.3392619353600011E-2</v>
      </c>
      <c r="T773" s="174">
        <f t="shared" si="253"/>
        <v>0</v>
      </c>
      <c r="U773" s="1850">
        <f t="shared" si="268"/>
        <v>0</v>
      </c>
      <c r="V773" s="1850">
        <f t="shared" si="269"/>
        <v>0</v>
      </c>
      <c r="W773" s="1850">
        <f t="shared" si="270"/>
        <v>0</v>
      </c>
      <c r="X773" s="1850">
        <f t="shared" si="271"/>
        <v>0</v>
      </c>
      <c r="Y773" s="1850">
        <f t="shared" si="274"/>
        <v>0</v>
      </c>
      <c r="Z773" s="1850">
        <f t="shared" si="251"/>
        <v>0</v>
      </c>
      <c r="AA773" s="2733"/>
    </row>
    <row r="774" spans="1:27" ht="18.75" x14ac:dyDescent="0.25">
      <c r="A774" s="2738"/>
      <c r="B774" s="1863">
        <v>2040</v>
      </c>
      <c r="C774" s="218">
        <f t="shared" si="261"/>
        <v>0</v>
      </c>
      <c r="D774" s="218">
        <f t="shared" si="272"/>
        <v>0</v>
      </c>
      <c r="E774" s="218">
        <f t="shared" si="273"/>
        <v>0</v>
      </c>
      <c r="F774" s="218">
        <f t="shared" si="262"/>
        <v>0</v>
      </c>
      <c r="G774" s="218">
        <f t="shared" si="263"/>
        <v>0</v>
      </c>
      <c r="H774" s="218">
        <f t="shared" si="264"/>
        <v>0</v>
      </c>
      <c r="I774" s="218">
        <f t="shared" si="265"/>
        <v>0</v>
      </c>
      <c r="J774" s="218">
        <f t="shared" si="266"/>
        <v>0</v>
      </c>
      <c r="K774" s="218">
        <f t="shared" si="267"/>
        <v>0</v>
      </c>
      <c r="L774" s="192">
        <f t="shared" si="252"/>
        <v>0</v>
      </c>
      <c r="M774" s="211">
        <v>86</v>
      </c>
      <c r="N774" s="211">
        <f>(29.53*1.02)*0.6598*1.0824</f>
        <v>21.511154202912003</v>
      </c>
      <c r="O774" s="211">
        <f>(42.96*1.02)*0.6598*1.0824</f>
        <v>31.294249392384003</v>
      </c>
      <c r="P774" s="211">
        <f>(16.43*1.02)*0.6598*1.0824</f>
        <v>11.968447800672001</v>
      </c>
      <c r="Q774" s="211">
        <f>(12.76*1.02)*0.6598*1.0824</f>
        <v>9.2950331063040004</v>
      </c>
      <c r="R774" s="211">
        <f>(1.27*1.02)*0.6598*1.0824</f>
        <v>0.92513260540800013</v>
      </c>
      <c r="S774" s="211">
        <f>(0.0584*1.02)*0.6598*1.0824</f>
        <v>4.254153083136001E-2</v>
      </c>
      <c r="T774" s="174">
        <f t="shared" si="253"/>
        <v>0</v>
      </c>
      <c r="U774" s="1850">
        <f t="shared" si="268"/>
        <v>0</v>
      </c>
      <c r="V774" s="1850">
        <f t="shared" si="269"/>
        <v>0</v>
      </c>
      <c r="W774" s="1850">
        <f t="shared" si="270"/>
        <v>0</v>
      </c>
      <c r="X774" s="1850">
        <f t="shared" si="271"/>
        <v>0</v>
      </c>
      <c r="Y774" s="1850">
        <f t="shared" si="274"/>
        <v>0</v>
      </c>
      <c r="Z774" s="1850">
        <f t="shared" si="251"/>
        <v>0</v>
      </c>
      <c r="AA774" s="2733"/>
    </row>
    <row r="775" spans="1:27" ht="18.75" x14ac:dyDescent="0.25">
      <c r="A775" s="2738"/>
      <c r="B775" s="1863">
        <v>2041</v>
      </c>
      <c r="C775" s="218">
        <f t="shared" si="261"/>
        <v>0</v>
      </c>
      <c r="D775" s="218">
        <f t="shared" si="272"/>
        <v>0</v>
      </c>
      <c r="E775" s="218">
        <f t="shared" si="273"/>
        <v>0</v>
      </c>
      <c r="F775" s="218">
        <f t="shared" si="262"/>
        <v>0</v>
      </c>
      <c r="G775" s="218">
        <f t="shared" si="263"/>
        <v>0</v>
      </c>
      <c r="H775" s="218">
        <f t="shared" si="264"/>
        <v>0</v>
      </c>
      <c r="I775" s="218">
        <f t="shared" si="265"/>
        <v>0</v>
      </c>
      <c r="J775" s="218">
        <f t="shared" si="266"/>
        <v>0</v>
      </c>
      <c r="K775" s="218">
        <f t="shared" si="267"/>
        <v>0</v>
      </c>
      <c r="L775" s="192">
        <f t="shared" si="252"/>
        <v>0</v>
      </c>
      <c r="M775" s="211">
        <v>87</v>
      </c>
      <c r="N775" s="211">
        <f>(29.53*1.02)*0.6468*1.0824</f>
        <v>21.087321216192002</v>
      </c>
      <c r="O775" s="211">
        <f>(42.96*1.02)*0.6468*1.0824</f>
        <v>30.677660665344007</v>
      </c>
      <c r="P775" s="211">
        <f>(16.43*1.02)*0.6468*1.0824</f>
        <v>11.732634188352002</v>
      </c>
      <c r="Q775" s="211">
        <f>(12.76*1.02)*0.6468*1.0824</f>
        <v>9.1118936240640007</v>
      </c>
      <c r="R775" s="211">
        <f>(1.27*1.02)*0.6468*1.0824</f>
        <v>0.9069047729280002</v>
      </c>
      <c r="S775" s="211">
        <f>(0.0584*1.02)*0.6468*1.0824</f>
        <v>4.1703337589760005E-2</v>
      </c>
      <c r="T775" s="174">
        <f t="shared" si="253"/>
        <v>0</v>
      </c>
      <c r="U775" s="1850">
        <f t="shared" si="268"/>
        <v>0</v>
      </c>
      <c r="V775" s="1850">
        <f t="shared" si="269"/>
        <v>0</v>
      </c>
      <c r="W775" s="1850">
        <f t="shared" si="270"/>
        <v>0</v>
      </c>
      <c r="X775" s="1850">
        <f t="shared" si="271"/>
        <v>0</v>
      </c>
      <c r="Y775" s="1850">
        <f t="shared" si="274"/>
        <v>0</v>
      </c>
      <c r="Z775" s="1850">
        <f t="shared" si="251"/>
        <v>0</v>
      </c>
      <c r="AA775" s="2733"/>
    </row>
    <row r="776" spans="1:27" ht="18.75" x14ac:dyDescent="0.25">
      <c r="A776" s="2738"/>
      <c r="B776" s="1863">
        <v>2042</v>
      </c>
      <c r="C776" s="218">
        <f t="shared" si="261"/>
        <v>0</v>
      </c>
      <c r="D776" s="218">
        <f t="shared" si="272"/>
        <v>0</v>
      </c>
      <c r="E776" s="218">
        <f t="shared" si="273"/>
        <v>0</v>
      </c>
      <c r="F776" s="218">
        <f t="shared" si="262"/>
        <v>0</v>
      </c>
      <c r="G776" s="218">
        <f t="shared" si="263"/>
        <v>0</v>
      </c>
      <c r="H776" s="218">
        <f t="shared" si="264"/>
        <v>0</v>
      </c>
      <c r="I776" s="218">
        <f t="shared" si="265"/>
        <v>0</v>
      </c>
      <c r="J776" s="218">
        <f t="shared" si="266"/>
        <v>0</v>
      </c>
      <c r="K776" s="218">
        <f t="shared" si="267"/>
        <v>0</v>
      </c>
      <c r="L776" s="192">
        <f t="shared" si="252"/>
        <v>0</v>
      </c>
      <c r="M776" s="211">
        <v>88</v>
      </c>
      <c r="N776" s="211">
        <f>(29.53*1.02)*0.6342*1.0824</f>
        <v>20.676529244448002</v>
      </c>
      <c r="O776" s="211">
        <f>(42.96*1.02)*0.6342*1.0824</f>
        <v>30.080043899136001</v>
      </c>
      <c r="P776" s="211">
        <f>(16.43*1.02)*0.6342*1.0824</f>
        <v>11.504076379488001</v>
      </c>
      <c r="Q776" s="211">
        <f>(12.76*1.02)*0.6342*1.0824</f>
        <v>8.9343892028159999</v>
      </c>
      <c r="R776" s="211">
        <f>(1.27*1.02)*0.6342*1.0824</f>
        <v>0.8892377968320001</v>
      </c>
      <c r="S776" s="211">
        <f>(0.0584*1.02)*0.6342*1.0824</f>
        <v>4.0890934909439999E-2</v>
      </c>
      <c r="T776" s="174">
        <f t="shared" si="253"/>
        <v>0</v>
      </c>
      <c r="U776" s="1850">
        <f t="shared" si="268"/>
        <v>0</v>
      </c>
      <c r="V776" s="1850">
        <f t="shared" si="269"/>
        <v>0</v>
      </c>
      <c r="W776" s="1850">
        <f t="shared" si="270"/>
        <v>0</v>
      </c>
      <c r="X776" s="1850">
        <f t="shared" si="271"/>
        <v>0</v>
      </c>
      <c r="Y776" s="1850">
        <f t="shared" si="274"/>
        <v>0</v>
      </c>
      <c r="Z776" s="1850">
        <f t="shared" si="251"/>
        <v>0</v>
      </c>
      <c r="AA776" s="2733"/>
    </row>
    <row r="777" spans="1:27" ht="18.75" x14ac:dyDescent="0.25">
      <c r="A777" s="2738"/>
      <c r="B777" s="1863">
        <v>2043</v>
      </c>
      <c r="C777" s="218">
        <f t="shared" si="261"/>
        <v>0</v>
      </c>
      <c r="D777" s="218">
        <f t="shared" si="272"/>
        <v>0</v>
      </c>
      <c r="E777" s="218">
        <f t="shared" si="273"/>
        <v>0</v>
      </c>
      <c r="F777" s="218">
        <f t="shared" si="262"/>
        <v>0</v>
      </c>
      <c r="G777" s="218">
        <f t="shared" si="263"/>
        <v>0</v>
      </c>
      <c r="H777" s="218">
        <f t="shared" si="264"/>
        <v>0</v>
      </c>
      <c r="I777" s="218">
        <f t="shared" si="265"/>
        <v>0</v>
      </c>
      <c r="J777" s="218">
        <f t="shared" si="266"/>
        <v>0</v>
      </c>
      <c r="K777" s="218">
        <f t="shared" si="267"/>
        <v>0</v>
      </c>
      <c r="L777" s="192">
        <f t="shared" si="252"/>
        <v>0</v>
      </c>
      <c r="M777" s="211">
        <v>89</v>
      </c>
      <c r="N777" s="211">
        <f>(29.53*1.02)*0.6217*1.0824</f>
        <v>20.268997526448004</v>
      </c>
      <c r="O777" s="211">
        <f>(42.96*1.02)*0.6217*1.0824</f>
        <v>29.487170123136003</v>
      </c>
      <c r="P777" s="211">
        <f>(16.43*1.02)*0.6217*1.0824</f>
        <v>11.277332521488001</v>
      </c>
      <c r="Q777" s="211">
        <f>(12.76*1.02)*0.6217*1.0824</f>
        <v>8.7582935468160006</v>
      </c>
      <c r="R777" s="211">
        <f>(1.27*1.02)*0.6217*1.0824</f>
        <v>0.87171103483200019</v>
      </c>
      <c r="S777" s="211">
        <f>(0.0584*1.02)*0.6217*1.0824</f>
        <v>4.0084979869440006E-2</v>
      </c>
      <c r="T777" s="174">
        <f t="shared" si="253"/>
        <v>0</v>
      </c>
      <c r="U777" s="1850">
        <f t="shared" si="268"/>
        <v>0</v>
      </c>
      <c r="V777" s="1850">
        <f t="shared" si="269"/>
        <v>0</v>
      </c>
      <c r="W777" s="1850">
        <f t="shared" si="270"/>
        <v>0</v>
      </c>
      <c r="X777" s="1850">
        <f t="shared" si="271"/>
        <v>0</v>
      </c>
      <c r="Y777" s="1850">
        <f t="shared" si="274"/>
        <v>0</v>
      </c>
      <c r="Z777" s="1850">
        <f t="shared" si="251"/>
        <v>0</v>
      </c>
      <c r="AA777" s="2733"/>
    </row>
    <row r="778" spans="1:27" ht="18.75" x14ac:dyDescent="0.25">
      <c r="A778" s="2738"/>
      <c r="B778" s="1863">
        <v>2044</v>
      </c>
      <c r="C778" s="218">
        <f t="shared" si="261"/>
        <v>0</v>
      </c>
      <c r="D778" s="218">
        <f t="shared" si="272"/>
        <v>0</v>
      </c>
      <c r="E778" s="218">
        <f t="shared" si="273"/>
        <v>0</v>
      </c>
      <c r="F778" s="218">
        <f t="shared" si="262"/>
        <v>0</v>
      </c>
      <c r="G778" s="218">
        <f t="shared" si="263"/>
        <v>0</v>
      </c>
      <c r="H778" s="218">
        <f t="shared" si="264"/>
        <v>0</v>
      </c>
      <c r="I778" s="218">
        <f t="shared" si="265"/>
        <v>0</v>
      </c>
      <c r="J778" s="218">
        <f t="shared" si="266"/>
        <v>0</v>
      </c>
      <c r="K778" s="218">
        <f t="shared" si="267"/>
        <v>0</v>
      </c>
      <c r="L778" s="192">
        <f t="shared" si="252"/>
        <v>0</v>
      </c>
      <c r="M778" s="211">
        <v>90</v>
      </c>
      <c r="N778" s="211">
        <f>(29.53*1.02)*0.6095*1.0824</f>
        <v>19.871246569680004</v>
      </c>
      <c r="O778" s="211">
        <f>(42.96*1.02)*0.6095*1.0824</f>
        <v>28.908525317760002</v>
      </c>
      <c r="P778" s="211">
        <f>(16.43*1.02)*0.6095*1.0824</f>
        <v>11.056030516080002</v>
      </c>
      <c r="Q778" s="211">
        <f>(12.76*1.02)*0.6095*1.0824</f>
        <v>8.5864241865600004</v>
      </c>
      <c r="R778" s="211">
        <f>(1.27*1.02)*0.6095*1.0824</f>
        <v>0.85460491512000014</v>
      </c>
      <c r="S778" s="211">
        <f>(0.0584*1.02)*0.6095*1.0824</f>
        <v>3.9298367750400007E-2</v>
      </c>
      <c r="T778" s="174">
        <f t="shared" si="253"/>
        <v>0</v>
      </c>
      <c r="U778" s="1850">
        <f t="shared" si="268"/>
        <v>0</v>
      </c>
      <c r="V778" s="1850">
        <f t="shared" si="269"/>
        <v>0</v>
      </c>
      <c r="W778" s="1850">
        <f t="shared" si="270"/>
        <v>0</v>
      </c>
      <c r="X778" s="1850">
        <f t="shared" si="271"/>
        <v>0</v>
      </c>
      <c r="Y778" s="1850">
        <f t="shared" si="274"/>
        <v>0</v>
      </c>
      <c r="Z778" s="1850">
        <f t="shared" si="251"/>
        <v>0</v>
      </c>
      <c r="AA778" s="2733"/>
    </row>
    <row r="779" spans="1:27" ht="18.75" x14ac:dyDescent="0.25">
      <c r="A779" s="2738"/>
      <c r="B779" s="1863">
        <v>2045</v>
      </c>
      <c r="C779" s="218">
        <f t="shared" si="261"/>
        <v>0</v>
      </c>
      <c r="D779" s="218">
        <f t="shared" si="272"/>
        <v>0</v>
      </c>
      <c r="E779" s="218">
        <f t="shared" si="273"/>
        <v>0</v>
      </c>
      <c r="F779" s="218">
        <f t="shared" si="262"/>
        <v>0</v>
      </c>
      <c r="G779" s="218">
        <f t="shared" si="263"/>
        <v>0</v>
      </c>
      <c r="H779" s="218">
        <f t="shared" si="264"/>
        <v>0</v>
      </c>
      <c r="I779" s="218">
        <f t="shared" si="265"/>
        <v>0</v>
      </c>
      <c r="J779" s="218">
        <f t="shared" si="266"/>
        <v>0</v>
      </c>
      <c r="K779" s="218">
        <f t="shared" si="267"/>
        <v>0</v>
      </c>
      <c r="L779" s="192">
        <f t="shared" si="252"/>
        <v>0</v>
      </c>
      <c r="M779" s="211">
        <v>92</v>
      </c>
      <c r="N779" s="211">
        <f>(29.53*1.02)*0.5976*1.0824</f>
        <v>19.483276374144001</v>
      </c>
      <c r="O779" s="211">
        <f>(42.96*1.02)*0.5976*1.0824</f>
        <v>28.344109483008001</v>
      </c>
      <c r="P779" s="211">
        <f>(16.43*1.02)*0.5976*1.0824</f>
        <v>10.840170363264003</v>
      </c>
      <c r="Q779" s="211">
        <f>(12.76*1.02)*0.5976*1.0824</f>
        <v>8.4187811220480011</v>
      </c>
      <c r="R779" s="211">
        <f>(1.27*1.02)*0.5976*1.0824</f>
        <v>0.83791943769600008</v>
      </c>
      <c r="S779" s="211">
        <f>(0.0584*1.02)*0.5976*1.0824</f>
        <v>3.8531098552320009E-2</v>
      </c>
      <c r="T779" s="174">
        <f t="shared" si="253"/>
        <v>0</v>
      </c>
      <c r="U779" s="1850">
        <f t="shared" si="268"/>
        <v>0</v>
      </c>
      <c r="V779" s="1850">
        <f t="shared" si="269"/>
        <v>0</v>
      </c>
      <c r="W779" s="1850">
        <f t="shared" si="270"/>
        <v>0</v>
      </c>
      <c r="X779" s="1850">
        <f t="shared" si="271"/>
        <v>0</v>
      </c>
      <c r="Y779" s="1850">
        <f t="shared" si="274"/>
        <v>0</v>
      </c>
      <c r="Z779" s="1850">
        <f t="shared" ref="Z779:Z803" si="275">S779*K779</f>
        <v>0</v>
      </c>
      <c r="AA779" s="2733"/>
    </row>
    <row r="780" spans="1:27" ht="18.75" x14ac:dyDescent="0.25">
      <c r="A780" s="2738"/>
      <c r="B780" s="1863">
        <v>2046</v>
      </c>
      <c r="C780" s="218">
        <f t="shared" si="261"/>
        <v>0</v>
      </c>
      <c r="D780" s="218">
        <f t="shared" si="272"/>
        <v>0</v>
      </c>
      <c r="E780" s="218">
        <f t="shared" si="273"/>
        <v>0</v>
      </c>
      <c r="F780" s="218">
        <f t="shared" si="262"/>
        <v>0</v>
      </c>
      <c r="G780" s="218">
        <f t="shared" si="263"/>
        <v>0</v>
      </c>
      <c r="H780" s="218">
        <f t="shared" si="264"/>
        <v>0</v>
      </c>
      <c r="I780" s="218">
        <f t="shared" si="265"/>
        <v>0</v>
      </c>
      <c r="J780" s="218">
        <f t="shared" si="266"/>
        <v>0</v>
      </c>
      <c r="K780" s="218">
        <f t="shared" si="267"/>
        <v>0</v>
      </c>
      <c r="L780" s="192">
        <f t="shared" ref="L780:L803" si="276">(C780/1000)+(D780/1000)+(E780/1000)</f>
        <v>0</v>
      </c>
      <c r="M780" s="211">
        <v>93</v>
      </c>
      <c r="N780" s="211">
        <f>(29.53*1.02)*0.5859*1.0824</f>
        <v>19.101826686096</v>
      </c>
      <c r="O780" s="211">
        <f>(42.96*1.02)*0.5859*1.0824</f>
        <v>27.789179628671999</v>
      </c>
      <c r="P780" s="211">
        <f>(16.43*1.02)*0.5859*1.0824</f>
        <v>10.627938112176002</v>
      </c>
      <c r="Q780" s="211">
        <f>(12.76*1.02)*0.5859*1.0824</f>
        <v>8.2539555880319995</v>
      </c>
      <c r="R780" s="211">
        <f>(1.27*1.02)*0.5859*1.0824</f>
        <v>0.82151438846400004</v>
      </c>
      <c r="S780" s="211">
        <f>(0.0584*1.02)*0.5859*1.0824</f>
        <v>3.777672463488E-2</v>
      </c>
      <c r="T780" s="174">
        <f t="shared" ref="T780:T803" si="277">L780*M780</f>
        <v>0</v>
      </c>
      <c r="U780" s="1850">
        <f t="shared" si="268"/>
        <v>0</v>
      </c>
      <c r="V780" s="1850">
        <f t="shared" si="269"/>
        <v>0</v>
      </c>
      <c r="W780" s="1850">
        <f t="shared" si="270"/>
        <v>0</v>
      </c>
      <c r="X780" s="1850">
        <f t="shared" si="271"/>
        <v>0</v>
      </c>
      <c r="Y780" s="1850">
        <f t="shared" si="274"/>
        <v>0</v>
      </c>
      <c r="Z780" s="1850">
        <f t="shared" si="275"/>
        <v>0</v>
      </c>
      <c r="AA780" s="2733"/>
    </row>
    <row r="781" spans="1:27" ht="18.75" x14ac:dyDescent="0.25">
      <c r="A781" s="2738"/>
      <c r="B781" s="1863">
        <v>2047</v>
      </c>
      <c r="C781" s="218">
        <f t="shared" si="261"/>
        <v>0</v>
      </c>
      <c r="D781" s="218">
        <f t="shared" si="272"/>
        <v>0</v>
      </c>
      <c r="E781" s="218">
        <f t="shared" si="273"/>
        <v>0</v>
      </c>
      <c r="F781" s="218">
        <f t="shared" si="262"/>
        <v>0</v>
      </c>
      <c r="G781" s="218">
        <f t="shared" si="263"/>
        <v>0</v>
      </c>
      <c r="H781" s="218">
        <f t="shared" si="264"/>
        <v>0</v>
      </c>
      <c r="I781" s="218">
        <f t="shared" si="265"/>
        <v>0</v>
      </c>
      <c r="J781" s="218">
        <f t="shared" si="266"/>
        <v>0</v>
      </c>
      <c r="K781" s="218">
        <f t="shared" si="267"/>
        <v>0</v>
      </c>
      <c r="L781" s="192">
        <f t="shared" si="276"/>
        <v>0</v>
      </c>
      <c r="M781" s="211">
        <v>94</v>
      </c>
      <c r="N781" s="211">
        <f>(29.53*1.02)*0.5744*1.0824</f>
        <v>18.726897505536005</v>
      </c>
      <c r="O781" s="211">
        <f>(42.96*1.02)*0.5744*1.0824</f>
        <v>27.243735754752002</v>
      </c>
      <c r="P781" s="211">
        <f>(16.43*1.02)*0.5744*1.0824</f>
        <v>10.419333762816001</v>
      </c>
      <c r="Q781" s="211">
        <f>(12.76*1.02)*0.5744*1.0824</f>
        <v>8.0919475845120008</v>
      </c>
      <c r="R781" s="211">
        <f>(1.27*1.02)*0.5744*1.0824</f>
        <v>0.80538976742400015</v>
      </c>
      <c r="S781" s="211">
        <f>(0.0584*1.02)*0.5744*1.0824</f>
        <v>3.7035245998080002E-2</v>
      </c>
      <c r="T781" s="174">
        <f t="shared" si="277"/>
        <v>0</v>
      </c>
      <c r="U781" s="1850">
        <f t="shared" si="268"/>
        <v>0</v>
      </c>
      <c r="V781" s="1850">
        <f t="shared" si="269"/>
        <v>0</v>
      </c>
      <c r="W781" s="1850">
        <f t="shared" si="270"/>
        <v>0</v>
      </c>
      <c r="X781" s="1850">
        <f t="shared" si="271"/>
        <v>0</v>
      </c>
      <c r="Y781" s="1850">
        <f t="shared" si="274"/>
        <v>0</v>
      </c>
      <c r="Z781" s="1850">
        <f t="shared" si="275"/>
        <v>0</v>
      </c>
      <c r="AA781" s="2733"/>
    </row>
    <row r="782" spans="1:27" ht="18.75" x14ac:dyDescent="0.25">
      <c r="A782" s="2738"/>
      <c r="B782" s="1863">
        <v>2048</v>
      </c>
      <c r="C782" s="218">
        <f t="shared" si="261"/>
        <v>0</v>
      </c>
      <c r="D782" s="218">
        <f t="shared" si="272"/>
        <v>0</v>
      </c>
      <c r="E782" s="218">
        <f t="shared" si="273"/>
        <v>0</v>
      </c>
      <c r="F782" s="218">
        <f t="shared" si="262"/>
        <v>0</v>
      </c>
      <c r="G782" s="218">
        <f t="shared" si="263"/>
        <v>0</v>
      </c>
      <c r="H782" s="218">
        <f t="shared" si="264"/>
        <v>0</v>
      </c>
      <c r="I782" s="218">
        <f t="shared" si="265"/>
        <v>0</v>
      </c>
      <c r="J782" s="218">
        <f t="shared" si="266"/>
        <v>0</v>
      </c>
      <c r="K782" s="218">
        <f t="shared" si="267"/>
        <v>0</v>
      </c>
      <c r="L782" s="192">
        <f t="shared" si="276"/>
        <v>0</v>
      </c>
      <c r="M782" s="211">
        <v>95</v>
      </c>
      <c r="N782" s="211">
        <f>(29.53*1.02)*0.5631*1.0824</f>
        <v>18.358488832464005</v>
      </c>
      <c r="O782" s="211">
        <f>(42.96*1.02)*0.5631*1.0824</f>
        <v>26.707777861248005</v>
      </c>
      <c r="P782" s="211">
        <f>(16.43*1.02)*0.5631*1.0824</f>
        <v>10.214357315184001</v>
      </c>
      <c r="Q782" s="211">
        <f>(12.76*1.02)*0.5631*1.0824</f>
        <v>7.9327571114880007</v>
      </c>
      <c r="R782" s="211">
        <f>(1.27*1.02)*0.5631*1.0824</f>
        <v>0.78954557457600016</v>
      </c>
      <c r="S782" s="211">
        <f>(0.0584*1.02)*0.5631*1.0824</f>
        <v>3.6306662641920007E-2</v>
      </c>
      <c r="T782" s="174">
        <f t="shared" si="277"/>
        <v>0</v>
      </c>
      <c r="U782" s="1850">
        <f t="shared" si="268"/>
        <v>0</v>
      </c>
      <c r="V782" s="1850">
        <f t="shared" si="269"/>
        <v>0</v>
      </c>
      <c r="W782" s="1850">
        <f t="shared" si="270"/>
        <v>0</v>
      </c>
      <c r="X782" s="1850">
        <f t="shared" si="271"/>
        <v>0</v>
      </c>
      <c r="Y782" s="1850">
        <f t="shared" si="274"/>
        <v>0</v>
      </c>
      <c r="Z782" s="1850">
        <f t="shared" si="275"/>
        <v>0</v>
      </c>
      <c r="AA782" s="2733"/>
    </row>
    <row r="783" spans="1:27" ht="18.75" x14ac:dyDescent="0.25">
      <c r="A783" s="2738"/>
      <c r="B783" s="1863">
        <v>2049</v>
      </c>
      <c r="C783" s="218">
        <f t="shared" si="261"/>
        <v>0</v>
      </c>
      <c r="D783" s="218">
        <f t="shared" si="272"/>
        <v>0</v>
      </c>
      <c r="E783" s="218">
        <f t="shared" si="273"/>
        <v>0</v>
      </c>
      <c r="F783" s="218">
        <f t="shared" si="262"/>
        <v>0</v>
      </c>
      <c r="G783" s="218">
        <f t="shared" si="263"/>
        <v>0</v>
      </c>
      <c r="H783" s="218">
        <f t="shared" si="264"/>
        <v>0</v>
      </c>
      <c r="I783" s="218">
        <f t="shared" si="265"/>
        <v>0</v>
      </c>
      <c r="J783" s="218">
        <f t="shared" si="266"/>
        <v>0</v>
      </c>
      <c r="K783" s="218">
        <f t="shared" si="267"/>
        <v>0</v>
      </c>
      <c r="L783" s="192">
        <f t="shared" si="276"/>
        <v>0</v>
      </c>
      <c r="M783" s="211">
        <v>96</v>
      </c>
      <c r="N783" s="211">
        <f>(29.53*1.02)*0.5521*1.0824</f>
        <v>17.999860920624005</v>
      </c>
      <c r="O783" s="211">
        <f>(42.96*1.02)*0.5521*1.0824</f>
        <v>26.186048938368003</v>
      </c>
      <c r="P783" s="211">
        <f>(16.43*1.02)*0.5521*1.0824</f>
        <v>10.014822720144002</v>
      </c>
      <c r="Q783" s="211">
        <f>(12.76*1.02)*0.5521*1.0824</f>
        <v>7.7777929342080014</v>
      </c>
      <c r="R783" s="211">
        <f>(1.27*1.02)*0.5521*1.0824</f>
        <v>0.77412202401600017</v>
      </c>
      <c r="S783" s="211">
        <f>(0.0584*1.02)*0.5521*1.0824</f>
        <v>3.5597422206719999E-2</v>
      </c>
      <c r="T783" s="174">
        <f t="shared" si="277"/>
        <v>0</v>
      </c>
      <c r="U783" s="1850">
        <f t="shared" si="268"/>
        <v>0</v>
      </c>
      <c r="V783" s="1850">
        <f t="shared" si="269"/>
        <v>0</v>
      </c>
      <c r="W783" s="1850">
        <f t="shared" si="270"/>
        <v>0</v>
      </c>
      <c r="X783" s="1850">
        <f t="shared" si="271"/>
        <v>0</v>
      </c>
      <c r="Y783" s="1850">
        <f t="shared" si="274"/>
        <v>0</v>
      </c>
      <c r="Z783" s="1850">
        <f t="shared" si="275"/>
        <v>0</v>
      </c>
      <c r="AA783" s="2733"/>
    </row>
    <row r="784" spans="1:27" ht="18.75" x14ac:dyDescent="0.25">
      <c r="A784" s="2738"/>
      <c r="B784" s="1863">
        <v>2050</v>
      </c>
      <c r="C784" s="218">
        <f t="shared" si="261"/>
        <v>0</v>
      </c>
      <c r="D784" s="218">
        <f t="shared" si="272"/>
        <v>0</v>
      </c>
      <c r="E784" s="218">
        <f t="shared" si="273"/>
        <v>0</v>
      </c>
      <c r="F784" s="218">
        <f t="shared" si="262"/>
        <v>0</v>
      </c>
      <c r="G784" s="218">
        <f t="shared" si="263"/>
        <v>0</v>
      </c>
      <c r="H784" s="218">
        <f t="shared" si="264"/>
        <v>0</v>
      </c>
      <c r="I784" s="218">
        <f t="shared" si="265"/>
        <v>0</v>
      </c>
      <c r="J784" s="218">
        <f t="shared" si="266"/>
        <v>0</v>
      </c>
      <c r="K784" s="218">
        <f t="shared" si="267"/>
        <v>0</v>
      </c>
      <c r="L784" s="192">
        <f t="shared" si="276"/>
        <v>0</v>
      </c>
      <c r="M784" s="211">
        <v>97</v>
      </c>
      <c r="N784" s="211">
        <f>(29.53*1.02)*0.5412*1.0824</f>
        <v>17.644493262528005</v>
      </c>
      <c r="O784" s="211">
        <f>(42.96*1.02)*0.5412*1.0824</f>
        <v>25.669063005696003</v>
      </c>
      <c r="P784" s="211">
        <f>(16.43*1.02)*0.5412*1.0824</f>
        <v>9.8171020759680019</v>
      </c>
      <c r="Q784" s="211">
        <f>(12.76*1.02)*0.5412*1.0824</f>
        <v>7.624237522176001</v>
      </c>
      <c r="R784" s="211">
        <f>(1.27*1.02)*0.5412*1.0824</f>
        <v>0.75883868755200012</v>
      </c>
      <c r="S784" s="211">
        <f>(0.0584*1.02)*0.5412*1.0824</f>
        <v>3.4894629411840003E-2</v>
      </c>
      <c r="T784" s="174">
        <f t="shared" si="277"/>
        <v>0</v>
      </c>
      <c r="U784" s="1850">
        <f t="shared" si="268"/>
        <v>0</v>
      </c>
      <c r="V784" s="1850">
        <f t="shared" si="269"/>
        <v>0</v>
      </c>
      <c r="W784" s="1850">
        <f t="shared" si="270"/>
        <v>0</v>
      </c>
      <c r="X784" s="1850">
        <f t="shared" si="271"/>
        <v>0</v>
      </c>
      <c r="Y784" s="1850">
        <f t="shared" si="274"/>
        <v>0</v>
      </c>
      <c r="Z784" s="1850">
        <f t="shared" si="275"/>
        <v>0</v>
      </c>
      <c r="AA784" s="2733"/>
    </row>
    <row r="785" spans="1:27" ht="18.75" x14ac:dyDescent="0.25">
      <c r="A785" s="2738"/>
      <c r="B785" s="1863">
        <v>2051</v>
      </c>
      <c r="C785" s="218">
        <f t="shared" ref="C785:C803" si="278">$S$29</f>
        <v>0</v>
      </c>
      <c r="D785" s="218">
        <f t="shared" si="272"/>
        <v>0</v>
      </c>
      <c r="E785" s="218">
        <f t="shared" si="273"/>
        <v>0</v>
      </c>
      <c r="F785" s="218">
        <f t="shared" ref="F785:F803" si="279">$O$29</f>
        <v>0</v>
      </c>
      <c r="G785" s="218">
        <f t="shared" ref="G785:G803" si="280">$P$29</f>
        <v>0</v>
      </c>
      <c r="H785" s="218">
        <f t="shared" ref="H785:H803" si="281">$N$29</f>
        <v>0</v>
      </c>
      <c r="I785" s="218">
        <f t="shared" ref="I785:I803" si="282">$Q$29</f>
        <v>0</v>
      </c>
      <c r="J785" s="218">
        <f t="shared" ref="J785:J803" si="283">$L$29</f>
        <v>0</v>
      </c>
      <c r="K785" s="218">
        <f t="shared" ref="K785:K803" si="284">$M$29</f>
        <v>0</v>
      </c>
      <c r="L785" s="192">
        <f t="shared" si="276"/>
        <v>0</v>
      </c>
      <c r="M785" s="211">
        <v>97</v>
      </c>
      <c r="N785" s="211">
        <f>(29.53*1.02)*0.5306*1.0824</f>
        <v>17.298906365664003</v>
      </c>
      <c r="O785" s="211">
        <f>(42.96*1.02)*0.5306*1.0824</f>
        <v>25.166306043648003</v>
      </c>
      <c r="P785" s="211">
        <f>(16.43*1.02)*0.5306*1.0824</f>
        <v>9.624823284384</v>
      </c>
      <c r="Q785" s="211">
        <f>(12.76*1.02)*0.5306*1.0824</f>
        <v>7.4749084058879998</v>
      </c>
      <c r="R785" s="211">
        <f>(1.27*1.02)*0.5306*1.0824</f>
        <v>0.74397599337600007</v>
      </c>
      <c r="S785" s="211">
        <f>(0.0584*1.02)*0.5306*1.0824</f>
        <v>3.4211179537920001E-2</v>
      </c>
      <c r="T785" s="174">
        <f t="shared" si="277"/>
        <v>0</v>
      </c>
      <c r="U785" s="1850">
        <f t="shared" si="268"/>
        <v>0</v>
      </c>
      <c r="V785" s="1850">
        <f t="shared" si="269"/>
        <v>0</v>
      </c>
      <c r="W785" s="1850">
        <f t="shared" si="270"/>
        <v>0</v>
      </c>
      <c r="X785" s="1850">
        <f t="shared" si="271"/>
        <v>0</v>
      </c>
      <c r="Y785" s="1850">
        <f t="shared" si="274"/>
        <v>0</v>
      </c>
      <c r="Z785" s="1850">
        <f t="shared" si="275"/>
        <v>0</v>
      </c>
      <c r="AA785" s="2733"/>
    </row>
    <row r="786" spans="1:27" ht="18.75" x14ac:dyDescent="0.25">
      <c r="A786" s="2738"/>
      <c r="B786" s="1863">
        <v>2052</v>
      </c>
      <c r="C786" s="218">
        <f t="shared" si="278"/>
        <v>0</v>
      </c>
      <c r="D786" s="218">
        <f t="shared" si="272"/>
        <v>0</v>
      </c>
      <c r="E786" s="218">
        <f t="shared" si="273"/>
        <v>0</v>
      </c>
      <c r="F786" s="218">
        <f t="shared" si="279"/>
        <v>0</v>
      </c>
      <c r="G786" s="218">
        <f t="shared" si="280"/>
        <v>0</v>
      </c>
      <c r="H786" s="218">
        <f t="shared" si="281"/>
        <v>0</v>
      </c>
      <c r="I786" s="218">
        <f t="shared" si="282"/>
        <v>0</v>
      </c>
      <c r="J786" s="218">
        <f t="shared" si="283"/>
        <v>0</v>
      </c>
      <c r="K786" s="218">
        <f t="shared" si="284"/>
        <v>0</v>
      </c>
      <c r="L786" s="192">
        <f t="shared" si="276"/>
        <v>0</v>
      </c>
      <c r="M786" s="211">
        <v>97</v>
      </c>
      <c r="N786" s="211">
        <f>(29.53*1.02)*0.5202*1.0824</f>
        <v>16.959839976288002</v>
      </c>
      <c r="O786" s="211">
        <f>(42.96*1.02)*0.5202*1.0824</f>
        <v>24.673035062016002</v>
      </c>
      <c r="P786" s="211">
        <f>(16.43*1.02)*0.5202*1.0824</f>
        <v>9.4361723945280005</v>
      </c>
      <c r="Q786" s="211">
        <f>(12.76*1.02)*0.5202*1.0824</f>
        <v>7.3283968200960006</v>
      </c>
      <c r="R786" s="211">
        <f>(1.27*1.02)*0.5202*1.0824</f>
        <v>0.72939372739200004</v>
      </c>
      <c r="S786" s="211">
        <f>(0.0584*1.02)*0.5202*1.0824</f>
        <v>3.3540624944640003E-2</v>
      </c>
      <c r="T786" s="174">
        <f t="shared" si="277"/>
        <v>0</v>
      </c>
      <c r="U786" s="1850">
        <f t="shared" si="268"/>
        <v>0</v>
      </c>
      <c r="V786" s="1850">
        <f t="shared" si="269"/>
        <v>0</v>
      </c>
      <c r="W786" s="1850">
        <f t="shared" si="270"/>
        <v>0</v>
      </c>
      <c r="X786" s="1850">
        <f t="shared" si="271"/>
        <v>0</v>
      </c>
      <c r="Y786" s="1850">
        <f t="shared" si="274"/>
        <v>0</v>
      </c>
      <c r="Z786" s="1850">
        <f t="shared" si="275"/>
        <v>0</v>
      </c>
      <c r="AA786" s="2733"/>
    </row>
    <row r="787" spans="1:27" ht="18.75" x14ac:dyDescent="0.25">
      <c r="A787" s="2738"/>
      <c r="B787" s="1863">
        <v>2053</v>
      </c>
      <c r="C787" s="218">
        <f t="shared" si="278"/>
        <v>0</v>
      </c>
      <c r="D787" s="218">
        <f t="shared" si="272"/>
        <v>0</v>
      </c>
      <c r="E787" s="218">
        <f t="shared" si="273"/>
        <v>0</v>
      </c>
      <c r="F787" s="218">
        <f t="shared" si="279"/>
        <v>0</v>
      </c>
      <c r="G787" s="218">
        <f t="shared" si="280"/>
        <v>0</v>
      </c>
      <c r="H787" s="218">
        <f t="shared" si="281"/>
        <v>0</v>
      </c>
      <c r="I787" s="218">
        <f t="shared" si="282"/>
        <v>0</v>
      </c>
      <c r="J787" s="218">
        <f t="shared" si="283"/>
        <v>0</v>
      </c>
      <c r="K787" s="218">
        <f t="shared" si="284"/>
        <v>0</v>
      </c>
      <c r="L787" s="192">
        <f t="shared" si="276"/>
        <v>0</v>
      </c>
      <c r="M787" s="211">
        <v>97</v>
      </c>
      <c r="N787" s="211">
        <f>(29.53*1.02)*0.51*1</f>
        <v>15.361506000000002</v>
      </c>
      <c r="O787" s="211">
        <f>(42.96*1.02)*0.51*1.0824</f>
        <v>24.189250060800003</v>
      </c>
      <c r="P787" s="211">
        <f>(16.43*1.02)*0.51*1.0824</f>
        <v>9.2511494064000015</v>
      </c>
      <c r="Q787" s="211">
        <f>(12.76*1.02)*0.51*1.0824</f>
        <v>7.1847027647999999</v>
      </c>
      <c r="R787" s="211">
        <f>(1.27*1.02)*0.51*1.0824</f>
        <v>0.71509188960000014</v>
      </c>
      <c r="S787" s="211">
        <f>(0.0584*1.02)*0.51*1.0824</f>
        <v>3.2882965632000001E-2</v>
      </c>
      <c r="T787" s="174">
        <f t="shared" si="277"/>
        <v>0</v>
      </c>
      <c r="U787" s="1850">
        <f t="shared" si="268"/>
        <v>0</v>
      </c>
      <c r="V787" s="1850">
        <f t="shared" si="269"/>
        <v>0</v>
      </c>
      <c r="W787" s="1850">
        <f t="shared" si="270"/>
        <v>0</v>
      </c>
      <c r="X787" s="1850">
        <f t="shared" si="271"/>
        <v>0</v>
      </c>
      <c r="Y787" s="1850">
        <f t="shared" si="274"/>
        <v>0</v>
      </c>
      <c r="Z787" s="1850">
        <f t="shared" si="275"/>
        <v>0</v>
      </c>
      <c r="AA787" s="2733"/>
    </row>
    <row r="788" spans="1:27" ht="18.75" x14ac:dyDescent="0.25">
      <c r="A788" s="2738"/>
      <c r="B788" s="1863">
        <v>2054</v>
      </c>
      <c r="C788" s="218">
        <f t="shared" si="278"/>
        <v>0</v>
      </c>
      <c r="D788" s="218">
        <f t="shared" si="272"/>
        <v>0</v>
      </c>
      <c r="E788" s="218">
        <f t="shared" si="273"/>
        <v>0</v>
      </c>
      <c r="F788" s="218">
        <f t="shared" si="279"/>
        <v>0</v>
      </c>
      <c r="G788" s="218">
        <f t="shared" si="280"/>
        <v>0</v>
      </c>
      <c r="H788" s="218">
        <f t="shared" si="281"/>
        <v>0</v>
      </c>
      <c r="I788" s="218">
        <f t="shared" si="282"/>
        <v>0</v>
      </c>
      <c r="J788" s="218">
        <f t="shared" si="283"/>
        <v>0</v>
      </c>
      <c r="K788" s="218">
        <f t="shared" si="284"/>
        <v>0</v>
      </c>
      <c r="L788" s="192">
        <f t="shared" si="276"/>
        <v>0</v>
      </c>
      <c r="M788" s="211">
        <v>97</v>
      </c>
      <c r="N788" s="211">
        <f>(29.53*1.02)*0.5*1.0824</f>
        <v>16.301268720000003</v>
      </c>
      <c r="O788" s="211">
        <f>(42.96*1.02)*0.5*1.0824</f>
        <v>23.714951040000003</v>
      </c>
      <c r="P788" s="211">
        <f>(16.43*1.02)*0.5*1.0824</f>
        <v>9.0697543200000013</v>
      </c>
      <c r="Q788" s="211">
        <f>(12.76*1.02)*0.5*1.0824</f>
        <v>7.0438262400000005</v>
      </c>
      <c r="R788" s="211">
        <f>(1.27*1.02)*0.5*1.0824</f>
        <v>0.70107048000000005</v>
      </c>
      <c r="S788" s="211">
        <f>(0.0584*1.02)*0.5*1.0824</f>
        <v>3.2238201600000002E-2</v>
      </c>
      <c r="T788" s="174">
        <f t="shared" si="277"/>
        <v>0</v>
      </c>
      <c r="U788" s="1850">
        <f t="shared" si="268"/>
        <v>0</v>
      </c>
      <c r="V788" s="1850">
        <f t="shared" si="269"/>
        <v>0</v>
      </c>
      <c r="W788" s="1850">
        <f t="shared" si="270"/>
        <v>0</v>
      </c>
      <c r="X788" s="1850">
        <f t="shared" si="271"/>
        <v>0</v>
      </c>
      <c r="Y788" s="1850">
        <f t="shared" si="274"/>
        <v>0</v>
      </c>
      <c r="Z788" s="1850">
        <f t="shared" si="275"/>
        <v>0</v>
      </c>
      <c r="AA788" s="2733"/>
    </row>
    <row r="789" spans="1:27" ht="18.75" x14ac:dyDescent="0.25">
      <c r="A789" s="2738"/>
      <c r="B789" s="1863">
        <v>2055</v>
      </c>
      <c r="C789" s="218">
        <f t="shared" si="278"/>
        <v>0</v>
      </c>
      <c r="D789" s="218">
        <f t="shared" si="272"/>
        <v>0</v>
      </c>
      <c r="E789" s="218">
        <f t="shared" si="273"/>
        <v>0</v>
      </c>
      <c r="F789" s="218">
        <f t="shared" si="279"/>
        <v>0</v>
      </c>
      <c r="G789" s="218">
        <f t="shared" si="280"/>
        <v>0</v>
      </c>
      <c r="H789" s="218">
        <f t="shared" si="281"/>
        <v>0</v>
      </c>
      <c r="I789" s="218">
        <f t="shared" si="282"/>
        <v>0</v>
      </c>
      <c r="J789" s="218">
        <f t="shared" si="283"/>
        <v>0</v>
      </c>
      <c r="K789" s="218">
        <f t="shared" si="284"/>
        <v>0</v>
      </c>
      <c r="L789" s="192">
        <f t="shared" si="276"/>
        <v>0</v>
      </c>
      <c r="M789" s="211">
        <v>97</v>
      </c>
      <c r="N789" s="211">
        <f>(29.53*1.02)*0.4902*1.0824</f>
        <v>15.981763853088003</v>
      </c>
      <c r="O789" s="211">
        <f>(42.96*1.02)*0.4902*1.0824</f>
        <v>23.250137999616001</v>
      </c>
      <c r="P789" s="211">
        <f>(16.43*1.02)*0.4902*1.0824</f>
        <v>8.8919871353280016</v>
      </c>
      <c r="Q789" s="211">
        <f>(12.76*1.02)*0.4902*1.0824</f>
        <v>6.9057672456960004</v>
      </c>
      <c r="R789" s="211">
        <f>(1.27*1.02)*0.4902*1.0824</f>
        <v>0.6873294985920001</v>
      </c>
      <c r="S789" s="211">
        <f>(0.0584*1.02)*0.4902*1.0824</f>
        <v>3.1606332848640006E-2</v>
      </c>
      <c r="T789" s="174">
        <f t="shared" si="277"/>
        <v>0</v>
      </c>
      <c r="U789" s="1850">
        <f t="shared" si="268"/>
        <v>0</v>
      </c>
      <c r="V789" s="1850">
        <f t="shared" si="269"/>
        <v>0</v>
      </c>
      <c r="W789" s="1850">
        <f t="shared" si="270"/>
        <v>0</v>
      </c>
      <c r="X789" s="1850">
        <f t="shared" si="271"/>
        <v>0</v>
      </c>
      <c r="Y789" s="1850">
        <f t="shared" si="274"/>
        <v>0</v>
      </c>
      <c r="Z789" s="1850">
        <f t="shared" si="275"/>
        <v>0</v>
      </c>
      <c r="AA789" s="2733"/>
    </row>
    <row r="790" spans="1:27" ht="18.75" x14ac:dyDescent="0.25">
      <c r="A790" s="2738"/>
      <c r="B790" s="1863">
        <v>2056</v>
      </c>
      <c r="C790" s="218">
        <f t="shared" si="278"/>
        <v>0</v>
      </c>
      <c r="D790" s="218">
        <f t="shared" si="272"/>
        <v>0</v>
      </c>
      <c r="E790" s="218">
        <f t="shared" si="273"/>
        <v>0</v>
      </c>
      <c r="F790" s="218">
        <f t="shared" si="279"/>
        <v>0</v>
      </c>
      <c r="G790" s="218">
        <f t="shared" si="280"/>
        <v>0</v>
      </c>
      <c r="H790" s="218">
        <f t="shared" si="281"/>
        <v>0</v>
      </c>
      <c r="I790" s="218">
        <f t="shared" si="282"/>
        <v>0</v>
      </c>
      <c r="J790" s="218">
        <f t="shared" si="283"/>
        <v>0</v>
      </c>
      <c r="K790" s="218">
        <f t="shared" si="284"/>
        <v>0</v>
      </c>
      <c r="L790" s="192">
        <f t="shared" si="276"/>
        <v>0</v>
      </c>
      <c r="M790" s="211">
        <v>97</v>
      </c>
      <c r="N790" s="211">
        <f>(29.53*1.02)*0.4806*1.0824</f>
        <v>15.668779493664003</v>
      </c>
      <c r="O790" s="211">
        <f>(42.96*1.02)*0.4806*1.0824</f>
        <v>22.794810939648006</v>
      </c>
      <c r="P790" s="211">
        <f>(16.43*1.02)*0.4806*1.0824</f>
        <v>8.7178478523840006</v>
      </c>
      <c r="Q790" s="211">
        <f>(12.76*1.02)*0.4806*1.0824</f>
        <v>6.7705257818880007</v>
      </c>
      <c r="R790" s="211">
        <f>(1.27*1.02)*0.4806*1.0824</f>
        <v>0.67386894537600017</v>
      </c>
      <c r="S790" s="211">
        <f>(0.0584*1.02)*0.4806*1.0824</f>
        <v>3.0987359377920003E-2</v>
      </c>
      <c r="T790" s="174">
        <f t="shared" si="277"/>
        <v>0</v>
      </c>
      <c r="U790" s="1850">
        <f t="shared" si="268"/>
        <v>0</v>
      </c>
      <c r="V790" s="1850">
        <f t="shared" si="269"/>
        <v>0</v>
      </c>
      <c r="W790" s="1850">
        <f t="shared" si="270"/>
        <v>0</v>
      </c>
      <c r="X790" s="1850">
        <f t="shared" si="271"/>
        <v>0</v>
      </c>
      <c r="Y790" s="1850">
        <f t="shared" si="274"/>
        <v>0</v>
      </c>
      <c r="Z790" s="1850">
        <f t="shared" si="275"/>
        <v>0</v>
      </c>
      <c r="AA790" s="2733"/>
    </row>
    <row r="791" spans="1:27" ht="18.75" x14ac:dyDescent="0.25">
      <c r="A791" s="2738"/>
      <c r="B791" s="1863">
        <v>2057</v>
      </c>
      <c r="C791" s="218">
        <f t="shared" si="278"/>
        <v>0</v>
      </c>
      <c r="D791" s="218">
        <f t="shared" si="272"/>
        <v>0</v>
      </c>
      <c r="E791" s="218">
        <f t="shared" si="273"/>
        <v>0</v>
      </c>
      <c r="F791" s="218">
        <f t="shared" si="279"/>
        <v>0</v>
      </c>
      <c r="G791" s="218">
        <f t="shared" si="280"/>
        <v>0</v>
      </c>
      <c r="H791" s="218">
        <f t="shared" si="281"/>
        <v>0</v>
      </c>
      <c r="I791" s="218">
        <f t="shared" si="282"/>
        <v>0</v>
      </c>
      <c r="J791" s="218">
        <f t="shared" si="283"/>
        <v>0</v>
      </c>
      <c r="K791" s="218">
        <f t="shared" si="284"/>
        <v>0</v>
      </c>
      <c r="L791" s="192">
        <f t="shared" si="276"/>
        <v>0</v>
      </c>
      <c r="M791" s="211">
        <v>97</v>
      </c>
      <c r="N791" s="211">
        <f>(29.53*1.02)*0.4712*1.0824</f>
        <v>15.362315641728001</v>
      </c>
      <c r="O791" s="211">
        <f>(42.96*1.02)*0.4712*1.0824</f>
        <v>22.348969860096002</v>
      </c>
      <c r="P791" s="211">
        <f>(16.43*1.02)*0.4712*1.0824</f>
        <v>8.547336471168002</v>
      </c>
      <c r="Q791" s="211">
        <f>(12.76*1.02)*0.4712*1.0824</f>
        <v>6.6381018485760004</v>
      </c>
      <c r="R791" s="211">
        <f>(1.27*1.02)*0.4712*1.0824</f>
        <v>0.66068882035200005</v>
      </c>
      <c r="S791" s="211">
        <f>(0.0584*1.02)*0.4712*1.0824</f>
        <v>3.038128118784E-2</v>
      </c>
      <c r="T791" s="174">
        <f t="shared" si="277"/>
        <v>0</v>
      </c>
      <c r="U791" s="1850">
        <f t="shared" si="268"/>
        <v>0</v>
      </c>
      <c r="V791" s="1850">
        <f t="shared" si="269"/>
        <v>0</v>
      </c>
      <c r="W791" s="1850">
        <f t="shared" si="270"/>
        <v>0</v>
      </c>
      <c r="X791" s="1850">
        <f t="shared" si="271"/>
        <v>0</v>
      </c>
      <c r="Y791" s="1850">
        <f t="shared" si="274"/>
        <v>0</v>
      </c>
      <c r="Z791" s="1850">
        <f t="shared" si="275"/>
        <v>0</v>
      </c>
      <c r="AA791" s="2733"/>
    </row>
    <row r="792" spans="1:27" ht="18.75" x14ac:dyDescent="0.25">
      <c r="A792" s="2738"/>
      <c r="B792" s="1863">
        <v>2058</v>
      </c>
      <c r="C792" s="218">
        <f t="shared" si="278"/>
        <v>0</v>
      </c>
      <c r="D792" s="218">
        <f t="shared" si="272"/>
        <v>0</v>
      </c>
      <c r="E792" s="218">
        <f t="shared" si="273"/>
        <v>0</v>
      </c>
      <c r="F792" s="218">
        <f t="shared" si="279"/>
        <v>0</v>
      </c>
      <c r="G792" s="218">
        <f t="shared" si="280"/>
        <v>0</v>
      </c>
      <c r="H792" s="218">
        <f t="shared" si="281"/>
        <v>0</v>
      </c>
      <c r="I792" s="218">
        <f t="shared" si="282"/>
        <v>0</v>
      </c>
      <c r="J792" s="218">
        <f t="shared" si="283"/>
        <v>0</v>
      </c>
      <c r="K792" s="218">
        <f t="shared" si="284"/>
        <v>0</v>
      </c>
      <c r="L792" s="192">
        <f t="shared" si="276"/>
        <v>0</v>
      </c>
      <c r="M792" s="211">
        <v>97</v>
      </c>
      <c r="N792" s="211">
        <f>(29.53*1.02)*0.4619*1.0824</f>
        <v>15.059112043536</v>
      </c>
      <c r="O792" s="211">
        <f>(42.96*1.02)*0.4619*1.0824</f>
        <v>21.907871770752003</v>
      </c>
      <c r="P792" s="211">
        <f>(16.43*1.02)*0.4619*1.0824</f>
        <v>8.378639040816001</v>
      </c>
      <c r="Q792" s="211">
        <f>(12.76*1.02)*0.4619*1.0824</f>
        <v>6.5070866805119998</v>
      </c>
      <c r="R792" s="211">
        <f>(1.27*1.02)*0.4619*1.0824</f>
        <v>0.647648909424</v>
      </c>
      <c r="S792" s="211">
        <f>(0.0584*1.02)*0.4619*1.0824</f>
        <v>2.9781650638080002E-2</v>
      </c>
      <c r="T792" s="174">
        <f t="shared" si="277"/>
        <v>0</v>
      </c>
      <c r="U792" s="1850">
        <f t="shared" si="268"/>
        <v>0</v>
      </c>
      <c r="V792" s="1850">
        <f t="shared" si="269"/>
        <v>0</v>
      </c>
      <c r="W792" s="1850">
        <f t="shared" si="270"/>
        <v>0</v>
      </c>
      <c r="X792" s="1850">
        <f t="shared" si="271"/>
        <v>0</v>
      </c>
      <c r="Y792" s="1850">
        <f t="shared" si="274"/>
        <v>0</v>
      </c>
      <c r="Z792" s="1850">
        <f t="shared" si="275"/>
        <v>0</v>
      </c>
      <c r="AA792" s="2733"/>
    </row>
    <row r="793" spans="1:27" ht="18.75" x14ac:dyDescent="0.25">
      <c r="A793" s="2738"/>
      <c r="B793" s="1863">
        <v>2059</v>
      </c>
      <c r="C793" s="218">
        <f t="shared" si="278"/>
        <v>0</v>
      </c>
      <c r="D793" s="218">
        <f t="shared" si="272"/>
        <v>0</v>
      </c>
      <c r="E793" s="218">
        <f t="shared" si="273"/>
        <v>0</v>
      </c>
      <c r="F793" s="218">
        <f t="shared" si="279"/>
        <v>0</v>
      </c>
      <c r="G793" s="218">
        <f t="shared" si="280"/>
        <v>0</v>
      </c>
      <c r="H793" s="218">
        <f t="shared" si="281"/>
        <v>0</v>
      </c>
      <c r="I793" s="218">
        <f t="shared" si="282"/>
        <v>0</v>
      </c>
      <c r="J793" s="218">
        <f t="shared" si="283"/>
        <v>0</v>
      </c>
      <c r="K793" s="218">
        <f t="shared" si="284"/>
        <v>0</v>
      </c>
      <c r="L793" s="192">
        <f t="shared" si="276"/>
        <v>0</v>
      </c>
      <c r="M793" s="211">
        <v>97</v>
      </c>
      <c r="N793" s="211">
        <f>(29.53*1.02)*0.4529*1.0824</f>
        <v>14.765689206576004</v>
      </c>
      <c r="O793" s="211">
        <f>(42.96*1.02)*0.4529*1.0824</f>
        <v>21.481002652032004</v>
      </c>
      <c r="P793" s="211">
        <f>(16.43*1.02)*0.4529*1.0824</f>
        <v>8.2153834630560016</v>
      </c>
      <c r="Q793" s="211">
        <f>(12.76*1.02)*0.4529*1.0824</f>
        <v>6.380297808192001</v>
      </c>
      <c r="R793" s="211">
        <f>(1.27*1.02)*0.4529*1.0824</f>
        <v>0.63502964078400004</v>
      </c>
      <c r="S793" s="211">
        <f>(0.0584*1.02)*0.4529*1.0824</f>
        <v>2.9201363009280005E-2</v>
      </c>
      <c r="T793" s="174">
        <f t="shared" si="277"/>
        <v>0</v>
      </c>
      <c r="U793" s="1850">
        <f t="shared" si="268"/>
        <v>0</v>
      </c>
      <c r="V793" s="1850">
        <f t="shared" si="269"/>
        <v>0</v>
      </c>
      <c r="W793" s="1850">
        <f t="shared" si="270"/>
        <v>0</v>
      </c>
      <c r="X793" s="1850">
        <f t="shared" si="271"/>
        <v>0</v>
      </c>
      <c r="Y793" s="1850">
        <f t="shared" si="274"/>
        <v>0</v>
      </c>
      <c r="Z793" s="1850">
        <f t="shared" si="275"/>
        <v>0</v>
      </c>
      <c r="AA793" s="2733"/>
    </row>
    <row r="794" spans="1:27" ht="18.75" x14ac:dyDescent="0.25">
      <c r="A794" s="2738"/>
      <c r="B794" s="1863">
        <v>2060</v>
      </c>
      <c r="C794" s="218">
        <f t="shared" si="278"/>
        <v>0</v>
      </c>
      <c r="D794" s="218">
        <f t="shared" si="272"/>
        <v>0</v>
      </c>
      <c r="E794" s="218">
        <f t="shared" si="273"/>
        <v>0</v>
      </c>
      <c r="F794" s="218">
        <f t="shared" si="279"/>
        <v>0</v>
      </c>
      <c r="G794" s="218">
        <f t="shared" si="280"/>
        <v>0</v>
      </c>
      <c r="H794" s="218">
        <f t="shared" si="281"/>
        <v>0</v>
      </c>
      <c r="I794" s="218">
        <f t="shared" si="282"/>
        <v>0</v>
      </c>
      <c r="J794" s="218">
        <f t="shared" si="283"/>
        <v>0</v>
      </c>
      <c r="K794" s="218">
        <f t="shared" si="284"/>
        <v>0</v>
      </c>
      <c r="L794" s="192">
        <f t="shared" si="276"/>
        <v>0</v>
      </c>
      <c r="M794" s="211">
        <v>97</v>
      </c>
      <c r="N794" s="211">
        <f>(29.53*1.02)*0.444*1.0824</f>
        <v>14.475526623360002</v>
      </c>
      <c r="O794" s="211">
        <f>(42.96*1.02)*0.444*1.0824</f>
        <v>21.058876523520002</v>
      </c>
      <c r="P794" s="211">
        <f>(16.43*1.02)*0.444*1.0824</f>
        <v>8.0539418361599999</v>
      </c>
      <c r="Q794" s="211">
        <f>(12.76*1.02)*0.444*1.0824</f>
        <v>6.2549177011200001</v>
      </c>
      <c r="R794" s="211">
        <f>(1.27*1.02)*0.444*1.0824</f>
        <v>0.62255058624000004</v>
      </c>
      <c r="S794" s="211">
        <f>(0.0584*1.02)*0.444*1.0824</f>
        <v>2.8627523020800003E-2</v>
      </c>
      <c r="T794" s="174">
        <f t="shared" si="277"/>
        <v>0</v>
      </c>
      <c r="U794" s="1850">
        <f t="shared" si="268"/>
        <v>0</v>
      </c>
      <c r="V794" s="1850">
        <f t="shared" si="269"/>
        <v>0</v>
      </c>
      <c r="W794" s="1850">
        <f t="shared" si="270"/>
        <v>0</v>
      </c>
      <c r="X794" s="1850">
        <f t="shared" si="271"/>
        <v>0</v>
      </c>
      <c r="Y794" s="1850">
        <f t="shared" si="274"/>
        <v>0</v>
      </c>
      <c r="Z794" s="1850">
        <f t="shared" si="275"/>
        <v>0</v>
      </c>
      <c r="AA794" s="2733"/>
    </row>
    <row r="795" spans="1:27" ht="18.75" x14ac:dyDescent="0.25">
      <c r="A795" s="2738"/>
      <c r="B795" s="1863">
        <v>2061</v>
      </c>
      <c r="C795" s="218">
        <f t="shared" si="278"/>
        <v>0</v>
      </c>
      <c r="D795" s="218">
        <f t="shared" si="272"/>
        <v>0</v>
      </c>
      <c r="E795" s="218">
        <f t="shared" si="273"/>
        <v>0</v>
      </c>
      <c r="F795" s="218">
        <f t="shared" si="279"/>
        <v>0</v>
      </c>
      <c r="G795" s="218">
        <f t="shared" si="280"/>
        <v>0</v>
      </c>
      <c r="H795" s="218">
        <f t="shared" si="281"/>
        <v>0</v>
      </c>
      <c r="I795" s="218">
        <f t="shared" si="282"/>
        <v>0</v>
      </c>
      <c r="J795" s="218">
        <f t="shared" si="283"/>
        <v>0</v>
      </c>
      <c r="K795" s="218">
        <f t="shared" si="284"/>
        <v>0</v>
      </c>
      <c r="L795" s="192">
        <f t="shared" si="276"/>
        <v>0</v>
      </c>
      <c r="M795" s="211">
        <v>97</v>
      </c>
      <c r="N795" s="211">
        <f>(29.53*1.02)*0.4353*1.0824</f>
        <v>14.191884547632004</v>
      </c>
      <c r="O795" s="211">
        <f>(42.96*1.02)*0.4353*1.0824</f>
        <v>20.646236375424003</v>
      </c>
      <c r="P795" s="211">
        <f>(16.43*1.02)*0.4353*1.0824</f>
        <v>7.8961281109920014</v>
      </c>
      <c r="Q795" s="211">
        <f>(12.76*1.02)*0.4353*1.0824</f>
        <v>6.1323551245440004</v>
      </c>
      <c r="R795" s="211">
        <f>(1.27*1.02)*0.4353*1.0824</f>
        <v>0.61035195988800006</v>
      </c>
      <c r="S795" s="211">
        <f>(0.0584*1.02)*0.4353*1.0824</f>
        <v>2.8066578312960003E-2</v>
      </c>
      <c r="T795" s="174">
        <f t="shared" si="277"/>
        <v>0</v>
      </c>
      <c r="U795" s="1850">
        <f t="shared" si="268"/>
        <v>0</v>
      </c>
      <c r="V795" s="1850">
        <f t="shared" si="269"/>
        <v>0</v>
      </c>
      <c r="W795" s="1850">
        <f t="shared" si="270"/>
        <v>0</v>
      </c>
      <c r="X795" s="1850">
        <f t="shared" si="271"/>
        <v>0</v>
      </c>
      <c r="Y795" s="1850">
        <f t="shared" si="274"/>
        <v>0</v>
      </c>
      <c r="Z795" s="1850">
        <f t="shared" si="275"/>
        <v>0</v>
      </c>
      <c r="AA795" s="2733"/>
    </row>
    <row r="796" spans="1:27" ht="18.75" x14ac:dyDescent="0.25">
      <c r="A796" s="2738"/>
      <c r="B796" s="1863">
        <v>2062</v>
      </c>
      <c r="C796" s="218">
        <f t="shared" si="278"/>
        <v>0</v>
      </c>
      <c r="D796" s="218">
        <f t="shared" si="272"/>
        <v>0</v>
      </c>
      <c r="E796" s="218">
        <f t="shared" si="273"/>
        <v>0</v>
      </c>
      <c r="F796" s="218">
        <f t="shared" si="279"/>
        <v>0</v>
      </c>
      <c r="G796" s="218">
        <f t="shared" si="280"/>
        <v>0</v>
      </c>
      <c r="H796" s="218">
        <f t="shared" si="281"/>
        <v>0</v>
      </c>
      <c r="I796" s="218">
        <f t="shared" si="282"/>
        <v>0</v>
      </c>
      <c r="J796" s="218">
        <f t="shared" si="283"/>
        <v>0</v>
      </c>
      <c r="K796" s="218">
        <f t="shared" si="284"/>
        <v>0</v>
      </c>
      <c r="L796" s="192">
        <f t="shared" si="276"/>
        <v>0</v>
      </c>
      <c r="M796" s="211">
        <v>97</v>
      </c>
      <c r="N796" s="211">
        <f>(29.53*1.02)*0.4268*1.0824</f>
        <v>13.914762979392002</v>
      </c>
      <c r="O796" s="211">
        <f>(42.96*1.02)*0.4268*1.0824</f>
        <v>20.243082207744003</v>
      </c>
      <c r="P796" s="211">
        <f>(16.43*1.02)*0.4268*1.0824</f>
        <v>7.7419422875520008</v>
      </c>
      <c r="Q796" s="211">
        <f>(12.76*1.02)*0.4268*1.0824</f>
        <v>6.0126100784640002</v>
      </c>
      <c r="R796" s="211">
        <f>(1.27*1.02)*0.4268*1.0824</f>
        <v>0.59843376172800011</v>
      </c>
      <c r="S796" s="211">
        <f>(0.0584*1.02)*0.4268*1.0824</f>
        <v>2.7518528885760004E-2</v>
      </c>
      <c r="T796" s="174">
        <f t="shared" si="277"/>
        <v>0</v>
      </c>
      <c r="U796" s="1850">
        <f t="shared" si="268"/>
        <v>0</v>
      </c>
      <c r="V796" s="1850">
        <f t="shared" si="269"/>
        <v>0</v>
      </c>
      <c r="W796" s="1850">
        <f t="shared" si="270"/>
        <v>0</v>
      </c>
      <c r="X796" s="1850">
        <f t="shared" si="271"/>
        <v>0</v>
      </c>
      <c r="Y796" s="1850">
        <f t="shared" si="274"/>
        <v>0</v>
      </c>
      <c r="Z796" s="1850">
        <f t="shared" si="275"/>
        <v>0</v>
      </c>
      <c r="AA796" s="2733"/>
    </row>
    <row r="797" spans="1:27" ht="18.75" x14ac:dyDescent="0.25">
      <c r="A797" s="2738"/>
      <c r="B797" s="1863">
        <v>2063</v>
      </c>
      <c r="C797" s="218">
        <f t="shared" si="278"/>
        <v>0</v>
      </c>
      <c r="D797" s="218">
        <f t="shared" si="272"/>
        <v>0</v>
      </c>
      <c r="E797" s="218">
        <f t="shared" si="273"/>
        <v>0</v>
      </c>
      <c r="F797" s="218">
        <f t="shared" si="279"/>
        <v>0</v>
      </c>
      <c r="G797" s="218">
        <f t="shared" si="280"/>
        <v>0</v>
      </c>
      <c r="H797" s="218">
        <f t="shared" si="281"/>
        <v>0</v>
      </c>
      <c r="I797" s="218">
        <f t="shared" si="282"/>
        <v>0</v>
      </c>
      <c r="J797" s="218">
        <f t="shared" si="283"/>
        <v>0</v>
      </c>
      <c r="K797" s="218">
        <f t="shared" si="284"/>
        <v>0</v>
      </c>
      <c r="L797" s="192">
        <f t="shared" si="276"/>
        <v>0</v>
      </c>
      <c r="M797" s="211">
        <v>97</v>
      </c>
      <c r="N797" s="211">
        <f>(29.53*1.02)*0.4184*1.0824</f>
        <v>13.640901664896001</v>
      </c>
      <c r="O797" s="211">
        <f>(42.96*1.02)*0.4184*1.0824</f>
        <v>19.844671030272</v>
      </c>
      <c r="P797" s="211">
        <f>(16.43*1.02)*0.4184*1.0824</f>
        <v>7.5895704149760004</v>
      </c>
      <c r="Q797" s="211">
        <f>(12.76*1.02)*0.4184*1.0824</f>
        <v>5.8942737976319997</v>
      </c>
      <c r="R797" s="211">
        <f>(1.27*1.02)*0.4184*1.0824</f>
        <v>0.58665577766400001</v>
      </c>
      <c r="S797" s="211">
        <f>(0.0584*1.02)*0.4184*1.0824</f>
        <v>2.6976927098879999E-2</v>
      </c>
      <c r="T797" s="174">
        <f t="shared" si="277"/>
        <v>0</v>
      </c>
      <c r="U797" s="1850">
        <f t="shared" si="268"/>
        <v>0</v>
      </c>
      <c r="V797" s="1850">
        <f t="shared" si="269"/>
        <v>0</v>
      </c>
      <c r="W797" s="1850">
        <f t="shared" si="270"/>
        <v>0</v>
      </c>
      <c r="X797" s="1850">
        <f t="shared" si="271"/>
        <v>0</v>
      </c>
      <c r="Y797" s="1850">
        <f t="shared" si="274"/>
        <v>0</v>
      </c>
      <c r="Z797" s="1850">
        <f t="shared" si="275"/>
        <v>0</v>
      </c>
      <c r="AA797" s="2733"/>
    </row>
    <row r="798" spans="1:27" ht="18.75" x14ac:dyDescent="0.25">
      <c r="A798" s="2738"/>
      <c r="B798" s="1863">
        <v>2064</v>
      </c>
      <c r="C798" s="218">
        <f t="shared" si="278"/>
        <v>0</v>
      </c>
      <c r="D798" s="218">
        <f t="shared" si="272"/>
        <v>0</v>
      </c>
      <c r="E798" s="218">
        <f t="shared" si="273"/>
        <v>0</v>
      </c>
      <c r="F798" s="218">
        <f t="shared" si="279"/>
        <v>0</v>
      </c>
      <c r="G798" s="218">
        <f t="shared" si="280"/>
        <v>0</v>
      </c>
      <c r="H798" s="218">
        <f t="shared" si="281"/>
        <v>0</v>
      </c>
      <c r="I798" s="218">
        <f t="shared" si="282"/>
        <v>0</v>
      </c>
      <c r="J798" s="218">
        <f t="shared" si="283"/>
        <v>0</v>
      </c>
      <c r="K798" s="218">
        <f t="shared" si="284"/>
        <v>0</v>
      </c>
      <c r="L798" s="192">
        <f t="shared" si="276"/>
        <v>0</v>
      </c>
      <c r="M798" s="211">
        <v>97</v>
      </c>
      <c r="N798" s="211">
        <f>(29.53*1.02)*0.4102*1.0824</f>
        <v>13.373560857888002</v>
      </c>
      <c r="O798" s="211">
        <f>(42.96*1.02)*0.4102*1.0824</f>
        <v>19.455745833216003</v>
      </c>
      <c r="P798" s="211">
        <f>(16.43*1.02)*0.4102*1.0824</f>
        <v>7.4408264441280014</v>
      </c>
      <c r="Q798" s="211">
        <f>(12.76*1.02)*0.4102*1.0824</f>
        <v>5.7787550472960003</v>
      </c>
      <c r="R798" s="211">
        <f>(1.27*1.02)*0.4102*1.0824</f>
        <v>0.57515822179200005</v>
      </c>
      <c r="S798" s="211">
        <f>(0.0584*1.02)*0.4102*1.0824</f>
        <v>2.6448220592640001E-2</v>
      </c>
      <c r="T798" s="174">
        <f t="shared" si="277"/>
        <v>0</v>
      </c>
      <c r="U798" s="1850">
        <f t="shared" si="268"/>
        <v>0</v>
      </c>
      <c r="V798" s="1850">
        <f t="shared" si="269"/>
        <v>0</v>
      </c>
      <c r="W798" s="1850">
        <f t="shared" si="270"/>
        <v>0</v>
      </c>
      <c r="X798" s="1850">
        <f t="shared" si="271"/>
        <v>0</v>
      </c>
      <c r="Y798" s="1850">
        <f t="shared" si="274"/>
        <v>0</v>
      </c>
      <c r="Z798" s="1850">
        <f t="shared" si="275"/>
        <v>0</v>
      </c>
      <c r="AA798" s="2733"/>
    </row>
    <row r="799" spans="1:27" ht="18.75" x14ac:dyDescent="0.25">
      <c r="A799" s="2738"/>
      <c r="B799" s="1863">
        <v>2065</v>
      </c>
      <c r="C799" s="218">
        <f t="shared" si="278"/>
        <v>0</v>
      </c>
      <c r="D799" s="218">
        <f t="shared" si="272"/>
        <v>0</v>
      </c>
      <c r="E799" s="218">
        <f t="shared" si="273"/>
        <v>0</v>
      </c>
      <c r="F799" s="218">
        <f t="shared" si="279"/>
        <v>0</v>
      </c>
      <c r="G799" s="218">
        <f t="shared" si="280"/>
        <v>0</v>
      </c>
      <c r="H799" s="218">
        <f t="shared" si="281"/>
        <v>0</v>
      </c>
      <c r="I799" s="218">
        <f t="shared" si="282"/>
        <v>0</v>
      </c>
      <c r="J799" s="218">
        <f t="shared" si="283"/>
        <v>0</v>
      </c>
      <c r="K799" s="218">
        <f t="shared" si="284"/>
        <v>0</v>
      </c>
      <c r="L799" s="192">
        <f t="shared" si="276"/>
        <v>0</v>
      </c>
      <c r="M799" s="211">
        <v>97</v>
      </c>
      <c r="N799" s="211">
        <f>(29.53*1.02)*0.4022*1.0824</f>
        <v>13.112740558368001</v>
      </c>
      <c r="O799" s="211">
        <f>(42.96*1.02)*0.4022*1.0824</f>
        <v>19.076306616576002</v>
      </c>
      <c r="P799" s="211">
        <f>(16.43*1.02)*0.4022*1.0824</f>
        <v>7.2957103750080003</v>
      </c>
      <c r="Q799" s="211">
        <f>(12.76*1.02)*0.4022*1.0824</f>
        <v>5.6660538274560004</v>
      </c>
      <c r="R799" s="211">
        <f>(1.27*1.02)*0.4022*1.0824</f>
        <v>0.56394109411200011</v>
      </c>
      <c r="S799" s="211">
        <f>(0.0584*1.02)*0.4022*1.0824</f>
        <v>2.5932409367040003E-2</v>
      </c>
      <c r="T799" s="174">
        <f t="shared" si="277"/>
        <v>0</v>
      </c>
      <c r="U799" s="1850">
        <f t="shared" si="268"/>
        <v>0</v>
      </c>
      <c r="V799" s="1850">
        <f t="shared" si="269"/>
        <v>0</v>
      </c>
      <c r="W799" s="1850">
        <f t="shared" si="270"/>
        <v>0</v>
      </c>
      <c r="X799" s="1850">
        <f t="shared" si="271"/>
        <v>0</v>
      </c>
      <c r="Y799" s="1850">
        <f t="shared" si="274"/>
        <v>0</v>
      </c>
      <c r="Z799" s="1850">
        <f t="shared" si="275"/>
        <v>0</v>
      </c>
      <c r="AA799" s="2733"/>
    </row>
    <row r="800" spans="1:27" ht="18.75" x14ac:dyDescent="0.25">
      <c r="A800" s="2738"/>
      <c r="B800" s="1863">
        <v>2066</v>
      </c>
      <c r="C800" s="218">
        <f t="shared" si="278"/>
        <v>0</v>
      </c>
      <c r="D800" s="218">
        <f t="shared" si="272"/>
        <v>0</v>
      </c>
      <c r="E800" s="218">
        <f t="shared" si="273"/>
        <v>0</v>
      </c>
      <c r="F800" s="218">
        <f t="shared" si="279"/>
        <v>0</v>
      </c>
      <c r="G800" s="218">
        <f t="shared" si="280"/>
        <v>0</v>
      </c>
      <c r="H800" s="218">
        <f t="shared" si="281"/>
        <v>0</v>
      </c>
      <c r="I800" s="218">
        <f t="shared" si="282"/>
        <v>0</v>
      </c>
      <c r="J800" s="218">
        <f t="shared" si="283"/>
        <v>0</v>
      </c>
      <c r="K800" s="218">
        <f t="shared" si="284"/>
        <v>0</v>
      </c>
      <c r="L800" s="192">
        <f t="shared" si="276"/>
        <v>0</v>
      </c>
      <c r="M800" s="211">
        <v>97</v>
      </c>
      <c r="N800" s="211">
        <f>(29.53*1.02)*0.3943*1.0824</f>
        <v>12.855180512592</v>
      </c>
      <c r="O800" s="211">
        <f>(42.96*1.02)*0.3943*1.0824</f>
        <v>18.701610390143998</v>
      </c>
      <c r="P800" s="211">
        <f>(16.43*1.02)*0.3943*1.0824</f>
        <v>7.1524082567520004</v>
      </c>
      <c r="Q800" s="211">
        <f>(12.76*1.02)*0.3943*1.0824</f>
        <v>5.5547613728639993</v>
      </c>
      <c r="R800" s="211">
        <f>(1.27*1.02)*0.3943*1.0824</f>
        <v>0.55286418052800002</v>
      </c>
      <c r="S800" s="211">
        <f>(0.0584*1.02)*0.3943*1.0824</f>
        <v>2.5423045781760002E-2</v>
      </c>
      <c r="T800" s="174">
        <f t="shared" si="277"/>
        <v>0</v>
      </c>
      <c r="U800" s="1850">
        <f t="shared" si="268"/>
        <v>0</v>
      </c>
      <c r="V800" s="1850">
        <f t="shared" si="269"/>
        <v>0</v>
      </c>
      <c r="W800" s="1850">
        <f t="shared" si="270"/>
        <v>0</v>
      </c>
      <c r="X800" s="1850">
        <f t="shared" si="271"/>
        <v>0</v>
      </c>
      <c r="Y800" s="1850">
        <f t="shared" si="274"/>
        <v>0</v>
      </c>
      <c r="Z800" s="1850">
        <f t="shared" si="275"/>
        <v>0</v>
      </c>
      <c r="AA800" s="2733"/>
    </row>
    <row r="801" spans="1:27" ht="18.75" x14ac:dyDescent="0.25">
      <c r="A801" s="2738"/>
      <c r="B801" s="1863">
        <v>2067</v>
      </c>
      <c r="C801" s="218">
        <f t="shared" si="278"/>
        <v>0</v>
      </c>
      <c r="D801" s="218">
        <f t="shared" si="272"/>
        <v>0</v>
      </c>
      <c r="E801" s="218">
        <f t="shared" si="273"/>
        <v>0</v>
      </c>
      <c r="F801" s="218">
        <f t="shared" si="279"/>
        <v>0</v>
      </c>
      <c r="G801" s="218">
        <f t="shared" si="280"/>
        <v>0</v>
      </c>
      <c r="H801" s="218">
        <f t="shared" si="281"/>
        <v>0</v>
      </c>
      <c r="I801" s="218">
        <f t="shared" si="282"/>
        <v>0</v>
      </c>
      <c r="J801" s="218">
        <f t="shared" si="283"/>
        <v>0</v>
      </c>
      <c r="K801" s="218">
        <f t="shared" si="284"/>
        <v>0</v>
      </c>
      <c r="L801" s="192">
        <f t="shared" si="276"/>
        <v>0</v>
      </c>
      <c r="M801" s="211">
        <v>97</v>
      </c>
      <c r="N801" s="211">
        <f>(29.53*1.02)*0.3865*1.0824</f>
        <v>12.600880720560001</v>
      </c>
      <c r="O801" s="211">
        <f>(42.96*1.02)*0.3865*1.0824</f>
        <v>18.331657153920002</v>
      </c>
      <c r="P801" s="211">
        <f>(16.43*1.02)*0.3865*1.0824</f>
        <v>7.0109200893600008</v>
      </c>
      <c r="Q801" s="211">
        <f>(12.76*1.02)*0.3865*1.0824</f>
        <v>5.4448776835200006</v>
      </c>
      <c r="R801" s="211">
        <f>(1.27*1.02)*0.3865*1.0824</f>
        <v>0.5419274810400001</v>
      </c>
      <c r="S801" s="211">
        <f>(0.0584*1.02)*0.3865*1.0824</f>
        <v>2.4920129836800003E-2</v>
      </c>
      <c r="T801" s="174">
        <f t="shared" si="277"/>
        <v>0</v>
      </c>
      <c r="U801" s="1850">
        <f t="shared" si="268"/>
        <v>0</v>
      </c>
      <c r="V801" s="1850">
        <f t="shared" si="269"/>
        <v>0</v>
      </c>
      <c r="W801" s="1850">
        <f t="shared" si="270"/>
        <v>0</v>
      </c>
      <c r="X801" s="1850">
        <f t="shared" si="271"/>
        <v>0</v>
      </c>
      <c r="Y801" s="1850">
        <f t="shared" si="274"/>
        <v>0</v>
      </c>
      <c r="Z801" s="1850">
        <f t="shared" si="275"/>
        <v>0</v>
      </c>
      <c r="AA801" s="2733"/>
    </row>
    <row r="802" spans="1:27" ht="18.75" x14ac:dyDescent="0.25">
      <c r="A802" s="2738"/>
      <c r="B802" s="1863">
        <v>2068</v>
      </c>
      <c r="C802" s="218">
        <f t="shared" si="278"/>
        <v>0</v>
      </c>
      <c r="D802" s="218">
        <f t="shared" si="272"/>
        <v>0</v>
      </c>
      <c r="E802" s="218">
        <f t="shared" si="273"/>
        <v>0</v>
      </c>
      <c r="F802" s="218">
        <f t="shared" si="279"/>
        <v>0</v>
      </c>
      <c r="G802" s="218">
        <f t="shared" si="280"/>
        <v>0</v>
      </c>
      <c r="H802" s="218">
        <f t="shared" si="281"/>
        <v>0</v>
      </c>
      <c r="I802" s="218">
        <f t="shared" si="282"/>
        <v>0</v>
      </c>
      <c r="J802" s="218">
        <f t="shared" si="283"/>
        <v>0</v>
      </c>
      <c r="K802" s="218">
        <f t="shared" si="284"/>
        <v>0</v>
      </c>
      <c r="L802" s="192">
        <f t="shared" si="276"/>
        <v>0</v>
      </c>
      <c r="M802" s="211">
        <v>97</v>
      </c>
      <c r="N802" s="211">
        <f>(29.53*1.02)*0.379*1.0824</f>
        <v>12.356361689760002</v>
      </c>
      <c r="O802" s="211">
        <f>(42.96*1.02)*0.379*1.0824</f>
        <v>17.975932888320003</v>
      </c>
      <c r="P802" s="211">
        <f>(16.43*1.02)*0.379*1.0824</f>
        <v>6.8748737745600002</v>
      </c>
      <c r="Q802" s="211">
        <f>(12.76*1.02)*0.379*1.0824</f>
        <v>5.339220289920001</v>
      </c>
      <c r="R802" s="211">
        <f>(1.27*1.02)*0.379*1.0824</f>
        <v>0.53141142384000006</v>
      </c>
      <c r="S802" s="211">
        <f>(0.0584*1.02)*0.379*1.0824</f>
        <v>2.4436556812800003E-2</v>
      </c>
      <c r="T802" s="174">
        <f t="shared" si="277"/>
        <v>0</v>
      </c>
      <c r="U802" s="1850">
        <f t="shared" si="268"/>
        <v>0</v>
      </c>
      <c r="V802" s="1850">
        <f t="shared" si="269"/>
        <v>0</v>
      </c>
      <c r="W802" s="1850">
        <f t="shared" si="270"/>
        <v>0</v>
      </c>
      <c r="X802" s="1850">
        <f t="shared" si="271"/>
        <v>0</v>
      </c>
      <c r="Y802" s="1850">
        <f t="shared" si="274"/>
        <v>0</v>
      </c>
      <c r="Z802" s="1850">
        <f t="shared" si="275"/>
        <v>0</v>
      </c>
      <c r="AA802" s="2733"/>
    </row>
    <row r="803" spans="1:27" ht="19.5" thickBot="1" x14ac:dyDescent="0.3">
      <c r="A803" s="2739"/>
      <c r="B803" s="1864">
        <v>2069</v>
      </c>
      <c r="C803" s="222">
        <f t="shared" si="278"/>
        <v>0</v>
      </c>
      <c r="D803" s="222">
        <f t="shared" si="272"/>
        <v>0</v>
      </c>
      <c r="E803" s="222">
        <f t="shared" si="273"/>
        <v>0</v>
      </c>
      <c r="F803" s="222">
        <f t="shared" si="279"/>
        <v>0</v>
      </c>
      <c r="G803" s="222">
        <f t="shared" si="280"/>
        <v>0</v>
      </c>
      <c r="H803" s="222">
        <f t="shared" si="281"/>
        <v>0</v>
      </c>
      <c r="I803" s="222">
        <f t="shared" si="282"/>
        <v>0</v>
      </c>
      <c r="J803" s="222">
        <f t="shared" si="283"/>
        <v>0</v>
      </c>
      <c r="K803" s="222">
        <f t="shared" si="284"/>
        <v>0</v>
      </c>
      <c r="L803" s="220">
        <f t="shared" si="276"/>
        <v>0</v>
      </c>
      <c r="M803" s="416">
        <v>97</v>
      </c>
      <c r="N803" s="416">
        <f>(29.53*1.02)*0.3715*1.0824</f>
        <v>12.111842658960002</v>
      </c>
      <c r="O803" s="416">
        <f>(42.96*1.02)*0.3715*1.0824</f>
        <v>17.62020862272</v>
      </c>
      <c r="P803" s="416">
        <f>(16.43*1.02)*0.3715*1.0824</f>
        <v>6.7388274597600004</v>
      </c>
      <c r="Q803" s="416">
        <f>(12.76*1.02)*0.3715*1.0824</f>
        <v>5.2335628963200005</v>
      </c>
      <c r="R803" s="416">
        <f>(1.27*1.02)*0.3715*1.0824</f>
        <v>0.52089536664000002</v>
      </c>
      <c r="S803" s="416">
        <f>(0.0584*1.02)*0.3715*1.0824</f>
        <v>2.3952983788800002E-2</v>
      </c>
      <c r="T803" s="647">
        <f t="shared" si="277"/>
        <v>0</v>
      </c>
      <c r="U803" s="175">
        <f t="shared" si="268"/>
        <v>0</v>
      </c>
      <c r="V803" s="175">
        <f t="shared" si="269"/>
        <v>0</v>
      </c>
      <c r="W803" s="175">
        <f t="shared" si="270"/>
        <v>0</v>
      </c>
      <c r="X803" s="175">
        <f t="shared" si="271"/>
        <v>0</v>
      </c>
      <c r="Y803" s="175">
        <f t="shared" si="274"/>
        <v>0</v>
      </c>
      <c r="Z803" s="175">
        <f t="shared" si="275"/>
        <v>0</v>
      </c>
      <c r="AA803" s="2735"/>
    </row>
  </sheetData>
  <mergeCells count="51">
    <mergeCell ref="A651:A701"/>
    <mergeCell ref="AA651:AA701"/>
    <mergeCell ref="A702:A752"/>
    <mergeCell ref="AA702:AA752"/>
    <mergeCell ref="A753:A803"/>
    <mergeCell ref="AA753:AA803"/>
    <mergeCell ref="A547:AA547"/>
    <mergeCell ref="A549:A599"/>
    <mergeCell ref="AA549:AA599"/>
    <mergeCell ref="A600:A650"/>
    <mergeCell ref="AA600:AA650"/>
    <mergeCell ref="A23:A24"/>
    <mergeCell ref="B23:B24"/>
    <mergeCell ref="C23:K23"/>
    <mergeCell ref="A21:U21"/>
    <mergeCell ref="A22:U22"/>
    <mergeCell ref="L23:U23"/>
    <mergeCell ref="A393:A443"/>
    <mergeCell ref="AA393:AA443"/>
    <mergeCell ref="A444:A494"/>
    <mergeCell ref="AA444:AA494"/>
    <mergeCell ref="A495:A545"/>
    <mergeCell ref="AA495:AA545"/>
    <mergeCell ref="A289:AA289"/>
    <mergeCell ref="A291:A341"/>
    <mergeCell ref="AA291:AA341"/>
    <mergeCell ref="A342:A392"/>
    <mergeCell ref="AA342:AA392"/>
    <mergeCell ref="A2:U2"/>
    <mergeCell ref="A13:A14"/>
    <mergeCell ref="B13:B14"/>
    <mergeCell ref="C13:K13"/>
    <mergeCell ref="A11:U11"/>
    <mergeCell ref="A12:U12"/>
    <mergeCell ref="L13:U13"/>
    <mergeCell ref="A1:U1"/>
    <mergeCell ref="A31:AA31"/>
    <mergeCell ref="AA186:AA236"/>
    <mergeCell ref="AA237:AA287"/>
    <mergeCell ref="A33:A83"/>
    <mergeCell ref="A186:A236"/>
    <mergeCell ref="A237:A287"/>
    <mergeCell ref="AA33:AA83"/>
    <mergeCell ref="A135:A185"/>
    <mergeCell ref="AA135:AA185"/>
    <mergeCell ref="A84:A134"/>
    <mergeCell ref="AA84:AA134"/>
    <mergeCell ref="A3:A4"/>
    <mergeCell ref="B3:B4"/>
    <mergeCell ref="C3:K3"/>
    <mergeCell ref="L3:U3"/>
  </mergeCells>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0E376C-E16F-46E4-9C19-9136DE9C77B9}">
  <sheetPr codeName="Sheet19"/>
  <dimension ref="A1:R186"/>
  <sheetViews>
    <sheetView workbookViewId="0">
      <selection activeCell="L25" sqref="L25:L75"/>
    </sheetView>
  </sheetViews>
  <sheetFormatPr defaultRowHeight="15" x14ac:dyDescent="0.25"/>
  <cols>
    <col min="1" max="1" width="42.140625" style="498" customWidth="1"/>
    <col min="2" max="2" width="29.5703125" style="498" customWidth="1"/>
    <col min="3" max="3" width="38.85546875" style="498" customWidth="1"/>
    <col min="4" max="4" width="29.140625" style="498" customWidth="1"/>
    <col min="5" max="5" width="86.42578125" style="498" customWidth="1"/>
    <col min="6" max="6" width="18.5703125" style="498" customWidth="1"/>
    <col min="7" max="7" width="18.7109375" style="498" customWidth="1"/>
    <col min="8" max="8" width="25.42578125" style="498" customWidth="1"/>
    <col min="9" max="9" width="23.7109375" style="498" customWidth="1"/>
    <col min="10" max="10" width="23.85546875" style="498" customWidth="1"/>
    <col min="11" max="11" width="23.5703125" style="498" customWidth="1"/>
    <col min="12" max="12" width="23.7109375" style="498" customWidth="1"/>
    <col min="13" max="13" width="17" style="498" customWidth="1"/>
    <col min="14" max="14" width="14" style="498" customWidth="1"/>
    <col min="15" max="15" width="18" style="498" customWidth="1"/>
    <col min="16" max="16" width="17.85546875" style="498" customWidth="1"/>
    <col min="17" max="17" width="18.140625" style="498" customWidth="1"/>
    <col min="18" max="18" width="21.5703125" style="498" customWidth="1"/>
    <col min="19" max="16384" width="9.140625" style="498"/>
  </cols>
  <sheetData>
    <row r="1" spans="1:12" ht="41.25" customHeight="1" thickBot="1" x14ac:dyDescent="0.3">
      <c r="A1" s="2782" t="s">
        <v>1313</v>
      </c>
      <c r="B1" s="2783"/>
      <c r="C1" s="2783"/>
      <c r="D1" s="2783"/>
      <c r="E1" s="2784"/>
    </row>
    <row r="2" spans="1:12" ht="63.75" customHeight="1" thickBot="1" x14ac:dyDescent="0.3">
      <c r="A2" s="2791" t="s">
        <v>1316</v>
      </c>
      <c r="B2" s="2792"/>
      <c r="C2" s="1078"/>
      <c r="D2" s="1078"/>
      <c r="E2" s="251"/>
    </row>
    <row r="3" spans="1:12" x14ac:dyDescent="0.25">
      <c r="A3" s="1486" t="s">
        <v>1115</v>
      </c>
      <c r="B3" s="1527" t="s">
        <v>1060</v>
      </c>
      <c r="C3" s="520"/>
      <c r="E3" s="1008"/>
    </row>
    <row r="4" spans="1:12" ht="15.75" thickBot="1" x14ac:dyDescent="0.3">
      <c r="A4" s="1500" t="s">
        <v>1003</v>
      </c>
      <c r="B4" s="1087">
        <v>2.94</v>
      </c>
      <c r="C4" s="115"/>
      <c r="E4" s="1086"/>
    </row>
    <row r="5" spans="1:12" ht="15.75" thickBot="1" x14ac:dyDescent="0.3">
      <c r="A5" s="115"/>
      <c r="B5" s="1526"/>
      <c r="C5" s="115"/>
      <c r="D5" s="1051"/>
      <c r="E5" s="1044"/>
    </row>
    <row r="6" spans="1:12" ht="49.5" customHeight="1" thickBot="1" x14ac:dyDescent="0.3">
      <c r="A6" s="2788" t="s">
        <v>1317</v>
      </c>
      <c r="B6" s="2789"/>
      <c r="C6" s="2790"/>
      <c r="D6" s="1051"/>
      <c r="E6" s="1044"/>
    </row>
    <row r="7" spans="1:12" ht="24" customHeight="1" x14ac:dyDescent="0.25">
      <c r="A7" s="1035" t="s">
        <v>1045</v>
      </c>
      <c r="B7" s="1025" t="s">
        <v>1169</v>
      </c>
      <c r="C7" s="1036" t="s">
        <v>1046</v>
      </c>
      <c r="D7" s="2372"/>
      <c r="E7" s="2372"/>
      <c r="F7" s="2372"/>
      <c r="G7" s="2372"/>
      <c r="H7" s="2372"/>
      <c r="I7" s="2372"/>
    </row>
    <row r="8" spans="1:12" x14ac:dyDescent="0.25">
      <c r="A8" s="1012" t="s">
        <v>1171</v>
      </c>
      <c r="B8" s="1018">
        <f>((10.2+4.8)/2)*28</f>
        <v>210</v>
      </c>
      <c r="C8" s="693">
        <f>((10.2+4.8)/2)*28</f>
        <v>210</v>
      </c>
      <c r="D8" s="2787"/>
      <c r="E8" s="2787"/>
      <c r="F8" s="1088"/>
      <c r="G8" s="1088"/>
      <c r="H8" s="1088"/>
      <c r="I8" s="1088"/>
    </row>
    <row r="9" spans="1:12" ht="15.75" thickBot="1" x14ac:dyDescent="0.3">
      <c r="A9" s="1013" t="s">
        <v>1172</v>
      </c>
      <c r="B9" s="1089">
        <f>((0.123+0.789)/2)*298</f>
        <v>135.88800000000001</v>
      </c>
      <c r="C9" s="1090">
        <f>((0.123+0.789)/2)*298</f>
        <v>135.88800000000001</v>
      </c>
      <c r="D9" s="2787"/>
      <c r="E9" s="2787"/>
      <c r="F9" s="1088"/>
      <c r="G9" s="1088"/>
      <c r="H9" s="1088"/>
      <c r="I9" s="1088"/>
    </row>
    <row r="10" spans="1:12" ht="15.75" thickBot="1" x14ac:dyDescent="0.3">
      <c r="A10" s="1045"/>
      <c r="B10" s="1046"/>
      <c r="C10" s="1047"/>
      <c r="D10" s="1048"/>
      <c r="E10" s="1044"/>
    </row>
    <row r="11" spans="1:12" ht="57.75" customHeight="1" thickBot="1" x14ac:dyDescent="0.3">
      <c r="A11" s="2785" t="s">
        <v>1253</v>
      </c>
      <c r="B11" s="2627" t="s">
        <v>1484</v>
      </c>
      <c r="C11" s="2628"/>
      <c r="D11" s="2628"/>
      <c r="E11" s="2628"/>
      <c r="F11" s="2629"/>
      <c r="G11" s="2627" t="s">
        <v>1203</v>
      </c>
      <c r="H11" s="2628"/>
      <c r="I11" s="2628"/>
      <c r="J11" s="2628"/>
      <c r="K11" s="2629"/>
    </row>
    <row r="12" spans="1:12" ht="30" customHeight="1" thickBot="1" x14ac:dyDescent="0.3">
      <c r="A12" s="2786"/>
      <c r="B12" s="861" t="s">
        <v>380</v>
      </c>
      <c r="C12" s="1029" t="s">
        <v>1040</v>
      </c>
      <c r="D12" s="1029" t="s">
        <v>329</v>
      </c>
      <c r="E12" s="1029" t="s">
        <v>330</v>
      </c>
      <c r="F12" s="1030" t="s">
        <v>77</v>
      </c>
      <c r="G12" s="861" t="s">
        <v>380</v>
      </c>
      <c r="H12" s="1029" t="s">
        <v>1040</v>
      </c>
      <c r="I12" s="1029" t="s">
        <v>329</v>
      </c>
      <c r="J12" s="1029" t="s">
        <v>330</v>
      </c>
      <c r="K12" s="1030" t="s">
        <v>77</v>
      </c>
      <c r="L12" s="1008"/>
    </row>
    <row r="13" spans="1:12" ht="15.75" thickBot="1" x14ac:dyDescent="0.3">
      <c r="A13" s="1049">
        <f>$B$4</f>
        <v>2.94</v>
      </c>
      <c r="B13" s="497">
        <v>0.34760000000000002</v>
      </c>
      <c r="C13" s="776">
        <v>1.573</v>
      </c>
      <c r="D13" s="776">
        <v>9.2999999999999999E-2</v>
      </c>
      <c r="E13" s="776">
        <v>2.5000000000000001E-2</v>
      </c>
      <c r="F13" s="1019">
        <v>16.7</v>
      </c>
      <c r="G13" s="585">
        <f>(((' QUICK OVERVIEW- Inputs&amp;Outputs'!H10)*'Emission-Preprocessing'!A13*'Emission-Preprocessing'!B13)/1000)/(2.2)</f>
        <v>0</v>
      </c>
      <c r="H13" s="147">
        <f>(((' QUICK OVERVIEW- Inputs&amp;Outputs'!H10)*'Emission-Preprocessing'!A13*'Emission-Preprocessing'!C13)/1000)/(2.2)</f>
        <v>0</v>
      </c>
      <c r="I13" s="147">
        <f>(((' QUICK OVERVIEW- Inputs&amp;Outputs'!H10)*'Emission-Preprocessing'!A13*'Emission-Preprocessing'!D13)/1000)/(2.2)</f>
        <v>0</v>
      </c>
      <c r="J13" s="147">
        <f>(((' QUICK OVERVIEW- Inputs&amp;Outputs'!H10)*'Emission-Preprocessing'!A13*'Emission-Preprocessing'!E13)/1000)/(2.2)</f>
        <v>0</v>
      </c>
      <c r="K13" s="1050">
        <f>(((' QUICK OVERVIEW- Inputs&amp;Outputs'!H10)*'Emission-Preprocessing'!A13*'Emission-Preprocessing'!F13)/1000)/(2.2)</f>
        <v>0</v>
      </c>
    </row>
    <row r="14" spans="1:12" ht="15.75" thickBot="1" x14ac:dyDescent="0.3">
      <c r="A14" s="1051"/>
      <c r="B14" s="738"/>
      <c r="C14" s="738"/>
      <c r="D14" s="738"/>
      <c r="E14" s="738"/>
      <c r="F14" s="738"/>
      <c r="G14" s="787"/>
      <c r="H14" s="115"/>
      <c r="I14" s="115"/>
      <c r="J14" s="115"/>
      <c r="K14" s="115"/>
    </row>
    <row r="15" spans="1:12" ht="37.5" customHeight="1" thickBot="1" x14ac:dyDescent="0.3">
      <c r="A15" s="2764" t="s">
        <v>1461</v>
      </c>
      <c r="B15" s="2765"/>
      <c r="C15" s="2765"/>
      <c r="D15" s="2765"/>
      <c r="E15" s="2765"/>
      <c r="F15" s="2765"/>
      <c r="G15" s="2765"/>
      <c r="H15" s="2765"/>
      <c r="I15" s="2765"/>
      <c r="J15" s="2765"/>
      <c r="K15" s="2766"/>
    </row>
    <row r="16" spans="1:12" ht="32.25" customHeight="1" thickBot="1" x14ac:dyDescent="0.3">
      <c r="A16" s="2775" t="s">
        <v>1280</v>
      </c>
      <c r="B16" s="2777" t="s">
        <v>1460</v>
      </c>
      <c r="C16" s="2778"/>
      <c r="D16" s="2778"/>
      <c r="E16" s="2778"/>
      <c r="F16" s="2778"/>
      <c r="G16" s="2777" t="s">
        <v>1485</v>
      </c>
      <c r="H16" s="2778"/>
      <c r="I16" s="2778"/>
      <c r="J16" s="2778"/>
      <c r="K16" s="2779"/>
    </row>
    <row r="17" spans="1:18" ht="18.75" thickBot="1" x14ac:dyDescent="0.3">
      <c r="A17" s="2776"/>
      <c r="B17" s="359" t="s">
        <v>380</v>
      </c>
      <c r="C17" s="583" t="s">
        <v>1040</v>
      </c>
      <c r="D17" s="583" t="s">
        <v>329</v>
      </c>
      <c r="E17" s="583" t="s">
        <v>330</v>
      </c>
      <c r="F17" s="1361" t="s">
        <v>394</v>
      </c>
      <c r="G17" s="359" t="s">
        <v>380</v>
      </c>
      <c r="H17" s="583" t="s">
        <v>1040</v>
      </c>
      <c r="I17" s="583" t="s">
        <v>329</v>
      </c>
      <c r="J17" s="583" t="s">
        <v>330</v>
      </c>
      <c r="K17" s="581" t="s">
        <v>394</v>
      </c>
    </row>
    <row r="18" spans="1:18" ht="15.75" thickBot="1" x14ac:dyDescent="0.3">
      <c r="A18" s="889" t="s">
        <v>1318</v>
      </c>
      <c r="B18" s="1021">
        <v>11.49</v>
      </c>
      <c r="C18" s="890">
        <v>1.56</v>
      </c>
      <c r="D18" s="890">
        <v>1.63</v>
      </c>
      <c r="E18" s="890">
        <v>2.2400000000000002</v>
      </c>
      <c r="F18" s="891">
        <v>14.24</v>
      </c>
      <c r="G18" s="833">
        <f>((' QUICK OVERVIEW- Inputs&amp;Outputs'!H10+' QUICK OVERVIEW- Inputs&amp;Outputs'!L10+' QUICK OVERVIEW- Inputs&amp;Outputs'!P10+' QUICK OVERVIEW- Inputs&amp;Outputs'!T10)*3.703)/(400*365*24)*(B18/(2.2))*(24*30*12)</f>
        <v>666.57997953403481</v>
      </c>
      <c r="H18" s="834">
        <f>((' QUICK OVERVIEW- Inputs&amp;Outputs'!H10+' QUICK OVERVIEW- Inputs&amp;Outputs'!L10+' QUICK OVERVIEW- Inputs&amp;Outputs'!P10+' QUICK OVERVIEW- Inputs&amp;Outputs'!T10)*3.703)/(400*365*24)*(C18/(2.2))*(24*30*12)</f>
        <v>90.501720458929015</v>
      </c>
      <c r="I18" s="834">
        <f>((' QUICK OVERVIEW- Inputs&amp;Outputs'!H10+' QUICK OVERVIEW- Inputs&amp;Outputs'!L10+' QUICK OVERVIEW- Inputs&amp;Outputs'!P10+' QUICK OVERVIEW- Inputs&amp;Outputs'!T10)*3.703)/(400*365*24)*(D18/(2.2))*(24*30*12)</f>
        <v>94.562695094906573</v>
      </c>
      <c r="J18" s="834">
        <f>((' QUICK OVERVIEW- Inputs&amp;Outputs'!H10+' QUICK OVERVIEW- Inputs&amp;Outputs'!L10+' QUICK OVERVIEW- Inputs&amp;Outputs'!P10+' QUICK OVERVIEW- Inputs&amp;Outputs'!T10)*3.703)/(400*365*24)*(E18/(2.2))*(24*30*12)</f>
        <v>129.9511883512827</v>
      </c>
      <c r="K18" s="835">
        <f>((' QUICK OVERVIEW- Inputs&amp;Outputs'!H10+' QUICK OVERVIEW- Inputs&amp;Outputs'!L10+' QUICK OVERVIEW- Inputs&amp;Outputs'!P10+' QUICK OVERVIEW- Inputs&amp;Outputs'!T10)*3.703)/(400*365*24)*(F18/(2.2))*(24*30*12)</f>
        <v>826.11826880458273</v>
      </c>
    </row>
    <row r="19" spans="1:18" ht="15.75" customHeight="1" thickBot="1" x14ac:dyDescent="0.3">
      <c r="A19" s="1051"/>
      <c r="B19" s="738"/>
      <c r="C19" s="738"/>
      <c r="D19" s="738"/>
      <c r="E19" s="738"/>
      <c r="F19" s="738"/>
      <c r="G19" s="787"/>
      <c r="H19" s="115"/>
      <c r="I19" s="115"/>
      <c r="J19" s="115"/>
      <c r="K19" s="115"/>
    </row>
    <row r="20" spans="1:18" ht="30" x14ac:dyDescent="0.25">
      <c r="A20" s="1035" t="s">
        <v>1081</v>
      </c>
      <c r="B20" s="1025" t="s">
        <v>1186</v>
      </c>
      <c r="C20" s="1052" t="s">
        <v>1230</v>
      </c>
      <c r="D20" s="1024" t="s">
        <v>1231</v>
      </c>
      <c r="E20" s="738"/>
      <c r="F20" s="738"/>
      <c r="G20" s="787"/>
      <c r="H20" s="115"/>
      <c r="I20" s="115"/>
      <c r="J20" s="115"/>
      <c r="K20" s="115"/>
    </row>
    <row r="21" spans="1:18" ht="15.75" thickBot="1" x14ac:dyDescent="0.3">
      <c r="A21" s="421" t="s">
        <v>1170</v>
      </c>
      <c r="B21" s="1038">
        <f>('AD Calculations'!D5+'AD Calculations'!D6+'AD Calculations'!D7+'AD Calculations'!D8+'AD Calculations'!D9+'AD Calculations'!D10)*0.95*3785.41</f>
        <v>16565.17852503611</v>
      </c>
      <c r="C21" s="817">
        <f>('Emission-Preprocessing'!C9+'Emission-Preprocessing'!C8)*37.7</f>
        <v>13039.977600000002</v>
      </c>
      <c r="D21" s="1053">
        <f>B21*C21</f>
        <v>216009556.90647194</v>
      </c>
      <c r="E21" s="738"/>
      <c r="F21" s="738"/>
      <c r="G21" s="787"/>
      <c r="H21" s="115"/>
      <c r="I21" s="115"/>
      <c r="J21" s="115"/>
      <c r="K21" s="115"/>
    </row>
    <row r="22" spans="1:18" ht="15.75" thickBot="1" x14ac:dyDescent="0.3">
      <c r="A22" s="115"/>
      <c r="B22" s="994"/>
      <c r="C22" s="995"/>
      <c r="D22" s="1054"/>
      <c r="E22" s="738"/>
      <c r="F22" s="738"/>
      <c r="G22" s="787"/>
      <c r="H22" s="115"/>
      <c r="I22" s="115"/>
      <c r="J22" s="115"/>
      <c r="K22" s="115"/>
    </row>
    <row r="23" spans="1:18" ht="48.75" customHeight="1" thickBot="1" x14ac:dyDescent="0.3">
      <c r="A23" s="2627" t="s">
        <v>1314</v>
      </c>
      <c r="B23" s="2628"/>
      <c r="C23" s="2628"/>
      <c r="D23" s="2628"/>
      <c r="E23" s="2628"/>
      <c r="F23" s="2628"/>
      <c r="G23" s="2628"/>
      <c r="H23" s="2628"/>
      <c r="I23" s="2628"/>
      <c r="J23" s="2628"/>
      <c r="K23" s="2628"/>
      <c r="L23" s="2628"/>
      <c r="M23" s="2628"/>
      <c r="N23" s="2628"/>
      <c r="O23" s="2628"/>
      <c r="P23" s="2628"/>
      <c r="Q23" s="2628"/>
      <c r="R23" s="2629"/>
    </row>
    <row r="24" spans="1:18" ht="75" customHeight="1" thickBot="1" x14ac:dyDescent="0.3">
      <c r="A24" s="861" t="s">
        <v>1115</v>
      </c>
      <c r="B24" s="1029" t="s">
        <v>177</v>
      </c>
      <c r="C24" s="821" t="s">
        <v>1244</v>
      </c>
      <c r="D24" s="821" t="s">
        <v>1103</v>
      </c>
      <c r="E24" s="821" t="s">
        <v>1104</v>
      </c>
      <c r="F24" s="821" t="s">
        <v>1243</v>
      </c>
      <c r="G24" s="821" t="s">
        <v>1106</v>
      </c>
      <c r="H24" s="821" t="s">
        <v>272</v>
      </c>
      <c r="I24" s="821" t="s">
        <v>1080</v>
      </c>
      <c r="J24" s="821" t="s">
        <v>273</v>
      </c>
      <c r="K24" s="821" t="s">
        <v>455</v>
      </c>
      <c r="L24" s="821" t="s">
        <v>274</v>
      </c>
      <c r="M24" s="821" t="s">
        <v>1117</v>
      </c>
      <c r="N24" s="821" t="s">
        <v>1079</v>
      </c>
      <c r="O24" s="821" t="s">
        <v>271</v>
      </c>
      <c r="P24" s="821" t="s">
        <v>277</v>
      </c>
      <c r="Q24" s="821" t="s">
        <v>278</v>
      </c>
      <c r="R24" s="836" t="s">
        <v>316</v>
      </c>
    </row>
    <row r="25" spans="1:18" ht="17.25" customHeight="1" x14ac:dyDescent="0.25">
      <c r="A25" s="2769" t="s">
        <v>1003</v>
      </c>
      <c r="B25" s="888">
        <v>2019</v>
      </c>
      <c r="C25" s="1055">
        <f>$K$13</f>
        <v>0</v>
      </c>
      <c r="D25" s="1055">
        <f>$J$13</f>
        <v>0</v>
      </c>
      <c r="E25" s="1055">
        <f>$G$13</f>
        <v>0</v>
      </c>
      <c r="F25" s="1055">
        <f>$H$13</f>
        <v>0</v>
      </c>
      <c r="G25" s="1055">
        <f>$I$13</f>
        <v>0</v>
      </c>
      <c r="H25" s="1056">
        <v>62</v>
      </c>
      <c r="I25" s="1056">
        <f>'Emission-Waste Transport Vehicl'!N33</f>
        <v>32.602537440000006</v>
      </c>
      <c r="J25" s="1056">
        <f>'Emission-Waste Transport Vehicl'!P33</f>
        <v>18.139508640000003</v>
      </c>
      <c r="K25" s="1056">
        <f>'Emission-Waste Transport Vehicl'!Q33</f>
        <v>14.087652480000001</v>
      </c>
      <c r="L25" s="1056">
        <f>'Emission-Waste Transport Vehicl'!R33</f>
        <v>1.4021409600000001</v>
      </c>
      <c r="M25" s="1056">
        <f t="shared" ref="M25:M56" si="0">(C25/1000)*H25</f>
        <v>0</v>
      </c>
      <c r="N25" s="1057">
        <f t="shared" ref="N25:N37" si="1">D25*I25</f>
        <v>0</v>
      </c>
      <c r="O25" s="1057">
        <f t="shared" ref="O25:O37" si="2">E25*J25</f>
        <v>0</v>
      </c>
      <c r="P25" s="1057">
        <f t="shared" ref="P25:P37" si="3">F25*K25</f>
        <v>0</v>
      </c>
      <c r="Q25" s="1057">
        <f>G25*L25</f>
        <v>0</v>
      </c>
      <c r="R25" s="2772">
        <f>(SUM(M25:M75)*1.2682)+(SUM(N25:N75))+(SUM(O25:O75))+(SUM(P25:P75))+(SUM(Q25:Q75))</f>
        <v>0</v>
      </c>
    </row>
    <row r="26" spans="1:18" x14ac:dyDescent="0.25">
      <c r="A26" s="2770"/>
      <c r="B26" s="706">
        <v>2020</v>
      </c>
      <c r="C26" s="1058">
        <f t="shared" ref="C26:C75" si="4">$K$13</f>
        <v>0</v>
      </c>
      <c r="D26" s="1059">
        <f t="shared" ref="D26:D75" si="5">$J$13</f>
        <v>0</v>
      </c>
      <c r="E26" s="1059">
        <f t="shared" ref="E26:E75" si="6">$G$13</f>
        <v>0</v>
      </c>
      <c r="F26" s="1059">
        <f t="shared" ref="F26:F75" si="7">$H$13</f>
        <v>0</v>
      </c>
      <c r="G26" s="1059">
        <f t="shared" ref="G26:G75" si="8">$I$13</f>
        <v>0</v>
      </c>
      <c r="H26" s="827">
        <v>64</v>
      </c>
      <c r="I26" s="827">
        <f>'Emission-Waste Transport Vehicl'!N34</f>
        <v>31.963527706176006</v>
      </c>
      <c r="J26" s="827">
        <f>'Emission-Waste Transport Vehicl'!P34</f>
        <v>17.783974270656003</v>
      </c>
      <c r="K26" s="827">
        <f>'Emission-Waste Transport Vehicl'!Q34</f>
        <v>13.811534491392001</v>
      </c>
      <c r="L26" s="827">
        <f>'Emission-Waste Transport Vehicl'!R34</f>
        <v>1.3746589971840002</v>
      </c>
      <c r="M26" s="827">
        <f t="shared" si="0"/>
        <v>0</v>
      </c>
      <c r="N26" s="830">
        <f t="shared" si="1"/>
        <v>0</v>
      </c>
      <c r="O26" s="830">
        <f t="shared" si="2"/>
        <v>0</v>
      </c>
      <c r="P26" s="830">
        <f t="shared" si="3"/>
        <v>0</v>
      </c>
      <c r="Q26" s="830">
        <f t="shared" ref="Q26:Q37" si="9">G26*L26</f>
        <v>0</v>
      </c>
      <c r="R26" s="2773"/>
    </row>
    <row r="27" spans="1:18" x14ac:dyDescent="0.25">
      <c r="A27" s="2770"/>
      <c r="B27" s="706">
        <v>2021</v>
      </c>
      <c r="C27" s="1058">
        <f t="shared" si="4"/>
        <v>0</v>
      </c>
      <c r="D27" s="1059">
        <f t="shared" si="5"/>
        <v>0</v>
      </c>
      <c r="E27" s="1059">
        <f t="shared" si="6"/>
        <v>0</v>
      </c>
      <c r="F27" s="1059">
        <f t="shared" si="7"/>
        <v>0</v>
      </c>
      <c r="G27" s="1059">
        <f t="shared" si="8"/>
        <v>0</v>
      </c>
      <c r="H27" s="827">
        <v>65</v>
      </c>
      <c r="I27" s="827">
        <f>'Emission-Waste Transport Vehicl'!N35</f>
        <v>31.337558987328006</v>
      </c>
      <c r="J27" s="827">
        <f>'Emission-Waste Transport Vehicl'!P35</f>
        <v>17.435695704768001</v>
      </c>
      <c r="K27" s="827">
        <f>'Emission-Waste Transport Vehicl'!Q35</f>
        <v>13.541051563776001</v>
      </c>
      <c r="L27" s="827">
        <f>'Emission-Waste Transport Vehicl'!R35</f>
        <v>1.3477378907520003</v>
      </c>
      <c r="M27" s="827">
        <f t="shared" si="0"/>
        <v>0</v>
      </c>
      <c r="N27" s="830">
        <f t="shared" si="1"/>
        <v>0</v>
      </c>
      <c r="O27" s="830">
        <f t="shared" si="2"/>
        <v>0</v>
      </c>
      <c r="P27" s="830">
        <f t="shared" si="3"/>
        <v>0</v>
      </c>
      <c r="Q27" s="830">
        <f t="shared" si="9"/>
        <v>0</v>
      </c>
      <c r="R27" s="2773"/>
    </row>
    <row r="28" spans="1:18" x14ac:dyDescent="0.25">
      <c r="A28" s="2770"/>
      <c r="B28" s="706">
        <v>2022</v>
      </c>
      <c r="C28" s="1058">
        <f t="shared" si="4"/>
        <v>0</v>
      </c>
      <c r="D28" s="1059">
        <f t="shared" si="5"/>
        <v>0</v>
      </c>
      <c r="E28" s="1059">
        <f t="shared" si="6"/>
        <v>0</v>
      </c>
      <c r="F28" s="1059">
        <f t="shared" si="7"/>
        <v>0</v>
      </c>
      <c r="G28" s="1059">
        <f t="shared" si="8"/>
        <v>0</v>
      </c>
      <c r="H28" s="827">
        <v>66</v>
      </c>
      <c r="I28" s="827">
        <f>'Emission-Waste Transport Vehicl'!N36</f>
        <v>30.721371029712003</v>
      </c>
      <c r="J28" s="827">
        <f>'Emission-Waste Transport Vehicl'!P36</f>
        <v>17.092858991472003</v>
      </c>
      <c r="K28" s="827">
        <f>'Emission-Waste Transport Vehicl'!Q36</f>
        <v>13.274794931903999</v>
      </c>
      <c r="L28" s="827">
        <f>'Emission-Waste Transport Vehicl'!R36</f>
        <v>1.3212374266080003</v>
      </c>
      <c r="M28" s="827">
        <f t="shared" si="0"/>
        <v>0</v>
      </c>
      <c r="N28" s="830">
        <f t="shared" si="1"/>
        <v>0</v>
      </c>
      <c r="O28" s="830">
        <f t="shared" si="2"/>
        <v>0</v>
      </c>
      <c r="P28" s="830">
        <f t="shared" si="3"/>
        <v>0</v>
      </c>
      <c r="Q28" s="830">
        <f t="shared" si="9"/>
        <v>0</v>
      </c>
      <c r="R28" s="2773"/>
    </row>
    <row r="29" spans="1:18" x14ac:dyDescent="0.25">
      <c r="A29" s="2770"/>
      <c r="B29" s="706">
        <v>2023</v>
      </c>
      <c r="C29" s="1058">
        <f t="shared" si="4"/>
        <v>0</v>
      </c>
      <c r="D29" s="1059">
        <f t="shared" si="5"/>
        <v>0</v>
      </c>
      <c r="E29" s="1059">
        <f t="shared" si="6"/>
        <v>0</v>
      </c>
      <c r="F29" s="1059">
        <f t="shared" si="7"/>
        <v>0</v>
      </c>
      <c r="G29" s="1059">
        <f t="shared" si="8"/>
        <v>0</v>
      </c>
      <c r="H29" s="827">
        <v>67</v>
      </c>
      <c r="I29" s="827">
        <f>'Emission-Waste Transport Vehicl'!N37</f>
        <v>30.118224087072001</v>
      </c>
      <c r="J29" s="827">
        <f>'Emission-Waste Transport Vehicl'!P37</f>
        <v>16.757278081632002</v>
      </c>
      <c r="K29" s="827">
        <f>'Emission-Waste Transport Vehicl'!Q37</f>
        <v>13.014173361024</v>
      </c>
      <c r="L29" s="827">
        <f>'Emission-Waste Transport Vehicl'!R37</f>
        <v>1.295297818848</v>
      </c>
      <c r="M29" s="827">
        <f t="shared" si="0"/>
        <v>0</v>
      </c>
      <c r="N29" s="830">
        <f t="shared" si="1"/>
        <v>0</v>
      </c>
      <c r="O29" s="830">
        <f t="shared" si="2"/>
        <v>0</v>
      </c>
      <c r="P29" s="830">
        <f t="shared" si="3"/>
        <v>0</v>
      </c>
      <c r="Q29" s="830">
        <f t="shared" si="9"/>
        <v>0</v>
      </c>
      <c r="R29" s="2773"/>
    </row>
    <row r="30" spans="1:18" x14ac:dyDescent="0.25">
      <c r="A30" s="2770"/>
      <c r="B30" s="706">
        <v>2024</v>
      </c>
      <c r="C30" s="1058">
        <f t="shared" si="4"/>
        <v>0</v>
      </c>
      <c r="D30" s="1059">
        <f t="shared" si="5"/>
        <v>0</v>
      </c>
      <c r="E30" s="1059">
        <f t="shared" si="6"/>
        <v>0</v>
      </c>
      <c r="F30" s="1059">
        <f t="shared" si="7"/>
        <v>0</v>
      </c>
      <c r="G30" s="1059">
        <f t="shared" si="8"/>
        <v>0</v>
      </c>
      <c r="H30" s="827">
        <v>68</v>
      </c>
      <c r="I30" s="827">
        <f>'Emission-Waste Transport Vehicl'!N38</f>
        <v>29.528118159408002</v>
      </c>
      <c r="J30" s="827">
        <f>'Emission-Waste Transport Vehicl'!P38</f>
        <v>16.428952975248002</v>
      </c>
      <c r="K30" s="827">
        <f>'Emission-Waste Transport Vehicl'!Q38</f>
        <v>12.759186851135999</v>
      </c>
      <c r="L30" s="827">
        <f>'Emission-Waste Transport Vehicl'!R38</f>
        <v>1.269919067472</v>
      </c>
      <c r="M30" s="827">
        <f t="shared" si="0"/>
        <v>0</v>
      </c>
      <c r="N30" s="830">
        <f t="shared" si="1"/>
        <v>0</v>
      </c>
      <c r="O30" s="830">
        <f t="shared" si="2"/>
        <v>0</v>
      </c>
      <c r="P30" s="830">
        <f t="shared" si="3"/>
        <v>0</v>
      </c>
      <c r="Q30" s="830">
        <f t="shared" si="9"/>
        <v>0</v>
      </c>
      <c r="R30" s="2773"/>
    </row>
    <row r="31" spans="1:18" x14ac:dyDescent="0.25">
      <c r="A31" s="2770"/>
      <c r="B31" s="706">
        <v>2025</v>
      </c>
      <c r="C31" s="1058">
        <f t="shared" si="4"/>
        <v>0</v>
      </c>
      <c r="D31" s="1059">
        <f t="shared" si="5"/>
        <v>0</v>
      </c>
      <c r="E31" s="1059">
        <f t="shared" si="6"/>
        <v>0</v>
      </c>
      <c r="F31" s="1059">
        <f t="shared" si="7"/>
        <v>0</v>
      </c>
      <c r="G31" s="1059">
        <f t="shared" si="8"/>
        <v>0</v>
      </c>
      <c r="H31" s="827">
        <v>69</v>
      </c>
      <c r="I31" s="827">
        <f>'Emission-Waste Transport Vehicl'!N39</f>
        <v>28.951053246720004</v>
      </c>
      <c r="J31" s="827">
        <f>'Emission-Waste Transport Vehicl'!P39</f>
        <v>16.10788367232</v>
      </c>
      <c r="K31" s="827">
        <f>'Emission-Waste Transport Vehicl'!Q39</f>
        <v>12.50983540224</v>
      </c>
      <c r="L31" s="827">
        <f>'Emission-Waste Transport Vehicl'!R39</f>
        <v>1.2451011724800001</v>
      </c>
      <c r="M31" s="827">
        <f t="shared" si="0"/>
        <v>0</v>
      </c>
      <c r="N31" s="830">
        <f t="shared" si="1"/>
        <v>0</v>
      </c>
      <c r="O31" s="830">
        <f t="shared" si="2"/>
        <v>0</v>
      </c>
      <c r="P31" s="830">
        <f t="shared" si="3"/>
        <v>0</v>
      </c>
      <c r="Q31" s="830">
        <f t="shared" si="9"/>
        <v>0</v>
      </c>
      <c r="R31" s="2773"/>
    </row>
    <row r="32" spans="1:18" x14ac:dyDescent="0.25">
      <c r="A32" s="2770"/>
      <c r="B32" s="706">
        <v>2026</v>
      </c>
      <c r="C32" s="1058">
        <f t="shared" si="4"/>
        <v>0</v>
      </c>
      <c r="D32" s="1059">
        <f t="shared" si="5"/>
        <v>0</v>
      </c>
      <c r="E32" s="1059">
        <f t="shared" si="6"/>
        <v>0</v>
      </c>
      <c r="F32" s="1059">
        <f t="shared" si="7"/>
        <v>0</v>
      </c>
      <c r="G32" s="1059">
        <f t="shared" si="8"/>
        <v>0</v>
      </c>
      <c r="H32" s="827">
        <v>70</v>
      </c>
      <c r="I32" s="827">
        <f>'Emission-Waste Transport Vehicl'!N40</f>
        <v>28.383769095264007</v>
      </c>
      <c r="J32" s="827">
        <f>'Emission-Waste Transport Vehicl'!P40</f>
        <v>15.792256221984003</v>
      </c>
      <c r="K32" s="827">
        <f>'Emission-Waste Transport Vehicl'!Q40</f>
        <v>12.264710249088001</v>
      </c>
      <c r="L32" s="827">
        <f>'Emission-Waste Transport Vehicl'!R40</f>
        <v>1.2207039197760001</v>
      </c>
      <c r="M32" s="827">
        <f t="shared" si="0"/>
        <v>0</v>
      </c>
      <c r="N32" s="830">
        <f t="shared" si="1"/>
        <v>0</v>
      </c>
      <c r="O32" s="830">
        <f t="shared" si="2"/>
        <v>0</v>
      </c>
      <c r="P32" s="830">
        <f t="shared" si="3"/>
        <v>0</v>
      </c>
      <c r="Q32" s="830">
        <f t="shared" si="9"/>
        <v>0</v>
      </c>
      <c r="R32" s="2773"/>
    </row>
    <row r="33" spans="1:18" x14ac:dyDescent="0.25">
      <c r="A33" s="2770"/>
      <c r="B33" s="706">
        <v>2027</v>
      </c>
      <c r="C33" s="1058">
        <f t="shared" si="4"/>
        <v>0</v>
      </c>
      <c r="D33" s="1059">
        <f t="shared" si="5"/>
        <v>0</v>
      </c>
      <c r="E33" s="1059">
        <f t="shared" si="6"/>
        <v>0</v>
      </c>
      <c r="F33" s="1059">
        <f t="shared" si="7"/>
        <v>0</v>
      </c>
      <c r="G33" s="1059">
        <f t="shared" si="8"/>
        <v>0</v>
      </c>
      <c r="H33" s="827">
        <v>71</v>
      </c>
      <c r="I33" s="827">
        <f>'Emission-Waste Transport Vehicl'!N41</f>
        <v>27.826265705040004</v>
      </c>
      <c r="J33" s="827">
        <f>'Emission-Waste Transport Vehicl'!P41</f>
        <v>15.482070624240002</v>
      </c>
      <c r="K33" s="827">
        <f>'Emission-Waste Transport Vehicl'!Q41</f>
        <v>12.023811391680001</v>
      </c>
      <c r="L33" s="827">
        <f>'Emission-Waste Transport Vehicl'!R41</f>
        <v>1.1967273093600002</v>
      </c>
      <c r="M33" s="827">
        <f t="shared" si="0"/>
        <v>0</v>
      </c>
      <c r="N33" s="830">
        <f t="shared" si="1"/>
        <v>0</v>
      </c>
      <c r="O33" s="830">
        <f t="shared" si="2"/>
        <v>0</v>
      </c>
      <c r="P33" s="830">
        <f t="shared" si="3"/>
        <v>0</v>
      </c>
      <c r="Q33" s="830">
        <f t="shared" si="9"/>
        <v>0</v>
      </c>
      <c r="R33" s="2773"/>
    </row>
    <row r="34" spans="1:18" x14ac:dyDescent="0.25">
      <c r="A34" s="2770"/>
      <c r="B34" s="706">
        <v>2028</v>
      </c>
      <c r="C34" s="1058">
        <f t="shared" si="4"/>
        <v>0</v>
      </c>
      <c r="D34" s="1059">
        <f t="shared" si="5"/>
        <v>0</v>
      </c>
      <c r="E34" s="1059">
        <f t="shared" si="6"/>
        <v>0</v>
      </c>
      <c r="F34" s="1059">
        <f t="shared" si="7"/>
        <v>0</v>
      </c>
      <c r="G34" s="1059">
        <f t="shared" si="8"/>
        <v>0</v>
      </c>
      <c r="H34" s="827">
        <v>72</v>
      </c>
      <c r="I34" s="827">
        <f>'Emission-Waste Transport Vehicl'!N42</f>
        <v>27.281803329792002</v>
      </c>
      <c r="J34" s="827">
        <f>'Emission-Waste Transport Vehicl'!P42</f>
        <v>15.179140829952001</v>
      </c>
      <c r="K34" s="827">
        <f>'Emission-Waste Transport Vehicl'!Q42</f>
        <v>11.788547595263999</v>
      </c>
      <c r="L34" s="827">
        <f>'Emission-Waste Transport Vehicl'!R42</f>
        <v>1.173311555328</v>
      </c>
      <c r="M34" s="827">
        <f t="shared" si="0"/>
        <v>0</v>
      </c>
      <c r="N34" s="830">
        <f t="shared" si="1"/>
        <v>0</v>
      </c>
      <c r="O34" s="830">
        <f t="shared" si="2"/>
        <v>0</v>
      </c>
      <c r="P34" s="830">
        <f t="shared" si="3"/>
        <v>0</v>
      </c>
      <c r="Q34" s="830">
        <f t="shared" si="9"/>
        <v>0</v>
      </c>
      <c r="R34" s="2773"/>
    </row>
    <row r="35" spans="1:18" x14ac:dyDescent="0.25">
      <c r="A35" s="2770"/>
      <c r="B35" s="706">
        <v>2029</v>
      </c>
      <c r="C35" s="1058">
        <f t="shared" si="4"/>
        <v>0</v>
      </c>
      <c r="D35" s="1059">
        <f t="shared" si="5"/>
        <v>0</v>
      </c>
      <c r="E35" s="1059">
        <f t="shared" si="6"/>
        <v>0</v>
      </c>
      <c r="F35" s="1059">
        <f t="shared" si="7"/>
        <v>0</v>
      </c>
      <c r="G35" s="1059">
        <f t="shared" si="8"/>
        <v>0</v>
      </c>
      <c r="H35" s="827">
        <v>73</v>
      </c>
      <c r="I35" s="827">
        <f>'Emission-Waste Transport Vehicl'!N43</f>
        <v>26.743861462032005</v>
      </c>
      <c r="J35" s="827">
        <f>'Emission-Waste Transport Vehicl'!P43</f>
        <v>14.879838937392002</v>
      </c>
      <c r="K35" s="827">
        <f>'Emission-Waste Transport Vehicl'!Q43</f>
        <v>11.556101329344001</v>
      </c>
      <c r="L35" s="827">
        <f>'Emission-Waste Transport Vehicl'!R43</f>
        <v>1.1501762294880002</v>
      </c>
      <c r="M35" s="827">
        <f t="shared" si="0"/>
        <v>0</v>
      </c>
      <c r="N35" s="830">
        <f t="shared" si="1"/>
        <v>0</v>
      </c>
      <c r="O35" s="830">
        <f t="shared" si="2"/>
        <v>0</v>
      </c>
      <c r="P35" s="830">
        <f t="shared" si="3"/>
        <v>0</v>
      </c>
      <c r="Q35" s="830">
        <f t="shared" si="9"/>
        <v>0</v>
      </c>
      <c r="R35" s="2773"/>
    </row>
    <row r="36" spans="1:18" x14ac:dyDescent="0.25">
      <c r="A36" s="2770"/>
      <c r="B36" s="706">
        <v>2030</v>
      </c>
      <c r="C36" s="1058">
        <f t="shared" si="4"/>
        <v>0</v>
      </c>
      <c r="D36" s="1059">
        <f t="shared" si="5"/>
        <v>0</v>
      </c>
      <c r="E36" s="1059">
        <f t="shared" si="6"/>
        <v>0</v>
      </c>
      <c r="F36" s="1059">
        <f t="shared" si="7"/>
        <v>0</v>
      </c>
      <c r="G36" s="1059">
        <f t="shared" si="8"/>
        <v>0</v>
      </c>
      <c r="H36" s="827">
        <v>75</v>
      </c>
      <c r="I36" s="827">
        <f>'Emission-Waste Transport Vehicl'!N44</f>
        <v>26.222220862992003</v>
      </c>
      <c r="J36" s="827">
        <f>'Emission-Waste Transport Vehicl'!P44</f>
        <v>14.589606799152003</v>
      </c>
      <c r="K36" s="827">
        <f>'Emission-Waste Transport Vehicl'!Q44</f>
        <v>11.330698889664001</v>
      </c>
      <c r="L36" s="827">
        <f>'Emission-Waste Transport Vehicl'!R44</f>
        <v>1.1277419741280001</v>
      </c>
      <c r="M36" s="827">
        <f t="shared" si="0"/>
        <v>0</v>
      </c>
      <c r="N36" s="830">
        <f t="shared" si="1"/>
        <v>0</v>
      </c>
      <c r="O36" s="830">
        <f t="shared" si="2"/>
        <v>0</v>
      </c>
      <c r="P36" s="830">
        <f t="shared" si="3"/>
        <v>0</v>
      </c>
      <c r="Q36" s="830">
        <f t="shared" si="9"/>
        <v>0</v>
      </c>
      <c r="R36" s="2773"/>
    </row>
    <row r="37" spans="1:18" x14ac:dyDescent="0.25">
      <c r="A37" s="2770"/>
      <c r="B37" s="706">
        <v>2031</v>
      </c>
      <c r="C37" s="1058">
        <f t="shared" si="4"/>
        <v>0</v>
      </c>
      <c r="D37" s="1059">
        <f t="shared" si="5"/>
        <v>0</v>
      </c>
      <c r="E37" s="1059">
        <f t="shared" si="6"/>
        <v>0</v>
      </c>
      <c r="F37" s="1059">
        <f t="shared" si="7"/>
        <v>0</v>
      </c>
      <c r="G37" s="1059">
        <f t="shared" si="8"/>
        <v>0</v>
      </c>
      <c r="H37" s="827">
        <v>76</v>
      </c>
      <c r="I37" s="827">
        <f>'Emission-Waste Transport Vehicl'!N45</f>
        <v>25.70710077144</v>
      </c>
      <c r="J37" s="827">
        <f>'Emission-Waste Transport Vehicl'!P45</f>
        <v>14.303002562640001</v>
      </c>
      <c r="K37" s="827">
        <f>'Emission-Waste Transport Vehicl'!Q45</f>
        <v>11.108113980480001</v>
      </c>
      <c r="L37" s="827">
        <f>'Emission-Waste Transport Vehicl'!R45</f>
        <v>1.1055881469600002</v>
      </c>
      <c r="M37" s="827">
        <f t="shared" si="0"/>
        <v>0</v>
      </c>
      <c r="N37" s="830">
        <f t="shared" si="1"/>
        <v>0</v>
      </c>
      <c r="O37" s="830">
        <f t="shared" si="2"/>
        <v>0</v>
      </c>
      <c r="P37" s="830">
        <f t="shared" si="3"/>
        <v>0</v>
      </c>
      <c r="Q37" s="830">
        <f t="shared" si="9"/>
        <v>0</v>
      </c>
      <c r="R37" s="2773"/>
    </row>
    <row r="38" spans="1:18" x14ac:dyDescent="0.25">
      <c r="A38" s="2770"/>
      <c r="B38" s="706">
        <v>2032</v>
      </c>
      <c r="C38" s="1058">
        <f t="shared" si="4"/>
        <v>0</v>
      </c>
      <c r="D38" s="1059">
        <f t="shared" si="5"/>
        <v>0</v>
      </c>
      <c r="E38" s="1059">
        <f t="shared" si="6"/>
        <v>0</v>
      </c>
      <c r="F38" s="1059">
        <f t="shared" si="7"/>
        <v>0</v>
      </c>
      <c r="G38" s="1059">
        <f t="shared" si="8"/>
        <v>0</v>
      </c>
      <c r="H38" s="827">
        <v>77</v>
      </c>
      <c r="I38" s="827">
        <f>'Emission-Waste Transport Vehicl'!N46</f>
        <v>25.201761441120002</v>
      </c>
      <c r="J38" s="827">
        <f>'Emission-Waste Transport Vehicl'!P46</f>
        <v>14.021840178720002</v>
      </c>
      <c r="K38" s="827">
        <f>'Emission-Waste Transport Vehicl'!Q46</f>
        <v>10.889755367040001</v>
      </c>
      <c r="L38" s="827">
        <f>'Emission-Waste Transport Vehicl'!R46</f>
        <v>1.0838549620800002</v>
      </c>
      <c r="M38" s="827">
        <f t="shared" si="0"/>
        <v>0</v>
      </c>
      <c r="N38" s="830">
        <f t="shared" ref="N38:N75" si="10">D38*I38</f>
        <v>0</v>
      </c>
      <c r="O38" s="830">
        <f t="shared" ref="O38:O75" si="11">E38*J38</f>
        <v>0</v>
      </c>
      <c r="P38" s="830">
        <f t="shared" ref="P38:P75" si="12">F38*K38</f>
        <v>0</v>
      </c>
      <c r="Q38" s="830">
        <f t="shared" ref="Q38:Q69" si="13">G38*L38</f>
        <v>0</v>
      </c>
      <c r="R38" s="2773"/>
    </row>
    <row r="39" spans="1:18" x14ac:dyDescent="0.25">
      <c r="A39" s="2770"/>
      <c r="B39" s="706">
        <v>2033</v>
      </c>
      <c r="C39" s="1058">
        <f t="shared" si="4"/>
        <v>0</v>
      </c>
      <c r="D39" s="1059">
        <f t="shared" si="5"/>
        <v>0</v>
      </c>
      <c r="E39" s="1059">
        <f t="shared" si="6"/>
        <v>0</v>
      </c>
      <c r="F39" s="1059">
        <f t="shared" si="7"/>
        <v>0</v>
      </c>
      <c r="G39" s="1059">
        <f t="shared" si="8"/>
        <v>0</v>
      </c>
      <c r="H39" s="827">
        <v>78</v>
      </c>
      <c r="I39" s="827">
        <f>'Emission-Waste Transport Vehicl'!N47</f>
        <v>24.709463125776001</v>
      </c>
      <c r="J39" s="827">
        <f>'Emission-Waste Transport Vehicl'!P47</f>
        <v>13.747933598256003</v>
      </c>
      <c r="K39" s="827">
        <f>'Emission-Waste Transport Vehicl'!Q47</f>
        <v>10.677031814592</v>
      </c>
      <c r="L39" s="827">
        <f>'Emission-Waste Transport Vehicl'!R47</f>
        <v>1.0626826335840001</v>
      </c>
      <c r="M39" s="827">
        <f t="shared" si="0"/>
        <v>0</v>
      </c>
      <c r="N39" s="830">
        <f t="shared" si="10"/>
        <v>0</v>
      </c>
      <c r="O39" s="830">
        <f t="shared" si="11"/>
        <v>0</v>
      </c>
      <c r="P39" s="830">
        <f t="shared" si="12"/>
        <v>0</v>
      </c>
      <c r="Q39" s="830">
        <f t="shared" si="13"/>
        <v>0</v>
      </c>
      <c r="R39" s="2773"/>
    </row>
    <row r="40" spans="1:18" x14ac:dyDescent="0.25">
      <c r="A40" s="2770"/>
      <c r="B40" s="706">
        <v>2034</v>
      </c>
      <c r="C40" s="1058">
        <f t="shared" si="4"/>
        <v>0</v>
      </c>
      <c r="D40" s="1059">
        <f t="shared" si="5"/>
        <v>0</v>
      </c>
      <c r="E40" s="1059">
        <f t="shared" si="6"/>
        <v>0</v>
      </c>
      <c r="F40" s="1059">
        <f t="shared" si="7"/>
        <v>0</v>
      </c>
      <c r="G40" s="1059">
        <f t="shared" si="8"/>
        <v>0</v>
      </c>
      <c r="H40" s="827">
        <v>79</v>
      </c>
      <c r="I40" s="827">
        <f>'Emission-Waste Transport Vehicl'!N48</f>
        <v>24.223685317920005</v>
      </c>
      <c r="J40" s="827">
        <f>'Emission-Waste Transport Vehicl'!P48</f>
        <v>13.477654919520001</v>
      </c>
      <c r="K40" s="827">
        <f>'Emission-Waste Transport Vehicl'!Q48</f>
        <v>10.467125792640001</v>
      </c>
      <c r="L40" s="827">
        <f>'Emission-Waste Transport Vehicl'!R48</f>
        <v>1.04179073328</v>
      </c>
      <c r="M40" s="827">
        <f t="shared" si="0"/>
        <v>0</v>
      </c>
      <c r="N40" s="830">
        <f t="shared" si="10"/>
        <v>0</v>
      </c>
      <c r="O40" s="830">
        <f t="shared" si="11"/>
        <v>0</v>
      </c>
      <c r="P40" s="830">
        <f t="shared" si="12"/>
        <v>0</v>
      </c>
      <c r="Q40" s="830">
        <f t="shared" si="13"/>
        <v>0</v>
      </c>
      <c r="R40" s="2773"/>
    </row>
    <row r="41" spans="1:18" x14ac:dyDescent="0.25">
      <c r="A41" s="2770"/>
      <c r="B41" s="706">
        <v>2035</v>
      </c>
      <c r="C41" s="1058">
        <f t="shared" si="4"/>
        <v>0</v>
      </c>
      <c r="D41" s="1059">
        <f t="shared" si="5"/>
        <v>0</v>
      </c>
      <c r="E41" s="1059">
        <f t="shared" si="6"/>
        <v>0</v>
      </c>
      <c r="F41" s="1059">
        <f t="shared" si="7"/>
        <v>0</v>
      </c>
      <c r="G41" s="1059">
        <f t="shared" si="8"/>
        <v>0</v>
      </c>
      <c r="H41" s="827">
        <v>80</v>
      </c>
      <c r="I41" s="827">
        <f>'Emission-Waste Transport Vehicl'!N49</f>
        <v>23.747688271296006</v>
      </c>
      <c r="J41" s="827">
        <f>'Emission-Waste Transport Vehicl'!P49</f>
        <v>13.212818093376002</v>
      </c>
      <c r="K41" s="827">
        <f>'Emission-Waste Transport Vehicl'!Q49</f>
        <v>10.261446066432002</v>
      </c>
      <c r="L41" s="827">
        <f>'Emission-Waste Transport Vehicl'!R49</f>
        <v>1.0213194752640002</v>
      </c>
      <c r="M41" s="827">
        <f t="shared" si="0"/>
        <v>0</v>
      </c>
      <c r="N41" s="830">
        <f t="shared" si="10"/>
        <v>0</v>
      </c>
      <c r="O41" s="830">
        <f t="shared" si="11"/>
        <v>0</v>
      </c>
      <c r="P41" s="830">
        <f t="shared" si="12"/>
        <v>0</v>
      </c>
      <c r="Q41" s="830">
        <f t="shared" si="13"/>
        <v>0</v>
      </c>
      <c r="R41" s="2773"/>
    </row>
    <row r="42" spans="1:18" x14ac:dyDescent="0.25">
      <c r="A42" s="2770"/>
      <c r="B42" s="706">
        <v>2036</v>
      </c>
      <c r="C42" s="1058">
        <f t="shared" si="4"/>
        <v>0</v>
      </c>
      <c r="D42" s="1059">
        <f t="shared" si="5"/>
        <v>0</v>
      </c>
      <c r="E42" s="1059">
        <f t="shared" si="6"/>
        <v>0</v>
      </c>
      <c r="F42" s="1059">
        <f t="shared" si="7"/>
        <v>0</v>
      </c>
      <c r="G42" s="1059">
        <f t="shared" si="8"/>
        <v>0</v>
      </c>
      <c r="H42" s="827">
        <v>81</v>
      </c>
      <c r="I42" s="827">
        <f>'Emission-Waste Transport Vehicl'!N50</f>
        <v>23.284732239648001</v>
      </c>
      <c r="J42" s="827">
        <f>'Emission-Waste Transport Vehicl'!P50</f>
        <v>12.955237070688</v>
      </c>
      <c r="K42" s="827">
        <f>'Emission-Waste Transport Vehicl'!Q50</f>
        <v>10.061401401215999</v>
      </c>
      <c r="L42" s="827">
        <f>'Emission-Waste Transport Vehicl'!R50</f>
        <v>1.001409073632</v>
      </c>
      <c r="M42" s="827">
        <f t="shared" si="0"/>
        <v>0</v>
      </c>
      <c r="N42" s="830">
        <f t="shared" si="10"/>
        <v>0</v>
      </c>
      <c r="O42" s="830">
        <f t="shared" si="11"/>
        <v>0</v>
      </c>
      <c r="P42" s="830">
        <f t="shared" si="12"/>
        <v>0</v>
      </c>
      <c r="Q42" s="830">
        <f t="shared" si="13"/>
        <v>0</v>
      </c>
      <c r="R42" s="2773"/>
    </row>
    <row r="43" spans="1:18" x14ac:dyDescent="0.25">
      <c r="A43" s="2770"/>
      <c r="B43" s="706">
        <v>2037</v>
      </c>
      <c r="C43" s="1058">
        <f t="shared" si="4"/>
        <v>0</v>
      </c>
      <c r="D43" s="1059">
        <f t="shared" si="5"/>
        <v>0</v>
      </c>
      <c r="E43" s="1059">
        <f t="shared" si="6"/>
        <v>0</v>
      </c>
      <c r="F43" s="1059">
        <f t="shared" si="7"/>
        <v>0</v>
      </c>
      <c r="G43" s="1059">
        <f t="shared" si="8"/>
        <v>0</v>
      </c>
      <c r="H43" s="827">
        <v>83</v>
      </c>
      <c r="I43" s="827">
        <f>'Emission-Waste Transport Vehicl'!N51</f>
        <v>22.828296715488005</v>
      </c>
      <c r="J43" s="827">
        <f>'Emission-Waste Transport Vehicl'!P51</f>
        <v>12.701283949728003</v>
      </c>
      <c r="K43" s="827">
        <f>'Emission-Waste Transport Vehicl'!Q51</f>
        <v>9.8641742664960006</v>
      </c>
      <c r="L43" s="827">
        <f>'Emission-Waste Transport Vehicl'!R51</f>
        <v>0.9817791001920001</v>
      </c>
      <c r="M43" s="827">
        <f t="shared" si="0"/>
        <v>0</v>
      </c>
      <c r="N43" s="830">
        <f t="shared" si="10"/>
        <v>0</v>
      </c>
      <c r="O43" s="830">
        <f t="shared" si="11"/>
        <v>0</v>
      </c>
      <c r="P43" s="830">
        <f t="shared" si="12"/>
        <v>0</v>
      </c>
      <c r="Q43" s="830">
        <f t="shared" si="13"/>
        <v>0</v>
      </c>
      <c r="R43" s="2773"/>
    </row>
    <row r="44" spans="1:18" x14ac:dyDescent="0.25">
      <c r="A44" s="2770"/>
      <c r="B44" s="706">
        <v>2038</v>
      </c>
      <c r="C44" s="1058">
        <f t="shared" si="4"/>
        <v>0</v>
      </c>
      <c r="D44" s="1059">
        <f t="shared" si="5"/>
        <v>0</v>
      </c>
      <c r="E44" s="1059">
        <f t="shared" si="6"/>
        <v>0</v>
      </c>
      <c r="F44" s="1059">
        <f t="shared" si="7"/>
        <v>0</v>
      </c>
      <c r="G44" s="1059">
        <f t="shared" si="8"/>
        <v>0</v>
      </c>
      <c r="H44" s="827">
        <v>84</v>
      </c>
      <c r="I44" s="827">
        <f>'Emission-Waste Transport Vehicl'!N52</f>
        <v>22.378381698816003</v>
      </c>
      <c r="J44" s="827">
        <f>'Emission-Waste Transport Vehicl'!P52</f>
        <v>12.450958730496001</v>
      </c>
      <c r="K44" s="827">
        <f>'Emission-Waste Transport Vehicl'!Q52</f>
        <v>9.6697646622720015</v>
      </c>
      <c r="L44" s="827">
        <f>'Emission-Waste Transport Vehicl'!R52</f>
        <v>0.96242955494400007</v>
      </c>
      <c r="M44" s="827">
        <f t="shared" si="0"/>
        <v>0</v>
      </c>
      <c r="N44" s="830">
        <f t="shared" si="10"/>
        <v>0</v>
      </c>
      <c r="O44" s="830">
        <f t="shared" si="11"/>
        <v>0</v>
      </c>
      <c r="P44" s="830">
        <f t="shared" si="12"/>
        <v>0</v>
      </c>
      <c r="Q44" s="830">
        <f t="shared" si="13"/>
        <v>0</v>
      </c>
      <c r="R44" s="2773"/>
    </row>
    <row r="45" spans="1:18" x14ac:dyDescent="0.25">
      <c r="A45" s="2770"/>
      <c r="B45" s="706">
        <v>2039</v>
      </c>
      <c r="C45" s="1058">
        <f t="shared" si="4"/>
        <v>0</v>
      </c>
      <c r="D45" s="1059">
        <f t="shared" si="5"/>
        <v>0</v>
      </c>
      <c r="E45" s="1059">
        <f t="shared" si="6"/>
        <v>0</v>
      </c>
      <c r="F45" s="1059">
        <f t="shared" si="7"/>
        <v>0</v>
      </c>
      <c r="G45" s="1059">
        <f t="shared" si="8"/>
        <v>0</v>
      </c>
      <c r="H45" s="827">
        <v>85</v>
      </c>
      <c r="I45" s="827">
        <f>'Emission-Waste Transport Vehicl'!N53</f>
        <v>21.941507697120006</v>
      </c>
      <c r="J45" s="827">
        <f>'Emission-Waste Transport Vehicl'!P53</f>
        <v>12.207889314720003</v>
      </c>
      <c r="K45" s="827">
        <f>'Emission-Waste Transport Vehicl'!Q53</f>
        <v>9.4809901190400012</v>
      </c>
      <c r="L45" s="827">
        <f>'Emission-Waste Transport Vehicl'!R53</f>
        <v>0.9436408660800002</v>
      </c>
      <c r="M45" s="827">
        <f t="shared" si="0"/>
        <v>0</v>
      </c>
      <c r="N45" s="830">
        <f t="shared" si="10"/>
        <v>0</v>
      </c>
      <c r="O45" s="830">
        <f t="shared" si="11"/>
        <v>0</v>
      </c>
      <c r="P45" s="830">
        <f t="shared" si="12"/>
        <v>0</v>
      </c>
      <c r="Q45" s="830">
        <f t="shared" si="13"/>
        <v>0</v>
      </c>
      <c r="R45" s="2773"/>
    </row>
    <row r="46" spans="1:18" x14ac:dyDescent="0.25">
      <c r="A46" s="2770"/>
      <c r="B46" s="706">
        <v>2040</v>
      </c>
      <c r="C46" s="1058">
        <f t="shared" si="4"/>
        <v>0</v>
      </c>
      <c r="D46" s="1059">
        <f t="shared" si="5"/>
        <v>0</v>
      </c>
      <c r="E46" s="1059">
        <f t="shared" si="6"/>
        <v>0</v>
      </c>
      <c r="F46" s="1059">
        <f t="shared" si="7"/>
        <v>0</v>
      </c>
      <c r="G46" s="1059">
        <f t="shared" si="8"/>
        <v>0</v>
      </c>
      <c r="H46" s="827">
        <v>86</v>
      </c>
      <c r="I46" s="827">
        <f>'Emission-Waste Transport Vehicl'!N54</f>
        <v>21.511154202912003</v>
      </c>
      <c r="J46" s="827">
        <f>'Emission-Waste Transport Vehicl'!P54</f>
        <v>11.968447800672001</v>
      </c>
      <c r="K46" s="827">
        <f>'Emission-Waste Transport Vehicl'!Q54</f>
        <v>9.2950331063040004</v>
      </c>
      <c r="L46" s="827">
        <f>'Emission-Waste Transport Vehicl'!R54</f>
        <v>0.92513260540800013</v>
      </c>
      <c r="M46" s="827">
        <f t="shared" si="0"/>
        <v>0</v>
      </c>
      <c r="N46" s="830">
        <f t="shared" si="10"/>
        <v>0</v>
      </c>
      <c r="O46" s="830">
        <f t="shared" si="11"/>
        <v>0</v>
      </c>
      <c r="P46" s="830">
        <f t="shared" si="12"/>
        <v>0</v>
      </c>
      <c r="Q46" s="830">
        <f t="shared" si="13"/>
        <v>0</v>
      </c>
      <c r="R46" s="2773"/>
    </row>
    <row r="47" spans="1:18" x14ac:dyDescent="0.25">
      <c r="A47" s="2770"/>
      <c r="B47" s="706">
        <v>2041</v>
      </c>
      <c r="C47" s="1058">
        <f t="shared" si="4"/>
        <v>0</v>
      </c>
      <c r="D47" s="1059">
        <f t="shared" si="5"/>
        <v>0</v>
      </c>
      <c r="E47" s="1059">
        <f t="shared" si="6"/>
        <v>0</v>
      </c>
      <c r="F47" s="1059">
        <f t="shared" si="7"/>
        <v>0</v>
      </c>
      <c r="G47" s="1059">
        <f t="shared" si="8"/>
        <v>0</v>
      </c>
      <c r="H47" s="827">
        <v>87</v>
      </c>
      <c r="I47" s="827">
        <f>'Emission-Waste Transport Vehicl'!N55</f>
        <v>21.087321216192002</v>
      </c>
      <c r="J47" s="827">
        <f>'Emission-Waste Transport Vehicl'!P55</f>
        <v>11.732634188352002</v>
      </c>
      <c r="K47" s="827">
        <f>'Emission-Waste Transport Vehicl'!Q55</f>
        <v>9.1118936240640007</v>
      </c>
      <c r="L47" s="827">
        <f>'Emission-Waste Transport Vehicl'!R55</f>
        <v>0.9069047729280002</v>
      </c>
      <c r="M47" s="827">
        <f t="shared" si="0"/>
        <v>0</v>
      </c>
      <c r="N47" s="830">
        <f t="shared" si="10"/>
        <v>0</v>
      </c>
      <c r="O47" s="830">
        <f t="shared" si="11"/>
        <v>0</v>
      </c>
      <c r="P47" s="830">
        <f t="shared" si="12"/>
        <v>0</v>
      </c>
      <c r="Q47" s="830">
        <f t="shared" si="13"/>
        <v>0</v>
      </c>
      <c r="R47" s="2773"/>
    </row>
    <row r="48" spans="1:18" x14ac:dyDescent="0.25">
      <c r="A48" s="2770"/>
      <c r="B48" s="706">
        <v>2042</v>
      </c>
      <c r="C48" s="1058">
        <f t="shared" si="4"/>
        <v>0</v>
      </c>
      <c r="D48" s="1059">
        <f t="shared" si="5"/>
        <v>0</v>
      </c>
      <c r="E48" s="1059">
        <f t="shared" si="6"/>
        <v>0</v>
      </c>
      <c r="F48" s="1059">
        <f t="shared" si="7"/>
        <v>0</v>
      </c>
      <c r="G48" s="1059">
        <f t="shared" si="8"/>
        <v>0</v>
      </c>
      <c r="H48" s="827">
        <v>88</v>
      </c>
      <c r="I48" s="827">
        <f>'Emission-Waste Transport Vehicl'!N56</f>
        <v>20.676529244448002</v>
      </c>
      <c r="J48" s="827">
        <f>'Emission-Waste Transport Vehicl'!P56</f>
        <v>11.504076379488001</v>
      </c>
      <c r="K48" s="827">
        <f>'Emission-Waste Transport Vehicl'!Q56</f>
        <v>8.9343892028159999</v>
      </c>
      <c r="L48" s="827">
        <f>'Emission-Waste Transport Vehicl'!R56</f>
        <v>0.8892377968320001</v>
      </c>
      <c r="M48" s="827">
        <f t="shared" si="0"/>
        <v>0</v>
      </c>
      <c r="N48" s="830">
        <f t="shared" si="10"/>
        <v>0</v>
      </c>
      <c r="O48" s="830">
        <f t="shared" si="11"/>
        <v>0</v>
      </c>
      <c r="P48" s="830">
        <f t="shared" si="12"/>
        <v>0</v>
      </c>
      <c r="Q48" s="830">
        <f t="shared" si="13"/>
        <v>0</v>
      </c>
      <c r="R48" s="2773"/>
    </row>
    <row r="49" spans="1:18" x14ac:dyDescent="0.25">
      <c r="A49" s="2770"/>
      <c r="B49" s="706">
        <v>2043</v>
      </c>
      <c r="C49" s="1058">
        <f t="shared" si="4"/>
        <v>0</v>
      </c>
      <c r="D49" s="1059">
        <f t="shared" si="5"/>
        <v>0</v>
      </c>
      <c r="E49" s="1059">
        <f t="shared" si="6"/>
        <v>0</v>
      </c>
      <c r="F49" s="1059">
        <f t="shared" si="7"/>
        <v>0</v>
      </c>
      <c r="G49" s="1059">
        <f t="shared" si="8"/>
        <v>0</v>
      </c>
      <c r="H49" s="827">
        <v>89</v>
      </c>
      <c r="I49" s="827">
        <f>'Emission-Waste Transport Vehicl'!N57</f>
        <v>20.268997526448004</v>
      </c>
      <c r="J49" s="827">
        <f>'Emission-Waste Transport Vehicl'!P57</f>
        <v>11.277332521488001</v>
      </c>
      <c r="K49" s="827">
        <f>'Emission-Waste Transport Vehicl'!Q57</f>
        <v>8.7582935468160006</v>
      </c>
      <c r="L49" s="827">
        <f>'Emission-Waste Transport Vehicl'!R57</f>
        <v>0.87171103483200019</v>
      </c>
      <c r="M49" s="827">
        <f t="shared" si="0"/>
        <v>0</v>
      </c>
      <c r="N49" s="830">
        <f t="shared" si="10"/>
        <v>0</v>
      </c>
      <c r="O49" s="830">
        <f t="shared" si="11"/>
        <v>0</v>
      </c>
      <c r="P49" s="830">
        <f t="shared" si="12"/>
        <v>0</v>
      </c>
      <c r="Q49" s="830">
        <f t="shared" si="13"/>
        <v>0</v>
      </c>
      <c r="R49" s="2773"/>
    </row>
    <row r="50" spans="1:18" x14ac:dyDescent="0.25">
      <c r="A50" s="2770"/>
      <c r="B50" s="706">
        <v>2044</v>
      </c>
      <c r="C50" s="1058">
        <f t="shared" si="4"/>
        <v>0</v>
      </c>
      <c r="D50" s="1059">
        <f t="shared" si="5"/>
        <v>0</v>
      </c>
      <c r="E50" s="1059">
        <f t="shared" si="6"/>
        <v>0</v>
      </c>
      <c r="F50" s="1059">
        <f t="shared" si="7"/>
        <v>0</v>
      </c>
      <c r="G50" s="1059">
        <f t="shared" si="8"/>
        <v>0</v>
      </c>
      <c r="H50" s="827">
        <v>90</v>
      </c>
      <c r="I50" s="827">
        <f>'Emission-Waste Transport Vehicl'!N58</f>
        <v>19.871246569680004</v>
      </c>
      <c r="J50" s="827">
        <f>'Emission-Waste Transport Vehicl'!P58</f>
        <v>11.056030516080002</v>
      </c>
      <c r="K50" s="827">
        <f>'Emission-Waste Transport Vehicl'!Q58</f>
        <v>8.5864241865600004</v>
      </c>
      <c r="L50" s="827">
        <f>'Emission-Waste Transport Vehicl'!R58</f>
        <v>0.85460491512000014</v>
      </c>
      <c r="M50" s="827">
        <f t="shared" si="0"/>
        <v>0</v>
      </c>
      <c r="N50" s="830">
        <f t="shared" si="10"/>
        <v>0</v>
      </c>
      <c r="O50" s="830">
        <f t="shared" si="11"/>
        <v>0</v>
      </c>
      <c r="P50" s="830">
        <f t="shared" si="12"/>
        <v>0</v>
      </c>
      <c r="Q50" s="830">
        <f t="shared" si="13"/>
        <v>0</v>
      </c>
      <c r="R50" s="2773"/>
    </row>
    <row r="51" spans="1:18" x14ac:dyDescent="0.25">
      <c r="A51" s="2770"/>
      <c r="B51" s="706">
        <v>2045</v>
      </c>
      <c r="C51" s="1058">
        <f t="shared" si="4"/>
        <v>0</v>
      </c>
      <c r="D51" s="1059">
        <f t="shared" si="5"/>
        <v>0</v>
      </c>
      <c r="E51" s="1059">
        <f t="shared" si="6"/>
        <v>0</v>
      </c>
      <c r="F51" s="1059">
        <f t="shared" si="7"/>
        <v>0</v>
      </c>
      <c r="G51" s="1059">
        <f t="shared" si="8"/>
        <v>0</v>
      </c>
      <c r="H51" s="827">
        <v>92</v>
      </c>
      <c r="I51" s="827">
        <f>'Emission-Waste Transport Vehicl'!N59</f>
        <v>19.483276374144001</v>
      </c>
      <c r="J51" s="827">
        <f>'Emission-Waste Transport Vehicl'!P59</f>
        <v>10.840170363264003</v>
      </c>
      <c r="K51" s="827">
        <f>'Emission-Waste Transport Vehicl'!Q59</f>
        <v>8.4187811220480011</v>
      </c>
      <c r="L51" s="827">
        <f>'Emission-Waste Transport Vehicl'!R59</f>
        <v>0.83791943769600008</v>
      </c>
      <c r="M51" s="827">
        <f t="shared" si="0"/>
        <v>0</v>
      </c>
      <c r="N51" s="830">
        <f t="shared" si="10"/>
        <v>0</v>
      </c>
      <c r="O51" s="830">
        <f t="shared" si="11"/>
        <v>0</v>
      </c>
      <c r="P51" s="830">
        <f t="shared" si="12"/>
        <v>0</v>
      </c>
      <c r="Q51" s="830">
        <f t="shared" si="13"/>
        <v>0</v>
      </c>
      <c r="R51" s="2773"/>
    </row>
    <row r="52" spans="1:18" x14ac:dyDescent="0.25">
      <c r="A52" s="2770"/>
      <c r="B52" s="706">
        <v>2046</v>
      </c>
      <c r="C52" s="1058">
        <f t="shared" si="4"/>
        <v>0</v>
      </c>
      <c r="D52" s="1059">
        <f t="shared" si="5"/>
        <v>0</v>
      </c>
      <c r="E52" s="1059">
        <f t="shared" si="6"/>
        <v>0</v>
      </c>
      <c r="F52" s="1059">
        <f t="shared" si="7"/>
        <v>0</v>
      </c>
      <c r="G52" s="1059">
        <f t="shared" si="8"/>
        <v>0</v>
      </c>
      <c r="H52" s="827">
        <v>93</v>
      </c>
      <c r="I52" s="827">
        <f>'Emission-Waste Transport Vehicl'!N60</f>
        <v>19.101826686096</v>
      </c>
      <c r="J52" s="827">
        <f>'Emission-Waste Transport Vehicl'!P60</f>
        <v>10.627938112176002</v>
      </c>
      <c r="K52" s="827">
        <f>'Emission-Waste Transport Vehicl'!Q60</f>
        <v>8.2539555880319995</v>
      </c>
      <c r="L52" s="827">
        <f>'Emission-Waste Transport Vehicl'!R60</f>
        <v>0.82151438846400004</v>
      </c>
      <c r="M52" s="827">
        <f t="shared" si="0"/>
        <v>0</v>
      </c>
      <c r="N52" s="830">
        <f t="shared" si="10"/>
        <v>0</v>
      </c>
      <c r="O52" s="830">
        <f t="shared" si="11"/>
        <v>0</v>
      </c>
      <c r="P52" s="830">
        <f t="shared" si="12"/>
        <v>0</v>
      </c>
      <c r="Q52" s="830">
        <f t="shared" si="13"/>
        <v>0</v>
      </c>
      <c r="R52" s="2773"/>
    </row>
    <row r="53" spans="1:18" x14ac:dyDescent="0.25">
      <c r="A53" s="2770"/>
      <c r="B53" s="706">
        <v>2047</v>
      </c>
      <c r="C53" s="1058">
        <f t="shared" si="4"/>
        <v>0</v>
      </c>
      <c r="D53" s="1059">
        <f t="shared" si="5"/>
        <v>0</v>
      </c>
      <c r="E53" s="1059">
        <f t="shared" si="6"/>
        <v>0</v>
      </c>
      <c r="F53" s="1059">
        <f t="shared" si="7"/>
        <v>0</v>
      </c>
      <c r="G53" s="1059">
        <f t="shared" si="8"/>
        <v>0</v>
      </c>
      <c r="H53" s="827">
        <v>94</v>
      </c>
      <c r="I53" s="827">
        <f>'Emission-Waste Transport Vehicl'!N61</f>
        <v>18.726897505536005</v>
      </c>
      <c r="J53" s="827">
        <f>'Emission-Waste Transport Vehicl'!P61</f>
        <v>10.419333762816001</v>
      </c>
      <c r="K53" s="827">
        <f>'Emission-Waste Transport Vehicl'!Q61</f>
        <v>8.0919475845120008</v>
      </c>
      <c r="L53" s="827">
        <f>'Emission-Waste Transport Vehicl'!R61</f>
        <v>0.80538976742400015</v>
      </c>
      <c r="M53" s="827">
        <f t="shared" si="0"/>
        <v>0</v>
      </c>
      <c r="N53" s="830">
        <f t="shared" si="10"/>
        <v>0</v>
      </c>
      <c r="O53" s="830">
        <f t="shared" si="11"/>
        <v>0</v>
      </c>
      <c r="P53" s="830">
        <f t="shared" si="12"/>
        <v>0</v>
      </c>
      <c r="Q53" s="830">
        <f t="shared" si="13"/>
        <v>0</v>
      </c>
      <c r="R53" s="2773"/>
    </row>
    <row r="54" spans="1:18" x14ac:dyDescent="0.25">
      <c r="A54" s="2770"/>
      <c r="B54" s="706">
        <v>2048</v>
      </c>
      <c r="C54" s="1058">
        <f t="shared" si="4"/>
        <v>0</v>
      </c>
      <c r="D54" s="1059">
        <f t="shared" si="5"/>
        <v>0</v>
      </c>
      <c r="E54" s="1059">
        <f t="shared" si="6"/>
        <v>0</v>
      </c>
      <c r="F54" s="1059">
        <f t="shared" si="7"/>
        <v>0</v>
      </c>
      <c r="G54" s="1059">
        <f t="shared" si="8"/>
        <v>0</v>
      </c>
      <c r="H54" s="827">
        <v>95</v>
      </c>
      <c r="I54" s="827">
        <f>'Emission-Waste Transport Vehicl'!N62</f>
        <v>18.358488832464005</v>
      </c>
      <c r="J54" s="827">
        <f>'Emission-Waste Transport Vehicl'!P62</f>
        <v>10.214357315184001</v>
      </c>
      <c r="K54" s="827">
        <f>'Emission-Waste Transport Vehicl'!Q62</f>
        <v>7.9327571114880007</v>
      </c>
      <c r="L54" s="827">
        <f>'Emission-Waste Transport Vehicl'!R62</f>
        <v>0.78954557457600016</v>
      </c>
      <c r="M54" s="827">
        <f t="shared" si="0"/>
        <v>0</v>
      </c>
      <c r="N54" s="830">
        <f t="shared" si="10"/>
        <v>0</v>
      </c>
      <c r="O54" s="830">
        <f t="shared" si="11"/>
        <v>0</v>
      </c>
      <c r="P54" s="830">
        <f t="shared" si="12"/>
        <v>0</v>
      </c>
      <c r="Q54" s="830">
        <f t="shared" si="13"/>
        <v>0</v>
      </c>
      <c r="R54" s="2773"/>
    </row>
    <row r="55" spans="1:18" x14ac:dyDescent="0.25">
      <c r="A55" s="2770"/>
      <c r="B55" s="706">
        <v>2049</v>
      </c>
      <c r="C55" s="1058">
        <f t="shared" si="4"/>
        <v>0</v>
      </c>
      <c r="D55" s="1059">
        <f t="shared" si="5"/>
        <v>0</v>
      </c>
      <c r="E55" s="1059">
        <f t="shared" si="6"/>
        <v>0</v>
      </c>
      <c r="F55" s="1059">
        <f t="shared" si="7"/>
        <v>0</v>
      </c>
      <c r="G55" s="1059">
        <f t="shared" si="8"/>
        <v>0</v>
      </c>
      <c r="H55" s="827">
        <v>96</v>
      </c>
      <c r="I55" s="827">
        <f>'Emission-Waste Transport Vehicl'!N63</f>
        <v>17.999860920624005</v>
      </c>
      <c r="J55" s="827">
        <f>'Emission-Waste Transport Vehicl'!P63</f>
        <v>10.014822720144002</v>
      </c>
      <c r="K55" s="827">
        <f>'Emission-Waste Transport Vehicl'!Q63</f>
        <v>7.7777929342080014</v>
      </c>
      <c r="L55" s="827">
        <f>'Emission-Waste Transport Vehicl'!R63</f>
        <v>0.77412202401600017</v>
      </c>
      <c r="M55" s="827">
        <f t="shared" si="0"/>
        <v>0</v>
      </c>
      <c r="N55" s="830">
        <f t="shared" si="10"/>
        <v>0</v>
      </c>
      <c r="O55" s="830">
        <f t="shared" si="11"/>
        <v>0</v>
      </c>
      <c r="P55" s="830">
        <f t="shared" si="12"/>
        <v>0</v>
      </c>
      <c r="Q55" s="830">
        <f t="shared" si="13"/>
        <v>0</v>
      </c>
      <c r="R55" s="2773"/>
    </row>
    <row r="56" spans="1:18" x14ac:dyDescent="0.25">
      <c r="A56" s="2770"/>
      <c r="B56" s="706">
        <v>2050</v>
      </c>
      <c r="C56" s="1058">
        <f t="shared" si="4"/>
        <v>0</v>
      </c>
      <c r="D56" s="1059">
        <f t="shared" si="5"/>
        <v>0</v>
      </c>
      <c r="E56" s="1059">
        <f t="shared" si="6"/>
        <v>0</v>
      </c>
      <c r="F56" s="1059">
        <f t="shared" si="7"/>
        <v>0</v>
      </c>
      <c r="G56" s="1059">
        <f t="shared" si="8"/>
        <v>0</v>
      </c>
      <c r="H56" s="827">
        <v>97</v>
      </c>
      <c r="I56" s="827">
        <f>'Emission-Waste Transport Vehicl'!N64</f>
        <v>17.644493262528005</v>
      </c>
      <c r="J56" s="827">
        <f>'Emission-Waste Transport Vehicl'!P64</f>
        <v>9.8171020759680019</v>
      </c>
      <c r="K56" s="827">
        <f>'Emission-Waste Transport Vehicl'!Q64</f>
        <v>7.624237522176001</v>
      </c>
      <c r="L56" s="827">
        <f>'Emission-Waste Transport Vehicl'!R64</f>
        <v>0.75883868755200012</v>
      </c>
      <c r="M56" s="827">
        <f t="shared" si="0"/>
        <v>0</v>
      </c>
      <c r="N56" s="830">
        <f t="shared" si="10"/>
        <v>0</v>
      </c>
      <c r="O56" s="830">
        <f t="shared" si="11"/>
        <v>0</v>
      </c>
      <c r="P56" s="830">
        <f t="shared" si="12"/>
        <v>0</v>
      </c>
      <c r="Q56" s="830">
        <f t="shared" si="13"/>
        <v>0</v>
      </c>
      <c r="R56" s="2773"/>
    </row>
    <row r="57" spans="1:18" x14ac:dyDescent="0.25">
      <c r="A57" s="2770"/>
      <c r="B57" s="706">
        <v>2051</v>
      </c>
      <c r="C57" s="1058">
        <f t="shared" si="4"/>
        <v>0</v>
      </c>
      <c r="D57" s="1059">
        <f t="shared" si="5"/>
        <v>0</v>
      </c>
      <c r="E57" s="1059">
        <f t="shared" si="6"/>
        <v>0</v>
      </c>
      <c r="F57" s="1059">
        <f t="shared" si="7"/>
        <v>0</v>
      </c>
      <c r="G57" s="1059">
        <f t="shared" si="8"/>
        <v>0</v>
      </c>
      <c r="H57" s="827">
        <v>97</v>
      </c>
      <c r="I57" s="827">
        <f>'Emission-Waste Transport Vehicl'!N65</f>
        <v>17.298906365664003</v>
      </c>
      <c r="J57" s="827">
        <f>'Emission-Waste Transport Vehicl'!P65</f>
        <v>9.624823284384</v>
      </c>
      <c r="K57" s="827">
        <f>'Emission-Waste Transport Vehicl'!Q65</f>
        <v>7.4749084058879998</v>
      </c>
      <c r="L57" s="827">
        <f>'Emission-Waste Transport Vehicl'!R65</f>
        <v>0.74397599337600007</v>
      </c>
      <c r="M57" s="827">
        <f t="shared" ref="M57:M75" si="14">(C57/1000)*H57</f>
        <v>0</v>
      </c>
      <c r="N57" s="830">
        <f t="shared" si="10"/>
        <v>0</v>
      </c>
      <c r="O57" s="830">
        <f t="shared" si="11"/>
        <v>0</v>
      </c>
      <c r="P57" s="830">
        <f t="shared" si="12"/>
        <v>0</v>
      </c>
      <c r="Q57" s="830">
        <f t="shared" si="13"/>
        <v>0</v>
      </c>
      <c r="R57" s="2773"/>
    </row>
    <row r="58" spans="1:18" x14ac:dyDescent="0.25">
      <c r="A58" s="2770"/>
      <c r="B58" s="706">
        <v>2052</v>
      </c>
      <c r="C58" s="1058">
        <f t="shared" si="4"/>
        <v>0</v>
      </c>
      <c r="D58" s="1059">
        <f t="shared" si="5"/>
        <v>0</v>
      </c>
      <c r="E58" s="1059">
        <f t="shared" si="6"/>
        <v>0</v>
      </c>
      <c r="F58" s="1059">
        <f t="shared" si="7"/>
        <v>0</v>
      </c>
      <c r="G58" s="1059">
        <f t="shared" si="8"/>
        <v>0</v>
      </c>
      <c r="H58" s="827">
        <v>97</v>
      </c>
      <c r="I58" s="827">
        <f>'Emission-Waste Transport Vehicl'!N66</f>
        <v>16.959839976288002</v>
      </c>
      <c r="J58" s="827">
        <f>'Emission-Waste Transport Vehicl'!P66</f>
        <v>9.4361723945280005</v>
      </c>
      <c r="K58" s="827">
        <f>'Emission-Waste Transport Vehicl'!Q66</f>
        <v>7.3283968200960006</v>
      </c>
      <c r="L58" s="827">
        <f>'Emission-Waste Transport Vehicl'!R66</f>
        <v>0.72939372739200004</v>
      </c>
      <c r="M58" s="827">
        <f t="shared" si="14"/>
        <v>0</v>
      </c>
      <c r="N58" s="830">
        <f t="shared" si="10"/>
        <v>0</v>
      </c>
      <c r="O58" s="830">
        <f t="shared" si="11"/>
        <v>0</v>
      </c>
      <c r="P58" s="830">
        <f t="shared" si="12"/>
        <v>0</v>
      </c>
      <c r="Q58" s="830">
        <f t="shared" si="13"/>
        <v>0</v>
      </c>
      <c r="R58" s="2773"/>
    </row>
    <row r="59" spans="1:18" x14ac:dyDescent="0.25">
      <c r="A59" s="2770"/>
      <c r="B59" s="706">
        <v>2053</v>
      </c>
      <c r="C59" s="1058">
        <f t="shared" si="4"/>
        <v>0</v>
      </c>
      <c r="D59" s="1059">
        <f t="shared" si="5"/>
        <v>0</v>
      </c>
      <c r="E59" s="1059">
        <f t="shared" si="6"/>
        <v>0</v>
      </c>
      <c r="F59" s="1059">
        <f t="shared" si="7"/>
        <v>0</v>
      </c>
      <c r="G59" s="1059">
        <f t="shared" si="8"/>
        <v>0</v>
      </c>
      <c r="H59" s="827">
        <v>97</v>
      </c>
      <c r="I59" s="827">
        <f>'Emission-Waste Transport Vehicl'!N67</f>
        <v>15.361506000000002</v>
      </c>
      <c r="J59" s="827">
        <f>'Emission-Waste Transport Vehicl'!P67</f>
        <v>9.2511494064000015</v>
      </c>
      <c r="K59" s="827">
        <f>'Emission-Waste Transport Vehicl'!Q67</f>
        <v>7.1847027647999999</v>
      </c>
      <c r="L59" s="827">
        <f>'Emission-Waste Transport Vehicl'!R67</f>
        <v>0.71509188960000014</v>
      </c>
      <c r="M59" s="827">
        <f t="shared" si="14"/>
        <v>0</v>
      </c>
      <c r="N59" s="830">
        <f t="shared" si="10"/>
        <v>0</v>
      </c>
      <c r="O59" s="830">
        <f t="shared" si="11"/>
        <v>0</v>
      </c>
      <c r="P59" s="830">
        <f t="shared" si="12"/>
        <v>0</v>
      </c>
      <c r="Q59" s="830">
        <f t="shared" si="13"/>
        <v>0</v>
      </c>
      <c r="R59" s="2773"/>
    </row>
    <row r="60" spans="1:18" x14ac:dyDescent="0.25">
      <c r="A60" s="2770"/>
      <c r="B60" s="706">
        <v>2054</v>
      </c>
      <c r="C60" s="1058">
        <f t="shared" si="4"/>
        <v>0</v>
      </c>
      <c r="D60" s="1059">
        <f t="shared" si="5"/>
        <v>0</v>
      </c>
      <c r="E60" s="1059">
        <f t="shared" si="6"/>
        <v>0</v>
      </c>
      <c r="F60" s="1059">
        <f t="shared" si="7"/>
        <v>0</v>
      </c>
      <c r="G60" s="1059">
        <f t="shared" si="8"/>
        <v>0</v>
      </c>
      <c r="H60" s="827">
        <v>97</v>
      </c>
      <c r="I60" s="827">
        <f>'Emission-Waste Transport Vehicl'!N68</f>
        <v>16.301268720000003</v>
      </c>
      <c r="J60" s="827">
        <f>'Emission-Waste Transport Vehicl'!P68</f>
        <v>9.0697543200000013</v>
      </c>
      <c r="K60" s="827">
        <f>'Emission-Waste Transport Vehicl'!Q68</f>
        <v>7.0438262400000005</v>
      </c>
      <c r="L60" s="827">
        <f>'Emission-Waste Transport Vehicl'!R68</f>
        <v>0.70107048000000005</v>
      </c>
      <c r="M60" s="827">
        <f t="shared" si="14"/>
        <v>0</v>
      </c>
      <c r="N60" s="830">
        <f t="shared" si="10"/>
        <v>0</v>
      </c>
      <c r="O60" s="830">
        <f t="shared" si="11"/>
        <v>0</v>
      </c>
      <c r="P60" s="830">
        <f t="shared" si="12"/>
        <v>0</v>
      </c>
      <c r="Q60" s="830">
        <f t="shared" si="13"/>
        <v>0</v>
      </c>
      <c r="R60" s="2773"/>
    </row>
    <row r="61" spans="1:18" x14ac:dyDescent="0.25">
      <c r="A61" s="2770"/>
      <c r="B61" s="706">
        <v>2055</v>
      </c>
      <c r="C61" s="1058">
        <f t="shared" si="4"/>
        <v>0</v>
      </c>
      <c r="D61" s="1059">
        <f t="shared" si="5"/>
        <v>0</v>
      </c>
      <c r="E61" s="1059">
        <f t="shared" si="6"/>
        <v>0</v>
      </c>
      <c r="F61" s="1059">
        <f t="shared" si="7"/>
        <v>0</v>
      </c>
      <c r="G61" s="1059">
        <f t="shared" si="8"/>
        <v>0</v>
      </c>
      <c r="H61" s="827">
        <v>97</v>
      </c>
      <c r="I61" s="827">
        <f>'Emission-Waste Transport Vehicl'!N69</f>
        <v>15.981763853088003</v>
      </c>
      <c r="J61" s="827">
        <f>'Emission-Waste Transport Vehicl'!P69</f>
        <v>8.8919871353280016</v>
      </c>
      <c r="K61" s="827">
        <f>'Emission-Waste Transport Vehicl'!Q69</f>
        <v>6.9057672456960004</v>
      </c>
      <c r="L61" s="827">
        <f>'Emission-Waste Transport Vehicl'!R69</f>
        <v>0.6873294985920001</v>
      </c>
      <c r="M61" s="827">
        <f t="shared" si="14"/>
        <v>0</v>
      </c>
      <c r="N61" s="830">
        <f t="shared" si="10"/>
        <v>0</v>
      </c>
      <c r="O61" s="830">
        <f t="shared" si="11"/>
        <v>0</v>
      </c>
      <c r="P61" s="830">
        <f t="shared" si="12"/>
        <v>0</v>
      </c>
      <c r="Q61" s="830">
        <f t="shared" si="13"/>
        <v>0</v>
      </c>
      <c r="R61" s="2773"/>
    </row>
    <row r="62" spans="1:18" x14ac:dyDescent="0.25">
      <c r="A62" s="2770"/>
      <c r="B62" s="706">
        <v>2056</v>
      </c>
      <c r="C62" s="1058">
        <f t="shared" si="4"/>
        <v>0</v>
      </c>
      <c r="D62" s="1059">
        <f t="shared" si="5"/>
        <v>0</v>
      </c>
      <c r="E62" s="1059">
        <f t="shared" si="6"/>
        <v>0</v>
      </c>
      <c r="F62" s="1059">
        <f t="shared" si="7"/>
        <v>0</v>
      </c>
      <c r="G62" s="1059">
        <f t="shared" si="8"/>
        <v>0</v>
      </c>
      <c r="H62" s="827">
        <v>97</v>
      </c>
      <c r="I62" s="827">
        <f>'Emission-Waste Transport Vehicl'!N70</f>
        <v>15.668779493664003</v>
      </c>
      <c r="J62" s="827">
        <f>'Emission-Waste Transport Vehicl'!P70</f>
        <v>8.7178478523840006</v>
      </c>
      <c r="K62" s="827">
        <f>'Emission-Waste Transport Vehicl'!Q70</f>
        <v>6.7705257818880007</v>
      </c>
      <c r="L62" s="827">
        <f>'Emission-Waste Transport Vehicl'!R70</f>
        <v>0.67386894537600017</v>
      </c>
      <c r="M62" s="827">
        <f t="shared" si="14"/>
        <v>0</v>
      </c>
      <c r="N62" s="830">
        <f t="shared" si="10"/>
        <v>0</v>
      </c>
      <c r="O62" s="830">
        <f t="shared" si="11"/>
        <v>0</v>
      </c>
      <c r="P62" s="830">
        <f t="shared" si="12"/>
        <v>0</v>
      </c>
      <c r="Q62" s="830">
        <f t="shared" si="13"/>
        <v>0</v>
      </c>
      <c r="R62" s="2773"/>
    </row>
    <row r="63" spans="1:18" x14ac:dyDescent="0.25">
      <c r="A63" s="2770"/>
      <c r="B63" s="706">
        <v>2057</v>
      </c>
      <c r="C63" s="1058">
        <f t="shared" si="4"/>
        <v>0</v>
      </c>
      <c r="D63" s="1059">
        <f t="shared" si="5"/>
        <v>0</v>
      </c>
      <c r="E63" s="1059">
        <f t="shared" si="6"/>
        <v>0</v>
      </c>
      <c r="F63" s="1059">
        <f t="shared" si="7"/>
        <v>0</v>
      </c>
      <c r="G63" s="1059">
        <f t="shared" si="8"/>
        <v>0</v>
      </c>
      <c r="H63" s="827">
        <v>97</v>
      </c>
      <c r="I63" s="827">
        <f>'Emission-Waste Transport Vehicl'!N71</f>
        <v>15.362315641728001</v>
      </c>
      <c r="J63" s="827">
        <f>'Emission-Waste Transport Vehicl'!P71</f>
        <v>8.547336471168002</v>
      </c>
      <c r="K63" s="827">
        <f>'Emission-Waste Transport Vehicl'!Q71</f>
        <v>6.6381018485760004</v>
      </c>
      <c r="L63" s="827">
        <f>'Emission-Waste Transport Vehicl'!R71</f>
        <v>0.66068882035200005</v>
      </c>
      <c r="M63" s="827">
        <f t="shared" si="14"/>
        <v>0</v>
      </c>
      <c r="N63" s="830">
        <f t="shared" si="10"/>
        <v>0</v>
      </c>
      <c r="O63" s="830">
        <f t="shared" si="11"/>
        <v>0</v>
      </c>
      <c r="P63" s="830">
        <f t="shared" si="12"/>
        <v>0</v>
      </c>
      <c r="Q63" s="830">
        <f t="shared" si="13"/>
        <v>0</v>
      </c>
      <c r="R63" s="2773"/>
    </row>
    <row r="64" spans="1:18" x14ac:dyDescent="0.25">
      <c r="A64" s="2770"/>
      <c r="B64" s="706">
        <v>2058</v>
      </c>
      <c r="C64" s="1058">
        <f t="shared" si="4"/>
        <v>0</v>
      </c>
      <c r="D64" s="1059">
        <f t="shared" si="5"/>
        <v>0</v>
      </c>
      <c r="E64" s="1059">
        <f t="shared" si="6"/>
        <v>0</v>
      </c>
      <c r="F64" s="1059">
        <f t="shared" si="7"/>
        <v>0</v>
      </c>
      <c r="G64" s="1059">
        <f t="shared" si="8"/>
        <v>0</v>
      </c>
      <c r="H64" s="827">
        <v>97</v>
      </c>
      <c r="I64" s="827">
        <f>'Emission-Waste Transport Vehicl'!N72</f>
        <v>15.059112043536</v>
      </c>
      <c r="J64" s="827">
        <f>'Emission-Waste Transport Vehicl'!P72</f>
        <v>8.378639040816001</v>
      </c>
      <c r="K64" s="827">
        <f>'Emission-Waste Transport Vehicl'!Q72</f>
        <v>6.5070866805119998</v>
      </c>
      <c r="L64" s="827">
        <f>'Emission-Waste Transport Vehicl'!R72</f>
        <v>0.647648909424</v>
      </c>
      <c r="M64" s="827">
        <f t="shared" si="14"/>
        <v>0</v>
      </c>
      <c r="N64" s="830">
        <f t="shared" si="10"/>
        <v>0</v>
      </c>
      <c r="O64" s="830">
        <f t="shared" si="11"/>
        <v>0</v>
      </c>
      <c r="P64" s="830">
        <f t="shared" si="12"/>
        <v>0</v>
      </c>
      <c r="Q64" s="830">
        <f t="shared" si="13"/>
        <v>0</v>
      </c>
      <c r="R64" s="2773"/>
    </row>
    <row r="65" spans="1:18" x14ac:dyDescent="0.25">
      <c r="A65" s="2770"/>
      <c r="B65" s="706">
        <v>2059</v>
      </c>
      <c r="C65" s="1058">
        <f t="shared" si="4"/>
        <v>0</v>
      </c>
      <c r="D65" s="1059">
        <f t="shared" si="5"/>
        <v>0</v>
      </c>
      <c r="E65" s="1059">
        <f t="shared" si="6"/>
        <v>0</v>
      </c>
      <c r="F65" s="1059">
        <f t="shared" si="7"/>
        <v>0</v>
      </c>
      <c r="G65" s="1059">
        <f t="shared" si="8"/>
        <v>0</v>
      </c>
      <c r="H65" s="827">
        <v>97</v>
      </c>
      <c r="I65" s="827">
        <f>'Emission-Waste Transport Vehicl'!N73</f>
        <v>14.765689206576004</v>
      </c>
      <c r="J65" s="827">
        <f>'Emission-Waste Transport Vehicl'!P73</f>
        <v>8.2153834630560016</v>
      </c>
      <c r="K65" s="827">
        <f>'Emission-Waste Transport Vehicl'!Q73</f>
        <v>6.380297808192001</v>
      </c>
      <c r="L65" s="827">
        <f>'Emission-Waste Transport Vehicl'!R73</f>
        <v>0.63502964078400004</v>
      </c>
      <c r="M65" s="827">
        <f t="shared" si="14"/>
        <v>0</v>
      </c>
      <c r="N65" s="830">
        <f t="shared" si="10"/>
        <v>0</v>
      </c>
      <c r="O65" s="830">
        <f t="shared" si="11"/>
        <v>0</v>
      </c>
      <c r="P65" s="830">
        <f t="shared" si="12"/>
        <v>0</v>
      </c>
      <c r="Q65" s="830">
        <f t="shared" si="13"/>
        <v>0</v>
      </c>
      <c r="R65" s="2773"/>
    </row>
    <row r="66" spans="1:18" x14ac:dyDescent="0.25">
      <c r="A66" s="2770"/>
      <c r="B66" s="706">
        <v>2060</v>
      </c>
      <c r="C66" s="1058">
        <f t="shared" si="4"/>
        <v>0</v>
      </c>
      <c r="D66" s="1059">
        <f t="shared" si="5"/>
        <v>0</v>
      </c>
      <c r="E66" s="1059">
        <f t="shared" si="6"/>
        <v>0</v>
      </c>
      <c r="F66" s="1059">
        <f t="shared" si="7"/>
        <v>0</v>
      </c>
      <c r="G66" s="1059">
        <f t="shared" si="8"/>
        <v>0</v>
      </c>
      <c r="H66" s="827">
        <v>97</v>
      </c>
      <c r="I66" s="827">
        <f>'Emission-Waste Transport Vehicl'!N74</f>
        <v>14.475526623360002</v>
      </c>
      <c r="J66" s="827">
        <f>'Emission-Waste Transport Vehicl'!P74</f>
        <v>8.0539418361599999</v>
      </c>
      <c r="K66" s="827">
        <f>'Emission-Waste Transport Vehicl'!Q74</f>
        <v>6.2549177011200001</v>
      </c>
      <c r="L66" s="827">
        <f>'Emission-Waste Transport Vehicl'!R74</f>
        <v>0.62255058624000004</v>
      </c>
      <c r="M66" s="827">
        <f t="shared" si="14"/>
        <v>0</v>
      </c>
      <c r="N66" s="830">
        <f t="shared" si="10"/>
        <v>0</v>
      </c>
      <c r="O66" s="830">
        <f t="shared" si="11"/>
        <v>0</v>
      </c>
      <c r="P66" s="830">
        <f t="shared" si="12"/>
        <v>0</v>
      </c>
      <c r="Q66" s="830">
        <f t="shared" si="13"/>
        <v>0</v>
      </c>
      <c r="R66" s="2773"/>
    </row>
    <row r="67" spans="1:18" x14ac:dyDescent="0.25">
      <c r="A67" s="2770"/>
      <c r="B67" s="706">
        <v>2061</v>
      </c>
      <c r="C67" s="1058">
        <f t="shared" si="4"/>
        <v>0</v>
      </c>
      <c r="D67" s="1059">
        <f t="shared" si="5"/>
        <v>0</v>
      </c>
      <c r="E67" s="1059">
        <f t="shared" si="6"/>
        <v>0</v>
      </c>
      <c r="F67" s="1059">
        <f t="shared" si="7"/>
        <v>0</v>
      </c>
      <c r="G67" s="1059">
        <f t="shared" si="8"/>
        <v>0</v>
      </c>
      <c r="H67" s="827">
        <v>97</v>
      </c>
      <c r="I67" s="827">
        <f>'Emission-Waste Transport Vehicl'!N75</f>
        <v>14.191884547632004</v>
      </c>
      <c r="J67" s="827">
        <f>'Emission-Waste Transport Vehicl'!P75</f>
        <v>7.8961281109920014</v>
      </c>
      <c r="K67" s="827">
        <f>'Emission-Waste Transport Vehicl'!Q75</f>
        <v>6.1323551245440004</v>
      </c>
      <c r="L67" s="827">
        <f>'Emission-Waste Transport Vehicl'!R75</f>
        <v>0.61035195988800006</v>
      </c>
      <c r="M67" s="827">
        <f t="shared" si="14"/>
        <v>0</v>
      </c>
      <c r="N67" s="830">
        <f t="shared" si="10"/>
        <v>0</v>
      </c>
      <c r="O67" s="830">
        <f t="shared" si="11"/>
        <v>0</v>
      </c>
      <c r="P67" s="830">
        <f t="shared" si="12"/>
        <v>0</v>
      </c>
      <c r="Q67" s="830">
        <f t="shared" si="13"/>
        <v>0</v>
      </c>
      <c r="R67" s="2773"/>
    </row>
    <row r="68" spans="1:18" x14ac:dyDescent="0.25">
      <c r="A68" s="2770"/>
      <c r="B68" s="706">
        <v>2062</v>
      </c>
      <c r="C68" s="1058">
        <f t="shared" si="4"/>
        <v>0</v>
      </c>
      <c r="D68" s="1059">
        <f t="shared" si="5"/>
        <v>0</v>
      </c>
      <c r="E68" s="1059">
        <f t="shared" si="6"/>
        <v>0</v>
      </c>
      <c r="F68" s="1059">
        <f t="shared" si="7"/>
        <v>0</v>
      </c>
      <c r="G68" s="1059">
        <f t="shared" si="8"/>
        <v>0</v>
      </c>
      <c r="H68" s="827">
        <v>97</v>
      </c>
      <c r="I68" s="827">
        <f>'Emission-Waste Transport Vehicl'!N76</f>
        <v>13.914762979392002</v>
      </c>
      <c r="J68" s="827">
        <f>'Emission-Waste Transport Vehicl'!P76</f>
        <v>7.7419422875520008</v>
      </c>
      <c r="K68" s="827">
        <f>'Emission-Waste Transport Vehicl'!Q76</f>
        <v>6.0126100784640002</v>
      </c>
      <c r="L68" s="827">
        <f>'Emission-Waste Transport Vehicl'!R76</f>
        <v>0.59843376172800011</v>
      </c>
      <c r="M68" s="827">
        <f t="shared" si="14"/>
        <v>0</v>
      </c>
      <c r="N68" s="830">
        <f t="shared" si="10"/>
        <v>0</v>
      </c>
      <c r="O68" s="830">
        <f t="shared" si="11"/>
        <v>0</v>
      </c>
      <c r="P68" s="830">
        <f t="shared" si="12"/>
        <v>0</v>
      </c>
      <c r="Q68" s="830">
        <f t="shared" si="13"/>
        <v>0</v>
      </c>
      <c r="R68" s="2773"/>
    </row>
    <row r="69" spans="1:18" x14ac:dyDescent="0.25">
      <c r="A69" s="2770"/>
      <c r="B69" s="706">
        <v>2063</v>
      </c>
      <c r="C69" s="1058">
        <f t="shared" si="4"/>
        <v>0</v>
      </c>
      <c r="D69" s="1059">
        <f t="shared" si="5"/>
        <v>0</v>
      </c>
      <c r="E69" s="1059">
        <f t="shared" si="6"/>
        <v>0</v>
      </c>
      <c r="F69" s="1059">
        <f t="shared" si="7"/>
        <v>0</v>
      </c>
      <c r="G69" s="1059">
        <f t="shared" si="8"/>
        <v>0</v>
      </c>
      <c r="H69" s="827">
        <v>97</v>
      </c>
      <c r="I69" s="827">
        <f>'Emission-Waste Transport Vehicl'!N77</f>
        <v>13.640901664896001</v>
      </c>
      <c r="J69" s="827">
        <f>'Emission-Waste Transport Vehicl'!P77</f>
        <v>7.5895704149760004</v>
      </c>
      <c r="K69" s="827">
        <f>'Emission-Waste Transport Vehicl'!Q77</f>
        <v>5.8942737976319997</v>
      </c>
      <c r="L69" s="827">
        <f>'Emission-Waste Transport Vehicl'!R77</f>
        <v>0.58665577766400001</v>
      </c>
      <c r="M69" s="827">
        <f t="shared" si="14"/>
        <v>0</v>
      </c>
      <c r="N69" s="830">
        <f t="shared" si="10"/>
        <v>0</v>
      </c>
      <c r="O69" s="830">
        <f t="shared" si="11"/>
        <v>0</v>
      </c>
      <c r="P69" s="830">
        <f t="shared" si="12"/>
        <v>0</v>
      </c>
      <c r="Q69" s="830">
        <f t="shared" si="13"/>
        <v>0</v>
      </c>
      <c r="R69" s="2773"/>
    </row>
    <row r="70" spans="1:18" x14ac:dyDescent="0.25">
      <c r="A70" s="2770"/>
      <c r="B70" s="706">
        <v>2064</v>
      </c>
      <c r="C70" s="1058">
        <f t="shared" si="4"/>
        <v>0</v>
      </c>
      <c r="D70" s="1059">
        <f t="shared" si="5"/>
        <v>0</v>
      </c>
      <c r="E70" s="1059">
        <f t="shared" si="6"/>
        <v>0</v>
      </c>
      <c r="F70" s="1059">
        <f t="shared" si="7"/>
        <v>0</v>
      </c>
      <c r="G70" s="1059">
        <f t="shared" si="8"/>
        <v>0</v>
      </c>
      <c r="H70" s="827">
        <v>97</v>
      </c>
      <c r="I70" s="827">
        <f>'Emission-Waste Transport Vehicl'!N78</f>
        <v>13.373560857888002</v>
      </c>
      <c r="J70" s="827">
        <f>'Emission-Waste Transport Vehicl'!P78</f>
        <v>7.4408264441280014</v>
      </c>
      <c r="K70" s="827">
        <f>'Emission-Waste Transport Vehicl'!Q78</f>
        <v>5.7787550472960003</v>
      </c>
      <c r="L70" s="827">
        <f>'Emission-Waste Transport Vehicl'!R78</f>
        <v>0.57515822179200005</v>
      </c>
      <c r="M70" s="827">
        <f t="shared" si="14"/>
        <v>0</v>
      </c>
      <c r="N70" s="830">
        <f t="shared" si="10"/>
        <v>0</v>
      </c>
      <c r="O70" s="830">
        <f t="shared" si="11"/>
        <v>0</v>
      </c>
      <c r="P70" s="830">
        <f t="shared" si="12"/>
        <v>0</v>
      </c>
      <c r="Q70" s="830">
        <f t="shared" ref="Q70:Q75" si="15">G70*L70</f>
        <v>0</v>
      </c>
      <c r="R70" s="2773"/>
    </row>
    <row r="71" spans="1:18" x14ac:dyDescent="0.25">
      <c r="A71" s="2770"/>
      <c r="B71" s="706">
        <v>2065</v>
      </c>
      <c r="C71" s="1058">
        <f t="shared" si="4"/>
        <v>0</v>
      </c>
      <c r="D71" s="1059">
        <f t="shared" si="5"/>
        <v>0</v>
      </c>
      <c r="E71" s="1059">
        <f t="shared" si="6"/>
        <v>0</v>
      </c>
      <c r="F71" s="1059">
        <f t="shared" si="7"/>
        <v>0</v>
      </c>
      <c r="G71" s="1059">
        <f t="shared" si="8"/>
        <v>0</v>
      </c>
      <c r="H71" s="827">
        <v>97</v>
      </c>
      <c r="I71" s="827">
        <f>'Emission-Waste Transport Vehicl'!N79</f>
        <v>13.112740558368001</v>
      </c>
      <c r="J71" s="827">
        <f>'Emission-Waste Transport Vehicl'!P79</f>
        <v>7.2957103750080003</v>
      </c>
      <c r="K71" s="827">
        <f>'Emission-Waste Transport Vehicl'!Q79</f>
        <v>5.6660538274560004</v>
      </c>
      <c r="L71" s="827">
        <f>'Emission-Waste Transport Vehicl'!R79</f>
        <v>0.56394109411200011</v>
      </c>
      <c r="M71" s="827">
        <f t="shared" si="14"/>
        <v>0</v>
      </c>
      <c r="N71" s="830">
        <f t="shared" si="10"/>
        <v>0</v>
      </c>
      <c r="O71" s="830">
        <f t="shared" si="11"/>
        <v>0</v>
      </c>
      <c r="P71" s="830">
        <f t="shared" si="12"/>
        <v>0</v>
      </c>
      <c r="Q71" s="830">
        <f t="shared" si="15"/>
        <v>0</v>
      </c>
      <c r="R71" s="2773"/>
    </row>
    <row r="72" spans="1:18" x14ac:dyDescent="0.25">
      <c r="A72" s="2770"/>
      <c r="B72" s="706">
        <v>2066</v>
      </c>
      <c r="C72" s="1058">
        <f t="shared" si="4"/>
        <v>0</v>
      </c>
      <c r="D72" s="1059">
        <f t="shared" si="5"/>
        <v>0</v>
      </c>
      <c r="E72" s="1059">
        <f t="shared" si="6"/>
        <v>0</v>
      </c>
      <c r="F72" s="1059">
        <f t="shared" si="7"/>
        <v>0</v>
      </c>
      <c r="G72" s="1059">
        <f t="shared" si="8"/>
        <v>0</v>
      </c>
      <c r="H72" s="827">
        <v>97</v>
      </c>
      <c r="I72" s="827">
        <f>'Emission-Waste Transport Vehicl'!N80</f>
        <v>12.855180512592</v>
      </c>
      <c r="J72" s="827">
        <f>'Emission-Waste Transport Vehicl'!P80</f>
        <v>7.1524082567520004</v>
      </c>
      <c r="K72" s="827">
        <f>'Emission-Waste Transport Vehicl'!Q80</f>
        <v>5.5547613728639993</v>
      </c>
      <c r="L72" s="827">
        <f>'Emission-Waste Transport Vehicl'!R80</f>
        <v>0.55286418052800002</v>
      </c>
      <c r="M72" s="827">
        <f t="shared" si="14"/>
        <v>0</v>
      </c>
      <c r="N72" s="830">
        <f t="shared" si="10"/>
        <v>0</v>
      </c>
      <c r="O72" s="830">
        <f t="shared" si="11"/>
        <v>0</v>
      </c>
      <c r="P72" s="830">
        <f t="shared" si="12"/>
        <v>0</v>
      </c>
      <c r="Q72" s="830">
        <f t="shared" si="15"/>
        <v>0</v>
      </c>
      <c r="R72" s="2773"/>
    </row>
    <row r="73" spans="1:18" x14ac:dyDescent="0.25">
      <c r="A73" s="2770"/>
      <c r="B73" s="706">
        <v>2067</v>
      </c>
      <c r="C73" s="1058">
        <f t="shared" si="4"/>
        <v>0</v>
      </c>
      <c r="D73" s="1059">
        <f t="shared" si="5"/>
        <v>0</v>
      </c>
      <c r="E73" s="1059">
        <f t="shared" si="6"/>
        <v>0</v>
      </c>
      <c r="F73" s="1059">
        <f t="shared" si="7"/>
        <v>0</v>
      </c>
      <c r="G73" s="1059">
        <f t="shared" si="8"/>
        <v>0</v>
      </c>
      <c r="H73" s="827">
        <v>97</v>
      </c>
      <c r="I73" s="827">
        <f>'Emission-Waste Transport Vehicl'!N81</f>
        <v>12.600880720560001</v>
      </c>
      <c r="J73" s="827">
        <f>'Emission-Waste Transport Vehicl'!P81</f>
        <v>7.0109200893600008</v>
      </c>
      <c r="K73" s="827">
        <f>'Emission-Waste Transport Vehicl'!Q81</f>
        <v>5.4448776835200006</v>
      </c>
      <c r="L73" s="827">
        <f>'Emission-Waste Transport Vehicl'!R81</f>
        <v>0.5419274810400001</v>
      </c>
      <c r="M73" s="827">
        <f t="shared" si="14"/>
        <v>0</v>
      </c>
      <c r="N73" s="830">
        <f t="shared" si="10"/>
        <v>0</v>
      </c>
      <c r="O73" s="830">
        <f t="shared" si="11"/>
        <v>0</v>
      </c>
      <c r="P73" s="830">
        <f t="shared" si="12"/>
        <v>0</v>
      </c>
      <c r="Q73" s="830">
        <f t="shared" si="15"/>
        <v>0</v>
      </c>
      <c r="R73" s="2773"/>
    </row>
    <row r="74" spans="1:18" x14ac:dyDescent="0.25">
      <c r="A74" s="2770"/>
      <c r="B74" s="706">
        <v>2068</v>
      </c>
      <c r="C74" s="1058">
        <f t="shared" si="4"/>
        <v>0</v>
      </c>
      <c r="D74" s="1059">
        <f t="shared" si="5"/>
        <v>0</v>
      </c>
      <c r="E74" s="1059">
        <f t="shared" si="6"/>
        <v>0</v>
      </c>
      <c r="F74" s="1059">
        <f t="shared" si="7"/>
        <v>0</v>
      </c>
      <c r="G74" s="1059">
        <f t="shared" si="8"/>
        <v>0</v>
      </c>
      <c r="H74" s="827">
        <v>97</v>
      </c>
      <c r="I74" s="827">
        <f>'Emission-Waste Transport Vehicl'!N82</f>
        <v>12.356361689760002</v>
      </c>
      <c r="J74" s="827">
        <f>'Emission-Waste Transport Vehicl'!P82</f>
        <v>6.8748737745600002</v>
      </c>
      <c r="K74" s="827">
        <f>'Emission-Waste Transport Vehicl'!Q82</f>
        <v>5.339220289920001</v>
      </c>
      <c r="L74" s="827">
        <f>'Emission-Waste Transport Vehicl'!R82</f>
        <v>0.53141142384000006</v>
      </c>
      <c r="M74" s="827">
        <f t="shared" si="14"/>
        <v>0</v>
      </c>
      <c r="N74" s="830">
        <f t="shared" si="10"/>
        <v>0</v>
      </c>
      <c r="O74" s="830">
        <f t="shared" si="11"/>
        <v>0</v>
      </c>
      <c r="P74" s="830">
        <f t="shared" si="12"/>
        <v>0</v>
      </c>
      <c r="Q74" s="830">
        <f t="shared" si="15"/>
        <v>0</v>
      </c>
      <c r="R74" s="2773"/>
    </row>
    <row r="75" spans="1:18" ht="15.75" thickBot="1" x14ac:dyDescent="0.3">
      <c r="A75" s="2771"/>
      <c r="B75" s="55">
        <v>2069</v>
      </c>
      <c r="C75" s="1060">
        <f t="shared" si="4"/>
        <v>0</v>
      </c>
      <c r="D75" s="1061">
        <f t="shared" si="5"/>
        <v>0</v>
      </c>
      <c r="E75" s="1061">
        <f t="shared" si="6"/>
        <v>0</v>
      </c>
      <c r="F75" s="1061">
        <f t="shared" si="7"/>
        <v>0</v>
      </c>
      <c r="G75" s="1061">
        <f t="shared" si="8"/>
        <v>0</v>
      </c>
      <c r="H75" s="1062">
        <v>97</v>
      </c>
      <c r="I75" s="1062">
        <f>'Emission-Waste Transport Vehicl'!N83</f>
        <v>12.111842658960002</v>
      </c>
      <c r="J75" s="1062">
        <f>'Emission-Waste Transport Vehicl'!P83</f>
        <v>6.7388274597600004</v>
      </c>
      <c r="K75" s="1062">
        <f>'Emission-Waste Transport Vehicl'!Q83</f>
        <v>5.2335628963200005</v>
      </c>
      <c r="L75" s="1062">
        <f>'Emission-Waste Transport Vehicl'!R83</f>
        <v>0.52089536664000002</v>
      </c>
      <c r="M75" s="1062">
        <f t="shared" si="14"/>
        <v>0</v>
      </c>
      <c r="N75" s="1063">
        <f t="shared" si="10"/>
        <v>0</v>
      </c>
      <c r="O75" s="1063">
        <f t="shared" si="11"/>
        <v>0</v>
      </c>
      <c r="P75" s="1063">
        <f t="shared" si="12"/>
        <v>0</v>
      </c>
      <c r="Q75" s="1063">
        <f t="shared" si="15"/>
        <v>0</v>
      </c>
      <c r="R75" s="2774"/>
    </row>
    <row r="76" spans="1:18" ht="15.75" thickBot="1" x14ac:dyDescent="0.3">
      <c r="A76" s="1064"/>
      <c r="B76" s="1065"/>
      <c r="C76" s="1066"/>
      <c r="D76" s="1066"/>
      <c r="E76" s="1066"/>
      <c r="F76" s="1066"/>
      <c r="G76" s="1066"/>
      <c r="H76" s="1067"/>
      <c r="I76" s="1068"/>
      <c r="J76" s="1068"/>
      <c r="K76" s="1068"/>
      <c r="L76" s="1068"/>
      <c r="M76" s="1068"/>
      <c r="N76" s="1069"/>
      <c r="O76" s="1069"/>
      <c r="P76" s="1069"/>
      <c r="Q76" s="1069"/>
      <c r="R76" s="1070"/>
    </row>
    <row r="77" spans="1:18" ht="55.5" customHeight="1" thickBot="1" x14ac:dyDescent="0.3">
      <c r="A77" s="2627" t="s">
        <v>1315</v>
      </c>
      <c r="B77" s="2628"/>
      <c r="C77" s="2628"/>
      <c r="D77" s="2628"/>
      <c r="E77" s="2628"/>
      <c r="F77" s="2628"/>
      <c r="G77" s="2628"/>
      <c r="H77" s="2628"/>
      <c r="I77" s="2628"/>
      <c r="J77" s="2628"/>
      <c r="K77" s="2628"/>
      <c r="L77" s="2628"/>
      <c r="M77" s="2628"/>
      <c r="N77" s="2628"/>
      <c r="O77" s="2628"/>
      <c r="P77" s="2628"/>
      <c r="Q77" s="2628"/>
      <c r="R77" s="2629"/>
    </row>
    <row r="78" spans="1:18" ht="69.75" customHeight="1" thickBot="1" x14ac:dyDescent="0.3">
      <c r="A78" s="861" t="s">
        <v>1115</v>
      </c>
      <c r="B78" s="1071" t="s">
        <v>177</v>
      </c>
      <c r="C78" s="821" t="s">
        <v>287</v>
      </c>
      <c r="D78" s="821" t="s">
        <v>1116</v>
      </c>
      <c r="E78" s="821" t="s">
        <v>1104</v>
      </c>
      <c r="F78" s="821" t="s">
        <v>1241</v>
      </c>
      <c r="G78" s="821" t="s">
        <v>1242</v>
      </c>
      <c r="H78" s="821" t="s">
        <v>288</v>
      </c>
      <c r="I78" s="821" t="s">
        <v>1080</v>
      </c>
      <c r="J78" s="821" t="s">
        <v>273</v>
      </c>
      <c r="K78" s="821" t="s">
        <v>455</v>
      </c>
      <c r="L78" s="821" t="s">
        <v>274</v>
      </c>
      <c r="M78" s="821" t="s">
        <v>315</v>
      </c>
      <c r="N78" s="821" t="s">
        <v>1079</v>
      </c>
      <c r="O78" s="821" t="s">
        <v>271</v>
      </c>
      <c r="P78" s="821" t="s">
        <v>277</v>
      </c>
      <c r="Q78" s="821" t="s">
        <v>278</v>
      </c>
      <c r="R78" s="836" t="s">
        <v>316</v>
      </c>
    </row>
    <row r="79" spans="1:18" x14ac:dyDescent="0.25">
      <c r="A79" s="2780" t="s">
        <v>1059</v>
      </c>
      <c r="B79" s="881">
        <v>2019</v>
      </c>
      <c r="C79" s="1055">
        <f>$K$18</f>
        <v>826.11826880458273</v>
      </c>
      <c r="D79" s="1055">
        <f>$J$18</f>
        <v>129.9511883512827</v>
      </c>
      <c r="E79" s="1055">
        <f>$G$18</f>
        <v>666.57997953403481</v>
      </c>
      <c r="F79" s="1055">
        <f>$H$18</f>
        <v>90.501720458929015</v>
      </c>
      <c r="G79" s="1055">
        <f>$I$18</f>
        <v>94.562695094906573</v>
      </c>
      <c r="H79" s="1072">
        <f>0.0584*1.02</f>
        <v>5.9568000000000003E-2</v>
      </c>
      <c r="I79" s="1056">
        <f>'Emission-Waste Transport Vehicl'!N33</f>
        <v>32.602537440000006</v>
      </c>
      <c r="J79" s="1056">
        <f>'Emission-Waste Transport Vehicl'!P33</f>
        <v>18.139508640000003</v>
      </c>
      <c r="K79" s="1056">
        <f>'Emission-Waste Transport Vehicl'!Q33</f>
        <v>14.087652480000001</v>
      </c>
      <c r="L79" s="1056">
        <f>'Emission-Waste Transport Vehicl'!R33</f>
        <v>1.4021409600000001</v>
      </c>
      <c r="M79" s="1056">
        <f t="shared" ref="M79:M110" si="16">(C79/1000)*H79</f>
        <v>4.9210213036151383E-2</v>
      </c>
      <c r="N79" s="1057">
        <f t="shared" ref="N79:N110" si="17">D79*I79</f>
        <v>4236.7384835951871</v>
      </c>
      <c r="O79" s="1057">
        <f t="shared" ref="O79:O110" si="18">E79*J79</f>
        <v>12091.433298008649</v>
      </c>
      <c r="P79" s="1057">
        <f t="shared" ref="P79:P110" si="19">F79*K79</f>
        <v>1274.9567866674981</v>
      </c>
      <c r="Q79" s="1057">
        <f t="shared" ref="Q79:Q129" si="20">G79*L79</f>
        <v>132.5902280805596</v>
      </c>
      <c r="R79" s="2772">
        <f>(SUM(M79:M129)*1.2682)+(SUM(N79:N129))+(SUM(O79:O129))+(SUM(P79:P129))+(SUM(Q79:Q129))</f>
        <v>574893.38480307162</v>
      </c>
    </row>
    <row r="80" spans="1:18" x14ac:dyDescent="0.25">
      <c r="A80" s="2781"/>
      <c r="B80" s="775">
        <v>2020</v>
      </c>
      <c r="C80" s="1058">
        <f t="shared" ref="C80:C129" si="21">$K$18</f>
        <v>826.11826880458273</v>
      </c>
      <c r="D80" s="1058">
        <f t="shared" ref="D80:D129" si="22">$J$18</f>
        <v>129.9511883512827</v>
      </c>
      <c r="E80" s="1058">
        <f t="shared" ref="E80:E129" si="23">$G$18</f>
        <v>666.57997953403481</v>
      </c>
      <c r="F80" s="1058">
        <f t="shared" ref="F80:F129" si="24">$H$18</f>
        <v>90.501720458929015</v>
      </c>
      <c r="G80" s="1058">
        <f t="shared" ref="G80:G129" si="25">$I$18</f>
        <v>94.562695094906573</v>
      </c>
      <c r="H80" s="827">
        <f>(0.0584*1.02)*0.9804</f>
        <v>5.8400467200000007E-2</v>
      </c>
      <c r="I80" s="827">
        <f>'Emission-Waste Transport Vehicl'!N34</f>
        <v>31.963527706176006</v>
      </c>
      <c r="J80" s="827">
        <f>'Emission-Waste Transport Vehicl'!P34</f>
        <v>17.783974270656003</v>
      </c>
      <c r="K80" s="827">
        <f>'Emission-Waste Transport Vehicl'!Q34</f>
        <v>13.811534491392001</v>
      </c>
      <c r="L80" s="827">
        <f>'Emission-Waste Transport Vehicl'!R34</f>
        <v>1.3746589971840002</v>
      </c>
      <c r="M80" s="827">
        <f t="shared" si="16"/>
        <v>4.8245692860642821E-2</v>
      </c>
      <c r="N80" s="830">
        <f t="shared" si="17"/>
        <v>4153.6984093167212</v>
      </c>
      <c r="O80" s="830">
        <f t="shared" si="18"/>
        <v>11854.441205367681</v>
      </c>
      <c r="P80" s="830">
        <f t="shared" si="19"/>
        <v>1249.9676336488151</v>
      </c>
      <c r="Q80" s="830">
        <f t="shared" si="20"/>
        <v>129.99145961018064</v>
      </c>
      <c r="R80" s="2773"/>
    </row>
    <row r="81" spans="1:18" x14ac:dyDescent="0.25">
      <c r="A81" s="2781"/>
      <c r="B81" s="775">
        <v>2021</v>
      </c>
      <c r="C81" s="1058">
        <f t="shared" si="21"/>
        <v>826.11826880458273</v>
      </c>
      <c r="D81" s="1058">
        <f t="shared" si="22"/>
        <v>129.9511883512827</v>
      </c>
      <c r="E81" s="1058">
        <f t="shared" si="23"/>
        <v>666.57997953403481</v>
      </c>
      <c r="F81" s="1058">
        <f t="shared" si="24"/>
        <v>90.501720458929015</v>
      </c>
      <c r="G81" s="1058">
        <f t="shared" si="25"/>
        <v>94.562695094906573</v>
      </c>
      <c r="H81" s="827">
        <f>(0.0584*1.02)*0.9612</f>
        <v>5.7256761600000004E-2</v>
      </c>
      <c r="I81" s="827">
        <f>'Emission-Waste Transport Vehicl'!N35</f>
        <v>31.337558987328006</v>
      </c>
      <c r="J81" s="827">
        <f>'Emission-Waste Transport Vehicl'!P35</f>
        <v>17.435695704768001</v>
      </c>
      <c r="K81" s="827">
        <f>'Emission-Waste Transport Vehicl'!Q35</f>
        <v>13.541051563776001</v>
      </c>
      <c r="L81" s="827">
        <f>'Emission-Waste Transport Vehicl'!R35</f>
        <v>1.3477378907520003</v>
      </c>
      <c r="M81" s="827">
        <f t="shared" si="16"/>
        <v>4.7300856770348711E-2</v>
      </c>
      <c r="N81" s="830">
        <f t="shared" si="17"/>
        <v>4072.3530304316932</v>
      </c>
      <c r="O81" s="830">
        <f t="shared" si="18"/>
        <v>11622.285686045912</v>
      </c>
      <c r="P81" s="830">
        <f t="shared" si="19"/>
        <v>1225.4884633447994</v>
      </c>
      <c r="Q81" s="830">
        <f t="shared" si="20"/>
        <v>127.44572723103391</v>
      </c>
      <c r="R81" s="2773"/>
    </row>
    <row r="82" spans="1:18" x14ac:dyDescent="0.25">
      <c r="A82" s="2781"/>
      <c r="B82" s="775">
        <v>2022</v>
      </c>
      <c r="C82" s="1058">
        <f t="shared" si="21"/>
        <v>826.11826880458273</v>
      </c>
      <c r="D82" s="1058">
        <f t="shared" si="22"/>
        <v>129.9511883512827</v>
      </c>
      <c r="E82" s="1058">
        <f t="shared" si="23"/>
        <v>666.57997953403481</v>
      </c>
      <c r="F82" s="1058">
        <f t="shared" si="24"/>
        <v>90.501720458929015</v>
      </c>
      <c r="G82" s="1058">
        <f t="shared" si="25"/>
        <v>94.562695094906573</v>
      </c>
      <c r="H82" s="827">
        <f>(0.0584*1.02)*0.9423</f>
        <v>5.6130926400000003E-2</v>
      </c>
      <c r="I82" s="827">
        <f>'Emission-Waste Transport Vehicl'!N36</f>
        <v>30.721371029712003</v>
      </c>
      <c r="J82" s="827">
        <f>'Emission-Waste Transport Vehicl'!P36</f>
        <v>17.092858991472003</v>
      </c>
      <c r="K82" s="827">
        <f>'Emission-Waste Transport Vehicl'!Q36</f>
        <v>13.274794931903999</v>
      </c>
      <c r="L82" s="827">
        <f>'Emission-Waste Transport Vehicl'!R36</f>
        <v>1.3212374266080003</v>
      </c>
      <c r="M82" s="827">
        <f t="shared" si="16"/>
        <v>4.637078374396545E-2</v>
      </c>
      <c r="N82" s="830">
        <f t="shared" si="17"/>
        <v>3992.2786730917442</v>
      </c>
      <c r="O82" s="830">
        <f t="shared" si="18"/>
        <v>11393.757596713551</v>
      </c>
      <c r="P82" s="830">
        <f t="shared" si="19"/>
        <v>1201.3917800767833</v>
      </c>
      <c r="Q82" s="830">
        <f t="shared" si="20"/>
        <v>124.93977192031133</v>
      </c>
      <c r="R82" s="2773"/>
    </row>
    <row r="83" spans="1:18" x14ac:dyDescent="0.25">
      <c r="A83" s="2781"/>
      <c r="B83" s="775">
        <v>2023</v>
      </c>
      <c r="C83" s="1058">
        <f t="shared" si="21"/>
        <v>826.11826880458273</v>
      </c>
      <c r="D83" s="1058">
        <f t="shared" si="22"/>
        <v>129.9511883512827</v>
      </c>
      <c r="E83" s="1058">
        <f t="shared" si="23"/>
        <v>666.57997953403481</v>
      </c>
      <c r="F83" s="1058">
        <f t="shared" si="24"/>
        <v>90.501720458929015</v>
      </c>
      <c r="G83" s="1058">
        <f t="shared" si="25"/>
        <v>94.562695094906573</v>
      </c>
      <c r="H83" s="827">
        <f>(0.0584*1.02)*0.9238</f>
        <v>5.5028918400000001E-2</v>
      </c>
      <c r="I83" s="827">
        <f>'Emission-Waste Transport Vehicl'!N37</f>
        <v>30.118224087072001</v>
      </c>
      <c r="J83" s="827">
        <f>'Emission-Waste Transport Vehicl'!P37</f>
        <v>16.757278081632002</v>
      </c>
      <c r="K83" s="827">
        <f>'Emission-Waste Transport Vehicl'!Q37</f>
        <v>13.014173361024</v>
      </c>
      <c r="L83" s="827">
        <f>'Emission-Waste Transport Vehicl'!R37</f>
        <v>1.295297818848</v>
      </c>
      <c r="M83" s="827">
        <f t="shared" si="16"/>
        <v>4.546039480279665E-2</v>
      </c>
      <c r="N83" s="830">
        <f t="shared" si="17"/>
        <v>3913.8990111452331</v>
      </c>
      <c r="O83" s="830">
        <f t="shared" si="18"/>
        <v>11170.06608070039</v>
      </c>
      <c r="P83" s="830">
        <f t="shared" si="19"/>
        <v>1177.8050795234346</v>
      </c>
      <c r="Q83" s="830">
        <f t="shared" si="20"/>
        <v>122.48685270082095</v>
      </c>
      <c r="R83" s="2773"/>
    </row>
    <row r="84" spans="1:18" x14ac:dyDescent="0.25">
      <c r="A84" s="2781"/>
      <c r="B84" s="775">
        <v>2024</v>
      </c>
      <c r="C84" s="1058">
        <f t="shared" si="21"/>
        <v>826.11826880458273</v>
      </c>
      <c r="D84" s="1058">
        <f t="shared" si="22"/>
        <v>129.9511883512827</v>
      </c>
      <c r="E84" s="1058">
        <f t="shared" si="23"/>
        <v>666.57997953403481</v>
      </c>
      <c r="F84" s="1058">
        <f t="shared" si="24"/>
        <v>90.501720458929015</v>
      </c>
      <c r="G84" s="1058">
        <f t="shared" si="25"/>
        <v>94.562695094906573</v>
      </c>
      <c r="H84" s="827">
        <f>(0.0584*1.02)*0.9057</f>
        <v>5.39507376E-2</v>
      </c>
      <c r="I84" s="827">
        <f>'Emission-Waste Transport Vehicl'!N38</f>
        <v>29.528118159408002</v>
      </c>
      <c r="J84" s="827">
        <f>'Emission-Waste Transport Vehicl'!P38</f>
        <v>16.428952975248002</v>
      </c>
      <c r="K84" s="827">
        <f>'Emission-Waste Transport Vehicl'!Q38</f>
        <v>12.759186851135999</v>
      </c>
      <c r="L84" s="827">
        <f>'Emission-Waste Transport Vehicl'!R38</f>
        <v>1.269919067472</v>
      </c>
      <c r="M84" s="827">
        <f t="shared" si="16"/>
        <v>4.4569689946842309E-2</v>
      </c>
      <c r="N84" s="830">
        <f t="shared" si="17"/>
        <v>3837.21404459216</v>
      </c>
      <c r="O84" s="830">
        <f t="shared" si="18"/>
        <v>10951.211138006434</v>
      </c>
      <c r="P84" s="830">
        <f t="shared" si="19"/>
        <v>1154.7283616847528</v>
      </c>
      <c r="Q84" s="830">
        <f t="shared" si="20"/>
        <v>120.08696957256282</v>
      </c>
      <c r="R84" s="2773"/>
    </row>
    <row r="85" spans="1:18" x14ac:dyDescent="0.25">
      <c r="A85" s="2781"/>
      <c r="B85" s="775">
        <v>2025</v>
      </c>
      <c r="C85" s="1058">
        <f t="shared" si="21"/>
        <v>826.11826880458273</v>
      </c>
      <c r="D85" s="1058">
        <f t="shared" si="22"/>
        <v>129.9511883512827</v>
      </c>
      <c r="E85" s="1058">
        <f t="shared" si="23"/>
        <v>666.57997953403481</v>
      </c>
      <c r="F85" s="1058">
        <f t="shared" si="24"/>
        <v>90.501720458929015</v>
      </c>
      <c r="G85" s="1058">
        <f t="shared" si="25"/>
        <v>94.562695094906573</v>
      </c>
      <c r="H85" s="827">
        <f>(0.0584*1.02)*0.888</f>
        <v>5.2896384000000005E-2</v>
      </c>
      <c r="I85" s="827">
        <f>'Emission-Waste Transport Vehicl'!N39</f>
        <v>28.951053246720004</v>
      </c>
      <c r="J85" s="827">
        <f>'Emission-Waste Transport Vehicl'!P39</f>
        <v>16.10788367232</v>
      </c>
      <c r="K85" s="827">
        <f>'Emission-Waste Transport Vehicl'!Q39</f>
        <v>12.50983540224</v>
      </c>
      <c r="L85" s="827">
        <f>'Emission-Waste Transport Vehicl'!R39</f>
        <v>1.2451011724800001</v>
      </c>
      <c r="M85" s="827">
        <f t="shared" si="16"/>
        <v>4.3698669176102434E-2</v>
      </c>
      <c r="N85" s="830">
        <f t="shared" si="17"/>
        <v>3762.2237734325258</v>
      </c>
      <c r="O85" s="830">
        <f t="shared" si="18"/>
        <v>10737.192768631679</v>
      </c>
      <c r="P85" s="830">
        <f t="shared" si="19"/>
        <v>1132.1616265607383</v>
      </c>
      <c r="Q85" s="830">
        <f t="shared" si="20"/>
        <v>117.74012253553693</v>
      </c>
      <c r="R85" s="2773"/>
    </row>
    <row r="86" spans="1:18" x14ac:dyDescent="0.25">
      <c r="A86" s="2781"/>
      <c r="B86" s="775">
        <v>2026</v>
      </c>
      <c r="C86" s="1058">
        <f t="shared" si="21"/>
        <v>826.11826880458273</v>
      </c>
      <c r="D86" s="1058">
        <f t="shared" si="22"/>
        <v>129.9511883512827</v>
      </c>
      <c r="E86" s="1058">
        <f t="shared" si="23"/>
        <v>666.57997953403481</v>
      </c>
      <c r="F86" s="1058">
        <f t="shared" si="24"/>
        <v>90.501720458929015</v>
      </c>
      <c r="G86" s="1058">
        <f t="shared" si="25"/>
        <v>94.562695094906573</v>
      </c>
      <c r="H86" s="827">
        <f>(0.0584*1.02)*0.8706</f>
        <v>5.1859900800000004E-2</v>
      </c>
      <c r="I86" s="827">
        <f>'Emission-Waste Transport Vehicl'!N40</f>
        <v>28.383769095264007</v>
      </c>
      <c r="J86" s="827">
        <f>'Emission-Waste Transport Vehicl'!P40</f>
        <v>15.792256221984003</v>
      </c>
      <c r="K86" s="827">
        <f>'Emission-Waste Transport Vehicl'!Q40</f>
        <v>12.264710249088001</v>
      </c>
      <c r="L86" s="827">
        <f>'Emission-Waste Transport Vehicl'!R40</f>
        <v>1.2207039197760001</v>
      </c>
      <c r="M86" s="827">
        <f t="shared" si="16"/>
        <v>4.2842411469273395E-2</v>
      </c>
      <c r="N86" s="830">
        <f t="shared" si="17"/>
        <v>3688.50452381797</v>
      </c>
      <c r="O86" s="830">
        <f t="shared" si="18"/>
        <v>10526.801829246331</v>
      </c>
      <c r="P86" s="830">
        <f t="shared" si="19"/>
        <v>1109.977378472724</v>
      </c>
      <c r="Q86" s="830">
        <f t="shared" si="20"/>
        <v>115.43305256693519</v>
      </c>
      <c r="R86" s="2773"/>
    </row>
    <row r="87" spans="1:18" x14ac:dyDescent="0.25">
      <c r="A87" s="2781"/>
      <c r="B87" s="775">
        <v>2027</v>
      </c>
      <c r="C87" s="1058">
        <f t="shared" si="21"/>
        <v>826.11826880458273</v>
      </c>
      <c r="D87" s="1058">
        <f t="shared" si="22"/>
        <v>129.9511883512827</v>
      </c>
      <c r="E87" s="1058">
        <f t="shared" si="23"/>
        <v>666.57997953403481</v>
      </c>
      <c r="F87" s="1058">
        <f t="shared" si="24"/>
        <v>90.501720458929015</v>
      </c>
      <c r="G87" s="1058">
        <f t="shared" si="25"/>
        <v>94.562695094906573</v>
      </c>
      <c r="H87" s="827">
        <f>(0.0584*1.02)*0.8535</f>
        <v>5.0841288000000005E-2</v>
      </c>
      <c r="I87" s="827">
        <f>'Emission-Waste Transport Vehicl'!N41</f>
        <v>27.826265705040004</v>
      </c>
      <c r="J87" s="827">
        <f>'Emission-Waste Transport Vehicl'!P41</f>
        <v>15.482070624240002</v>
      </c>
      <c r="K87" s="827">
        <f>'Emission-Waste Transport Vehicl'!Q41</f>
        <v>12.023811391680001</v>
      </c>
      <c r="L87" s="827">
        <f>'Emission-Waste Transport Vehicl'!R41</f>
        <v>1.1967273093600002</v>
      </c>
      <c r="M87" s="827">
        <f t="shared" si="16"/>
        <v>4.2000916826355213E-2</v>
      </c>
      <c r="N87" s="830">
        <f t="shared" si="17"/>
        <v>3616.0562957484917</v>
      </c>
      <c r="O87" s="830">
        <f t="shared" si="18"/>
        <v>10320.038319850382</v>
      </c>
      <c r="P87" s="830">
        <f t="shared" si="19"/>
        <v>1088.1756174207096</v>
      </c>
      <c r="Q87" s="830">
        <f t="shared" si="20"/>
        <v>113.16575966675762</v>
      </c>
      <c r="R87" s="2773"/>
    </row>
    <row r="88" spans="1:18" x14ac:dyDescent="0.25">
      <c r="A88" s="2781"/>
      <c r="B88" s="775">
        <v>2028</v>
      </c>
      <c r="C88" s="1058">
        <f t="shared" si="21"/>
        <v>826.11826880458273</v>
      </c>
      <c r="D88" s="1058">
        <f t="shared" si="22"/>
        <v>129.9511883512827</v>
      </c>
      <c r="E88" s="1058">
        <f t="shared" si="23"/>
        <v>666.57997953403481</v>
      </c>
      <c r="F88" s="1058">
        <f t="shared" si="24"/>
        <v>90.501720458929015</v>
      </c>
      <c r="G88" s="1058">
        <f t="shared" si="25"/>
        <v>94.562695094906573</v>
      </c>
      <c r="H88" s="827">
        <f>(0.0584*1.02)*0.8368</f>
        <v>4.9846502399999999E-2</v>
      </c>
      <c r="I88" s="827">
        <f>'Emission-Waste Transport Vehicl'!N42</f>
        <v>27.281803329792002</v>
      </c>
      <c r="J88" s="827">
        <f>'Emission-Waste Transport Vehicl'!P42</f>
        <v>15.179140829952001</v>
      </c>
      <c r="K88" s="827">
        <f>'Emission-Waste Transport Vehicl'!Q42</f>
        <v>11.788547595263999</v>
      </c>
      <c r="L88" s="827">
        <f>'Emission-Waste Transport Vehicl'!R42</f>
        <v>1.173311555328</v>
      </c>
      <c r="M88" s="827">
        <f t="shared" si="16"/>
        <v>4.1179106268651476E-2</v>
      </c>
      <c r="N88" s="830">
        <f t="shared" si="17"/>
        <v>3545.3027630724519</v>
      </c>
      <c r="O88" s="830">
        <f t="shared" si="18"/>
        <v>10118.111383773637</v>
      </c>
      <c r="P88" s="830">
        <f t="shared" si="19"/>
        <v>1066.8838390833623</v>
      </c>
      <c r="Q88" s="830">
        <f t="shared" si="20"/>
        <v>110.95150285781227</v>
      </c>
      <c r="R88" s="2773"/>
    </row>
    <row r="89" spans="1:18" x14ac:dyDescent="0.25">
      <c r="A89" s="2781"/>
      <c r="B89" s="775">
        <v>2029</v>
      </c>
      <c r="C89" s="1058">
        <f t="shared" si="21"/>
        <v>826.11826880458273</v>
      </c>
      <c r="D89" s="1058">
        <f t="shared" si="22"/>
        <v>129.9511883512827</v>
      </c>
      <c r="E89" s="1058">
        <f t="shared" si="23"/>
        <v>666.57997953403481</v>
      </c>
      <c r="F89" s="1058">
        <f t="shared" si="24"/>
        <v>90.501720458929015</v>
      </c>
      <c r="G89" s="1058">
        <f t="shared" si="25"/>
        <v>94.562695094906573</v>
      </c>
      <c r="H89" s="827">
        <f>(0.0584*1.02)*0.8203</f>
        <v>4.8863630400000004E-2</v>
      </c>
      <c r="I89" s="827">
        <f>'Emission-Waste Transport Vehicl'!N43</f>
        <v>26.743861462032005</v>
      </c>
      <c r="J89" s="827">
        <f>'Emission-Waste Transport Vehicl'!P43</f>
        <v>14.879838937392002</v>
      </c>
      <c r="K89" s="827">
        <f>'Emission-Waste Transport Vehicl'!Q43</f>
        <v>11.556101329344001</v>
      </c>
      <c r="L89" s="827">
        <f>'Emission-Waste Transport Vehicl'!R43</f>
        <v>1.1501762294880002</v>
      </c>
      <c r="M89" s="827">
        <f t="shared" si="16"/>
        <v>4.036713775355498E-2</v>
      </c>
      <c r="N89" s="830">
        <f t="shared" si="17"/>
        <v>3475.3965780931317</v>
      </c>
      <c r="O89" s="830">
        <f t="shared" si="18"/>
        <v>9918.6027343564947</v>
      </c>
      <c r="P89" s="830">
        <f t="shared" si="19"/>
        <v>1045.8470521033487</v>
      </c>
      <c r="Q89" s="830">
        <f t="shared" si="20"/>
        <v>108.76376409448305</v>
      </c>
      <c r="R89" s="2773"/>
    </row>
    <row r="90" spans="1:18" x14ac:dyDescent="0.25">
      <c r="A90" s="2781"/>
      <c r="B90" s="775">
        <v>2030</v>
      </c>
      <c r="C90" s="1058">
        <f t="shared" si="21"/>
        <v>826.11826880458273</v>
      </c>
      <c r="D90" s="1058">
        <f t="shared" si="22"/>
        <v>129.9511883512827</v>
      </c>
      <c r="E90" s="1058">
        <f t="shared" si="23"/>
        <v>666.57997953403481</v>
      </c>
      <c r="F90" s="1058">
        <f t="shared" si="24"/>
        <v>90.501720458929015</v>
      </c>
      <c r="G90" s="1058">
        <f t="shared" si="25"/>
        <v>94.562695094906573</v>
      </c>
      <c r="H90" s="827">
        <f>(0.0584*1.02)*0.8043</f>
        <v>4.7910542400000006E-2</v>
      </c>
      <c r="I90" s="827">
        <f>'Emission-Waste Transport Vehicl'!N44</f>
        <v>26.222220862992003</v>
      </c>
      <c r="J90" s="827">
        <f>'Emission-Waste Transport Vehicl'!P44</f>
        <v>14.589606799152003</v>
      </c>
      <c r="K90" s="827">
        <f>'Emission-Waste Transport Vehicl'!Q44</f>
        <v>11.330698889664001</v>
      </c>
      <c r="L90" s="827">
        <f>'Emission-Waste Transport Vehicl'!R44</f>
        <v>1.1277419741280001</v>
      </c>
      <c r="M90" s="827">
        <f t="shared" si="16"/>
        <v>3.9579774344976559E-2</v>
      </c>
      <c r="N90" s="830">
        <f t="shared" si="17"/>
        <v>3407.6087623556086</v>
      </c>
      <c r="O90" s="830">
        <f t="shared" si="18"/>
        <v>9725.1398015883569</v>
      </c>
      <c r="P90" s="830">
        <f t="shared" si="19"/>
        <v>1025.4477435166689</v>
      </c>
      <c r="Q90" s="830">
        <f t="shared" si="20"/>
        <v>106.6423204451941</v>
      </c>
      <c r="R90" s="2773"/>
    </row>
    <row r="91" spans="1:18" x14ac:dyDescent="0.25">
      <c r="A91" s="2781"/>
      <c r="B91" s="775">
        <v>2031</v>
      </c>
      <c r="C91" s="1058">
        <f t="shared" si="21"/>
        <v>826.11826880458273</v>
      </c>
      <c r="D91" s="1058">
        <f t="shared" si="22"/>
        <v>129.9511883512827</v>
      </c>
      <c r="E91" s="1058">
        <f t="shared" si="23"/>
        <v>666.57997953403481</v>
      </c>
      <c r="F91" s="1058">
        <f t="shared" si="24"/>
        <v>90.501720458929015</v>
      </c>
      <c r="G91" s="1058">
        <f t="shared" si="25"/>
        <v>94.562695094906573</v>
      </c>
      <c r="H91" s="827">
        <f>(0.0584*1.02)*0.7885</f>
        <v>4.6969368000000004E-2</v>
      </c>
      <c r="I91" s="827">
        <f>'Emission-Waste Transport Vehicl'!N45</f>
        <v>25.70710077144</v>
      </c>
      <c r="J91" s="827">
        <f>'Emission-Waste Transport Vehicl'!P45</f>
        <v>14.303002562640001</v>
      </c>
      <c r="K91" s="827">
        <f>'Emission-Waste Transport Vehicl'!Q45</f>
        <v>11.108113980480001</v>
      </c>
      <c r="L91" s="827">
        <f>'Emission-Waste Transport Vehicl'!R45</f>
        <v>1.1055881469600002</v>
      </c>
      <c r="M91" s="827">
        <f t="shared" si="16"/>
        <v>3.8802252979005372E-2</v>
      </c>
      <c r="N91" s="830">
        <f t="shared" si="17"/>
        <v>3340.6682943148044</v>
      </c>
      <c r="O91" s="830">
        <f t="shared" si="18"/>
        <v>9534.0951554798194</v>
      </c>
      <c r="P91" s="830">
        <f t="shared" si="19"/>
        <v>1005.3034262873223</v>
      </c>
      <c r="Q91" s="830">
        <f t="shared" si="20"/>
        <v>104.54739484152125</v>
      </c>
      <c r="R91" s="2773"/>
    </row>
    <row r="92" spans="1:18" x14ac:dyDescent="0.25">
      <c r="A92" s="2781"/>
      <c r="B92" s="775">
        <v>2032</v>
      </c>
      <c r="C92" s="1058">
        <f t="shared" si="21"/>
        <v>826.11826880458273</v>
      </c>
      <c r="D92" s="1058">
        <f t="shared" si="22"/>
        <v>129.9511883512827</v>
      </c>
      <c r="E92" s="1058">
        <f t="shared" si="23"/>
        <v>666.57997953403481</v>
      </c>
      <c r="F92" s="1058">
        <f t="shared" si="24"/>
        <v>90.501720458929015</v>
      </c>
      <c r="G92" s="1058">
        <f t="shared" si="25"/>
        <v>94.562695094906573</v>
      </c>
      <c r="H92" s="827">
        <f>(0.0584*1.02)*0.773</f>
        <v>4.6046064000000005E-2</v>
      </c>
      <c r="I92" s="827">
        <f>'Emission-Waste Transport Vehicl'!N46</f>
        <v>25.201761441120002</v>
      </c>
      <c r="J92" s="827">
        <f>'Emission-Waste Transport Vehicl'!P46</f>
        <v>14.021840178720002</v>
      </c>
      <c r="K92" s="827">
        <f>'Emission-Waste Transport Vehicl'!Q46</f>
        <v>10.889755367040001</v>
      </c>
      <c r="L92" s="827">
        <f>'Emission-Waste Transport Vehicl'!R46</f>
        <v>1.0838549620800002</v>
      </c>
      <c r="M92" s="827">
        <f t="shared" si="16"/>
        <v>3.8039494676945021E-2</v>
      </c>
      <c r="N92" s="830">
        <f t="shared" si="17"/>
        <v>3274.9988478190789</v>
      </c>
      <c r="O92" s="830">
        <f t="shared" si="18"/>
        <v>9346.6779393606848</v>
      </c>
      <c r="P92" s="830">
        <f t="shared" si="19"/>
        <v>985.54159609397607</v>
      </c>
      <c r="Q92" s="830">
        <f t="shared" si="20"/>
        <v>102.49224630627259</v>
      </c>
      <c r="R92" s="2773"/>
    </row>
    <row r="93" spans="1:18" x14ac:dyDescent="0.25">
      <c r="A93" s="2781"/>
      <c r="B93" s="775">
        <v>2033</v>
      </c>
      <c r="C93" s="1058">
        <f t="shared" si="21"/>
        <v>826.11826880458273</v>
      </c>
      <c r="D93" s="1058">
        <f t="shared" si="22"/>
        <v>129.9511883512827</v>
      </c>
      <c r="E93" s="1058">
        <f t="shared" si="23"/>
        <v>666.57997953403481</v>
      </c>
      <c r="F93" s="1058">
        <f t="shared" si="24"/>
        <v>90.501720458929015</v>
      </c>
      <c r="G93" s="1058">
        <f t="shared" si="25"/>
        <v>94.562695094906573</v>
      </c>
      <c r="H93" s="827">
        <f>(0.0584*1.02)*0.7579</f>
        <v>4.5146587200000005E-2</v>
      </c>
      <c r="I93" s="827">
        <f>'Emission-Waste Transport Vehicl'!N47</f>
        <v>24.709463125776001</v>
      </c>
      <c r="J93" s="827">
        <f>'Emission-Waste Transport Vehicl'!P47</f>
        <v>13.747933598256003</v>
      </c>
      <c r="K93" s="827">
        <f>'Emission-Waste Transport Vehicl'!Q47</f>
        <v>10.677031814592</v>
      </c>
      <c r="L93" s="827">
        <f>'Emission-Waste Transport Vehicl'!R47</f>
        <v>1.0626826335840001</v>
      </c>
      <c r="M93" s="827">
        <f t="shared" si="16"/>
        <v>3.7296420460099136E-2</v>
      </c>
      <c r="N93" s="830">
        <f t="shared" si="17"/>
        <v>3211.0240967167915</v>
      </c>
      <c r="O93" s="830">
        <f t="shared" si="18"/>
        <v>9164.0972965607561</v>
      </c>
      <c r="P93" s="830">
        <f t="shared" si="19"/>
        <v>966.28974861529684</v>
      </c>
      <c r="Q93" s="830">
        <f t="shared" si="20"/>
        <v>100.49013386225612</v>
      </c>
      <c r="R93" s="2773"/>
    </row>
    <row r="94" spans="1:18" x14ac:dyDescent="0.25">
      <c r="A94" s="2781"/>
      <c r="B94" s="775">
        <v>2034</v>
      </c>
      <c r="C94" s="1058">
        <f t="shared" si="21"/>
        <v>826.11826880458273</v>
      </c>
      <c r="D94" s="1058">
        <f t="shared" si="22"/>
        <v>129.9511883512827</v>
      </c>
      <c r="E94" s="1058">
        <f t="shared" si="23"/>
        <v>666.57997953403481</v>
      </c>
      <c r="F94" s="1058">
        <f t="shared" si="24"/>
        <v>90.501720458929015</v>
      </c>
      <c r="G94" s="1058">
        <f t="shared" si="25"/>
        <v>94.562695094906573</v>
      </c>
      <c r="H94" s="827">
        <f>(0.0584*1.02)*0.743</f>
        <v>4.4259024000000001E-2</v>
      </c>
      <c r="I94" s="827">
        <f>'Emission-Waste Transport Vehicl'!N48</f>
        <v>24.223685317920005</v>
      </c>
      <c r="J94" s="827">
        <f>'Emission-Waste Transport Vehicl'!P48</f>
        <v>13.477654919520001</v>
      </c>
      <c r="K94" s="827">
        <f>'Emission-Waste Transport Vehicl'!Q48</f>
        <v>10.467125792640001</v>
      </c>
      <c r="L94" s="827">
        <f>'Emission-Waste Transport Vehicl'!R48</f>
        <v>1.04179073328</v>
      </c>
      <c r="M94" s="827">
        <f t="shared" si="16"/>
        <v>3.6563188285860478E-2</v>
      </c>
      <c r="N94" s="830">
        <f t="shared" si="17"/>
        <v>3147.8966933112238</v>
      </c>
      <c r="O94" s="830">
        <f t="shared" si="18"/>
        <v>8983.9349404204258</v>
      </c>
      <c r="P94" s="830">
        <f t="shared" si="19"/>
        <v>947.29289249395117</v>
      </c>
      <c r="Q94" s="830">
        <f t="shared" si="20"/>
        <v>98.514539463855783</v>
      </c>
      <c r="R94" s="2773"/>
    </row>
    <row r="95" spans="1:18" x14ac:dyDescent="0.25">
      <c r="A95" s="2781"/>
      <c r="B95" s="775">
        <v>2035</v>
      </c>
      <c r="C95" s="1058">
        <f t="shared" si="21"/>
        <v>826.11826880458273</v>
      </c>
      <c r="D95" s="1058">
        <f t="shared" si="22"/>
        <v>129.9511883512827</v>
      </c>
      <c r="E95" s="1058">
        <f t="shared" si="23"/>
        <v>666.57997953403481</v>
      </c>
      <c r="F95" s="1058">
        <f t="shared" si="24"/>
        <v>90.501720458929015</v>
      </c>
      <c r="G95" s="1058">
        <f t="shared" si="25"/>
        <v>94.562695094906573</v>
      </c>
      <c r="H95" s="827">
        <f>(0.0584*1.02)*0.7284</f>
        <v>4.3389331200000006E-2</v>
      </c>
      <c r="I95" s="827">
        <f>'Emission-Waste Transport Vehicl'!N49</f>
        <v>23.747688271296006</v>
      </c>
      <c r="J95" s="827">
        <f>'Emission-Waste Transport Vehicl'!P49</f>
        <v>13.212818093376002</v>
      </c>
      <c r="K95" s="827">
        <f>'Emission-Waste Transport Vehicl'!Q49</f>
        <v>10.261446066432002</v>
      </c>
      <c r="L95" s="827">
        <f>'Emission-Waste Transport Vehicl'!R49</f>
        <v>1.0213194752640002</v>
      </c>
      <c r="M95" s="827">
        <f t="shared" si="16"/>
        <v>3.5844719175532676E-2</v>
      </c>
      <c r="N95" s="830">
        <f t="shared" si="17"/>
        <v>3086.0403114507344</v>
      </c>
      <c r="O95" s="830">
        <f t="shared" si="18"/>
        <v>8807.4000142695004</v>
      </c>
      <c r="P95" s="830">
        <f t="shared" si="19"/>
        <v>928.67852340860577</v>
      </c>
      <c r="Q95" s="830">
        <f t="shared" si="20"/>
        <v>96.578722133879637</v>
      </c>
      <c r="R95" s="2773"/>
    </row>
    <row r="96" spans="1:18" x14ac:dyDescent="0.25">
      <c r="A96" s="2781"/>
      <c r="B96" s="775">
        <v>2036</v>
      </c>
      <c r="C96" s="1058">
        <f t="shared" si="21"/>
        <v>826.11826880458273</v>
      </c>
      <c r="D96" s="1058">
        <f t="shared" si="22"/>
        <v>129.9511883512827</v>
      </c>
      <c r="E96" s="1058">
        <f t="shared" si="23"/>
        <v>666.57997953403481</v>
      </c>
      <c r="F96" s="1058">
        <f t="shared" si="24"/>
        <v>90.501720458929015</v>
      </c>
      <c r="G96" s="1058">
        <f t="shared" si="25"/>
        <v>94.562695094906573</v>
      </c>
      <c r="H96" s="827">
        <f>(0.0584*1.02)*0.7142</f>
        <v>4.2543465599999997E-2</v>
      </c>
      <c r="I96" s="827">
        <f>'Emission-Waste Transport Vehicl'!N50</f>
        <v>23.284732239648001</v>
      </c>
      <c r="J96" s="827">
        <f>'Emission-Waste Transport Vehicl'!P50</f>
        <v>12.955237070688</v>
      </c>
      <c r="K96" s="827">
        <f>'Emission-Waste Transport Vehicl'!Q50</f>
        <v>10.061401401215999</v>
      </c>
      <c r="L96" s="827">
        <f>'Emission-Waste Transport Vehicl'!R50</f>
        <v>1.001409073632</v>
      </c>
      <c r="M96" s="827">
        <f t="shared" si="16"/>
        <v>3.5145934150419313E-2</v>
      </c>
      <c r="N96" s="830">
        <f t="shared" si="17"/>
        <v>3025.8786249836821</v>
      </c>
      <c r="O96" s="830">
        <f t="shared" si="18"/>
        <v>8635.7016614377753</v>
      </c>
      <c r="P96" s="830">
        <f t="shared" si="19"/>
        <v>910.57413703792702</v>
      </c>
      <c r="Q96" s="830">
        <f t="shared" si="20"/>
        <v>94.695940895135664</v>
      </c>
      <c r="R96" s="2773"/>
    </row>
    <row r="97" spans="1:18" x14ac:dyDescent="0.25">
      <c r="A97" s="2781"/>
      <c r="B97" s="775">
        <v>2037</v>
      </c>
      <c r="C97" s="1058">
        <f t="shared" si="21"/>
        <v>826.11826880458273</v>
      </c>
      <c r="D97" s="1058">
        <f t="shared" si="22"/>
        <v>129.9511883512827</v>
      </c>
      <c r="E97" s="1058">
        <f t="shared" si="23"/>
        <v>666.57997953403481</v>
      </c>
      <c r="F97" s="1058">
        <f t="shared" si="24"/>
        <v>90.501720458929015</v>
      </c>
      <c r="G97" s="1058">
        <f t="shared" si="25"/>
        <v>94.562695094906573</v>
      </c>
      <c r="H97" s="827">
        <f>(0.0584*1.02)*0.7002</f>
        <v>4.1709513600000005E-2</v>
      </c>
      <c r="I97" s="827">
        <f>'Emission-Waste Transport Vehicl'!N51</f>
        <v>22.828296715488005</v>
      </c>
      <c r="J97" s="827">
        <f>'Emission-Waste Transport Vehicl'!P51</f>
        <v>12.701283949728003</v>
      </c>
      <c r="K97" s="827">
        <f>'Emission-Waste Transport Vehicl'!Q51</f>
        <v>9.8641742664960006</v>
      </c>
      <c r="L97" s="827">
        <f>'Emission-Waste Transport Vehicl'!R51</f>
        <v>0.9817791001920001</v>
      </c>
      <c r="M97" s="827">
        <f t="shared" si="16"/>
        <v>3.4456991167913203E-2</v>
      </c>
      <c r="N97" s="830">
        <f t="shared" si="17"/>
        <v>2966.56428621335</v>
      </c>
      <c r="O97" s="830">
        <f t="shared" si="18"/>
        <v>8466.4215952656577</v>
      </c>
      <c r="P97" s="830">
        <f t="shared" si="19"/>
        <v>892.72474202458216</v>
      </c>
      <c r="Q97" s="830">
        <f t="shared" si="20"/>
        <v>92.839677702007833</v>
      </c>
      <c r="R97" s="2773"/>
    </row>
    <row r="98" spans="1:18" x14ac:dyDescent="0.25">
      <c r="A98" s="2781"/>
      <c r="B98" s="775">
        <v>2038</v>
      </c>
      <c r="C98" s="1058">
        <f t="shared" si="21"/>
        <v>826.11826880458273</v>
      </c>
      <c r="D98" s="1058">
        <f t="shared" si="22"/>
        <v>129.9511883512827</v>
      </c>
      <c r="E98" s="1058">
        <f t="shared" si="23"/>
        <v>666.57997953403481</v>
      </c>
      <c r="F98" s="1058">
        <f t="shared" si="24"/>
        <v>90.501720458929015</v>
      </c>
      <c r="G98" s="1058">
        <f t="shared" si="25"/>
        <v>94.562695094906573</v>
      </c>
      <c r="H98" s="827">
        <f>(0.0584*1.02)*0.6864</f>
        <v>4.0887475200000002E-2</v>
      </c>
      <c r="I98" s="827">
        <f>'Emission-Waste Transport Vehicl'!N52</f>
        <v>22.378381698816003</v>
      </c>
      <c r="J98" s="827">
        <f>'Emission-Waste Transport Vehicl'!P52</f>
        <v>12.450958730496001</v>
      </c>
      <c r="K98" s="827">
        <f>'Emission-Waste Transport Vehicl'!Q52</f>
        <v>9.6697646622720015</v>
      </c>
      <c r="L98" s="827">
        <f>'Emission-Waste Transport Vehicl'!R52</f>
        <v>0.96242955494400007</v>
      </c>
      <c r="M98" s="827">
        <f t="shared" si="16"/>
        <v>3.3777890228014314E-2</v>
      </c>
      <c r="N98" s="830">
        <f t="shared" si="17"/>
        <v>2908.0972951397362</v>
      </c>
      <c r="O98" s="830">
        <f t="shared" si="18"/>
        <v>8299.5598157531367</v>
      </c>
      <c r="P98" s="830">
        <f t="shared" si="19"/>
        <v>875.13033836857085</v>
      </c>
      <c r="Q98" s="830">
        <f t="shared" si="20"/>
        <v>91.009932554496118</v>
      </c>
      <c r="R98" s="2773"/>
    </row>
    <row r="99" spans="1:18" x14ac:dyDescent="0.25">
      <c r="A99" s="2781"/>
      <c r="B99" s="775">
        <v>2039</v>
      </c>
      <c r="C99" s="1058">
        <f t="shared" si="21"/>
        <v>826.11826880458273</v>
      </c>
      <c r="D99" s="1058">
        <f t="shared" si="22"/>
        <v>129.9511883512827</v>
      </c>
      <c r="E99" s="1058">
        <f t="shared" si="23"/>
        <v>666.57997953403481</v>
      </c>
      <c r="F99" s="1058">
        <f t="shared" si="24"/>
        <v>90.501720458929015</v>
      </c>
      <c r="G99" s="1058">
        <f t="shared" si="25"/>
        <v>94.562695094906573</v>
      </c>
      <c r="H99" s="827">
        <f>(0.0584*1.02)*0.673</f>
        <v>4.0089264000000006E-2</v>
      </c>
      <c r="I99" s="827">
        <f>'Emission-Waste Transport Vehicl'!N53</f>
        <v>21.941507697120006</v>
      </c>
      <c r="J99" s="827">
        <f>'Emission-Waste Transport Vehicl'!P53</f>
        <v>12.207889314720003</v>
      </c>
      <c r="K99" s="827">
        <f>'Emission-Waste Transport Vehicl'!Q53</f>
        <v>9.4809901190400012</v>
      </c>
      <c r="L99" s="827">
        <f>'Emission-Waste Transport Vehicl'!R53</f>
        <v>0.9436408660800002</v>
      </c>
      <c r="M99" s="827">
        <f t="shared" si="16"/>
        <v>3.3118473373329883E-2</v>
      </c>
      <c r="N99" s="830">
        <f t="shared" si="17"/>
        <v>2851.3249994595608</v>
      </c>
      <c r="O99" s="830">
        <f t="shared" si="18"/>
        <v>8137.5346095598215</v>
      </c>
      <c r="P99" s="830">
        <f t="shared" si="19"/>
        <v>858.0459174272263</v>
      </c>
      <c r="Q99" s="830">
        <f t="shared" si="20"/>
        <v>89.233223498216631</v>
      </c>
      <c r="R99" s="2773"/>
    </row>
    <row r="100" spans="1:18" x14ac:dyDescent="0.25">
      <c r="A100" s="2781"/>
      <c r="B100" s="775">
        <v>2040</v>
      </c>
      <c r="C100" s="1058">
        <f t="shared" si="21"/>
        <v>826.11826880458273</v>
      </c>
      <c r="D100" s="1058">
        <f t="shared" si="22"/>
        <v>129.9511883512827</v>
      </c>
      <c r="E100" s="1058">
        <f t="shared" si="23"/>
        <v>666.57997953403481</v>
      </c>
      <c r="F100" s="1058">
        <f t="shared" si="24"/>
        <v>90.501720458929015</v>
      </c>
      <c r="G100" s="1058">
        <f t="shared" si="25"/>
        <v>94.562695094906573</v>
      </c>
      <c r="H100" s="827">
        <f>(0.0584*1.02)*0.6598</f>
        <v>3.9302966400000007E-2</v>
      </c>
      <c r="I100" s="827">
        <f>'Emission-Waste Transport Vehicl'!N54</f>
        <v>21.511154202912003</v>
      </c>
      <c r="J100" s="827">
        <f>'Emission-Waste Transport Vehicl'!P54</f>
        <v>11.968447800672001</v>
      </c>
      <c r="K100" s="827">
        <f>'Emission-Waste Transport Vehicl'!Q54</f>
        <v>9.2950331063040004</v>
      </c>
      <c r="L100" s="827">
        <f>'Emission-Waste Transport Vehicl'!R54</f>
        <v>0.92513260540800013</v>
      </c>
      <c r="M100" s="827">
        <f t="shared" si="16"/>
        <v>3.2468898561252686E-2</v>
      </c>
      <c r="N100" s="830">
        <f t="shared" si="17"/>
        <v>2795.4000514761042</v>
      </c>
      <c r="O100" s="830">
        <f t="shared" si="18"/>
        <v>7977.9276900261066</v>
      </c>
      <c r="P100" s="830">
        <f t="shared" si="19"/>
        <v>841.2164878432153</v>
      </c>
      <c r="Q100" s="830">
        <f t="shared" si="20"/>
        <v>87.483032487553231</v>
      </c>
      <c r="R100" s="2773"/>
    </row>
    <row r="101" spans="1:18" x14ac:dyDescent="0.25">
      <c r="A101" s="2781"/>
      <c r="B101" s="775">
        <v>2041</v>
      </c>
      <c r="C101" s="1058">
        <f t="shared" si="21"/>
        <v>826.11826880458273</v>
      </c>
      <c r="D101" s="1058">
        <f t="shared" si="22"/>
        <v>129.9511883512827</v>
      </c>
      <c r="E101" s="1058">
        <f t="shared" si="23"/>
        <v>666.57997953403481</v>
      </c>
      <c r="F101" s="1058">
        <f t="shared" si="24"/>
        <v>90.501720458929015</v>
      </c>
      <c r="G101" s="1058">
        <f t="shared" si="25"/>
        <v>94.562695094906573</v>
      </c>
      <c r="H101" s="827">
        <f>(0.0584*1.02)*0.6468</f>
        <v>3.8528582400000004E-2</v>
      </c>
      <c r="I101" s="827">
        <f>'Emission-Waste Transport Vehicl'!N55</f>
        <v>21.087321216192002</v>
      </c>
      <c r="J101" s="827">
        <f>'Emission-Waste Transport Vehicl'!P55</f>
        <v>11.732634188352002</v>
      </c>
      <c r="K101" s="827">
        <f>'Emission-Waste Transport Vehicl'!Q55</f>
        <v>9.1118936240640007</v>
      </c>
      <c r="L101" s="827">
        <f>'Emission-Waste Transport Vehicl'!R55</f>
        <v>0.9069047729280002</v>
      </c>
      <c r="M101" s="827">
        <f t="shared" si="16"/>
        <v>3.1829165791782715E-2</v>
      </c>
      <c r="N101" s="830">
        <f t="shared" si="17"/>
        <v>2740.3224511893663</v>
      </c>
      <c r="O101" s="830">
        <f t="shared" si="18"/>
        <v>7820.7390571519945</v>
      </c>
      <c r="P101" s="830">
        <f t="shared" si="19"/>
        <v>824.64204961653786</v>
      </c>
      <c r="Q101" s="830">
        <f t="shared" si="20"/>
        <v>85.75935952250596</v>
      </c>
      <c r="R101" s="2773"/>
    </row>
    <row r="102" spans="1:18" x14ac:dyDescent="0.25">
      <c r="A102" s="2781"/>
      <c r="B102" s="775">
        <v>2042</v>
      </c>
      <c r="C102" s="1058">
        <f t="shared" si="21"/>
        <v>826.11826880458273</v>
      </c>
      <c r="D102" s="1058">
        <f t="shared" si="22"/>
        <v>129.9511883512827</v>
      </c>
      <c r="E102" s="1058">
        <f t="shared" si="23"/>
        <v>666.57997953403481</v>
      </c>
      <c r="F102" s="1058">
        <f t="shared" si="24"/>
        <v>90.501720458929015</v>
      </c>
      <c r="G102" s="1058">
        <f t="shared" si="25"/>
        <v>94.562695094906573</v>
      </c>
      <c r="H102" s="827">
        <f>(0.0584*1.02)*0.6342</f>
        <v>3.7778025600000001E-2</v>
      </c>
      <c r="I102" s="827">
        <f>'Emission-Waste Transport Vehicl'!N56</f>
        <v>20.676529244448002</v>
      </c>
      <c r="J102" s="827">
        <f>'Emission-Waste Transport Vehicl'!P56</f>
        <v>11.504076379488001</v>
      </c>
      <c r="K102" s="827">
        <f>'Emission-Waste Transport Vehicl'!Q56</f>
        <v>8.9343892028159999</v>
      </c>
      <c r="L102" s="827">
        <f>'Emission-Waste Transport Vehicl'!R56</f>
        <v>0.8892377968320001</v>
      </c>
      <c r="M102" s="827">
        <f t="shared" si="16"/>
        <v>3.1209117107527207E-2</v>
      </c>
      <c r="N102" s="830">
        <f t="shared" si="17"/>
        <v>2686.939546296067</v>
      </c>
      <c r="O102" s="830">
        <f t="shared" si="18"/>
        <v>7668.3869975970856</v>
      </c>
      <c r="P102" s="830">
        <f t="shared" si="19"/>
        <v>808.57759410452729</v>
      </c>
      <c r="Q102" s="830">
        <f t="shared" si="20"/>
        <v>84.088722648690904</v>
      </c>
      <c r="R102" s="2773"/>
    </row>
    <row r="103" spans="1:18" x14ac:dyDescent="0.25">
      <c r="A103" s="2781"/>
      <c r="B103" s="775">
        <v>2043</v>
      </c>
      <c r="C103" s="1058">
        <f t="shared" si="21"/>
        <v>826.11826880458273</v>
      </c>
      <c r="D103" s="1058">
        <f t="shared" si="22"/>
        <v>129.9511883512827</v>
      </c>
      <c r="E103" s="1058">
        <f t="shared" si="23"/>
        <v>666.57997953403481</v>
      </c>
      <c r="F103" s="1058">
        <f t="shared" si="24"/>
        <v>90.501720458929015</v>
      </c>
      <c r="G103" s="1058">
        <f t="shared" si="25"/>
        <v>94.562695094906573</v>
      </c>
      <c r="H103" s="827">
        <f>(0.0584*1.02)*0.6217</f>
        <v>3.7033425600000003E-2</v>
      </c>
      <c r="I103" s="827">
        <f>'Emission-Waste Transport Vehicl'!N57</f>
        <v>20.268997526448004</v>
      </c>
      <c r="J103" s="827">
        <f>'Emission-Waste Transport Vehicl'!P57</f>
        <v>11.277332521488001</v>
      </c>
      <c r="K103" s="827">
        <f>'Emission-Waste Transport Vehicl'!Q57</f>
        <v>8.7582935468160006</v>
      </c>
      <c r="L103" s="827">
        <f>'Emission-Waste Transport Vehicl'!R57</f>
        <v>0.87171103483200019</v>
      </c>
      <c r="M103" s="827">
        <f t="shared" si="16"/>
        <v>3.0593989444575316E-2</v>
      </c>
      <c r="N103" s="830">
        <f t="shared" si="17"/>
        <v>2633.9803152511276</v>
      </c>
      <c r="O103" s="830">
        <f t="shared" si="18"/>
        <v>7517.2440813719768</v>
      </c>
      <c r="P103" s="830">
        <f t="shared" si="19"/>
        <v>792.64063427118356</v>
      </c>
      <c r="Q103" s="830">
        <f t="shared" si="20"/>
        <v>82.43134479768392</v>
      </c>
      <c r="R103" s="2773"/>
    </row>
    <row r="104" spans="1:18" x14ac:dyDescent="0.25">
      <c r="A104" s="2781"/>
      <c r="B104" s="775">
        <v>2044</v>
      </c>
      <c r="C104" s="1058">
        <f t="shared" si="21"/>
        <v>826.11826880458273</v>
      </c>
      <c r="D104" s="1058">
        <f t="shared" si="22"/>
        <v>129.9511883512827</v>
      </c>
      <c r="E104" s="1058">
        <f t="shared" si="23"/>
        <v>666.57997953403481</v>
      </c>
      <c r="F104" s="1058">
        <f t="shared" si="24"/>
        <v>90.501720458929015</v>
      </c>
      <c r="G104" s="1058">
        <f t="shared" si="25"/>
        <v>94.562695094906573</v>
      </c>
      <c r="H104" s="827">
        <f>(0.0584*1.02)*0.6095</f>
        <v>3.6306696000000006E-2</v>
      </c>
      <c r="I104" s="827">
        <f>'Emission-Waste Transport Vehicl'!N58</f>
        <v>19.871246569680004</v>
      </c>
      <c r="J104" s="827">
        <f>'Emission-Waste Transport Vehicl'!P58</f>
        <v>11.056030516080002</v>
      </c>
      <c r="K104" s="827">
        <f>'Emission-Waste Transport Vehicl'!Q58</f>
        <v>8.5864241865600004</v>
      </c>
      <c r="L104" s="827">
        <f>'Emission-Waste Transport Vehicl'!R58</f>
        <v>0.85460491512000014</v>
      </c>
      <c r="M104" s="827">
        <f t="shared" si="16"/>
        <v>2.9993624845534275E-2</v>
      </c>
      <c r="N104" s="830">
        <f t="shared" si="17"/>
        <v>2582.2921057512663</v>
      </c>
      <c r="O104" s="830">
        <f t="shared" si="18"/>
        <v>7369.7285951362719</v>
      </c>
      <c r="P104" s="830">
        <f t="shared" si="19"/>
        <v>777.08616147384009</v>
      </c>
      <c r="Q104" s="830">
        <f t="shared" si="20"/>
        <v>80.813744015101079</v>
      </c>
      <c r="R104" s="2773"/>
    </row>
    <row r="105" spans="1:18" x14ac:dyDescent="0.25">
      <c r="A105" s="2781"/>
      <c r="B105" s="775">
        <v>2045</v>
      </c>
      <c r="C105" s="1058">
        <f t="shared" si="21"/>
        <v>826.11826880458273</v>
      </c>
      <c r="D105" s="1058">
        <f t="shared" si="22"/>
        <v>129.9511883512827</v>
      </c>
      <c r="E105" s="1058">
        <f t="shared" si="23"/>
        <v>666.57997953403481</v>
      </c>
      <c r="F105" s="1058">
        <f t="shared" si="24"/>
        <v>90.501720458929015</v>
      </c>
      <c r="G105" s="1058">
        <f t="shared" si="25"/>
        <v>94.562695094906573</v>
      </c>
      <c r="H105" s="827">
        <f>(0.0584*1.02)*0.5976</f>
        <v>3.5597836800000004E-2</v>
      </c>
      <c r="I105" s="827">
        <f>'Emission-Waste Transport Vehicl'!N59</f>
        <v>19.483276374144001</v>
      </c>
      <c r="J105" s="827">
        <f>'Emission-Waste Transport Vehicl'!P59</f>
        <v>10.840170363264003</v>
      </c>
      <c r="K105" s="827">
        <f>'Emission-Waste Transport Vehicl'!Q59</f>
        <v>8.4187811220480011</v>
      </c>
      <c r="L105" s="827">
        <f>'Emission-Waste Transport Vehicl'!R59</f>
        <v>0.83791943769600008</v>
      </c>
      <c r="M105" s="827">
        <f t="shared" si="16"/>
        <v>2.9408023310404069E-2</v>
      </c>
      <c r="N105" s="830">
        <f t="shared" si="17"/>
        <v>2531.8749177964833</v>
      </c>
      <c r="O105" s="830">
        <f t="shared" si="18"/>
        <v>7225.8405388899691</v>
      </c>
      <c r="P105" s="830">
        <f t="shared" si="19"/>
        <v>761.9141757124969</v>
      </c>
      <c r="Q105" s="830">
        <f t="shared" si="20"/>
        <v>79.235920300942425</v>
      </c>
      <c r="R105" s="2773"/>
    </row>
    <row r="106" spans="1:18" x14ac:dyDescent="0.25">
      <c r="A106" s="2781"/>
      <c r="B106" s="775">
        <v>2046</v>
      </c>
      <c r="C106" s="1058">
        <f t="shared" si="21"/>
        <v>826.11826880458273</v>
      </c>
      <c r="D106" s="1058">
        <f t="shared" si="22"/>
        <v>129.9511883512827</v>
      </c>
      <c r="E106" s="1058">
        <f t="shared" si="23"/>
        <v>666.57997953403481</v>
      </c>
      <c r="F106" s="1058">
        <f t="shared" si="24"/>
        <v>90.501720458929015</v>
      </c>
      <c r="G106" s="1058">
        <f t="shared" si="25"/>
        <v>94.562695094906573</v>
      </c>
      <c r="H106" s="827">
        <f>(0.0584*1.02)*0.5859</f>
        <v>3.4900891199999999E-2</v>
      </c>
      <c r="I106" s="827">
        <f>'Emission-Waste Transport Vehicl'!N60</f>
        <v>19.101826686096</v>
      </c>
      <c r="J106" s="827">
        <f>'Emission-Waste Transport Vehicl'!P60</f>
        <v>10.627938112176002</v>
      </c>
      <c r="K106" s="827">
        <f>'Emission-Waste Transport Vehicl'!Q60</f>
        <v>8.2539555880319995</v>
      </c>
      <c r="L106" s="827">
        <f>'Emission-Waste Transport Vehicl'!R60</f>
        <v>0.82151438846400004</v>
      </c>
      <c r="M106" s="827">
        <f t="shared" si="16"/>
        <v>2.8832263817881097E-2</v>
      </c>
      <c r="N106" s="830">
        <f t="shared" si="17"/>
        <v>2482.3050775384195</v>
      </c>
      <c r="O106" s="830">
        <f t="shared" si="18"/>
        <v>7084.3707693032684</v>
      </c>
      <c r="P106" s="830">
        <f t="shared" si="19"/>
        <v>746.99718130848703</v>
      </c>
      <c r="Q106" s="830">
        <f t="shared" si="20"/>
        <v>77.684614632399871</v>
      </c>
      <c r="R106" s="2773"/>
    </row>
    <row r="107" spans="1:18" x14ac:dyDescent="0.25">
      <c r="A107" s="2781"/>
      <c r="B107" s="775">
        <v>2047</v>
      </c>
      <c r="C107" s="1058">
        <f t="shared" si="21"/>
        <v>826.11826880458273</v>
      </c>
      <c r="D107" s="1058">
        <f t="shared" si="22"/>
        <v>129.9511883512827</v>
      </c>
      <c r="E107" s="1058">
        <f t="shared" si="23"/>
        <v>666.57997953403481</v>
      </c>
      <c r="F107" s="1058">
        <f t="shared" si="24"/>
        <v>90.501720458929015</v>
      </c>
      <c r="G107" s="1058">
        <f t="shared" si="25"/>
        <v>94.562695094906573</v>
      </c>
      <c r="H107" s="827">
        <f>(0.0584*1.02)*0.5744</f>
        <v>3.4215859200000004E-2</v>
      </c>
      <c r="I107" s="827">
        <f>'Emission-Waste Transport Vehicl'!N61</f>
        <v>18.726897505536005</v>
      </c>
      <c r="J107" s="827">
        <f>'Emission-Waste Transport Vehicl'!P61</f>
        <v>10.419333762816001</v>
      </c>
      <c r="K107" s="827">
        <f>'Emission-Waste Transport Vehicl'!Q61</f>
        <v>8.0919475845120008</v>
      </c>
      <c r="L107" s="827">
        <f>'Emission-Waste Transport Vehicl'!R61</f>
        <v>0.80538976742400015</v>
      </c>
      <c r="M107" s="827">
        <f t="shared" si="16"/>
        <v>2.8266346367965357E-2</v>
      </c>
      <c r="N107" s="830">
        <f t="shared" si="17"/>
        <v>2433.5825849770754</v>
      </c>
      <c r="O107" s="830">
        <f t="shared" si="18"/>
        <v>6945.3192863761678</v>
      </c>
      <c r="P107" s="830">
        <f t="shared" si="19"/>
        <v>732.33517826181094</v>
      </c>
      <c r="Q107" s="830">
        <f t="shared" si="20"/>
        <v>76.159827009473446</v>
      </c>
      <c r="R107" s="2773"/>
    </row>
    <row r="108" spans="1:18" x14ac:dyDescent="0.25">
      <c r="A108" s="2781"/>
      <c r="B108" s="775">
        <v>2048</v>
      </c>
      <c r="C108" s="1058">
        <f t="shared" si="21"/>
        <v>826.11826880458273</v>
      </c>
      <c r="D108" s="1058">
        <f t="shared" si="22"/>
        <v>129.9511883512827</v>
      </c>
      <c r="E108" s="1058">
        <f t="shared" si="23"/>
        <v>666.57997953403481</v>
      </c>
      <c r="F108" s="1058">
        <f t="shared" si="24"/>
        <v>90.501720458929015</v>
      </c>
      <c r="G108" s="1058">
        <f t="shared" si="25"/>
        <v>94.562695094906573</v>
      </c>
      <c r="H108" s="827">
        <f>(0.0584*1.02)*0.5631</f>
        <v>3.3542740800000005E-2</v>
      </c>
      <c r="I108" s="827">
        <f>'Emission-Waste Transport Vehicl'!N62</f>
        <v>18.358488832464005</v>
      </c>
      <c r="J108" s="827">
        <f>'Emission-Waste Transport Vehicl'!P62</f>
        <v>10.214357315184001</v>
      </c>
      <c r="K108" s="827">
        <f>'Emission-Waste Transport Vehicl'!Q62</f>
        <v>7.9327571114880007</v>
      </c>
      <c r="L108" s="827">
        <f>'Emission-Waste Transport Vehicl'!R62</f>
        <v>0.78954557457600016</v>
      </c>
      <c r="M108" s="827">
        <f t="shared" si="16"/>
        <v>2.7710270960656848E-2</v>
      </c>
      <c r="N108" s="830">
        <f t="shared" si="17"/>
        <v>2385.7074401124496</v>
      </c>
      <c r="O108" s="830">
        <f t="shared" si="18"/>
        <v>6808.6860901086702</v>
      </c>
      <c r="P108" s="830">
        <f t="shared" si="19"/>
        <v>717.92816657246817</v>
      </c>
      <c r="Q108" s="830">
        <f t="shared" si="20"/>
        <v>74.661557432163121</v>
      </c>
      <c r="R108" s="2773"/>
    </row>
    <row r="109" spans="1:18" x14ac:dyDescent="0.25">
      <c r="A109" s="2781"/>
      <c r="B109" s="775">
        <v>2049</v>
      </c>
      <c r="C109" s="1058">
        <f t="shared" si="21"/>
        <v>826.11826880458273</v>
      </c>
      <c r="D109" s="1058">
        <f t="shared" si="22"/>
        <v>129.9511883512827</v>
      </c>
      <c r="E109" s="1058">
        <f t="shared" si="23"/>
        <v>666.57997953403481</v>
      </c>
      <c r="F109" s="1058">
        <f t="shared" si="24"/>
        <v>90.501720458929015</v>
      </c>
      <c r="G109" s="1058">
        <f t="shared" si="25"/>
        <v>94.562695094906573</v>
      </c>
      <c r="H109" s="827">
        <f>(0.0584*1.02)*0.5521</f>
        <v>3.2887492800000001E-2</v>
      </c>
      <c r="I109" s="827">
        <f>'Emission-Waste Transport Vehicl'!N63</f>
        <v>17.999860920624005</v>
      </c>
      <c r="J109" s="827">
        <f>'Emission-Waste Transport Vehicl'!P63</f>
        <v>10.014822720144002</v>
      </c>
      <c r="K109" s="827">
        <f>'Emission-Waste Transport Vehicl'!Q63</f>
        <v>7.7777929342080014</v>
      </c>
      <c r="L109" s="827">
        <f>'Emission-Waste Transport Vehicl'!R63</f>
        <v>0.77412202401600017</v>
      </c>
      <c r="M109" s="827">
        <f t="shared" si="16"/>
        <v>2.7168958617259181E-2</v>
      </c>
      <c r="N109" s="830">
        <f t="shared" si="17"/>
        <v>2339.1033167929027</v>
      </c>
      <c r="O109" s="830">
        <f t="shared" si="18"/>
        <v>6675.6803238305756</v>
      </c>
      <c r="P109" s="830">
        <f t="shared" si="19"/>
        <v>703.90364191912579</v>
      </c>
      <c r="Q109" s="830">
        <f t="shared" si="20"/>
        <v>73.203064923276969</v>
      </c>
      <c r="R109" s="2773"/>
    </row>
    <row r="110" spans="1:18" x14ac:dyDescent="0.25">
      <c r="A110" s="2781"/>
      <c r="B110" s="775">
        <v>2050</v>
      </c>
      <c r="C110" s="1058">
        <f t="shared" si="21"/>
        <v>826.11826880458273</v>
      </c>
      <c r="D110" s="1058">
        <f t="shared" si="22"/>
        <v>129.9511883512827</v>
      </c>
      <c r="E110" s="1058">
        <f t="shared" si="23"/>
        <v>666.57997953403481</v>
      </c>
      <c r="F110" s="1058">
        <f t="shared" si="24"/>
        <v>90.501720458929015</v>
      </c>
      <c r="G110" s="1058">
        <f t="shared" si="25"/>
        <v>94.562695094906573</v>
      </c>
      <c r="H110" s="827">
        <f>(0.0584*1.02)*0.5412</f>
        <v>3.2238201600000002E-2</v>
      </c>
      <c r="I110" s="827">
        <f>'Emission-Waste Transport Vehicl'!N64</f>
        <v>17.644493262528005</v>
      </c>
      <c r="J110" s="827">
        <f>'Emission-Waste Transport Vehicl'!P64</f>
        <v>9.8171020759680019</v>
      </c>
      <c r="K110" s="827">
        <f>'Emission-Waste Transport Vehicl'!Q64</f>
        <v>7.624237522176001</v>
      </c>
      <c r="L110" s="827">
        <f>'Emission-Waste Transport Vehicl'!R64</f>
        <v>0.75883868755200012</v>
      </c>
      <c r="M110" s="827">
        <f t="shared" si="16"/>
        <v>2.6632567295165131E-2</v>
      </c>
      <c r="N110" s="830">
        <f t="shared" si="17"/>
        <v>2292.9228673217153</v>
      </c>
      <c r="O110" s="830">
        <f t="shared" si="18"/>
        <v>6543.8837008822811</v>
      </c>
      <c r="P110" s="830">
        <f t="shared" si="19"/>
        <v>690.00661294445001</v>
      </c>
      <c r="Q110" s="830">
        <f t="shared" si="20"/>
        <v>71.75783143719886</v>
      </c>
      <c r="R110" s="2773"/>
    </row>
    <row r="111" spans="1:18" x14ac:dyDescent="0.25">
      <c r="A111" s="2781"/>
      <c r="B111" s="775">
        <v>2051</v>
      </c>
      <c r="C111" s="1058">
        <f t="shared" si="21"/>
        <v>826.11826880458273</v>
      </c>
      <c r="D111" s="1058">
        <f t="shared" si="22"/>
        <v>129.9511883512827</v>
      </c>
      <c r="E111" s="1058">
        <f t="shared" si="23"/>
        <v>666.57997953403481</v>
      </c>
      <c r="F111" s="1058">
        <f t="shared" si="24"/>
        <v>90.501720458929015</v>
      </c>
      <c r="G111" s="1058">
        <f t="shared" si="25"/>
        <v>94.562695094906573</v>
      </c>
      <c r="H111" s="827">
        <f>(0.0584*1.02)*0.5306</f>
        <v>3.1606780799999998E-2</v>
      </c>
      <c r="I111" s="827">
        <f>'Emission-Waste Transport Vehicl'!N65</f>
        <v>17.298906365664003</v>
      </c>
      <c r="J111" s="827">
        <f>'Emission-Waste Transport Vehicl'!P65</f>
        <v>9.624823284384</v>
      </c>
      <c r="K111" s="827">
        <f>'Emission-Waste Transport Vehicl'!Q65</f>
        <v>7.4749084058879998</v>
      </c>
      <c r="L111" s="827">
        <f>'Emission-Waste Transport Vehicl'!R65</f>
        <v>0.74397599337600007</v>
      </c>
      <c r="M111" s="827">
        <f t="shared" ref="M111:M129" si="26">(C111/1000)*H111</f>
        <v>2.6110939036981921E-2</v>
      </c>
      <c r="N111" s="830">
        <f t="shared" ref="N111:N129" si="27">D111*I111</f>
        <v>2248.0134393956059</v>
      </c>
      <c r="O111" s="830">
        <f t="shared" ref="O111:O129" si="28">E111*J111</f>
        <v>6415.7145079233887</v>
      </c>
      <c r="P111" s="830">
        <f t="shared" ref="P111:P129" si="29">F111*K111</f>
        <v>676.49207100577451</v>
      </c>
      <c r="Q111" s="830">
        <f t="shared" si="20"/>
        <v>70.352375019544922</v>
      </c>
      <c r="R111" s="2773"/>
    </row>
    <row r="112" spans="1:18" x14ac:dyDescent="0.25">
      <c r="A112" s="2781"/>
      <c r="B112" s="775">
        <v>2052</v>
      </c>
      <c r="C112" s="1058">
        <f t="shared" si="21"/>
        <v>826.11826880458273</v>
      </c>
      <c r="D112" s="1058">
        <f t="shared" si="22"/>
        <v>129.9511883512827</v>
      </c>
      <c r="E112" s="1058">
        <f t="shared" si="23"/>
        <v>666.57997953403481</v>
      </c>
      <c r="F112" s="1058">
        <f t="shared" si="24"/>
        <v>90.501720458929015</v>
      </c>
      <c r="G112" s="1058">
        <f t="shared" si="25"/>
        <v>94.562695094906573</v>
      </c>
      <c r="H112" s="827">
        <f>(0.0584*1.02)*0.5202</f>
        <v>3.09872736E-2</v>
      </c>
      <c r="I112" s="827">
        <f>'Emission-Waste Transport Vehicl'!N66</f>
        <v>16.959839976288002</v>
      </c>
      <c r="J112" s="827">
        <f>'Emission-Waste Transport Vehicl'!P66</f>
        <v>9.4361723945280005</v>
      </c>
      <c r="K112" s="827">
        <f>'Emission-Waste Transport Vehicl'!Q66</f>
        <v>7.3283968200960006</v>
      </c>
      <c r="L112" s="827">
        <f>'Emission-Waste Transport Vehicl'!R66</f>
        <v>0.72939372739200004</v>
      </c>
      <c r="M112" s="827">
        <f t="shared" si="26"/>
        <v>2.559915282140595E-2</v>
      </c>
      <c r="N112" s="830">
        <f t="shared" si="27"/>
        <v>2203.9513591662162</v>
      </c>
      <c r="O112" s="830">
        <f t="shared" si="28"/>
        <v>6289.9636016240984</v>
      </c>
      <c r="P112" s="830">
        <f t="shared" si="29"/>
        <v>663.23252042443255</v>
      </c>
      <c r="Q112" s="830">
        <f t="shared" si="20"/>
        <v>68.9734366475071</v>
      </c>
      <c r="R112" s="2773"/>
    </row>
    <row r="113" spans="1:18" x14ac:dyDescent="0.25">
      <c r="A113" s="2781"/>
      <c r="B113" s="775">
        <v>2053</v>
      </c>
      <c r="C113" s="1058">
        <f t="shared" si="21"/>
        <v>826.11826880458273</v>
      </c>
      <c r="D113" s="1058">
        <f t="shared" si="22"/>
        <v>129.9511883512827</v>
      </c>
      <c r="E113" s="1058">
        <f t="shared" si="23"/>
        <v>666.57997953403481</v>
      </c>
      <c r="F113" s="1058">
        <f t="shared" si="24"/>
        <v>90.501720458929015</v>
      </c>
      <c r="G113" s="1058">
        <f t="shared" si="25"/>
        <v>94.562695094906573</v>
      </c>
      <c r="H113" s="827">
        <f>(0.0584*1.02)*0.51</f>
        <v>3.0379680000000003E-2</v>
      </c>
      <c r="I113" s="827">
        <f>'Emission-Waste Transport Vehicl'!N67</f>
        <v>15.361506000000002</v>
      </c>
      <c r="J113" s="827">
        <f>'Emission-Waste Transport Vehicl'!P67</f>
        <v>9.2511494064000015</v>
      </c>
      <c r="K113" s="827">
        <f>'Emission-Waste Transport Vehicl'!Q67</f>
        <v>7.1847027647999999</v>
      </c>
      <c r="L113" s="827">
        <f>'Emission-Waste Transport Vehicl'!R67</f>
        <v>0.71509188960000014</v>
      </c>
      <c r="M113" s="827">
        <f t="shared" si="26"/>
        <v>2.5097208648437209E-2</v>
      </c>
      <c r="N113" s="830">
        <f t="shared" si="27"/>
        <v>1996.2459595653595</v>
      </c>
      <c r="O113" s="830">
        <f t="shared" si="28"/>
        <v>6166.6309819844109</v>
      </c>
      <c r="P113" s="830">
        <f t="shared" si="29"/>
        <v>650.22796120042403</v>
      </c>
      <c r="Q113" s="830">
        <f t="shared" si="20"/>
        <v>67.621016321085406</v>
      </c>
      <c r="R113" s="2773"/>
    </row>
    <row r="114" spans="1:18" x14ac:dyDescent="0.25">
      <c r="A114" s="2781"/>
      <c r="B114" s="775">
        <v>2054</v>
      </c>
      <c r="C114" s="1058">
        <f t="shared" si="21"/>
        <v>826.11826880458273</v>
      </c>
      <c r="D114" s="1058">
        <f t="shared" si="22"/>
        <v>129.9511883512827</v>
      </c>
      <c r="E114" s="1058">
        <f t="shared" si="23"/>
        <v>666.57997953403481</v>
      </c>
      <c r="F114" s="1058">
        <f t="shared" si="24"/>
        <v>90.501720458929015</v>
      </c>
      <c r="G114" s="1058">
        <f t="shared" si="25"/>
        <v>94.562695094906573</v>
      </c>
      <c r="H114" s="827">
        <f>(0.0584*1.02)*0.5</f>
        <v>2.9784000000000001E-2</v>
      </c>
      <c r="I114" s="827">
        <f>'Emission-Waste Transport Vehicl'!N68</f>
        <v>16.301268720000003</v>
      </c>
      <c r="J114" s="827">
        <f>'Emission-Waste Transport Vehicl'!P68</f>
        <v>9.0697543200000013</v>
      </c>
      <c r="K114" s="827">
        <f>'Emission-Waste Transport Vehicl'!Q68</f>
        <v>7.0438262400000005</v>
      </c>
      <c r="L114" s="827">
        <f>'Emission-Waste Transport Vehicl'!R68</f>
        <v>0.70107048000000005</v>
      </c>
      <c r="M114" s="827">
        <f t="shared" si="26"/>
        <v>2.4605106518075692E-2</v>
      </c>
      <c r="N114" s="830">
        <f t="shared" si="27"/>
        <v>2118.3692417975935</v>
      </c>
      <c r="O114" s="830">
        <f t="shared" si="28"/>
        <v>6045.7166490043246</v>
      </c>
      <c r="P114" s="830">
        <f t="shared" si="29"/>
        <v>637.47839333374907</v>
      </c>
      <c r="Q114" s="830">
        <f t="shared" si="20"/>
        <v>66.295114040279799</v>
      </c>
      <c r="R114" s="2773"/>
    </row>
    <row r="115" spans="1:18" x14ac:dyDescent="0.25">
      <c r="A115" s="2781"/>
      <c r="B115" s="775">
        <v>2055</v>
      </c>
      <c r="C115" s="1058">
        <f t="shared" si="21"/>
        <v>826.11826880458273</v>
      </c>
      <c r="D115" s="1058">
        <f t="shared" si="22"/>
        <v>129.9511883512827</v>
      </c>
      <c r="E115" s="1058">
        <f t="shared" si="23"/>
        <v>666.57997953403481</v>
      </c>
      <c r="F115" s="1058">
        <f t="shared" si="24"/>
        <v>90.501720458929015</v>
      </c>
      <c r="G115" s="1058">
        <f t="shared" si="25"/>
        <v>94.562695094906573</v>
      </c>
      <c r="H115" s="827">
        <f>(0.0584*1.02)*0.4902</f>
        <v>2.9200233600000004E-2</v>
      </c>
      <c r="I115" s="827">
        <f>'Emission-Waste Transport Vehicl'!N69</f>
        <v>15.981763853088003</v>
      </c>
      <c r="J115" s="827">
        <f>'Emission-Waste Transport Vehicl'!P69</f>
        <v>8.8919871353280016</v>
      </c>
      <c r="K115" s="827">
        <f>'Emission-Waste Transport Vehicl'!Q69</f>
        <v>6.9057672456960004</v>
      </c>
      <c r="L115" s="827">
        <f>'Emission-Waste Transport Vehicl'!R69</f>
        <v>0.6873294985920001</v>
      </c>
      <c r="M115" s="827">
        <f t="shared" si="26"/>
        <v>2.412284643032141E-2</v>
      </c>
      <c r="N115" s="830">
        <f t="shared" si="27"/>
        <v>2076.8492046583606</v>
      </c>
      <c r="O115" s="830">
        <f t="shared" si="28"/>
        <v>5927.2206026838403</v>
      </c>
      <c r="P115" s="830">
        <f t="shared" si="29"/>
        <v>624.98381682440754</v>
      </c>
      <c r="Q115" s="830">
        <f t="shared" si="20"/>
        <v>64.99572980509032</v>
      </c>
      <c r="R115" s="2773"/>
    </row>
    <row r="116" spans="1:18" x14ac:dyDescent="0.25">
      <c r="A116" s="2781"/>
      <c r="B116" s="775">
        <v>2056</v>
      </c>
      <c r="C116" s="1058">
        <f t="shared" si="21"/>
        <v>826.11826880458273</v>
      </c>
      <c r="D116" s="1058">
        <f t="shared" si="22"/>
        <v>129.9511883512827</v>
      </c>
      <c r="E116" s="1058">
        <f t="shared" si="23"/>
        <v>666.57997953403481</v>
      </c>
      <c r="F116" s="1058">
        <f t="shared" si="24"/>
        <v>90.501720458929015</v>
      </c>
      <c r="G116" s="1058">
        <f t="shared" si="25"/>
        <v>94.562695094906573</v>
      </c>
      <c r="H116" s="827">
        <f>(0.0584*1.02)*0.4806</f>
        <v>2.8628380800000002E-2</v>
      </c>
      <c r="I116" s="827">
        <f>'Emission-Waste Transport Vehicl'!N70</f>
        <v>15.668779493664003</v>
      </c>
      <c r="J116" s="827">
        <f>'Emission-Waste Transport Vehicl'!P70</f>
        <v>8.7178478523840006</v>
      </c>
      <c r="K116" s="827">
        <f>'Emission-Waste Transport Vehicl'!Q70</f>
        <v>6.7705257818880007</v>
      </c>
      <c r="L116" s="827">
        <f>'Emission-Waste Transport Vehicl'!R70</f>
        <v>0.67386894537600017</v>
      </c>
      <c r="M116" s="827">
        <f t="shared" si="26"/>
        <v>2.3650428385174355E-2</v>
      </c>
      <c r="N116" s="830">
        <f t="shared" si="27"/>
        <v>2036.1765152158466</v>
      </c>
      <c r="O116" s="830">
        <f t="shared" si="28"/>
        <v>5811.1428430229562</v>
      </c>
      <c r="P116" s="830">
        <f t="shared" si="29"/>
        <v>612.74423167239968</v>
      </c>
      <c r="Q116" s="830">
        <f t="shared" si="20"/>
        <v>63.722863615516957</v>
      </c>
      <c r="R116" s="2773"/>
    </row>
    <row r="117" spans="1:18" x14ac:dyDescent="0.25">
      <c r="A117" s="2781"/>
      <c r="B117" s="775">
        <v>2057</v>
      </c>
      <c r="C117" s="1058">
        <f t="shared" si="21"/>
        <v>826.11826880458273</v>
      </c>
      <c r="D117" s="1058">
        <f t="shared" si="22"/>
        <v>129.9511883512827</v>
      </c>
      <c r="E117" s="1058">
        <f t="shared" si="23"/>
        <v>666.57997953403481</v>
      </c>
      <c r="F117" s="1058">
        <f t="shared" si="24"/>
        <v>90.501720458929015</v>
      </c>
      <c r="G117" s="1058">
        <f t="shared" si="25"/>
        <v>94.562695094906573</v>
      </c>
      <c r="H117" s="827">
        <f>(0.0584*1.02)*0.4712</f>
        <v>2.8068441600000001E-2</v>
      </c>
      <c r="I117" s="827">
        <f>'Emission-Waste Transport Vehicl'!N71</f>
        <v>15.362315641728001</v>
      </c>
      <c r="J117" s="827">
        <f>'Emission-Waste Transport Vehicl'!P71</f>
        <v>8.547336471168002</v>
      </c>
      <c r="K117" s="827">
        <f>'Emission-Waste Transport Vehicl'!Q71</f>
        <v>6.6381018485760004</v>
      </c>
      <c r="L117" s="827">
        <f>'Emission-Waste Transport Vehicl'!R71</f>
        <v>0.66068882035200005</v>
      </c>
      <c r="M117" s="827">
        <f t="shared" si="26"/>
        <v>2.3187852382634534E-2</v>
      </c>
      <c r="N117" s="830">
        <f t="shared" si="27"/>
        <v>1996.3511734700517</v>
      </c>
      <c r="O117" s="830">
        <f t="shared" si="28"/>
        <v>5697.4833700216759</v>
      </c>
      <c r="P117" s="830">
        <f t="shared" si="29"/>
        <v>600.75963787772514</v>
      </c>
      <c r="Q117" s="830">
        <f t="shared" si="20"/>
        <v>62.476515471559686</v>
      </c>
      <c r="R117" s="2773"/>
    </row>
    <row r="118" spans="1:18" x14ac:dyDescent="0.25">
      <c r="A118" s="2781"/>
      <c r="B118" s="775">
        <v>2058</v>
      </c>
      <c r="C118" s="1058">
        <f t="shared" si="21"/>
        <v>826.11826880458273</v>
      </c>
      <c r="D118" s="1058">
        <f t="shared" si="22"/>
        <v>129.9511883512827</v>
      </c>
      <c r="E118" s="1058">
        <f t="shared" si="23"/>
        <v>666.57997953403481</v>
      </c>
      <c r="F118" s="1058">
        <f t="shared" si="24"/>
        <v>90.501720458929015</v>
      </c>
      <c r="G118" s="1058">
        <f t="shared" si="25"/>
        <v>94.562695094906573</v>
      </c>
      <c r="H118" s="827">
        <f>(0.0584*1.02)*0.4619</f>
        <v>2.7514459200000001E-2</v>
      </c>
      <c r="I118" s="827">
        <f>'Emission-Waste Transport Vehicl'!N72</f>
        <v>15.059112043536</v>
      </c>
      <c r="J118" s="827">
        <f>'Emission-Waste Transport Vehicl'!P72</f>
        <v>8.378639040816001</v>
      </c>
      <c r="K118" s="827">
        <f>'Emission-Waste Transport Vehicl'!Q72</f>
        <v>6.5070866805119998</v>
      </c>
      <c r="L118" s="827">
        <f>'Emission-Waste Transport Vehicl'!R72</f>
        <v>0.647648909424</v>
      </c>
      <c r="M118" s="827">
        <f t="shared" si="26"/>
        <v>2.2730197401398325E-2</v>
      </c>
      <c r="N118" s="830">
        <f t="shared" si="27"/>
        <v>1956.9495055726165</v>
      </c>
      <c r="O118" s="830">
        <f t="shared" si="28"/>
        <v>5585.0330403501948</v>
      </c>
      <c r="P118" s="830">
        <f t="shared" si="29"/>
        <v>588.90253976171732</v>
      </c>
      <c r="Q118" s="830">
        <f t="shared" si="20"/>
        <v>61.243426350410473</v>
      </c>
      <c r="R118" s="2773"/>
    </row>
    <row r="119" spans="1:18" x14ac:dyDescent="0.25">
      <c r="A119" s="2781"/>
      <c r="B119" s="775">
        <v>2059</v>
      </c>
      <c r="C119" s="1058">
        <f t="shared" si="21"/>
        <v>826.11826880458273</v>
      </c>
      <c r="D119" s="1058">
        <f t="shared" si="22"/>
        <v>129.9511883512827</v>
      </c>
      <c r="E119" s="1058">
        <f t="shared" si="23"/>
        <v>666.57997953403481</v>
      </c>
      <c r="F119" s="1058">
        <f t="shared" si="24"/>
        <v>90.501720458929015</v>
      </c>
      <c r="G119" s="1058">
        <f t="shared" si="25"/>
        <v>94.562695094906573</v>
      </c>
      <c r="H119" s="827">
        <f>(0.0584*1.02)*0.4529</f>
        <v>2.6978347200000002E-2</v>
      </c>
      <c r="I119" s="827">
        <f>'Emission-Waste Transport Vehicl'!N73</f>
        <v>14.765689206576004</v>
      </c>
      <c r="J119" s="827">
        <f>'Emission-Waste Transport Vehicl'!P73</f>
        <v>8.2153834630560016</v>
      </c>
      <c r="K119" s="827">
        <f>'Emission-Waste Transport Vehicl'!Q73</f>
        <v>6.380297808192001</v>
      </c>
      <c r="L119" s="827">
        <f>'Emission-Waste Transport Vehicl'!R73</f>
        <v>0.63502964078400004</v>
      </c>
      <c r="M119" s="827">
        <f t="shared" si="26"/>
        <v>2.2287305484072963E-2</v>
      </c>
      <c r="N119" s="830">
        <f t="shared" si="27"/>
        <v>1918.8188592202603</v>
      </c>
      <c r="O119" s="830">
        <f t="shared" si="28"/>
        <v>5476.2101406681177</v>
      </c>
      <c r="P119" s="830">
        <f t="shared" si="29"/>
        <v>577.42792868171</v>
      </c>
      <c r="Q119" s="830">
        <f t="shared" si="20"/>
        <v>60.050114297685447</v>
      </c>
      <c r="R119" s="2773"/>
    </row>
    <row r="120" spans="1:18" x14ac:dyDescent="0.25">
      <c r="A120" s="2781"/>
      <c r="B120" s="775">
        <v>2060</v>
      </c>
      <c r="C120" s="1058">
        <f t="shared" si="21"/>
        <v>826.11826880458273</v>
      </c>
      <c r="D120" s="1058">
        <f t="shared" si="22"/>
        <v>129.9511883512827</v>
      </c>
      <c r="E120" s="1058">
        <f t="shared" si="23"/>
        <v>666.57997953403481</v>
      </c>
      <c r="F120" s="1058">
        <f t="shared" si="24"/>
        <v>90.501720458929015</v>
      </c>
      <c r="G120" s="1058">
        <f t="shared" si="25"/>
        <v>94.562695094906573</v>
      </c>
      <c r="H120" s="827">
        <f>(0.0584*1.02)*0.444</f>
        <v>2.6448192000000002E-2</v>
      </c>
      <c r="I120" s="827">
        <f>'Emission-Waste Transport Vehicl'!N74</f>
        <v>14.475526623360002</v>
      </c>
      <c r="J120" s="827">
        <f>'Emission-Waste Transport Vehicl'!P74</f>
        <v>8.0539418361599999</v>
      </c>
      <c r="K120" s="827">
        <f>'Emission-Waste Transport Vehicl'!Q74</f>
        <v>6.2549177011200001</v>
      </c>
      <c r="L120" s="827">
        <f>'Emission-Waste Transport Vehicl'!R74</f>
        <v>0.62255058624000004</v>
      </c>
      <c r="M120" s="827">
        <f t="shared" si="26"/>
        <v>2.1849334588051217E-2</v>
      </c>
      <c r="N120" s="830">
        <f t="shared" si="27"/>
        <v>1881.1118867162629</v>
      </c>
      <c r="O120" s="830">
        <f t="shared" si="28"/>
        <v>5368.5963843158397</v>
      </c>
      <c r="P120" s="830">
        <f t="shared" si="29"/>
        <v>566.08081328036917</v>
      </c>
      <c r="Q120" s="830">
        <f t="shared" si="20"/>
        <v>58.870061267768463</v>
      </c>
      <c r="R120" s="2773"/>
    </row>
    <row r="121" spans="1:18" x14ac:dyDescent="0.25">
      <c r="A121" s="2781"/>
      <c r="B121" s="775">
        <v>2061</v>
      </c>
      <c r="C121" s="1058">
        <f t="shared" si="21"/>
        <v>826.11826880458273</v>
      </c>
      <c r="D121" s="1058">
        <f t="shared" si="22"/>
        <v>129.9511883512827</v>
      </c>
      <c r="E121" s="1058">
        <f t="shared" si="23"/>
        <v>666.57997953403481</v>
      </c>
      <c r="F121" s="1058">
        <f t="shared" si="24"/>
        <v>90.501720458929015</v>
      </c>
      <c r="G121" s="1058">
        <f t="shared" si="25"/>
        <v>94.562695094906573</v>
      </c>
      <c r="H121" s="827">
        <f>(0.0584*1.02)*0.4353</f>
        <v>2.5929950400000002E-2</v>
      </c>
      <c r="I121" s="827">
        <f>'Emission-Waste Transport Vehicl'!N75</f>
        <v>14.191884547632004</v>
      </c>
      <c r="J121" s="827">
        <f>'Emission-Waste Transport Vehicl'!P75</f>
        <v>7.8961281109920014</v>
      </c>
      <c r="K121" s="827">
        <f>'Emission-Waste Transport Vehicl'!Q75</f>
        <v>6.1323551245440004</v>
      </c>
      <c r="L121" s="827">
        <f>'Emission-Waste Transport Vehicl'!R75</f>
        <v>0.61035195988800006</v>
      </c>
      <c r="M121" s="827">
        <f t="shared" si="26"/>
        <v>2.1421205734636697E-2</v>
      </c>
      <c r="N121" s="830">
        <f t="shared" si="27"/>
        <v>1844.252261908985</v>
      </c>
      <c r="O121" s="830">
        <f t="shared" si="28"/>
        <v>5263.4009146231656</v>
      </c>
      <c r="P121" s="830">
        <f t="shared" si="29"/>
        <v>554.98868923636201</v>
      </c>
      <c r="Q121" s="830">
        <f t="shared" si="20"/>
        <v>57.716526283467594</v>
      </c>
      <c r="R121" s="2773"/>
    </row>
    <row r="122" spans="1:18" x14ac:dyDescent="0.25">
      <c r="A122" s="2781"/>
      <c r="B122" s="775">
        <v>2062</v>
      </c>
      <c r="C122" s="1058">
        <f t="shared" si="21"/>
        <v>826.11826880458273</v>
      </c>
      <c r="D122" s="1058">
        <f t="shared" si="22"/>
        <v>129.9511883512827</v>
      </c>
      <c r="E122" s="1058">
        <f t="shared" si="23"/>
        <v>666.57997953403481</v>
      </c>
      <c r="F122" s="1058">
        <f t="shared" si="24"/>
        <v>90.501720458929015</v>
      </c>
      <c r="G122" s="1058">
        <f t="shared" si="25"/>
        <v>94.562695094906573</v>
      </c>
      <c r="H122" s="827">
        <f>(0.0584*1.02)*0.4268</f>
        <v>2.5423622400000002E-2</v>
      </c>
      <c r="I122" s="827">
        <f>'Emission-Waste Transport Vehicl'!N76</f>
        <v>13.914762979392002</v>
      </c>
      <c r="J122" s="827">
        <f>'Emission-Waste Transport Vehicl'!P76</f>
        <v>7.7419422875520008</v>
      </c>
      <c r="K122" s="827">
        <f>'Emission-Waste Transport Vehicl'!Q76</f>
        <v>6.0126100784640002</v>
      </c>
      <c r="L122" s="827">
        <f>'Emission-Waste Transport Vehicl'!R76</f>
        <v>0.59843376172800011</v>
      </c>
      <c r="M122" s="827">
        <f t="shared" si="26"/>
        <v>2.1002918923829411E-2</v>
      </c>
      <c r="N122" s="830">
        <f t="shared" si="27"/>
        <v>1808.2399847984257</v>
      </c>
      <c r="O122" s="830">
        <f t="shared" si="28"/>
        <v>5160.6237315900917</v>
      </c>
      <c r="P122" s="830">
        <f t="shared" si="29"/>
        <v>544.15155654968817</v>
      </c>
      <c r="Q122" s="830">
        <f t="shared" si="20"/>
        <v>56.589509344782847</v>
      </c>
      <c r="R122" s="2773"/>
    </row>
    <row r="123" spans="1:18" x14ac:dyDescent="0.25">
      <c r="A123" s="2781"/>
      <c r="B123" s="775">
        <v>2063</v>
      </c>
      <c r="C123" s="1058">
        <f t="shared" si="21"/>
        <v>826.11826880458273</v>
      </c>
      <c r="D123" s="1058">
        <f t="shared" si="22"/>
        <v>129.9511883512827</v>
      </c>
      <c r="E123" s="1058">
        <f t="shared" si="23"/>
        <v>666.57997953403481</v>
      </c>
      <c r="F123" s="1058">
        <f t="shared" si="24"/>
        <v>90.501720458929015</v>
      </c>
      <c r="G123" s="1058">
        <f t="shared" si="25"/>
        <v>94.562695094906573</v>
      </c>
      <c r="H123" s="827">
        <f>(0.0584*1.02)*0.4184</f>
        <v>2.49232512E-2</v>
      </c>
      <c r="I123" s="827">
        <f>'Emission-Waste Transport Vehicl'!N77</f>
        <v>13.640901664896001</v>
      </c>
      <c r="J123" s="827">
        <f>'Emission-Waste Transport Vehicl'!P77</f>
        <v>7.5895704149760004</v>
      </c>
      <c r="K123" s="827">
        <f>'Emission-Waste Transport Vehicl'!Q77</f>
        <v>5.8942737976319997</v>
      </c>
      <c r="L123" s="827">
        <f>'Emission-Waste Transport Vehicl'!R77</f>
        <v>0.58665577766400001</v>
      </c>
      <c r="M123" s="827">
        <f t="shared" si="26"/>
        <v>2.0589553134325738E-2</v>
      </c>
      <c r="N123" s="830">
        <f t="shared" si="27"/>
        <v>1772.6513815362259</v>
      </c>
      <c r="O123" s="830">
        <f t="shared" si="28"/>
        <v>5059.0556918868187</v>
      </c>
      <c r="P123" s="830">
        <f t="shared" si="29"/>
        <v>533.44191954168116</v>
      </c>
      <c r="Q123" s="830">
        <f t="shared" si="20"/>
        <v>55.475751428906136</v>
      </c>
      <c r="R123" s="2773"/>
    </row>
    <row r="124" spans="1:18" x14ac:dyDescent="0.25">
      <c r="A124" s="2781"/>
      <c r="B124" s="775">
        <v>2064</v>
      </c>
      <c r="C124" s="1058">
        <f t="shared" si="21"/>
        <v>826.11826880458273</v>
      </c>
      <c r="D124" s="1058">
        <f t="shared" si="22"/>
        <v>129.9511883512827</v>
      </c>
      <c r="E124" s="1058">
        <f t="shared" si="23"/>
        <v>666.57997953403481</v>
      </c>
      <c r="F124" s="1058">
        <f t="shared" si="24"/>
        <v>90.501720458929015</v>
      </c>
      <c r="G124" s="1058">
        <f t="shared" si="25"/>
        <v>94.562695094906573</v>
      </c>
      <c r="H124" s="827">
        <f>(0.0584*1.02)*0.4102</f>
        <v>2.4434793600000001E-2</v>
      </c>
      <c r="I124" s="827">
        <f>'Emission-Waste Transport Vehicl'!N78</f>
        <v>13.373560857888002</v>
      </c>
      <c r="J124" s="827">
        <f>'Emission-Waste Transport Vehicl'!P78</f>
        <v>7.4408264441280014</v>
      </c>
      <c r="K124" s="827">
        <f>'Emission-Waste Transport Vehicl'!Q78</f>
        <v>5.7787550472960003</v>
      </c>
      <c r="L124" s="827">
        <f>'Emission-Waste Transport Vehicl'!R78</f>
        <v>0.57515822179200005</v>
      </c>
      <c r="M124" s="827">
        <f t="shared" si="26"/>
        <v>2.0186029387429298E-2</v>
      </c>
      <c r="N124" s="830">
        <f t="shared" si="27"/>
        <v>1737.9101259707454</v>
      </c>
      <c r="O124" s="830">
        <f t="shared" si="28"/>
        <v>4959.9059388431479</v>
      </c>
      <c r="P124" s="830">
        <f t="shared" si="29"/>
        <v>522.9872738910077</v>
      </c>
      <c r="Q124" s="830">
        <f t="shared" si="20"/>
        <v>54.388511558645547</v>
      </c>
      <c r="R124" s="2773"/>
    </row>
    <row r="125" spans="1:18" x14ac:dyDescent="0.25">
      <c r="A125" s="2781"/>
      <c r="B125" s="775">
        <v>2065</v>
      </c>
      <c r="C125" s="1058">
        <f t="shared" si="21"/>
        <v>826.11826880458273</v>
      </c>
      <c r="D125" s="1058">
        <f t="shared" si="22"/>
        <v>129.9511883512827</v>
      </c>
      <c r="E125" s="1058">
        <f t="shared" si="23"/>
        <v>666.57997953403481</v>
      </c>
      <c r="F125" s="1058">
        <f t="shared" si="24"/>
        <v>90.501720458929015</v>
      </c>
      <c r="G125" s="1058">
        <f t="shared" si="25"/>
        <v>94.562695094906573</v>
      </c>
      <c r="H125" s="827">
        <f>(0.0584*1.02)*0.4022</f>
        <v>2.3958249600000002E-2</v>
      </c>
      <c r="I125" s="827">
        <f>'Emission-Waste Transport Vehicl'!N79</f>
        <v>13.112740558368001</v>
      </c>
      <c r="J125" s="827">
        <f>'Emission-Waste Transport Vehicl'!P79</f>
        <v>7.2957103750080003</v>
      </c>
      <c r="K125" s="827">
        <f>'Emission-Waste Transport Vehicl'!Q79</f>
        <v>5.6660538274560004</v>
      </c>
      <c r="L125" s="827">
        <f>'Emission-Waste Transport Vehicl'!R79</f>
        <v>0.56394109411200011</v>
      </c>
      <c r="M125" s="827">
        <f t="shared" si="26"/>
        <v>1.9792347683140088E-2</v>
      </c>
      <c r="N125" s="830">
        <f t="shared" si="27"/>
        <v>1704.0162181019839</v>
      </c>
      <c r="O125" s="830">
        <f t="shared" si="28"/>
        <v>4863.1744724590781</v>
      </c>
      <c r="P125" s="830">
        <f t="shared" si="29"/>
        <v>512.7876195976678</v>
      </c>
      <c r="Q125" s="830">
        <f t="shared" si="20"/>
        <v>53.32778973400108</v>
      </c>
      <c r="R125" s="2773"/>
    </row>
    <row r="126" spans="1:18" x14ac:dyDescent="0.25">
      <c r="A126" s="2781"/>
      <c r="B126" s="775">
        <v>2066</v>
      </c>
      <c r="C126" s="1058">
        <f t="shared" si="21"/>
        <v>826.11826880458273</v>
      </c>
      <c r="D126" s="1058">
        <f t="shared" si="22"/>
        <v>129.9511883512827</v>
      </c>
      <c r="E126" s="1058">
        <f t="shared" si="23"/>
        <v>666.57997953403481</v>
      </c>
      <c r="F126" s="1058">
        <f t="shared" si="24"/>
        <v>90.501720458929015</v>
      </c>
      <c r="G126" s="1058">
        <f t="shared" si="25"/>
        <v>94.562695094906573</v>
      </c>
      <c r="H126" s="827">
        <f>(0.0584*1.02)*0.3943</f>
        <v>2.3487662400000001E-2</v>
      </c>
      <c r="I126" s="827">
        <f>'Emission-Waste Transport Vehicl'!N80</f>
        <v>12.855180512592</v>
      </c>
      <c r="J126" s="827">
        <f>'Emission-Waste Transport Vehicl'!P80</f>
        <v>7.1524082567520004</v>
      </c>
      <c r="K126" s="827">
        <f>'Emission-Waste Transport Vehicl'!Q80</f>
        <v>5.5547613728639993</v>
      </c>
      <c r="L126" s="827">
        <f>'Emission-Waste Transport Vehicl'!R80</f>
        <v>0.55286418052800002</v>
      </c>
      <c r="M126" s="827">
        <f t="shared" si="26"/>
        <v>1.9403587000154491E-2</v>
      </c>
      <c r="N126" s="830">
        <f t="shared" si="27"/>
        <v>1670.5459840815818</v>
      </c>
      <c r="O126" s="830">
        <f t="shared" si="28"/>
        <v>4767.6521494048102</v>
      </c>
      <c r="P126" s="830">
        <f t="shared" si="29"/>
        <v>502.71546098299444</v>
      </c>
      <c r="Q126" s="830">
        <f t="shared" si="20"/>
        <v>52.280326932164648</v>
      </c>
      <c r="R126" s="2773"/>
    </row>
    <row r="127" spans="1:18" x14ac:dyDescent="0.25">
      <c r="A127" s="2781"/>
      <c r="B127" s="775">
        <v>2067</v>
      </c>
      <c r="C127" s="1058">
        <f t="shared" si="21"/>
        <v>826.11826880458273</v>
      </c>
      <c r="D127" s="1058">
        <f t="shared" si="22"/>
        <v>129.9511883512827</v>
      </c>
      <c r="E127" s="1058">
        <f t="shared" si="23"/>
        <v>666.57997953403481</v>
      </c>
      <c r="F127" s="1058">
        <f t="shared" si="24"/>
        <v>90.501720458929015</v>
      </c>
      <c r="G127" s="1058">
        <f t="shared" si="25"/>
        <v>94.562695094906573</v>
      </c>
      <c r="H127" s="827">
        <f>(0.0584*1.02)*0.3865</f>
        <v>2.3023032000000002E-2</v>
      </c>
      <c r="I127" s="827">
        <f>'Emission-Waste Transport Vehicl'!N81</f>
        <v>12.600880720560001</v>
      </c>
      <c r="J127" s="827">
        <f>'Emission-Waste Transport Vehicl'!P81</f>
        <v>7.0109200893600008</v>
      </c>
      <c r="K127" s="827">
        <f>'Emission-Waste Transport Vehicl'!Q81</f>
        <v>5.4448776835200006</v>
      </c>
      <c r="L127" s="827">
        <f>'Emission-Waste Transport Vehicl'!R81</f>
        <v>0.5419274810400001</v>
      </c>
      <c r="M127" s="827">
        <f t="shared" si="26"/>
        <v>1.901974733847251E-2</v>
      </c>
      <c r="N127" s="830">
        <f t="shared" si="27"/>
        <v>1637.4994239095395</v>
      </c>
      <c r="O127" s="830">
        <f t="shared" si="28"/>
        <v>4673.3389696803424</v>
      </c>
      <c r="P127" s="830">
        <f t="shared" si="29"/>
        <v>492.77079804698803</v>
      </c>
      <c r="Q127" s="830">
        <f t="shared" si="20"/>
        <v>51.246123153136296</v>
      </c>
      <c r="R127" s="2773"/>
    </row>
    <row r="128" spans="1:18" x14ac:dyDescent="0.25">
      <c r="A128" s="2781"/>
      <c r="B128" s="775">
        <v>2068</v>
      </c>
      <c r="C128" s="1058">
        <f t="shared" si="21"/>
        <v>826.11826880458273</v>
      </c>
      <c r="D128" s="1058">
        <f t="shared" si="22"/>
        <v>129.9511883512827</v>
      </c>
      <c r="E128" s="1058">
        <f t="shared" si="23"/>
        <v>666.57997953403481</v>
      </c>
      <c r="F128" s="1058">
        <f t="shared" si="24"/>
        <v>90.501720458929015</v>
      </c>
      <c r="G128" s="1058">
        <f t="shared" si="25"/>
        <v>94.562695094906573</v>
      </c>
      <c r="H128" s="827">
        <f>(0.0584*1.02)*0.379</f>
        <v>2.2576272000000001E-2</v>
      </c>
      <c r="I128" s="827">
        <f>'Emission-Waste Transport Vehicl'!N82</f>
        <v>12.356361689760002</v>
      </c>
      <c r="J128" s="827">
        <f>'Emission-Waste Transport Vehicl'!P82</f>
        <v>6.8748737745600002</v>
      </c>
      <c r="K128" s="827">
        <f>'Emission-Waste Transport Vehicl'!Q82</f>
        <v>5.339220289920001</v>
      </c>
      <c r="L128" s="827">
        <f>'Emission-Waste Transport Vehicl'!R82</f>
        <v>0.53141142384000006</v>
      </c>
      <c r="M128" s="827">
        <f t="shared" si="26"/>
        <v>1.8650670740701376E-2</v>
      </c>
      <c r="N128" s="830">
        <f t="shared" si="27"/>
        <v>1605.7238852825758</v>
      </c>
      <c r="O128" s="830">
        <f t="shared" si="28"/>
        <v>4582.6532199452777</v>
      </c>
      <c r="P128" s="830">
        <f t="shared" si="29"/>
        <v>483.20862214698184</v>
      </c>
      <c r="Q128" s="830">
        <f t="shared" si="20"/>
        <v>50.251696442532094</v>
      </c>
      <c r="R128" s="2773"/>
    </row>
    <row r="129" spans="1:18" ht="15.75" thickBot="1" x14ac:dyDescent="0.3">
      <c r="A129" s="2680"/>
      <c r="B129" s="776">
        <v>2069</v>
      </c>
      <c r="C129" s="1060">
        <f t="shared" si="21"/>
        <v>826.11826880458273</v>
      </c>
      <c r="D129" s="1060">
        <f t="shared" si="22"/>
        <v>129.9511883512827</v>
      </c>
      <c r="E129" s="1060">
        <f t="shared" si="23"/>
        <v>666.57997953403481</v>
      </c>
      <c r="F129" s="1060">
        <f t="shared" si="24"/>
        <v>90.501720458929015</v>
      </c>
      <c r="G129" s="1060">
        <f t="shared" si="25"/>
        <v>94.562695094906573</v>
      </c>
      <c r="H129" s="1073">
        <f>(0.0584*1.02)*0.3715</f>
        <v>2.2129512E-2</v>
      </c>
      <c r="I129" s="1062">
        <f>'Emission-Waste Transport Vehicl'!N83</f>
        <v>12.111842658960002</v>
      </c>
      <c r="J129" s="1062">
        <f>'Emission-Waste Transport Vehicl'!P83</f>
        <v>6.7388274597600004</v>
      </c>
      <c r="K129" s="1062">
        <f>'Emission-Waste Transport Vehicl'!Q83</f>
        <v>5.2335628963200005</v>
      </c>
      <c r="L129" s="1062">
        <f>'Emission-Waste Transport Vehicl'!R83</f>
        <v>0.52089536664000002</v>
      </c>
      <c r="M129" s="1062">
        <f t="shared" si="26"/>
        <v>1.8281594142930239E-2</v>
      </c>
      <c r="N129" s="1063">
        <f t="shared" si="27"/>
        <v>1573.9483466556119</v>
      </c>
      <c r="O129" s="1063">
        <f t="shared" si="28"/>
        <v>4491.9674702102129</v>
      </c>
      <c r="P129" s="1063">
        <f t="shared" si="29"/>
        <v>473.64644624697559</v>
      </c>
      <c r="Q129" s="1063">
        <f t="shared" si="20"/>
        <v>49.257269731927892</v>
      </c>
      <c r="R129" s="2774"/>
    </row>
    <row r="130" spans="1:18" ht="15.75" thickBot="1" x14ac:dyDescent="0.3">
      <c r="A130" s="1074"/>
      <c r="B130" s="1075"/>
      <c r="C130" s="991"/>
      <c r="D130" s="1076"/>
      <c r="E130" s="1077"/>
    </row>
    <row r="131" spans="1:18" ht="76.5" customHeight="1" thickBot="1" x14ac:dyDescent="0.3">
      <c r="A131" s="2627" t="s">
        <v>1319</v>
      </c>
      <c r="B131" s="2628"/>
      <c r="C131" s="2629"/>
      <c r="D131" s="1078"/>
      <c r="E131" s="1078"/>
      <c r="F131" s="1078"/>
      <c r="G131" s="1078"/>
    </row>
    <row r="132" spans="1:18" ht="60" x14ac:dyDescent="0.25">
      <c r="A132" s="1079" t="s">
        <v>177</v>
      </c>
      <c r="B132" s="1033" t="s">
        <v>272</v>
      </c>
      <c r="C132" s="1034" t="s">
        <v>1254</v>
      </c>
      <c r="D132" s="98"/>
      <c r="E132" s="98"/>
      <c r="F132" s="98"/>
      <c r="G132" s="98"/>
    </row>
    <row r="133" spans="1:18" ht="21.75" customHeight="1" x14ac:dyDescent="0.25">
      <c r="A133" s="249">
        <v>2019</v>
      </c>
      <c r="B133" s="827">
        <v>62</v>
      </c>
      <c r="C133" s="1080">
        <f>('Emission-Preprocessing'!$D$21/1000)*B133</f>
        <v>13392592.52820126</v>
      </c>
      <c r="D133" s="1081"/>
      <c r="E133" s="1081"/>
      <c r="F133" s="1081"/>
      <c r="G133" s="1081"/>
    </row>
    <row r="134" spans="1:18" ht="18" customHeight="1" x14ac:dyDescent="0.25">
      <c r="A134" s="249">
        <v>2020</v>
      </c>
      <c r="B134" s="827">
        <v>64</v>
      </c>
      <c r="C134" s="1080">
        <f>('Emission-Preprocessing'!$D$21/1000)*B134</f>
        <v>13824611.642014204</v>
      </c>
      <c r="D134" s="1081"/>
      <c r="E134" s="1081"/>
      <c r="F134" s="1081"/>
      <c r="G134" s="1081"/>
    </row>
    <row r="135" spans="1:18" x14ac:dyDescent="0.25">
      <c r="A135" s="249">
        <v>2021</v>
      </c>
      <c r="B135" s="827">
        <v>65</v>
      </c>
      <c r="C135" s="1082">
        <f>('Emission-Preprocessing'!$D$21/1000)*B135</f>
        <v>14040621.198920675</v>
      </c>
      <c r="D135" s="1081"/>
      <c r="E135" s="1081"/>
      <c r="F135" s="1081"/>
      <c r="G135" s="1081"/>
    </row>
    <row r="136" spans="1:18" x14ac:dyDescent="0.25">
      <c r="A136" s="249">
        <v>2022</v>
      </c>
      <c r="B136" s="827">
        <v>66</v>
      </c>
      <c r="C136" s="1082">
        <f>('Emission-Preprocessing'!$D$21/1000)*B136</f>
        <v>14256630.755827148</v>
      </c>
      <c r="D136" s="1081"/>
      <c r="E136" s="1081"/>
      <c r="F136" s="1081"/>
      <c r="G136" s="1081"/>
    </row>
    <row r="137" spans="1:18" x14ac:dyDescent="0.25">
      <c r="A137" s="249">
        <v>2023</v>
      </c>
      <c r="B137" s="827">
        <v>67</v>
      </c>
      <c r="C137" s="1082">
        <f>('Emission-Preprocessing'!$D$21/1000)*B137</f>
        <v>14472640.312733619</v>
      </c>
      <c r="D137" s="1081"/>
      <c r="E137" s="1081"/>
      <c r="F137" s="1081"/>
      <c r="G137" s="1081"/>
    </row>
    <row r="138" spans="1:18" x14ac:dyDescent="0.25">
      <c r="A138" s="249">
        <v>2024</v>
      </c>
      <c r="B138" s="827">
        <v>68</v>
      </c>
      <c r="C138" s="1082">
        <f>('Emission-Preprocessing'!$D$21/1000)*B138</f>
        <v>14688649.869640091</v>
      </c>
      <c r="D138" s="1081"/>
      <c r="E138" s="1081"/>
      <c r="F138" s="1081"/>
      <c r="G138" s="1081"/>
    </row>
    <row r="139" spans="1:18" x14ac:dyDescent="0.25">
      <c r="A139" s="249">
        <v>2025</v>
      </c>
      <c r="B139" s="827">
        <v>69</v>
      </c>
      <c r="C139" s="1082">
        <f>('Emission-Preprocessing'!$D$21/1000)*B139</f>
        <v>14904659.426546562</v>
      </c>
      <c r="D139" s="1081"/>
      <c r="E139" s="1081"/>
      <c r="F139" s="1081"/>
      <c r="G139" s="1081"/>
    </row>
    <row r="140" spans="1:18" x14ac:dyDescent="0.25">
      <c r="A140" s="249">
        <v>2026</v>
      </c>
      <c r="B140" s="827">
        <v>70</v>
      </c>
      <c r="C140" s="1082">
        <f>('Emission-Preprocessing'!$D$21/1000)*B140</f>
        <v>15120668.983453035</v>
      </c>
      <c r="D140" s="1081"/>
      <c r="E140" s="1081"/>
      <c r="F140" s="1081"/>
      <c r="G140" s="1081"/>
    </row>
    <row r="141" spans="1:18" x14ac:dyDescent="0.25">
      <c r="A141" s="249">
        <v>2027</v>
      </c>
      <c r="B141" s="827">
        <v>71</v>
      </c>
      <c r="C141" s="1082">
        <f>('Emission-Preprocessing'!$D$21/1000)*B141</f>
        <v>15336678.540359506</v>
      </c>
      <c r="D141" s="1081"/>
      <c r="E141" s="1081"/>
      <c r="F141" s="1081"/>
      <c r="G141" s="1081"/>
    </row>
    <row r="142" spans="1:18" x14ac:dyDescent="0.25">
      <c r="A142" s="249">
        <v>2028</v>
      </c>
      <c r="B142" s="827">
        <v>72</v>
      </c>
      <c r="C142" s="1082">
        <f>('Emission-Preprocessing'!$D$21/1000)*B142</f>
        <v>15552688.097265979</v>
      </c>
      <c r="D142" s="1081"/>
      <c r="E142" s="1081"/>
      <c r="F142" s="1081"/>
      <c r="G142" s="1081"/>
    </row>
    <row r="143" spans="1:18" x14ac:dyDescent="0.25">
      <c r="A143" s="249">
        <v>2029</v>
      </c>
      <c r="B143" s="827">
        <v>73</v>
      </c>
      <c r="C143" s="1082">
        <f>('Emission-Preprocessing'!$D$21/1000)*B143</f>
        <v>15768697.65417245</v>
      </c>
      <c r="D143" s="1081"/>
      <c r="E143" s="1081"/>
      <c r="F143" s="1081"/>
      <c r="G143" s="1081"/>
    </row>
    <row r="144" spans="1:18" x14ac:dyDescent="0.25">
      <c r="A144" s="249">
        <v>2030</v>
      </c>
      <c r="B144" s="827">
        <v>75</v>
      </c>
      <c r="C144" s="1082">
        <f>('Emission-Preprocessing'!$D$21/1000)*B144</f>
        <v>16200716.767985394</v>
      </c>
      <c r="D144" s="1081"/>
      <c r="E144" s="1081"/>
      <c r="F144" s="1081"/>
      <c r="G144" s="1081"/>
    </row>
    <row r="145" spans="1:7" x14ac:dyDescent="0.25">
      <c r="A145" s="249">
        <v>2031</v>
      </c>
      <c r="B145" s="827">
        <v>76</v>
      </c>
      <c r="C145" s="1082">
        <f>('Emission-Preprocessing'!$D$21/1000)*B145</f>
        <v>16416726.324891867</v>
      </c>
      <c r="D145" s="1081"/>
      <c r="E145" s="1081"/>
      <c r="F145" s="1081"/>
      <c r="G145" s="1081"/>
    </row>
    <row r="146" spans="1:7" x14ac:dyDescent="0.25">
      <c r="A146" s="249">
        <v>2032</v>
      </c>
      <c r="B146" s="827">
        <v>77</v>
      </c>
      <c r="C146" s="1082">
        <f>('Emission-Preprocessing'!$D$21/1000)*B146</f>
        <v>16632735.881798338</v>
      </c>
      <c r="D146" s="1081"/>
      <c r="E146" s="1081"/>
      <c r="F146" s="1081"/>
      <c r="G146" s="1081"/>
    </row>
    <row r="147" spans="1:7" x14ac:dyDescent="0.25">
      <c r="A147" s="249">
        <v>2033</v>
      </c>
      <c r="B147" s="827">
        <v>78</v>
      </c>
      <c r="C147" s="1082">
        <f>('Emission-Preprocessing'!$D$21/1000)*B147</f>
        <v>16848745.438704811</v>
      </c>
      <c r="D147" s="1081"/>
      <c r="E147" s="1081"/>
      <c r="F147" s="1081"/>
      <c r="G147" s="1081"/>
    </row>
    <row r="148" spans="1:7" x14ac:dyDescent="0.25">
      <c r="A148" s="249">
        <v>2034</v>
      </c>
      <c r="B148" s="827">
        <v>79</v>
      </c>
      <c r="C148" s="1082">
        <f>('Emission-Preprocessing'!$D$21/1000)*B148</f>
        <v>17064754.995611284</v>
      </c>
      <c r="D148" s="1081"/>
      <c r="E148" s="1081"/>
      <c r="F148" s="1081"/>
      <c r="G148" s="1081"/>
    </row>
    <row r="149" spans="1:7" x14ac:dyDescent="0.25">
      <c r="A149" s="249">
        <v>2035</v>
      </c>
      <c r="B149" s="827">
        <v>80</v>
      </c>
      <c r="C149" s="1082">
        <f>('Emission-Preprocessing'!$D$21/1000)*B149</f>
        <v>17280764.552517753</v>
      </c>
      <c r="D149" s="1081"/>
      <c r="E149" s="1081"/>
      <c r="F149" s="1081"/>
      <c r="G149" s="1081"/>
    </row>
    <row r="150" spans="1:7" x14ac:dyDescent="0.25">
      <c r="A150" s="249">
        <v>2036</v>
      </c>
      <c r="B150" s="827">
        <v>81</v>
      </c>
      <c r="C150" s="1082">
        <f>('Emission-Preprocessing'!$D$21/1000)*B150</f>
        <v>17496774.109424226</v>
      </c>
      <c r="D150" s="1081"/>
      <c r="E150" s="1081"/>
      <c r="F150" s="1081"/>
      <c r="G150" s="1081"/>
    </row>
    <row r="151" spans="1:7" x14ac:dyDescent="0.25">
      <c r="A151" s="249">
        <v>2037</v>
      </c>
      <c r="B151" s="827">
        <v>83</v>
      </c>
      <c r="C151" s="1082">
        <f>('Emission-Preprocessing'!$D$21/1000)*B151</f>
        <v>17928793.223237172</v>
      </c>
      <c r="D151" s="1081"/>
      <c r="E151" s="1081"/>
      <c r="F151" s="1081"/>
      <c r="G151" s="1081"/>
    </row>
    <row r="152" spans="1:7" x14ac:dyDescent="0.25">
      <c r="A152" s="249">
        <v>2038</v>
      </c>
      <c r="B152" s="827">
        <v>84</v>
      </c>
      <c r="C152" s="1082">
        <f>('Emission-Preprocessing'!$D$21/1000)*B152</f>
        <v>18144802.780143641</v>
      </c>
      <c r="D152" s="1081"/>
      <c r="E152" s="1081"/>
      <c r="F152" s="1081"/>
      <c r="G152" s="1081"/>
    </row>
    <row r="153" spans="1:7" x14ac:dyDescent="0.25">
      <c r="A153" s="249">
        <v>2039</v>
      </c>
      <c r="B153" s="827">
        <v>85</v>
      </c>
      <c r="C153" s="1082">
        <f>('Emission-Preprocessing'!$D$21/1000)*B153</f>
        <v>18360812.337050114</v>
      </c>
      <c r="D153" s="1081"/>
      <c r="E153" s="1081"/>
      <c r="F153" s="1081"/>
      <c r="G153" s="1081"/>
    </row>
    <row r="154" spans="1:7" x14ac:dyDescent="0.25">
      <c r="A154" s="249">
        <v>2040</v>
      </c>
      <c r="B154" s="827">
        <v>86</v>
      </c>
      <c r="C154" s="1082">
        <f>('Emission-Preprocessing'!$D$21/1000)*B154</f>
        <v>18576821.893956587</v>
      </c>
      <c r="D154" s="1081"/>
      <c r="E154" s="1081"/>
      <c r="F154" s="1081"/>
      <c r="G154" s="1081"/>
    </row>
    <row r="155" spans="1:7" x14ac:dyDescent="0.25">
      <c r="A155" s="249">
        <v>2041</v>
      </c>
      <c r="B155" s="827">
        <v>87</v>
      </c>
      <c r="C155" s="1082">
        <f>('Emission-Preprocessing'!$D$21/1000)*B155</f>
        <v>18792831.45086306</v>
      </c>
      <c r="D155" s="1081"/>
      <c r="E155" s="1081"/>
      <c r="F155" s="1081"/>
      <c r="G155" s="1081"/>
    </row>
    <row r="156" spans="1:7" x14ac:dyDescent="0.25">
      <c r="A156" s="249">
        <v>2042</v>
      </c>
      <c r="B156" s="827">
        <v>88</v>
      </c>
      <c r="C156" s="1082">
        <f>('Emission-Preprocessing'!$D$21/1000)*B156</f>
        <v>19008841.007769529</v>
      </c>
      <c r="D156" s="1081"/>
      <c r="E156" s="1081"/>
      <c r="F156" s="1081"/>
      <c r="G156" s="1081"/>
    </row>
    <row r="157" spans="1:7" x14ac:dyDescent="0.25">
      <c r="A157" s="249">
        <v>2043</v>
      </c>
      <c r="B157" s="827">
        <v>89</v>
      </c>
      <c r="C157" s="1082">
        <f>('Emission-Preprocessing'!$D$21/1000)*B157</f>
        <v>19224850.564676002</v>
      </c>
      <c r="D157" s="1081"/>
      <c r="E157" s="1081"/>
      <c r="F157" s="1081"/>
      <c r="G157" s="1081"/>
    </row>
    <row r="158" spans="1:7" x14ac:dyDescent="0.25">
      <c r="A158" s="249">
        <v>2044</v>
      </c>
      <c r="B158" s="827">
        <v>90</v>
      </c>
      <c r="C158" s="1082">
        <f>('Emission-Preprocessing'!$D$21/1000)*B158</f>
        <v>19440860.121582475</v>
      </c>
      <c r="D158" s="1081"/>
      <c r="E158" s="1081"/>
      <c r="F158" s="1081"/>
      <c r="G158" s="1081"/>
    </row>
    <row r="159" spans="1:7" x14ac:dyDescent="0.25">
      <c r="A159" s="249">
        <v>2045</v>
      </c>
      <c r="B159" s="827">
        <v>92</v>
      </c>
      <c r="C159" s="1082">
        <f>('Emission-Preprocessing'!$D$21/1000)*B159</f>
        <v>19872879.235395417</v>
      </c>
      <c r="D159" s="1081"/>
      <c r="E159" s="1081"/>
      <c r="F159" s="1081"/>
      <c r="G159" s="1081"/>
    </row>
    <row r="160" spans="1:7" x14ac:dyDescent="0.25">
      <c r="A160" s="249">
        <v>2046</v>
      </c>
      <c r="B160" s="827">
        <v>93</v>
      </c>
      <c r="C160" s="1082">
        <f>('Emission-Preprocessing'!$D$21/1000)*B160</f>
        <v>20088888.79230189</v>
      </c>
      <c r="D160" s="1081"/>
      <c r="E160" s="1081"/>
      <c r="F160" s="1081"/>
      <c r="G160" s="1081"/>
    </row>
    <row r="161" spans="1:7" x14ac:dyDescent="0.25">
      <c r="A161" s="249">
        <v>2047</v>
      </c>
      <c r="B161" s="827">
        <v>94</v>
      </c>
      <c r="C161" s="1082">
        <f>('Emission-Preprocessing'!$D$21/1000)*B161</f>
        <v>20304898.349208362</v>
      </c>
      <c r="D161" s="1081"/>
      <c r="E161" s="1081"/>
      <c r="F161" s="1081"/>
      <c r="G161" s="1081"/>
    </row>
    <row r="162" spans="1:7" x14ac:dyDescent="0.25">
      <c r="A162" s="249">
        <v>2048</v>
      </c>
      <c r="B162" s="827">
        <v>95</v>
      </c>
      <c r="C162" s="1082">
        <f>('Emission-Preprocessing'!$D$21/1000)*B162</f>
        <v>20520907.906114835</v>
      </c>
      <c r="D162" s="1081"/>
      <c r="E162" s="1081"/>
      <c r="F162" s="1081"/>
      <c r="G162" s="1081"/>
    </row>
    <row r="163" spans="1:7" x14ac:dyDescent="0.25">
      <c r="A163" s="249">
        <v>2049</v>
      </c>
      <c r="B163" s="827">
        <v>96</v>
      </c>
      <c r="C163" s="1082">
        <f>('Emission-Preprocessing'!$D$21/1000)*B163</f>
        <v>20736917.463021304</v>
      </c>
      <c r="D163" s="1081"/>
      <c r="E163" s="1081"/>
      <c r="F163" s="1081"/>
      <c r="G163" s="1081"/>
    </row>
    <row r="164" spans="1:7" x14ac:dyDescent="0.25">
      <c r="A164" s="249">
        <v>2050</v>
      </c>
      <c r="B164" s="827">
        <v>97</v>
      </c>
      <c r="C164" s="1082">
        <f>('Emission-Preprocessing'!$D$21/1000)*B164</f>
        <v>20952927.019927777</v>
      </c>
      <c r="D164" s="1081"/>
      <c r="E164" s="1081"/>
      <c r="F164" s="1081"/>
      <c r="G164" s="1081"/>
    </row>
    <row r="165" spans="1:7" x14ac:dyDescent="0.25">
      <c r="A165" s="249">
        <v>2051</v>
      </c>
      <c r="B165" s="827">
        <v>97</v>
      </c>
      <c r="C165" s="1082">
        <f>('Emission-Preprocessing'!$D$21/1000)*B165</f>
        <v>20952927.019927777</v>
      </c>
      <c r="D165" s="1081"/>
      <c r="E165" s="1081"/>
      <c r="F165" s="1081"/>
      <c r="G165" s="1081"/>
    </row>
    <row r="166" spans="1:7" x14ac:dyDescent="0.25">
      <c r="A166" s="249">
        <v>2052</v>
      </c>
      <c r="B166" s="827">
        <v>97</v>
      </c>
      <c r="C166" s="1082">
        <f>('Emission-Preprocessing'!$D$21/1000)*B166</f>
        <v>20952927.019927777</v>
      </c>
      <c r="D166" s="1081"/>
      <c r="E166" s="1081"/>
      <c r="F166" s="1081"/>
      <c r="G166" s="1081"/>
    </row>
    <row r="167" spans="1:7" x14ac:dyDescent="0.25">
      <c r="A167" s="249">
        <v>2053</v>
      </c>
      <c r="B167" s="827">
        <v>97</v>
      </c>
      <c r="C167" s="1082">
        <f>('Emission-Preprocessing'!$D$21/1000)*B167</f>
        <v>20952927.019927777</v>
      </c>
      <c r="D167" s="1081"/>
      <c r="E167" s="1081"/>
      <c r="F167" s="1081"/>
      <c r="G167" s="1081"/>
    </row>
    <row r="168" spans="1:7" x14ac:dyDescent="0.25">
      <c r="A168" s="249">
        <v>2054</v>
      </c>
      <c r="B168" s="827">
        <v>97</v>
      </c>
      <c r="C168" s="1082">
        <f>('Emission-Preprocessing'!$D$21/1000)*B168</f>
        <v>20952927.019927777</v>
      </c>
      <c r="D168" s="1081"/>
      <c r="E168" s="1081"/>
      <c r="F168" s="1081"/>
      <c r="G168" s="1081"/>
    </row>
    <row r="169" spans="1:7" x14ac:dyDescent="0.25">
      <c r="A169" s="249">
        <v>2055</v>
      </c>
      <c r="B169" s="827">
        <v>97</v>
      </c>
      <c r="C169" s="1082">
        <f>('Emission-Preprocessing'!$D$21/1000)*B169</f>
        <v>20952927.019927777</v>
      </c>
      <c r="D169" s="1081"/>
      <c r="E169" s="1081"/>
      <c r="F169" s="1081"/>
      <c r="G169" s="1081"/>
    </row>
    <row r="170" spans="1:7" x14ac:dyDescent="0.25">
      <c r="A170" s="249">
        <v>2056</v>
      </c>
      <c r="B170" s="827">
        <v>97</v>
      </c>
      <c r="C170" s="1082">
        <f>('Emission-Preprocessing'!$D$21/1000)*B170</f>
        <v>20952927.019927777</v>
      </c>
      <c r="D170" s="1081"/>
      <c r="E170" s="1081"/>
      <c r="F170" s="1081"/>
      <c r="G170" s="1081"/>
    </row>
    <row r="171" spans="1:7" x14ac:dyDescent="0.25">
      <c r="A171" s="249">
        <v>2057</v>
      </c>
      <c r="B171" s="827">
        <v>97</v>
      </c>
      <c r="C171" s="1082">
        <f>('Emission-Preprocessing'!$D$21/1000)*B171</f>
        <v>20952927.019927777</v>
      </c>
      <c r="D171" s="1081"/>
      <c r="E171" s="1081"/>
      <c r="F171" s="1081"/>
      <c r="G171" s="1081"/>
    </row>
    <row r="172" spans="1:7" x14ac:dyDescent="0.25">
      <c r="A172" s="249">
        <v>2058</v>
      </c>
      <c r="B172" s="827">
        <v>97</v>
      </c>
      <c r="C172" s="1082">
        <f>('Emission-Preprocessing'!$D$21/1000)*B172</f>
        <v>20952927.019927777</v>
      </c>
      <c r="D172" s="1081"/>
      <c r="E172" s="1081"/>
      <c r="F172" s="1081"/>
      <c r="G172" s="1081"/>
    </row>
    <row r="173" spans="1:7" x14ac:dyDescent="0.25">
      <c r="A173" s="249">
        <v>2059</v>
      </c>
      <c r="B173" s="827">
        <v>97</v>
      </c>
      <c r="C173" s="1082">
        <f>('Emission-Preprocessing'!$D$21/1000)*B173</f>
        <v>20952927.019927777</v>
      </c>
      <c r="D173" s="1081"/>
      <c r="E173" s="1081"/>
      <c r="F173" s="1081"/>
      <c r="G173" s="1081"/>
    </row>
    <row r="174" spans="1:7" x14ac:dyDescent="0.25">
      <c r="A174" s="249">
        <v>2060</v>
      </c>
      <c r="B174" s="827">
        <v>97</v>
      </c>
      <c r="C174" s="1082">
        <f>('Emission-Preprocessing'!$D$21/1000)*B174</f>
        <v>20952927.019927777</v>
      </c>
      <c r="D174" s="1081"/>
      <c r="E174" s="1081"/>
      <c r="F174" s="1081"/>
      <c r="G174" s="1081"/>
    </row>
    <row r="175" spans="1:7" x14ac:dyDescent="0.25">
      <c r="A175" s="249">
        <v>2061</v>
      </c>
      <c r="B175" s="827">
        <v>97</v>
      </c>
      <c r="C175" s="1082">
        <f>('Emission-Preprocessing'!$D$21/1000)*B175</f>
        <v>20952927.019927777</v>
      </c>
      <c r="D175" s="1081"/>
      <c r="E175" s="1081"/>
      <c r="F175" s="1081"/>
      <c r="G175" s="1081"/>
    </row>
    <row r="176" spans="1:7" x14ac:dyDescent="0.25">
      <c r="A176" s="249">
        <v>2062</v>
      </c>
      <c r="B176" s="827">
        <v>97</v>
      </c>
      <c r="C176" s="1082">
        <f>('Emission-Preprocessing'!$D$21/1000)*B176</f>
        <v>20952927.019927777</v>
      </c>
      <c r="D176" s="1081"/>
      <c r="E176" s="1081"/>
      <c r="F176" s="1081"/>
      <c r="G176" s="1081"/>
    </row>
    <row r="177" spans="1:7" x14ac:dyDescent="0.25">
      <c r="A177" s="249">
        <v>2063</v>
      </c>
      <c r="B177" s="827">
        <v>97</v>
      </c>
      <c r="C177" s="1082">
        <f>('Emission-Preprocessing'!$D$21/1000)*B177</f>
        <v>20952927.019927777</v>
      </c>
      <c r="D177" s="1081"/>
      <c r="E177" s="1081"/>
      <c r="F177" s="1081"/>
      <c r="G177" s="1081"/>
    </row>
    <row r="178" spans="1:7" x14ac:dyDescent="0.25">
      <c r="A178" s="249">
        <v>2064</v>
      </c>
      <c r="B178" s="827">
        <v>97</v>
      </c>
      <c r="C178" s="1082">
        <f>('Emission-Preprocessing'!$D$21/1000)*B178</f>
        <v>20952927.019927777</v>
      </c>
      <c r="D178" s="1081"/>
      <c r="E178" s="1081"/>
      <c r="F178" s="1081"/>
      <c r="G178" s="1081"/>
    </row>
    <row r="179" spans="1:7" x14ac:dyDescent="0.25">
      <c r="A179" s="249">
        <v>2065</v>
      </c>
      <c r="B179" s="827">
        <v>97</v>
      </c>
      <c r="C179" s="1082">
        <f>('Emission-Preprocessing'!$D$21/1000)*B179</f>
        <v>20952927.019927777</v>
      </c>
      <c r="D179" s="1081"/>
      <c r="E179" s="1081"/>
      <c r="F179" s="1081"/>
      <c r="G179" s="1081"/>
    </row>
    <row r="180" spans="1:7" x14ac:dyDescent="0.25">
      <c r="A180" s="249">
        <v>2066</v>
      </c>
      <c r="B180" s="827">
        <v>97</v>
      </c>
      <c r="C180" s="1082">
        <f>('Emission-Preprocessing'!$D$21/1000)*B180</f>
        <v>20952927.019927777</v>
      </c>
      <c r="D180" s="1081"/>
      <c r="E180" s="1081"/>
      <c r="F180" s="1081"/>
      <c r="G180" s="1081"/>
    </row>
    <row r="181" spans="1:7" x14ac:dyDescent="0.25">
      <c r="A181" s="249">
        <v>2067</v>
      </c>
      <c r="B181" s="827">
        <v>97</v>
      </c>
      <c r="C181" s="1082">
        <f>('Emission-Preprocessing'!$D$21/1000)*B181</f>
        <v>20952927.019927777</v>
      </c>
      <c r="D181" s="1081"/>
      <c r="E181" s="1081"/>
      <c r="F181" s="1081"/>
      <c r="G181" s="1081"/>
    </row>
    <row r="182" spans="1:7" x14ac:dyDescent="0.25">
      <c r="A182" s="249">
        <v>2068</v>
      </c>
      <c r="B182" s="827">
        <v>97</v>
      </c>
      <c r="C182" s="1082">
        <f>('Emission-Preprocessing'!$D$21/1000)*B182</f>
        <v>20952927.019927777</v>
      </c>
      <c r="D182" s="1081"/>
      <c r="E182" s="1081"/>
      <c r="F182" s="1081"/>
      <c r="G182" s="1081"/>
    </row>
    <row r="183" spans="1:7" ht="15.75" thickBot="1" x14ac:dyDescent="0.3">
      <c r="A183" s="1020">
        <v>2069</v>
      </c>
      <c r="B183" s="1073">
        <v>97</v>
      </c>
      <c r="C183" s="1083">
        <f>('Emission-Preprocessing'!$D$21/1000)*B183</f>
        <v>20952927.019927777</v>
      </c>
      <c r="D183" s="1081"/>
      <c r="E183" s="1081"/>
      <c r="F183" s="1081"/>
      <c r="G183" s="1081"/>
    </row>
    <row r="184" spans="1:7" ht="15.75" thickBot="1" x14ac:dyDescent="0.3">
      <c r="A184" s="2767" t="s">
        <v>1098</v>
      </c>
      <c r="B184" s="2768"/>
      <c r="C184" s="1084">
        <f>SUM(C133:C183)*1.2682</f>
        <v>1203980891.7023211</v>
      </c>
      <c r="D184" s="1085"/>
      <c r="E184" s="1085"/>
      <c r="F184" s="1085"/>
      <c r="G184" s="1085"/>
    </row>
    <row r="186" spans="1:7" ht="61.5" customHeight="1" x14ac:dyDescent="0.25"/>
  </sheetData>
  <mergeCells count="20">
    <mergeCell ref="A1:E1"/>
    <mergeCell ref="D7:I7"/>
    <mergeCell ref="G11:K11"/>
    <mergeCell ref="A11:A12"/>
    <mergeCell ref="B11:F11"/>
    <mergeCell ref="D8:E9"/>
    <mergeCell ref="A6:C6"/>
    <mergeCell ref="A2:B2"/>
    <mergeCell ref="A15:K15"/>
    <mergeCell ref="A131:C131"/>
    <mergeCell ref="A184:B184"/>
    <mergeCell ref="A25:A75"/>
    <mergeCell ref="R25:R75"/>
    <mergeCell ref="A16:A17"/>
    <mergeCell ref="B16:F16"/>
    <mergeCell ref="G16:K16"/>
    <mergeCell ref="A79:A129"/>
    <mergeCell ref="A23:R23"/>
    <mergeCell ref="A77:R77"/>
    <mergeCell ref="R79:R129"/>
  </mergeCell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52145B-497B-429D-861D-838036F3080A}">
  <dimension ref="A1:T221"/>
  <sheetViews>
    <sheetView workbookViewId="0">
      <selection activeCell="I171" sqref="I171:L221"/>
    </sheetView>
  </sheetViews>
  <sheetFormatPr defaultRowHeight="15" x14ac:dyDescent="0.25"/>
  <cols>
    <col min="1" max="1" width="29.7109375" style="498" customWidth="1"/>
    <col min="2" max="2" width="25.85546875" style="498" customWidth="1"/>
    <col min="3" max="3" width="34.5703125" style="498" customWidth="1"/>
    <col min="4" max="4" width="38.85546875" style="498" customWidth="1"/>
    <col min="5" max="5" width="17.140625" style="498" customWidth="1"/>
    <col min="6" max="6" width="19.140625" style="498" customWidth="1"/>
    <col min="7" max="7" width="16.28515625" style="498" customWidth="1"/>
    <col min="8" max="8" width="13.5703125" style="498" customWidth="1"/>
    <col min="9" max="9" width="16" style="498" customWidth="1"/>
    <col min="10" max="10" width="17.7109375" style="498" customWidth="1"/>
    <col min="11" max="11" width="17.42578125" style="498" customWidth="1"/>
    <col min="12" max="12" width="15.5703125" style="498" customWidth="1"/>
    <col min="13" max="13" width="14.28515625" style="498" customWidth="1"/>
    <col min="14" max="14" width="12.28515625" style="498" customWidth="1"/>
    <col min="15" max="15" width="12.5703125" style="498" customWidth="1"/>
    <col min="16" max="16" width="12.28515625" style="498" customWidth="1"/>
    <col min="17" max="17" width="11.28515625" style="498" customWidth="1"/>
    <col min="18" max="18" width="21" style="498" customWidth="1"/>
    <col min="19" max="19" width="9.140625" style="498"/>
    <col min="20" max="20" width="11.85546875" style="498" bestFit="1" customWidth="1"/>
    <col min="21" max="16384" width="9.140625" style="498"/>
  </cols>
  <sheetData>
    <row r="1" spans="1:20" ht="45.75" customHeight="1" thickBot="1" x14ac:dyDescent="0.3">
      <c r="A1" s="2627" t="s">
        <v>1320</v>
      </c>
      <c r="B1" s="2628"/>
      <c r="C1" s="2628"/>
      <c r="D1" s="2629"/>
      <c r="E1" s="1091"/>
      <c r="F1" s="1091"/>
      <c r="G1" s="1091"/>
      <c r="H1" s="1091"/>
      <c r="I1" s="1091"/>
      <c r="J1" s="1091"/>
      <c r="K1" s="1091"/>
      <c r="L1" s="1091"/>
      <c r="M1" s="1091"/>
      <c r="N1" s="1091"/>
      <c r="O1" s="1091"/>
      <c r="P1" s="1091"/>
      <c r="Q1" s="1091"/>
      <c r="R1" s="1091"/>
      <c r="S1" s="1091"/>
      <c r="T1" s="1091"/>
    </row>
    <row r="2" spans="1:20" ht="29.25" customHeight="1" thickBot="1" x14ac:dyDescent="0.3">
      <c r="A2" s="2549" t="s">
        <v>1126</v>
      </c>
      <c r="B2" s="2550"/>
      <c r="C2" s="2550"/>
      <c r="D2" s="2551"/>
      <c r="E2" s="1091"/>
      <c r="F2" s="1091"/>
      <c r="G2" s="1091"/>
      <c r="H2" s="1091"/>
      <c r="I2" s="1091"/>
      <c r="J2" s="1091"/>
      <c r="K2" s="1091"/>
      <c r="L2" s="1091"/>
      <c r="M2" s="1091"/>
      <c r="N2" s="1091"/>
      <c r="O2" s="1091"/>
      <c r="P2" s="1091"/>
      <c r="Q2" s="1091"/>
      <c r="R2" s="1091"/>
      <c r="S2" s="1091"/>
      <c r="T2" s="1091"/>
    </row>
    <row r="3" spans="1:20" ht="31.5" customHeight="1" x14ac:dyDescent="0.25">
      <c r="A3" s="640" t="s">
        <v>1164</v>
      </c>
      <c r="B3" s="1807" t="s">
        <v>1698</v>
      </c>
      <c r="C3" s="1031" t="s">
        <v>1166</v>
      </c>
      <c r="D3" s="1032" t="s">
        <v>1167</v>
      </c>
    </row>
    <row r="4" spans="1:20" x14ac:dyDescent="0.25">
      <c r="A4" s="420" t="s">
        <v>1165</v>
      </c>
      <c r="B4" s="1092">
        <f>'Cost-Benefit Tab_Digester'!$P$45</f>
        <v>161689.44152909628</v>
      </c>
      <c r="C4" s="2793">
        <f>' QUICK OVERVIEW- Inputs&amp;Outputs'!$C$31</f>
        <v>0.1419</v>
      </c>
      <c r="D4" s="1093">
        <f>B4/C4</f>
        <v>1139460.4758921515</v>
      </c>
    </row>
    <row r="5" spans="1:20" x14ac:dyDescent="0.25">
      <c r="A5" s="420" t="s">
        <v>913</v>
      </c>
      <c r="B5" s="1092">
        <f>'Cost-Benefit Tab_Digester'!D50</f>
        <v>7027920.072142262</v>
      </c>
      <c r="C5" s="2793"/>
      <c r="D5" s="1093">
        <f>B5/C4</f>
        <v>49527273.235674858</v>
      </c>
    </row>
    <row r="6" spans="1:20" x14ac:dyDescent="0.25">
      <c r="A6" s="420" t="s">
        <v>914</v>
      </c>
      <c r="B6" s="1092">
        <f>'Cost-Benefit Tab_Digester'!D51</f>
        <v>7027920.072142262</v>
      </c>
      <c r="C6" s="2793"/>
      <c r="D6" s="1093">
        <f>B6/C4</f>
        <v>49527273.235674858</v>
      </c>
    </row>
    <row r="7" spans="1:20" ht="15.75" thickBot="1" x14ac:dyDescent="0.3">
      <c r="A7" s="421" t="s">
        <v>753</v>
      </c>
      <c r="B7" s="826">
        <f>'Cost-Benefit Tab_Digester'!D52</f>
        <v>12298868.229214262</v>
      </c>
      <c r="C7" s="2794"/>
      <c r="D7" s="1094">
        <f>B7/C4</f>
        <v>86672785.265780568</v>
      </c>
    </row>
    <row r="8" spans="1:20" ht="15.75" thickBot="1" x14ac:dyDescent="0.3">
      <c r="A8" s="115"/>
      <c r="B8" s="1095"/>
      <c r="C8" s="1067"/>
      <c r="D8" s="1096"/>
    </row>
    <row r="9" spans="1:20" ht="39" customHeight="1" thickBot="1" x14ac:dyDescent="0.3">
      <c r="A9" s="2799" t="s">
        <v>1164</v>
      </c>
      <c r="B9" s="2785" t="s">
        <v>1484</v>
      </c>
      <c r="C9" s="2795"/>
      <c r="D9" s="2795"/>
      <c r="E9" s="2795"/>
      <c r="F9" s="2796"/>
      <c r="G9" s="2782" t="s">
        <v>1486</v>
      </c>
      <c r="H9" s="2797"/>
      <c r="I9" s="2797"/>
      <c r="J9" s="2797"/>
      <c r="K9" s="2798"/>
    </row>
    <row r="10" spans="1:20" ht="18.75" thickBot="1" x14ac:dyDescent="0.3">
      <c r="A10" s="2800"/>
      <c r="B10" s="1499" t="s">
        <v>380</v>
      </c>
      <c r="C10" s="1477" t="s">
        <v>1040</v>
      </c>
      <c r="D10" s="1477" t="s">
        <v>329</v>
      </c>
      <c r="E10" s="1477" t="s">
        <v>330</v>
      </c>
      <c r="F10" s="1478" t="s">
        <v>77</v>
      </c>
      <c r="G10" s="1499" t="s">
        <v>380</v>
      </c>
      <c r="H10" s="1477" t="s">
        <v>1040</v>
      </c>
      <c r="I10" s="1477" t="s">
        <v>329</v>
      </c>
      <c r="J10" s="1477" t="s">
        <v>330</v>
      </c>
      <c r="K10" s="1478" t="s">
        <v>77</v>
      </c>
    </row>
    <row r="11" spans="1:20" x14ac:dyDescent="0.25">
      <c r="A11" s="1226" t="s">
        <v>1165</v>
      </c>
      <c r="B11" s="1480">
        <v>0.34760000000000002</v>
      </c>
      <c r="C11" s="732">
        <v>1.573</v>
      </c>
      <c r="D11" s="732">
        <v>9.2999999999999999E-2</v>
      </c>
      <c r="E11" s="732">
        <v>2.5000000000000001E-2</v>
      </c>
      <c r="F11" s="1481">
        <v>16.7</v>
      </c>
      <c r="G11" s="1504">
        <f>(D4*B11)/(1000*2.2)</f>
        <v>180.03475519095994</v>
      </c>
      <c r="H11" s="1492">
        <f>(D4*C11)/(1000*2.2)</f>
        <v>814.71424026288832</v>
      </c>
      <c r="I11" s="1492">
        <f>(D4*D11)/(1000*2.2)</f>
        <v>48.168101935440951</v>
      </c>
      <c r="J11" s="1492">
        <f>(D4*E11)/(1000*2.2)</f>
        <v>12.948414498774451</v>
      </c>
      <c r="K11" s="1126">
        <f>(D4*F11)/(1000*2.2)</f>
        <v>8649.5408851813299</v>
      </c>
    </row>
    <row r="12" spans="1:20" x14ac:dyDescent="0.25">
      <c r="A12" s="1226" t="s">
        <v>913</v>
      </c>
      <c r="B12" s="1487">
        <v>0.34760000000000002</v>
      </c>
      <c r="C12" s="1491">
        <v>1.573</v>
      </c>
      <c r="D12" s="1491">
        <v>9.2999999999999999E-2</v>
      </c>
      <c r="E12" s="1491">
        <v>2.5000000000000001E-2</v>
      </c>
      <c r="F12" s="1484">
        <v>16.7</v>
      </c>
      <c r="G12" s="1493">
        <f>(D5*B12)/(1000*2.2)</f>
        <v>7825.3091712366286</v>
      </c>
      <c r="H12" s="989">
        <f>(D5*C12)/(1000*2.2)</f>
        <v>35412.000363507519</v>
      </c>
      <c r="I12" s="989">
        <f>(D5*D12)/(1000*2.2)</f>
        <v>2093.6529140535281</v>
      </c>
      <c r="J12" s="989">
        <f>(D5*E12)/(1000*2.2)</f>
        <v>562.80992313266893</v>
      </c>
      <c r="K12" s="1098">
        <f>(D5*F12)/(1000*2.2)</f>
        <v>375957.02865262277</v>
      </c>
    </row>
    <row r="13" spans="1:20" x14ac:dyDescent="0.25">
      <c r="A13" s="1226" t="s">
        <v>914</v>
      </c>
      <c r="B13" s="1487">
        <v>0.34760000000000002</v>
      </c>
      <c r="C13" s="1491">
        <v>1.573</v>
      </c>
      <c r="D13" s="1491">
        <v>9.2999999999999999E-2</v>
      </c>
      <c r="E13" s="1491">
        <v>2.5000000000000001E-2</v>
      </c>
      <c r="F13" s="1484">
        <v>16.7</v>
      </c>
      <c r="G13" s="1493">
        <f>(D6*B13)/(1000*2.2)</f>
        <v>7825.3091712366286</v>
      </c>
      <c r="H13" s="989">
        <f t="shared" ref="H13" si="0">(D6*C13)/(1000*2.2)</f>
        <v>35412.000363507519</v>
      </c>
      <c r="I13" s="989">
        <f>(D6*D13)/(1000*2.2)</f>
        <v>2093.6529140535281</v>
      </c>
      <c r="J13" s="989">
        <f t="shared" ref="J13:J14" si="1">(D6*E13)/(1000*2.2)</f>
        <v>562.80992313266893</v>
      </c>
      <c r="K13" s="1098">
        <f>(D6*F13)/(1000*2.2)</f>
        <v>375957.02865262277</v>
      </c>
    </row>
    <row r="14" spans="1:20" ht="15.75" thickBot="1" x14ac:dyDescent="0.3">
      <c r="A14" s="1228" t="s">
        <v>753</v>
      </c>
      <c r="B14" s="1488">
        <v>0.34760000000000002</v>
      </c>
      <c r="C14" s="776">
        <v>1.573</v>
      </c>
      <c r="D14" s="776">
        <v>9.2999999999999999E-2</v>
      </c>
      <c r="E14" s="776">
        <v>2.5000000000000001E-2</v>
      </c>
      <c r="F14" s="1485">
        <v>16.7</v>
      </c>
      <c r="G14" s="1259">
        <f>(D7*B14)/(1000*2.2)</f>
        <v>13694.300071993332</v>
      </c>
      <c r="H14" s="817">
        <f>(D7*C14)/(1000*2.2)</f>
        <v>61971.0414650331</v>
      </c>
      <c r="I14" s="817">
        <f>(D7*D14)/(1000*2.2)</f>
        <v>3663.8950135079967</v>
      </c>
      <c r="J14" s="817">
        <f t="shared" si="1"/>
        <v>984.91801438387017</v>
      </c>
      <c r="K14" s="1101">
        <f>(D7*F14)/(1000*2.2)</f>
        <v>657925.23360842525</v>
      </c>
    </row>
    <row r="15" spans="1:20" ht="15.75" thickBot="1" x14ac:dyDescent="0.3"/>
    <row r="16" spans="1:20" ht="60" customHeight="1" thickBot="1" x14ac:dyDescent="0.3">
      <c r="A16" s="2808" t="s">
        <v>1321</v>
      </c>
      <c r="B16" s="2809"/>
      <c r="C16" s="2809"/>
      <c r="D16" s="2809"/>
      <c r="E16" s="2809"/>
      <c r="F16" s="2809"/>
      <c r="G16" s="2809"/>
      <c r="H16" s="2809"/>
      <c r="I16" s="2809"/>
      <c r="J16" s="2809"/>
      <c r="K16" s="2809"/>
      <c r="L16" s="2809"/>
      <c r="M16" s="2809"/>
      <c r="N16" s="2809"/>
      <c r="O16" s="2809"/>
      <c r="P16" s="2809"/>
      <c r="Q16" s="2809"/>
      <c r="R16" s="2810"/>
    </row>
    <row r="17" spans="1:18" ht="105.75" thickBot="1" x14ac:dyDescent="0.3">
      <c r="A17" s="1009" t="s">
        <v>1130</v>
      </c>
      <c r="B17" s="1102" t="s">
        <v>177</v>
      </c>
      <c r="C17" s="1010" t="s">
        <v>1244</v>
      </c>
      <c r="D17" s="1010" t="s">
        <v>1103</v>
      </c>
      <c r="E17" s="1010" t="s">
        <v>1790</v>
      </c>
      <c r="F17" s="1010" t="s">
        <v>1241</v>
      </c>
      <c r="G17" s="1010" t="s">
        <v>1242</v>
      </c>
      <c r="H17" s="128" t="s">
        <v>272</v>
      </c>
      <c r="I17" s="1010" t="s">
        <v>1080</v>
      </c>
      <c r="J17" s="1010" t="s">
        <v>273</v>
      </c>
      <c r="K17" s="1010" t="s">
        <v>455</v>
      </c>
      <c r="L17" s="1010" t="s">
        <v>274</v>
      </c>
      <c r="M17" s="1010" t="s">
        <v>1117</v>
      </c>
      <c r="N17" s="1010" t="s">
        <v>1079</v>
      </c>
      <c r="O17" s="1010" t="s">
        <v>271</v>
      </c>
      <c r="P17" s="1010" t="s">
        <v>277</v>
      </c>
      <c r="Q17" s="1010" t="s">
        <v>278</v>
      </c>
      <c r="R17" s="83" t="s">
        <v>316</v>
      </c>
    </row>
    <row r="18" spans="1:18" x14ac:dyDescent="0.25">
      <c r="A18" s="2806" t="s">
        <v>1165</v>
      </c>
      <c r="B18" s="888">
        <v>2019</v>
      </c>
      <c r="C18" s="1055">
        <f>$K$11</f>
        <v>8649.5408851813299</v>
      </c>
      <c r="D18" s="1055">
        <f>$J$11</f>
        <v>12.948414498774451</v>
      </c>
      <c r="E18" s="1055">
        <f>$G$11</f>
        <v>180.03475519095994</v>
      </c>
      <c r="F18" s="1055">
        <f>$H$11</f>
        <v>814.71424026288832</v>
      </c>
      <c r="G18" s="1055">
        <f>$I$11</f>
        <v>48.168101935440951</v>
      </c>
      <c r="H18" s="1056">
        <v>62</v>
      </c>
      <c r="I18" s="1056">
        <f>'Emission-Waste Transport Vehicl'!N33</f>
        <v>32.602537440000006</v>
      </c>
      <c r="J18" s="1056">
        <f>'Emission-Waste Transport Vehicl'!P33</f>
        <v>18.139508640000003</v>
      </c>
      <c r="K18" s="1056">
        <f>'Emission-Waste Transport Vehicl'!Q33</f>
        <v>14.087652480000001</v>
      </c>
      <c r="L18" s="1056">
        <f>'Emission-Waste Transport Vehicl'!R33</f>
        <v>1.4021409600000001</v>
      </c>
      <c r="M18" s="1056">
        <f t="shared" ref="M18:M49" si="2">(C18/1000)*H18</f>
        <v>536.27153488124236</v>
      </c>
      <c r="N18" s="1057">
        <f t="shared" ref="N18:Q49" si="3">D18*I18</f>
        <v>422.15116848493295</v>
      </c>
      <c r="O18" s="1057">
        <f t="shared" si="3"/>
        <v>3265.7419972867033</v>
      </c>
      <c r="P18" s="1057">
        <f t="shared" si="3"/>
        <v>11477.411087330795</v>
      </c>
      <c r="Q18" s="1057">
        <f t="shared" si="3"/>
        <v>67.538468689137034</v>
      </c>
      <c r="R18" s="2772">
        <f>(SUM(M18:M68)*1.2682)+(SUM(N18:N68))+(SUM(O18:O68))+(SUM(P18:P68))+(SUM(Q18:Q68))</f>
        <v>542097.49268919672</v>
      </c>
    </row>
    <row r="19" spans="1:18" x14ac:dyDescent="0.25">
      <c r="A19" s="2802"/>
      <c r="B19" s="706">
        <v>2020</v>
      </c>
      <c r="C19" s="1058">
        <f t="shared" ref="C19:C68" si="4">$K$11</f>
        <v>8649.5408851813299</v>
      </c>
      <c r="D19" s="1058">
        <f t="shared" ref="D19:D68" si="5">$J$11</f>
        <v>12.948414498774451</v>
      </c>
      <c r="E19" s="1058">
        <f t="shared" ref="E19:E68" si="6">$G$11</f>
        <v>180.03475519095994</v>
      </c>
      <c r="F19" s="1058">
        <f t="shared" ref="F19:F68" si="7">$H$11</f>
        <v>814.71424026288832</v>
      </c>
      <c r="G19" s="1058">
        <f t="shared" ref="G19:G68" si="8">$I$11</f>
        <v>48.168101935440951</v>
      </c>
      <c r="H19" s="827">
        <v>64</v>
      </c>
      <c r="I19" s="827">
        <f>'Emission-Waste Transport Vehicl'!N34</f>
        <v>31.963527706176006</v>
      </c>
      <c r="J19" s="827">
        <f>'Emission-Waste Transport Vehicl'!P34</f>
        <v>17.783974270656003</v>
      </c>
      <c r="K19" s="827">
        <f>'Emission-Waste Transport Vehicl'!Q34</f>
        <v>13.811534491392001</v>
      </c>
      <c r="L19" s="827">
        <f>'Emission-Waste Transport Vehicl'!R34</f>
        <v>1.3746589971840002</v>
      </c>
      <c r="M19" s="827">
        <f t="shared" si="2"/>
        <v>553.57061665160506</v>
      </c>
      <c r="N19" s="830">
        <f t="shared" si="3"/>
        <v>413.87700558262827</v>
      </c>
      <c r="O19" s="830">
        <f t="shared" si="3"/>
        <v>3201.7334541398841</v>
      </c>
      <c r="P19" s="830">
        <f t="shared" si="3"/>
        <v>11252.453830019113</v>
      </c>
      <c r="Q19" s="830">
        <f t="shared" si="3"/>
        <v>66.214714702829951</v>
      </c>
      <c r="R19" s="2773"/>
    </row>
    <row r="20" spans="1:18" x14ac:dyDescent="0.25">
      <c r="A20" s="2802"/>
      <c r="B20" s="706">
        <v>2021</v>
      </c>
      <c r="C20" s="1058">
        <f t="shared" si="4"/>
        <v>8649.5408851813299</v>
      </c>
      <c r="D20" s="1058">
        <f t="shared" si="5"/>
        <v>12.948414498774451</v>
      </c>
      <c r="E20" s="1058">
        <f t="shared" si="6"/>
        <v>180.03475519095994</v>
      </c>
      <c r="F20" s="1058">
        <f t="shared" si="7"/>
        <v>814.71424026288832</v>
      </c>
      <c r="G20" s="1058">
        <f t="shared" si="8"/>
        <v>48.168101935440951</v>
      </c>
      <c r="H20" s="827">
        <v>65</v>
      </c>
      <c r="I20" s="827">
        <f>'Emission-Waste Transport Vehicl'!N35</f>
        <v>31.337558987328006</v>
      </c>
      <c r="J20" s="827">
        <f>'Emission-Waste Transport Vehicl'!P35</f>
        <v>17.435695704768001</v>
      </c>
      <c r="K20" s="827">
        <f>'Emission-Waste Transport Vehicl'!Q35</f>
        <v>13.541051563776001</v>
      </c>
      <c r="L20" s="827">
        <f>'Emission-Waste Transport Vehicl'!R35</f>
        <v>1.3477378907520003</v>
      </c>
      <c r="M20" s="827">
        <f t="shared" si="2"/>
        <v>562.22015753678636</v>
      </c>
      <c r="N20" s="830">
        <f t="shared" si="3"/>
        <v>405.77170314771752</v>
      </c>
      <c r="O20" s="830">
        <f t="shared" si="3"/>
        <v>3139.0312077919789</v>
      </c>
      <c r="P20" s="830">
        <f t="shared" si="3"/>
        <v>11032.087537142361</v>
      </c>
      <c r="Q20" s="830">
        <f t="shared" si="3"/>
        <v>64.917976103998527</v>
      </c>
      <c r="R20" s="2773"/>
    </row>
    <row r="21" spans="1:18" x14ac:dyDescent="0.25">
      <c r="A21" s="2802"/>
      <c r="B21" s="706">
        <v>2022</v>
      </c>
      <c r="C21" s="1058">
        <f t="shared" si="4"/>
        <v>8649.5408851813299</v>
      </c>
      <c r="D21" s="1058">
        <f t="shared" si="5"/>
        <v>12.948414498774451</v>
      </c>
      <c r="E21" s="1058">
        <f t="shared" si="6"/>
        <v>180.03475519095994</v>
      </c>
      <c r="F21" s="1058">
        <f t="shared" si="7"/>
        <v>814.71424026288832</v>
      </c>
      <c r="G21" s="1058">
        <f t="shared" si="8"/>
        <v>48.168101935440951</v>
      </c>
      <c r="H21" s="827">
        <v>66</v>
      </c>
      <c r="I21" s="827">
        <f>'Emission-Waste Transport Vehicl'!N36</f>
        <v>30.721371029712003</v>
      </c>
      <c r="J21" s="827">
        <f>'Emission-Waste Transport Vehicl'!P36</f>
        <v>17.092858991472003</v>
      </c>
      <c r="K21" s="827">
        <f>'Emission-Waste Transport Vehicl'!Q36</f>
        <v>13.274794931903999</v>
      </c>
      <c r="L21" s="827">
        <f>'Emission-Waste Transport Vehicl'!R36</f>
        <v>1.3212374266080003</v>
      </c>
      <c r="M21" s="827">
        <f t="shared" si="2"/>
        <v>570.86969842196777</v>
      </c>
      <c r="N21" s="830">
        <f t="shared" si="3"/>
        <v>397.79304606335228</v>
      </c>
      <c r="O21" s="830">
        <f t="shared" si="3"/>
        <v>3077.3086840432607</v>
      </c>
      <c r="P21" s="830">
        <f t="shared" si="3"/>
        <v>10815.164467591807</v>
      </c>
      <c r="Q21" s="830">
        <f t="shared" si="3"/>
        <v>63.641499045773841</v>
      </c>
      <c r="R21" s="2773"/>
    </row>
    <row r="22" spans="1:18" x14ac:dyDescent="0.25">
      <c r="A22" s="2802"/>
      <c r="B22" s="706">
        <v>2023</v>
      </c>
      <c r="C22" s="1058">
        <f t="shared" si="4"/>
        <v>8649.5408851813299</v>
      </c>
      <c r="D22" s="1058">
        <f t="shared" si="5"/>
        <v>12.948414498774451</v>
      </c>
      <c r="E22" s="1058">
        <f t="shared" si="6"/>
        <v>180.03475519095994</v>
      </c>
      <c r="F22" s="1058">
        <f t="shared" si="7"/>
        <v>814.71424026288832</v>
      </c>
      <c r="G22" s="1058">
        <f t="shared" si="8"/>
        <v>48.168101935440951</v>
      </c>
      <c r="H22" s="827">
        <v>67</v>
      </c>
      <c r="I22" s="827">
        <f>'Emission-Waste Transport Vehicl'!N37</f>
        <v>30.118224087072001</v>
      </c>
      <c r="J22" s="827">
        <f>'Emission-Waste Transport Vehicl'!P37</f>
        <v>16.757278081632002</v>
      </c>
      <c r="K22" s="827">
        <f>'Emission-Waste Transport Vehicl'!Q37</f>
        <v>13.014173361024</v>
      </c>
      <c r="L22" s="827">
        <f>'Emission-Waste Transport Vehicl'!R37</f>
        <v>1.295297818848</v>
      </c>
      <c r="M22" s="827">
        <f t="shared" si="2"/>
        <v>579.51923930714906</v>
      </c>
      <c r="N22" s="830">
        <f t="shared" si="3"/>
        <v>389.98324944638097</v>
      </c>
      <c r="O22" s="830">
        <f t="shared" si="3"/>
        <v>3016.8924570934564</v>
      </c>
      <c r="P22" s="830">
        <f t="shared" si="3"/>
        <v>10602.832362476187</v>
      </c>
      <c r="Q22" s="830">
        <f t="shared" si="3"/>
        <v>62.392037375024792</v>
      </c>
      <c r="R22" s="2773"/>
    </row>
    <row r="23" spans="1:18" x14ac:dyDescent="0.25">
      <c r="A23" s="2802"/>
      <c r="B23" s="706">
        <v>2024</v>
      </c>
      <c r="C23" s="1058">
        <f t="shared" si="4"/>
        <v>8649.5408851813299</v>
      </c>
      <c r="D23" s="1058">
        <f t="shared" si="5"/>
        <v>12.948414498774451</v>
      </c>
      <c r="E23" s="1058">
        <f t="shared" si="6"/>
        <v>180.03475519095994</v>
      </c>
      <c r="F23" s="1058">
        <f t="shared" si="7"/>
        <v>814.71424026288832</v>
      </c>
      <c r="G23" s="1058">
        <f t="shared" si="8"/>
        <v>48.168101935440951</v>
      </c>
      <c r="H23" s="827">
        <v>68</v>
      </c>
      <c r="I23" s="827">
        <f>'Emission-Waste Transport Vehicl'!N38</f>
        <v>29.528118159408002</v>
      </c>
      <c r="J23" s="827">
        <f>'Emission-Waste Transport Vehicl'!P38</f>
        <v>16.428952975248002</v>
      </c>
      <c r="K23" s="827">
        <f>'Emission-Waste Transport Vehicl'!Q38</f>
        <v>12.759186851135999</v>
      </c>
      <c r="L23" s="827">
        <f>'Emission-Waste Transport Vehicl'!R38</f>
        <v>1.269919067472</v>
      </c>
      <c r="M23" s="827">
        <f t="shared" si="2"/>
        <v>588.16878019233036</v>
      </c>
      <c r="N23" s="830">
        <f t="shared" si="3"/>
        <v>382.34231329680375</v>
      </c>
      <c r="O23" s="830">
        <f t="shared" si="3"/>
        <v>2957.7825269425671</v>
      </c>
      <c r="P23" s="830">
        <f t="shared" si="3"/>
        <v>10395.091221795499</v>
      </c>
      <c r="Q23" s="830">
        <f t="shared" si="3"/>
        <v>61.169591091751414</v>
      </c>
      <c r="R23" s="2773"/>
    </row>
    <row r="24" spans="1:18" x14ac:dyDescent="0.25">
      <c r="A24" s="2802"/>
      <c r="B24" s="706">
        <v>2025</v>
      </c>
      <c r="C24" s="1058">
        <f t="shared" si="4"/>
        <v>8649.5408851813299</v>
      </c>
      <c r="D24" s="1058">
        <f t="shared" si="5"/>
        <v>12.948414498774451</v>
      </c>
      <c r="E24" s="1058">
        <f t="shared" si="6"/>
        <v>180.03475519095994</v>
      </c>
      <c r="F24" s="1058">
        <f t="shared" si="7"/>
        <v>814.71424026288832</v>
      </c>
      <c r="G24" s="1058">
        <f t="shared" si="8"/>
        <v>48.168101935440951</v>
      </c>
      <c r="H24" s="827">
        <v>69</v>
      </c>
      <c r="I24" s="827">
        <f>'Emission-Waste Transport Vehicl'!N39</f>
        <v>28.951053246720004</v>
      </c>
      <c r="J24" s="827">
        <f>'Emission-Waste Transport Vehicl'!P39</f>
        <v>16.10788367232</v>
      </c>
      <c r="K24" s="827">
        <f>'Emission-Waste Transport Vehicl'!Q39</f>
        <v>12.50983540224</v>
      </c>
      <c r="L24" s="827">
        <f>'Emission-Waste Transport Vehicl'!R39</f>
        <v>1.2451011724800001</v>
      </c>
      <c r="M24" s="827">
        <f t="shared" si="2"/>
        <v>596.81832107751165</v>
      </c>
      <c r="N24" s="830">
        <f t="shared" si="3"/>
        <v>374.87023761462046</v>
      </c>
      <c r="O24" s="830">
        <f t="shared" si="3"/>
        <v>2899.9788935905922</v>
      </c>
      <c r="P24" s="830">
        <f t="shared" si="3"/>
        <v>10191.941045549745</v>
      </c>
      <c r="Q24" s="830">
        <f t="shared" si="3"/>
        <v>59.974160195953687</v>
      </c>
      <c r="R24" s="2773"/>
    </row>
    <row r="25" spans="1:18" x14ac:dyDescent="0.25">
      <c r="A25" s="2802"/>
      <c r="B25" s="706">
        <v>2026</v>
      </c>
      <c r="C25" s="1058">
        <f t="shared" si="4"/>
        <v>8649.5408851813299</v>
      </c>
      <c r="D25" s="1058">
        <f t="shared" si="5"/>
        <v>12.948414498774451</v>
      </c>
      <c r="E25" s="1058">
        <f t="shared" si="6"/>
        <v>180.03475519095994</v>
      </c>
      <c r="F25" s="1058">
        <f t="shared" si="7"/>
        <v>814.71424026288832</v>
      </c>
      <c r="G25" s="1058">
        <f t="shared" si="8"/>
        <v>48.168101935440951</v>
      </c>
      <c r="H25" s="827">
        <v>70</v>
      </c>
      <c r="I25" s="827">
        <f>'Emission-Waste Transport Vehicl'!N40</f>
        <v>28.383769095264007</v>
      </c>
      <c r="J25" s="827">
        <f>'Emission-Waste Transport Vehicl'!P40</f>
        <v>15.792256221984003</v>
      </c>
      <c r="K25" s="827">
        <f>'Emission-Waste Transport Vehicl'!Q40</f>
        <v>12.264710249088001</v>
      </c>
      <c r="L25" s="827">
        <f>'Emission-Waste Transport Vehicl'!R40</f>
        <v>1.2207039197760001</v>
      </c>
      <c r="M25" s="827">
        <f t="shared" si="2"/>
        <v>605.46786196269306</v>
      </c>
      <c r="N25" s="830">
        <f t="shared" si="3"/>
        <v>367.52480728298264</v>
      </c>
      <c r="O25" s="830">
        <f t="shared" si="3"/>
        <v>2843.1549828378038</v>
      </c>
      <c r="P25" s="830">
        <f t="shared" si="3"/>
        <v>9992.2340926301913</v>
      </c>
      <c r="Q25" s="830">
        <f t="shared" si="3"/>
        <v>58.798990840762706</v>
      </c>
      <c r="R25" s="2773"/>
    </row>
    <row r="26" spans="1:18" x14ac:dyDescent="0.25">
      <c r="A26" s="2802"/>
      <c r="B26" s="706">
        <v>2027</v>
      </c>
      <c r="C26" s="1058">
        <f t="shared" si="4"/>
        <v>8649.5408851813299</v>
      </c>
      <c r="D26" s="1058">
        <f t="shared" si="5"/>
        <v>12.948414498774451</v>
      </c>
      <c r="E26" s="1058">
        <f t="shared" si="6"/>
        <v>180.03475519095994</v>
      </c>
      <c r="F26" s="1058">
        <f t="shared" si="7"/>
        <v>814.71424026288832</v>
      </c>
      <c r="G26" s="1058">
        <f t="shared" si="8"/>
        <v>48.168101935440951</v>
      </c>
      <c r="H26" s="827">
        <v>71</v>
      </c>
      <c r="I26" s="827">
        <f>'Emission-Waste Transport Vehicl'!N41</f>
        <v>27.826265705040004</v>
      </c>
      <c r="J26" s="827">
        <f>'Emission-Waste Transport Vehicl'!P41</f>
        <v>15.482070624240002</v>
      </c>
      <c r="K26" s="827">
        <f>'Emission-Waste Transport Vehicl'!Q41</f>
        <v>12.023811391680001</v>
      </c>
      <c r="L26" s="827">
        <f>'Emission-Waste Transport Vehicl'!R41</f>
        <v>1.1967273093600002</v>
      </c>
      <c r="M26" s="827">
        <f t="shared" si="2"/>
        <v>614.11740284787436</v>
      </c>
      <c r="N26" s="830">
        <f t="shared" si="3"/>
        <v>360.30602230189027</v>
      </c>
      <c r="O26" s="830">
        <f t="shared" si="3"/>
        <v>2787.310794684201</v>
      </c>
      <c r="P26" s="830">
        <f t="shared" si="3"/>
        <v>9795.9703630368331</v>
      </c>
      <c r="Q26" s="830">
        <f t="shared" si="3"/>
        <v>57.644083026178464</v>
      </c>
      <c r="R26" s="2773"/>
    </row>
    <row r="27" spans="1:18" x14ac:dyDescent="0.25">
      <c r="A27" s="2802"/>
      <c r="B27" s="706">
        <v>2028</v>
      </c>
      <c r="C27" s="1058">
        <f t="shared" si="4"/>
        <v>8649.5408851813299</v>
      </c>
      <c r="D27" s="1058">
        <f t="shared" si="5"/>
        <v>12.948414498774451</v>
      </c>
      <c r="E27" s="1058">
        <f t="shared" si="6"/>
        <v>180.03475519095994</v>
      </c>
      <c r="F27" s="1058">
        <f t="shared" si="7"/>
        <v>814.71424026288832</v>
      </c>
      <c r="G27" s="1058">
        <f t="shared" si="8"/>
        <v>48.168101935440951</v>
      </c>
      <c r="H27" s="827">
        <v>72</v>
      </c>
      <c r="I27" s="827">
        <f>'Emission-Waste Transport Vehicl'!N42</f>
        <v>27.281803329792002</v>
      </c>
      <c r="J27" s="827">
        <f>'Emission-Waste Transport Vehicl'!P42</f>
        <v>15.179140829952001</v>
      </c>
      <c r="K27" s="827">
        <f>'Emission-Waste Transport Vehicl'!Q42</f>
        <v>11.788547595263999</v>
      </c>
      <c r="L27" s="827">
        <f>'Emission-Waste Transport Vehicl'!R42</f>
        <v>1.173311555328</v>
      </c>
      <c r="M27" s="827">
        <f t="shared" si="2"/>
        <v>622.76694373305565</v>
      </c>
      <c r="N27" s="830">
        <f t="shared" si="3"/>
        <v>353.25609778819182</v>
      </c>
      <c r="O27" s="830">
        <f t="shared" si="3"/>
        <v>2732.7729033295132</v>
      </c>
      <c r="P27" s="830">
        <f t="shared" si="3"/>
        <v>9604.2975978784089</v>
      </c>
      <c r="Q27" s="830">
        <f t="shared" si="3"/>
        <v>56.516190599069873</v>
      </c>
      <c r="R27" s="2773"/>
    </row>
    <row r="28" spans="1:18" x14ac:dyDescent="0.25">
      <c r="A28" s="2802"/>
      <c r="B28" s="706">
        <v>2029</v>
      </c>
      <c r="C28" s="1058">
        <f t="shared" si="4"/>
        <v>8649.5408851813299</v>
      </c>
      <c r="D28" s="1058">
        <f t="shared" si="5"/>
        <v>12.948414498774451</v>
      </c>
      <c r="E28" s="1058">
        <f t="shared" si="6"/>
        <v>180.03475519095994</v>
      </c>
      <c r="F28" s="1058">
        <f t="shared" si="7"/>
        <v>814.71424026288832</v>
      </c>
      <c r="G28" s="1058">
        <f t="shared" si="8"/>
        <v>48.168101935440951</v>
      </c>
      <c r="H28" s="827">
        <v>73</v>
      </c>
      <c r="I28" s="827">
        <f>'Emission-Waste Transport Vehicl'!N43</f>
        <v>26.743861462032005</v>
      </c>
      <c r="J28" s="827">
        <f>'Emission-Waste Transport Vehicl'!P43</f>
        <v>14.879838937392002</v>
      </c>
      <c r="K28" s="827">
        <f>'Emission-Waste Transport Vehicl'!Q43</f>
        <v>11.556101329344001</v>
      </c>
      <c r="L28" s="827">
        <f>'Emission-Waste Transport Vehicl'!R43</f>
        <v>1.1501762294880002</v>
      </c>
      <c r="M28" s="827">
        <f t="shared" si="2"/>
        <v>631.41648461823706</v>
      </c>
      <c r="N28" s="830">
        <f t="shared" si="3"/>
        <v>346.29060350819049</v>
      </c>
      <c r="O28" s="830">
        <f t="shared" si="3"/>
        <v>2678.8881603742825</v>
      </c>
      <c r="P28" s="830">
        <f t="shared" si="3"/>
        <v>9414.9203149374516</v>
      </c>
      <c r="Q28" s="830">
        <f t="shared" si="3"/>
        <v>55.401805865699117</v>
      </c>
      <c r="R28" s="2773"/>
    </row>
    <row r="29" spans="1:18" x14ac:dyDescent="0.25">
      <c r="A29" s="2802"/>
      <c r="B29" s="706">
        <v>2030</v>
      </c>
      <c r="C29" s="1058">
        <f t="shared" si="4"/>
        <v>8649.5408851813299</v>
      </c>
      <c r="D29" s="1058">
        <f t="shared" si="5"/>
        <v>12.948414498774451</v>
      </c>
      <c r="E29" s="1058">
        <f t="shared" si="6"/>
        <v>180.03475519095994</v>
      </c>
      <c r="F29" s="1058">
        <f t="shared" si="7"/>
        <v>814.71424026288832</v>
      </c>
      <c r="G29" s="1058">
        <f t="shared" si="8"/>
        <v>48.168101935440951</v>
      </c>
      <c r="H29" s="827">
        <v>75</v>
      </c>
      <c r="I29" s="827">
        <f>'Emission-Waste Transport Vehicl'!N44</f>
        <v>26.222220862992003</v>
      </c>
      <c r="J29" s="827">
        <f>'Emission-Waste Transport Vehicl'!P44</f>
        <v>14.589606799152003</v>
      </c>
      <c r="K29" s="827">
        <f>'Emission-Waste Transport Vehicl'!Q44</f>
        <v>11.330698889664001</v>
      </c>
      <c r="L29" s="827">
        <f>'Emission-Waste Transport Vehicl'!R44</f>
        <v>1.1277419741280001</v>
      </c>
      <c r="M29" s="827">
        <f t="shared" si="2"/>
        <v>648.71556638859965</v>
      </c>
      <c r="N29" s="830">
        <f t="shared" si="3"/>
        <v>339.53618481243154</v>
      </c>
      <c r="O29" s="830">
        <f t="shared" si="3"/>
        <v>2626.6362884176956</v>
      </c>
      <c r="P29" s="830">
        <f t="shared" si="3"/>
        <v>9231.2817375401592</v>
      </c>
      <c r="Q29" s="830">
        <f t="shared" si="3"/>
        <v>54.321190366672923</v>
      </c>
      <c r="R29" s="2773"/>
    </row>
    <row r="30" spans="1:18" x14ac:dyDescent="0.25">
      <c r="A30" s="2802"/>
      <c r="B30" s="706">
        <v>2031</v>
      </c>
      <c r="C30" s="1058">
        <f t="shared" si="4"/>
        <v>8649.5408851813299</v>
      </c>
      <c r="D30" s="1058">
        <f t="shared" si="5"/>
        <v>12.948414498774451</v>
      </c>
      <c r="E30" s="1058">
        <f t="shared" si="6"/>
        <v>180.03475519095994</v>
      </c>
      <c r="F30" s="1058">
        <f t="shared" si="7"/>
        <v>814.71424026288832</v>
      </c>
      <c r="G30" s="1058">
        <f t="shared" si="8"/>
        <v>48.168101935440951</v>
      </c>
      <c r="H30" s="827">
        <v>76</v>
      </c>
      <c r="I30" s="827">
        <f>'Emission-Waste Transport Vehicl'!N45</f>
        <v>25.70710077144</v>
      </c>
      <c r="J30" s="827">
        <f>'Emission-Waste Transport Vehicl'!P45</f>
        <v>14.303002562640001</v>
      </c>
      <c r="K30" s="827">
        <f>'Emission-Waste Transport Vehicl'!Q45</f>
        <v>11.108113980480001</v>
      </c>
      <c r="L30" s="827">
        <f>'Emission-Waste Transport Vehicl'!R45</f>
        <v>1.1055881469600002</v>
      </c>
      <c r="M30" s="827">
        <f t="shared" si="2"/>
        <v>657.36510727378106</v>
      </c>
      <c r="N30" s="830">
        <f t="shared" si="3"/>
        <v>332.86619635036959</v>
      </c>
      <c r="O30" s="830">
        <f t="shared" si="3"/>
        <v>2575.0375648605655</v>
      </c>
      <c r="P30" s="830">
        <f t="shared" si="3"/>
        <v>9049.9386423603319</v>
      </c>
      <c r="Q30" s="830">
        <f t="shared" si="3"/>
        <v>53.254082561384557</v>
      </c>
      <c r="R30" s="2773"/>
    </row>
    <row r="31" spans="1:18" x14ac:dyDescent="0.25">
      <c r="A31" s="2802"/>
      <c r="B31" s="706">
        <v>2032</v>
      </c>
      <c r="C31" s="1058">
        <f t="shared" si="4"/>
        <v>8649.5408851813299</v>
      </c>
      <c r="D31" s="1058">
        <f t="shared" si="5"/>
        <v>12.948414498774451</v>
      </c>
      <c r="E31" s="1058">
        <f t="shared" si="6"/>
        <v>180.03475519095994</v>
      </c>
      <c r="F31" s="1058">
        <f t="shared" si="7"/>
        <v>814.71424026288832</v>
      </c>
      <c r="G31" s="1058">
        <f t="shared" si="8"/>
        <v>48.168101935440951</v>
      </c>
      <c r="H31" s="827">
        <v>77</v>
      </c>
      <c r="I31" s="827">
        <f>'Emission-Waste Transport Vehicl'!N46</f>
        <v>25.201761441120002</v>
      </c>
      <c r="J31" s="827">
        <f>'Emission-Waste Transport Vehicl'!P46</f>
        <v>14.021840178720002</v>
      </c>
      <c r="K31" s="827">
        <f>'Emission-Waste Transport Vehicl'!Q46</f>
        <v>10.889755367040001</v>
      </c>
      <c r="L31" s="827">
        <f>'Emission-Waste Transport Vehicl'!R46</f>
        <v>1.0838549620800002</v>
      </c>
      <c r="M31" s="827">
        <f t="shared" si="2"/>
        <v>666.01464815896236</v>
      </c>
      <c r="N31" s="830">
        <f t="shared" si="3"/>
        <v>326.32285323885316</v>
      </c>
      <c r="O31" s="830">
        <f t="shared" si="3"/>
        <v>2524.4185639026214</v>
      </c>
      <c r="P31" s="830">
        <f t="shared" si="3"/>
        <v>8872.038770506706</v>
      </c>
      <c r="Q31" s="830">
        <f t="shared" si="3"/>
        <v>52.207236296702938</v>
      </c>
      <c r="R31" s="2773"/>
    </row>
    <row r="32" spans="1:18" x14ac:dyDescent="0.25">
      <c r="A32" s="2802"/>
      <c r="B32" s="706">
        <v>2033</v>
      </c>
      <c r="C32" s="1058">
        <f t="shared" si="4"/>
        <v>8649.5408851813299</v>
      </c>
      <c r="D32" s="1058">
        <f t="shared" si="5"/>
        <v>12.948414498774451</v>
      </c>
      <c r="E32" s="1058">
        <f t="shared" si="6"/>
        <v>180.03475519095994</v>
      </c>
      <c r="F32" s="1058">
        <f t="shared" si="7"/>
        <v>814.71424026288832</v>
      </c>
      <c r="G32" s="1058">
        <f t="shared" si="8"/>
        <v>48.168101935440951</v>
      </c>
      <c r="H32" s="827">
        <v>78</v>
      </c>
      <c r="I32" s="827">
        <f>'Emission-Waste Transport Vehicl'!N47</f>
        <v>24.709463125776001</v>
      </c>
      <c r="J32" s="827">
        <f>'Emission-Waste Transport Vehicl'!P47</f>
        <v>13.747933598256003</v>
      </c>
      <c r="K32" s="827">
        <f>'Emission-Waste Transport Vehicl'!Q47</f>
        <v>10.677031814592</v>
      </c>
      <c r="L32" s="827">
        <f>'Emission-Waste Transport Vehicl'!R47</f>
        <v>1.0626826335840001</v>
      </c>
      <c r="M32" s="827">
        <f t="shared" si="2"/>
        <v>674.66418904414365</v>
      </c>
      <c r="N32" s="830">
        <f t="shared" si="3"/>
        <v>319.94837059473065</v>
      </c>
      <c r="O32" s="830">
        <f t="shared" si="3"/>
        <v>2475.1058597435926</v>
      </c>
      <c r="P32" s="830">
        <f t="shared" si="3"/>
        <v>8698.7298630880105</v>
      </c>
      <c r="Q32" s="830">
        <f t="shared" si="3"/>
        <v>51.187405419496962</v>
      </c>
      <c r="R32" s="2773"/>
    </row>
    <row r="33" spans="1:18" x14ac:dyDescent="0.25">
      <c r="A33" s="2802"/>
      <c r="B33" s="706">
        <v>2034</v>
      </c>
      <c r="C33" s="1058">
        <f t="shared" si="4"/>
        <v>8649.5408851813299</v>
      </c>
      <c r="D33" s="1058">
        <f t="shared" si="5"/>
        <v>12.948414498774451</v>
      </c>
      <c r="E33" s="1058">
        <f t="shared" si="6"/>
        <v>180.03475519095994</v>
      </c>
      <c r="F33" s="1058">
        <f t="shared" si="7"/>
        <v>814.71424026288832</v>
      </c>
      <c r="G33" s="1058">
        <f t="shared" si="8"/>
        <v>48.168101935440951</v>
      </c>
      <c r="H33" s="827">
        <v>79</v>
      </c>
      <c r="I33" s="827">
        <f>'Emission-Waste Transport Vehicl'!N48</f>
        <v>24.223685317920005</v>
      </c>
      <c r="J33" s="827">
        <f>'Emission-Waste Transport Vehicl'!P48</f>
        <v>13.477654919520001</v>
      </c>
      <c r="K33" s="827">
        <f>'Emission-Waste Transport Vehicl'!Q48</f>
        <v>10.467125792640001</v>
      </c>
      <c r="L33" s="827">
        <f>'Emission-Waste Transport Vehicl'!R48</f>
        <v>1.04179073328</v>
      </c>
      <c r="M33" s="827">
        <f t="shared" si="2"/>
        <v>683.31372992932495</v>
      </c>
      <c r="N33" s="830">
        <f t="shared" si="3"/>
        <v>313.65831818430519</v>
      </c>
      <c r="O33" s="830">
        <f t="shared" si="3"/>
        <v>2426.4463039840202</v>
      </c>
      <c r="P33" s="830">
        <f t="shared" si="3"/>
        <v>8527.7164378867819</v>
      </c>
      <c r="Q33" s="830">
        <f t="shared" si="3"/>
        <v>50.181082236028821</v>
      </c>
      <c r="R33" s="2773"/>
    </row>
    <row r="34" spans="1:18" x14ac:dyDescent="0.25">
      <c r="A34" s="2802"/>
      <c r="B34" s="706">
        <v>2035</v>
      </c>
      <c r="C34" s="1058">
        <f t="shared" si="4"/>
        <v>8649.5408851813299</v>
      </c>
      <c r="D34" s="1058">
        <f t="shared" si="5"/>
        <v>12.948414498774451</v>
      </c>
      <c r="E34" s="1058">
        <f t="shared" si="6"/>
        <v>180.03475519095994</v>
      </c>
      <c r="F34" s="1058">
        <f t="shared" si="7"/>
        <v>814.71424026288832</v>
      </c>
      <c r="G34" s="1058">
        <f t="shared" si="8"/>
        <v>48.168101935440951</v>
      </c>
      <c r="H34" s="827">
        <v>80</v>
      </c>
      <c r="I34" s="827">
        <f>'Emission-Waste Transport Vehicl'!N49</f>
        <v>23.747688271296006</v>
      </c>
      <c r="J34" s="827">
        <f>'Emission-Waste Transport Vehicl'!P49</f>
        <v>13.212818093376002</v>
      </c>
      <c r="K34" s="827">
        <f>'Emission-Waste Transport Vehicl'!Q49</f>
        <v>10.261446066432002</v>
      </c>
      <c r="L34" s="827">
        <f>'Emission-Waste Transport Vehicl'!R49</f>
        <v>1.0213194752640002</v>
      </c>
      <c r="M34" s="827">
        <f t="shared" si="2"/>
        <v>691.96327081450636</v>
      </c>
      <c r="N34" s="830">
        <f t="shared" si="3"/>
        <v>307.49491112442519</v>
      </c>
      <c r="O34" s="830">
        <f t="shared" si="3"/>
        <v>2378.7664708236348</v>
      </c>
      <c r="P34" s="830">
        <f t="shared" si="3"/>
        <v>8360.146236011753</v>
      </c>
      <c r="Q34" s="830">
        <f t="shared" si="3"/>
        <v>49.195020593167428</v>
      </c>
      <c r="R34" s="2773"/>
    </row>
    <row r="35" spans="1:18" x14ac:dyDescent="0.25">
      <c r="A35" s="2802"/>
      <c r="B35" s="706">
        <v>2036</v>
      </c>
      <c r="C35" s="1058">
        <f t="shared" si="4"/>
        <v>8649.5408851813299</v>
      </c>
      <c r="D35" s="1058">
        <f t="shared" si="5"/>
        <v>12.948414498774451</v>
      </c>
      <c r="E35" s="1058">
        <f t="shared" si="6"/>
        <v>180.03475519095994</v>
      </c>
      <c r="F35" s="1058">
        <f t="shared" si="7"/>
        <v>814.71424026288832</v>
      </c>
      <c r="G35" s="1058">
        <f t="shared" si="8"/>
        <v>48.168101935440951</v>
      </c>
      <c r="H35" s="827">
        <v>81</v>
      </c>
      <c r="I35" s="827">
        <f>'Emission-Waste Transport Vehicl'!N50</f>
        <v>23.284732239648001</v>
      </c>
      <c r="J35" s="827">
        <f>'Emission-Waste Transport Vehicl'!P50</f>
        <v>12.955237070688</v>
      </c>
      <c r="K35" s="827">
        <f>'Emission-Waste Transport Vehicl'!Q50</f>
        <v>10.061401401215999</v>
      </c>
      <c r="L35" s="827">
        <f>'Emission-Waste Transport Vehicl'!R50</f>
        <v>1.001409073632</v>
      </c>
      <c r="M35" s="827">
        <f t="shared" si="2"/>
        <v>700.61281169968765</v>
      </c>
      <c r="N35" s="830">
        <f t="shared" si="3"/>
        <v>301.50036453193906</v>
      </c>
      <c r="O35" s="830">
        <f t="shared" si="3"/>
        <v>2332.3929344621629</v>
      </c>
      <c r="P35" s="830">
        <f t="shared" si="3"/>
        <v>8197.1669985716526</v>
      </c>
      <c r="Q35" s="830">
        <f t="shared" si="3"/>
        <v>48.23597433778167</v>
      </c>
      <c r="R35" s="2773"/>
    </row>
    <row r="36" spans="1:18" x14ac:dyDescent="0.25">
      <c r="A36" s="2802"/>
      <c r="B36" s="706">
        <v>2037</v>
      </c>
      <c r="C36" s="1058">
        <f t="shared" si="4"/>
        <v>8649.5408851813299</v>
      </c>
      <c r="D36" s="1058">
        <f t="shared" si="5"/>
        <v>12.948414498774451</v>
      </c>
      <c r="E36" s="1058">
        <f t="shared" si="6"/>
        <v>180.03475519095994</v>
      </c>
      <c r="F36" s="1058">
        <f t="shared" si="7"/>
        <v>814.71424026288832</v>
      </c>
      <c r="G36" s="1058">
        <f t="shared" si="8"/>
        <v>48.168101935440951</v>
      </c>
      <c r="H36" s="827">
        <v>83</v>
      </c>
      <c r="I36" s="827">
        <f>'Emission-Waste Transport Vehicl'!N51</f>
        <v>22.828296715488005</v>
      </c>
      <c r="J36" s="827">
        <f>'Emission-Waste Transport Vehicl'!P51</f>
        <v>12.701283949728003</v>
      </c>
      <c r="K36" s="827">
        <f>'Emission-Waste Transport Vehicl'!Q51</f>
        <v>9.8641742664960006</v>
      </c>
      <c r="L36" s="827">
        <f>'Emission-Waste Transport Vehicl'!R51</f>
        <v>0.9817791001920001</v>
      </c>
      <c r="M36" s="827">
        <f t="shared" si="2"/>
        <v>717.91189347005036</v>
      </c>
      <c r="N36" s="830">
        <f t="shared" si="3"/>
        <v>295.59024817315003</v>
      </c>
      <c r="O36" s="830">
        <f t="shared" si="3"/>
        <v>2286.6725465001496</v>
      </c>
      <c r="P36" s="830">
        <f t="shared" si="3"/>
        <v>8036.4832433490228</v>
      </c>
      <c r="Q36" s="830">
        <f t="shared" si="3"/>
        <v>47.290435776133755</v>
      </c>
      <c r="R36" s="2773"/>
    </row>
    <row r="37" spans="1:18" x14ac:dyDescent="0.25">
      <c r="A37" s="2802"/>
      <c r="B37" s="706">
        <v>2038</v>
      </c>
      <c r="C37" s="1058">
        <f t="shared" si="4"/>
        <v>8649.5408851813299</v>
      </c>
      <c r="D37" s="1058">
        <f t="shared" si="5"/>
        <v>12.948414498774451</v>
      </c>
      <c r="E37" s="1058">
        <f t="shared" si="6"/>
        <v>180.03475519095994</v>
      </c>
      <c r="F37" s="1058">
        <f t="shared" si="7"/>
        <v>814.71424026288832</v>
      </c>
      <c r="G37" s="1058">
        <f t="shared" si="8"/>
        <v>48.168101935440951</v>
      </c>
      <c r="H37" s="827">
        <v>84</v>
      </c>
      <c r="I37" s="827">
        <f>'Emission-Waste Transport Vehicl'!N52</f>
        <v>22.378381698816003</v>
      </c>
      <c r="J37" s="827">
        <f>'Emission-Waste Transport Vehicl'!P52</f>
        <v>12.450958730496001</v>
      </c>
      <c r="K37" s="827">
        <f>'Emission-Waste Transport Vehicl'!Q52</f>
        <v>9.6697646622720015</v>
      </c>
      <c r="L37" s="827">
        <f>'Emission-Waste Transport Vehicl'!R52</f>
        <v>0.96242955494400007</v>
      </c>
      <c r="M37" s="827">
        <f t="shared" si="2"/>
        <v>726.56143435523165</v>
      </c>
      <c r="N37" s="830">
        <f t="shared" si="3"/>
        <v>289.76456204805794</v>
      </c>
      <c r="O37" s="830">
        <f t="shared" si="3"/>
        <v>2241.605306937593</v>
      </c>
      <c r="P37" s="830">
        <f t="shared" si="3"/>
        <v>7878.0949703438582</v>
      </c>
      <c r="Q37" s="830">
        <f t="shared" si="3"/>
        <v>46.358404908223662</v>
      </c>
      <c r="R37" s="2773"/>
    </row>
    <row r="38" spans="1:18" x14ac:dyDescent="0.25">
      <c r="A38" s="2802"/>
      <c r="B38" s="706">
        <v>2039</v>
      </c>
      <c r="C38" s="1058">
        <f t="shared" si="4"/>
        <v>8649.5408851813299</v>
      </c>
      <c r="D38" s="1058">
        <f t="shared" si="5"/>
        <v>12.948414498774451</v>
      </c>
      <c r="E38" s="1058">
        <f t="shared" si="6"/>
        <v>180.03475519095994</v>
      </c>
      <c r="F38" s="1058">
        <f t="shared" si="7"/>
        <v>814.71424026288832</v>
      </c>
      <c r="G38" s="1058">
        <f t="shared" si="8"/>
        <v>48.168101935440951</v>
      </c>
      <c r="H38" s="827">
        <v>85</v>
      </c>
      <c r="I38" s="827">
        <f>'Emission-Waste Transport Vehicl'!N53</f>
        <v>21.941507697120006</v>
      </c>
      <c r="J38" s="827">
        <f>'Emission-Waste Transport Vehicl'!P53</f>
        <v>12.207889314720003</v>
      </c>
      <c r="K38" s="827">
        <f>'Emission-Waste Transport Vehicl'!Q53</f>
        <v>9.4809901190400012</v>
      </c>
      <c r="L38" s="827">
        <f>'Emission-Waste Transport Vehicl'!R53</f>
        <v>0.9436408660800002</v>
      </c>
      <c r="M38" s="827">
        <f t="shared" si="2"/>
        <v>735.21097524041295</v>
      </c>
      <c r="N38" s="830">
        <f t="shared" si="3"/>
        <v>284.10773639035989</v>
      </c>
      <c r="O38" s="830">
        <f t="shared" si="3"/>
        <v>2197.8443641739514</v>
      </c>
      <c r="P38" s="830">
        <f t="shared" si="3"/>
        <v>7724.2976617736258</v>
      </c>
      <c r="Q38" s="830">
        <f t="shared" si="3"/>
        <v>45.453389427789233</v>
      </c>
      <c r="R38" s="2773"/>
    </row>
    <row r="39" spans="1:18" x14ac:dyDescent="0.25">
      <c r="A39" s="2802"/>
      <c r="B39" s="706">
        <v>2040</v>
      </c>
      <c r="C39" s="1058">
        <f t="shared" si="4"/>
        <v>8649.5408851813299</v>
      </c>
      <c r="D39" s="1058">
        <f t="shared" si="5"/>
        <v>12.948414498774451</v>
      </c>
      <c r="E39" s="1058">
        <f t="shared" si="6"/>
        <v>180.03475519095994</v>
      </c>
      <c r="F39" s="1058">
        <f t="shared" si="7"/>
        <v>814.71424026288832</v>
      </c>
      <c r="G39" s="1058">
        <f t="shared" si="8"/>
        <v>48.168101935440951</v>
      </c>
      <c r="H39" s="827">
        <v>86</v>
      </c>
      <c r="I39" s="827">
        <f>'Emission-Waste Transport Vehicl'!N54</f>
        <v>21.511154202912003</v>
      </c>
      <c r="J39" s="827">
        <f>'Emission-Waste Transport Vehicl'!P54</f>
        <v>11.968447800672001</v>
      </c>
      <c r="K39" s="827">
        <f>'Emission-Waste Transport Vehicl'!Q54</f>
        <v>9.2950331063040004</v>
      </c>
      <c r="L39" s="827">
        <f>'Emission-Waste Transport Vehicl'!R54</f>
        <v>0.92513260540800013</v>
      </c>
      <c r="M39" s="827">
        <f t="shared" si="2"/>
        <v>743.86051612559436</v>
      </c>
      <c r="N39" s="830">
        <f t="shared" si="3"/>
        <v>278.53534096635872</v>
      </c>
      <c r="O39" s="830">
        <f t="shared" si="3"/>
        <v>2154.7365698097665</v>
      </c>
      <c r="P39" s="830">
        <f t="shared" si="3"/>
        <v>7572.7958354208586</v>
      </c>
      <c r="Q39" s="830">
        <f t="shared" si="3"/>
        <v>44.561881641092619</v>
      </c>
      <c r="R39" s="2773"/>
    </row>
    <row r="40" spans="1:18" x14ac:dyDescent="0.25">
      <c r="A40" s="2802"/>
      <c r="B40" s="706">
        <v>2041</v>
      </c>
      <c r="C40" s="1058">
        <f t="shared" si="4"/>
        <v>8649.5408851813299</v>
      </c>
      <c r="D40" s="1058">
        <f t="shared" si="5"/>
        <v>12.948414498774451</v>
      </c>
      <c r="E40" s="1058">
        <f t="shared" si="6"/>
        <v>180.03475519095994</v>
      </c>
      <c r="F40" s="1058">
        <f t="shared" si="7"/>
        <v>814.71424026288832</v>
      </c>
      <c r="G40" s="1058">
        <f t="shared" si="8"/>
        <v>48.168101935440951</v>
      </c>
      <c r="H40" s="827">
        <v>87</v>
      </c>
      <c r="I40" s="827">
        <f>'Emission-Waste Transport Vehicl'!N55</f>
        <v>21.087321216192002</v>
      </c>
      <c r="J40" s="827">
        <f>'Emission-Waste Transport Vehicl'!P55</f>
        <v>11.732634188352002</v>
      </c>
      <c r="K40" s="827">
        <f>'Emission-Waste Transport Vehicl'!Q55</f>
        <v>9.1118936240640007</v>
      </c>
      <c r="L40" s="827">
        <f>'Emission-Waste Transport Vehicl'!R55</f>
        <v>0.9069047729280002</v>
      </c>
      <c r="M40" s="827">
        <f t="shared" si="2"/>
        <v>752.51005701077565</v>
      </c>
      <c r="N40" s="830">
        <f t="shared" si="3"/>
        <v>273.04737577605459</v>
      </c>
      <c r="O40" s="830">
        <f t="shared" si="3"/>
        <v>2112.2819238450397</v>
      </c>
      <c r="P40" s="830">
        <f t="shared" si="3"/>
        <v>7423.5894912855583</v>
      </c>
      <c r="Q40" s="830">
        <f t="shared" si="3"/>
        <v>43.68388154813384</v>
      </c>
      <c r="R40" s="2773"/>
    </row>
    <row r="41" spans="1:18" x14ac:dyDescent="0.25">
      <c r="A41" s="2802"/>
      <c r="B41" s="706">
        <v>2042</v>
      </c>
      <c r="C41" s="1058">
        <f t="shared" si="4"/>
        <v>8649.5408851813299</v>
      </c>
      <c r="D41" s="1058">
        <f t="shared" si="5"/>
        <v>12.948414498774451</v>
      </c>
      <c r="E41" s="1058">
        <f t="shared" si="6"/>
        <v>180.03475519095994</v>
      </c>
      <c r="F41" s="1058">
        <f t="shared" si="7"/>
        <v>814.71424026288832</v>
      </c>
      <c r="G41" s="1058">
        <f t="shared" si="8"/>
        <v>48.168101935440951</v>
      </c>
      <c r="H41" s="827">
        <v>88</v>
      </c>
      <c r="I41" s="827">
        <f>'Emission-Waste Transport Vehicl'!N56</f>
        <v>20.676529244448002</v>
      </c>
      <c r="J41" s="827">
        <f>'Emission-Waste Transport Vehicl'!P56</f>
        <v>11.504076379488001</v>
      </c>
      <c r="K41" s="827">
        <f>'Emission-Waste Transport Vehicl'!Q56</f>
        <v>8.9343892028159999</v>
      </c>
      <c r="L41" s="827">
        <f>'Emission-Waste Transport Vehicl'!R56</f>
        <v>0.8892377968320001</v>
      </c>
      <c r="M41" s="827">
        <f t="shared" si="2"/>
        <v>761.15959789595695</v>
      </c>
      <c r="N41" s="830">
        <f t="shared" si="3"/>
        <v>267.72827105314445</v>
      </c>
      <c r="O41" s="830">
        <f t="shared" si="3"/>
        <v>2071.133574679227</v>
      </c>
      <c r="P41" s="830">
        <f t="shared" si="3"/>
        <v>7278.9741115851903</v>
      </c>
      <c r="Q41" s="830">
        <f t="shared" si="3"/>
        <v>42.832896842650712</v>
      </c>
      <c r="R41" s="2773"/>
    </row>
    <row r="42" spans="1:18" x14ac:dyDescent="0.25">
      <c r="A42" s="2802"/>
      <c r="B42" s="706">
        <v>2043</v>
      </c>
      <c r="C42" s="1058">
        <f t="shared" si="4"/>
        <v>8649.5408851813299</v>
      </c>
      <c r="D42" s="1058">
        <f t="shared" si="5"/>
        <v>12.948414498774451</v>
      </c>
      <c r="E42" s="1058">
        <f t="shared" si="6"/>
        <v>180.03475519095994</v>
      </c>
      <c r="F42" s="1058">
        <f t="shared" si="7"/>
        <v>814.71424026288832</v>
      </c>
      <c r="G42" s="1058">
        <f t="shared" si="8"/>
        <v>48.168101935440951</v>
      </c>
      <c r="H42" s="827">
        <v>89</v>
      </c>
      <c r="I42" s="827">
        <f>'Emission-Waste Transport Vehicl'!N57</f>
        <v>20.268997526448004</v>
      </c>
      <c r="J42" s="827">
        <f>'Emission-Waste Transport Vehicl'!P57</f>
        <v>11.277332521488001</v>
      </c>
      <c r="K42" s="827">
        <f>'Emission-Waste Transport Vehicl'!Q57</f>
        <v>8.7582935468160006</v>
      </c>
      <c r="L42" s="827">
        <f>'Emission-Waste Transport Vehicl'!R57</f>
        <v>0.87171103483200019</v>
      </c>
      <c r="M42" s="827">
        <f t="shared" si="2"/>
        <v>769.80913878113824</v>
      </c>
      <c r="N42" s="830">
        <f t="shared" si="3"/>
        <v>262.45138144708284</v>
      </c>
      <c r="O42" s="830">
        <f t="shared" si="3"/>
        <v>2030.3117997131433</v>
      </c>
      <c r="P42" s="830">
        <f t="shared" si="3"/>
        <v>7135.5064729935557</v>
      </c>
      <c r="Q42" s="830">
        <f t="shared" si="3"/>
        <v>41.988665984036501</v>
      </c>
      <c r="R42" s="2773"/>
    </row>
    <row r="43" spans="1:18" x14ac:dyDescent="0.25">
      <c r="A43" s="2802"/>
      <c r="B43" s="706">
        <v>2044</v>
      </c>
      <c r="C43" s="1058">
        <f t="shared" si="4"/>
        <v>8649.5408851813299</v>
      </c>
      <c r="D43" s="1058">
        <f t="shared" si="5"/>
        <v>12.948414498774451</v>
      </c>
      <c r="E43" s="1058">
        <f t="shared" si="6"/>
        <v>180.03475519095994</v>
      </c>
      <c r="F43" s="1058">
        <f t="shared" si="7"/>
        <v>814.71424026288832</v>
      </c>
      <c r="G43" s="1058">
        <f t="shared" si="8"/>
        <v>48.168101935440951</v>
      </c>
      <c r="H43" s="827">
        <v>90</v>
      </c>
      <c r="I43" s="827">
        <f>'Emission-Waste Transport Vehicl'!N58</f>
        <v>19.871246569680004</v>
      </c>
      <c r="J43" s="827">
        <f>'Emission-Waste Transport Vehicl'!P58</f>
        <v>11.056030516080002</v>
      </c>
      <c r="K43" s="827">
        <f>'Emission-Waste Transport Vehicl'!Q58</f>
        <v>8.5864241865600004</v>
      </c>
      <c r="L43" s="827">
        <f>'Emission-Waste Transport Vehicl'!R58</f>
        <v>0.85460491512000014</v>
      </c>
      <c r="M43" s="827">
        <f t="shared" si="2"/>
        <v>778.45867966631965</v>
      </c>
      <c r="N43" s="830">
        <f t="shared" si="3"/>
        <v>257.30113719156662</v>
      </c>
      <c r="O43" s="830">
        <f t="shared" si="3"/>
        <v>1990.4697473462456</v>
      </c>
      <c r="P43" s="830">
        <f t="shared" si="3"/>
        <v>6995.4820577281198</v>
      </c>
      <c r="Q43" s="830">
        <f t="shared" si="3"/>
        <v>41.16469666602903</v>
      </c>
      <c r="R43" s="2773"/>
    </row>
    <row r="44" spans="1:18" x14ac:dyDescent="0.25">
      <c r="A44" s="2802"/>
      <c r="B44" s="706">
        <v>2045</v>
      </c>
      <c r="C44" s="1058">
        <f t="shared" si="4"/>
        <v>8649.5408851813299</v>
      </c>
      <c r="D44" s="1058">
        <f t="shared" si="5"/>
        <v>12.948414498774451</v>
      </c>
      <c r="E44" s="1058">
        <f t="shared" si="6"/>
        <v>180.03475519095994</v>
      </c>
      <c r="F44" s="1058">
        <f t="shared" si="7"/>
        <v>814.71424026288832</v>
      </c>
      <c r="G44" s="1058">
        <f t="shared" si="8"/>
        <v>48.168101935440951</v>
      </c>
      <c r="H44" s="827">
        <v>92</v>
      </c>
      <c r="I44" s="827">
        <f>'Emission-Waste Transport Vehicl'!N59</f>
        <v>19.483276374144001</v>
      </c>
      <c r="J44" s="827">
        <f>'Emission-Waste Transport Vehicl'!P59</f>
        <v>10.840170363264003</v>
      </c>
      <c r="K44" s="827">
        <f>'Emission-Waste Transport Vehicl'!Q59</f>
        <v>8.4187811220480011</v>
      </c>
      <c r="L44" s="827">
        <f>'Emission-Waste Transport Vehicl'!R59</f>
        <v>0.83791943769600008</v>
      </c>
      <c r="M44" s="827">
        <f t="shared" si="2"/>
        <v>795.75776143668224</v>
      </c>
      <c r="N44" s="830">
        <f t="shared" si="3"/>
        <v>252.2775382865959</v>
      </c>
      <c r="O44" s="830">
        <f t="shared" si="3"/>
        <v>1951.6074175785341</v>
      </c>
      <c r="P44" s="830">
        <f t="shared" si="3"/>
        <v>6858.9008657888835</v>
      </c>
      <c r="Q44" s="830">
        <f t="shared" si="3"/>
        <v>40.360988888628292</v>
      </c>
      <c r="R44" s="2773"/>
    </row>
    <row r="45" spans="1:18" x14ac:dyDescent="0.25">
      <c r="A45" s="2802"/>
      <c r="B45" s="706">
        <v>2046</v>
      </c>
      <c r="C45" s="1058">
        <f t="shared" si="4"/>
        <v>8649.5408851813299</v>
      </c>
      <c r="D45" s="1058">
        <f t="shared" si="5"/>
        <v>12.948414498774451</v>
      </c>
      <c r="E45" s="1058">
        <f t="shared" si="6"/>
        <v>180.03475519095994</v>
      </c>
      <c r="F45" s="1058">
        <f t="shared" si="7"/>
        <v>814.71424026288832</v>
      </c>
      <c r="G45" s="1058">
        <f t="shared" si="8"/>
        <v>48.168101935440951</v>
      </c>
      <c r="H45" s="827">
        <v>93</v>
      </c>
      <c r="I45" s="827">
        <f>'Emission-Waste Transport Vehicl'!N60</f>
        <v>19.101826686096</v>
      </c>
      <c r="J45" s="827">
        <f>'Emission-Waste Transport Vehicl'!P60</f>
        <v>10.627938112176002</v>
      </c>
      <c r="K45" s="827">
        <f>'Emission-Waste Transport Vehicl'!Q60</f>
        <v>8.2539555880319995</v>
      </c>
      <c r="L45" s="827">
        <f>'Emission-Waste Transport Vehicl'!R60</f>
        <v>0.82151438846400004</v>
      </c>
      <c r="M45" s="827">
        <f t="shared" si="2"/>
        <v>804.40730232186365</v>
      </c>
      <c r="N45" s="830">
        <f t="shared" si="3"/>
        <v>247.33836961532216</v>
      </c>
      <c r="O45" s="830">
        <f t="shared" si="3"/>
        <v>1913.3982362102795</v>
      </c>
      <c r="P45" s="830">
        <f t="shared" si="3"/>
        <v>6724.6151560671124</v>
      </c>
      <c r="Q45" s="830">
        <f t="shared" si="3"/>
        <v>39.570788804965389</v>
      </c>
      <c r="R45" s="2773"/>
    </row>
    <row r="46" spans="1:18" x14ac:dyDescent="0.25">
      <c r="A46" s="2802"/>
      <c r="B46" s="706">
        <v>2047</v>
      </c>
      <c r="C46" s="1058">
        <f t="shared" si="4"/>
        <v>8649.5408851813299</v>
      </c>
      <c r="D46" s="1058">
        <f t="shared" si="5"/>
        <v>12.948414498774451</v>
      </c>
      <c r="E46" s="1058">
        <f t="shared" si="6"/>
        <v>180.03475519095994</v>
      </c>
      <c r="F46" s="1058">
        <f t="shared" si="7"/>
        <v>814.71424026288832</v>
      </c>
      <c r="G46" s="1058">
        <f t="shared" si="8"/>
        <v>48.168101935440951</v>
      </c>
      <c r="H46" s="827">
        <v>94</v>
      </c>
      <c r="I46" s="827">
        <f>'Emission-Waste Transport Vehicl'!N61</f>
        <v>18.726897505536005</v>
      </c>
      <c r="J46" s="827">
        <f>'Emission-Waste Transport Vehicl'!P61</f>
        <v>10.419333762816001</v>
      </c>
      <c r="K46" s="827">
        <f>'Emission-Waste Transport Vehicl'!Q61</f>
        <v>8.0919475845120008</v>
      </c>
      <c r="L46" s="827">
        <f>'Emission-Waste Transport Vehicl'!R61</f>
        <v>0.80538976742400015</v>
      </c>
      <c r="M46" s="827">
        <f t="shared" si="2"/>
        <v>813.05684320704495</v>
      </c>
      <c r="N46" s="830">
        <f t="shared" si="3"/>
        <v>242.48363117774551</v>
      </c>
      <c r="O46" s="830">
        <f t="shared" si="3"/>
        <v>1875.8422032414821</v>
      </c>
      <c r="P46" s="830">
        <f t="shared" si="3"/>
        <v>6592.6249285628091</v>
      </c>
      <c r="Q46" s="830">
        <f t="shared" si="3"/>
        <v>38.794096415040322</v>
      </c>
      <c r="R46" s="2773"/>
    </row>
    <row r="47" spans="1:18" x14ac:dyDescent="0.25">
      <c r="A47" s="2802"/>
      <c r="B47" s="706">
        <v>2048</v>
      </c>
      <c r="C47" s="1058">
        <f t="shared" si="4"/>
        <v>8649.5408851813299</v>
      </c>
      <c r="D47" s="1058">
        <f t="shared" si="5"/>
        <v>12.948414498774451</v>
      </c>
      <c r="E47" s="1058">
        <f t="shared" si="6"/>
        <v>180.03475519095994</v>
      </c>
      <c r="F47" s="1058">
        <f t="shared" si="7"/>
        <v>814.71424026288832</v>
      </c>
      <c r="G47" s="1058">
        <f t="shared" si="8"/>
        <v>48.168101935440951</v>
      </c>
      <c r="H47" s="827">
        <v>95</v>
      </c>
      <c r="I47" s="827">
        <f>'Emission-Waste Transport Vehicl'!N62</f>
        <v>18.358488832464005</v>
      </c>
      <c r="J47" s="827">
        <f>'Emission-Waste Transport Vehicl'!P62</f>
        <v>10.214357315184001</v>
      </c>
      <c r="K47" s="827">
        <f>'Emission-Waste Transport Vehicl'!Q62</f>
        <v>7.9327571114880007</v>
      </c>
      <c r="L47" s="827">
        <f>'Emission-Waste Transport Vehicl'!R62</f>
        <v>0.78954557457600016</v>
      </c>
      <c r="M47" s="827">
        <f t="shared" si="2"/>
        <v>821.70638409222624</v>
      </c>
      <c r="N47" s="830">
        <f t="shared" si="3"/>
        <v>237.71332297386576</v>
      </c>
      <c r="O47" s="830">
        <f t="shared" si="3"/>
        <v>1838.9393186721425</v>
      </c>
      <c r="P47" s="830">
        <f t="shared" si="3"/>
        <v>6462.9301832759711</v>
      </c>
      <c r="Q47" s="830">
        <f t="shared" si="3"/>
        <v>38.030911718853069</v>
      </c>
      <c r="R47" s="2773"/>
    </row>
    <row r="48" spans="1:18" x14ac:dyDescent="0.25">
      <c r="A48" s="2802"/>
      <c r="B48" s="706">
        <v>2049</v>
      </c>
      <c r="C48" s="1058">
        <f t="shared" si="4"/>
        <v>8649.5408851813299</v>
      </c>
      <c r="D48" s="1058">
        <f t="shared" si="5"/>
        <v>12.948414498774451</v>
      </c>
      <c r="E48" s="1058">
        <f t="shared" si="6"/>
        <v>180.03475519095994</v>
      </c>
      <c r="F48" s="1058">
        <f t="shared" si="7"/>
        <v>814.71424026288832</v>
      </c>
      <c r="G48" s="1058">
        <f t="shared" si="8"/>
        <v>48.168101935440951</v>
      </c>
      <c r="H48" s="827">
        <v>96</v>
      </c>
      <c r="I48" s="827">
        <f>'Emission-Waste Transport Vehicl'!N63</f>
        <v>17.999860920624005</v>
      </c>
      <c r="J48" s="827">
        <f>'Emission-Waste Transport Vehicl'!P63</f>
        <v>10.014822720144002</v>
      </c>
      <c r="K48" s="827">
        <f>'Emission-Waste Transport Vehicl'!Q63</f>
        <v>7.7777929342080014</v>
      </c>
      <c r="L48" s="827">
        <f>'Emission-Waste Transport Vehicl'!R63</f>
        <v>0.77412202401600017</v>
      </c>
      <c r="M48" s="827">
        <f t="shared" si="2"/>
        <v>830.35592497740754</v>
      </c>
      <c r="N48" s="830">
        <f t="shared" si="3"/>
        <v>233.06966012053149</v>
      </c>
      <c r="O48" s="830">
        <f t="shared" si="3"/>
        <v>1803.0161567019888</v>
      </c>
      <c r="P48" s="830">
        <f t="shared" si="3"/>
        <v>6336.6786613153326</v>
      </c>
      <c r="Q48" s="830">
        <f t="shared" si="3"/>
        <v>37.287988563272563</v>
      </c>
      <c r="R48" s="2773"/>
    </row>
    <row r="49" spans="1:18" x14ac:dyDescent="0.25">
      <c r="A49" s="2802"/>
      <c r="B49" s="706">
        <v>2050</v>
      </c>
      <c r="C49" s="1058">
        <f t="shared" si="4"/>
        <v>8649.5408851813299</v>
      </c>
      <c r="D49" s="1058">
        <f t="shared" si="5"/>
        <v>12.948414498774451</v>
      </c>
      <c r="E49" s="1058">
        <f t="shared" si="6"/>
        <v>180.03475519095994</v>
      </c>
      <c r="F49" s="1058">
        <f t="shared" si="7"/>
        <v>814.71424026288832</v>
      </c>
      <c r="G49" s="1058">
        <f t="shared" si="8"/>
        <v>48.168101935440951</v>
      </c>
      <c r="H49" s="827">
        <v>97</v>
      </c>
      <c r="I49" s="827">
        <f>'Emission-Waste Transport Vehicl'!N64</f>
        <v>17.644493262528005</v>
      </c>
      <c r="J49" s="827">
        <f>'Emission-Waste Transport Vehicl'!P64</f>
        <v>9.8171020759680019</v>
      </c>
      <c r="K49" s="827">
        <f>'Emission-Waste Transport Vehicl'!Q64</f>
        <v>7.624237522176001</v>
      </c>
      <c r="L49" s="827">
        <f>'Emission-Waste Transport Vehicl'!R64</f>
        <v>0.75883868755200012</v>
      </c>
      <c r="M49" s="827">
        <f t="shared" si="2"/>
        <v>839.00546586258895</v>
      </c>
      <c r="N49" s="830">
        <f t="shared" si="3"/>
        <v>228.46821238404573</v>
      </c>
      <c r="O49" s="830">
        <f t="shared" si="3"/>
        <v>1767.4195689315638</v>
      </c>
      <c r="P49" s="830">
        <f t="shared" si="3"/>
        <v>6211.5748804634268</v>
      </c>
      <c r="Q49" s="830">
        <f t="shared" si="3"/>
        <v>36.551819254560968</v>
      </c>
      <c r="R49" s="2773"/>
    </row>
    <row r="50" spans="1:18" x14ac:dyDescent="0.25">
      <c r="A50" s="2802"/>
      <c r="B50" s="706">
        <v>2051</v>
      </c>
      <c r="C50" s="1058">
        <f t="shared" si="4"/>
        <v>8649.5408851813299</v>
      </c>
      <c r="D50" s="1058">
        <f t="shared" si="5"/>
        <v>12.948414498774451</v>
      </c>
      <c r="E50" s="1058">
        <f t="shared" si="6"/>
        <v>180.03475519095994</v>
      </c>
      <c r="F50" s="1058">
        <f t="shared" si="7"/>
        <v>814.71424026288832</v>
      </c>
      <c r="G50" s="1058">
        <f t="shared" si="8"/>
        <v>48.168101935440951</v>
      </c>
      <c r="H50" s="827">
        <v>97</v>
      </c>
      <c r="I50" s="827">
        <f>'Emission-Waste Transport Vehicl'!N65</f>
        <v>17.298906365664003</v>
      </c>
      <c r="J50" s="827">
        <f>'Emission-Waste Transport Vehicl'!P65</f>
        <v>9.624823284384</v>
      </c>
      <c r="K50" s="827">
        <f>'Emission-Waste Transport Vehicl'!Q65</f>
        <v>7.4749084058879998</v>
      </c>
      <c r="L50" s="827">
        <f>'Emission-Waste Transport Vehicl'!R65</f>
        <v>0.74397599337600007</v>
      </c>
      <c r="M50" s="827">
        <f t="shared" ref="M50:M69" si="9">(C50/1000)*H50</f>
        <v>839.00546586258895</v>
      </c>
      <c r="N50" s="830">
        <f t="shared" ref="N50:Q68" si="10">D50*I50</f>
        <v>223.99340999810542</v>
      </c>
      <c r="O50" s="830">
        <f t="shared" si="10"/>
        <v>1732.8027037603244</v>
      </c>
      <c r="P50" s="830">
        <f t="shared" si="10"/>
        <v>6089.9143229377196</v>
      </c>
      <c r="Q50" s="830">
        <f t="shared" si="10"/>
        <v>35.835911486456112</v>
      </c>
      <c r="R50" s="2773"/>
    </row>
    <row r="51" spans="1:18" x14ac:dyDescent="0.25">
      <c r="A51" s="2802"/>
      <c r="B51" s="706">
        <v>2052</v>
      </c>
      <c r="C51" s="1058">
        <f t="shared" si="4"/>
        <v>8649.5408851813299</v>
      </c>
      <c r="D51" s="1058">
        <f t="shared" si="5"/>
        <v>12.948414498774451</v>
      </c>
      <c r="E51" s="1058">
        <f t="shared" si="6"/>
        <v>180.03475519095994</v>
      </c>
      <c r="F51" s="1058">
        <f t="shared" si="7"/>
        <v>814.71424026288832</v>
      </c>
      <c r="G51" s="1058">
        <f t="shared" si="8"/>
        <v>48.168101935440951</v>
      </c>
      <c r="H51" s="827">
        <v>97</v>
      </c>
      <c r="I51" s="827">
        <f>'Emission-Waste Transport Vehicl'!N66</f>
        <v>16.959839976288002</v>
      </c>
      <c r="J51" s="827">
        <f>'Emission-Waste Transport Vehicl'!P66</f>
        <v>9.4361723945280005</v>
      </c>
      <c r="K51" s="827">
        <f>'Emission-Waste Transport Vehicl'!Q66</f>
        <v>7.3283968200960006</v>
      </c>
      <c r="L51" s="827">
        <f>'Emission-Waste Transport Vehicl'!R66</f>
        <v>0.72939372739200004</v>
      </c>
      <c r="M51" s="827">
        <f t="shared" si="9"/>
        <v>839.00546586258895</v>
      </c>
      <c r="N51" s="830">
        <f t="shared" si="10"/>
        <v>219.6030378458621</v>
      </c>
      <c r="O51" s="830">
        <f t="shared" si="10"/>
        <v>1698.8389869885427</v>
      </c>
      <c r="P51" s="830">
        <f t="shared" si="10"/>
        <v>5970.5492476294794</v>
      </c>
      <c r="Q51" s="830">
        <f t="shared" si="10"/>
        <v>35.133511412089085</v>
      </c>
      <c r="R51" s="2773"/>
    </row>
    <row r="52" spans="1:18" x14ac:dyDescent="0.25">
      <c r="A52" s="2802"/>
      <c r="B52" s="706">
        <v>2053</v>
      </c>
      <c r="C52" s="1058">
        <f t="shared" si="4"/>
        <v>8649.5408851813299</v>
      </c>
      <c r="D52" s="1058">
        <f t="shared" si="5"/>
        <v>12.948414498774451</v>
      </c>
      <c r="E52" s="1058">
        <f t="shared" si="6"/>
        <v>180.03475519095994</v>
      </c>
      <c r="F52" s="1058">
        <f t="shared" si="7"/>
        <v>814.71424026288832</v>
      </c>
      <c r="G52" s="1058">
        <f t="shared" si="8"/>
        <v>48.168101935440951</v>
      </c>
      <c r="H52" s="827">
        <v>97</v>
      </c>
      <c r="I52" s="827">
        <f>'Emission-Waste Transport Vehicl'!N67</f>
        <v>15.361506000000002</v>
      </c>
      <c r="J52" s="827">
        <f>'Emission-Waste Transport Vehicl'!P67</f>
        <v>9.2511494064000015</v>
      </c>
      <c r="K52" s="827">
        <f>'Emission-Waste Transport Vehicl'!Q67</f>
        <v>7.1847027647999999</v>
      </c>
      <c r="L52" s="827">
        <f>'Emission-Waste Transport Vehicl'!R67</f>
        <v>0.71509188960000014</v>
      </c>
      <c r="M52" s="827">
        <f t="shared" si="9"/>
        <v>839.00546586258895</v>
      </c>
      <c r="N52" s="830">
        <f t="shared" si="10"/>
        <v>198.90714701341074</v>
      </c>
      <c r="O52" s="830">
        <f t="shared" si="10"/>
        <v>1665.5284186162187</v>
      </c>
      <c r="P52" s="830">
        <f t="shared" si="10"/>
        <v>5853.4796545387053</v>
      </c>
      <c r="Q52" s="830">
        <f t="shared" si="10"/>
        <v>34.444619031459894</v>
      </c>
      <c r="R52" s="2773"/>
    </row>
    <row r="53" spans="1:18" x14ac:dyDescent="0.25">
      <c r="A53" s="2802"/>
      <c r="B53" s="706">
        <v>2054</v>
      </c>
      <c r="C53" s="1058">
        <f t="shared" si="4"/>
        <v>8649.5408851813299</v>
      </c>
      <c r="D53" s="1058">
        <f t="shared" si="5"/>
        <v>12.948414498774451</v>
      </c>
      <c r="E53" s="1058">
        <f t="shared" si="6"/>
        <v>180.03475519095994</v>
      </c>
      <c r="F53" s="1058">
        <f t="shared" si="7"/>
        <v>814.71424026288832</v>
      </c>
      <c r="G53" s="1058">
        <f t="shared" si="8"/>
        <v>48.168101935440951</v>
      </c>
      <c r="H53" s="827">
        <v>97</v>
      </c>
      <c r="I53" s="827">
        <f>'Emission-Waste Transport Vehicl'!N68</f>
        <v>16.301268720000003</v>
      </c>
      <c r="J53" s="827">
        <f>'Emission-Waste Transport Vehicl'!P68</f>
        <v>9.0697543200000013</v>
      </c>
      <c r="K53" s="827">
        <f>'Emission-Waste Transport Vehicl'!Q68</f>
        <v>7.0438262400000005</v>
      </c>
      <c r="L53" s="827">
        <f>'Emission-Waste Transport Vehicl'!R68</f>
        <v>0.70107048000000005</v>
      </c>
      <c r="M53" s="827">
        <f t="shared" si="9"/>
        <v>839.00546586258895</v>
      </c>
      <c r="N53" s="830">
        <f t="shared" si="10"/>
        <v>211.07558424246648</v>
      </c>
      <c r="O53" s="830">
        <f t="shared" si="10"/>
        <v>1632.8709986433516</v>
      </c>
      <c r="P53" s="830">
        <f t="shared" si="10"/>
        <v>5738.7055436653973</v>
      </c>
      <c r="Q53" s="830">
        <f t="shared" si="10"/>
        <v>33.769234344568517</v>
      </c>
      <c r="R53" s="2773"/>
    </row>
    <row r="54" spans="1:18" x14ac:dyDescent="0.25">
      <c r="A54" s="2802"/>
      <c r="B54" s="706">
        <v>2055</v>
      </c>
      <c r="C54" s="1058">
        <f t="shared" si="4"/>
        <v>8649.5408851813299</v>
      </c>
      <c r="D54" s="1058">
        <f t="shared" si="5"/>
        <v>12.948414498774451</v>
      </c>
      <c r="E54" s="1058">
        <f t="shared" si="6"/>
        <v>180.03475519095994</v>
      </c>
      <c r="F54" s="1058">
        <f t="shared" si="7"/>
        <v>814.71424026288832</v>
      </c>
      <c r="G54" s="1058">
        <f t="shared" si="8"/>
        <v>48.168101935440951</v>
      </c>
      <c r="H54" s="827">
        <v>97</v>
      </c>
      <c r="I54" s="827">
        <f>'Emission-Waste Transport Vehicl'!N69</f>
        <v>15.981763853088003</v>
      </c>
      <c r="J54" s="827">
        <f>'Emission-Waste Transport Vehicl'!P69</f>
        <v>8.8919871353280016</v>
      </c>
      <c r="K54" s="827">
        <f>'Emission-Waste Transport Vehicl'!Q69</f>
        <v>6.9057672456960004</v>
      </c>
      <c r="L54" s="827">
        <f>'Emission-Waste Transport Vehicl'!R69</f>
        <v>0.6873294985920001</v>
      </c>
      <c r="M54" s="827">
        <f t="shared" si="9"/>
        <v>839.00546586258895</v>
      </c>
      <c r="N54" s="830">
        <f t="shared" si="10"/>
        <v>206.93850279131414</v>
      </c>
      <c r="O54" s="830">
        <f t="shared" si="10"/>
        <v>1600.866727069942</v>
      </c>
      <c r="P54" s="830">
        <f t="shared" si="10"/>
        <v>5626.2269150095563</v>
      </c>
      <c r="Q54" s="830">
        <f t="shared" si="10"/>
        <v>33.107357351414976</v>
      </c>
      <c r="R54" s="2773"/>
    </row>
    <row r="55" spans="1:18" x14ac:dyDescent="0.25">
      <c r="A55" s="2802"/>
      <c r="B55" s="706">
        <v>2056</v>
      </c>
      <c r="C55" s="1058">
        <f t="shared" si="4"/>
        <v>8649.5408851813299</v>
      </c>
      <c r="D55" s="1058">
        <f t="shared" si="5"/>
        <v>12.948414498774451</v>
      </c>
      <c r="E55" s="1058">
        <f t="shared" si="6"/>
        <v>180.03475519095994</v>
      </c>
      <c r="F55" s="1058">
        <f t="shared" si="7"/>
        <v>814.71424026288832</v>
      </c>
      <c r="G55" s="1058">
        <f t="shared" si="8"/>
        <v>48.168101935440951</v>
      </c>
      <c r="H55" s="827">
        <v>97</v>
      </c>
      <c r="I55" s="827">
        <f>'Emission-Waste Transport Vehicl'!N70</f>
        <v>15.668779493664003</v>
      </c>
      <c r="J55" s="827">
        <f>'Emission-Waste Transport Vehicl'!P70</f>
        <v>8.7178478523840006</v>
      </c>
      <c r="K55" s="827">
        <f>'Emission-Waste Transport Vehicl'!Q70</f>
        <v>6.7705257818880007</v>
      </c>
      <c r="L55" s="827">
        <f>'Emission-Waste Transport Vehicl'!R70</f>
        <v>0.67386894537600017</v>
      </c>
      <c r="M55" s="827">
        <f t="shared" si="9"/>
        <v>839.00546586258895</v>
      </c>
      <c r="N55" s="830">
        <f t="shared" si="10"/>
        <v>202.88585157385876</v>
      </c>
      <c r="O55" s="830">
        <f t="shared" si="10"/>
        <v>1569.5156038959894</v>
      </c>
      <c r="P55" s="830">
        <f t="shared" si="10"/>
        <v>5516.0437685711804</v>
      </c>
      <c r="Q55" s="830">
        <f t="shared" si="10"/>
        <v>32.458988051999263</v>
      </c>
      <c r="R55" s="2773"/>
    </row>
    <row r="56" spans="1:18" x14ac:dyDescent="0.25">
      <c r="A56" s="2802"/>
      <c r="B56" s="706">
        <v>2057</v>
      </c>
      <c r="C56" s="1058">
        <f t="shared" si="4"/>
        <v>8649.5408851813299</v>
      </c>
      <c r="D56" s="1058">
        <f t="shared" si="5"/>
        <v>12.948414498774451</v>
      </c>
      <c r="E56" s="1058">
        <f t="shared" si="6"/>
        <v>180.03475519095994</v>
      </c>
      <c r="F56" s="1058">
        <f t="shared" si="7"/>
        <v>814.71424026288832</v>
      </c>
      <c r="G56" s="1058">
        <f t="shared" si="8"/>
        <v>48.168101935440951</v>
      </c>
      <c r="H56" s="827">
        <v>97</v>
      </c>
      <c r="I56" s="827">
        <f>'Emission-Waste Transport Vehicl'!N71</f>
        <v>15.362315641728001</v>
      </c>
      <c r="J56" s="827">
        <f>'Emission-Waste Transport Vehicl'!P71</f>
        <v>8.547336471168002</v>
      </c>
      <c r="K56" s="827">
        <f>'Emission-Waste Transport Vehicl'!Q71</f>
        <v>6.6381018485760004</v>
      </c>
      <c r="L56" s="827">
        <f>'Emission-Waste Transport Vehicl'!R71</f>
        <v>0.66068882035200005</v>
      </c>
      <c r="M56" s="827">
        <f t="shared" si="9"/>
        <v>839.00546586258895</v>
      </c>
      <c r="N56" s="830">
        <f t="shared" si="10"/>
        <v>198.91763059010037</v>
      </c>
      <c r="O56" s="830">
        <f t="shared" si="10"/>
        <v>1538.8176291214947</v>
      </c>
      <c r="P56" s="830">
        <f t="shared" si="10"/>
        <v>5408.1561043502707</v>
      </c>
      <c r="Q56" s="830">
        <f t="shared" si="10"/>
        <v>31.824126446321372</v>
      </c>
      <c r="R56" s="2773"/>
    </row>
    <row r="57" spans="1:18" x14ac:dyDescent="0.25">
      <c r="A57" s="2802"/>
      <c r="B57" s="706">
        <v>2058</v>
      </c>
      <c r="C57" s="1058">
        <f t="shared" si="4"/>
        <v>8649.5408851813299</v>
      </c>
      <c r="D57" s="1058">
        <f t="shared" si="5"/>
        <v>12.948414498774451</v>
      </c>
      <c r="E57" s="1058">
        <f t="shared" si="6"/>
        <v>180.03475519095994</v>
      </c>
      <c r="F57" s="1058">
        <f t="shared" si="7"/>
        <v>814.71424026288832</v>
      </c>
      <c r="G57" s="1058">
        <f t="shared" si="8"/>
        <v>48.168101935440951</v>
      </c>
      <c r="H57" s="827">
        <v>97</v>
      </c>
      <c r="I57" s="827">
        <f>'Emission-Waste Transport Vehicl'!N72</f>
        <v>15.059112043536</v>
      </c>
      <c r="J57" s="827">
        <f>'Emission-Waste Transport Vehicl'!P72</f>
        <v>8.378639040816001</v>
      </c>
      <c r="K57" s="827">
        <f>'Emission-Waste Transport Vehicl'!Q72</f>
        <v>6.5070866805119998</v>
      </c>
      <c r="L57" s="827">
        <f>'Emission-Waste Transport Vehicl'!R72</f>
        <v>0.647648909424</v>
      </c>
      <c r="M57" s="827">
        <f t="shared" si="9"/>
        <v>839.00546586258895</v>
      </c>
      <c r="N57" s="830">
        <f t="shared" si="10"/>
        <v>194.99162472319048</v>
      </c>
      <c r="O57" s="830">
        <f t="shared" si="10"/>
        <v>1508.4462285467282</v>
      </c>
      <c r="P57" s="830">
        <f t="shared" si="10"/>
        <v>5301.4161812380935</v>
      </c>
      <c r="Q57" s="830">
        <f t="shared" si="10"/>
        <v>31.196018687512396</v>
      </c>
      <c r="R57" s="2773"/>
    </row>
    <row r="58" spans="1:18" x14ac:dyDescent="0.25">
      <c r="A58" s="2802"/>
      <c r="B58" s="706">
        <v>2059</v>
      </c>
      <c r="C58" s="1058">
        <f t="shared" si="4"/>
        <v>8649.5408851813299</v>
      </c>
      <c r="D58" s="1058">
        <f t="shared" si="5"/>
        <v>12.948414498774451</v>
      </c>
      <c r="E58" s="1058">
        <f t="shared" si="6"/>
        <v>180.03475519095994</v>
      </c>
      <c r="F58" s="1058">
        <f t="shared" si="7"/>
        <v>814.71424026288832</v>
      </c>
      <c r="G58" s="1058">
        <f t="shared" si="8"/>
        <v>48.168101935440951</v>
      </c>
      <c r="H58" s="827">
        <v>97</v>
      </c>
      <c r="I58" s="827">
        <f>'Emission-Waste Transport Vehicl'!N73</f>
        <v>14.765689206576004</v>
      </c>
      <c r="J58" s="827">
        <f>'Emission-Waste Transport Vehicl'!P73</f>
        <v>8.2153834630560016</v>
      </c>
      <c r="K58" s="827">
        <f>'Emission-Waste Transport Vehicl'!Q73</f>
        <v>6.380297808192001</v>
      </c>
      <c r="L58" s="827">
        <f>'Emission-Waste Transport Vehicl'!R73</f>
        <v>0.63502964078400004</v>
      </c>
      <c r="M58" s="827">
        <f t="shared" si="9"/>
        <v>839.00546586258895</v>
      </c>
      <c r="N58" s="830">
        <f t="shared" si="10"/>
        <v>191.19226420682614</v>
      </c>
      <c r="O58" s="830">
        <f t="shared" si="10"/>
        <v>1479.054550571148</v>
      </c>
      <c r="P58" s="830">
        <f t="shared" si="10"/>
        <v>5198.1194814521177</v>
      </c>
      <c r="Q58" s="830">
        <f t="shared" si="10"/>
        <v>30.588172469310166</v>
      </c>
      <c r="R58" s="2773"/>
    </row>
    <row r="59" spans="1:18" x14ac:dyDescent="0.25">
      <c r="A59" s="2802"/>
      <c r="B59" s="706">
        <v>2060</v>
      </c>
      <c r="C59" s="1058">
        <f t="shared" si="4"/>
        <v>8649.5408851813299</v>
      </c>
      <c r="D59" s="1058">
        <f t="shared" si="5"/>
        <v>12.948414498774451</v>
      </c>
      <c r="E59" s="1058">
        <f t="shared" si="6"/>
        <v>180.03475519095994</v>
      </c>
      <c r="F59" s="1058">
        <f t="shared" si="7"/>
        <v>814.71424026288832</v>
      </c>
      <c r="G59" s="1058">
        <f t="shared" si="8"/>
        <v>48.168101935440951</v>
      </c>
      <c r="H59" s="827">
        <v>97</v>
      </c>
      <c r="I59" s="827">
        <f>'Emission-Waste Transport Vehicl'!N74</f>
        <v>14.475526623360002</v>
      </c>
      <c r="J59" s="827">
        <f>'Emission-Waste Transport Vehicl'!P74</f>
        <v>8.0539418361599999</v>
      </c>
      <c r="K59" s="827">
        <f>'Emission-Waste Transport Vehicl'!Q74</f>
        <v>6.2549177011200001</v>
      </c>
      <c r="L59" s="827">
        <f>'Emission-Waste Transport Vehicl'!R74</f>
        <v>0.62255058624000004</v>
      </c>
      <c r="M59" s="827">
        <f t="shared" si="9"/>
        <v>839.00546586258895</v>
      </c>
      <c r="N59" s="830">
        <f t="shared" si="10"/>
        <v>187.43511880731023</v>
      </c>
      <c r="O59" s="830">
        <f t="shared" si="10"/>
        <v>1449.9894467952961</v>
      </c>
      <c r="P59" s="830">
        <f t="shared" si="10"/>
        <v>5095.9705227748727</v>
      </c>
      <c r="Q59" s="830">
        <f t="shared" si="10"/>
        <v>29.987080097976843</v>
      </c>
      <c r="R59" s="2773"/>
    </row>
    <row r="60" spans="1:18" x14ac:dyDescent="0.25">
      <c r="A60" s="2802"/>
      <c r="B60" s="706">
        <v>2061</v>
      </c>
      <c r="C60" s="1058">
        <f t="shared" si="4"/>
        <v>8649.5408851813299</v>
      </c>
      <c r="D60" s="1058">
        <f t="shared" si="5"/>
        <v>12.948414498774451</v>
      </c>
      <c r="E60" s="1058">
        <f t="shared" si="6"/>
        <v>180.03475519095994</v>
      </c>
      <c r="F60" s="1058">
        <f t="shared" si="7"/>
        <v>814.71424026288832</v>
      </c>
      <c r="G60" s="1058">
        <f t="shared" si="8"/>
        <v>48.168101935440951</v>
      </c>
      <c r="H60" s="827">
        <v>97</v>
      </c>
      <c r="I60" s="827">
        <f>'Emission-Waste Transport Vehicl'!N75</f>
        <v>14.191884547632004</v>
      </c>
      <c r="J60" s="827">
        <f>'Emission-Waste Transport Vehicl'!P75</f>
        <v>7.8961281109920014</v>
      </c>
      <c r="K60" s="827">
        <f>'Emission-Waste Transport Vehicl'!Q75</f>
        <v>6.1323551245440004</v>
      </c>
      <c r="L60" s="827">
        <f>'Emission-Waste Transport Vehicl'!R75</f>
        <v>0.61035195988800006</v>
      </c>
      <c r="M60" s="827">
        <f t="shared" si="9"/>
        <v>839.00546586258895</v>
      </c>
      <c r="N60" s="830">
        <f t="shared" si="10"/>
        <v>183.76240364149132</v>
      </c>
      <c r="O60" s="830">
        <f t="shared" si="10"/>
        <v>1421.5774914189019</v>
      </c>
      <c r="P60" s="830">
        <f t="shared" si="10"/>
        <v>4996.1170463150956</v>
      </c>
      <c r="Q60" s="830">
        <f t="shared" si="10"/>
        <v>29.399495420381353</v>
      </c>
      <c r="R60" s="2773"/>
    </row>
    <row r="61" spans="1:18" x14ac:dyDescent="0.25">
      <c r="A61" s="2802"/>
      <c r="B61" s="706">
        <v>2062</v>
      </c>
      <c r="C61" s="1058">
        <f t="shared" si="4"/>
        <v>8649.5408851813299</v>
      </c>
      <c r="D61" s="1058">
        <f t="shared" si="5"/>
        <v>12.948414498774451</v>
      </c>
      <c r="E61" s="1058">
        <f t="shared" si="6"/>
        <v>180.03475519095994</v>
      </c>
      <c r="F61" s="1058">
        <f t="shared" si="7"/>
        <v>814.71424026288832</v>
      </c>
      <c r="G61" s="1058">
        <f t="shared" si="8"/>
        <v>48.168101935440951</v>
      </c>
      <c r="H61" s="827">
        <v>97</v>
      </c>
      <c r="I61" s="827">
        <f>'Emission-Waste Transport Vehicl'!N76</f>
        <v>13.914762979392002</v>
      </c>
      <c r="J61" s="827">
        <f>'Emission-Waste Transport Vehicl'!P76</f>
        <v>7.7419422875520008</v>
      </c>
      <c r="K61" s="827">
        <f>'Emission-Waste Transport Vehicl'!Q76</f>
        <v>6.0126100784640002</v>
      </c>
      <c r="L61" s="827">
        <f>'Emission-Waste Transport Vehicl'!R76</f>
        <v>0.59843376172800011</v>
      </c>
      <c r="M61" s="827">
        <f t="shared" si="9"/>
        <v>839.00546586258895</v>
      </c>
      <c r="N61" s="830">
        <f t="shared" si="10"/>
        <v>180.17411870936937</v>
      </c>
      <c r="O61" s="830">
        <f t="shared" si="10"/>
        <v>1393.8186844419649</v>
      </c>
      <c r="P61" s="830">
        <f t="shared" si="10"/>
        <v>4898.5590520727828</v>
      </c>
      <c r="Q61" s="830">
        <f t="shared" si="10"/>
        <v>28.825418436523691</v>
      </c>
      <c r="R61" s="2773"/>
    </row>
    <row r="62" spans="1:18" x14ac:dyDescent="0.25">
      <c r="A62" s="2802"/>
      <c r="B62" s="706">
        <v>2063</v>
      </c>
      <c r="C62" s="1058">
        <f t="shared" si="4"/>
        <v>8649.5408851813299</v>
      </c>
      <c r="D62" s="1058">
        <f t="shared" si="5"/>
        <v>12.948414498774451</v>
      </c>
      <c r="E62" s="1058">
        <f t="shared" si="6"/>
        <v>180.03475519095994</v>
      </c>
      <c r="F62" s="1058">
        <f t="shared" si="7"/>
        <v>814.71424026288832</v>
      </c>
      <c r="G62" s="1058">
        <f t="shared" si="8"/>
        <v>48.168101935440951</v>
      </c>
      <c r="H62" s="827">
        <v>97</v>
      </c>
      <c r="I62" s="827">
        <f>'Emission-Waste Transport Vehicl'!N77</f>
        <v>13.640901664896001</v>
      </c>
      <c r="J62" s="827">
        <f>'Emission-Waste Transport Vehicl'!P77</f>
        <v>7.5895704149760004</v>
      </c>
      <c r="K62" s="827">
        <f>'Emission-Waste Transport Vehicl'!Q77</f>
        <v>5.8942737976319997</v>
      </c>
      <c r="L62" s="827">
        <f>'Emission-Waste Transport Vehicl'!R77</f>
        <v>0.58665577766400001</v>
      </c>
      <c r="M62" s="827">
        <f t="shared" si="9"/>
        <v>839.00546586258895</v>
      </c>
      <c r="N62" s="830">
        <f>D62*I62</f>
        <v>176.62804889409591</v>
      </c>
      <c r="O62" s="830">
        <f t="shared" si="10"/>
        <v>1366.3864516647566</v>
      </c>
      <c r="P62" s="830">
        <f t="shared" si="10"/>
        <v>4802.1487989392044</v>
      </c>
      <c r="Q62" s="830">
        <f t="shared" si="10"/>
        <v>28.258095299534936</v>
      </c>
      <c r="R62" s="2773"/>
    </row>
    <row r="63" spans="1:18" x14ac:dyDescent="0.25">
      <c r="A63" s="2802"/>
      <c r="B63" s="706">
        <v>2064</v>
      </c>
      <c r="C63" s="1058">
        <f t="shared" si="4"/>
        <v>8649.5408851813299</v>
      </c>
      <c r="D63" s="1058">
        <f t="shared" si="5"/>
        <v>12.948414498774451</v>
      </c>
      <c r="E63" s="1058">
        <f t="shared" si="6"/>
        <v>180.03475519095994</v>
      </c>
      <c r="F63" s="1058">
        <f t="shared" si="7"/>
        <v>814.71424026288832</v>
      </c>
      <c r="G63" s="1058">
        <f t="shared" si="8"/>
        <v>48.168101935440951</v>
      </c>
      <c r="H63" s="827">
        <v>97</v>
      </c>
      <c r="I63" s="827">
        <f>'Emission-Waste Transport Vehicl'!N78</f>
        <v>13.373560857888002</v>
      </c>
      <c r="J63" s="827">
        <f>'Emission-Waste Transport Vehicl'!P78</f>
        <v>7.4408264441280014</v>
      </c>
      <c r="K63" s="827">
        <f>'Emission-Waste Transport Vehicl'!Q78</f>
        <v>5.7787550472960003</v>
      </c>
      <c r="L63" s="827">
        <f>'Emission-Waste Transport Vehicl'!R78</f>
        <v>0.57515822179200005</v>
      </c>
      <c r="M63" s="827">
        <f t="shared" si="9"/>
        <v>839.00546586258895</v>
      </c>
      <c r="N63" s="830">
        <f t="shared" si="10"/>
        <v>173.16640931251948</v>
      </c>
      <c r="O63" s="830">
        <f t="shared" si="10"/>
        <v>1339.6073672870057</v>
      </c>
      <c r="P63" s="830">
        <f t="shared" si="10"/>
        <v>4708.0340280230921</v>
      </c>
      <c r="Q63" s="830">
        <f t="shared" si="10"/>
        <v>27.704279856284014</v>
      </c>
      <c r="R63" s="2773"/>
    </row>
    <row r="64" spans="1:18" x14ac:dyDescent="0.25">
      <c r="A64" s="2802"/>
      <c r="B64" s="706">
        <v>2065</v>
      </c>
      <c r="C64" s="1058">
        <f t="shared" si="4"/>
        <v>8649.5408851813299</v>
      </c>
      <c r="D64" s="1058">
        <f t="shared" si="5"/>
        <v>12.948414498774451</v>
      </c>
      <c r="E64" s="1058">
        <f t="shared" si="6"/>
        <v>180.03475519095994</v>
      </c>
      <c r="F64" s="1058">
        <f t="shared" si="7"/>
        <v>814.71424026288832</v>
      </c>
      <c r="G64" s="1058">
        <f t="shared" si="8"/>
        <v>48.168101935440951</v>
      </c>
      <c r="H64" s="827">
        <v>97</v>
      </c>
      <c r="I64" s="827">
        <f>'Emission-Waste Transport Vehicl'!N79</f>
        <v>13.112740558368001</v>
      </c>
      <c r="J64" s="827">
        <f>'Emission-Waste Transport Vehicl'!P79</f>
        <v>7.2957103750080003</v>
      </c>
      <c r="K64" s="827">
        <f>'Emission-Waste Transport Vehicl'!Q79</f>
        <v>5.6660538274560004</v>
      </c>
      <c r="L64" s="827">
        <f>'Emission-Waste Transport Vehicl'!R79</f>
        <v>0.56394109411200011</v>
      </c>
      <c r="M64" s="827">
        <f t="shared" si="9"/>
        <v>839.00546586258895</v>
      </c>
      <c r="N64" s="830">
        <f t="shared" si="10"/>
        <v>169.78919996464001</v>
      </c>
      <c r="O64" s="830">
        <f t="shared" si="10"/>
        <v>1313.481431308712</v>
      </c>
      <c r="P64" s="830">
        <f t="shared" si="10"/>
        <v>4616.2147393244459</v>
      </c>
      <c r="Q64" s="830">
        <f t="shared" si="10"/>
        <v>27.16397210677092</v>
      </c>
      <c r="R64" s="2773"/>
    </row>
    <row r="65" spans="1:18" x14ac:dyDescent="0.25">
      <c r="A65" s="2802"/>
      <c r="B65" s="706">
        <v>2066</v>
      </c>
      <c r="C65" s="1058">
        <f t="shared" si="4"/>
        <v>8649.5408851813299</v>
      </c>
      <c r="D65" s="1058">
        <f t="shared" si="5"/>
        <v>12.948414498774451</v>
      </c>
      <c r="E65" s="1058">
        <f t="shared" si="6"/>
        <v>180.03475519095994</v>
      </c>
      <c r="F65" s="1058">
        <f t="shared" si="7"/>
        <v>814.71424026288832</v>
      </c>
      <c r="G65" s="1058">
        <f t="shared" si="8"/>
        <v>48.168101935440951</v>
      </c>
      <c r="H65" s="827">
        <v>97</v>
      </c>
      <c r="I65" s="827">
        <f>'Emission-Waste Transport Vehicl'!N80</f>
        <v>12.855180512592</v>
      </c>
      <c r="J65" s="827">
        <f>'Emission-Waste Transport Vehicl'!P80</f>
        <v>7.1524082567520004</v>
      </c>
      <c r="K65" s="827">
        <f>'Emission-Waste Transport Vehicl'!Q80</f>
        <v>5.5547613728639993</v>
      </c>
      <c r="L65" s="827">
        <f>'Emission-Waste Transport Vehicl'!R80</f>
        <v>0.55286418052800002</v>
      </c>
      <c r="M65" s="827">
        <f t="shared" si="9"/>
        <v>839.00546586258895</v>
      </c>
      <c r="N65" s="830">
        <f t="shared" si="10"/>
        <v>166.45420573360903</v>
      </c>
      <c r="O65" s="830">
        <f t="shared" si="10"/>
        <v>1287.6820695301469</v>
      </c>
      <c r="P65" s="830">
        <f t="shared" si="10"/>
        <v>4525.5431917345313</v>
      </c>
      <c r="Q65" s="830">
        <f t="shared" si="10"/>
        <v>26.630418204126734</v>
      </c>
      <c r="R65" s="2773"/>
    </row>
    <row r="66" spans="1:18" x14ac:dyDescent="0.25">
      <c r="A66" s="2802"/>
      <c r="B66" s="706">
        <v>2067</v>
      </c>
      <c r="C66" s="1058">
        <f t="shared" si="4"/>
        <v>8649.5408851813299</v>
      </c>
      <c r="D66" s="1058">
        <f t="shared" si="5"/>
        <v>12.948414498774451</v>
      </c>
      <c r="E66" s="1058">
        <f t="shared" si="6"/>
        <v>180.03475519095994</v>
      </c>
      <c r="F66" s="1058">
        <f t="shared" si="7"/>
        <v>814.71424026288832</v>
      </c>
      <c r="G66" s="1058">
        <f t="shared" si="8"/>
        <v>48.168101935440951</v>
      </c>
      <c r="H66" s="827">
        <v>97</v>
      </c>
      <c r="I66" s="827">
        <f>'Emission-Waste Transport Vehicl'!N81</f>
        <v>12.600880720560001</v>
      </c>
      <c r="J66" s="827">
        <f>'Emission-Waste Transport Vehicl'!P81</f>
        <v>7.0109200893600008</v>
      </c>
      <c r="K66" s="827">
        <f>'Emission-Waste Transport Vehicl'!Q81</f>
        <v>5.4448776835200006</v>
      </c>
      <c r="L66" s="827">
        <f>'Emission-Waste Transport Vehicl'!R81</f>
        <v>0.5419274810400001</v>
      </c>
      <c r="M66" s="827">
        <f t="shared" si="9"/>
        <v>839.00546586258895</v>
      </c>
      <c r="N66" s="830">
        <f t="shared" si="10"/>
        <v>163.16142661942658</v>
      </c>
      <c r="O66" s="830">
        <f t="shared" si="10"/>
        <v>1262.2092819513107</v>
      </c>
      <c r="P66" s="830">
        <f t="shared" si="10"/>
        <v>4436.019385253353</v>
      </c>
      <c r="Q66" s="830">
        <f t="shared" si="10"/>
        <v>26.103618148351469</v>
      </c>
      <c r="R66" s="2773"/>
    </row>
    <row r="67" spans="1:18" x14ac:dyDescent="0.25">
      <c r="A67" s="2802"/>
      <c r="B67" s="706">
        <v>2068</v>
      </c>
      <c r="C67" s="1058">
        <f t="shared" si="4"/>
        <v>8649.5408851813299</v>
      </c>
      <c r="D67" s="1058">
        <f t="shared" si="5"/>
        <v>12.948414498774451</v>
      </c>
      <c r="E67" s="1058">
        <f t="shared" si="6"/>
        <v>180.03475519095994</v>
      </c>
      <c r="F67" s="1058">
        <f t="shared" si="7"/>
        <v>814.71424026288832</v>
      </c>
      <c r="G67" s="1058">
        <f t="shared" si="8"/>
        <v>48.168101935440951</v>
      </c>
      <c r="H67" s="827">
        <v>97</v>
      </c>
      <c r="I67" s="827">
        <f>'Emission-Waste Transport Vehicl'!N82</f>
        <v>12.356361689760002</v>
      </c>
      <c r="J67" s="827">
        <f>'Emission-Waste Transport Vehicl'!P82</f>
        <v>6.8748737745600002</v>
      </c>
      <c r="K67" s="827">
        <f>'Emission-Waste Transport Vehicl'!Q82</f>
        <v>5.339220289920001</v>
      </c>
      <c r="L67" s="827">
        <f>'Emission-Waste Transport Vehicl'!R82</f>
        <v>0.53141142384000006</v>
      </c>
      <c r="M67" s="827">
        <f t="shared" si="9"/>
        <v>839.00546586258895</v>
      </c>
      <c r="N67" s="830">
        <f t="shared" si="10"/>
        <v>159.99529285578959</v>
      </c>
      <c r="O67" s="830">
        <f t="shared" si="10"/>
        <v>1237.7162169716603</v>
      </c>
      <c r="P67" s="830">
        <f t="shared" si="10"/>
        <v>4349.9388020983715</v>
      </c>
      <c r="Q67" s="830">
        <f t="shared" si="10"/>
        <v>25.59707963318294</v>
      </c>
      <c r="R67" s="2773"/>
    </row>
    <row r="68" spans="1:18" ht="15.75" thickBot="1" x14ac:dyDescent="0.3">
      <c r="A68" s="2803"/>
      <c r="B68" s="85">
        <v>2069</v>
      </c>
      <c r="C68" s="1877">
        <f t="shared" si="4"/>
        <v>8649.5408851813299</v>
      </c>
      <c r="D68" s="1877">
        <f t="shared" si="5"/>
        <v>12.948414498774451</v>
      </c>
      <c r="E68" s="1877">
        <f t="shared" si="6"/>
        <v>180.03475519095994</v>
      </c>
      <c r="F68" s="1877">
        <f t="shared" si="7"/>
        <v>814.71424026288832</v>
      </c>
      <c r="G68" s="1877">
        <f t="shared" si="8"/>
        <v>48.168101935440951</v>
      </c>
      <c r="H68" s="1073">
        <v>97</v>
      </c>
      <c r="I68" s="1073">
        <f>'Emission-Waste Transport Vehicl'!N83</f>
        <v>12.111842658960002</v>
      </c>
      <c r="J68" s="1073">
        <f>'Emission-Waste Transport Vehicl'!P83</f>
        <v>6.7388274597600004</v>
      </c>
      <c r="K68" s="1073">
        <f>'Emission-Waste Transport Vehicl'!Q83</f>
        <v>5.2335628963200005</v>
      </c>
      <c r="L68" s="1073">
        <f>'Emission-Waste Transport Vehicl'!R83</f>
        <v>0.52089536664000002</v>
      </c>
      <c r="M68" s="1073">
        <f t="shared" si="9"/>
        <v>839.00546586258895</v>
      </c>
      <c r="N68" s="1856">
        <f t="shared" si="10"/>
        <v>156.82915909215259</v>
      </c>
      <c r="O68" s="1856">
        <f t="shared" si="10"/>
        <v>1213.2231519920101</v>
      </c>
      <c r="P68" s="1856">
        <f t="shared" si="10"/>
        <v>4263.858218943391</v>
      </c>
      <c r="Q68" s="1856">
        <f t="shared" si="10"/>
        <v>25.090541118014411</v>
      </c>
      <c r="R68" s="2805"/>
    </row>
    <row r="69" spans="1:18" x14ac:dyDescent="0.25">
      <c r="A69" s="2806" t="s">
        <v>913</v>
      </c>
      <c r="B69" s="888">
        <v>2019</v>
      </c>
      <c r="C69" s="1055">
        <f>$K$12</f>
        <v>375957.02865262277</v>
      </c>
      <c r="D69" s="1055">
        <f>$J$12</f>
        <v>562.80992313266893</v>
      </c>
      <c r="E69" s="1055">
        <f>$G$12</f>
        <v>7825.3091712366286</v>
      </c>
      <c r="F69" s="1055">
        <f>$H$12</f>
        <v>35412.000363507519</v>
      </c>
      <c r="G69" s="1055">
        <f>$I$12</f>
        <v>2093.6529140535281</v>
      </c>
      <c r="H69" s="1056">
        <v>62</v>
      </c>
      <c r="I69" s="1056">
        <f>'Emission-Waste Transport Vehicl'!N33</f>
        <v>32.602537440000006</v>
      </c>
      <c r="J69" s="1056">
        <f>'Emission-Waste Transport Vehicl'!P33</f>
        <v>18.139508640000003</v>
      </c>
      <c r="K69" s="1056">
        <f>'Emission-Waste Transport Vehicl'!Q33</f>
        <v>14.087652480000001</v>
      </c>
      <c r="L69" s="1056">
        <f>'Emission-Waste Transport Vehicl'!R33</f>
        <v>1.4021409600000001</v>
      </c>
      <c r="M69" s="1056">
        <f t="shared" si="9"/>
        <v>23309.335776462613</v>
      </c>
      <c r="N69" s="1057">
        <f t="shared" ref="N69:N112" si="11">D69*I69</f>
        <v>18349.031590536364</v>
      </c>
      <c r="O69" s="1057">
        <f t="shared" ref="O69:O132" si="12">E69*J69</f>
        <v>141947.26332231809</v>
      </c>
      <c r="P69" s="1057">
        <f t="shared" ref="P69:P132" si="13">F69*K69</f>
        <v>498871.95474272763</v>
      </c>
      <c r="Q69" s="1057">
        <f t="shared" ref="Q69:Q132" si="14">G69*L69</f>
        <v>2935.5965068178116</v>
      </c>
      <c r="R69" s="2772">
        <f>(SUM(M69:M119)*1.2682)+(SUM(N69:N119))+(SUM(O69:O119))+(SUM(P69:P119))+(SUM(Q69:Q119))</f>
        <v>23562564.221256316</v>
      </c>
    </row>
    <row r="70" spans="1:18" x14ac:dyDescent="0.25">
      <c r="A70" s="2802"/>
      <c r="B70" s="706">
        <v>2020</v>
      </c>
      <c r="C70" s="1058">
        <f t="shared" ref="C70:C119" si="15">$K$12</f>
        <v>375957.02865262277</v>
      </c>
      <c r="D70" s="1058">
        <f t="shared" ref="D70:D119" si="16">$J$12</f>
        <v>562.80992313266893</v>
      </c>
      <c r="E70" s="1058">
        <f t="shared" ref="E70:E119" si="17">$G$12</f>
        <v>7825.3091712366286</v>
      </c>
      <c r="F70" s="1058">
        <f t="shared" ref="F70:F119" si="18">$H$12</f>
        <v>35412.000363507519</v>
      </c>
      <c r="G70" s="1058">
        <f t="shared" ref="G70:G119" si="19">$I$12</f>
        <v>2093.6529140535281</v>
      </c>
      <c r="H70" s="1857">
        <v>64</v>
      </c>
      <c r="I70" s="1857">
        <f>'Emission-Waste Transport Vehicl'!N34</f>
        <v>31.963527706176006</v>
      </c>
      <c r="J70" s="1857">
        <f>'Emission-Waste Transport Vehicl'!P34</f>
        <v>17.783974270656003</v>
      </c>
      <c r="K70" s="1857">
        <f>'Emission-Waste Transport Vehicl'!Q34</f>
        <v>13.811534491392001</v>
      </c>
      <c r="L70" s="1857">
        <f>'Emission-Waste Transport Vehicl'!R34</f>
        <v>1.3746589971840002</v>
      </c>
      <c r="M70" s="1857">
        <f t="shared" ref="M70:M119" si="20">(C70/1000)*H70</f>
        <v>24061.249833767859</v>
      </c>
      <c r="N70" s="830">
        <f t="shared" si="11"/>
        <v>17989.390571361851</v>
      </c>
      <c r="O70" s="830">
        <f t="shared" si="12"/>
        <v>139165.09696120064</v>
      </c>
      <c r="P70" s="830">
        <f t="shared" si="13"/>
        <v>489094.06442977017</v>
      </c>
      <c r="Q70" s="830">
        <f t="shared" si="14"/>
        <v>2878.0588152841829</v>
      </c>
      <c r="R70" s="2773"/>
    </row>
    <row r="71" spans="1:18" x14ac:dyDescent="0.25">
      <c r="A71" s="2802"/>
      <c r="B71" s="706">
        <v>2021</v>
      </c>
      <c r="C71" s="1058">
        <f t="shared" si="15"/>
        <v>375957.02865262277</v>
      </c>
      <c r="D71" s="1058">
        <f t="shared" si="16"/>
        <v>562.80992313266893</v>
      </c>
      <c r="E71" s="1058">
        <f t="shared" si="17"/>
        <v>7825.3091712366286</v>
      </c>
      <c r="F71" s="1058">
        <f t="shared" si="18"/>
        <v>35412.000363507519</v>
      </c>
      <c r="G71" s="1058">
        <f t="shared" si="19"/>
        <v>2093.6529140535281</v>
      </c>
      <c r="H71" s="1857">
        <v>65</v>
      </c>
      <c r="I71" s="1857">
        <f>'Emission-Waste Transport Vehicl'!N35</f>
        <v>31.337558987328006</v>
      </c>
      <c r="J71" s="1857">
        <f>'Emission-Waste Transport Vehicl'!P35</f>
        <v>17.435695704768001</v>
      </c>
      <c r="K71" s="1857">
        <f>'Emission-Waste Transport Vehicl'!Q35</f>
        <v>13.541051563776001</v>
      </c>
      <c r="L71" s="1857">
        <f>'Emission-Waste Transport Vehicl'!R35</f>
        <v>1.3477378907520003</v>
      </c>
      <c r="M71" s="1857">
        <f t="shared" si="20"/>
        <v>24437.20686242048</v>
      </c>
      <c r="N71" s="830">
        <f t="shared" si="11"/>
        <v>17637.089164823552</v>
      </c>
      <c r="O71" s="830">
        <f t="shared" si="12"/>
        <v>136439.70950541215</v>
      </c>
      <c r="P71" s="830">
        <f t="shared" si="13"/>
        <v>479515.72289870982</v>
      </c>
      <c r="Q71" s="830">
        <f t="shared" si="14"/>
        <v>2821.6953623532809</v>
      </c>
      <c r="R71" s="2773"/>
    </row>
    <row r="72" spans="1:18" x14ac:dyDescent="0.25">
      <c r="A72" s="2802"/>
      <c r="B72" s="706">
        <v>2022</v>
      </c>
      <c r="C72" s="1058">
        <f t="shared" si="15"/>
        <v>375957.02865262277</v>
      </c>
      <c r="D72" s="1058">
        <f t="shared" si="16"/>
        <v>562.80992313266893</v>
      </c>
      <c r="E72" s="1058">
        <f t="shared" si="17"/>
        <v>7825.3091712366286</v>
      </c>
      <c r="F72" s="1058">
        <f t="shared" si="18"/>
        <v>35412.000363507519</v>
      </c>
      <c r="G72" s="1058">
        <f t="shared" si="19"/>
        <v>2093.6529140535281</v>
      </c>
      <c r="H72" s="1857">
        <v>66</v>
      </c>
      <c r="I72" s="1857">
        <f>'Emission-Waste Transport Vehicl'!N36</f>
        <v>30.721371029712003</v>
      </c>
      <c r="J72" s="1857">
        <f>'Emission-Waste Transport Vehicl'!P36</f>
        <v>17.092858991472003</v>
      </c>
      <c r="K72" s="1857">
        <f>'Emission-Waste Transport Vehicl'!Q36</f>
        <v>13.274794931903999</v>
      </c>
      <c r="L72" s="1857">
        <f>'Emission-Waste Transport Vehicl'!R36</f>
        <v>1.3212374266080003</v>
      </c>
      <c r="M72" s="1857">
        <f t="shared" si="20"/>
        <v>24813.163891073105</v>
      </c>
      <c r="N72" s="830">
        <f t="shared" si="11"/>
        <v>17290.292467762414</v>
      </c>
      <c r="O72" s="830">
        <f t="shared" si="12"/>
        <v>133756.90622862033</v>
      </c>
      <c r="P72" s="830">
        <f t="shared" si="13"/>
        <v>470087.04295407218</v>
      </c>
      <c r="Q72" s="830">
        <f t="shared" si="14"/>
        <v>2766.2125883744243</v>
      </c>
      <c r="R72" s="2773"/>
    </row>
    <row r="73" spans="1:18" x14ac:dyDescent="0.25">
      <c r="A73" s="2802"/>
      <c r="B73" s="706">
        <v>2023</v>
      </c>
      <c r="C73" s="1058">
        <f t="shared" si="15"/>
        <v>375957.02865262277</v>
      </c>
      <c r="D73" s="1058">
        <f t="shared" si="16"/>
        <v>562.80992313266893</v>
      </c>
      <c r="E73" s="1058">
        <f t="shared" si="17"/>
        <v>7825.3091712366286</v>
      </c>
      <c r="F73" s="1058">
        <f t="shared" si="18"/>
        <v>35412.000363507519</v>
      </c>
      <c r="G73" s="1058">
        <f t="shared" si="19"/>
        <v>2093.6529140535281</v>
      </c>
      <c r="H73" s="1857">
        <v>67</v>
      </c>
      <c r="I73" s="1857">
        <f>'Emission-Waste Transport Vehicl'!N37</f>
        <v>30.118224087072001</v>
      </c>
      <c r="J73" s="1857">
        <f>'Emission-Waste Transport Vehicl'!P37</f>
        <v>16.757278081632002</v>
      </c>
      <c r="K73" s="1857">
        <f>'Emission-Waste Transport Vehicl'!Q37</f>
        <v>13.014173361024</v>
      </c>
      <c r="L73" s="1857">
        <f>'Emission-Waste Transport Vehicl'!R37</f>
        <v>1.295297818848</v>
      </c>
      <c r="M73" s="1857">
        <f t="shared" si="20"/>
        <v>25189.120919725727</v>
      </c>
      <c r="N73" s="830">
        <f t="shared" si="11"/>
        <v>16950.835383337489</v>
      </c>
      <c r="O73" s="830">
        <f t="shared" si="12"/>
        <v>131130.88185715745</v>
      </c>
      <c r="P73" s="830">
        <f t="shared" si="13"/>
        <v>460857.91179133172</v>
      </c>
      <c r="Q73" s="830">
        <f t="shared" si="14"/>
        <v>2711.904052998294</v>
      </c>
      <c r="R73" s="2773"/>
    </row>
    <row r="74" spans="1:18" x14ac:dyDescent="0.25">
      <c r="A74" s="2802"/>
      <c r="B74" s="706">
        <v>2024</v>
      </c>
      <c r="C74" s="1058">
        <f t="shared" si="15"/>
        <v>375957.02865262277</v>
      </c>
      <c r="D74" s="1058">
        <f t="shared" si="16"/>
        <v>562.80992313266893</v>
      </c>
      <c r="E74" s="1058">
        <f t="shared" si="17"/>
        <v>7825.3091712366286</v>
      </c>
      <c r="F74" s="1058">
        <f t="shared" si="18"/>
        <v>35412.000363507519</v>
      </c>
      <c r="G74" s="1058">
        <f t="shared" si="19"/>
        <v>2093.6529140535281</v>
      </c>
      <c r="H74" s="1857">
        <v>68</v>
      </c>
      <c r="I74" s="1857">
        <f>'Emission-Waste Transport Vehicl'!N38</f>
        <v>29.528118159408002</v>
      </c>
      <c r="J74" s="1857">
        <f>'Emission-Waste Transport Vehicl'!P38</f>
        <v>16.428952975248002</v>
      </c>
      <c r="K74" s="1857">
        <f>'Emission-Waste Transport Vehicl'!Q38</f>
        <v>12.759186851135999</v>
      </c>
      <c r="L74" s="1857">
        <f>'Emission-Waste Transport Vehicl'!R38</f>
        <v>1.269919067472</v>
      </c>
      <c r="M74" s="1857">
        <f t="shared" si="20"/>
        <v>25565.077948378352</v>
      </c>
      <c r="N74" s="830">
        <f t="shared" si="11"/>
        <v>16618.717911548782</v>
      </c>
      <c r="O74" s="830">
        <f t="shared" si="12"/>
        <v>128561.63639102348</v>
      </c>
      <c r="P74" s="830">
        <f t="shared" si="13"/>
        <v>451828.32941048837</v>
      </c>
      <c r="Q74" s="830">
        <f t="shared" si="14"/>
        <v>2658.7697562248918</v>
      </c>
      <c r="R74" s="2773"/>
    </row>
    <row r="75" spans="1:18" x14ac:dyDescent="0.25">
      <c r="A75" s="2802"/>
      <c r="B75" s="706">
        <v>2025</v>
      </c>
      <c r="C75" s="1058">
        <f t="shared" si="15"/>
        <v>375957.02865262277</v>
      </c>
      <c r="D75" s="1058">
        <f t="shared" si="16"/>
        <v>562.80992313266893</v>
      </c>
      <c r="E75" s="1058">
        <f t="shared" si="17"/>
        <v>7825.3091712366286</v>
      </c>
      <c r="F75" s="1058">
        <f t="shared" si="18"/>
        <v>35412.000363507519</v>
      </c>
      <c r="G75" s="1058">
        <f t="shared" si="19"/>
        <v>2093.6529140535281</v>
      </c>
      <c r="H75" s="1857">
        <v>69</v>
      </c>
      <c r="I75" s="1857">
        <f>'Emission-Waste Transport Vehicl'!N39</f>
        <v>28.951053246720004</v>
      </c>
      <c r="J75" s="1857">
        <f>'Emission-Waste Transport Vehicl'!P39</f>
        <v>16.10788367232</v>
      </c>
      <c r="K75" s="1857">
        <f>'Emission-Waste Transport Vehicl'!Q39</f>
        <v>12.50983540224</v>
      </c>
      <c r="L75" s="1857">
        <f>'Emission-Waste Transport Vehicl'!R39</f>
        <v>1.2451011724800001</v>
      </c>
      <c r="M75" s="1857">
        <f t="shared" si="20"/>
        <v>25941.034977030973</v>
      </c>
      <c r="N75" s="830">
        <f t="shared" si="11"/>
        <v>16293.94005239629</v>
      </c>
      <c r="O75" s="830">
        <f t="shared" si="12"/>
        <v>126049.16983021844</v>
      </c>
      <c r="P75" s="830">
        <f t="shared" si="13"/>
        <v>442998.29581154214</v>
      </c>
      <c r="Q75" s="830">
        <f t="shared" si="14"/>
        <v>2606.8096980542168</v>
      </c>
      <c r="R75" s="2773"/>
    </row>
    <row r="76" spans="1:18" x14ac:dyDescent="0.25">
      <c r="A76" s="2802"/>
      <c r="B76" s="706">
        <v>2026</v>
      </c>
      <c r="C76" s="1058">
        <f t="shared" si="15"/>
        <v>375957.02865262277</v>
      </c>
      <c r="D76" s="1058">
        <f t="shared" si="16"/>
        <v>562.80992313266893</v>
      </c>
      <c r="E76" s="1058">
        <f t="shared" si="17"/>
        <v>7825.3091712366286</v>
      </c>
      <c r="F76" s="1058">
        <f t="shared" si="18"/>
        <v>35412.000363507519</v>
      </c>
      <c r="G76" s="1058">
        <f t="shared" si="19"/>
        <v>2093.6529140535281</v>
      </c>
      <c r="H76" s="1857">
        <v>70</v>
      </c>
      <c r="I76" s="1857">
        <f>'Emission-Waste Transport Vehicl'!N40</f>
        <v>28.383769095264007</v>
      </c>
      <c r="J76" s="1857">
        <f>'Emission-Waste Transport Vehicl'!P40</f>
        <v>15.792256221984003</v>
      </c>
      <c r="K76" s="1857">
        <f>'Emission-Waste Transport Vehicl'!Q40</f>
        <v>12.264710249088001</v>
      </c>
      <c r="L76" s="1857">
        <f>'Emission-Waste Transport Vehicl'!R40</f>
        <v>1.2207039197760001</v>
      </c>
      <c r="M76" s="1857">
        <f t="shared" si="20"/>
        <v>26316.992005683594</v>
      </c>
      <c r="N76" s="830">
        <f t="shared" si="11"/>
        <v>15974.666902720959</v>
      </c>
      <c r="O76" s="830">
        <f t="shared" si="12"/>
        <v>123579.28744841013</v>
      </c>
      <c r="P76" s="830">
        <f t="shared" si="13"/>
        <v>434317.92379901867</v>
      </c>
      <c r="Q76" s="830">
        <f t="shared" si="14"/>
        <v>2555.7303188355868</v>
      </c>
      <c r="R76" s="2773"/>
    </row>
    <row r="77" spans="1:18" x14ac:dyDescent="0.25">
      <c r="A77" s="2802"/>
      <c r="B77" s="706">
        <v>2027</v>
      </c>
      <c r="C77" s="1058">
        <f t="shared" si="15"/>
        <v>375957.02865262277</v>
      </c>
      <c r="D77" s="1058">
        <f t="shared" si="16"/>
        <v>562.80992313266893</v>
      </c>
      <c r="E77" s="1058">
        <f t="shared" si="17"/>
        <v>7825.3091712366286</v>
      </c>
      <c r="F77" s="1058">
        <f t="shared" si="18"/>
        <v>35412.000363507519</v>
      </c>
      <c r="G77" s="1058">
        <f t="shared" si="19"/>
        <v>2093.6529140535281</v>
      </c>
      <c r="H77" s="1857">
        <v>71</v>
      </c>
      <c r="I77" s="1857">
        <f>'Emission-Waste Transport Vehicl'!N41</f>
        <v>27.826265705040004</v>
      </c>
      <c r="J77" s="1857">
        <f>'Emission-Waste Transport Vehicl'!P41</f>
        <v>15.482070624240002</v>
      </c>
      <c r="K77" s="1857">
        <f>'Emission-Waste Transport Vehicl'!Q41</f>
        <v>12.023811391680001</v>
      </c>
      <c r="L77" s="1857">
        <f>'Emission-Waste Transport Vehicl'!R41</f>
        <v>1.1967273093600002</v>
      </c>
      <c r="M77" s="1857">
        <f t="shared" si="20"/>
        <v>26692.949034336219</v>
      </c>
      <c r="N77" s="830">
        <f t="shared" si="11"/>
        <v>15660.898462522786</v>
      </c>
      <c r="O77" s="830">
        <f t="shared" si="12"/>
        <v>121151.98924559848</v>
      </c>
      <c r="P77" s="830">
        <f t="shared" si="13"/>
        <v>425787.21337291802</v>
      </c>
      <c r="Q77" s="830">
        <f t="shared" si="14"/>
        <v>2505.5316185690021</v>
      </c>
      <c r="R77" s="2773"/>
    </row>
    <row r="78" spans="1:18" x14ac:dyDescent="0.25">
      <c r="A78" s="2802"/>
      <c r="B78" s="706">
        <v>2028</v>
      </c>
      <c r="C78" s="1058">
        <f t="shared" si="15"/>
        <v>375957.02865262277</v>
      </c>
      <c r="D78" s="1058">
        <f t="shared" si="16"/>
        <v>562.80992313266893</v>
      </c>
      <c r="E78" s="1058">
        <f t="shared" si="17"/>
        <v>7825.3091712366286</v>
      </c>
      <c r="F78" s="1058">
        <f t="shared" si="18"/>
        <v>35412.000363507519</v>
      </c>
      <c r="G78" s="1058">
        <f t="shared" si="19"/>
        <v>2093.6529140535281</v>
      </c>
      <c r="H78" s="1857">
        <v>72</v>
      </c>
      <c r="I78" s="1857">
        <f>'Emission-Waste Transport Vehicl'!N42</f>
        <v>27.281803329792002</v>
      </c>
      <c r="J78" s="1857">
        <f>'Emission-Waste Transport Vehicl'!P42</f>
        <v>15.179140829952001</v>
      </c>
      <c r="K78" s="1857">
        <f>'Emission-Waste Transport Vehicl'!Q42</f>
        <v>11.788547595263999</v>
      </c>
      <c r="L78" s="1857">
        <f>'Emission-Waste Transport Vehicl'!R42</f>
        <v>1.173311555328</v>
      </c>
      <c r="M78" s="1857">
        <f t="shared" si="20"/>
        <v>27068.906062988841</v>
      </c>
      <c r="N78" s="830">
        <f t="shared" si="11"/>
        <v>15354.469634960828</v>
      </c>
      <c r="O78" s="830">
        <f t="shared" si="12"/>
        <v>118781.46994811576</v>
      </c>
      <c r="P78" s="830">
        <f t="shared" si="13"/>
        <v>417456.05172871443</v>
      </c>
      <c r="Q78" s="830">
        <f t="shared" si="14"/>
        <v>2456.5071569051447</v>
      </c>
      <c r="R78" s="2773"/>
    </row>
    <row r="79" spans="1:18" x14ac:dyDescent="0.25">
      <c r="A79" s="2802"/>
      <c r="B79" s="706">
        <v>2029</v>
      </c>
      <c r="C79" s="1058">
        <f t="shared" si="15"/>
        <v>375957.02865262277</v>
      </c>
      <c r="D79" s="1058">
        <f t="shared" si="16"/>
        <v>562.80992313266893</v>
      </c>
      <c r="E79" s="1058">
        <f t="shared" si="17"/>
        <v>7825.3091712366286</v>
      </c>
      <c r="F79" s="1058">
        <f t="shared" si="18"/>
        <v>35412.000363507519</v>
      </c>
      <c r="G79" s="1058">
        <f t="shared" si="19"/>
        <v>2093.6529140535281</v>
      </c>
      <c r="H79" s="1857">
        <v>73</v>
      </c>
      <c r="I79" s="1857">
        <f>'Emission-Waste Transport Vehicl'!N43</f>
        <v>26.743861462032005</v>
      </c>
      <c r="J79" s="1857">
        <f>'Emission-Waste Transport Vehicl'!P43</f>
        <v>14.879838937392002</v>
      </c>
      <c r="K79" s="1857">
        <f>'Emission-Waste Transport Vehicl'!Q43</f>
        <v>11.556101329344001</v>
      </c>
      <c r="L79" s="1857">
        <f>'Emission-Waste Transport Vehicl'!R43</f>
        <v>1.1501762294880002</v>
      </c>
      <c r="M79" s="1857">
        <f t="shared" si="20"/>
        <v>27444.863091641466</v>
      </c>
      <c r="N79" s="830">
        <f t="shared" si="11"/>
        <v>15051.710613716979</v>
      </c>
      <c r="O79" s="830">
        <f t="shared" si="12"/>
        <v>116439.34010329752</v>
      </c>
      <c r="P79" s="830">
        <f t="shared" si="13"/>
        <v>409224.66447545949</v>
      </c>
      <c r="Q79" s="830">
        <f t="shared" si="14"/>
        <v>2408.0698145426513</v>
      </c>
      <c r="R79" s="2773"/>
    </row>
    <row r="80" spans="1:18" x14ac:dyDescent="0.25">
      <c r="A80" s="2802"/>
      <c r="B80" s="706">
        <v>2030</v>
      </c>
      <c r="C80" s="1058">
        <f t="shared" si="15"/>
        <v>375957.02865262277</v>
      </c>
      <c r="D80" s="1058">
        <f t="shared" si="16"/>
        <v>562.80992313266893</v>
      </c>
      <c r="E80" s="1058">
        <f t="shared" si="17"/>
        <v>7825.3091712366286</v>
      </c>
      <c r="F80" s="1058">
        <f t="shared" si="18"/>
        <v>35412.000363507519</v>
      </c>
      <c r="G80" s="1058">
        <f t="shared" si="19"/>
        <v>2093.6529140535281</v>
      </c>
      <c r="H80" s="1857">
        <v>75</v>
      </c>
      <c r="I80" s="1857">
        <f>'Emission-Waste Transport Vehicl'!N44</f>
        <v>26.222220862992003</v>
      </c>
      <c r="J80" s="1857">
        <f>'Emission-Waste Transport Vehicl'!P44</f>
        <v>14.589606799152003</v>
      </c>
      <c r="K80" s="1857">
        <f>'Emission-Waste Transport Vehicl'!Q44</f>
        <v>11.330698889664001</v>
      </c>
      <c r="L80" s="1857">
        <f>'Emission-Waste Transport Vehicl'!R44</f>
        <v>1.1277419741280001</v>
      </c>
      <c r="M80" s="1857">
        <f t="shared" si="20"/>
        <v>28196.777148946709</v>
      </c>
      <c r="N80" s="830">
        <f t="shared" si="11"/>
        <v>14758.126108268398</v>
      </c>
      <c r="O80" s="830">
        <f t="shared" si="12"/>
        <v>114168.18389014044</v>
      </c>
      <c r="P80" s="830">
        <f t="shared" si="13"/>
        <v>401242.71319957584</v>
      </c>
      <c r="Q80" s="830">
        <f t="shared" si="14"/>
        <v>2361.100270433566</v>
      </c>
      <c r="R80" s="2773"/>
    </row>
    <row r="81" spans="1:18" x14ac:dyDescent="0.25">
      <c r="A81" s="2802"/>
      <c r="B81" s="706">
        <v>2031</v>
      </c>
      <c r="C81" s="1058">
        <f t="shared" si="15"/>
        <v>375957.02865262277</v>
      </c>
      <c r="D81" s="1058">
        <f t="shared" si="16"/>
        <v>562.80992313266893</v>
      </c>
      <c r="E81" s="1058">
        <f t="shared" si="17"/>
        <v>7825.3091712366286</v>
      </c>
      <c r="F81" s="1058">
        <f t="shared" si="18"/>
        <v>35412.000363507519</v>
      </c>
      <c r="G81" s="1058">
        <f t="shared" si="19"/>
        <v>2093.6529140535281</v>
      </c>
      <c r="H81" s="1857">
        <v>76</v>
      </c>
      <c r="I81" s="1857">
        <f>'Emission-Waste Transport Vehicl'!N45</f>
        <v>25.70710077144</v>
      </c>
      <c r="J81" s="1857">
        <f>'Emission-Waste Transport Vehicl'!P45</f>
        <v>14.303002562640001</v>
      </c>
      <c r="K81" s="1857">
        <f>'Emission-Waste Transport Vehicl'!Q45</f>
        <v>11.108113980480001</v>
      </c>
      <c r="L81" s="1857">
        <f>'Emission-Waste Transport Vehicl'!R45</f>
        <v>1.1055881469600002</v>
      </c>
      <c r="M81" s="1857">
        <f t="shared" si="20"/>
        <v>28572.734177599334</v>
      </c>
      <c r="N81" s="830">
        <f t="shared" si="11"/>
        <v>14468.211409137921</v>
      </c>
      <c r="O81" s="830">
        <f t="shared" si="12"/>
        <v>111925.4171296478</v>
      </c>
      <c r="P81" s="830">
        <f t="shared" si="13"/>
        <v>393360.53631464072</v>
      </c>
      <c r="Q81" s="830">
        <f t="shared" si="14"/>
        <v>2314.7178456258448</v>
      </c>
      <c r="R81" s="2773"/>
    </row>
    <row r="82" spans="1:18" x14ac:dyDescent="0.25">
      <c r="A82" s="2802"/>
      <c r="B82" s="706">
        <v>2032</v>
      </c>
      <c r="C82" s="1058">
        <f t="shared" si="15"/>
        <v>375957.02865262277</v>
      </c>
      <c r="D82" s="1058">
        <f t="shared" si="16"/>
        <v>562.80992313266893</v>
      </c>
      <c r="E82" s="1058">
        <f t="shared" si="17"/>
        <v>7825.3091712366286</v>
      </c>
      <c r="F82" s="1058">
        <f t="shared" si="18"/>
        <v>35412.000363507519</v>
      </c>
      <c r="G82" s="1058">
        <f t="shared" si="19"/>
        <v>2093.6529140535281</v>
      </c>
      <c r="H82" s="1857">
        <v>77</v>
      </c>
      <c r="I82" s="1857">
        <f>'Emission-Waste Transport Vehicl'!N46</f>
        <v>25.201761441120002</v>
      </c>
      <c r="J82" s="1857">
        <f>'Emission-Waste Transport Vehicl'!P46</f>
        <v>14.021840178720002</v>
      </c>
      <c r="K82" s="1857">
        <f>'Emission-Waste Transport Vehicl'!Q46</f>
        <v>10.889755367040001</v>
      </c>
      <c r="L82" s="1857">
        <f>'Emission-Waste Transport Vehicl'!R46</f>
        <v>1.0838549620800002</v>
      </c>
      <c r="M82" s="1857">
        <f t="shared" si="20"/>
        <v>28948.691206251955</v>
      </c>
      <c r="N82" s="830">
        <f t="shared" si="11"/>
        <v>14183.801419484607</v>
      </c>
      <c r="O82" s="830">
        <f t="shared" si="12"/>
        <v>109725.23454815187</v>
      </c>
      <c r="P82" s="830">
        <f t="shared" si="13"/>
        <v>385628.02101612848</v>
      </c>
      <c r="Q82" s="830">
        <f t="shared" si="14"/>
        <v>2269.2160997701685</v>
      </c>
      <c r="R82" s="2773"/>
    </row>
    <row r="83" spans="1:18" x14ac:dyDescent="0.25">
      <c r="A83" s="2802"/>
      <c r="B83" s="706">
        <v>2033</v>
      </c>
      <c r="C83" s="1058">
        <f t="shared" si="15"/>
        <v>375957.02865262277</v>
      </c>
      <c r="D83" s="1058">
        <f t="shared" si="16"/>
        <v>562.80992313266893</v>
      </c>
      <c r="E83" s="1058">
        <f t="shared" si="17"/>
        <v>7825.3091712366286</v>
      </c>
      <c r="F83" s="1058">
        <f t="shared" si="18"/>
        <v>35412.000363507519</v>
      </c>
      <c r="G83" s="1058">
        <f t="shared" si="19"/>
        <v>2093.6529140535281</v>
      </c>
      <c r="H83" s="1857">
        <v>78</v>
      </c>
      <c r="I83" s="1857">
        <f>'Emission-Waste Transport Vehicl'!N47</f>
        <v>24.709463125776001</v>
      </c>
      <c r="J83" s="1857">
        <f>'Emission-Waste Transport Vehicl'!P47</f>
        <v>13.747933598256003</v>
      </c>
      <c r="K83" s="1857">
        <f>'Emission-Waste Transport Vehicl'!Q47</f>
        <v>10.677031814592</v>
      </c>
      <c r="L83" s="1857">
        <f>'Emission-Waste Transport Vehicl'!R47</f>
        <v>1.0626826335840001</v>
      </c>
      <c r="M83" s="1857">
        <f t="shared" si="20"/>
        <v>29324.648234904576</v>
      </c>
      <c r="N83" s="830">
        <f t="shared" si="11"/>
        <v>13906.731042467509</v>
      </c>
      <c r="O83" s="830">
        <f t="shared" si="12"/>
        <v>107581.83087198489</v>
      </c>
      <c r="P83" s="830">
        <f t="shared" si="13"/>
        <v>378095.0544995133</v>
      </c>
      <c r="Q83" s="830">
        <f t="shared" si="14"/>
        <v>2224.8885925172194</v>
      </c>
      <c r="R83" s="2773"/>
    </row>
    <row r="84" spans="1:18" x14ac:dyDescent="0.25">
      <c r="A84" s="2802"/>
      <c r="B84" s="706">
        <v>2034</v>
      </c>
      <c r="C84" s="1058">
        <f t="shared" si="15"/>
        <v>375957.02865262277</v>
      </c>
      <c r="D84" s="1058">
        <f t="shared" si="16"/>
        <v>562.80992313266893</v>
      </c>
      <c r="E84" s="1058">
        <f t="shared" si="17"/>
        <v>7825.3091712366286</v>
      </c>
      <c r="F84" s="1058">
        <f t="shared" si="18"/>
        <v>35412.000363507519</v>
      </c>
      <c r="G84" s="1058">
        <f t="shared" si="19"/>
        <v>2093.6529140535281</v>
      </c>
      <c r="H84" s="1857">
        <v>79</v>
      </c>
      <c r="I84" s="1857">
        <f>'Emission-Waste Transport Vehicl'!N48</f>
        <v>24.223685317920005</v>
      </c>
      <c r="J84" s="1857">
        <f>'Emission-Waste Transport Vehicl'!P48</f>
        <v>13.477654919520001</v>
      </c>
      <c r="K84" s="1857">
        <f>'Emission-Waste Transport Vehicl'!Q48</f>
        <v>10.467125792640001</v>
      </c>
      <c r="L84" s="1857">
        <f>'Emission-Waste Transport Vehicl'!R48</f>
        <v>1.04179073328</v>
      </c>
      <c r="M84" s="1857">
        <f t="shared" si="20"/>
        <v>29700.605263557201</v>
      </c>
      <c r="N84" s="830">
        <f t="shared" si="11"/>
        <v>13633.330471768519</v>
      </c>
      <c r="O84" s="830">
        <f t="shared" si="12"/>
        <v>105466.81664848233</v>
      </c>
      <c r="P84" s="830">
        <f t="shared" si="13"/>
        <v>370661.86237384664</v>
      </c>
      <c r="Q84" s="830">
        <f t="shared" si="14"/>
        <v>2181.1482045656339</v>
      </c>
      <c r="R84" s="2773"/>
    </row>
    <row r="85" spans="1:18" x14ac:dyDescent="0.25">
      <c r="A85" s="2802"/>
      <c r="B85" s="706">
        <v>2035</v>
      </c>
      <c r="C85" s="1058">
        <f t="shared" si="15"/>
        <v>375957.02865262277</v>
      </c>
      <c r="D85" s="1058">
        <f t="shared" si="16"/>
        <v>562.80992313266893</v>
      </c>
      <c r="E85" s="1058">
        <f t="shared" si="17"/>
        <v>7825.3091712366286</v>
      </c>
      <c r="F85" s="1058">
        <f t="shared" si="18"/>
        <v>35412.000363507519</v>
      </c>
      <c r="G85" s="1058">
        <f t="shared" si="19"/>
        <v>2093.6529140535281</v>
      </c>
      <c r="H85" s="1857">
        <v>80</v>
      </c>
      <c r="I85" s="1857">
        <f>'Emission-Waste Transport Vehicl'!N49</f>
        <v>23.747688271296006</v>
      </c>
      <c r="J85" s="1857">
        <f>'Emission-Waste Transport Vehicl'!P49</f>
        <v>13.212818093376002</v>
      </c>
      <c r="K85" s="1857">
        <f>'Emission-Waste Transport Vehicl'!Q49</f>
        <v>10.261446066432002</v>
      </c>
      <c r="L85" s="1857">
        <f>'Emission-Waste Transport Vehicl'!R49</f>
        <v>1.0213194752640002</v>
      </c>
      <c r="M85" s="1857">
        <f t="shared" si="20"/>
        <v>30076.562292209823</v>
      </c>
      <c r="N85" s="830">
        <f t="shared" si="11"/>
        <v>13365.434610546688</v>
      </c>
      <c r="O85" s="830">
        <f t="shared" si="12"/>
        <v>103394.3866039765</v>
      </c>
      <c r="P85" s="830">
        <f t="shared" si="13"/>
        <v>363378.33183460287</v>
      </c>
      <c r="Q85" s="830">
        <f t="shared" si="14"/>
        <v>2138.2884955660943</v>
      </c>
      <c r="R85" s="2773"/>
    </row>
    <row r="86" spans="1:18" x14ac:dyDescent="0.25">
      <c r="A86" s="2802"/>
      <c r="B86" s="706">
        <v>2036</v>
      </c>
      <c r="C86" s="1058">
        <f t="shared" si="15"/>
        <v>375957.02865262277</v>
      </c>
      <c r="D86" s="1058">
        <f t="shared" si="16"/>
        <v>562.80992313266893</v>
      </c>
      <c r="E86" s="1058">
        <f t="shared" si="17"/>
        <v>7825.3091712366286</v>
      </c>
      <c r="F86" s="1058">
        <f t="shared" si="18"/>
        <v>35412.000363507519</v>
      </c>
      <c r="G86" s="1058">
        <f t="shared" si="19"/>
        <v>2093.6529140535281</v>
      </c>
      <c r="H86" s="1857">
        <v>81</v>
      </c>
      <c r="I86" s="1857">
        <f>'Emission-Waste Transport Vehicl'!N50</f>
        <v>23.284732239648001</v>
      </c>
      <c r="J86" s="1857">
        <f>'Emission-Waste Transport Vehicl'!P50</f>
        <v>12.955237070688</v>
      </c>
      <c r="K86" s="1857">
        <f>'Emission-Waste Transport Vehicl'!Q50</f>
        <v>10.061401401215999</v>
      </c>
      <c r="L86" s="1857">
        <f>'Emission-Waste Transport Vehicl'!R50</f>
        <v>1.001409073632</v>
      </c>
      <c r="M86" s="1857">
        <f t="shared" si="20"/>
        <v>30452.519320862448</v>
      </c>
      <c r="N86" s="830">
        <f t="shared" si="11"/>
        <v>13104.878361961069</v>
      </c>
      <c r="O86" s="830">
        <f t="shared" si="12"/>
        <v>101378.73546479955</v>
      </c>
      <c r="P86" s="830">
        <f t="shared" si="13"/>
        <v>356294.35007725604</v>
      </c>
      <c r="Q86" s="830">
        <f t="shared" si="14"/>
        <v>2096.603025169281</v>
      </c>
      <c r="R86" s="2773"/>
    </row>
    <row r="87" spans="1:18" x14ac:dyDescent="0.25">
      <c r="A87" s="2802"/>
      <c r="B87" s="706">
        <v>2037</v>
      </c>
      <c r="C87" s="1058">
        <f t="shared" si="15"/>
        <v>375957.02865262277</v>
      </c>
      <c r="D87" s="1058">
        <f t="shared" si="16"/>
        <v>562.80992313266893</v>
      </c>
      <c r="E87" s="1058">
        <f t="shared" si="17"/>
        <v>7825.3091712366286</v>
      </c>
      <c r="F87" s="1058">
        <f t="shared" si="18"/>
        <v>35412.000363507519</v>
      </c>
      <c r="G87" s="1058">
        <f t="shared" si="19"/>
        <v>2093.6529140535281</v>
      </c>
      <c r="H87" s="1857">
        <v>83</v>
      </c>
      <c r="I87" s="1857">
        <f>'Emission-Waste Transport Vehicl'!N51</f>
        <v>22.828296715488005</v>
      </c>
      <c r="J87" s="1857">
        <f>'Emission-Waste Transport Vehicl'!P51</f>
        <v>12.701283949728003</v>
      </c>
      <c r="K87" s="1857">
        <f>'Emission-Waste Transport Vehicl'!Q51</f>
        <v>9.8641742664960006</v>
      </c>
      <c r="L87" s="1857">
        <f>'Emission-Waste Transport Vehicl'!R51</f>
        <v>0.9817791001920001</v>
      </c>
      <c r="M87" s="1857">
        <f t="shared" si="20"/>
        <v>31204.433378167691</v>
      </c>
      <c r="N87" s="830">
        <f t="shared" si="11"/>
        <v>12847.991919693563</v>
      </c>
      <c r="O87" s="830">
        <f t="shared" si="12"/>
        <v>99391.473778287138</v>
      </c>
      <c r="P87" s="830">
        <f t="shared" si="13"/>
        <v>349310.14271085791</v>
      </c>
      <c r="Q87" s="830">
        <f t="shared" si="14"/>
        <v>2055.5046740738317</v>
      </c>
      <c r="R87" s="2773"/>
    </row>
    <row r="88" spans="1:18" x14ac:dyDescent="0.25">
      <c r="A88" s="2802"/>
      <c r="B88" s="706">
        <v>2038</v>
      </c>
      <c r="C88" s="1058">
        <f t="shared" si="15"/>
        <v>375957.02865262277</v>
      </c>
      <c r="D88" s="1058">
        <f t="shared" si="16"/>
        <v>562.80992313266893</v>
      </c>
      <c r="E88" s="1058">
        <f t="shared" si="17"/>
        <v>7825.3091712366286</v>
      </c>
      <c r="F88" s="1058">
        <f t="shared" si="18"/>
        <v>35412.000363507519</v>
      </c>
      <c r="G88" s="1058">
        <f t="shared" si="19"/>
        <v>2093.6529140535281</v>
      </c>
      <c r="H88" s="1857">
        <v>84</v>
      </c>
      <c r="I88" s="1857">
        <f>'Emission-Waste Transport Vehicl'!N52</f>
        <v>22.378381698816003</v>
      </c>
      <c r="J88" s="1857">
        <f>'Emission-Waste Transport Vehicl'!P52</f>
        <v>12.450958730496001</v>
      </c>
      <c r="K88" s="1857">
        <f>'Emission-Waste Transport Vehicl'!Q52</f>
        <v>9.6697646622720015</v>
      </c>
      <c r="L88" s="1857">
        <f>'Emission-Waste Transport Vehicl'!R52</f>
        <v>0.96242955494400007</v>
      </c>
      <c r="M88" s="1857">
        <f t="shared" si="20"/>
        <v>31580.390406820316</v>
      </c>
      <c r="N88" s="830">
        <f t="shared" si="11"/>
        <v>12594.77528374416</v>
      </c>
      <c r="O88" s="830">
        <f t="shared" si="12"/>
        <v>97432.601544439123</v>
      </c>
      <c r="P88" s="830">
        <f t="shared" si="13"/>
        <v>342425.70973540825</v>
      </c>
      <c r="Q88" s="830">
        <f t="shared" si="14"/>
        <v>2014.9934422797458</v>
      </c>
      <c r="R88" s="2773"/>
    </row>
    <row r="89" spans="1:18" x14ac:dyDescent="0.25">
      <c r="A89" s="2802"/>
      <c r="B89" s="706">
        <v>2039</v>
      </c>
      <c r="C89" s="1058">
        <f t="shared" si="15"/>
        <v>375957.02865262277</v>
      </c>
      <c r="D89" s="1058">
        <f t="shared" si="16"/>
        <v>562.80992313266893</v>
      </c>
      <c r="E89" s="1058">
        <f t="shared" si="17"/>
        <v>7825.3091712366286</v>
      </c>
      <c r="F89" s="1058">
        <f t="shared" si="18"/>
        <v>35412.000363507519</v>
      </c>
      <c r="G89" s="1058">
        <f t="shared" si="19"/>
        <v>2093.6529140535281</v>
      </c>
      <c r="H89" s="1857">
        <v>85</v>
      </c>
      <c r="I89" s="1857">
        <f>'Emission-Waste Transport Vehicl'!N53</f>
        <v>21.941507697120006</v>
      </c>
      <c r="J89" s="1857">
        <f>'Emission-Waste Transport Vehicl'!P53</f>
        <v>12.207889314720003</v>
      </c>
      <c r="K89" s="1857">
        <f>'Emission-Waste Transport Vehicl'!Q53</f>
        <v>9.4809901190400012</v>
      </c>
      <c r="L89" s="1857">
        <f>'Emission-Waste Transport Vehicl'!R53</f>
        <v>0.9436408660800002</v>
      </c>
      <c r="M89" s="1857">
        <f t="shared" si="20"/>
        <v>31956.347435472937</v>
      </c>
      <c r="N89" s="830">
        <f t="shared" si="11"/>
        <v>12348.898260430975</v>
      </c>
      <c r="O89" s="830">
        <f t="shared" si="12"/>
        <v>95530.508215920083</v>
      </c>
      <c r="P89" s="830">
        <f t="shared" si="13"/>
        <v>335740.82554185571</v>
      </c>
      <c r="Q89" s="830">
        <f t="shared" si="14"/>
        <v>1975.6564490883875</v>
      </c>
      <c r="R89" s="2773"/>
    </row>
    <row r="90" spans="1:18" x14ac:dyDescent="0.25">
      <c r="A90" s="2802"/>
      <c r="B90" s="706">
        <v>2040</v>
      </c>
      <c r="C90" s="1058">
        <f t="shared" si="15"/>
        <v>375957.02865262277</v>
      </c>
      <c r="D90" s="1058">
        <f t="shared" si="16"/>
        <v>562.80992313266893</v>
      </c>
      <c r="E90" s="1058">
        <f t="shared" si="17"/>
        <v>7825.3091712366286</v>
      </c>
      <c r="F90" s="1058">
        <f t="shared" si="18"/>
        <v>35412.000363507519</v>
      </c>
      <c r="G90" s="1058">
        <f t="shared" si="19"/>
        <v>2093.6529140535281</v>
      </c>
      <c r="H90" s="1857">
        <v>86</v>
      </c>
      <c r="I90" s="1857">
        <f>'Emission-Waste Transport Vehicl'!N54</f>
        <v>21.511154202912003</v>
      </c>
      <c r="J90" s="1857">
        <f>'Emission-Waste Transport Vehicl'!P54</f>
        <v>11.968447800672001</v>
      </c>
      <c r="K90" s="1857">
        <f>'Emission-Waste Transport Vehicl'!Q54</f>
        <v>9.2950331063040004</v>
      </c>
      <c r="L90" s="1857">
        <f>'Emission-Waste Transport Vehicl'!R54</f>
        <v>0.92513260540800013</v>
      </c>
      <c r="M90" s="1857">
        <f t="shared" si="20"/>
        <v>32332.304464125562</v>
      </c>
      <c r="N90" s="830">
        <f t="shared" si="11"/>
        <v>12106.691043435892</v>
      </c>
      <c r="O90" s="830">
        <f t="shared" si="12"/>
        <v>93656.804340065471</v>
      </c>
      <c r="P90" s="830">
        <f t="shared" si="13"/>
        <v>329155.7157392517</v>
      </c>
      <c r="Q90" s="830">
        <f t="shared" si="14"/>
        <v>1936.9065751983921</v>
      </c>
      <c r="R90" s="2773"/>
    </row>
    <row r="91" spans="1:18" x14ac:dyDescent="0.25">
      <c r="A91" s="2802"/>
      <c r="B91" s="706">
        <v>2041</v>
      </c>
      <c r="C91" s="1058">
        <f t="shared" si="15"/>
        <v>375957.02865262277</v>
      </c>
      <c r="D91" s="1058">
        <f t="shared" si="16"/>
        <v>562.80992313266893</v>
      </c>
      <c r="E91" s="1058">
        <f t="shared" si="17"/>
        <v>7825.3091712366286</v>
      </c>
      <c r="F91" s="1058">
        <f t="shared" si="18"/>
        <v>35412.000363507519</v>
      </c>
      <c r="G91" s="1058">
        <f t="shared" si="19"/>
        <v>2093.6529140535281</v>
      </c>
      <c r="H91" s="1857">
        <v>87</v>
      </c>
      <c r="I91" s="1857">
        <f>'Emission-Waste Transport Vehicl'!N55</f>
        <v>21.087321216192002</v>
      </c>
      <c r="J91" s="1857">
        <f>'Emission-Waste Transport Vehicl'!P55</f>
        <v>11.732634188352002</v>
      </c>
      <c r="K91" s="1857">
        <f>'Emission-Waste Transport Vehicl'!Q55</f>
        <v>9.1118936240640007</v>
      </c>
      <c r="L91" s="1857">
        <f>'Emission-Waste Transport Vehicl'!R55</f>
        <v>0.9069047729280002</v>
      </c>
      <c r="M91" s="1857">
        <f t="shared" si="20"/>
        <v>32708.261492778183</v>
      </c>
      <c r="N91" s="830">
        <f t="shared" si="11"/>
        <v>11868.15363275892</v>
      </c>
      <c r="O91" s="830">
        <f t="shared" si="12"/>
        <v>91811.489916875333</v>
      </c>
      <c r="P91" s="830">
        <f t="shared" si="13"/>
        <v>322670.38032759621</v>
      </c>
      <c r="Q91" s="830">
        <f t="shared" si="14"/>
        <v>1898.7438206097609</v>
      </c>
      <c r="R91" s="2773"/>
    </row>
    <row r="92" spans="1:18" x14ac:dyDescent="0.25">
      <c r="A92" s="2802"/>
      <c r="B92" s="706">
        <v>2042</v>
      </c>
      <c r="C92" s="1058">
        <f t="shared" si="15"/>
        <v>375957.02865262277</v>
      </c>
      <c r="D92" s="1058">
        <f t="shared" si="16"/>
        <v>562.80992313266893</v>
      </c>
      <c r="E92" s="1058">
        <f t="shared" si="17"/>
        <v>7825.3091712366286</v>
      </c>
      <c r="F92" s="1058">
        <f t="shared" si="18"/>
        <v>35412.000363507519</v>
      </c>
      <c r="G92" s="1058">
        <f t="shared" si="19"/>
        <v>2093.6529140535281</v>
      </c>
      <c r="H92" s="1857">
        <v>88</v>
      </c>
      <c r="I92" s="1857">
        <f>'Emission-Waste Transport Vehicl'!N56</f>
        <v>20.676529244448002</v>
      </c>
      <c r="J92" s="1857">
        <f>'Emission-Waste Transport Vehicl'!P56</f>
        <v>11.504076379488001</v>
      </c>
      <c r="K92" s="1857">
        <f>'Emission-Waste Transport Vehicl'!Q56</f>
        <v>8.9343892028159999</v>
      </c>
      <c r="L92" s="1857">
        <f>'Emission-Waste Transport Vehicl'!R56</f>
        <v>0.8892377968320001</v>
      </c>
      <c r="M92" s="1857">
        <f t="shared" si="20"/>
        <v>33084.218521430805</v>
      </c>
      <c r="N92" s="830">
        <f t="shared" si="11"/>
        <v>11636.955834718161</v>
      </c>
      <c r="O92" s="830">
        <f t="shared" si="12"/>
        <v>90022.954399014125</v>
      </c>
      <c r="P92" s="830">
        <f t="shared" si="13"/>
        <v>316384.59369783784</v>
      </c>
      <c r="Q92" s="830">
        <f t="shared" si="14"/>
        <v>1861.7553046238561</v>
      </c>
      <c r="R92" s="2773"/>
    </row>
    <row r="93" spans="1:18" x14ac:dyDescent="0.25">
      <c r="A93" s="2802"/>
      <c r="B93" s="706">
        <v>2043</v>
      </c>
      <c r="C93" s="1058">
        <f t="shared" si="15"/>
        <v>375957.02865262277</v>
      </c>
      <c r="D93" s="1058">
        <f t="shared" si="16"/>
        <v>562.80992313266893</v>
      </c>
      <c r="E93" s="1058">
        <f t="shared" si="17"/>
        <v>7825.3091712366286</v>
      </c>
      <c r="F93" s="1058">
        <f t="shared" si="18"/>
        <v>35412.000363507519</v>
      </c>
      <c r="G93" s="1058">
        <f t="shared" si="19"/>
        <v>2093.6529140535281</v>
      </c>
      <c r="H93" s="1857">
        <v>89</v>
      </c>
      <c r="I93" s="1857">
        <f>'Emission-Waste Transport Vehicl'!N57</f>
        <v>20.268997526448004</v>
      </c>
      <c r="J93" s="1857">
        <f>'Emission-Waste Transport Vehicl'!P57</f>
        <v>11.277332521488001</v>
      </c>
      <c r="K93" s="1857">
        <f>'Emission-Waste Transport Vehicl'!Q57</f>
        <v>8.7582935468160006</v>
      </c>
      <c r="L93" s="1857">
        <f>'Emission-Waste Transport Vehicl'!R57</f>
        <v>0.87171103483200019</v>
      </c>
      <c r="M93" s="1857">
        <f t="shared" si="20"/>
        <v>33460.175550083426</v>
      </c>
      <c r="N93" s="830">
        <f t="shared" si="11"/>
        <v>11407.592939836457</v>
      </c>
      <c r="O93" s="830">
        <f t="shared" si="12"/>
        <v>88248.613607485138</v>
      </c>
      <c r="P93" s="830">
        <f t="shared" si="13"/>
        <v>310148.69426355377</v>
      </c>
      <c r="Q93" s="830">
        <f t="shared" si="14"/>
        <v>1825.0603482886338</v>
      </c>
      <c r="R93" s="2773"/>
    </row>
    <row r="94" spans="1:18" x14ac:dyDescent="0.25">
      <c r="A94" s="2802"/>
      <c r="B94" s="706">
        <v>2044</v>
      </c>
      <c r="C94" s="1058">
        <f t="shared" si="15"/>
        <v>375957.02865262277</v>
      </c>
      <c r="D94" s="1058">
        <f t="shared" si="16"/>
        <v>562.80992313266893</v>
      </c>
      <c r="E94" s="1058">
        <f t="shared" si="17"/>
        <v>7825.3091712366286</v>
      </c>
      <c r="F94" s="1058">
        <f t="shared" si="18"/>
        <v>35412.000363507519</v>
      </c>
      <c r="G94" s="1058">
        <f t="shared" si="19"/>
        <v>2093.6529140535281</v>
      </c>
      <c r="H94" s="1857">
        <v>90</v>
      </c>
      <c r="I94" s="1857">
        <f>'Emission-Waste Transport Vehicl'!N58</f>
        <v>19.871246569680004</v>
      </c>
      <c r="J94" s="1857">
        <f>'Emission-Waste Transport Vehicl'!P58</f>
        <v>11.056030516080002</v>
      </c>
      <c r="K94" s="1857">
        <f>'Emission-Waste Transport Vehicl'!Q58</f>
        <v>8.5864241865600004</v>
      </c>
      <c r="L94" s="1857">
        <f>'Emission-Waste Transport Vehicl'!R58</f>
        <v>0.85460491512000014</v>
      </c>
      <c r="M94" s="1857">
        <f t="shared" si="20"/>
        <v>33836.132578736055</v>
      </c>
      <c r="N94" s="830">
        <f t="shared" si="11"/>
        <v>11183.734754431915</v>
      </c>
      <c r="O94" s="830">
        <f t="shared" si="12"/>
        <v>86516.856994952876</v>
      </c>
      <c r="P94" s="830">
        <f t="shared" si="13"/>
        <v>304062.45641569246</v>
      </c>
      <c r="Q94" s="830">
        <f t="shared" si="14"/>
        <v>1789.2460709054562</v>
      </c>
      <c r="R94" s="2773"/>
    </row>
    <row r="95" spans="1:18" x14ac:dyDescent="0.25">
      <c r="A95" s="2802"/>
      <c r="B95" s="706">
        <v>2045</v>
      </c>
      <c r="C95" s="1058">
        <f t="shared" si="15"/>
        <v>375957.02865262277</v>
      </c>
      <c r="D95" s="1058">
        <f t="shared" si="16"/>
        <v>562.80992313266893</v>
      </c>
      <c r="E95" s="1058">
        <f t="shared" si="17"/>
        <v>7825.3091712366286</v>
      </c>
      <c r="F95" s="1058">
        <f t="shared" si="18"/>
        <v>35412.000363507519</v>
      </c>
      <c r="G95" s="1058">
        <f t="shared" si="19"/>
        <v>2093.6529140535281</v>
      </c>
      <c r="H95" s="1857">
        <v>92</v>
      </c>
      <c r="I95" s="1857">
        <f>'Emission-Waste Transport Vehicl'!N59</f>
        <v>19.483276374144001</v>
      </c>
      <c r="J95" s="1857">
        <f>'Emission-Waste Transport Vehicl'!P59</f>
        <v>10.840170363264003</v>
      </c>
      <c r="K95" s="1857">
        <f>'Emission-Waste Transport Vehicl'!Q59</f>
        <v>8.4187811220480011</v>
      </c>
      <c r="L95" s="1857">
        <f>'Emission-Waste Transport Vehicl'!R59</f>
        <v>0.83791943769600008</v>
      </c>
      <c r="M95" s="1857">
        <f t="shared" si="20"/>
        <v>34588.046636041297</v>
      </c>
      <c r="N95" s="830">
        <f t="shared" si="11"/>
        <v>10965.38127850453</v>
      </c>
      <c r="O95" s="830">
        <f t="shared" si="12"/>
        <v>84827.684561417293</v>
      </c>
      <c r="P95" s="830">
        <f t="shared" si="13"/>
        <v>298125.88015425403</v>
      </c>
      <c r="Q95" s="830">
        <f t="shared" si="14"/>
        <v>1754.3124724743243</v>
      </c>
      <c r="R95" s="2773"/>
    </row>
    <row r="96" spans="1:18" x14ac:dyDescent="0.25">
      <c r="A96" s="2802"/>
      <c r="B96" s="706">
        <v>2046</v>
      </c>
      <c r="C96" s="1058">
        <f t="shared" si="15"/>
        <v>375957.02865262277</v>
      </c>
      <c r="D96" s="1058">
        <f t="shared" si="16"/>
        <v>562.80992313266893</v>
      </c>
      <c r="E96" s="1058">
        <f t="shared" si="17"/>
        <v>7825.3091712366286</v>
      </c>
      <c r="F96" s="1058">
        <f t="shared" si="18"/>
        <v>35412.000363507519</v>
      </c>
      <c r="G96" s="1058">
        <f t="shared" si="19"/>
        <v>2093.6529140535281</v>
      </c>
      <c r="H96" s="1857">
        <v>93</v>
      </c>
      <c r="I96" s="1857">
        <f>'Emission-Waste Transport Vehicl'!N60</f>
        <v>19.101826686096</v>
      </c>
      <c r="J96" s="1857">
        <f>'Emission-Waste Transport Vehicl'!P60</f>
        <v>10.627938112176002</v>
      </c>
      <c r="K96" s="1857">
        <f>'Emission-Waste Transport Vehicl'!Q60</f>
        <v>8.2539555880319995</v>
      </c>
      <c r="L96" s="1857">
        <f>'Emission-Waste Transport Vehicl'!R60</f>
        <v>0.82151438846400004</v>
      </c>
      <c r="M96" s="1857">
        <f t="shared" si="20"/>
        <v>34964.003664693919</v>
      </c>
      <c r="N96" s="830">
        <f t="shared" si="11"/>
        <v>10750.697608895254</v>
      </c>
      <c r="O96" s="830">
        <f t="shared" si="12"/>
        <v>83166.901580546168</v>
      </c>
      <c r="P96" s="830">
        <f t="shared" si="13"/>
        <v>292289.07828376407</v>
      </c>
      <c r="Q96" s="830">
        <f t="shared" si="14"/>
        <v>1719.9659933445557</v>
      </c>
      <c r="R96" s="2773"/>
    </row>
    <row r="97" spans="1:18" x14ac:dyDescent="0.25">
      <c r="A97" s="2802"/>
      <c r="B97" s="706">
        <v>2047</v>
      </c>
      <c r="C97" s="1058">
        <f t="shared" si="15"/>
        <v>375957.02865262277</v>
      </c>
      <c r="D97" s="1058">
        <f t="shared" si="16"/>
        <v>562.80992313266893</v>
      </c>
      <c r="E97" s="1058">
        <f t="shared" si="17"/>
        <v>7825.3091712366286</v>
      </c>
      <c r="F97" s="1058">
        <f t="shared" si="18"/>
        <v>35412.000363507519</v>
      </c>
      <c r="G97" s="1058">
        <f t="shared" si="19"/>
        <v>2093.6529140535281</v>
      </c>
      <c r="H97" s="1857">
        <v>94</v>
      </c>
      <c r="I97" s="1857">
        <f>'Emission-Waste Transport Vehicl'!N61</f>
        <v>18.726897505536005</v>
      </c>
      <c r="J97" s="1857">
        <f>'Emission-Waste Transport Vehicl'!P61</f>
        <v>10.419333762816001</v>
      </c>
      <c r="K97" s="1857">
        <f>'Emission-Waste Transport Vehicl'!Q61</f>
        <v>8.0919475845120008</v>
      </c>
      <c r="L97" s="1857">
        <f>'Emission-Waste Transport Vehicl'!R61</f>
        <v>0.80538976742400015</v>
      </c>
      <c r="M97" s="1857">
        <f t="shared" si="20"/>
        <v>35339.96069334654</v>
      </c>
      <c r="N97" s="830">
        <f t="shared" si="11"/>
        <v>10539.683745604088</v>
      </c>
      <c r="O97" s="830">
        <f t="shared" si="12"/>
        <v>81534.508052339501</v>
      </c>
      <c r="P97" s="830">
        <f t="shared" si="13"/>
        <v>286552.05080422276</v>
      </c>
      <c r="Q97" s="830">
        <f t="shared" si="14"/>
        <v>1686.2066335161512</v>
      </c>
      <c r="R97" s="2773"/>
    </row>
    <row r="98" spans="1:18" x14ac:dyDescent="0.25">
      <c r="A98" s="2802"/>
      <c r="B98" s="706">
        <v>2048</v>
      </c>
      <c r="C98" s="1058">
        <f t="shared" si="15"/>
        <v>375957.02865262277</v>
      </c>
      <c r="D98" s="1058">
        <f t="shared" si="16"/>
        <v>562.80992313266893</v>
      </c>
      <c r="E98" s="1058">
        <f t="shared" si="17"/>
        <v>7825.3091712366286</v>
      </c>
      <c r="F98" s="1058">
        <f t="shared" si="18"/>
        <v>35412.000363507519</v>
      </c>
      <c r="G98" s="1058">
        <f t="shared" si="19"/>
        <v>2093.6529140535281</v>
      </c>
      <c r="H98" s="1857">
        <v>95</v>
      </c>
      <c r="I98" s="1857">
        <f>'Emission-Waste Transport Vehicl'!N62</f>
        <v>18.358488832464005</v>
      </c>
      <c r="J98" s="1857">
        <f>'Emission-Waste Transport Vehicl'!P62</f>
        <v>10.214357315184001</v>
      </c>
      <c r="K98" s="1857">
        <f>'Emission-Waste Transport Vehicl'!Q62</f>
        <v>7.9327571114880007</v>
      </c>
      <c r="L98" s="1857">
        <f>'Emission-Waste Transport Vehicl'!R62</f>
        <v>0.78954557457600016</v>
      </c>
      <c r="M98" s="1857">
        <f t="shared" si="20"/>
        <v>35715.917721999169</v>
      </c>
      <c r="N98" s="830">
        <f t="shared" si="11"/>
        <v>10332.339688631027</v>
      </c>
      <c r="O98" s="830">
        <f t="shared" si="12"/>
        <v>79930.503976797307</v>
      </c>
      <c r="P98" s="830">
        <f t="shared" si="13"/>
        <v>280914.79771562992</v>
      </c>
      <c r="Q98" s="830">
        <f t="shared" si="14"/>
        <v>1653.0343929891098</v>
      </c>
      <c r="R98" s="2773"/>
    </row>
    <row r="99" spans="1:18" x14ac:dyDescent="0.25">
      <c r="A99" s="2802"/>
      <c r="B99" s="706">
        <v>2049</v>
      </c>
      <c r="C99" s="1058">
        <f t="shared" si="15"/>
        <v>375957.02865262277</v>
      </c>
      <c r="D99" s="1058">
        <f t="shared" si="16"/>
        <v>562.80992313266893</v>
      </c>
      <c r="E99" s="1058">
        <f t="shared" si="17"/>
        <v>7825.3091712366286</v>
      </c>
      <c r="F99" s="1058">
        <f t="shared" si="18"/>
        <v>35412.000363507519</v>
      </c>
      <c r="G99" s="1058">
        <f t="shared" si="19"/>
        <v>2093.6529140535281</v>
      </c>
      <c r="H99" s="1857">
        <v>96</v>
      </c>
      <c r="I99" s="1857">
        <f>'Emission-Waste Transport Vehicl'!N63</f>
        <v>17.999860920624005</v>
      </c>
      <c r="J99" s="1857">
        <f>'Emission-Waste Transport Vehicl'!P63</f>
        <v>10.014822720144002</v>
      </c>
      <c r="K99" s="1857">
        <f>'Emission-Waste Transport Vehicl'!Q63</f>
        <v>7.7777929342080014</v>
      </c>
      <c r="L99" s="1857">
        <f>'Emission-Waste Transport Vehicl'!R63</f>
        <v>0.77412202401600017</v>
      </c>
      <c r="M99" s="1857">
        <f t="shared" si="20"/>
        <v>36091.87475065179</v>
      </c>
      <c r="N99" s="830">
        <f t="shared" si="11"/>
        <v>10130.500341135128</v>
      </c>
      <c r="O99" s="830">
        <f t="shared" si="12"/>
        <v>78369.084080251821</v>
      </c>
      <c r="P99" s="830">
        <f t="shared" si="13"/>
        <v>275427.20621345995</v>
      </c>
      <c r="Q99" s="830">
        <f t="shared" si="14"/>
        <v>1620.7428314141141</v>
      </c>
      <c r="R99" s="2773"/>
    </row>
    <row r="100" spans="1:18" x14ac:dyDescent="0.25">
      <c r="A100" s="2802"/>
      <c r="B100" s="706">
        <v>2050</v>
      </c>
      <c r="C100" s="1058">
        <f t="shared" si="15"/>
        <v>375957.02865262277</v>
      </c>
      <c r="D100" s="1058">
        <f t="shared" si="16"/>
        <v>562.80992313266893</v>
      </c>
      <c r="E100" s="1058">
        <f t="shared" si="17"/>
        <v>7825.3091712366286</v>
      </c>
      <c r="F100" s="1058">
        <f t="shared" si="18"/>
        <v>35412.000363507519</v>
      </c>
      <c r="G100" s="1058">
        <f t="shared" si="19"/>
        <v>2093.6529140535281</v>
      </c>
      <c r="H100" s="1857">
        <v>97</v>
      </c>
      <c r="I100" s="1857">
        <f>'Emission-Waste Transport Vehicl'!N64</f>
        <v>17.644493262528005</v>
      </c>
      <c r="J100" s="1857">
        <f>'Emission-Waste Transport Vehicl'!P64</f>
        <v>9.8171020759680019</v>
      </c>
      <c r="K100" s="1857">
        <f>'Emission-Waste Transport Vehicl'!Q64</f>
        <v>7.624237522176001</v>
      </c>
      <c r="L100" s="1857">
        <f>'Emission-Waste Transport Vehicl'!R64</f>
        <v>0.75883868755200012</v>
      </c>
      <c r="M100" s="1857">
        <f t="shared" si="20"/>
        <v>36467.831779304412</v>
      </c>
      <c r="N100" s="830">
        <f t="shared" si="11"/>
        <v>9930.495896798282</v>
      </c>
      <c r="O100" s="830">
        <f t="shared" si="12"/>
        <v>76821.858910038558</v>
      </c>
      <c r="P100" s="830">
        <f t="shared" si="13"/>
        <v>269989.50190676423</v>
      </c>
      <c r="Q100" s="830">
        <f t="shared" si="14"/>
        <v>1588.7448294897997</v>
      </c>
      <c r="R100" s="2773"/>
    </row>
    <row r="101" spans="1:18" x14ac:dyDescent="0.25">
      <c r="A101" s="2802"/>
      <c r="B101" s="706">
        <v>2051</v>
      </c>
      <c r="C101" s="1058">
        <f t="shared" si="15"/>
        <v>375957.02865262277</v>
      </c>
      <c r="D101" s="1058">
        <f t="shared" si="16"/>
        <v>562.80992313266893</v>
      </c>
      <c r="E101" s="1058">
        <f t="shared" si="17"/>
        <v>7825.3091712366286</v>
      </c>
      <c r="F101" s="1058">
        <f t="shared" si="18"/>
        <v>35412.000363507519</v>
      </c>
      <c r="G101" s="1058">
        <f t="shared" si="19"/>
        <v>2093.6529140535281</v>
      </c>
      <c r="H101" s="1857">
        <v>97</v>
      </c>
      <c r="I101" s="1857">
        <f>'Emission-Waste Transport Vehicl'!N65</f>
        <v>17.298906365664003</v>
      </c>
      <c r="J101" s="1857">
        <f>'Emission-Waste Transport Vehicl'!P65</f>
        <v>9.624823284384</v>
      </c>
      <c r="K101" s="1857">
        <f>'Emission-Waste Transport Vehicl'!Q65</f>
        <v>7.4749084058879998</v>
      </c>
      <c r="L101" s="1857">
        <f>'Emission-Waste Transport Vehicl'!R65</f>
        <v>0.74397599337600007</v>
      </c>
      <c r="M101" s="1857">
        <f t="shared" si="20"/>
        <v>36467.831779304412</v>
      </c>
      <c r="N101" s="830">
        <f t="shared" si="11"/>
        <v>9735.996161938594</v>
      </c>
      <c r="O101" s="830">
        <f t="shared" si="12"/>
        <v>75317.21791882196</v>
      </c>
      <c r="P101" s="830">
        <f t="shared" si="13"/>
        <v>264701.45918649127</v>
      </c>
      <c r="Q101" s="830">
        <f t="shared" si="14"/>
        <v>1557.6275065175309</v>
      </c>
      <c r="R101" s="2773"/>
    </row>
    <row r="102" spans="1:18" x14ac:dyDescent="0.25">
      <c r="A102" s="2802"/>
      <c r="B102" s="706">
        <v>2052</v>
      </c>
      <c r="C102" s="1058">
        <f t="shared" si="15"/>
        <v>375957.02865262277</v>
      </c>
      <c r="D102" s="1058">
        <f t="shared" si="16"/>
        <v>562.80992313266893</v>
      </c>
      <c r="E102" s="1058">
        <f t="shared" si="17"/>
        <v>7825.3091712366286</v>
      </c>
      <c r="F102" s="1058">
        <f t="shared" si="18"/>
        <v>35412.000363507519</v>
      </c>
      <c r="G102" s="1058">
        <f t="shared" si="19"/>
        <v>2093.6529140535281</v>
      </c>
      <c r="H102" s="1857">
        <v>97</v>
      </c>
      <c r="I102" s="1857">
        <f>'Emission-Waste Transport Vehicl'!N66</f>
        <v>16.959839976288002</v>
      </c>
      <c r="J102" s="1857">
        <f>'Emission-Waste Transport Vehicl'!P66</f>
        <v>9.4361723945280005</v>
      </c>
      <c r="K102" s="1857">
        <f>'Emission-Waste Transport Vehicl'!Q66</f>
        <v>7.3283968200960006</v>
      </c>
      <c r="L102" s="1857">
        <f>'Emission-Waste Transport Vehicl'!R66</f>
        <v>0.72939372739200004</v>
      </c>
      <c r="M102" s="1857">
        <f t="shared" si="20"/>
        <v>36467.831779304412</v>
      </c>
      <c r="N102" s="830">
        <f t="shared" si="11"/>
        <v>9545.1662333970162</v>
      </c>
      <c r="O102" s="830">
        <f t="shared" si="12"/>
        <v>73840.966380269863</v>
      </c>
      <c r="P102" s="830">
        <f t="shared" si="13"/>
        <v>259513.19085716692</v>
      </c>
      <c r="Q102" s="830">
        <f t="shared" si="14"/>
        <v>1527.0973028466256</v>
      </c>
      <c r="R102" s="2773"/>
    </row>
    <row r="103" spans="1:18" x14ac:dyDescent="0.25">
      <c r="A103" s="2802"/>
      <c r="B103" s="706">
        <v>2053</v>
      </c>
      <c r="C103" s="1058">
        <f t="shared" si="15"/>
        <v>375957.02865262277</v>
      </c>
      <c r="D103" s="1058">
        <f t="shared" si="16"/>
        <v>562.80992313266893</v>
      </c>
      <c r="E103" s="1058">
        <f t="shared" si="17"/>
        <v>7825.3091712366286</v>
      </c>
      <c r="F103" s="1058">
        <f t="shared" si="18"/>
        <v>35412.000363507519</v>
      </c>
      <c r="G103" s="1058">
        <f t="shared" si="19"/>
        <v>2093.6529140535281</v>
      </c>
      <c r="H103" s="1857">
        <v>97</v>
      </c>
      <c r="I103" s="1857">
        <f>'Emission-Waste Transport Vehicl'!N67</f>
        <v>15.361506000000002</v>
      </c>
      <c r="J103" s="1857">
        <f>'Emission-Waste Transport Vehicl'!P67</f>
        <v>9.2511494064000015</v>
      </c>
      <c r="K103" s="1857">
        <f>'Emission-Waste Transport Vehicl'!Q67</f>
        <v>7.1847027647999999</v>
      </c>
      <c r="L103" s="1857">
        <f>'Emission-Waste Transport Vehicl'!R67</f>
        <v>0.71509188960000014</v>
      </c>
      <c r="M103" s="1857">
        <f t="shared" si="20"/>
        <v>36467.831779304412</v>
      </c>
      <c r="N103" s="830">
        <f t="shared" si="11"/>
        <v>8645.6080110620333</v>
      </c>
      <c r="O103" s="830">
        <f t="shared" si="12"/>
        <v>72393.104294382225</v>
      </c>
      <c r="P103" s="830">
        <f t="shared" si="13"/>
        <v>254424.69691879107</v>
      </c>
      <c r="Q103" s="830">
        <f t="shared" si="14"/>
        <v>1497.154218477084</v>
      </c>
      <c r="R103" s="2773"/>
    </row>
    <row r="104" spans="1:18" x14ac:dyDescent="0.25">
      <c r="A104" s="2802"/>
      <c r="B104" s="706">
        <v>2054</v>
      </c>
      <c r="C104" s="1058">
        <f t="shared" si="15"/>
        <v>375957.02865262277</v>
      </c>
      <c r="D104" s="1058">
        <f t="shared" si="16"/>
        <v>562.80992313266893</v>
      </c>
      <c r="E104" s="1058">
        <f t="shared" si="17"/>
        <v>7825.3091712366286</v>
      </c>
      <c r="F104" s="1058">
        <f t="shared" si="18"/>
        <v>35412.000363507519</v>
      </c>
      <c r="G104" s="1058">
        <f t="shared" si="19"/>
        <v>2093.6529140535281</v>
      </c>
      <c r="H104" s="1857">
        <v>97</v>
      </c>
      <c r="I104" s="1857">
        <f>'Emission-Waste Transport Vehicl'!N68</f>
        <v>16.301268720000003</v>
      </c>
      <c r="J104" s="1857">
        <f>'Emission-Waste Transport Vehicl'!P68</f>
        <v>9.0697543200000013</v>
      </c>
      <c r="K104" s="1857">
        <f>'Emission-Waste Transport Vehicl'!Q68</f>
        <v>7.0438262400000005</v>
      </c>
      <c r="L104" s="1857">
        <f>'Emission-Waste Transport Vehicl'!R68</f>
        <v>0.70107048000000005</v>
      </c>
      <c r="M104" s="1857">
        <f t="shared" si="20"/>
        <v>36467.831779304412</v>
      </c>
      <c r="N104" s="830">
        <f t="shared" si="11"/>
        <v>9174.515795268182</v>
      </c>
      <c r="O104" s="830">
        <f t="shared" si="12"/>
        <v>70973.631661159045</v>
      </c>
      <c r="P104" s="830">
        <f t="shared" si="13"/>
        <v>249435.97737136381</v>
      </c>
      <c r="Q104" s="830">
        <f t="shared" si="14"/>
        <v>1467.7982534089058</v>
      </c>
      <c r="R104" s="2773"/>
    </row>
    <row r="105" spans="1:18" x14ac:dyDescent="0.25">
      <c r="A105" s="2802"/>
      <c r="B105" s="706">
        <v>2055</v>
      </c>
      <c r="C105" s="1058">
        <f t="shared" si="15"/>
        <v>375957.02865262277</v>
      </c>
      <c r="D105" s="1058">
        <f t="shared" si="16"/>
        <v>562.80992313266893</v>
      </c>
      <c r="E105" s="1058">
        <f t="shared" si="17"/>
        <v>7825.3091712366286</v>
      </c>
      <c r="F105" s="1058">
        <f t="shared" si="18"/>
        <v>35412.000363507519</v>
      </c>
      <c r="G105" s="1058">
        <f t="shared" si="19"/>
        <v>2093.6529140535281</v>
      </c>
      <c r="H105" s="1857">
        <v>97</v>
      </c>
      <c r="I105" s="1857">
        <f>'Emission-Waste Transport Vehicl'!N69</f>
        <v>15.981763853088003</v>
      </c>
      <c r="J105" s="1857">
        <f>'Emission-Waste Transport Vehicl'!P69</f>
        <v>8.8919871353280016</v>
      </c>
      <c r="K105" s="1857">
        <f>'Emission-Waste Transport Vehicl'!Q69</f>
        <v>6.9057672456960004</v>
      </c>
      <c r="L105" s="1857">
        <f>'Emission-Waste Transport Vehicl'!R69</f>
        <v>0.6873294985920001</v>
      </c>
      <c r="M105" s="1857">
        <f t="shared" si="20"/>
        <v>36467.831779304412</v>
      </c>
      <c r="N105" s="830">
        <f t="shared" si="11"/>
        <v>8994.6952856809257</v>
      </c>
      <c r="O105" s="830">
        <f t="shared" si="12"/>
        <v>69582.548480600322</v>
      </c>
      <c r="P105" s="830">
        <f t="shared" si="13"/>
        <v>244547.03221488508</v>
      </c>
      <c r="Q105" s="830">
        <f t="shared" si="14"/>
        <v>1439.0294076420914</v>
      </c>
      <c r="R105" s="2773"/>
    </row>
    <row r="106" spans="1:18" x14ac:dyDescent="0.25">
      <c r="A106" s="2802"/>
      <c r="B106" s="706">
        <v>2056</v>
      </c>
      <c r="C106" s="1058">
        <f t="shared" si="15"/>
        <v>375957.02865262277</v>
      </c>
      <c r="D106" s="1058">
        <f t="shared" si="16"/>
        <v>562.80992313266893</v>
      </c>
      <c r="E106" s="1058">
        <f t="shared" si="17"/>
        <v>7825.3091712366286</v>
      </c>
      <c r="F106" s="1058">
        <f t="shared" si="18"/>
        <v>35412.000363507519</v>
      </c>
      <c r="G106" s="1058">
        <f t="shared" si="19"/>
        <v>2093.6529140535281</v>
      </c>
      <c r="H106" s="1857">
        <v>97</v>
      </c>
      <c r="I106" s="1857">
        <f>'Emission-Waste Transport Vehicl'!N70</f>
        <v>15.668779493664003</v>
      </c>
      <c r="J106" s="1857">
        <f>'Emission-Waste Transport Vehicl'!P70</f>
        <v>8.7178478523840006</v>
      </c>
      <c r="K106" s="1857">
        <f>'Emission-Waste Transport Vehicl'!Q70</f>
        <v>6.7705257818880007</v>
      </c>
      <c r="L106" s="1857">
        <f>'Emission-Waste Transport Vehicl'!R70</f>
        <v>0.67386894537600017</v>
      </c>
      <c r="M106" s="1857">
        <f t="shared" si="20"/>
        <v>36467.831779304412</v>
      </c>
      <c r="N106" s="830">
        <f t="shared" si="11"/>
        <v>8818.544582411776</v>
      </c>
      <c r="O106" s="830">
        <f t="shared" si="12"/>
        <v>68219.854752706073</v>
      </c>
      <c r="P106" s="830">
        <f t="shared" si="13"/>
        <v>239757.86144935491</v>
      </c>
      <c r="Q106" s="830">
        <f t="shared" si="14"/>
        <v>1410.8476811766404</v>
      </c>
      <c r="R106" s="2773"/>
    </row>
    <row r="107" spans="1:18" x14ac:dyDescent="0.25">
      <c r="A107" s="2802"/>
      <c r="B107" s="706">
        <v>2057</v>
      </c>
      <c r="C107" s="1058">
        <f t="shared" si="15"/>
        <v>375957.02865262277</v>
      </c>
      <c r="D107" s="1058">
        <f t="shared" si="16"/>
        <v>562.80992313266893</v>
      </c>
      <c r="E107" s="1058">
        <f t="shared" si="17"/>
        <v>7825.3091712366286</v>
      </c>
      <c r="F107" s="1058">
        <f t="shared" si="18"/>
        <v>35412.000363507519</v>
      </c>
      <c r="G107" s="1058">
        <f t="shared" si="19"/>
        <v>2093.6529140535281</v>
      </c>
      <c r="H107" s="1857">
        <v>97</v>
      </c>
      <c r="I107" s="1857">
        <f>'Emission-Waste Transport Vehicl'!N71</f>
        <v>15.362315641728001</v>
      </c>
      <c r="J107" s="1857">
        <f>'Emission-Waste Transport Vehicl'!P71</f>
        <v>8.547336471168002</v>
      </c>
      <c r="K107" s="1857">
        <f>'Emission-Waste Transport Vehicl'!Q71</f>
        <v>6.6381018485760004</v>
      </c>
      <c r="L107" s="1857">
        <f>'Emission-Waste Transport Vehicl'!R71</f>
        <v>0.66068882035200005</v>
      </c>
      <c r="M107" s="1857">
        <f t="shared" si="20"/>
        <v>36467.831779304412</v>
      </c>
      <c r="N107" s="830">
        <f t="shared" si="11"/>
        <v>8646.0636854607346</v>
      </c>
      <c r="O107" s="830">
        <f t="shared" si="12"/>
        <v>66885.550477476281</v>
      </c>
      <c r="P107" s="830">
        <f t="shared" si="13"/>
        <v>235068.46507477327</v>
      </c>
      <c r="Q107" s="830">
        <f t="shared" si="14"/>
        <v>1383.2530740125528</v>
      </c>
      <c r="R107" s="2773"/>
    </row>
    <row r="108" spans="1:18" x14ac:dyDescent="0.25">
      <c r="A108" s="2802"/>
      <c r="B108" s="706">
        <v>2058</v>
      </c>
      <c r="C108" s="1058">
        <f t="shared" si="15"/>
        <v>375957.02865262277</v>
      </c>
      <c r="D108" s="1058">
        <f t="shared" si="16"/>
        <v>562.80992313266893</v>
      </c>
      <c r="E108" s="1058">
        <f t="shared" si="17"/>
        <v>7825.3091712366286</v>
      </c>
      <c r="F108" s="1058">
        <f t="shared" si="18"/>
        <v>35412.000363507519</v>
      </c>
      <c r="G108" s="1058">
        <f t="shared" si="19"/>
        <v>2093.6529140535281</v>
      </c>
      <c r="H108" s="1857">
        <v>97</v>
      </c>
      <c r="I108" s="1857">
        <f>'Emission-Waste Transport Vehicl'!N72</f>
        <v>15.059112043536</v>
      </c>
      <c r="J108" s="1857">
        <f>'Emission-Waste Transport Vehicl'!P72</f>
        <v>8.378639040816001</v>
      </c>
      <c r="K108" s="1857">
        <f>'Emission-Waste Transport Vehicl'!Q72</f>
        <v>6.5070866805119998</v>
      </c>
      <c r="L108" s="1857">
        <f>'Emission-Waste Transport Vehicl'!R72</f>
        <v>0.647648909424</v>
      </c>
      <c r="M108" s="1857">
        <f t="shared" si="20"/>
        <v>36467.831779304412</v>
      </c>
      <c r="N108" s="830">
        <f t="shared" si="11"/>
        <v>8475.4176916687447</v>
      </c>
      <c r="O108" s="830">
        <f t="shared" si="12"/>
        <v>65565.440928578726</v>
      </c>
      <c r="P108" s="830">
        <f t="shared" si="13"/>
        <v>230428.95589566586</v>
      </c>
      <c r="Q108" s="830">
        <f t="shared" si="14"/>
        <v>1355.952026499147</v>
      </c>
      <c r="R108" s="2773"/>
    </row>
    <row r="109" spans="1:18" x14ac:dyDescent="0.25">
      <c r="A109" s="2802"/>
      <c r="B109" s="706">
        <v>2059</v>
      </c>
      <c r="C109" s="1058">
        <f t="shared" si="15"/>
        <v>375957.02865262277</v>
      </c>
      <c r="D109" s="1058">
        <f t="shared" si="16"/>
        <v>562.80992313266893</v>
      </c>
      <c r="E109" s="1058">
        <f t="shared" si="17"/>
        <v>7825.3091712366286</v>
      </c>
      <c r="F109" s="1058">
        <f t="shared" si="18"/>
        <v>35412.000363507519</v>
      </c>
      <c r="G109" s="1058">
        <f t="shared" si="19"/>
        <v>2093.6529140535281</v>
      </c>
      <c r="H109" s="1857">
        <v>97</v>
      </c>
      <c r="I109" s="1857">
        <f>'Emission-Waste Transport Vehicl'!N73</f>
        <v>14.765689206576004</v>
      </c>
      <c r="J109" s="1857">
        <f>'Emission-Waste Transport Vehicl'!P73</f>
        <v>8.2153834630560016</v>
      </c>
      <c r="K109" s="1857">
        <f>'Emission-Waste Transport Vehicl'!Q73</f>
        <v>6.380297808192001</v>
      </c>
      <c r="L109" s="1857">
        <f>'Emission-Waste Transport Vehicl'!R73</f>
        <v>0.63502964078400004</v>
      </c>
      <c r="M109" s="1857">
        <f t="shared" si="20"/>
        <v>36467.831779304412</v>
      </c>
      <c r="N109" s="830">
        <f t="shared" si="11"/>
        <v>8310.2764073539201</v>
      </c>
      <c r="O109" s="830">
        <f t="shared" si="12"/>
        <v>64287.915558677865</v>
      </c>
      <c r="P109" s="830">
        <f t="shared" si="13"/>
        <v>225939.10830298136</v>
      </c>
      <c r="Q109" s="830">
        <f t="shared" si="14"/>
        <v>1329.5316579377868</v>
      </c>
      <c r="R109" s="2773"/>
    </row>
    <row r="110" spans="1:18" x14ac:dyDescent="0.25">
      <c r="A110" s="2802"/>
      <c r="B110" s="706">
        <v>2060</v>
      </c>
      <c r="C110" s="1058">
        <f t="shared" si="15"/>
        <v>375957.02865262277</v>
      </c>
      <c r="D110" s="1058">
        <f t="shared" si="16"/>
        <v>562.80992313266893</v>
      </c>
      <c r="E110" s="1058">
        <f t="shared" si="17"/>
        <v>7825.3091712366286</v>
      </c>
      <c r="F110" s="1058">
        <f t="shared" si="18"/>
        <v>35412.000363507519</v>
      </c>
      <c r="G110" s="1058">
        <f t="shared" si="19"/>
        <v>2093.6529140535281</v>
      </c>
      <c r="H110" s="1857">
        <v>97</v>
      </c>
      <c r="I110" s="1857">
        <f>'Emission-Waste Transport Vehicl'!N74</f>
        <v>14.475526623360002</v>
      </c>
      <c r="J110" s="1857">
        <f>'Emission-Waste Transport Vehicl'!P74</f>
        <v>8.0539418361599999</v>
      </c>
      <c r="K110" s="1857">
        <f>'Emission-Waste Transport Vehicl'!Q74</f>
        <v>6.2549177011200001</v>
      </c>
      <c r="L110" s="1857">
        <f>'Emission-Waste Transport Vehicl'!R74</f>
        <v>0.62255058624000004</v>
      </c>
      <c r="M110" s="1857">
        <f t="shared" si="20"/>
        <v>36467.831779304412</v>
      </c>
      <c r="N110" s="830">
        <f t="shared" si="11"/>
        <v>8146.9700261981452</v>
      </c>
      <c r="O110" s="830">
        <f t="shared" si="12"/>
        <v>63024.584915109219</v>
      </c>
      <c r="P110" s="830">
        <f t="shared" si="13"/>
        <v>221499.14790577107</v>
      </c>
      <c r="Q110" s="830">
        <f t="shared" si="14"/>
        <v>1303.4048490271084</v>
      </c>
      <c r="R110" s="2773"/>
    </row>
    <row r="111" spans="1:18" x14ac:dyDescent="0.25">
      <c r="A111" s="2802"/>
      <c r="B111" s="706">
        <v>2061</v>
      </c>
      <c r="C111" s="1058">
        <f t="shared" si="15"/>
        <v>375957.02865262277</v>
      </c>
      <c r="D111" s="1058">
        <f t="shared" si="16"/>
        <v>562.80992313266893</v>
      </c>
      <c r="E111" s="1058">
        <f t="shared" si="17"/>
        <v>7825.3091712366286</v>
      </c>
      <c r="F111" s="1058">
        <f t="shared" si="18"/>
        <v>35412.000363507519</v>
      </c>
      <c r="G111" s="1058">
        <f t="shared" si="19"/>
        <v>2093.6529140535281</v>
      </c>
      <c r="H111" s="1857">
        <v>97</v>
      </c>
      <c r="I111" s="1857">
        <f>'Emission-Waste Transport Vehicl'!N75</f>
        <v>14.191884547632004</v>
      </c>
      <c r="J111" s="1857">
        <f>'Emission-Waste Transport Vehicl'!P75</f>
        <v>7.8961281109920014</v>
      </c>
      <c r="K111" s="1857">
        <f>'Emission-Waste Transport Vehicl'!Q75</f>
        <v>6.1323551245440004</v>
      </c>
      <c r="L111" s="1857">
        <f>'Emission-Waste Transport Vehicl'!R75</f>
        <v>0.61035195988800006</v>
      </c>
      <c r="M111" s="1857">
        <f t="shared" si="20"/>
        <v>36467.831779304412</v>
      </c>
      <c r="N111" s="830">
        <f t="shared" si="11"/>
        <v>7987.3334513604796</v>
      </c>
      <c r="O111" s="830">
        <f t="shared" si="12"/>
        <v>61789.643724205067</v>
      </c>
      <c r="P111" s="830">
        <f t="shared" si="13"/>
        <v>217158.96189950933</v>
      </c>
      <c r="Q111" s="830">
        <f t="shared" si="14"/>
        <v>1277.8651594177934</v>
      </c>
      <c r="R111" s="2773"/>
    </row>
    <row r="112" spans="1:18" x14ac:dyDescent="0.25">
      <c r="A112" s="2802"/>
      <c r="B112" s="706">
        <v>2062</v>
      </c>
      <c r="C112" s="1058">
        <f t="shared" si="15"/>
        <v>375957.02865262277</v>
      </c>
      <c r="D112" s="1058">
        <f t="shared" si="16"/>
        <v>562.80992313266893</v>
      </c>
      <c r="E112" s="1058">
        <f t="shared" si="17"/>
        <v>7825.3091712366286</v>
      </c>
      <c r="F112" s="1058">
        <f t="shared" si="18"/>
        <v>35412.000363507519</v>
      </c>
      <c r="G112" s="1058">
        <f t="shared" si="19"/>
        <v>2093.6529140535281</v>
      </c>
      <c r="H112" s="1857">
        <v>97</v>
      </c>
      <c r="I112" s="1857">
        <f>'Emission-Waste Transport Vehicl'!N76</f>
        <v>13.914762979392002</v>
      </c>
      <c r="J112" s="1857">
        <f>'Emission-Waste Transport Vehicl'!P76</f>
        <v>7.7419422875520008</v>
      </c>
      <c r="K112" s="1857">
        <f>'Emission-Waste Transport Vehicl'!Q76</f>
        <v>6.0126100784640002</v>
      </c>
      <c r="L112" s="1857">
        <f>'Emission-Waste Transport Vehicl'!R76</f>
        <v>0.59843376172800011</v>
      </c>
      <c r="M112" s="1857">
        <f t="shared" si="20"/>
        <v>36467.831779304412</v>
      </c>
      <c r="N112" s="830">
        <f t="shared" si="11"/>
        <v>7831.3666828409196</v>
      </c>
      <c r="O112" s="830">
        <f t="shared" si="12"/>
        <v>60583.091985965359</v>
      </c>
      <c r="P112" s="830">
        <f t="shared" si="13"/>
        <v>212918.55028419616</v>
      </c>
      <c r="Q112" s="830">
        <f t="shared" si="14"/>
        <v>1252.9125891098422</v>
      </c>
      <c r="R112" s="2773"/>
    </row>
    <row r="113" spans="1:18" x14ac:dyDescent="0.25">
      <c r="A113" s="2802"/>
      <c r="B113" s="706">
        <v>2063</v>
      </c>
      <c r="C113" s="1058">
        <f t="shared" si="15"/>
        <v>375957.02865262277</v>
      </c>
      <c r="D113" s="1058">
        <f t="shared" si="16"/>
        <v>562.80992313266893</v>
      </c>
      <c r="E113" s="1058">
        <f t="shared" si="17"/>
        <v>7825.3091712366286</v>
      </c>
      <c r="F113" s="1058">
        <f t="shared" si="18"/>
        <v>35412.000363507519</v>
      </c>
      <c r="G113" s="1058">
        <f t="shared" si="19"/>
        <v>2093.6529140535281</v>
      </c>
      <c r="H113" s="1857">
        <v>97</v>
      </c>
      <c r="I113" s="1857">
        <f>'Emission-Waste Transport Vehicl'!N77</f>
        <v>13.640901664896001</v>
      </c>
      <c r="J113" s="1857">
        <f>'Emission-Waste Transport Vehicl'!P77</f>
        <v>7.5895704149760004</v>
      </c>
      <c r="K113" s="1857">
        <f>'Emission-Waste Transport Vehicl'!Q77</f>
        <v>5.8942737976319997</v>
      </c>
      <c r="L113" s="1857">
        <f>'Emission-Waste Transport Vehicl'!R77</f>
        <v>0.58665577766400001</v>
      </c>
      <c r="M113" s="1857">
        <f t="shared" si="20"/>
        <v>36467.831779304412</v>
      </c>
      <c r="N113" s="830">
        <f>D113*I113</f>
        <v>7677.2348174804138</v>
      </c>
      <c r="O113" s="830">
        <f t="shared" si="12"/>
        <v>59390.734974057879</v>
      </c>
      <c r="P113" s="830">
        <f t="shared" si="13"/>
        <v>208728.02586435722</v>
      </c>
      <c r="Q113" s="830">
        <f t="shared" si="14"/>
        <v>1228.2535784525724</v>
      </c>
      <c r="R113" s="2773"/>
    </row>
    <row r="114" spans="1:18" x14ac:dyDescent="0.25">
      <c r="A114" s="2802"/>
      <c r="B114" s="706">
        <v>2064</v>
      </c>
      <c r="C114" s="1058">
        <f t="shared" si="15"/>
        <v>375957.02865262277</v>
      </c>
      <c r="D114" s="1058">
        <f t="shared" si="16"/>
        <v>562.80992313266893</v>
      </c>
      <c r="E114" s="1058">
        <f t="shared" si="17"/>
        <v>7825.3091712366286</v>
      </c>
      <c r="F114" s="1058">
        <f t="shared" si="18"/>
        <v>35412.000363507519</v>
      </c>
      <c r="G114" s="1058">
        <f t="shared" si="19"/>
        <v>2093.6529140535281</v>
      </c>
      <c r="H114" s="1857">
        <v>97</v>
      </c>
      <c r="I114" s="1857">
        <f>'Emission-Waste Transport Vehicl'!N78</f>
        <v>13.373560857888002</v>
      </c>
      <c r="J114" s="1857">
        <f>'Emission-Waste Transport Vehicl'!P78</f>
        <v>7.4408264441280014</v>
      </c>
      <c r="K114" s="1857">
        <f>'Emission-Waste Transport Vehicl'!Q78</f>
        <v>5.7787550472960003</v>
      </c>
      <c r="L114" s="1857">
        <f>'Emission-Waste Transport Vehicl'!R78</f>
        <v>0.57515822179200005</v>
      </c>
      <c r="M114" s="1857">
        <f t="shared" si="20"/>
        <v>36467.831779304412</v>
      </c>
      <c r="N114" s="830">
        <f t="shared" ref="N114:N163" si="21">D114*I114</f>
        <v>7526.7727584380164</v>
      </c>
      <c r="O114" s="830">
        <f t="shared" si="12"/>
        <v>58226.76741481488</v>
      </c>
      <c r="P114" s="830">
        <f t="shared" si="13"/>
        <v>204637.27583546686</v>
      </c>
      <c r="Q114" s="830">
        <f t="shared" si="14"/>
        <v>1204.1816870966663</v>
      </c>
      <c r="R114" s="2773"/>
    </row>
    <row r="115" spans="1:18" x14ac:dyDescent="0.25">
      <c r="A115" s="2802"/>
      <c r="B115" s="706">
        <v>2065</v>
      </c>
      <c r="C115" s="1058">
        <f t="shared" si="15"/>
        <v>375957.02865262277</v>
      </c>
      <c r="D115" s="1058">
        <f t="shared" si="16"/>
        <v>562.80992313266893</v>
      </c>
      <c r="E115" s="1058">
        <f t="shared" si="17"/>
        <v>7825.3091712366286</v>
      </c>
      <c r="F115" s="1058">
        <f t="shared" si="18"/>
        <v>35412.000363507519</v>
      </c>
      <c r="G115" s="1058">
        <f t="shared" si="19"/>
        <v>2093.6529140535281</v>
      </c>
      <c r="H115" s="1857">
        <v>97</v>
      </c>
      <c r="I115" s="1857">
        <f>'Emission-Waste Transport Vehicl'!N79</f>
        <v>13.112740558368001</v>
      </c>
      <c r="J115" s="1857">
        <f>'Emission-Waste Transport Vehicl'!P79</f>
        <v>7.2957103750080003</v>
      </c>
      <c r="K115" s="1857">
        <f>'Emission-Waste Transport Vehicl'!Q79</f>
        <v>5.6660538274560004</v>
      </c>
      <c r="L115" s="1857">
        <f>'Emission-Waste Transport Vehicl'!R79</f>
        <v>0.56394109411200011</v>
      </c>
      <c r="M115" s="1857">
        <f t="shared" si="20"/>
        <v>36467.831779304412</v>
      </c>
      <c r="N115" s="830">
        <f t="shared" si="21"/>
        <v>7379.9805057137246</v>
      </c>
      <c r="O115" s="830">
        <f t="shared" si="12"/>
        <v>57091.189308236331</v>
      </c>
      <c r="P115" s="830">
        <f t="shared" si="13"/>
        <v>200646.30019752507</v>
      </c>
      <c r="Q115" s="830">
        <f t="shared" si="14"/>
        <v>1180.6969150421239</v>
      </c>
      <c r="R115" s="2773"/>
    </row>
    <row r="116" spans="1:18" x14ac:dyDescent="0.25">
      <c r="A116" s="2802"/>
      <c r="B116" s="706">
        <v>2066</v>
      </c>
      <c r="C116" s="1058">
        <f t="shared" si="15"/>
        <v>375957.02865262277</v>
      </c>
      <c r="D116" s="1058">
        <f t="shared" si="16"/>
        <v>562.80992313266893</v>
      </c>
      <c r="E116" s="1058">
        <f t="shared" si="17"/>
        <v>7825.3091712366286</v>
      </c>
      <c r="F116" s="1058">
        <f t="shared" si="18"/>
        <v>35412.000363507519</v>
      </c>
      <c r="G116" s="1058">
        <f t="shared" si="19"/>
        <v>2093.6529140535281</v>
      </c>
      <c r="H116" s="1857">
        <v>97</v>
      </c>
      <c r="I116" s="1857">
        <f>'Emission-Waste Transport Vehicl'!N80</f>
        <v>12.855180512592</v>
      </c>
      <c r="J116" s="1857">
        <f>'Emission-Waste Transport Vehicl'!P80</f>
        <v>7.1524082567520004</v>
      </c>
      <c r="K116" s="1857">
        <f>'Emission-Waste Transport Vehicl'!Q80</f>
        <v>5.5547613728639993</v>
      </c>
      <c r="L116" s="1857">
        <f>'Emission-Waste Transport Vehicl'!R80</f>
        <v>0.55286418052800002</v>
      </c>
      <c r="M116" s="1857">
        <f t="shared" si="20"/>
        <v>36467.831779304412</v>
      </c>
      <c r="N116" s="830">
        <f t="shared" si="21"/>
        <v>7235.023156148487</v>
      </c>
      <c r="O116" s="830">
        <f t="shared" si="12"/>
        <v>55969.805927990019</v>
      </c>
      <c r="P116" s="830">
        <f t="shared" si="13"/>
        <v>196705.21175505748</v>
      </c>
      <c r="Q116" s="830">
        <f t="shared" si="14"/>
        <v>1157.5057026382631</v>
      </c>
      <c r="R116" s="2773"/>
    </row>
    <row r="117" spans="1:18" x14ac:dyDescent="0.25">
      <c r="A117" s="2802"/>
      <c r="B117" s="706">
        <v>2067</v>
      </c>
      <c r="C117" s="1058">
        <f t="shared" si="15"/>
        <v>375957.02865262277</v>
      </c>
      <c r="D117" s="1058">
        <f t="shared" si="16"/>
        <v>562.80992313266893</v>
      </c>
      <c r="E117" s="1058">
        <f t="shared" si="17"/>
        <v>7825.3091712366286</v>
      </c>
      <c r="F117" s="1058">
        <f t="shared" si="18"/>
        <v>35412.000363507519</v>
      </c>
      <c r="G117" s="1058">
        <f t="shared" si="19"/>
        <v>2093.6529140535281</v>
      </c>
      <c r="H117" s="1857">
        <v>97</v>
      </c>
      <c r="I117" s="1857">
        <f>'Emission-Waste Transport Vehicl'!N81</f>
        <v>12.600880720560001</v>
      </c>
      <c r="J117" s="1857">
        <f>'Emission-Waste Transport Vehicl'!P81</f>
        <v>7.0109200893600008</v>
      </c>
      <c r="K117" s="1857">
        <f>'Emission-Waste Transport Vehicl'!Q81</f>
        <v>5.4448776835200006</v>
      </c>
      <c r="L117" s="1857">
        <f>'Emission-Waste Transport Vehicl'!R81</f>
        <v>0.5419274810400001</v>
      </c>
      <c r="M117" s="1857">
        <f t="shared" si="20"/>
        <v>36467.831779304412</v>
      </c>
      <c r="N117" s="830">
        <f t="shared" si="21"/>
        <v>7091.9007097423037</v>
      </c>
      <c r="O117" s="830">
        <f t="shared" si="12"/>
        <v>54862.617274075936</v>
      </c>
      <c r="P117" s="830">
        <f t="shared" si="13"/>
        <v>192814.01050806424</v>
      </c>
      <c r="Q117" s="830">
        <f t="shared" si="14"/>
        <v>1134.6080498850843</v>
      </c>
      <c r="R117" s="2773"/>
    </row>
    <row r="118" spans="1:18" x14ac:dyDescent="0.25">
      <c r="A118" s="2802"/>
      <c r="B118" s="706">
        <v>2068</v>
      </c>
      <c r="C118" s="1058">
        <f t="shared" si="15"/>
        <v>375957.02865262277</v>
      </c>
      <c r="D118" s="1058">
        <f t="shared" si="16"/>
        <v>562.80992313266893</v>
      </c>
      <c r="E118" s="1058">
        <f t="shared" si="17"/>
        <v>7825.3091712366286</v>
      </c>
      <c r="F118" s="1058">
        <f t="shared" si="18"/>
        <v>35412.000363507519</v>
      </c>
      <c r="G118" s="1058">
        <f t="shared" si="19"/>
        <v>2093.6529140535281</v>
      </c>
      <c r="H118" s="1857">
        <v>97</v>
      </c>
      <c r="I118" s="1857">
        <f>'Emission-Waste Transport Vehicl'!N82</f>
        <v>12.356361689760002</v>
      </c>
      <c r="J118" s="1857">
        <f>'Emission-Waste Transport Vehicl'!P82</f>
        <v>6.8748737745600002</v>
      </c>
      <c r="K118" s="1857">
        <f>'Emission-Waste Transport Vehicl'!Q82</f>
        <v>5.339220289920001</v>
      </c>
      <c r="L118" s="1857">
        <f>'Emission-Waste Transport Vehicl'!R82</f>
        <v>0.53141142384000006</v>
      </c>
      <c r="M118" s="1857">
        <f t="shared" si="20"/>
        <v>36467.831779304412</v>
      </c>
      <c r="N118" s="830">
        <f t="shared" si="21"/>
        <v>6954.282972813282</v>
      </c>
      <c r="O118" s="830">
        <f t="shared" si="12"/>
        <v>53798.012799158547</v>
      </c>
      <c r="P118" s="830">
        <f t="shared" si="13"/>
        <v>189072.47084749379</v>
      </c>
      <c r="Q118" s="830">
        <f t="shared" si="14"/>
        <v>1112.5910760839506</v>
      </c>
      <c r="R118" s="2773"/>
    </row>
    <row r="119" spans="1:18" ht="15.75" thickBot="1" x14ac:dyDescent="0.3">
      <c r="A119" s="2807"/>
      <c r="B119" s="55">
        <v>2069</v>
      </c>
      <c r="C119" s="1060">
        <f t="shared" si="15"/>
        <v>375957.02865262277</v>
      </c>
      <c r="D119" s="1060">
        <f t="shared" si="16"/>
        <v>562.80992313266893</v>
      </c>
      <c r="E119" s="1060">
        <f t="shared" si="17"/>
        <v>7825.3091712366286</v>
      </c>
      <c r="F119" s="1060">
        <f t="shared" si="18"/>
        <v>35412.000363507519</v>
      </c>
      <c r="G119" s="1060">
        <f t="shared" si="19"/>
        <v>2093.6529140535281</v>
      </c>
      <c r="H119" s="1858">
        <v>97</v>
      </c>
      <c r="I119" s="1858">
        <f>'Emission-Waste Transport Vehicl'!N83</f>
        <v>12.111842658960002</v>
      </c>
      <c r="J119" s="1858">
        <f>'Emission-Waste Transport Vehicl'!P83</f>
        <v>6.7388274597600004</v>
      </c>
      <c r="K119" s="1858">
        <f>'Emission-Waste Transport Vehicl'!Q83</f>
        <v>5.2335628963200005</v>
      </c>
      <c r="L119" s="1858">
        <f>'Emission-Waste Transport Vehicl'!R83</f>
        <v>0.52089536664000002</v>
      </c>
      <c r="M119" s="1858">
        <f t="shared" si="20"/>
        <v>36467.831779304412</v>
      </c>
      <c r="N119" s="1063">
        <f t="shared" si="21"/>
        <v>6816.6652358842593</v>
      </c>
      <c r="O119" s="1063">
        <f t="shared" si="12"/>
        <v>52733.408324241165</v>
      </c>
      <c r="P119" s="1063">
        <f t="shared" si="13"/>
        <v>185330.93118692332</v>
      </c>
      <c r="Q119" s="1063">
        <f t="shared" si="14"/>
        <v>1090.574102282817</v>
      </c>
      <c r="R119" s="2774"/>
    </row>
    <row r="120" spans="1:18" x14ac:dyDescent="0.25">
      <c r="A120" s="2801" t="s">
        <v>914</v>
      </c>
      <c r="B120" s="1117">
        <v>2019</v>
      </c>
      <c r="C120" s="1059">
        <f>$K$13</f>
        <v>375957.02865262277</v>
      </c>
      <c r="D120" s="1059">
        <f>$J$13</f>
        <v>562.80992313266893</v>
      </c>
      <c r="E120" s="1059">
        <f>$G$13</f>
        <v>7825.3091712366286</v>
      </c>
      <c r="F120" s="1059">
        <f>$H$13</f>
        <v>35412.000363507519</v>
      </c>
      <c r="G120" s="1059">
        <f>$I$13</f>
        <v>2093.6529140535281</v>
      </c>
      <c r="H120" s="1072">
        <v>62</v>
      </c>
      <c r="I120" s="1072">
        <f>'Emission-Waste Transport Vehicl'!N33</f>
        <v>32.602537440000006</v>
      </c>
      <c r="J120" s="1072">
        <f>'Emission-Waste Transport Vehicl'!P33</f>
        <v>18.139508640000003</v>
      </c>
      <c r="K120" s="1072">
        <f>'Emission-Waste Transport Vehicl'!Q33</f>
        <v>14.087652480000001</v>
      </c>
      <c r="L120" s="1072">
        <f>'Emission-Waste Transport Vehicl'!R33</f>
        <v>1.4021409600000001</v>
      </c>
      <c r="M120" s="1072">
        <f>(C120/1000)*H120</f>
        <v>23309.335776462613</v>
      </c>
      <c r="N120" s="1118">
        <f t="shared" si="21"/>
        <v>18349.031590536364</v>
      </c>
      <c r="O120" s="1118">
        <f t="shared" si="12"/>
        <v>141947.26332231809</v>
      </c>
      <c r="P120" s="1118">
        <f t="shared" si="13"/>
        <v>498871.95474272763</v>
      </c>
      <c r="Q120" s="1118">
        <f t="shared" si="14"/>
        <v>2935.5965068178116</v>
      </c>
      <c r="R120" s="2804">
        <f>(SUM(M120:M170)*1.2682)+(SUM(N120:N170))+(SUM(O120:O170))+(SUM(P120:P170))+(SUM(Q120:Q170))</f>
        <v>23562564.221256316</v>
      </c>
    </row>
    <row r="121" spans="1:18" x14ac:dyDescent="0.25">
      <c r="A121" s="2802"/>
      <c r="B121" s="706">
        <v>2020</v>
      </c>
      <c r="C121" s="1058">
        <f t="shared" ref="C121:C170" si="22">$K$13</f>
        <v>375957.02865262277</v>
      </c>
      <c r="D121" s="1058">
        <f t="shared" ref="D121:D170" si="23">$J$13</f>
        <v>562.80992313266893</v>
      </c>
      <c r="E121" s="1058">
        <f t="shared" ref="E121:E170" si="24">$G$13</f>
        <v>7825.3091712366286</v>
      </c>
      <c r="F121" s="1059">
        <f t="shared" ref="F121:F170" si="25">$H$13</f>
        <v>35412.000363507519</v>
      </c>
      <c r="G121" s="1058">
        <f t="shared" ref="G121:G170" si="26">$I$13</f>
        <v>2093.6529140535281</v>
      </c>
      <c r="H121" s="827">
        <v>64</v>
      </c>
      <c r="I121" s="827">
        <f>'Emission-Waste Transport Vehicl'!N34</f>
        <v>31.963527706176006</v>
      </c>
      <c r="J121" s="827">
        <f>'Emission-Waste Transport Vehicl'!P34</f>
        <v>17.783974270656003</v>
      </c>
      <c r="K121" s="827">
        <f>'Emission-Waste Transport Vehicl'!Q34</f>
        <v>13.811534491392001</v>
      </c>
      <c r="L121" s="827">
        <f>'Emission-Waste Transport Vehicl'!R34</f>
        <v>1.3746589971840002</v>
      </c>
      <c r="M121" s="827">
        <f t="shared" ref="M121:M170" si="27">(C121/1000)*H121</f>
        <v>24061.249833767859</v>
      </c>
      <c r="N121" s="830">
        <f t="shared" si="21"/>
        <v>17989.390571361851</v>
      </c>
      <c r="O121" s="830">
        <f t="shared" si="12"/>
        <v>139165.09696120064</v>
      </c>
      <c r="P121" s="830">
        <f t="shared" si="13"/>
        <v>489094.06442977017</v>
      </c>
      <c r="Q121" s="830">
        <f t="shared" si="14"/>
        <v>2878.0588152841829</v>
      </c>
      <c r="R121" s="2773"/>
    </row>
    <row r="122" spans="1:18" x14ac:dyDescent="0.25">
      <c r="A122" s="2802"/>
      <c r="B122" s="706">
        <v>2021</v>
      </c>
      <c r="C122" s="1058">
        <f t="shared" si="22"/>
        <v>375957.02865262277</v>
      </c>
      <c r="D122" s="1058">
        <f t="shared" si="23"/>
        <v>562.80992313266893</v>
      </c>
      <c r="E122" s="1058">
        <f t="shared" si="24"/>
        <v>7825.3091712366286</v>
      </c>
      <c r="F122" s="1059">
        <f t="shared" si="25"/>
        <v>35412.000363507519</v>
      </c>
      <c r="G122" s="1058">
        <f t="shared" si="26"/>
        <v>2093.6529140535281</v>
      </c>
      <c r="H122" s="827">
        <v>65</v>
      </c>
      <c r="I122" s="827">
        <f>'Emission-Waste Transport Vehicl'!N35</f>
        <v>31.337558987328006</v>
      </c>
      <c r="J122" s="827">
        <f>'Emission-Waste Transport Vehicl'!P35</f>
        <v>17.435695704768001</v>
      </c>
      <c r="K122" s="827">
        <f>'Emission-Waste Transport Vehicl'!Q35</f>
        <v>13.541051563776001</v>
      </c>
      <c r="L122" s="827">
        <f>'Emission-Waste Transport Vehicl'!R35</f>
        <v>1.3477378907520003</v>
      </c>
      <c r="M122" s="827">
        <f t="shared" si="27"/>
        <v>24437.20686242048</v>
      </c>
      <c r="N122" s="830">
        <f t="shared" si="21"/>
        <v>17637.089164823552</v>
      </c>
      <c r="O122" s="830">
        <f t="shared" si="12"/>
        <v>136439.70950541215</v>
      </c>
      <c r="P122" s="830">
        <f t="shared" si="13"/>
        <v>479515.72289870982</v>
      </c>
      <c r="Q122" s="830">
        <f t="shared" si="14"/>
        <v>2821.6953623532809</v>
      </c>
      <c r="R122" s="2773"/>
    </row>
    <row r="123" spans="1:18" x14ac:dyDescent="0.25">
      <c r="A123" s="2802"/>
      <c r="B123" s="706">
        <v>2022</v>
      </c>
      <c r="C123" s="1058">
        <f t="shared" si="22"/>
        <v>375957.02865262277</v>
      </c>
      <c r="D123" s="1058">
        <f t="shared" si="23"/>
        <v>562.80992313266893</v>
      </c>
      <c r="E123" s="1058">
        <f t="shared" si="24"/>
        <v>7825.3091712366286</v>
      </c>
      <c r="F123" s="1059">
        <f t="shared" si="25"/>
        <v>35412.000363507519</v>
      </c>
      <c r="G123" s="1058">
        <f t="shared" si="26"/>
        <v>2093.6529140535281</v>
      </c>
      <c r="H123" s="827">
        <v>66</v>
      </c>
      <c r="I123" s="827">
        <f>'Emission-Waste Transport Vehicl'!N36</f>
        <v>30.721371029712003</v>
      </c>
      <c r="J123" s="827">
        <f>'Emission-Waste Transport Vehicl'!P36</f>
        <v>17.092858991472003</v>
      </c>
      <c r="K123" s="827">
        <f>'Emission-Waste Transport Vehicl'!Q36</f>
        <v>13.274794931903999</v>
      </c>
      <c r="L123" s="827">
        <f>'Emission-Waste Transport Vehicl'!R36</f>
        <v>1.3212374266080003</v>
      </c>
      <c r="M123" s="827">
        <f t="shared" si="27"/>
        <v>24813.163891073105</v>
      </c>
      <c r="N123" s="830">
        <f t="shared" si="21"/>
        <v>17290.292467762414</v>
      </c>
      <c r="O123" s="830">
        <f t="shared" si="12"/>
        <v>133756.90622862033</v>
      </c>
      <c r="P123" s="830">
        <f t="shared" si="13"/>
        <v>470087.04295407218</v>
      </c>
      <c r="Q123" s="830">
        <f t="shared" si="14"/>
        <v>2766.2125883744243</v>
      </c>
      <c r="R123" s="2773"/>
    </row>
    <row r="124" spans="1:18" x14ac:dyDescent="0.25">
      <c r="A124" s="2802"/>
      <c r="B124" s="706">
        <v>2023</v>
      </c>
      <c r="C124" s="1058">
        <f t="shared" si="22"/>
        <v>375957.02865262277</v>
      </c>
      <c r="D124" s="1058">
        <f t="shared" si="23"/>
        <v>562.80992313266893</v>
      </c>
      <c r="E124" s="1058">
        <f t="shared" si="24"/>
        <v>7825.3091712366286</v>
      </c>
      <c r="F124" s="1059">
        <f t="shared" si="25"/>
        <v>35412.000363507519</v>
      </c>
      <c r="G124" s="1058">
        <f t="shared" si="26"/>
        <v>2093.6529140535281</v>
      </c>
      <c r="H124" s="827">
        <v>67</v>
      </c>
      <c r="I124" s="827">
        <f>'Emission-Waste Transport Vehicl'!N37</f>
        <v>30.118224087072001</v>
      </c>
      <c r="J124" s="827">
        <f>'Emission-Waste Transport Vehicl'!P37</f>
        <v>16.757278081632002</v>
      </c>
      <c r="K124" s="827">
        <f>'Emission-Waste Transport Vehicl'!Q37</f>
        <v>13.014173361024</v>
      </c>
      <c r="L124" s="827">
        <f>'Emission-Waste Transport Vehicl'!R37</f>
        <v>1.295297818848</v>
      </c>
      <c r="M124" s="827">
        <f t="shared" si="27"/>
        <v>25189.120919725727</v>
      </c>
      <c r="N124" s="830">
        <f t="shared" si="21"/>
        <v>16950.835383337489</v>
      </c>
      <c r="O124" s="830">
        <f t="shared" si="12"/>
        <v>131130.88185715745</v>
      </c>
      <c r="P124" s="830">
        <f t="shared" si="13"/>
        <v>460857.91179133172</v>
      </c>
      <c r="Q124" s="830">
        <f t="shared" si="14"/>
        <v>2711.904052998294</v>
      </c>
      <c r="R124" s="2773"/>
    </row>
    <row r="125" spans="1:18" x14ac:dyDescent="0.25">
      <c r="A125" s="2802"/>
      <c r="B125" s="706">
        <v>2024</v>
      </c>
      <c r="C125" s="1058">
        <f t="shared" si="22"/>
        <v>375957.02865262277</v>
      </c>
      <c r="D125" s="1058">
        <f t="shared" si="23"/>
        <v>562.80992313266893</v>
      </c>
      <c r="E125" s="1058">
        <f t="shared" si="24"/>
        <v>7825.3091712366286</v>
      </c>
      <c r="F125" s="1059">
        <f t="shared" si="25"/>
        <v>35412.000363507519</v>
      </c>
      <c r="G125" s="1058">
        <f t="shared" si="26"/>
        <v>2093.6529140535281</v>
      </c>
      <c r="H125" s="827">
        <v>68</v>
      </c>
      <c r="I125" s="827">
        <f>'Emission-Waste Transport Vehicl'!N38</f>
        <v>29.528118159408002</v>
      </c>
      <c r="J125" s="827">
        <f>'Emission-Waste Transport Vehicl'!P38</f>
        <v>16.428952975248002</v>
      </c>
      <c r="K125" s="827">
        <f>'Emission-Waste Transport Vehicl'!Q38</f>
        <v>12.759186851135999</v>
      </c>
      <c r="L125" s="827">
        <f>'Emission-Waste Transport Vehicl'!R38</f>
        <v>1.269919067472</v>
      </c>
      <c r="M125" s="827">
        <f t="shared" si="27"/>
        <v>25565.077948378352</v>
      </c>
      <c r="N125" s="830">
        <f t="shared" si="21"/>
        <v>16618.717911548782</v>
      </c>
      <c r="O125" s="830">
        <f t="shared" si="12"/>
        <v>128561.63639102348</v>
      </c>
      <c r="P125" s="830">
        <f t="shared" si="13"/>
        <v>451828.32941048837</v>
      </c>
      <c r="Q125" s="830">
        <f t="shared" si="14"/>
        <v>2658.7697562248918</v>
      </c>
      <c r="R125" s="2773"/>
    </row>
    <row r="126" spans="1:18" x14ac:dyDescent="0.25">
      <c r="A126" s="2802"/>
      <c r="B126" s="706">
        <v>2025</v>
      </c>
      <c r="C126" s="1058">
        <f t="shared" si="22"/>
        <v>375957.02865262277</v>
      </c>
      <c r="D126" s="1058">
        <f t="shared" si="23"/>
        <v>562.80992313266893</v>
      </c>
      <c r="E126" s="1058">
        <f t="shared" si="24"/>
        <v>7825.3091712366286</v>
      </c>
      <c r="F126" s="1059">
        <f t="shared" si="25"/>
        <v>35412.000363507519</v>
      </c>
      <c r="G126" s="1058">
        <f t="shared" si="26"/>
        <v>2093.6529140535281</v>
      </c>
      <c r="H126" s="827">
        <v>69</v>
      </c>
      <c r="I126" s="827">
        <f>'Emission-Waste Transport Vehicl'!N39</f>
        <v>28.951053246720004</v>
      </c>
      <c r="J126" s="827">
        <f>'Emission-Waste Transport Vehicl'!P39</f>
        <v>16.10788367232</v>
      </c>
      <c r="K126" s="827">
        <f>'Emission-Waste Transport Vehicl'!Q39</f>
        <v>12.50983540224</v>
      </c>
      <c r="L126" s="827">
        <f>'Emission-Waste Transport Vehicl'!R39</f>
        <v>1.2451011724800001</v>
      </c>
      <c r="M126" s="827">
        <f t="shared" si="27"/>
        <v>25941.034977030973</v>
      </c>
      <c r="N126" s="830">
        <f t="shared" si="21"/>
        <v>16293.94005239629</v>
      </c>
      <c r="O126" s="830">
        <f t="shared" si="12"/>
        <v>126049.16983021844</v>
      </c>
      <c r="P126" s="830">
        <f t="shared" si="13"/>
        <v>442998.29581154214</v>
      </c>
      <c r="Q126" s="830">
        <f t="shared" si="14"/>
        <v>2606.8096980542168</v>
      </c>
      <c r="R126" s="2773"/>
    </row>
    <row r="127" spans="1:18" x14ac:dyDescent="0.25">
      <c r="A127" s="2802"/>
      <c r="B127" s="706">
        <v>2026</v>
      </c>
      <c r="C127" s="1058">
        <f t="shared" si="22"/>
        <v>375957.02865262277</v>
      </c>
      <c r="D127" s="1058">
        <f t="shared" si="23"/>
        <v>562.80992313266893</v>
      </c>
      <c r="E127" s="1058">
        <f t="shared" si="24"/>
        <v>7825.3091712366286</v>
      </c>
      <c r="F127" s="1059">
        <f t="shared" si="25"/>
        <v>35412.000363507519</v>
      </c>
      <c r="G127" s="1058">
        <f t="shared" si="26"/>
        <v>2093.6529140535281</v>
      </c>
      <c r="H127" s="827">
        <v>70</v>
      </c>
      <c r="I127" s="827">
        <f>'Emission-Waste Transport Vehicl'!N40</f>
        <v>28.383769095264007</v>
      </c>
      <c r="J127" s="827">
        <f>'Emission-Waste Transport Vehicl'!P40</f>
        <v>15.792256221984003</v>
      </c>
      <c r="K127" s="827">
        <f>'Emission-Waste Transport Vehicl'!Q40</f>
        <v>12.264710249088001</v>
      </c>
      <c r="L127" s="827">
        <f>'Emission-Waste Transport Vehicl'!R40</f>
        <v>1.2207039197760001</v>
      </c>
      <c r="M127" s="827">
        <f t="shared" si="27"/>
        <v>26316.992005683594</v>
      </c>
      <c r="N127" s="830">
        <f t="shared" si="21"/>
        <v>15974.666902720959</v>
      </c>
      <c r="O127" s="830">
        <f t="shared" si="12"/>
        <v>123579.28744841013</v>
      </c>
      <c r="P127" s="830">
        <f t="shared" si="13"/>
        <v>434317.92379901867</v>
      </c>
      <c r="Q127" s="830">
        <f t="shared" si="14"/>
        <v>2555.7303188355868</v>
      </c>
      <c r="R127" s="2773"/>
    </row>
    <row r="128" spans="1:18" x14ac:dyDescent="0.25">
      <c r="A128" s="2802"/>
      <c r="B128" s="706">
        <v>2027</v>
      </c>
      <c r="C128" s="1058">
        <f t="shared" si="22"/>
        <v>375957.02865262277</v>
      </c>
      <c r="D128" s="1058">
        <f t="shared" si="23"/>
        <v>562.80992313266893</v>
      </c>
      <c r="E128" s="1058">
        <f t="shared" si="24"/>
        <v>7825.3091712366286</v>
      </c>
      <c r="F128" s="1059">
        <f t="shared" si="25"/>
        <v>35412.000363507519</v>
      </c>
      <c r="G128" s="1058">
        <f t="shared" si="26"/>
        <v>2093.6529140535281</v>
      </c>
      <c r="H128" s="827">
        <v>71</v>
      </c>
      <c r="I128" s="827">
        <f>'Emission-Waste Transport Vehicl'!N41</f>
        <v>27.826265705040004</v>
      </c>
      <c r="J128" s="827">
        <f>'Emission-Waste Transport Vehicl'!P41</f>
        <v>15.482070624240002</v>
      </c>
      <c r="K128" s="827">
        <f>'Emission-Waste Transport Vehicl'!Q41</f>
        <v>12.023811391680001</v>
      </c>
      <c r="L128" s="827">
        <f>'Emission-Waste Transport Vehicl'!R41</f>
        <v>1.1967273093600002</v>
      </c>
      <c r="M128" s="827">
        <f t="shared" si="27"/>
        <v>26692.949034336219</v>
      </c>
      <c r="N128" s="830">
        <f t="shared" si="21"/>
        <v>15660.898462522786</v>
      </c>
      <c r="O128" s="830">
        <f t="shared" si="12"/>
        <v>121151.98924559848</v>
      </c>
      <c r="P128" s="830">
        <f t="shared" si="13"/>
        <v>425787.21337291802</v>
      </c>
      <c r="Q128" s="830">
        <f t="shared" si="14"/>
        <v>2505.5316185690021</v>
      </c>
      <c r="R128" s="2773"/>
    </row>
    <row r="129" spans="1:18" x14ac:dyDescent="0.25">
      <c r="A129" s="2802"/>
      <c r="B129" s="706">
        <v>2028</v>
      </c>
      <c r="C129" s="1058">
        <f t="shared" si="22"/>
        <v>375957.02865262277</v>
      </c>
      <c r="D129" s="1058">
        <f t="shared" si="23"/>
        <v>562.80992313266893</v>
      </c>
      <c r="E129" s="1058">
        <f t="shared" si="24"/>
        <v>7825.3091712366286</v>
      </c>
      <c r="F129" s="1059">
        <f t="shared" si="25"/>
        <v>35412.000363507519</v>
      </c>
      <c r="G129" s="1058">
        <f t="shared" si="26"/>
        <v>2093.6529140535281</v>
      </c>
      <c r="H129" s="827">
        <v>72</v>
      </c>
      <c r="I129" s="827">
        <f>'Emission-Waste Transport Vehicl'!N42</f>
        <v>27.281803329792002</v>
      </c>
      <c r="J129" s="827">
        <f>'Emission-Waste Transport Vehicl'!P42</f>
        <v>15.179140829952001</v>
      </c>
      <c r="K129" s="827">
        <f>'Emission-Waste Transport Vehicl'!Q42</f>
        <v>11.788547595263999</v>
      </c>
      <c r="L129" s="827">
        <f>'Emission-Waste Transport Vehicl'!R42</f>
        <v>1.173311555328</v>
      </c>
      <c r="M129" s="827">
        <f t="shared" si="27"/>
        <v>27068.906062988841</v>
      </c>
      <c r="N129" s="830">
        <f t="shared" si="21"/>
        <v>15354.469634960828</v>
      </c>
      <c r="O129" s="830">
        <f t="shared" si="12"/>
        <v>118781.46994811576</v>
      </c>
      <c r="P129" s="830">
        <f t="shared" si="13"/>
        <v>417456.05172871443</v>
      </c>
      <c r="Q129" s="830">
        <f t="shared" si="14"/>
        <v>2456.5071569051447</v>
      </c>
      <c r="R129" s="2773"/>
    </row>
    <row r="130" spans="1:18" x14ac:dyDescent="0.25">
      <c r="A130" s="2802"/>
      <c r="B130" s="706">
        <v>2029</v>
      </c>
      <c r="C130" s="1058">
        <f t="shared" si="22"/>
        <v>375957.02865262277</v>
      </c>
      <c r="D130" s="1058">
        <f t="shared" si="23"/>
        <v>562.80992313266893</v>
      </c>
      <c r="E130" s="1058">
        <f t="shared" si="24"/>
        <v>7825.3091712366286</v>
      </c>
      <c r="F130" s="1059">
        <f t="shared" si="25"/>
        <v>35412.000363507519</v>
      </c>
      <c r="G130" s="1058">
        <f t="shared" si="26"/>
        <v>2093.6529140535281</v>
      </c>
      <c r="H130" s="827">
        <v>73</v>
      </c>
      <c r="I130" s="827">
        <f>'Emission-Waste Transport Vehicl'!N43</f>
        <v>26.743861462032005</v>
      </c>
      <c r="J130" s="827">
        <f>'Emission-Waste Transport Vehicl'!P43</f>
        <v>14.879838937392002</v>
      </c>
      <c r="K130" s="827">
        <f>'Emission-Waste Transport Vehicl'!Q43</f>
        <v>11.556101329344001</v>
      </c>
      <c r="L130" s="827">
        <f>'Emission-Waste Transport Vehicl'!R43</f>
        <v>1.1501762294880002</v>
      </c>
      <c r="M130" s="827">
        <f t="shared" si="27"/>
        <v>27444.863091641466</v>
      </c>
      <c r="N130" s="830">
        <f t="shared" si="21"/>
        <v>15051.710613716979</v>
      </c>
      <c r="O130" s="830">
        <f t="shared" si="12"/>
        <v>116439.34010329752</v>
      </c>
      <c r="P130" s="830">
        <f t="shared" si="13"/>
        <v>409224.66447545949</v>
      </c>
      <c r="Q130" s="830">
        <f t="shared" si="14"/>
        <v>2408.0698145426513</v>
      </c>
      <c r="R130" s="2773"/>
    </row>
    <row r="131" spans="1:18" x14ac:dyDescent="0.25">
      <c r="A131" s="2802"/>
      <c r="B131" s="706">
        <v>2030</v>
      </c>
      <c r="C131" s="1058">
        <f t="shared" si="22"/>
        <v>375957.02865262277</v>
      </c>
      <c r="D131" s="1058">
        <f t="shared" si="23"/>
        <v>562.80992313266893</v>
      </c>
      <c r="E131" s="1058">
        <f t="shared" si="24"/>
        <v>7825.3091712366286</v>
      </c>
      <c r="F131" s="1059">
        <f t="shared" si="25"/>
        <v>35412.000363507519</v>
      </c>
      <c r="G131" s="1058">
        <f t="shared" si="26"/>
        <v>2093.6529140535281</v>
      </c>
      <c r="H131" s="827">
        <v>75</v>
      </c>
      <c r="I131" s="827">
        <f>'Emission-Waste Transport Vehicl'!N44</f>
        <v>26.222220862992003</v>
      </c>
      <c r="J131" s="827">
        <f>'Emission-Waste Transport Vehicl'!P44</f>
        <v>14.589606799152003</v>
      </c>
      <c r="K131" s="827">
        <f>'Emission-Waste Transport Vehicl'!Q44</f>
        <v>11.330698889664001</v>
      </c>
      <c r="L131" s="827">
        <f>'Emission-Waste Transport Vehicl'!R44</f>
        <v>1.1277419741280001</v>
      </c>
      <c r="M131" s="827">
        <f t="shared" si="27"/>
        <v>28196.777148946709</v>
      </c>
      <c r="N131" s="830">
        <f t="shared" si="21"/>
        <v>14758.126108268398</v>
      </c>
      <c r="O131" s="830">
        <f t="shared" si="12"/>
        <v>114168.18389014044</v>
      </c>
      <c r="P131" s="830">
        <f t="shared" si="13"/>
        <v>401242.71319957584</v>
      </c>
      <c r="Q131" s="830">
        <f t="shared" si="14"/>
        <v>2361.100270433566</v>
      </c>
      <c r="R131" s="2773"/>
    </row>
    <row r="132" spans="1:18" x14ac:dyDescent="0.25">
      <c r="A132" s="2802"/>
      <c r="B132" s="706">
        <v>2031</v>
      </c>
      <c r="C132" s="1058">
        <f t="shared" si="22"/>
        <v>375957.02865262277</v>
      </c>
      <c r="D132" s="1058">
        <f t="shared" si="23"/>
        <v>562.80992313266893</v>
      </c>
      <c r="E132" s="1058">
        <f t="shared" si="24"/>
        <v>7825.3091712366286</v>
      </c>
      <c r="F132" s="1059">
        <f t="shared" si="25"/>
        <v>35412.000363507519</v>
      </c>
      <c r="G132" s="1058">
        <f t="shared" si="26"/>
        <v>2093.6529140535281</v>
      </c>
      <c r="H132" s="827">
        <v>76</v>
      </c>
      <c r="I132" s="827">
        <f>'Emission-Waste Transport Vehicl'!N45</f>
        <v>25.70710077144</v>
      </c>
      <c r="J132" s="827">
        <f>'Emission-Waste Transport Vehicl'!P45</f>
        <v>14.303002562640001</v>
      </c>
      <c r="K132" s="827">
        <f>'Emission-Waste Transport Vehicl'!Q45</f>
        <v>11.108113980480001</v>
      </c>
      <c r="L132" s="827">
        <f>'Emission-Waste Transport Vehicl'!R45</f>
        <v>1.1055881469600002</v>
      </c>
      <c r="M132" s="827">
        <f t="shared" si="27"/>
        <v>28572.734177599334</v>
      </c>
      <c r="N132" s="830">
        <f t="shared" si="21"/>
        <v>14468.211409137921</v>
      </c>
      <c r="O132" s="830">
        <f t="shared" si="12"/>
        <v>111925.4171296478</v>
      </c>
      <c r="P132" s="830">
        <f t="shared" si="13"/>
        <v>393360.53631464072</v>
      </c>
      <c r="Q132" s="830">
        <f t="shared" si="14"/>
        <v>2314.7178456258448</v>
      </c>
      <c r="R132" s="2773"/>
    </row>
    <row r="133" spans="1:18" x14ac:dyDescent="0.25">
      <c r="A133" s="2802"/>
      <c r="B133" s="706">
        <v>2032</v>
      </c>
      <c r="C133" s="1058">
        <f t="shared" si="22"/>
        <v>375957.02865262277</v>
      </c>
      <c r="D133" s="1058">
        <f t="shared" si="23"/>
        <v>562.80992313266893</v>
      </c>
      <c r="E133" s="1058">
        <f t="shared" si="24"/>
        <v>7825.3091712366286</v>
      </c>
      <c r="F133" s="1059">
        <f t="shared" si="25"/>
        <v>35412.000363507519</v>
      </c>
      <c r="G133" s="1058">
        <f t="shared" si="26"/>
        <v>2093.6529140535281</v>
      </c>
      <c r="H133" s="827">
        <v>77</v>
      </c>
      <c r="I133" s="827">
        <f>'Emission-Waste Transport Vehicl'!N46</f>
        <v>25.201761441120002</v>
      </c>
      <c r="J133" s="827">
        <f>'Emission-Waste Transport Vehicl'!P46</f>
        <v>14.021840178720002</v>
      </c>
      <c r="K133" s="827">
        <f>'Emission-Waste Transport Vehicl'!Q46</f>
        <v>10.889755367040001</v>
      </c>
      <c r="L133" s="827">
        <f>'Emission-Waste Transport Vehicl'!R46</f>
        <v>1.0838549620800002</v>
      </c>
      <c r="M133" s="827">
        <f t="shared" si="27"/>
        <v>28948.691206251955</v>
      </c>
      <c r="N133" s="830">
        <f t="shared" si="21"/>
        <v>14183.801419484607</v>
      </c>
      <c r="O133" s="830">
        <f t="shared" ref="O133:O196" si="28">E133*J133</f>
        <v>109725.23454815187</v>
      </c>
      <c r="P133" s="830">
        <f t="shared" ref="P133:P196" si="29">F133*K133</f>
        <v>385628.02101612848</v>
      </c>
      <c r="Q133" s="830">
        <f t="shared" ref="Q133:Q196" si="30">G133*L133</f>
        <v>2269.2160997701685</v>
      </c>
      <c r="R133" s="2773"/>
    </row>
    <row r="134" spans="1:18" x14ac:dyDescent="0.25">
      <c r="A134" s="2802"/>
      <c r="B134" s="706">
        <v>2033</v>
      </c>
      <c r="C134" s="1058">
        <f t="shared" si="22"/>
        <v>375957.02865262277</v>
      </c>
      <c r="D134" s="1058">
        <f t="shared" si="23"/>
        <v>562.80992313266893</v>
      </c>
      <c r="E134" s="1058">
        <f t="shared" si="24"/>
        <v>7825.3091712366286</v>
      </c>
      <c r="F134" s="1059">
        <f t="shared" si="25"/>
        <v>35412.000363507519</v>
      </c>
      <c r="G134" s="1058">
        <f t="shared" si="26"/>
        <v>2093.6529140535281</v>
      </c>
      <c r="H134" s="827">
        <v>78</v>
      </c>
      <c r="I134" s="827">
        <f>'Emission-Waste Transport Vehicl'!N47</f>
        <v>24.709463125776001</v>
      </c>
      <c r="J134" s="827">
        <f>'Emission-Waste Transport Vehicl'!P47</f>
        <v>13.747933598256003</v>
      </c>
      <c r="K134" s="827">
        <f>'Emission-Waste Transport Vehicl'!Q47</f>
        <v>10.677031814592</v>
      </c>
      <c r="L134" s="827">
        <f>'Emission-Waste Transport Vehicl'!R47</f>
        <v>1.0626826335840001</v>
      </c>
      <c r="M134" s="827">
        <f t="shared" si="27"/>
        <v>29324.648234904576</v>
      </c>
      <c r="N134" s="830">
        <f t="shared" si="21"/>
        <v>13906.731042467509</v>
      </c>
      <c r="O134" s="830">
        <f t="shared" si="28"/>
        <v>107581.83087198489</v>
      </c>
      <c r="P134" s="830">
        <f t="shared" si="29"/>
        <v>378095.0544995133</v>
      </c>
      <c r="Q134" s="830">
        <f t="shared" si="30"/>
        <v>2224.8885925172194</v>
      </c>
      <c r="R134" s="2773"/>
    </row>
    <row r="135" spans="1:18" x14ac:dyDescent="0.25">
      <c r="A135" s="2802"/>
      <c r="B135" s="706">
        <v>2034</v>
      </c>
      <c r="C135" s="1058">
        <f t="shared" si="22"/>
        <v>375957.02865262277</v>
      </c>
      <c r="D135" s="1058">
        <f t="shared" si="23"/>
        <v>562.80992313266893</v>
      </c>
      <c r="E135" s="1058">
        <f t="shared" si="24"/>
        <v>7825.3091712366286</v>
      </c>
      <c r="F135" s="1059">
        <f t="shared" si="25"/>
        <v>35412.000363507519</v>
      </c>
      <c r="G135" s="1058">
        <f t="shared" si="26"/>
        <v>2093.6529140535281</v>
      </c>
      <c r="H135" s="827">
        <v>79</v>
      </c>
      <c r="I135" s="827">
        <f>'Emission-Waste Transport Vehicl'!N48</f>
        <v>24.223685317920005</v>
      </c>
      <c r="J135" s="827">
        <f>'Emission-Waste Transport Vehicl'!P48</f>
        <v>13.477654919520001</v>
      </c>
      <c r="K135" s="827">
        <f>'Emission-Waste Transport Vehicl'!Q48</f>
        <v>10.467125792640001</v>
      </c>
      <c r="L135" s="827">
        <f>'Emission-Waste Transport Vehicl'!R48</f>
        <v>1.04179073328</v>
      </c>
      <c r="M135" s="827">
        <f t="shared" si="27"/>
        <v>29700.605263557201</v>
      </c>
      <c r="N135" s="830">
        <f t="shared" si="21"/>
        <v>13633.330471768519</v>
      </c>
      <c r="O135" s="830">
        <f t="shared" si="28"/>
        <v>105466.81664848233</v>
      </c>
      <c r="P135" s="830">
        <f t="shared" si="29"/>
        <v>370661.86237384664</v>
      </c>
      <c r="Q135" s="830">
        <f t="shared" si="30"/>
        <v>2181.1482045656339</v>
      </c>
      <c r="R135" s="2773"/>
    </row>
    <row r="136" spans="1:18" x14ac:dyDescent="0.25">
      <c r="A136" s="2802"/>
      <c r="B136" s="706">
        <v>2035</v>
      </c>
      <c r="C136" s="1058">
        <f t="shared" si="22"/>
        <v>375957.02865262277</v>
      </c>
      <c r="D136" s="1058">
        <f t="shared" si="23"/>
        <v>562.80992313266893</v>
      </c>
      <c r="E136" s="1058">
        <f t="shared" si="24"/>
        <v>7825.3091712366286</v>
      </c>
      <c r="F136" s="1059">
        <f t="shared" si="25"/>
        <v>35412.000363507519</v>
      </c>
      <c r="G136" s="1058">
        <f t="shared" si="26"/>
        <v>2093.6529140535281</v>
      </c>
      <c r="H136" s="827">
        <v>80</v>
      </c>
      <c r="I136" s="827">
        <f>'Emission-Waste Transport Vehicl'!N49</f>
        <v>23.747688271296006</v>
      </c>
      <c r="J136" s="827">
        <f>'Emission-Waste Transport Vehicl'!P49</f>
        <v>13.212818093376002</v>
      </c>
      <c r="K136" s="827">
        <f>'Emission-Waste Transport Vehicl'!Q49</f>
        <v>10.261446066432002</v>
      </c>
      <c r="L136" s="827">
        <f>'Emission-Waste Transport Vehicl'!R49</f>
        <v>1.0213194752640002</v>
      </c>
      <c r="M136" s="827">
        <f t="shared" si="27"/>
        <v>30076.562292209823</v>
      </c>
      <c r="N136" s="830">
        <f t="shared" si="21"/>
        <v>13365.434610546688</v>
      </c>
      <c r="O136" s="830">
        <f t="shared" si="28"/>
        <v>103394.3866039765</v>
      </c>
      <c r="P136" s="830">
        <f t="shared" si="29"/>
        <v>363378.33183460287</v>
      </c>
      <c r="Q136" s="830">
        <f t="shared" si="30"/>
        <v>2138.2884955660943</v>
      </c>
      <c r="R136" s="2773"/>
    </row>
    <row r="137" spans="1:18" x14ac:dyDescent="0.25">
      <c r="A137" s="2802"/>
      <c r="B137" s="706">
        <v>2036</v>
      </c>
      <c r="C137" s="1058">
        <f t="shared" si="22"/>
        <v>375957.02865262277</v>
      </c>
      <c r="D137" s="1058">
        <f t="shared" si="23"/>
        <v>562.80992313266893</v>
      </c>
      <c r="E137" s="1058">
        <f t="shared" si="24"/>
        <v>7825.3091712366286</v>
      </c>
      <c r="F137" s="1059">
        <f t="shared" si="25"/>
        <v>35412.000363507519</v>
      </c>
      <c r="G137" s="1058">
        <f t="shared" si="26"/>
        <v>2093.6529140535281</v>
      </c>
      <c r="H137" s="827">
        <v>81</v>
      </c>
      <c r="I137" s="827">
        <f>'Emission-Waste Transport Vehicl'!N50</f>
        <v>23.284732239648001</v>
      </c>
      <c r="J137" s="827">
        <f>'Emission-Waste Transport Vehicl'!P50</f>
        <v>12.955237070688</v>
      </c>
      <c r="K137" s="827">
        <f>'Emission-Waste Transport Vehicl'!Q50</f>
        <v>10.061401401215999</v>
      </c>
      <c r="L137" s="827">
        <f>'Emission-Waste Transport Vehicl'!R50</f>
        <v>1.001409073632</v>
      </c>
      <c r="M137" s="827">
        <f t="shared" si="27"/>
        <v>30452.519320862448</v>
      </c>
      <c r="N137" s="830">
        <f t="shared" si="21"/>
        <v>13104.878361961069</v>
      </c>
      <c r="O137" s="830">
        <f t="shared" si="28"/>
        <v>101378.73546479955</v>
      </c>
      <c r="P137" s="830">
        <f t="shared" si="29"/>
        <v>356294.35007725604</v>
      </c>
      <c r="Q137" s="830">
        <f t="shared" si="30"/>
        <v>2096.603025169281</v>
      </c>
      <c r="R137" s="2773"/>
    </row>
    <row r="138" spans="1:18" x14ac:dyDescent="0.25">
      <c r="A138" s="2802"/>
      <c r="B138" s="706">
        <v>2037</v>
      </c>
      <c r="C138" s="1058">
        <f t="shared" si="22"/>
        <v>375957.02865262277</v>
      </c>
      <c r="D138" s="1058">
        <f t="shared" si="23"/>
        <v>562.80992313266893</v>
      </c>
      <c r="E138" s="1058">
        <f t="shared" si="24"/>
        <v>7825.3091712366286</v>
      </c>
      <c r="F138" s="1059">
        <f t="shared" si="25"/>
        <v>35412.000363507519</v>
      </c>
      <c r="G138" s="1058">
        <f t="shared" si="26"/>
        <v>2093.6529140535281</v>
      </c>
      <c r="H138" s="827">
        <v>83</v>
      </c>
      <c r="I138" s="827">
        <f>'Emission-Waste Transport Vehicl'!N51</f>
        <v>22.828296715488005</v>
      </c>
      <c r="J138" s="827">
        <f>'Emission-Waste Transport Vehicl'!P51</f>
        <v>12.701283949728003</v>
      </c>
      <c r="K138" s="827">
        <f>'Emission-Waste Transport Vehicl'!Q51</f>
        <v>9.8641742664960006</v>
      </c>
      <c r="L138" s="827">
        <f>'Emission-Waste Transport Vehicl'!R51</f>
        <v>0.9817791001920001</v>
      </c>
      <c r="M138" s="827">
        <f t="shared" si="27"/>
        <v>31204.433378167691</v>
      </c>
      <c r="N138" s="830">
        <f t="shared" si="21"/>
        <v>12847.991919693563</v>
      </c>
      <c r="O138" s="830">
        <f t="shared" si="28"/>
        <v>99391.473778287138</v>
      </c>
      <c r="P138" s="830">
        <f t="shared" si="29"/>
        <v>349310.14271085791</v>
      </c>
      <c r="Q138" s="830">
        <f t="shared" si="30"/>
        <v>2055.5046740738317</v>
      </c>
      <c r="R138" s="2773"/>
    </row>
    <row r="139" spans="1:18" x14ac:dyDescent="0.25">
      <c r="A139" s="2802"/>
      <c r="B139" s="706">
        <v>2038</v>
      </c>
      <c r="C139" s="1058">
        <f t="shared" si="22"/>
        <v>375957.02865262277</v>
      </c>
      <c r="D139" s="1058">
        <f t="shared" si="23"/>
        <v>562.80992313266893</v>
      </c>
      <c r="E139" s="1058">
        <f t="shared" si="24"/>
        <v>7825.3091712366286</v>
      </c>
      <c r="F139" s="1059">
        <f t="shared" si="25"/>
        <v>35412.000363507519</v>
      </c>
      <c r="G139" s="1058">
        <f t="shared" si="26"/>
        <v>2093.6529140535281</v>
      </c>
      <c r="H139" s="827">
        <v>84</v>
      </c>
      <c r="I139" s="827">
        <f>'Emission-Waste Transport Vehicl'!N52</f>
        <v>22.378381698816003</v>
      </c>
      <c r="J139" s="827">
        <f>'Emission-Waste Transport Vehicl'!P52</f>
        <v>12.450958730496001</v>
      </c>
      <c r="K139" s="827">
        <f>'Emission-Waste Transport Vehicl'!Q52</f>
        <v>9.6697646622720015</v>
      </c>
      <c r="L139" s="827">
        <f>'Emission-Waste Transport Vehicl'!R52</f>
        <v>0.96242955494400007</v>
      </c>
      <c r="M139" s="827">
        <f t="shared" si="27"/>
        <v>31580.390406820316</v>
      </c>
      <c r="N139" s="830">
        <f t="shared" si="21"/>
        <v>12594.77528374416</v>
      </c>
      <c r="O139" s="830">
        <f t="shared" si="28"/>
        <v>97432.601544439123</v>
      </c>
      <c r="P139" s="830">
        <f t="shared" si="29"/>
        <v>342425.70973540825</v>
      </c>
      <c r="Q139" s="830">
        <f t="shared" si="30"/>
        <v>2014.9934422797458</v>
      </c>
      <c r="R139" s="2773"/>
    </row>
    <row r="140" spans="1:18" x14ac:dyDescent="0.25">
      <c r="A140" s="2802"/>
      <c r="B140" s="706">
        <v>2039</v>
      </c>
      <c r="C140" s="1058">
        <f t="shared" si="22"/>
        <v>375957.02865262277</v>
      </c>
      <c r="D140" s="1058">
        <f t="shared" si="23"/>
        <v>562.80992313266893</v>
      </c>
      <c r="E140" s="1058">
        <f t="shared" si="24"/>
        <v>7825.3091712366286</v>
      </c>
      <c r="F140" s="1059">
        <f t="shared" si="25"/>
        <v>35412.000363507519</v>
      </c>
      <c r="G140" s="1058">
        <f t="shared" si="26"/>
        <v>2093.6529140535281</v>
      </c>
      <c r="H140" s="827">
        <v>85</v>
      </c>
      <c r="I140" s="827">
        <f>'Emission-Waste Transport Vehicl'!N53</f>
        <v>21.941507697120006</v>
      </c>
      <c r="J140" s="827">
        <f>'Emission-Waste Transport Vehicl'!P53</f>
        <v>12.207889314720003</v>
      </c>
      <c r="K140" s="827">
        <f>'Emission-Waste Transport Vehicl'!Q53</f>
        <v>9.4809901190400012</v>
      </c>
      <c r="L140" s="827">
        <f>'Emission-Waste Transport Vehicl'!R53</f>
        <v>0.9436408660800002</v>
      </c>
      <c r="M140" s="827">
        <f t="shared" si="27"/>
        <v>31956.347435472937</v>
      </c>
      <c r="N140" s="830">
        <f t="shared" si="21"/>
        <v>12348.898260430975</v>
      </c>
      <c r="O140" s="830">
        <f t="shared" si="28"/>
        <v>95530.508215920083</v>
      </c>
      <c r="P140" s="830">
        <f t="shared" si="29"/>
        <v>335740.82554185571</v>
      </c>
      <c r="Q140" s="830">
        <f t="shared" si="30"/>
        <v>1975.6564490883875</v>
      </c>
      <c r="R140" s="2773"/>
    </row>
    <row r="141" spans="1:18" x14ac:dyDescent="0.25">
      <c r="A141" s="2802"/>
      <c r="B141" s="706">
        <v>2040</v>
      </c>
      <c r="C141" s="1058">
        <f t="shared" si="22"/>
        <v>375957.02865262277</v>
      </c>
      <c r="D141" s="1058">
        <f t="shared" si="23"/>
        <v>562.80992313266893</v>
      </c>
      <c r="E141" s="1058">
        <f t="shared" si="24"/>
        <v>7825.3091712366286</v>
      </c>
      <c r="F141" s="1059">
        <f t="shared" si="25"/>
        <v>35412.000363507519</v>
      </c>
      <c r="G141" s="1058">
        <f t="shared" si="26"/>
        <v>2093.6529140535281</v>
      </c>
      <c r="H141" s="827">
        <v>86</v>
      </c>
      <c r="I141" s="827">
        <f>'Emission-Waste Transport Vehicl'!N54</f>
        <v>21.511154202912003</v>
      </c>
      <c r="J141" s="827">
        <f>'Emission-Waste Transport Vehicl'!P54</f>
        <v>11.968447800672001</v>
      </c>
      <c r="K141" s="827">
        <f>'Emission-Waste Transport Vehicl'!Q54</f>
        <v>9.2950331063040004</v>
      </c>
      <c r="L141" s="827">
        <f>'Emission-Waste Transport Vehicl'!R54</f>
        <v>0.92513260540800013</v>
      </c>
      <c r="M141" s="827">
        <f t="shared" si="27"/>
        <v>32332.304464125562</v>
      </c>
      <c r="N141" s="830">
        <f t="shared" si="21"/>
        <v>12106.691043435892</v>
      </c>
      <c r="O141" s="830">
        <f t="shared" si="28"/>
        <v>93656.804340065471</v>
      </c>
      <c r="P141" s="830">
        <f t="shared" si="29"/>
        <v>329155.7157392517</v>
      </c>
      <c r="Q141" s="830">
        <f t="shared" si="30"/>
        <v>1936.9065751983921</v>
      </c>
      <c r="R141" s="2773"/>
    </row>
    <row r="142" spans="1:18" x14ac:dyDescent="0.25">
      <c r="A142" s="2802"/>
      <c r="B142" s="706">
        <v>2041</v>
      </c>
      <c r="C142" s="1058">
        <f t="shared" si="22"/>
        <v>375957.02865262277</v>
      </c>
      <c r="D142" s="1058">
        <f t="shared" si="23"/>
        <v>562.80992313266893</v>
      </c>
      <c r="E142" s="1058">
        <f t="shared" si="24"/>
        <v>7825.3091712366286</v>
      </c>
      <c r="F142" s="1059">
        <f t="shared" si="25"/>
        <v>35412.000363507519</v>
      </c>
      <c r="G142" s="1058">
        <f t="shared" si="26"/>
        <v>2093.6529140535281</v>
      </c>
      <c r="H142" s="827">
        <v>87</v>
      </c>
      <c r="I142" s="827">
        <f>'Emission-Waste Transport Vehicl'!N55</f>
        <v>21.087321216192002</v>
      </c>
      <c r="J142" s="827">
        <f>'Emission-Waste Transport Vehicl'!P55</f>
        <v>11.732634188352002</v>
      </c>
      <c r="K142" s="827">
        <f>'Emission-Waste Transport Vehicl'!Q55</f>
        <v>9.1118936240640007</v>
      </c>
      <c r="L142" s="827">
        <f>'Emission-Waste Transport Vehicl'!R55</f>
        <v>0.9069047729280002</v>
      </c>
      <c r="M142" s="827">
        <f t="shared" si="27"/>
        <v>32708.261492778183</v>
      </c>
      <c r="N142" s="830">
        <f t="shared" si="21"/>
        <v>11868.15363275892</v>
      </c>
      <c r="O142" s="830">
        <f t="shared" si="28"/>
        <v>91811.489916875333</v>
      </c>
      <c r="P142" s="830">
        <f t="shared" si="29"/>
        <v>322670.38032759621</v>
      </c>
      <c r="Q142" s="830">
        <f t="shared" si="30"/>
        <v>1898.7438206097609</v>
      </c>
      <c r="R142" s="2773"/>
    </row>
    <row r="143" spans="1:18" x14ac:dyDescent="0.25">
      <c r="A143" s="2802"/>
      <c r="B143" s="706">
        <v>2042</v>
      </c>
      <c r="C143" s="1058">
        <f t="shared" si="22"/>
        <v>375957.02865262277</v>
      </c>
      <c r="D143" s="1058">
        <f t="shared" si="23"/>
        <v>562.80992313266893</v>
      </c>
      <c r="E143" s="1058">
        <f t="shared" si="24"/>
        <v>7825.3091712366286</v>
      </c>
      <c r="F143" s="1059">
        <f t="shared" si="25"/>
        <v>35412.000363507519</v>
      </c>
      <c r="G143" s="1058">
        <f t="shared" si="26"/>
        <v>2093.6529140535281</v>
      </c>
      <c r="H143" s="827">
        <v>88</v>
      </c>
      <c r="I143" s="827">
        <f>'Emission-Waste Transport Vehicl'!N56</f>
        <v>20.676529244448002</v>
      </c>
      <c r="J143" s="827">
        <f>'Emission-Waste Transport Vehicl'!P56</f>
        <v>11.504076379488001</v>
      </c>
      <c r="K143" s="827">
        <f>'Emission-Waste Transport Vehicl'!Q56</f>
        <v>8.9343892028159999</v>
      </c>
      <c r="L143" s="827">
        <f>'Emission-Waste Transport Vehicl'!R56</f>
        <v>0.8892377968320001</v>
      </c>
      <c r="M143" s="827">
        <f t="shared" si="27"/>
        <v>33084.218521430805</v>
      </c>
      <c r="N143" s="830">
        <f t="shared" si="21"/>
        <v>11636.955834718161</v>
      </c>
      <c r="O143" s="830">
        <f t="shared" si="28"/>
        <v>90022.954399014125</v>
      </c>
      <c r="P143" s="830">
        <f t="shared" si="29"/>
        <v>316384.59369783784</v>
      </c>
      <c r="Q143" s="830">
        <f t="shared" si="30"/>
        <v>1861.7553046238561</v>
      </c>
      <c r="R143" s="2773"/>
    </row>
    <row r="144" spans="1:18" x14ac:dyDescent="0.25">
      <c r="A144" s="2802"/>
      <c r="B144" s="706">
        <v>2043</v>
      </c>
      <c r="C144" s="1058">
        <f t="shared" si="22"/>
        <v>375957.02865262277</v>
      </c>
      <c r="D144" s="1058">
        <f t="shared" si="23"/>
        <v>562.80992313266893</v>
      </c>
      <c r="E144" s="1058">
        <f t="shared" si="24"/>
        <v>7825.3091712366286</v>
      </c>
      <c r="F144" s="1059">
        <f t="shared" si="25"/>
        <v>35412.000363507519</v>
      </c>
      <c r="G144" s="1058">
        <f t="shared" si="26"/>
        <v>2093.6529140535281</v>
      </c>
      <c r="H144" s="827">
        <v>89</v>
      </c>
      <c r="I144" s="827">
        <f>'Emission-Waste Transport Vehicl'!N57</f>
        <v>20.268997526448004</v>
      </c>
      <c r="J144" s="827">
        <f>'Emission-Waste Transport Vehicl'!P57</f>
        <v>11.277332521488001</v>
      </c>
      <c r="K144" s="827">
        <f>'Emission-Waste Transport Vehicl'!Q57</f>
        <v>8.7582935468160006</v>
      </c>
      <c r="L144" s="827">
        <f>'Emission-Waste Transport Vehicl'!R57</f>
        <v>0.87171103483200019</v>
      </c>
      <c r="M144" s="827">
        <f t="shared" si="27"/>
        <v>33460.175550083426</v>
      </c>
      <c r="N144" s="830">
        <f t="shared" si="21"/>
        <v>11407.592939836457</v>
      </c>
      <c r="O144" s="830">
        <f t="shared" si="28"/>
        <v>88248.613607485138</v>
      </c>
      <c r="P144" s="830">
        <f t="shared" si="29"/>
        <v>310148.69426355377</v>
      </c>
      <c r="Q144" s="830">
        <f t="shared" si="30"/>
        <v>1825.0603482886338</v>
      </c>
      <c r="R144" s="2773"/>
    </row>
    <row r="145" spans="1:18" x14ac:dyDescent="0.25">
      <c r="A145" s="2802"/>
      <c r="B145" s="706">
        <v>2044</v>
      </c>
      <c r="C145" s="1058">
        <f t="shared" si="22"/>
        <v>375957.02865262277</v>
      </c>
      <c r="D145" s="1058">
        <f t="shared" si="23"/>
        <v>562.80992313266893</v>
      </c>
      <c r="E145" s="1058">
        <f t="shared" si="24"/>
        <v>7825.3091712366286</v>
      </c>
      <c r="F145" s="1059">
        <f t="shared" si="25"/>
        <v>35412.000363507519</v>
      </c>
      <c r="G145" s="1058">
        <f t="shared" si="26"/>
        <v>2093.6529140535281</v>
      </c>
      <c r="H145" s="827">
        <v>90</v>
      </c>
      <c r="I145" s="827">
        <f>'Emission-Waste Transport Vehicl'!N58</f>
        <v>19.871246569680004</v>
      </c>
      <c r="J145" s="827">
        <f>'Emission-Waste Transport Vehicl'!P58</f>
        <v>11.056030516080002</v>
      </c>
      <c r="K145" s="827">
        <f>'Emission-Waste Transport Vehicl'!Q58</f>
        <v>8.5864241865600004</v>
      </c>
      <c r="L145" s="827">
        <f>'Emission-Waste Transport Vehicl'!R58</f>
        <v>0.85460491512000014</v>
      </c>
      <c r="M145" s="827">
        <f t="shared" si="27"/>
        <v>33836.132578736055</v>
      </c>
      <c r="N145" s="830">
        <f t="shared" si="21"/>
        <v>11183.734754431915</v>
      </c>
      <c r="O145" s="830">
        <f t="shared" si="28"/>
        <v>86516.856994952876</v>
      </c>
      <c r="P145" s="830">
        <f t="shared" si="29"/>
        <v>304062.45641569246</v>
      </c>
      <c r="Q145" s="830">
        <f t="shared" si="30"/>
        <v>1789.2460709054562</v>
      </c>
      <c r="R145" s="2773"/>
    </row>
    <row r="146" spans="1:18" x14ac:dyDescent="0.25">
      <c r="A146" s="2802"/>
      <c r="B146" s="706">
        <v>2045</v>
      </c>
      <c r="C146" s="1058">
        <f t="shared" si="22"/>
        <v>375957.02865262277</v>
      </c>
      <c r="D146" s="1058">
        <f t="shared" si="23"/>
        <v>562.80992313266893</v>
      </c>
      <c r="E146" s="1058">
        <f t="shared" si="24"/>
        <v>7825.3091712366286</v>
      </c>
      <c r="F146" s="1059">
        <f t="shared" si="25"/>
        <v>35412.000363507519</v>
      </c>
      <c r="G146" s="1058">
        <f t="shared" si="26"/>
        <v>2093.6529140535281</v>
      </c>
      <c r="H146" s="827">
        <v>92</v>
      </c>
      <c r="I146" s="827">
        <f>'Emission-Waste Transport Vehicl'!N59</f>
        <v>19.483276374144001</v>
      </c>
      <c r="J146" s="827">
        <f>'Emission-Waste Transport Vehicl'!P59</f>
        <v>10.840170363264003</v>
      </c>
      <c r="K146" s="827">
        <f>'Emission-Waste Transport Vehicl'!Q59</f>
        <v>8.4187811220480011</v>
      </c>
      <c r="L146" s="827">
        <f>'Emission-Waste Transport Vehicl'!R59</f>
        <v>0.83791943769600008</v>
      </c>
      <c r="M146" s="827">
        <f t="shared" si="27"/>
        <v>34588.046636041297</v>
      </c>
      <c r="N146" s="830">
        <f t="shared" si="21"/>
        <v>10965.38127850453</v>
      </c>
      <c r="O146" s="830">
        <f t="shared" si="28"/>
        <v>84827.684561417293</v>
      </c>
      <c r="P146" s="830">
        <f t="shared" si="29"/>
        <v>298125.88015425403</v>
      </c>
      <c r="Q146" s="830">
        <f t="shared" si="30"/>
        <v>1754.3124724743243</v>
      </c>
      <c r="R146" s="2773"/>
    </row>
    <row r="147" spans="1:18" x14ac:dyDescent="0.25">
      <c r="A147" s="2802"/>
      <c r="B147" s="706">
        <v>2046</v>
      </c>
      <c r="C147" s="1058">
        <f t="shared" si="22"/>
        <v>375957.02865262277</v>
      </c>
      <c r="D147" s="1058">
        <f t="shared" si="23"/>
        <v>562.80992313266893</v>
      </c>
      <c r="E147" s="1058">
        <f t="shared" si="24"/>
        <v>7825.3091712366286</v>
      </c>
      <c r="F147" s="1059">
        <f t="shared" si="25"/>
        <v>35412.000363507519</v>
      </c>
      <c r="G147" s="1058">
        <f t="shared" si="26"/>
        <v>2093.6529140535281</v>
      </c>
      <c r="H147" s="827">
        <v>93</v>
      </c>
      <c r="I147" s="827">
        <f>'Emission-Waste Transport Vehicl'!N60</f>
        <v>19.101826686096</v>
      </c>
      <c r="J147" s="827">
        <f>'Emission-Waste Transport Vehicl'!P60</f>
        <v>10.627938112176002</v>
      </c>
      <c r="K147" s="827">
        <f>'Emission-Waste Transport Vehicl'!Q60</f>
        <v>8.2539555880319995</v>
      </c>
      <c r="L147" s="827">
        <f>'Emission-Waste Transport Vehicl'!R60</f>
        <v>0.82151438846400004</v>
      </c>
      <c r="M147" s="827">
        <f t="shared" si="27"/>
        <v>34964.003664693919</v>
      </c>
      <c r="N147" s="830">
        <f t="shared" si="21"/>
        <v>10750.697608895254</v>
      </c>
      <c r="O147" s="830">
        <f t="shared" si="28"/>
        <v>83166.901580546168</v>
      </c>
      <c r="P147" s="830">
        <f t="shared" si="29"/>
        <v>292289.07828376407</v>
      </c>
      <c r="Q147" s="830">
        <f t="shared" si="30"/>
        <v>1719.9659933445557</v>
      </c>
      <c r="R147" s="2773"/>
    </row>
    <row r="148" spans="1:18" x14ac:dyDescent="0.25">
      <c r="A148" s="2802"/>
      <c r="B148" s="706">
        <v>2047</v>
      </c>
      <c r="C148" s="1058">
        <f t="shared" si="22"/>
        <v>375957.02865262277</v>
      </c>
      <c r="D148" s="1058">
        <f t="shared" si="23"/>
        <v>562.80992313266893</v>
      </c>
      <c r="E148" s="1058">
        <f t="shared" si="24"/>
        <v>7825.3091712366286</v>
      </c>
      <c r="F148" s="1059">
        <f t="shared" si="25"/>
        <v>35412.000363507519</v>
      </c>
      <c r="G148" s="1058">
        <f t="shared" si="26"/>
        <v>2093.6529140535281</v>
      </c>
      <c r="H148" s="827">
        <v>94</v>
      </c>
      <c r="I148" s="827">
        <f>'Emission-Waste Transport Vehicl'!N61</f>
        <v>18.726897505536005</v>
      </c>
      <c r="J148" s="827">
        <f>'Emission-Waste Transport Vehicl'!P61</f>
        <v>10.419333762816001</v>
      </c>
      <c r="K148" s="827">
        <f>'Emission-Waste Transport Vehicl'!Q61</f>
        <v>8.0919475845120008</v>
      </c>
      <c r="L148" s="827">
        <f>'Emission-Waste Transport Vehicl'!R61</f>
        <v>0.80538976742400015</v>
      </c>
      <c r="M148" s="827">
        <f t="shared" si="27"/>
        <v>35339.96069334654</v>
      </c>
      <c r="N148" s="830">
        <f t="shared" si="21"/>
        <v>10539.683745604088</v>
      </c>
      <c r="O148" s="830">
        <f t="shared" si="28"/>
        <v>81534.508052339501</v>
      </c>
      <c r="P148" s="830">
        <f t="shared" si="29"/>
        <v>286552.05080422276</v>
      </c>
      <c r="Q148" s="830">
        <f t="shared" si="30"/>
        <v>1686.2066335161512</v>
      </c>
      <c r="R148" s="2773"/>
    </row>
    <row r="149" spans="1:18" x14ac:dyDescent="0.25">
      <c r="A149" s="2802"/>
      <c r="B149" s="706">
        <v>2048</v>
      </c>
      <c r="C149" s="1058">
        <f t="shared" si="22"/>
        <v>375957.02865262277</v>
      </c>
      <c r="D149" s="1058">
        <f t="shared" si="23"/>
        <v>562.80992313266893</v>
      </c>
      <c r="E149" s="1058">
        <f t="shared" si="24"/>
        <v>7825.3091712366286</v>
      </c>
      <c r="F149" s="1059">
        <f t="shared" si="25"/>
        <v>35412.000363507519</v>
      </c>
      <c r="G149" s="1058">
        <f t="shared" si="26"/>
        <v>2093.6529140535281</v>
      </c>
      <c r="H149" s="827">
        <v>95</v>
      </c>
      <c r="I149" s="827">
        <f>'Emission-Waste Transport Vehicl'!N62</f>
        <v>18.358488832464005</v>
      </c>
      <c r="J149" s="827">
        <f>'Emission-Waste Transport Vehicl'!P62</f>
        <v>10.214357315184001</v>
      </c>
      <c r="K149" s="827">
        <f>'Emission-Waste Transport Vehicl'!Q62</f>
        <v>7.9327571114880007</v>
      </c>
      <c r="L149" s="827">
        <f>'Emission-Waste Transport Vehicl'!R62</f>
        <v>0.78954557457600016</v>
      </c>
      <c r="M149" s="827">
        <f t="shared" si="27"/>
        <v>35715.917721999169</v>
      </c>
      <c r="N149" s="830">
        <f t="shared" si="21"/>
        <v>10332.339688631027</v>
      </c>
      <c r="O149" s="830">
        <f t="shared" si="28"/>
        <v>79930.503976797307</v>
      </c>
      <c r="P149" s="830">
        <f t="shared" si="29"/>
        <v>280914.79771562992</v>
      </c>
      <c r="Q149" s="830">
        <f t="shared" si="30"/>
        <v>1653.0343929891098</v>
      </c>
      <c r="R149" s="2773"/>
    </row>
    <row r="150" spans="1:18" x14ac:dyDescent="0.25">
      <c r="A150" s="2802"/>
      <c r="B150" s="706">
        <v>2049</v>
      </c>
      <c r="C150" s="1058">
        <f t="shared" si="22"/>
        <v>375957.02865262277</v>
      </c>
      <c r="D150" s="1058">
        <f t="shared" si="23"/>
        <v>562.80992313266893</v>
      </c>
      <c r="E150" s="1058">
        <f t="shared" si="24"/>
        <v>7825.3091712366286</v>
      </c>
      <c r="F150" s="1059">
        <f t="shared" si="25"/>
        <v>35412.000363507519</v>
      </c>
      <c r="G150" s="1058">
        <f t="shared" si="26"/>
        <v>2093.6529140535281</v>
      </c>
      <c r="H150" s="827">
        <v>96</v>
      </c>
      <c r="I150" s="827">
        <f>'Emission-Waste Transport Vehicl'!N63</f>
        <v>17.999860920624005</v>
      </c>
      <c r="J150" s="827">
        <f>'Emission-Waste Transport Vehicl'!P63</f>
        <v>10.014822720144002</v>
      </c>
      <c r="K150" s="827">
        <f>'Emission-Waste Transport Vehicl'!Q63</f>
        <v>7.7777929342080014</v>
      </c>
      <c r="L150" s="827">
        <f>'Emission-Waste Transport Vehicl'!R63</f>
        <v>0.77412202401600017</v>
      </c>
      <c r="M150" s="827">
        <f t="shared" si="27"/>
        <v>36091.87475065179</v>
      </c>
      <c r="N150" s="830">
        <f t="shared" si="21"/>
        <v>10130.500341135128</v>
      </c>
      <c r="O150" s="830">
        <f t="shared" si="28"/>
        <v>78369.084080251821</v>
      </c>
      <c r="P150" s="830">
        <f t="shared" si="29"/>
        <v>275427.20621345995</v>
      </c>
      <c r="Q150" s="830">
        <f t="shared" si="30"/>
        <v>1620.7428314141141</v>
      </c>
      <c r="R150" s="2773"/>
    </row>
    <row r="151" spans="1:18" x14ac:dyDescent="0.25">
      <c r="A151" s="2802"/>
      <c r="B151" s="706">
        <v>2050</v>
      </c>
      <c r="C151" s="1058">
        <f t="shared" si="22"/>
        <v>375957.02865262277</v>
      </c>
      <c r="D151" s="1058">
        <f t="shared" si="23"/>
        <v>562.80992313266893</v>
      </c>
      <c r="E151" s="1058">
        <f t="shared" si="24"/>
        <v>7825.3091712366286</v>
      </c>
      <c r="F151" s="1059">
        <f t="shared" si="25"/>
        <v>35412.000363507519</v>
      </c>
      <c r="G151" s="1058">
        <f t="shared" si="26"/>
        <v>2093.6529140535281</v>
      </c>
      <c r="H151" s="827">
        <v>97</v>
      </c>
      <c r="I151" s="827">
        <f>'Emission-Waste Transport Vehicl'!N64</f>
        <v>17.644493262528005</v>
      </c>
      <c r="J151" s="827">
        <f>'Emission-Waste Transport Vehicl'!P64</f>
        <v>9.8171020759680019</v>
      </c>
      <c r="K151" s="827">
        <f>'Emission-Waste Transport Vehicl'!Q64</f>
        <v>7.624237522176001</v>
      </c>
      <c r="L151" s="827">
        <f>'Emission-Waste Transport Vehicl'!R64</f>
        <v>0.75883868755200012</v>
      </c>
      <c r="M151" s="827">
        <f t="shared" si="27"/>
        <v>36467.831779304412</v>
      </c>
      <c r="N151" s="830">
        <f t="shared" si="21"/>
        <v>9930.495896798282</v>
      </c>
      <c r="O151" s="830">
        <f t="shared" si="28"/>
        <v>76821.858910038558</v>
      </c>
      <c r="P151" s="830">
        <f t="shared" si="29"/>
        <v>269989.50190676423</v>
      </c>
      <c r="Q151" s="830">
        <f t="shared" si="30"/>
        <v>1588.7448294897997</v>
      </c>
      <c r="R151" s="2773"/>
    </row>
    <row r="152" spans="1:18" x14ac:dyDescent="0.25">
      <c r="A152" s="2802"/>
      <c r="B152" s="706">
        <v>2051</v>
      </c>
      <c r="C152" s="1058">
        <f t="shared" si="22"/>
        <v>375957.02865262277</v>
      </c>
      <c r="D152" s="1058">
        <f t="shared" si="23"/>
        <v>562.80992313266893</v>
      </c>
      <c r="E152" s="1058">
        <f t="shared" si="24"/>
        <v>7825.3091712366286</v>
      </c>
      <c r="F152" s="1059">
        <f t="shared" si="25"/>
        <v>35412.000363507519</v>
      </c>
      <c r="G152" s="1058">
        <f t="shared" si="26"/>
        <v>2093.6529140535281</v>
      </c>
      <c r="H152" s="827">
        <v>97</v>
      </c>
      <c r="I152" s="827">
        <f>'Emission-Waste Transport Vehicl'!N65</f>
        <v>17.298906365664003</v>
      </c>
      <c r="J152" s="827">
        <f>'Emission-Waste Transport Vehicl'!P65</f>
        <v>9.624823284384</v>
      </c>
      <c r="K152" s="827">
        <f>'Emission-Waste Transport Vehicl'!Q65</f>
        <v>7.4749084058879998</v>
      </c>
      <c r="L152" s="827">
        <f>'Emission-Waste Transport Vehicl'!R65</f>
        <v>0.74397599337600007</v>
      </c>
      <c r="M152" s="827">
        <f t="shared" si="27"/>
        <v>36467.831779304412</v>
      </c>
      <c r="N152" s="830">
        <f t="shared" si="21"/>
        <v>9735.996161938594</v>
      </c>
      <c r="O152" s="830">
        <f t="shared" si="28"/>
        <v>75317.21791882196</v>
      </c>
      <c r="P152" s="830">
        <f t="shared" si="29"/>
        <v>264701.45918649127</v>
      </c>
      <c r="Q152" s="830">
        <f t="shared" si="30"/>
        <v>1557.6275065175309</v>
      </c>
      <c r="R152" s="2773"/>
    </row>
    <row r="153" spans="1:18" x14ac:dyDescent="0.25">
      <c r="A153" s="2802"/>
      <c r="B153" s="706">
        <v>2052</v>
      </c>
      <c r="C153" s="1058">
        <f t="shared" si="22"/>
        <v>375957.02865262277</v>
      </c>
      <c r="D153" s="1058">
        <f t="shared" si="23"/>
        <v>562.80992313266893</v>
      </c>
      <c r="E153" s="1058">
        <f t="shared" si="24"/>
        <v>7825.3091712366286</v>
      </c>
      <c r="F153" s="1059">
        <f t="shared" si="25"/>
        <v>35412.000363507519</v>
      </c>
      <c r="G153" s="1058">
        <f t="shared" si="26"/>
        <v>2093.6529140535281</v>
      </c>
      <c r="H153" s="827">
        <v>97</v>
      </c>
      <c r="I153" s="827">
        <f>'Emission-Waste Transport Vehicl'!N66</f>
        <v>16.959839976288002</v>
      </c>
      <c r="J153" s="827">
        <f>'Emission-Waste Transport Vehicl'!P66</f>
        <v>9.4361723945280005</v>
      </c>
      <c r="K153" s="827">
        <f>'Emission-Waste Transport Vehicl'!Q66</f>
        <v>7.3283968200960006</v>
      </c>
      <c r="L153" s="827">
        <f>'Emission-Waste Transport Vehicl'!R66</f>
        <v>0.72939372739200004</v>
      </c>
      <c r="M153" s="827">
        <f t="shared" si="27"/>
        <v>36467.831779304412</v>
      </c>
      <c r="N153" s="830">
        <f t="shared" si="21"/>
        <v>9545.1662333970162</v>
      </c>
      <c r="O153" s="830">
        <f t="shared" si="28"/>
        <v>73840.966380269863</v>
      </c>
      <c r="P153" s="830">
        <f t="shared" si="29"/>
        <v>259513.19085716692</v>
      </c>
      <c r="Q153" s="830">
        <f t="shared" si="30"/>
        <v>1527.0973028466256</v>
      </c>
      <c r="R153" s="2773"/>
    </row>
    <row r="154" spans="1:18" x14ac:dyDescent="0.25">
      <c r="A154" s="2802"/>
      <c r="B154" s="706">
        <v>2053</v>
      </c>
      <c r="C154" s="1058">
        <f t="shared" si="22"/>
        <v>375957.02865262277</v>
      </c>
      <c r="D154" s="1058">
        <f t="shared" si="23"/>
        <v>562.80992313266893</v>
      </c>
      <c r="E154" s="1058">
        <f t="shared" si="24"/>
        <v>7825.3091712366286</v>
      </c>
      <c r="F154" s="1059">
        <f t="shared" si="25"/>
        <v>35412.000363507519</v>
      </c>
      <c r="G154" s="1058">
        <f t="shared" si="26"/>
        <v>2093.6529140535281</v>
      </c>
      <c r="H154" s="827">
        <v>97</v>
      </c>
      <c r="I154" s="827">
        <f>'Emission-Waste Transport Vehicl'!N67</f>
        <v>15.361506000000002</v>
      </c>
      <c r="J154" s="827">
        <f>'Emission-Waste Transport Vehicl'!P67</f>
        <v>9.2511494064000015</v>
      </c>
      <c r="K154" s="827">
        <f>'Emission-Waste Transport Vehicl'!Q67</f>
        <v>7.1847027647999999</v>
      </c>
      <c r="L154" s="827">
        <f>'Emission-Waste Transport Vehicl'!R67</f>
        <v>0.71509188960000014</v>
      </c>
      <c r="M154" s="827">
        <f t="shared" si="27"/>
        <v>36467.831779304412</v>
      </c>
      <c r="N154" s="830">
        <f t="shared" si="21"/>
        <v>8645.6080110620333</v>
      </c>
      <c r="O154" s="830">
        <f t="shared" si="28"/>
        <v>72393.104294382225</v>
      </c>
      <c r="P154" s="830">
        <f t="shared" si="29"/>
        <v>254424.69691879107</v>
      </c>
      <c r="Q154" s="830">
        <f t="shared" si="30"/>
        <v>1497.154218477084</v>
      </c>
      <c r="R154" s="2773"/>
    </row>
    <row r="155" spans="1:18" x14ac:dyDescent="0.25">
      <c r="A155" s="2802"/>
      <c r="B155" s="706">
        <v>2054</v>
      </c>
      <c r="C155" s="1058">
        <f t="shared" si="22"/>
        <v>375957.02865262277</v>
      </c>
      <c r="D155" s="1058">
        <f t="shared" si="23"/>
        <v>562.80992313266893</v>
      </c>
      <c r="E155" s="1058">
        <f t="shared" si="24"/>
        <v>7825.3091712366286</v>
      </c>
      <c r="F155" s="1059">
        <f t="shared" si="25"/>
        <v>35412.000363507519</v>
      </c>
      <c r="G155" s="1058">
        <f t="shared" si="26"/>
        <v>2093.6529140535281</v>
      </c>
      <c r="H155" s="827">
        <v>97</v>
      </c>
      <c r="I155" s="827">
        <f>'Emission-Waste Transport Vehicl'!N68</f>
        <v>16.301268720000003</v>
      </c>
      <c r="J155" s="827">
        <f>'Emission-Waste Transport Vehicl'!P68</f>
        <v>9.0697543200000013</v>
      </c>
      <c r="K155" s="827">
        <f>'Emission-Waste Transport Vehicl'!Q68</f>
        <v>7.0438262400000005</v>
      </c>
      <c r="L155" s="827">
        <f>'Emission-Waste Transport Vehicl'!R68</f>
        <v>0.70107048000000005</v>
      </c>
      <c r="M155" s="827">
        <f t="shared" si="27"/>
        <v>36467.831779304412</v>
      </c>
      <c r="N155" s="830">
        <f t="shared" si="21"/>
        <v>9174.515795268182</v>
      </c>
      <c r="O155" s="830">
        <f t="shared" si="28"/>
        <v>70973.631661159045</v>
      </c>
      <c r="P155" s="830">
        <f t="shared" si="29"/>
        <v>249435.97737136381</v>
      </c>
      <c r="Q155" s="830">
        <f t="shared" si="30"/>
        <v>1467.7982534089058</v>
      </c>
      <c r="R155" s="2773"/>
    </row>
    <row r="156" spans="1:18" x14ac:dyDescent="0.25">
      <c r="A156" s="2802"/>
      <c r="B156" s="706">
        <v>2055</v>
      </c>
      <c r="C156" s="1058">
        <f t="shared" si="22"/>
        <v>375957.02865262277</v>
      </c>
      <c r="D156" s="1058">
        <f t="shared" si="23"/>
        <v>562.80992313266893</v>
      </c>
      <c r="E156" s="1058">
        <f t="shared" si="24"/>
        <v>7825.3091712366286</v>
      </c>
      <c r="F156" s="1059">
        <f t="shared" si="25"/>
        <v>35412.000363507519</v>
      </c>
      <c r="G156" s="1058">
        <f t="shared" si="26"/>
        <v>2093.6529140535281</v>
      </c>
      <c r="H156" s="827">
        <v>97</v>
      </c>
      <c r="I156" s="827">
        <f>'Emission-Waste Transport Vehicl'!N69</f>
        <v>15.981763853088003</v>
      </c>
      <c r="J156" s="827">
        <f>'Emission-Waste Transport Vehicl'!P69</f>
        <v>8.8919871353280016</v>
      </c>
      <c r="K156" s="827">
        <f>'Emission-Waste Transport Vehicl'!Q69</f>
        <v>6.9057672456960004</v>
      </c>
      <c r="L156" s="827">
        <f>'Emission-Waste Transport Vehicl'!R69</f>
        <v>0.6873294985920001</v>
      </c>
      <c r="M156" s="827">
        <f t="shared" si="27"/>
        <v>36467.831779304412</v>
      </c>
      <c r="N156" s="830">
        <f t="shared" si="21"/>
        <v>8994.6952856809257</v>
      </c>
      <c r="O156" s="830">
        <f t="shared" si="28"/>
        <v>69582.548480600322</v>
      </c>
      <c r="P156" s="830">
        <f t="shared" si="29"/>
        <v>244547.03221488508</v>
      </c>
      <c r="Q156" s="830">
        <f t="shared" si="30"/>
        <v>1439.0294076420914</v>
      </c>
      <c r="R156" s="2773"/>
    </row>
    <row r="157" spans="1:18" x14ac:dyDescent="0.25">
      <c r="A157" s="2802"/>
      <c r="B157" s="706">
        <v>2056</v>
      </c>
      <c r="C157" s="1058">
        <f t="shared" si="22"/>
        <v>375957.02865262277</v>
      </c>
      <c r="D157" s="1058">
        <f t="shared" si="23"/>
        <v>562.80992313266893</v>
      </c>
      <c r="E157" s="1058">
        <f t="shared" si="24"/>
        <v>7825.3091712366286</v>
      </c>
      <c r="F157" s="1059">
        <f t="shared" si="25"/>
        <v>35412.000363507519</v>
      </c>
      <c r="G157" s="1058">
        <f t="shared" si="26"/>
        <v>2093.6529140535281</v>
      </c>
      <c r="H157" s="827">
        <v>97</v>
      </c>
      <c r="I157" s="827">
        <f>'Emission-Waste Transport Vehicl'!N70</f>
        <v>15.668779493664003</v>
      </c>
      <c r="J157" s="827">
        <f>'Emission-Waste Transport Vehicl'!P70</f>
        <v>8.7178478523840006</v>
      </c>
      <c r="K157" s="827">
        <f>'Emission-Waste Transport Vehicl'!Q70</f>
        <v>6.7705257818880007</v>
      </c>
      <c r="L157" s="827">
        <f>'Emission-Waste Transport Vehicl'!R70</f>
        <v>0.67386894537600017</v>
      </c>
      <c r="M157" s="827">
        <f t="shared" si="27"/>
        <v>36467.831779304412</v>
      </c>
      <c r="N157" s="830">
        <f t="shared" si="21"/>
        <v>8818.544582411776</v>
      </c>
      <c r="O157" s="830">
        <f t="shared" si="28"/>
        <v>68219.854752706073</v>
      </c>
      <c r="P157" s="830">
        <f t="shared" si="29"/>
        <v>239757.86144935491</v>
      </c>
      <c r="Q157" s="830">
        <f t="shared" si="30"/>
        <v>1410.8476811766404</v>
      </c>
      <c r="R157" s="2773"/>
    </row>
    <row r="158" spans="1:18" x14ac:dyDescent="0.25">
      <c r="A158" s="2802"/>
      <c r="B158" s="706">
        <v>2057</v>
      </c>
      <c r="C158" s="1058">
        <f t="shared" si="22"/>
        <v>375957.02865262277</v>
      </c>
      <c r="D158" s="1058">
        <f t="shared" si="23"/>
        <v>562.80992313266893</v>
      </c>
      <c r="E158" s="1058">
        <f t="shared" si="24"/>
        <v>7825.3091712366286</v>
      </c>
      <c r="F158" s="1059">
        <f t="shared" si="25"/>
        <v>35412.000363507519</v>
      </c>
      <c r="G158" s="1058">
        <f t="shared" si="26"/>
        <v>2093.6529140535281</v>
      </c>
      <c r="H158" s="827">
        <v>97</v>
      </c>
      <c r="I158" s="827">
        <f>'Emission-Waste Transport Vehicl'!N71</f>
        <v>15.362315641728001</v>
      </c>
      <c r="J158" s="827">
        <f>'Emission-Waste Transport Vehicl'!P71</f>
        <v>8.547336471168002</v>
      </c>
      <c r="K158" s="827">
        <f>'Emission-Waste Transport Vehicl'!Q71</f>
        <v>6.6381018485760004</v>
      </c>
      <c r="L158" s="827">
        <f>'Emission-Waste Transport Vehicl'!R71</f>
        <v>0.66068882035200005</v>
      </c>
      <c r="M158" s="827">
        <f t="shared" si="27"/>
        <v>36467.831779304412</v>
      </c>
      <c r="N158" s="830">
        <f t="shared" si="21"/>
        <v>8646.0636854607346</v>
      </c>
      <c r="O158" s="830">
        <f t="shared" si="28"/>
        <v>66885.550477476281</v>
      </c>
      <c r="P158" s="830">
        <f t="shared" si="29"/>
        <v>235068.46507477327</v>
      </c>
      <c r="Q158" s="830">
        <f t="shared" si="30"/>
        <v>1383.2530740125528</v>
      </c>
      <c r="R158" s="2773"/>
    </row>
    <row r="159" spans="1:18" x14ac:dyDescent="0.25">
      <c r="A159" s="2802"/>
      <c r="B159" s="706">
        <v>2058</v>
      </c>
      <c r="C159" s="1058">
        <f t="shared" si="22"/>
        <v>375957.02865262277</v>
      </c>
      <c r="D159" s="1058">
        <f t="shared" si="23"/>
        <v>562.80992313266893</v>
      </c>
      <c r="E159" s="1058">
        <f t="shared" si="24"/>
        <v>7825.3091712366286</v>
      </c>
      <c r="F159" s="1059">
        <f t="shared" si="25"/>
        <v>35412.000363507519</v>
      </c>
      <c r="G159" s="1058">
        <f t="shared" si="26"/>
        <v>2093.6529140535281</v>
      </c>
      <c r="H159" s="827">
        <v>97</v>
      </c>
      <c r="I159" s="827">
        <f>'Emission-Waste Transport Vehicl'!N72</f>
        <v>15.059112043536</v>
      </c>
      <c r="J159" s="827">
        <f>'Emission-Waste Transport Vehicl'!P72</f>
        <v>8.378639040816001</v>
      </c>
      <c r="K159" s="827">
        <f>'Emission-Waste Transport Vehicl'!Q72</f>
        <v>6.5070866805119998</v>
      </c>
      <c r="L159" s="827">
        <f>'Emission-Waste Transport Vehicl'!R72</f>
        <v>0.647648909424</v>
      </c>
      <c r="M159" s="827">
        <f t="shared" si="27"/>
        <v>36467.831779304412</v>
      </c>
      <c r="N159" s="830">
        <f t="shared" si="21"/>
        <v>8475.4176916687447</v>
      </c>
      <c r="O159" s="830">
        <f t="shared" si="28"/>
        <v>65565.440928578726</v>
      </c>
      <c r="P159" s="830">
        <f t="shared" si="29"/>
        <v>230428.95589566586</v>
      </c>
      <c r="Q159" s="830">
        <f t="shared" si="30"/>
        <v>1355.952026499147</v>
      </c>
      <c r="R159" s="2773"/>
    </row>
    <row r="160" spans="1:18" x14ac:dyDescent="0.25">
      <c r="A160" s="2802"/>
      <c r="B160" s="706">
        <v>2059</v>
      </c>
      <c r="C160" s="1058">
        <f t="shared" si="22"/>
        <v>375957.02865262277</v>
      </c>
      <c r="D160" s="1058">
        <f t="shared" si="23"/>
        <v>562.80992313266893</v>
      </c>
      <c r="E160" s="1058">
        <f t="shared" si="24"/>
        <v>7825.3091712366286</v>
      </c>
      <c r="F160" s="1059">
        <f t="shared" si="25"/>
        <v>35412.000363507519</v>
      </c>
      <c r="G160" s="1058">
        <f t="shared" si="26"/>
        <v>2093.6529140535281</v>
      </c>
      <c r="H160" s="827">
        <v>97</v>
      </c>
      <c r="I160" s="827">
        <f>'Emission-Waste Transport Vehicl'!N73</f>
        <v>14.765689206576004</v>
      </c>
      <c r="J160" s="827">
        <f>'Emission-Waste Transport Vehicl'!P73</f>
        <v>8.2153834630560016</v>
      </c>
      <c r="K160" s="827">
        <f>'Emission-Waste Transport Vehicl'!Q73</f>
        <v>6.380297808192001</v>
      </c>
      <c r="L160" s="827">
        <f>'Emission-Waste Transport Vehicl'!R73</f>
        <v>0.63502964078400004</v>
      </c>
      <c r="M160" s="827">
        <f t="shared" si="27"/>
        <v>36467.831779304412</v>
      </c>
      <c r="N160" s="830">
        <f t="shared" si="21"/>
        <v>8310.2764073539201</v>
      </c>
      <c r="O160" s="830">
        <f t="shared" si="28"/>
        <v>64287.915558677865</v>
      </c>
      <c r="P160" s="830">
        <f t="shared" si="29"/>
        <v>225939.10830298136</v>
      </c>
      <c r="Q160" s="830">
        <f t="shared" si="30"/>
        <v>1329.5316579377868</v>
      </c>
      <c r="R160" s="2773"/>
    </row>
    <row r="161" spans="1:18" x14ac:dyDescent="0.25">
      <c r="A161" s="2802"/>
      <c r="B161" s="706">
        <v>2060</v>
      </c>
      <c r="C161" s="1058">
        <f t="shared" si="22"/>
        <v>375957.02865262277</v>
      </c>
      <c r="D161" s="1058">
        <f t="shared" si="23"/>
        <v>562.80992313266893</v>
      </c>
      <c r="E161" s="1058">
        <f t="shared" si="24"/>
        <v>7825.3091712366286</v>
      </c>
      <c r="F161" s="1059">
        <f t="shared" si="25"/>
        <v>35412.000363507519</v>
      </c>
      <c r="G161" s="1058">
        <f t="shared" si="26"/>
        <v>2093.6529140535281</v>
      </c>
      <c r="H161" s="827">
        <v>97</v>
      </c>
      <c r="I161" s="827">
        <f>'Emission-Waste Transport Vehicl'!N74</f>
        <v>14.475526623360002</v>
      </c>
      <c r="J161" s="827">
        <f>'Emission-Waste Transport Vehicl'!P74</f>
        <v>8.0539418361599999</v>
      </c>
      <c r="K161" s="827">
        <f>'Emission-Waste Transport Vehicl'!Q74</f>
        <v>6.2549177011200001</v>
      </c>
      <c r="L161" s="827">
        <f>'Emission-Waste Transport Vehicl'!R74</f>
        <v>0.62255058624000004</v>
      </c>
      <c r="M161" s="827">
        <f t="shared" si="27"/>
        <v>36467.831779304412</v>
      </c>
      <c r="N161" s="830">
        <f t="shared" si="21"/>
        <v>8146.9700261981452</v>
      </c>
      <c r="O161" s="830">
        <f t="shared" si="28"/>
        <v>63024.584915109219</v>
      </c>
      <c r="P161" s="830">
        <f t="shared" si="29"/>
        <v>221499.14790577107</v>
      </c>
      <c r="Q161" s="830">
        <f t="shared" si="30"/>
        <v>1303.4048490271084</v>
      </c>
      <c r="R161" s="2773"/>
    </row>
    <row r="162" spans="1:18" x14ac:dyDescent="0.25">
      <c r="A162" s="2802"/>
      <c r="B162" s="706">
        <v>2061</v>
      </c>
      <c r="C162" s="1058">
        <f t="shared" si="22"/>
        <v>375957.02865262277</v>
      </c>
      <c r="D162" s="1058">
        <f t="shared" si="23"/>
        <v>562.80992313266893</v>
      </c>
      <c r="E162" s="1058">
        <f t="shared" si="24"/>
        <v>7825.3091712366286</v>
      </c>
      <c r="F162" s="1059">
        <f t="shared" si="25"/>
        <v>35412.000363507519</v>
      </c>
      <c r="G162" s="1058">
        <f t="shared" si="26"/>
        <v>2093.6529140535281</v>
      </c>
      <c r="H162" s="827">
        <v>97</v>
      </c>
      <c r="I162" s="827">
        <f>'Emission-Waste Transport Vehicl'!N75</f>
        <v>14.191884547632004</v>
      </c>
      <c r="J162" s="827">
        <f>'Emission-Waste Transport Vehicl'!P75</f>
        <v>7.8961281109920014</v>
      </c>
      <c r="K162" s="827">
        <f>'Emission-Waste Transport Vehicl'!Q75</f>
        <v>6.1323551245440004</v>
      </c>
      <c r="L162" s="827">
        <f>'Emission-Waste Transport Vehicl'!R75</f>
        <v>0.61035195988800006</v>
      </c>
      <c r="M162" s="827">
        <f t="shared" si="27"/>
        <v>36467.831779304412</v>
      </c>
      <c r="N162" s="830">
        <f t="shared" si="21"/>
        <v>7987.3334513604796</v>
      </c>
      <c r="O162" s="830">
        <f t="shared" si="28"/>
        <v>61789.643724205067</v>
      </c>
      <c r="P162" s="830">
        <f t="shared" si="29"/>
        <v>217158.96189950933</v>
      </c>
      <c r="Q162" s="830">
        <f t="shared" si="30"/>
        <v>1277.8651594177934</v>
      </c>
      <c r="R162" s="2773"/>
    </row>
    <row r="163" spans="1:18" x14ac:dyDescent="0.25">
      <c r="A163" s="2802"/>
      <c r="B163" s="706">
        <v>2062</v>
      </c>
      <c r="C163" s="1058">
        <f t="shared" si="22"/>
        <v>375957.02865262277</v>
      </c>
      <c r="D163" s="1058">
        <f t="shared" si="23"/>
        <v>562.80992313266893</v>
      </c>
      <c r="E163" s="1058">
        <f t="shared" si="24"/>
        <v>7825.3091712366286</v>
      </c>
      <c r="F163" s="1059">
        <f t="shared" si="25"/>
        <v>35412.000363507519</v>
      </c>
      <c r="G163" s="1058">
        <f t="shared" si="26"/>
        <v>2093.6529140535281</v>
      </c>
      <c r="H163" s="827">
        <v>97</v>
      </c>
      <c r="I163" s="827">
        <f>'Emission-Waste Transport Vehicl'!N76</f>
        <v>13.914762979392002</v>
      </c>
      <c r="J163" s="827">
        <f>'Emission-Waste Transport Vehicl'!P76</f>
        <v>7.7419422875520008</v>
      </c>
      <c r="K163" s="827">
        <f>'Emission-Waste Transport Vehicl'!Q76</f>
        <v>6.0126100784640002</v>
      </c>
      <c r="L163" s="827">
        <f>'Emission-Waste Transport Vehicl'!R76</f>
        <v>0.59843376172800011</v>
      </c>
      <c r="M163" s="827">
        <f t="shared" si="27"/>
        <v>36467.831779304412</v>
      </c>
      <c r="N163" s="830">
        <f t="shared" si="21"/>
        <v>7831.3666828409196</v>
      </c>
      <c r="O163" s="830">
        <f t="shared" si="28"/>
        <v>60583.091985965359</v>
      </c>
      <c r="P163" s="830">
        <f t="shared" si="29"/>
        <v>212918.55028419616</v>
      </c>
      <c r="Q163" s="830">
        <f t="shared" si="30"/>
        <v>1252.9125891098422</v>
      </c>
      <c r="R163" s="2773"/>
    </row>
    <row r="164" spans="1:18" x14ac:dyDescent="0.25">
      <c r="A164" s="2802"/>
      <c r="B164" s="706">
        <v>2063</v>
      </c>
      <c r="C164" s="1058">
        <f t="shared" si="22"/>
        <v>375957.02865262277</v>
      </c>
      <c r="D164" s="1058">
        <f t="shared" si="23"/>
        <v>562.80992313266893</v>
      </c>
      <c r="E164" s="1058">
        <f t="shared" si="24"/>
        <v>7825.3091712366286</v>
      </c>
      <c r="F164" s="1059">
        <f t="shared" si="25"/>
        <v>35412.000363507519</v>
      </c>
      <c r="G164" s="1058">
        <f t="shared" si="26"/>
        <v>2093.6529140535281</v>
      </c>
      <c r="H164" s="827">
        <v>97</v>
      </c>
      <c r="I164" s="827">
        <f>'Emission-Waste Transport Vehicl'!N77</f>
        <v>13.640901664896001</v>
      </c>
      <c r="J164" s="827">
        <f>'Emission-Waste Transport Vehicl'!P77</f>
        <v>7.5895704149760004</v>
      </c>
      <c r="K164" s="827">
        <f>'Emission-Waste Transport Vehicl'!Q77</f>
        <v>5.8942737976319997</v>
      </c>
      <c r="L164" s="827">
        <f>'Emission-Waste Transport Vehicl'!R77</f>
        <v>0.58665577766400001</v>
      </c>
      <c r="M164" s="827">
        <f t="shared" si="27"/>
        <v>36467.831779304412</v>
      </c>
      <c r="N164" s="830">
        <f>D164*I164</f>
        <v>7677.2348174804138</v>
      </c>
      <c r="O164" s="830">
        <f t="shared" si="28"/>
        <v>59390.734974057879</v>
      </c>
      <c r="P164" s="830">
        <f t="shared" si="29"/>
        <v>208728.02586435722</v>
      </c>
      <c r="Q164" s="830">
        <f t="shared" si="30"/>
        <v>1228.2535784525724</v>
      </c>
      <c r="R164" s="2773"/>
    </row>
    <row r="165" spans="1:18" x14ac:dyDescent="0.25">
      <c r="A165" s="2802"/>
      <c r="B165" s="706">
        <v>2064</v>
      </c>
      <c r="C165" s="1058">
        <f t="shared" si="22"/>
        <v>375957.02865262277</v>
      </c>
      <c r="D165" s="1058">
        <f t="shared" si="23"/>
        <v>562.80992313266893</v>
      </c>
      <c r="E165" s="1058">
        <f t="shared" si="24"/>
        <v>7825.3091712366286</v>
      </c>
      <c r="F165" s="1059">
        <f t="shared" si="25"/>
        <v>35412.000363507519</v>
      </c>
      <c r="G165" s="1058">
        <f t="shared" si="26"/>
        <v>2093.6529140535281</v>
      </c>
      <c r="H165" s="827">
        <v>97</v>
      </c>
      <c r="I165" s="827">
        <f>'Emission-Waste Transport Vehicl'!N78</f>
        <v>13.373560857888002</v>
      </c>
      <c r="J165" s="827">
        <f>'Emission-Waste Transport Vehicl'!P78</f>
        <v>7.4408264441280014</v>
      </c>
      <c r="K165" s="827">
        <f>'Emission-Waste Transport Vehicl'!Q78</f>
        <v>5.7787550472960003</v>
      </c>
      <c r="L165" s="827">
        <f>'Emission-Waste Transport Vehicl'!R78</f>
        <v>0.57515822179200005</v>
      </c>
      <c r="M165" s="827">
        <f t="shared" si="27"/>
        <v>36467.831779304412</v>
      </c>
      <c r="N165" s="830">
        <f t="shared" ref="N165:N214" si="31">D165*I165</f>
        <v>7526.7727584380164</v>
      </c>
      <c r="O165" s="830">
        <f t="shared" si="28"/>
        <v>58226.76741481488</v>
      </c>
      <c r="P165" s="830">
        <f t="shared" si="29"/>
        <v>204637.27583546686</v>
      </c>
      <c r="Q165" s="830">
        <f t="shared" si="30"/>
        <v>1204.1816870966663</v>
      </c>
      <c r="R165" s="2773"/>
    </row>
    <row r="166" spans="1:18" x14ac:dyDescent="0.25">
      <c r="A166" s="2802"/>
      <c r="B166" s="706">
        <v>2065</v>
      </c>
      <c r="C166" s="1058">
        <f t="shared" si="22"/>
        <v>375957.02865262277</v>
      </c>
      <c r="D166" s="1058">
        <f t="shared" si="23"/>
        <v>562.80992313266893</v>
      </c>
      <c r="E166" s="1058">
        <f t="shared" si="24"/>
        <v>7825.3091712366286</v>
      </c>
      <c r="F166" s="1059">
        <f t="shared" si="25"/>
        <v>35412.000363507519</v>
      </c>
      <c r="G166" s="1058">
        <f t="shared" si="26"/>
        <v>2093.6529140535281</v>
      </c>
      <c r="H166" s="827">
        <v>97</v>
      </c>
      <c r="I166" s="827">
        <f>'Emission-Waste Transport Vehicl'!N79</f>
        <v>13.112740558368001</v>
      </c>
      <c r="J166" s="827">
        <f>'Emission-Waste Transport Vehicl'!P79</f>
        <v>7.2957103750080003</v>
      </c>
      <c r="K166" s="827">
        <f>'Emission-Waste Transport Vehicl'!Q79</f>
        <v>5.6660538274560004</v>
      </c>
      <c r="L166" s="827">
        <f>'Emission-Waste Transport Vehicl'!R79</f>
        <v>0.56394109411200011</v>
      </c>
      <c r="M166" s="827">
        <f t="shared" si="27"/>
        <v>36467.831779304412</v>
      </c>
      <c r="N166" s="830">
        <f t="shared" si="31"/>
        <v>7379.9805057137246</v>
      </c>
      <c r="O166" s="830">
        <f t="shared" si="28"/>
        <v>57091.189308236331</v>
      </c>
      <c r="P166" s="830">
        <f t="shared" si="29"/>
        <v>200646.30019752507</v>
      </c>
      <c r="Q166" s="830">
        <f t="shared" si="30"/>
        <v>1180.6969150421239</v>
      </c>
      <c r="R166" s="2773"/>
    </row>
    <row r="167" spans="1:18" x14ac:dyDescent="0.25">
      <c r="A167" s="2802"/>
      <c r="B167" s="706">
        <v>2066</v>
      </c>
      <c r="C167" s="1058">
        <f t="shared" si="22"/>
        <v>375957.02865262277</v>
      </c>
      <c r="D167" s="1058">
        <f t="shared" si="23"/>
        <v>562.80992313266893</v>
      </c>
      <c r="E167" s="1058">
        <f t="shared" si="24"/>
        <v>7825.3091712366286</v>
      </c>
      <c r="F167" s="1059">
        <f t="shared" si="25"/>
        <v>35412.000363507519</v>
      </c>
      <c r="G167" s="1058">
        <f t="shared" si="26"/>
        <v>2093.6529140535281</v>
      </c>
      <c r="H167" s="827">
        <v>97</v>
      </c>
      <c r="I167" s="827">
        <f>'Emission-Waste Transport Vehicl'!N80</f>
        <v>12.855180512592</v>
      </c>
      <c r="J167" s="827">
        <f>'Emission-Waste Transport Vehicl'!P80</f>
        <v>7.1524082567520004</v>
      </c>
      <c r="K167" s="827">
        <f>'Emission-Waste Transport Vehicl'!Q80</f>
        <v>5.5547613728639993</v>
      </c>
      <c r="L167" s="827">
        <f>'Emission-Waste Transport Vehicl'!R80</f>
        <v>0.55286418052800002</v>
      </c>
      <c r="M167" s="827">
        <f t="shared" si="27"/>
        <v>36467.831779304412</v>
      </c>
      <c r="N167" s="830">
        <f t="shared" si="31"/>
        <v>7235.023156148487</v>
      </c>
      <c r="O167" s="830">
        <f t="shared" si="28"/>
        <v>55969.805927990019</v>
      </c>
      <c r="P167" s="830">
        <f t="shared" si="29"/>
        <v>196705.21175505748</v>
      </c>
      <c r="Q167" s="830">
        <f t="shared" si="30"/>
        <v>1157.5057026382631</v>
      </c>
      <c r="R167" s="2773"/>
    </row>
    <row r="168" spans="1:18" x14ac:dyDescent="0.25">
      <c r="A168" s="2802"/>
      <c r="B168" s="706">
        <v>2067</v>
      </c>
      <c r="C168" s="1058">
        <f t="shared" si="22"/>
        <v>375957.02865262277</v>
      </c>
      <c r="D168" s="1058">
        <f t="shared" si="23"/>
        <v>562.80992313266893</v>
      </c>
      <c r="E168" s="1058">
        <f t="shared" si="24"/>
        <v>7825.3091712366286</v>
      </c>
      <c r="F168" s="1059">
        <f t="shared" si="25"/>
        <v>35412.000363507519</v>
      </c>
      <c r="G168" s="1058">
        <f t="shared" si="26"/>
        <v>2093.6529140535281</v>
      </c>
      <c r="H168" s="827">
        <v>97</v>
      </c>
      <c r="I168" s="827">
        <f>'Emission-Waste Transport Vehicl'!N81</f>
        <v>12.600880720560001</v>
      </c>
      <c r="J168" s="827">
        <f>'Emission-Waste Transport Vehicl'!P81</f>
        <v>7.0109200893600008</v>
      </c>
      <c r="K168" s="827">
        <f>'Emission-Waste Transport Vehicl'!Q81</f>
        <v>5.4448776835200006</v>
      </c>
      <c r="L168" s="827">
        <f>'Emission-Waste Transport Vehicl'!R81</f>
        <v>0.5419274810400001</v>
      </c>
      <c r="M168" s="827">
        <f t="shared" si="27"/>
        <v>36467.831779304412</v>
      </c>
      <c r="N168" s="830">
        <f t="shared" si="31"/>
        <v>7091.9007097423037</v>
      </c>
      <c r="O168" s="830">
        <f t="shared" si="28"/>
        <v>54862.617274075936</v>
      </c>
      <c r="P168" s="830">
        <f t="shared" si="29"/>
        <v>192814.01050806424</v>
      </c>
      <c r="Q168" s="830">
        <f t="shared" si="30"/>
        <v>1134.6080498850843</v>
      </c>
      <c r="R168" s="2773"/>
    </row>
    <row r="169" spans="1:18" x14ac:dyDescent="0.25">
      <c r="A169" s="2802"/>
      <c r="B169" s="706">
        <v>2068</v>
      </c>
      <c r="C169" s="1058">
        <f t="shared" si="22"/>
        <v>375957.02865262277</v>
      </c>
      <c r="D169" s="1058">
        <f t="shared" si="23"/>
        <v>562.80992313266893</v>
      </c>
      <c r="E169" s="1058">
        <f t="shared" si="24"/>
        <v>7825.3091712366286</v>
      </c>
      <c r="F169" s="1059">
        <f t="shared" si="25"/>
        <v>35412.000363507519</v>
      </c>
      <c r="G169" s="1058">
        <f t="shared" si="26"/>
        <v>2093.6529140535281</v>
      </c>
      <c r="H169" s="827">
        <v>97</v>
      </c>
      <c r="I169" s="827">
        <f>'Emission-Waste Transport Vehicl'!N82</f>
        <v>12.356361689760002</v>
      </c>
      <c r="J169" s="827">
        <f>'Emission-Waste Transport Vehicl'!P82</f>
        <v>6.8748737745600002</v>
      </c>
      <c r="K169" s="827">
        <f>'Emission-Waste Transport Vehicl'!Q82</f>
        <v>5.339220289920001</v>
      </c>
      <c r="L169" s="827">
        <f>'Emission-Waste Transport Vehicl'!R82</f>
        <v>0.53141142384000006</v>
      </c>
      <c r="M169" s="827">
        <f t="shared" si="27"/>
        <v>36467.831779304412</v>
      </c>
      <c r="N169" s="830">
        <f t="shared" si="31"/>
        <v>6954.282972813282</v>
      </c>
      <c r="O169" s="830">
        <f t="shared" si="28"/>
        <v>53798.012799158547</v>
      </c>
      <c r="P169" s="830">
        <f t="shared" si="29"/>
        <v>189072.47084749379</v>
      </c>
      <c r="Q169" s="830">
        <f t="shared" si="30"/>
        <v>1112.5910760839506</v>
      </c>
      <c r="R169" s="2773"/>
    </row>
    <row r="170" spans="1:18" ht="15.75" thickBot="1" x14ac:dyDescent="0.3">
      <c r="A170" s="2803"/>
      <c r="B170" s="85">
        <v>2069</v>
      </c>
      <c r="C170" s="1877">
        <f t="shared" si="22"/>
        <v>375957.02865262277</v>
      </c>
      <c r="D170" s="1877">
        <f t="shared" si="23"/>
        <v>562.80992313266893</v>
      </c>
      <c r="E170" s="1877">
        <f t="shared" si="24"/>
        <v>7825.3091712366286</v>
      </c>
      <c r="F170" s="1878">
        <f t="shared" si="25"/>
        <v>35412.000363507519</v>
      </c>
      <c r="G170" s="1877">
        <f t="shared" si="26"/>
        <v>2093.6529140535281</v>
      </c>
      <c r="H170" s="1073">
        <v>97</v>
      </c>
      <c r="I170" s="1073">
        <f>'Emission-Waste Transport Vehicl'!N83</f>
        <v>12.111842658960002</v>
      </c>
      <c r="J170" s="1073">
        <f>'Emission-Waste Transport Vehicl'!P83</f>
        <v>6.7388274597600004</v>
      </c>
      <c r="K170" s="1073">
        <f>'Emission-Waste Transport Vehicl'!Q83</f>
        <v>5.2335628963200005</v>
      </c>
      <c r="L170" s="1073">
        <f>'Emission-Waste Transport Vehicl'!R83</f>
        <v>0.52089536664000002</v>
      </c>
      <c r="M170" s="1073">
        <f t="shared" si="27"/>
        <v>36467.831779304412</v>
      </c>
      <c r="N170" s="1856">
        <f t="shared" si="31"/>
        <v>6816.6652358842593</v>
      </c>
      <c r="O170" s="1856">
        <f t="shared" si="28"/>
        <v>52733.408324241165</v>
      </c>
      <c r="P170" s="1856">
        <f t="shared" si="29"/>
        <v>185330.93118692332</v>
      </c>
      <c r="Q170" s="1856">
        <f t="shared" si="30"/>
        <v>1090.574102282817</v>
      </c>
      <c r="R170" s="2805"/>
    </row>
    <row r="171" spans="1:18" x14ac:dyDescent="0.25">
      <c r="A171" s="2806" t="s">
        <v>1168</v>
      </c>
      <c r="B171" s="888">
        <v>2019</v>
      </c>
      <c r="C171" s="1055">
        <f>$K$14</f>
        <v>657925.23360842525</v>
      </c>
      <c r="D171" s="1055">
        <f>$J$14</f>
        <v>984.91801438387017</v>
      </c>
      <c r="E171" s="1055">
        <f>$G$14</f>
        <v>13694.300071993332</v>
      </c>
      <c r="F171" s="1055">
        <f>$H$14</f>
        <v>61971.0414650331</v>
      </c>
      <c r="G171" s="1055">
        <f>$I$14</f>
        <v>3663.8950135079967</v>
      </c>
      <c r="H171" s="1056">
        <v>62</v>
      </c>
      <c r="I171" s="1056">
        <f>'Emission-Waste Transport Vehicl'!N33</f>
        <v>32.602537440000006</v>
      </c>
      <c r="J171" s="1056">
        <f>'Emission-Waste Transport Vehicl'!P33</f>
        <v>18.139508640000003</v>
      </c>
      <c r="K171" s="1056">
        <f>'Emission-Waste Transport Vehicl'!Q33</f>
        <v>14.087652480000001</v>
      </c>
      <c r="L171" s="1056">
        <f>'Emission-Waste Transport Vehicl'!R33</f>
        <v>1.4021409600000001</v>
      </c>
      <c r="M171" s="1056">
        <f>(C171/1000)*H171</f>
        <v>40791.364483722369</v>
      </c>
      <c r="N171" s="1057">
        <f t="shared" si="31"/>
        <v>32110.82643928059</v>
      </c>
      <c r="O171" s="1057">
        <f t="shared" si="28"/>
        <v>248407.87447467569</v>
      </c>
      <c r="P171" s="1057">
        <f t="shared" si="29"/>
        <v>873026.49598305649</v>
      </c>
      <c r="Q171" s="1057">
        <f t="shared" si="30"/>
        <v>5137.2972715793157</v>
      </c>
      <c r="R171" s="2772">
        <f>(SUM(M171:M221)*1.2682)+(SUM(N171:N221))+(SUM(O171:O221))+(SUM(P171:P221))+(SUM(Q171:Q221))</f>
        <v>41234514.554075576</v>
      </c>
    </row>
    <row r="172" spans="1:18" x14ac:dyDescent="0.25">
      <c r="A172" s="2802"/>
      <c r="B172" s="706">
        <v>2020</v>
      </c>
      <c r="C172" s="1058">
        <f t="shared" ref="C172:C221" si="32">$K$14</f>
        <v>657925.23360842525</v>
      </c>
      <c r="D172" s="1058">
        <f t="shared" ref="D172:D221" si="33">$J$14</f>
        <v>984.91801438387017</v>
      </c>
      <c r="E172" s="1058">
        <f t="shared" ref="E172:E221" si="34">$G$14</f>
        <v>13694.300071993332</v>
      </c>
      <c r="F172" s="1058">
        <f t="shared" ref="F172:F221" si="35">$H$14</f>
        <v>61971.0414650331</v>
      </c>
      <c r="G172" s="1058">
        <f t="shared" ref="G172:G221" si="36">$I$14</f>
        <v>3663.8950135079967</v>
      </c>
      <c r="H172" s="1857">
        <v>64</v>
      </c>
      <c r="I172" s="1857">
        <f>'Emission-Waste Transport Vehicl'!N34</f>
        <v>31.963527706176006</v>
      </c>
      <c r="J172" s="1857">
        <f>'Emission-Waste Transport Vehicl'!P34</f>
        <v>17.783974270656003</v>
      </c>
      <c r="K172" s="1857">
        <f>'Emission-Waste Transport Vehicl'!Q34</f>
        <v>13.811534491392001</v>
      </c>
      <c r="L172" s="1857">
        <f>'Emission-Waste Transport Vehicl'!R34</f>
        <v>1.3746589971840002</v>
      </c>
      <c r="M172" s="1857">
        <f t="shared" ref="M172:M221" si="37">(C172/1000)*H172</f>
        <v>42107.214950939218</v>
      </c>
      <c r="N172" s="830">
        <f t="shared" si="31"/>
        <v>31481.454241070693</v>
      </c>
      <c r="O172" s="830">
        <f t="shared" si="28"/>
        <v>243539.08013497206</v>
      </c>
      <c r="P172" s="830">
        <f t="shared" si="29"/>
        <v>855915.17666178849</v>
      </c>
      <c r="Q172" s="830">
        <f t="shared" si="30"/>
        <v>5036.6062450563613</v>
      </c>
      <c r="R172" s="2773"/>
    </row>
    <row r="173" spans="1:18" x14ac:dyDescent="0.25">
      <c r="A173" s="2802"/>
      <c r="B173" s="706">
        <v>2021</v>
      </c>
      <c r="C173" s="1058">
        <f t="shared" si="32"/>
        <v>657925.23360842525</v>
      </c>
      <c r="D173" s="1058">
        <f t="shared" si="33"/>
        <v>984.91801438387017</v>
      </c>
      <c r="E173" s="1058">
        <f t="shared" si="34"/>
        <v>13694.300071993332</v>
      </c>
      <c r="F173" s="1058">
        <f t="shared" si="35"/>
        <v>61971.0414650331</v>
      </c>
      <c r="G173" s="1058">
        <f t="shared" si="36"/>
        <v>3663.8950135079967</v>
      </c>
      <c r="H173" s="1857">
        <v>65</v>
      </c>
      <c r="I173" s="1857">
        <f>'Emission-Waste Transport Vehicl'!N35</f>
        <v>31.337558987328006</v>
      </c>
      <c r="J173" s="1857">
        <f>'Emission-Waste Transport Vehicl'!P35</f>
        <v>17.435695704768001</v>
      </c>
      <c r="K173" s="1857">
        <f>'Emission-Waste Transport Vehicl'!Q35</f>
        <v>13.541051563776001</v>
      </c>
      <c r="L173" s="1857">
        <f>'Emission-Waste Transport Vehicl'!R35</f>
        <v>1.3477378907520003</v>
      </c>
      <c r="M173" s="1857">
        <f t="shared" si="37"/>
        <v>42765.140184547643</v>
      </c>
      <c r="N173" s="830">
        <f t="shared" si="31"/>
        <v>30864.926373436505</v>
      </c>
      <c r="O173" s="830">
        <f t="shared" si="28"/>
        <v>238769.64894505826</v>
      </c>
      <c r="P173" s="830">
        <f t="shared" si="29"/>
        <v>839153.06793891394</v>
      </c>
      <c r="Q173" s="830">
        <f t="shared" si="30"/>
        <v>4937.9701374420392</v>
      </c>
      <c r="R173" s="2773"/>
    </row>
    <row r="174" spans="1:18" x14ac:dyDescent="0.25">
      <c r="A174" s="2802"/>
      <c r="B174" s="706">
        <v>2022</v>
      </c>
      <c r="C174" s="1058">
        <f t="shared" si="32"/>
        <v>657925.23360842525</v>
      </c>
      <c r="D174" s="1058">
        <f t="shared" si="33"/>
        <v>984.91801438387017</v>
      </c>
      <c r="E174" s="1058">
        <f t="shared" si="34"/>
        <v>13694.300071993332</v>
      </c>
      <c r="F174" s="1058">
        <f t="shared" si="35"/>
        <v>61971.0414650331</v>
      </c>
      <c r="G174" s="1058">
        <f t="shared" si="36"/>
        <v>3663.8950135079967</v>
      </c>
      <c r="H174" s="1857">
        <v>66</v>
      </c>
      <c r="I174" s="1857">
        <f>'Emission-Waste Transport Vehicl'!N36</f>
        <v>30.721371029712003</v>
      </c>
      <c r="J174" s="1857">
        <f>'Emission-Waste Transport Vehicl'!P36</f>
        <v>17.092858991472003</v>
      </c>
      <c r="K174" s="1857">
        <f>'Emission-Waste Transport Vehicl'!Q36</f>
        <v>13.274794931903999</v>
      </c>
      <c r="L174" s="1857">
        <f>'Emission-Waste Transport Vehicl'!R36</f>
        <v>1.3212374266080003</v>
      </c>
      <c r="M174" s="1857">
        <f t="shared" si="37"/>
        <v>43423.065418156068</v>
      </c>
      <c r="N174" s="830">
        <f t="shared" si="31"/>
        <v>30258.0317537341</v>
      </c>
      <c r="O174" s="830">
        <f t="shared" si="28"/>
        <v>234074.74011748692</v>
      </c>
      <c r="P174" s="830">
        <f t="shared" si="29"/>
        <v>822652.86716483394</v>
      </c>
      <c r="Q174" s="830">
        <f t="shared" si="30"/>
        <v>4840.87521900919</v>
      </c>
      <c r="R174" s="2773"/>
    </row>
    <row r="175" spans="1:18" x14ac:dyDescent="0.25">
      <c r="A175" s="2802"/>
      <c r="B175" s="706">
        <v>2023</v>
      </c>
      <c r="C175" s="1058">
        <f t="shared" si="32"/>
        <v>657925.23360842525</v>
      </c>
      <c r="D175" s="1058">
        <f t="shared" si="33"/>
        <v>984.91801438387017</v>
      </c>
      <c r="E175" s="1058">
        <f t="shared" si="34"/>
        <v>13694.300071993332</v>
      </c>
      <c r="F175" s="1058">
        <f t="shared" si="35"/>
        <v>61971.0414650331</v>
      </c>
      <c r="G175" s="1058">
        <f t="shared" si="36"/>
        <v>3663.8950135079967</v>
      </c>
      <c r="H175" s="1857">
        <v>67</v>
      </c>
      <c r="I175" s="1857">
        <f>'Emission-Waste Transport Vehicl'!N37</f>
        <v>30.118224087072001</v>
      </c>
      <c r="J175" s="1857">
        <f>'Emission-Waste Transport Vehicl'!P37</f>
        <v>16.757278081632002</v>
      </c>
      <c r="K175" s="1857">
        <f>'Emission-Waste Transport Vehicl'!Q37</f>
        <v>13.014173361024</v>
      </c>
      <c r="L175" s="1857">
        <f>'Emission-Waste Transport Vehicl'!R37</f>
        <v>1.295297818848</v>
      </c>
      <c r="M175" s="1857">
        <f t="shared" si="37"/>
        <v>44080.990651764492</v>
      </c>
      <c r="N175" s="830">
        <f t="shared" si="31"/>
        <v>29663.981464607405</v>
      </c>
      <c r="O175" s="830">
        <f t="shared" si="28"/>
        <v>229479.1944397054</v>
      </c>
      <c r="P175" s="830">
        <f t="shared" si="29"/>
        <v>806501.87698914751</v>
      </c>
      <c r="Q175" s="830">
        <f t="shared" si="30"/>
        <v>4745.8352194849713</v>
      </c>
      <c r="R175" s="2773"/>
    </row>
    <row r="176" spans="1:18" x14ac:dyDescent="0.25">
      <c r="A176" s="2802"/>
      <c r="B176" s="706">
        <v>2024</v>
      </c>
      <c r="C176" s="1058">
        <f t="shared" si="32"/>
        <v>657925.23360842525</v>
      </c>
      <c r="D176" s="1058">
        <f t="shared" si="33"/>
        <v>984.91801438387017</v>
      </c>
      <c r="E176" s="1058">
        <f t="shared" si="34"/>
        <v>13694.300071993332</v>
      </c>
      <c r="F176" s="1058">
        <f t="shared" si="35"/>
        <v>61971.0414650331</v>
      </c>
      <c r="G176" s="1058">
        <f t="shared" si="36"/>
        <v>3663.8950135079967</v>
      </c>
      <c r="H176" s="1857">
        <v>68</v>
      </c>
      <c r="I176" s="1857">
        <f>'Emission-Waste Transport Vehicl'!N38</f>
        <v>29.528118159408002</v>
      </c>
      <c r="J176" s="1857">
        <f>'Emission-Waste Transport Vehicl'!P38</f>
        <v>16.428952975248002</v>
      </c>
      <c r="K176" s="1857">
        <f>'Emission-Waste Transport Vehicl'!Q38</f>
        <v>12.759186851135999</v>
      </c>
      <c r="L176" s="1857">
        <f>'Emission-Waste Transport Vehicl'!R38</f>
        <v>1.269919067472</v>
      </c>
      <c r="M176" s="1857">
        <f t="shared" si="37"/>
        <v>44738.915885372917</v>
      </c>
      <c r="N176" s="830">
        <f t="shared" si="31"/>
        <v>29082.77550605643</v>
      </c>
      <c r="O176" s="830">
        <f t="shared" si="28"/>
        <v>224983.01191171378</v>
      </c>
      <c r="P176" s="830">
        <f t="shared" si="29"/>
        <v>790700.09741185408</v>
      </c>
      <c r="Q176" s="830">
        <f t="shared" si="30"/>
        <v>4652.8501388693858</v>
      </c>
      <c r="R176" s="2773"/>
    </row>
    <row r="177" spans="1:18" x14ac:dyDescent="0.25">
      <c r="A177" s="2802"/>
      <c r="B177" s="706">
        <v>2025</v>
      </c>
      <c r="C177" s="1058">
        <f t="shared" si="32"/>
        <v>657925.23360842525</v>
      </c>
      <c r="D177" s="1058">
        <f t="shared" si="33"/>
        <v>984.91801438387017</v>
      </c>
      <c r="E177" s="1058">
        <f t="shared" si="34"/>
        <v>13694.300071993332</v>
      </c>
      <c r="F177" s="1058">
        <f t="shared" si="35"/>
        <v>61971.0414650331</v>
      </c>
      <c r="G177" s="1058">
        <f t="shared" si="36"/>
        <v>3663.8950135079967</v>
      </c>
      <c r="H177" s="1857">
        <v>69</v>
      </c>
      <c r="I177" s="1857">
        <f>'Emission-Waste Transport Vehicl'!N39</f>
        <v>28.951053246720004</v>
      </c>
      <c r="J177" s="1857">
        <f>'Emission-Waste Transport Vehicl'!P39</f>
        <v>16.10788367232</v>
      </c>
      <c r="K177" s="1857">
        <f>'Emission-Waste Transport Vehicl'!Q39</f>
        <v>12.50983540224</v>
      </c>
      <c r="L177" s="1857">
        <f>'Emission-Waste Transport Vehicl'!R39</f>
        <v>1.2451011724800001</v>
      </c>
      <c r="M177" s="1857">
        <f t="shared" si="37"/>
        <v>45396.841118981341</v>
      </c>
      <c r="N177" s="830">
        <f t="shared" si="31"/>
        <v>28514.413878081163</v>
      </c>
      <c r="O177" s="830">
        <f t="shared" si="28"/>
        <v>220586.19253351199</v>
      </c>
      <c r="P177" s="830">
        <f t="shared" si="29"/>
        <v>775247.5284329541</v>
      </c>
      <c r="Q177" s="830">
        <f t="shared" si="30"/>
        <v>4561.9199771624326</v>
      </c>
      <c r="R177" s="2773"/>
    </row>
    <row r="178" spans="1:18" x14ac:dyDescent="0.25">
      <c r="A178" s="2802"/>
      <c r="B178" s="706">
        <v>2026</v>
      </c>
      <c r="C178" s="1058">
        <f t="shared" si="32"/>
        <v>657925.23360842525</v>
      </c>
      <c r="D178" s="1058">
        <f t="shared" si="33"/>
        <v>984.91801438387017</v>
      </c>
      <c r="E178" s="1058">
        <f t="shared" si="34"/>
        <v>13694.300071993332</v>
      </c>
      <c r="F178" s="1058">
        <f t="shared" si="35"/>
        <v>61971.0414650331</v>
      </c>
      <c r="G178" s="1058">
        <f t="shared" si="36"/>
        <v>3663.8950135079967</v>
      </c>
      <c r="H178" s="1857">
        <v>70</v>
      </c>
      <c r="I178" s="1857">
        <f>'Emission-Waste Transport Vehicl'!N40</f>
        <v>28.383769095264007</v>
      </c>
      <c r="J178" s="1857">
        <f>'Emission-Waste Transport Vehicl'!P40</f>
        <v>15.792256221984003</v>
      </c>
      <c r="K178" s="1857">
        <f>'Emission-Waste Transport Vehicl'!Q40</f>
        <v>12.264710249088001</v>
      </c>
      <c r="L178" s="1857">
        <f>'Emission-Waste Transport Vehicl'!R40</f>
        <v>1.2207039197760001</v>
      </c>
      <c r="M178" s="1857">
        <f t="shared" si="37"/>
        <v>46054.766352589773</v>
      </c>
      <c r="N178" s="830">
        <f t="shared" si="31"/>
        <v>27955.685498037685</v>
      </c>
      <c r="O178" s="830">
        <f t="shared" si="28"/>
        <v>216263.89551765268</v>
      </c>
      <c r="P178" s="830">
        <f t="shared" si="29"/>
        <v>760056.8674028489</v>
      </c>
      <c r="Q178" s="830">
        <f t="shared" si="30"/>
        <v>4472.5310046369523</v>
      </c>
      <c r="R178" s="2773"/>
    </row>
    <row r="179" spans="1:18" x14ac:dyDescent="0.25">
      <c r="A179" s="2802"/>
      <c r="B179" s="706">
        <v>2027</v>
      </c>
      <c r="C179" s="1058">
        <f t="shared" si="32"/>
        <v>657925.23360842525</v>
      </c>
      <c r="D179" s="1058">
        <f t="shared" si="33"/>
        <v>984.91801438387017</v>
      </c>
      <c r="E179" s="1058">
        <f t="shared" si="34"/>
        <v>13694.300071993332</v>
      </c>
      <c r="F179" s="1058">
        <f t="shared" si="35"/>
        <v>61971.0414650331</v>
      </c>
      <c r="G179" s="1058">
        <f t="shared" si="36"/>
        <v>3663.8950135079967</v>
      </c>
      <c r="H179" s="1857">
        <v>71</v>
      </c>
      <c r="I179" s="1857">
        <f>'Emission-Waste Transport Vehicl'!N41</f>
        <v>27.826265705040004</v>
      </c>
      <c r="J179" s="1857">
        <f>'Emission-Waste Transport Vehicl'!P41</f>
        <v>15.482070624240002</v>
      </c>
      <c r="K179" s="1857">
        <f>'Emission-Waste Transport Vehicl'!Q41</f>
        <v>12.023811391680001</v>
      </c>
      <c r="L179" s="1857">
        <f>'Emission-Waste Transport Vehicl'!R41</f>
        <v>1.1967273093600002</v>
      </c>
      <c r="M179" s="1857">
        <f t="shared" si="37"/>
        <v>46712.691586198198</v>
      </c>
      <c r="N179" s="830">
        <f t="shared" si="31"/>
        <v>27406.590365925986</v>
      </c>
      <c r="O179" s="830">
        <f t="shared" si="28"/>
        <v>212016.12086413571</v>
      </c>
      <c r="P179" s="830">
        <f t="shared" si="29"/>
        <v>745128.11432153871</v>
      </c>
      <c r="Q179" s="830">
        <f t="shared" si="30"/>
        <v>4384.6832212929467</v>
      </c>
      <c r="R179" s="2773"/>
    </row>
    <row r="180" spans="1:18" x14ac:dyDescent="0.25">
      <c r="A180" s="2802"/>
      <c r="B180" s="706">
        <v>2028</v>
      </c>
      <c r="C180" s="1058">
        <f t="shared" si="32"/>
        <v>657925.23360842525</v>
      </c>
      <c r="D180" s="1058">
        <f t="shared" si="33"/>
        <v>984.91801438387017</v>
      </c>
      <c r="E180" s="1058">
        <f t="shared" si="34"/>
        <v>13694.300071993332</v>
      </c>
      <c r="F180" s="1058">
        <f t="shared" si="35"/>
        <v>61971.0414650331</v>
      </c>
      <c r="G180" s="1058">
        <f t="shared" si="36"/>
        <v>3663.8950135079967</v>
      </c>
      <c r="H180" s="1857">
        <v>72</v>
      </c>
      <c r="I180" s="1857">
        <f>'Emission-Waste Transport Vehicl'!N42</f>
        <v>27.281803329792002</v>
      </c>
      <c r="J180" s="1857">
        <f>'Emission-Waste Transport Vehicl'!P42</f>
        <v>15.179140829952001</v>
      </c>
      <c r="K180" s="1857">
        <f>'Emission-Waste Transport Vehicl'!Q42</f>
        <v>11.788547595263999</v>
      </c>
      <c r="L180" s="1857">
        <f>'Emission-Waste Transport Vehicl'!R42</f>
        <v>1.173311555328</v>
      </c>
      <c r="M180" s="1857">
        <f t="shared" si="37"/>
        <v>47370.616819806623</v>
      </c>
      <c r="N180" s="830">
        <f t="shared" si="31"/>
        <v>26870.339564389997</v>
      </c>
      <c r="O180" s="830">
        <f t="shared" si="28"/>
        <v>207867.7093604086</v>
      </c>
      <c r="P180" s="830">
        <f t="shared" si="29"/>
        <v>730548.57183862152</v>
      </c>
      <c r="Q180" s="830">
        <f t="shared" si="30"/>
        <v>4298.8903568575715</v>
      </c>
      <c r="R180" s="2773"/>
    </row>
    <row r="181" spans="1:18" x14ac:dyDescent="0.25">
      <c r="A181" s="2802"/>
      <c r="B181" s="706">
        <v>2029</v>
      </c>
      <c r="C181" s="1058">
        <f t="shared" si="32"/>
        <v>657925.23360842525</v>
      </c>
      <c r="D181" s="1058">
        <f t="shared" si="33"/>
        <v>984.91801438387017</v>
      </c>
      <c r="E181" s="1058">
        <f t="shared" si="34"/>
        <v>13694.300071993332</v>
      </c>
      <c r="F181" s="1058">
        <f t="shared" si="35"/>
        <v>61971.0414650331</v>
      </c>
      <c r="G181" s="1058">
        <f t="shared" si="36"/>
        <v>3663.8950135079967</v>
      </c>
      <c r="H181" s="1857">
        <v>73</v>
      </c>
      <c r="I181" s="1857">
        <f>'Emission-Waste Transport Vehicl'!N43</f>
        <v>26.743861462032005</v>
      </c>
      <c r="J181" s="1857">
        <f>'Emission-Waste Transport Vehicl'!P43</f>
        <v>14.879838937392002</v>
      </c>
      <c r="K181" s="1857">
        <f>'Emission-Waste Transport Vehicl'!Q43</f>
        <v>11.556101329344001</v>
      </c>
      <c r="L181" s="1857">
        <f>'Emission-Waste Transport Vehicl'!R43</f>
        <v>1.1501762294880002</v>
      </c>
      <c r="M181" s="1857">
        <f t="shared" si="37"/>
        <v>48028.542053415047</v>
      </c>
      <c r="N181" s="830">
        <f t="shared" si="31"/>
        <v>26340.51092814187</v>
      </c>
      <c r="O181" s="830">
        <f t="shared" si="28"/>
        <v>203768.97943157647</v>
      </c>
      <c r="P181" s="830">
        <f t="shared" si="29"/>
        <v>716143.63465490122</v>
      </c>
      <c r="Q181" s="830">
        <f t="shared" si="30"/>
        <v>4214.1249518765135</v>
      </c>
      <c r="R181" s="2773"/>
    </row>
    <row r="182" spans="1:18" x14ac:dyDescent="0.25">
      <c r="A182" s="2802"/>
      <c r="B182" s="706">
        <v>2030</v>
      </c>
      <c r="C182" s="1058">
        <f t="shared" si="32"/>
        <v>657925.23360842525</v>
      </c>
      <c r="D182" s="1058">
        <f t="shared" si="33"/>
        <v>984.91801438387017</v>
      </c>
      <c r="E182" s="1058">
        <f t="shared" si="34"/>
        <v>13694.300071993332</v>
      </c>
      <c r="F182" s="1058">
        <f t="shared" si="35"/>
        <v>61971.0414650331</v>
      </c>
      <c r="G182" s="1058">
        <f t="shared" si="36"/>
        <v>3663.8950135079967</v>
      </c>
      <c r="H182" s="1857">
        <v>75</v>
      </c>
      <c r="I182" s="1857">
        <f>'Emission-Waste Transport Vehicl'!N44</f>
        <v>26.222220862992003</v>
      </c>
      <c r="J182" s="1857">
        <f>'Emission-Waste Transport Vehicl'!P44</f>
        <v>14.589606799152003</v>
      </c>
      <c r="K182" s="1857">
        <f>'Emission-Waste Transport Vehicl'!Q44</f>
        <v>11.330698889664001</v>
      </c>
      <c r="L182" s="1857">
        <f>'Emission-Waste Transport Vehicl'!R44</f>
        <v>1.1277419741280001</v>
      </c>
      <c r="M182" s="1857">
        <f t="shared" si="37"/>
        <v>49344.392520631896</v>
      </c>
      <c r="N182" s="830">
        <f t="shared" si="31"/>
        <v>25826.737705113377</v>
      </c>
      <c r="O182" s="830">
        <f t="shared" si="28"/>
        <v>199794.45343998168</v>
      </c>
      <c r="P182" s="830">
        <f t="shared" si="29"/>
        <v>702175.21071917238</v>
      </c>
      <c r="Q182" s="830">
        <f t="shared" si="30"/>
        <v>4131.9281955312445</v>
      </c>
      <c r="R182" s="2773"/>
    </row>
    <row r="183" spans="1:18" x14ac:dyDescent="0.25">
      <c r="A183" s="2802"/>
      <c r="B183" s="706">
        <v>2031</v>
      </c>
      <c r="C183" s="1058">
        <f t="shared" si="32"/>
        <v>657925.23360842525</v>
      </c>
      <c r="D183" s="1058">
        <f t="shared" si="33"/>
        <v>984.91801438387017</v>
      </c>
      <c r="E183" s="1058">
        <f t="shared" si="34"/>
        <v>13694.300071993332</v>
      </c>
      <c r="F183" s="1058">
        <f t="shared" si="35"/>
        <v>61971.0414650331</v>
      </c>
      <c r="G183" s="1058">
        <f t="shared" si="36"/>
        <v>3663.8950135079967</v>
      </c>
      <c r="H183" s="1857">
        <v>76</v>
      </c>
      <c r="I183" s="1857">
        <f>'Emission-Waste Transport Vehicl'!N45</f>
        <v>25.70710077144</v>
      </c>
      <c r="J183" s="1857">
        <f>'Emission-Waste Transport Vehicl'!P45</f>
        <v>14.303002562640001</v>
      </c>
      <c r="K183" s="1857">
        <f>'Emission-Waste Transport Vehicl'!Q45</f>
        <v>11.108113980480001</v>
      </c>
      <c r="L183" s="1857">
        <f>'Emission-Waste Transport Vehicl'!R45</f>
        <v>1.1055881469600002</v>
      </c>
      <c r="M183" s="1857">
        <f t="shared" si="37"/>
        <v>50002.317754240321</v>
      </c>
      <c r="N183" s="830">
        <f t="shared" si="31"/>
        <v>25319.386647372743</v>
      </c>
      <c r="O183" s="830">
        <f t="shared" si="28"/>
        <v>195869.60902328178</v>
      </c>
      <c r="P183" s="830">
        <f t="shared" si="29"/>
        <v>688381.39208263997</v>
      </c>
      <c r="Q183" s="830">
        <f t="shared" si="30"/>
        <v>4050.7588986402911</v>
      </c>
      <c r="R183" s="2773"/>
    </row>
    <row r="184" spans="1:18" x14ac:dyDescent="0.25">
      <c r="A184" s="2802"/>
      <c r="B184" s="706">
        <v>2032</v>
      </c>
      <c r="C184" s="1058">
        <f t="shared" si="32"/>
        <v>657925.23360842525</v>
      </c>
      <c r="D184" s="1058">
        <f t="shared" si="33"/>
        <v>984.91801438387017</v>
      </c>
      <c r="E184" s="1058">
        <f t="shared" si="34"/>
        <v>13694.300071993332</v>
      </c>
      <c r="F184" s="1058">
        <f t="shared" si="35"/>
        <v>61971.0414650331</v>
      </c>
      <c r="G184" s="1058">
        <f t="shared" si="36"/>
        <v>3663.8950135079967</v>
      </c>
      <c r="H184" s="1857">
        <v>77</v>
      </c>
      <c r="I184" s="1857">
        <f>'Emission-Waste Transport Vehicl'!N46</f>
        <v>25.201761441120002</v>
      </c>
      <c r="J184" s="1857">
        <f>'Emission-Waste Transport Vehicl'!P46</f>
        <v>14.021840178720002</v>
      </c>
      <c r="K184" s="1857">
        <f>'Emission-Waste Transport Vehicl'!Q46</f>
        <v>10.889755367040001</v>
      </c>
      <c r="L184" s="1857">
        <f>'Emission-Waste Transport Vehicl'!R46</f>
        <v>1.0838549620800002</v>
      </c>
      <c r="M184" s="1857">
        <f t="shared" si="37"/>
        <v>50660.242987848746</v>
      </c>
      <c r="N184" s="830">
        <f t="shared" si="31"/>
        <v>24821.668837563895</v>
      </c>
      <c r="O184" s="830">
        <f t="shared" si="28"/>
        <v>192019.28696892431</v>
      </c>
      <c r="P184" s="830">
        <f t="shared" si="29"/>
        <v>674849.48139490269</v>
      </c>
      <c r="Q184" s="830">
        <f t="shared" si="30"/>
        <v>3971.1307909308116</v>
      </c>
      <c r="R184" s="2773"/>
    </row>
    <row r="185" spans="1:18" x14ac:dyDescent="0.25">
      <c r="A185" s="2802"/>
      <c r="B185" s="706">
        <v>2033</v>
      </c>
      <c r="C185" s="1058">
        <f t="shared" si="32"/>
        <v>657925.23360842525</v>
      </c>
      <c r="D185" s="1058">
        <f t="shared" si="33"/>
        <v>984.91801438387017</v>
      </c>
      <c r="E185" s="1058">
        <f t="shared" si="34"/>
        <v>13694.300071993332</v>
      </c>
      <c r="F185" s="1058">
        <f t="shared" si="35"/>
        <v>61971.0414650331</v>
      </c>
      <c r="G185" s="1058">
        <f t="shared" si="36"/>
        <v>3663.8950135079967</v>
      </c>
      <c r="H185" s="1857">
        <v>78</v>
      </c>
      <c r="I185" s="1857">
        <f>'Emission-Waste Transport Vehicl'!N47</f>
        <v>24.709463125776001</v>
      </c>
      <c r="J185" s="1857">
        <f>'Emission-Waste Transport Vehicl'!P47</f>
        <v>13.747933598256003</v>
      </c>
      <c r="K185" s="1857">
        <f>'Emission-Waste Transport Vehicl'!Q47</f>
        <v>10.677031814592</v>
      </c>
      <c r="L185" s="1857">
        <f>'Emission-Waste Transport Vehicl'!R47</f>
        <v>1.0626826335840001</v>
      </c>
      <c r="M185" s="1857">
        <f t="shared" si="37"/>
        <v>51318.16822145717</v>
      </c>
      <c r="N185" s="830">
        <f t="shared" si="31"/>
        <v>24336.795358330757</v>
      </c>
      <c r="O185" s="830">
        <f t="shared" si="28"/>
        <v>188268.32806435673</v>
      </c>
      <c r="P185" s="830">
        <f t="shared" si="29"/>
        <v>661666.78130555851</v>
      </c>
      <c r="Q185" s="830">
        <f t="shared" si="30"/>
        <v>3893.5576021299635</v>
      </c>
      <c r="R185" s="2773"/>
    </row>
    <row r="186" spans="1:18" x14ac:dyDescent="0.25">
      <c r="A186" s="2802"/>
      <c r="B186" s="706">
        <v>2034</v>
      </c>
      <c r="C186" s="1058">
        <f t="shared" si="32"/>
        <v>657925.23360842525</v>
      </c>
      <c r="D186" s="1058">
        <f t="shared" si="33"/>
        <v>984.91801438387017</v>
      </c>
      <c r="E186" s="1058">
        <f t="shared" si="34"/>
        <v>13694.300071993332</v>
      </c>
      <c r="F186" s="1058">
        <f t="shared" si="35"/>
        <v>61971.0414650331</v>
      </c>
      <c r="G186" s="1058">
        <f t="shared" si="36"/>
        <v>3663.8950135079967</v>
      </c>
      <c r="H186" s="1857">
        <v>79</v>
      </c>
      <c r="I186" s="1857">
        <f>'Emission-Waste Transport Vehicl'!N48</f>
        <v>24.223685317920005</v>
      </c>
      <c r="J186" s="1857">
        <f>'Emission-Waste Transport Vehicl'!P48</f>
        <v>13.477654919520001</v>
      </c>
      <c r="K186" s="1857">
        <f>'Emission-Waste Transport Vehicl'!Q48</f>
        <v>10.467125792640001</v>
      </c>
      <c r="L186" s="1857">
        <f>'Emission-Waste Transport Vehicl'!R48</f>
        <v>1.04179073328</v>
      </c>
      <c r="M186" s="1857">
        <f t="shared" si="37"/>
        <v>51976.093455065595</v>
      </c>
      <c r="N186" s="830">
        <f t="shared" si="31"/>
        <v>23858.344044385482</v>
      </c>
      <c r="O186" s="830">
        <f t="shared" si="28"/>
        <v>184567.05073468402</v>
      </c>
      <c r="P186" s="830">
        <f t="shared" si="29"/>
        <v>648658.68651541101</v>
      </c>
      <c r="Q186" s="830">
        <f t="shared" si="30"/>
        <v>3817.0118727834315</v>
      </c>
      <c r="R186" s="2773"/>
    </row>
    <row r="187" spans="1:18" x14ac:dyDescent="0.25">
      <c r="A187" s="2802"/>
      <c r="B187" s="706">
        <v>2035</v>
      </c>
      <c r="C187" s="1058">
        <f t="shared" si="32"/>
        <v>657925.23360842525</v>
      </c>
      <c r="D187" s="1058">
        <f t="shared" si="33"/>
        <v>984.91801438387017</v>
      </c>
      <c r="E187" s="1058">
        <f t="shared" si="34"/>
        <v>13694.300071993332</v>
      </c>
      <c r="F187" s="1058">
        <f t="shared" si="35"/>
        <v>61971.0414650331</v>
      </c>
      <c r="G187" s="1058">
        <f t="shared" si="36"/>
        <v>3663.8950135079967</v>
      </c>
      <c r="H187" s="1857">
        <v>80</v>
      </c>
      <c r="I187" s="1857">
        <f>'Emission-Waste Transport Vehicl'!N49</f>
        <v>23.747688271296006</v>
      </c>
      <c r="J187" s="1857">
        <f>'Emission-Waste Transport Vehicl'!P49</f>
        <v>13.212818093376002</v>
      </c>
      <c r="K187" s="1857">
        <f>'Emission-Waste Transport Vehicl'!Q49</f>
        <v>10.261446066432002</v>
      </c>
      <c r="L187" s="1857">
        <f>'Emission-Waste Transport Vehicl'!R49</f>
        <v>1.0213194752640002</v>
      </c>
      <c r="M187" s="1857">
        <f t="shared" si="37"/>
        <v>52634.018688674027</v>
      </c>
      <c r="N187" s="830">
        <f t="shared" si="31"/>
        <v>23389.525978371985</v>
      </c>
      <c r="O187" s="830">
        <f t="shared" si="28"/>
        <v>180940.29576735379</v>
      </c>
      <c r="P187" s="830">
        <f t="shared" si="29"/>
        <v>635912.4996740584</v>
      </c>
      <c r="Q187" s="830">
        <f t="shared" si="30"/>
        <v>3742.0073326183742</v>
      </c>
      <c r="R187" s="2773"/>
    </row>
    <row r="188" spans="1:18" x14ac:dyDescent="0.25">
      <c r="A188" s="2802"/>
      <c r="B188" s="706">
        <v>2036</v>
      </c>
      <c r="C188" s="1058">
        <f t="shared" si="32"/>
        <v>657925.23360842525</v>
      </c>
      <c r="D188" s="1058">
        <f t="shared" si="33"/>
        <v>984.91801438387017</v>
      </c>
      <c r="E188" s="1058">
        <f t="shared" si="34"/>
        <v>13694.300071993332</v>
      </c>
      <c r="F188" s="1058">
        <f t="shared" si="35"/>
        <v>61971.0414650331</v>
      </c>
      <c r="G188" s="1058">
        <f t="shared" si="36"/>
        <v>3663.8950135079967</v>
      </c>
      <c r="H188" s="1857">
        <v>81</v>
      </c>
      <c r="I188" s="1857">
        <f>'Emission-Waste Transport Vehicl'!N50</f>
        <v>23.284732239648001</v>
      </c>
      <c r="J188" s="1857">
        <f>'Emission-Waste Transport Vehicl'!P50</f>
        <v>12.955237070688</v>
      </c>
      <c r="K188" s="1857">
        <f>'Emission-Waste Transport Vehicl'!Q50</f>
        <v>10.061401401215999</v>
      </c>
      <c r="L188" s="1857">
        <f>'Emission-Waste Transport Vehicl'!R50</f>
        <v>1.001409073632</v>
      </c>
      <c r="M188" s="1857">
        <f t="shared" si="37"/>
        <v>53291.943922282451</v>
      </c>
      <c r="N188" s="830">
        <f t="shared" si="31"/>
        <v>22933.552242934195</v>
      </c>
      <c r="O188" s="830">
        <f t="shared" si="28"/>
        <v>177412.90394981336</v>
      </c>
      <c r="P188" s="830">
        <f t="shared" si="29"/>
        <v>623515.52343109879</v>
      </c>
      <c r="Q188" s="830">
        <f t="shared" si="30"/>
        <v>3669.0577113619474</v>
      </c>
      <c r="R188" s="2773"/>
    </row>
    <row r="189" spans="1:18" x14ac:dyDescent="0.25">
      <c r="A189" s="2802"/>
      <c r="B189" s="706">
        <v>2037</v>
      </c>
      <c r="C189" s="1058">
        <f t="shared" si="32"/>
        <v>657925.23360842525</v>
      </c>
      <c r="D189" s="1058">
        <f t="shared" si="33"/>
        <v>984.91801438387017</v>
      </c>
      <c r="E189" s="1058">
        <f t="shared" si="34"/>
        <v>13694.300071993332</v>
      </c>
      <c r="F189" s="1058">
        <f t="shared" si="35"/>
        <v>61971.0414650331</v>
      </c>
      <c r="G189" s="1058">
        <f t="shared" si="36"/>
        <v>3663.8950135079967</v>
      </c>
      <c r="H189" s="1857">
        <v>83</v>
      </c>
      <c r="I189" s="1857">
        <f>'Emission-Waste Transport Vehicl'!N51</f>
        <v>22.828296715488005</v>
      </c>
      <c r="J189" s="1857">
        <f>'Emission-Waste Transport Vehicl'!P51</f>
        <v>12.701283949728003</v>
      </c>
      <c r="K189" s="1857">
        <f>'Emission-Waste Transport Vehicl'!Q51</f>
        <v>9.8641742664960006</v>
      </c>
      <c r="L189" s="1857">
        <f>'Emission-Waste Transport Vehicl'!R51</f>
        <v>0.9817791001920001</v>
      </c>
      <c r="M189" s="1857">
        <f t="shared" si="37"/>
        <v>54607.7943894993</v>
      </c>
      <c r="N189" s="830">
        <f t="shared" si="31"/>
        <v>22484.00067278427</v>
      </c>
      <c r="O189" s="830">
        <f t="shared" si="28"/>
        <v>173935.19370716793</v>
      </c>
      <c r="P189" s="830">
        <f t="shared" si="29"/>
        <v>611293.15248733608</v>
      </c>
      <c r="Q189" s="830">
        <f t="shared" si="30"/>
        <v>3597.1355495598373</v>
      </c>
      <c r="R189" s="2773"/>
    </row>
    <row r="190" spans="1:18" x14ac:dyDescent="0.25">
      <c r="A190" s="2802"/>
      <c r="B190" s="706">
        <v>2038</v>
      </c>
      <c r="C190" s="1058">
        <f t="shared" si="32"/>
        <v>657925.23360842525</v>
      </c>
      <c r="D190" s="1058">
        <f t="shared" si="33"/>
        <v>984.91801438387017</v>
      </c>
      <c r="E190" s="1058">
        <f t="shared" si="34"/>
        <v>13694.300071993332</v>
      </c>
      <c r="F190" s="1058">
        <f t="shared" si="35"/>
        <v>61971.0414650331</v>
      </c>
      <c r="G190" s="1058">
        <f t="shared" si="36"/>
        <v>3663.8950135079967</v>
      </c>
      <c r="H190" s="1857">
        <v>84</v>
      </c>
      <c r="I190" s="1857">
        <f>'Emission-Waste Transport Vehicl'!N52</f>
        <v>22.378381698816003</v>
      </c>
      <c r="J190" s="1857">
        <f>'Emission-Waste Transport Vehicl'!P52</f>
        <v>12.450958730496001</v>
      </c>
      <c r="K190" s="1857">
        <f>'Emission-Waste Transport Vehicl'!Q52</f>
        <v>9.6697646622720015</v>
      </c>
      <c r="L190" s="1857">
        <f>'Emission-Waste Transport Vehicl'!R52</f>
        <v>0.96242955494400007</v>
      </c>
      <c r="M190" s="1857">
        <f t="shared" si="37"/>
        <v>55265.719623107725</v>
      </c>
      <c r="N190" s="830">
        <f t="shared" si="31"/>
        <v>22040.871267922197</v>
      </c>
      <c r="O190" s="830">
        <f t="shared" si="28"/>
        <v>170507.16503941739</v>
      </c>
      <c r="P190" s="830">
        <f t="shared" si="29"/>
        <v>599245.38684277004</v>
      </c>
      <c r="Q190" s="830">
        <f t="shared" si="30"/>
        <v>3526.2408472120424</v>
      </c>
      <c r="R190" s="2773"/>
    </row>
    <row r="191" spans="1:18" x14ac:dyDescent="0.25">
      <c r="A191" s="2802"/>
      <c r="B191" s="706">
        <v>2039</v>
      </c>
      <c r="C191" s="1058">
        <f t="shared" si="32"/>
        <v>657925.23360842525</v>
      </c>
      <c r="D191" s="1058">
        <f t="shared" si="33"/>
        <v>984.91801438387017</v>
      </c>
      <c r="E191" s="1058">
        <f t="shared" si="34"/>
        <v>13694.300071993332</v>
      </c>
      <c r="F191" s="1058">
        <f t="shared" si="35"/>
        <v>61971.0414650331</v>
      </c>
      <c r="G191" s="1058">
        <f t="shared" si="36"/>
        <v>3663.8950135079967</v>
      </c>
      <c r="H191" s="1857">
        <v>85</v>
      </c>
      <c r="I191" s="1857">
        <f>'Emission-Waste Transport Vehicl'!N53</f>
        <v>21.941507697120006</v>
      </c>
      <c r="J191" s="1857">
        <f>'Emission-Waste Transport Vehicl'!P53</f>
        <v>12.207889314720003</v>
      </c>
      <c r="K191" s="1857">
        <f>'Emission-Waste Transport Vehicl'!Q53</f>
        <v>9.4809901190400012</v>
      </c>
      <c r="L191" s="1857">
        <f>'Emission-Waste Transport Vehicl'!R53</f>
        <v>0.9436408660800002</v>
      </c>
      <c r="M191" s="1857">
        <f t="shared" si="37"/>
        <v>55923.64485671615</v>
      </c>
      <c r="N191" s="830">
        <f t="shared" si="31"/>
        <v>21610.586193635841</v>
      </c>
      <c r="O191" s="830">
        <f t="shared" si="28"/>
        <v>167178.49952145675</v>
      </c>
      <c r="P191" s="830">
        <f t="shared" si="29"/>
        <v>587546.83179659699</v>
      </c>
      <c r="Q191" s="830">
        <f t="shared" si="30"/>
        <v>3457.4010637728802</v>
      </c>
      <c r="R191" s="2773"/>
    </row>
    <row r="192" spans="1:18" x14ac:dyDescent="0.25">
      <c r="A192" s="2802"/>
      <c r="B192" s="706">
        <v>2040</v>
      </c>
      <c r="C192" s="1058">
        <f t="shared" si="32"/>
        <v>657925.23360842525</v>
      </c>
      <c r="D192" s="1058">
        <f t="shared" si="33"/>
        <v>984.91801438387017</v>
      </c>
      <c r="E192" s="1058">
        <f t="shared" si="34"/>
        <v>13694.300071993332</v>
      </c>
      <c r="F192" s="1058">
        <f t="shared" si="35"/>
        <v>61971.0414650331</v>
      </c>
      <c r="G192" s="1058">
        <f t="shared" si="36"/>
        <v>3663.8950135079967</v>
      </c>
      <c r="H192" s="1857">
        <v>86</v>
      </c>
      <c r="I192" s="1857">
        <f>'Emission-Waste Transport Vehicl'!N54</f>
        <v>21.511154202912003</v>
      </c>
      <c r="J192" s="1857">
        <f>'Emission-Waste Transport Vehicl'!P54</f>
        <v>11.968447800672001</v>
      </c>
      <c r="K192" s="1857">
        <f>'Emission-Waste Transport Vehicl'!Q54</f>
        <v>9.2950331063040004</v>
      </c>
      <c r="L192" s="1857">
        <f>'Emission-Waste Transport Vehicl'!R54</f>
        <v>0.92513260540800013</v>
      </c>
      <c r="M192" s="1857">
        <f t="shared" si="37"/>
        <v>56581.570090324574</v>
      </c>
      <c r="N192" s="830">
        <f t="shared" si="31"/>
        <v>21186.723284637334</v>
      </c>
      <c r="O192" s="830">
        <f t="shared" si="28"/>
        <v>163899.515578391</v>
      </c>
      <c r="P192" s="830">
        <f t="shared" si="29"/>
        <v>576022.88204962062</v>
      </c>
      <c r="Q192" s="830">
        <f t="shared" si="30"/>
        <v>3389.5887397880329</v>
      </c>
      <c r="R192" s="2773"/>
    </row>
    <row r="193" spans="1:18" x14ac:dyDescent="0.25">
      <c r="A193" s="2802"/>
      <c r="B193" s="706">
        <v>2041</v>
      </c>
      <c r="C193" s="1058">
        <f t="shared" si="32"/>
        <v>657925.23360842525</v>
      </c>
      <c r="D193" s="1058">
        <f t="shared" si="33"/>
        <v>984.91801438387017</v>
      </c>
      <c r="E193" s="1058">
        <f t="shared" si="34"/>
        <v>13694.300071993332</v>
      </c>
      <c r="F193" s="1058">
        <f t="shared" si="35"/>
        <v>61971.0414650331</v>
      </c>
      <c r="G193" s="1058">
        <f t="shared" si="36"/>
        <v>3663.8950135079967</v>
      </c>
      <c r="H193" s="1857">
        <v>87</v>
      </c>
      <c r="I193" s="1857">
        <f>'Emission-Waste Transport Vehicl'!N55</f>
        <v>21.087321216192002</v>
      </c>
      <c r="J193" s="1857">
        <f>'Emission-Waste Transport Vehicl'!P55</f>
        <v>11.732634188352002</v>
      </c>
      <c r="K193" s="1857">
        <f>'Emission-Waste Transport Vehicl'!Q55</f>
        <v>9.1118936240640007</v>
      </c>
      <c r="L193" s="1857">
        <f>'Emission-Waste Transport Vehicl'!R55</f>
        <v>0.9069047729280002</v>
      </c>
      <c r="M193" s="1857">
        <f t="shared" si="37"/>
        <v>57239.495323932999</v>
      </c>
      <c r="N193" s="830">
        <f t="shared" si="31"/>
        <v>20769.282540926684</v>
      </c>
      <c r="O193" s="830">
        <f t="shared" si="28"/>
        <v>160670.21321022024</v>
      </c>
      <c r="P193" s="830">
        <f t="shared" si="29"/>
        <v>564673.53760184092</v>
      </c>
      <c r="Q193" s="830">
        <f t="shared" si="30"/>
        <v>3322.8038752575021</v>
      </c>
      <c r="R193" s="2773"/>
    </row>
    <row r="194" spans="1:18" x14ac:dyDescent="0.25">
      <c r="A194" s="2802"/>
      <c r="B194" s="706">
        <v>2042</v>
      </c>
      <c r="C194" s="1058">
        <f t="shared" si="32"/>
        <v>657925.23360842525</v>
      </c>
      <c r="D194" s="1058">
        <f t="shared" si="33"/>
        <v>984.91801438387017</v>
      </c>
      <c r="E194" s="1058">
        <f t="shared" si="34"/>
        <v>13694.300071993332</v>
      </c>
      <c r="F194" s="1058">
        <f t="shared" si="35"/>
        <v>61971.0414650331</v>
      </c>
      <c r="G194" s="1058">
        <f t="shared" si="36"/>
        <v>3663.8950135079967</v>
      </c>
      <c r="H194" s="1857">
        <v>88</v>
      </c>
      <c r="I194" s="1857">
        <f>'Emission-Waste Transport Vehicl'!N56</f>
        <v>20.676529244448002</v>
      </c>
      <c r="J194" s="1857">
        <f>'Emission-Waste Transport Vehicl'!P56</f>
        <v>11.504076379488001</v>
      </c>
      <c r="K194" s="1857">
        <f>'Emission-Waste Transport Vehicl'!Q56</f>
        <v>8.9343892028159999</v>
      </c>
      <c r="L194" s="1857">
        <f>'Emission-Waste Transport Vehicl'!R56</f>
        <v>0.8892377968320001</v>
      </c>
      <c r="M194" s="1857">
        <f t="shared" si="37"/>
        <v>57897.420557541423</v>
      </c>
      <c r="N194" s="830">
        <f t="shared" si="31"/>
        <v>20364.686127791749</v>
      </c>
      <c r="O194" s="830">
        <f t="shared" si="28"/>
        <v>157540.27399183932</v>
      </c>
      <c r="P194" s="830">
        <f t="shared" si="29"/>
        <v>553673.40375245432</v>
      </c>
      <c r="Q194" s="830">
        <f t="shared" si="30"/>
        <v>3258.0739296356023</v>
      </c>
      <c r="R194" s="2773"/>
    </row>
    <row r="195" spans="1:18" x14ac:dyDescent="0.25">
      <c r="A195" s="2802"/>
      <c r="B195" s="706">
        <v>2043</v>
      </c>
      <c r="C195" s="1058">
        <f t="shared" si="32"/>
        <v>657925.23360842525</v>
      </c>
      <c r="D195" s="1058">
        <f t="shared" si="33"/>
        <v>984.91801438387017</v>
      </c>
      <c r="E195" s="1058">
        <f t="shared" si="34"/>
        <v>13694.300071993332</v>
      </c>
      <c r="F195" s="1058">
        <f t="shared" si="35"/>
        <v>61971.0414650331</v>
      </c>
      <c r="G195" s="1058">
        <f t="shared" si="36"/>
        <v>3663.8950135079967</v>
      </c>
      <c r="H195" s="1857">
        <v>89</v>
      </c>
      <c r="I195" s="1857">
        <f>'Emission-Waste Transport Vehicl'!N57</f>
        <v>20.268997526448004</v>
      </c>
      <c r="J195" s="1857">
        <f>'Emission-Waste Transport Vehicl'!P57</f>
        <v>11.277332521488001</v>
      </c>
      <c r="K195" s="1857">
        <f>'Emission-Waste Transport Vehicl'!Q57</f>
        <v>8.7582935468160006</v>
      </c>
      <c r="L195" s="1857">
        <f>'Emission-Waste Transport Vehicl'!R57</f>
        <v>0.87171103483200019</v>
      </c>
      <c r="M195" s="1857">
        <f t="shared" si="37"/>
        <v>58555.345791149848</v>
      </c>
      <c r="N195" s="830">
        <f t="shared" si="31"/>
        <v>19963.300797300744</v>
      </c>
      <c r="O195" s="830">
        <f t="shared" si="28"/>
        <v>154435.17556090586</v>
      </c>
      <c r="P195" s="830">
        <f t="shared" si="29"/>
        <v>542760.57255266618</v>
      </c>
      <c r="Q195" s="830">
        <f t="shared" si="30"/>
        <v>3193.8577137408611</v>
      </c>
      <c r="R195" s="2773"/>
    </row>
    <row r="196" spans="1:18" x14ac:dyDescent="0.25">
      <c r="A196" s="2802"/>
      <c r="B196" s="706">
        <v>2044</v>
      </c>
      <c r="C196" s="1058">
        <f t="shared" si="32"/>
        <v>657925.23360842525</v>
      </c>
      <c r="D196" s="1058">
        <f t="shared" si="33"/>
        <v>984.91801438387017</v>
      </c>
      <c r="E196" s="1058">
        <f t="shared" si="34"/>
        <v>13694.300071993332</v>
      </c>
      <c r="F196" s="1058">
        <f t="shared" si="35"/>
        <v>61971.0414650331</v>
      </c>
      <c r="G196" s="1058">
        <f t="shared" si="36"/>
        <v>3663.8950135079967</v>
      </c>
      <c r="H196" s="1857">
        <v>90</v>
      </c>
      <c r="I196" s="1857">
        <f>'Emission-Waste Transport Vehicl'!N58</f>
        <v>19.871246569680004</v>
      </c>
      <c r="J196" s="1857">
        <f>'Emission-Waste Transport Vehicl'!P58</f>
        <v>11.056030516080002</v>
      </c>
      <c r="K196" s="1857">
        <f>'Emission-Waste Transport Vehicl'!Q58</f>
        <v>8.5864241865600004</v>
      </c>
      <c r="L196" s="1857">
        <f>'Emission-Waste Transport Vehicl'!R58</f>
        <v>0.85460491512000014</v>
      </c>
      <c r="M196" s="1857">
        <f t="shared" si="37"/>
        <v>59213.271024758273</v>
      </c>
      <c r="N196" s="830">
        <f t="shared" si="31"/>
        <v>19571.548714741522</v>
      </c>
      <c r="O196" s="830">
        <f t="shared" si="28"/>
        <v>151404.59949231482</v>
      </c>
      <c r="P196" s="830">
        <f t="shared" si="29"/>
        <v>532109.64930167294</v>
      </c>
      <c r="Q196" s="830">
        <f t="shared" si="30"/>
        <v>3131.1826870275931</v>
      </c>
      <c r="R196" s="2773"/>
    </row>
    <row r="197" spans="1:18" x14ac:dyDescent="0.25">
      <c r="A197" s="2802"/>
      <c r="B197" s="706">
        <v>2045</v>
      </c>
      <c r="C197" s="1058">
        <f t="shared" si="32"/>
        <v>657925.23360842525</v>
      </c>
      <c r="D197" s="1058">
        <f t="shared" si="33"/>
        <v>984.91801438387017</v>
      </c>
      <c r="E197" s="1058">
        <f t="shared" si="34"/>
        <v>13694.300071993332</v>
      </c>
      <c r="F197" s="1058">
        <f t="shared" si="35"/>
        <v>61971.0414650331</v>
      </c>
      <c r="G197" s="1058">
        <f t="shared" si="36"/>
        <v>3663.8950135079967</v>
      </c>
      <c r="H197" s="1857">
        <v>92</v>
      </c>
      <c r="I197" s="1857">
        <f>'Emission-Waste Transport Vehicl'!N59</f>
        <v>19.483276374144001</v>
      </c>
      <c r="J197" s="1857">
        <f>'Emission-Waste Transport Vehicl'!P59</f>
        <v>10.840170363264003</v>
      </c>
      <c r="K197" s="1857">
        <f>'Emission-Waste Transport Vehicl'!Q59</f>
        <v>8.4187811220480011</v>
      </c>
      <c r="L197" s="1857">
        <f>'Emission-Waste Transport Vehicl'!R59</f>
        <v>0.83791943769600008</v>
      </c>
      <c r="M197" s="1857">
        <f t="shared" si="37"/>
        <v>60529.121491975129</v>
      </c>
      <c r="N197" s="830">
        <f t="shared" si="31"/>
        <v>19189.429880114079</v>
      </c>
      <c r="O197" s="830">
        <f t="shared" ref="O197:O221" si="38">E197*J197</f>
        <v>148448.54578606621</v>
      </c>
      <c r="P197" s="830">
        <f t="shared" ref="P197:P221" si="39">F197*K197</f>
        <v>521720.63399947458</v>
      </c>
      <c r="Q197" s="830">
        <f t="shared" ref="Q197:Q221" si="40">G197*L197</f>
        <v>3070.0488494957995</v>
      </c>
      <c r="R197" s="2773"/>
    </row>
    <row r="198" spans="1:18" x14ac:dyDescent="0.25">
      <c r="A198" s="2802"/>
      <c r="B198" s="706">
        <v>2046</v>
      </c>
      <c r="C198" s="1058">
        <f t="shared" si="32"/>
        <v>657925.23360842525</v>
      </c>
      <c r="D198" s="1058">
        <f t="shared" si="33"/>
        <v>984.91801438387017</v>
      </c>
      <c r="E198" s="1058">
        <f t="shared" si="34"/>
        <v>13694.300071993332</v>
      </c>
      <c r="F198" s="1058">
        <f t="shared" si="35"/>
        <v>61971.0414650331</v>
      </c>
      <c r="G198" s="1058">
        <f t="shared" si="36"/>
        <v>3663.8950135079967</v>
      </c>
      <c r="H198" s="1857">
        <v>93</v>
      </c>
      <c r="I198" s="1857">
        <f>'Emission-Waste Transport Vehicl'!N60</f>
        <v>19.101826686096</v>
      </c>
      <c r="J198" s="1857">
        <f>'Emission-Waste Transport Vehicl'!P60</f>
        <v>10.627938112176002</v>
      </c>
      <c r="K198" s="1857">
        <f>'Emission-Waste Transport Vehicl'!Q60</f>
        <v>8.2539555880319995</v>
      </c>
      <c r="L198" s="1857">
        <f>'Emission-Waste Transport Vehicl'!R60</f>
        <v>0.82151438846400004</v>
      </c>
      <c r="M198" s="1857">
        <f t="shared" si="37"/>
        <v>61187.046725583554</v>
      </c>
      <c r="N198" s="830">
        <f t="shared" si="31"/>
        <v>18813.733210774495</v>
      </c>
      <c r="O198" s="830">
        <f t="shared" si="38"/>
        <v>145542.1736547125</v>
      </c>
      <c r="P198" s="830">
        <f t="shared" si="39"/>
        <v>511506.22399647272</v>
      </c>
      <c r="Q198" s="830">
        <f t="shared" si="40"/>
        <v>3009.942471418321</v>
      </c>
      <c r="R198" s="2773"/>
    </row>
    <row r="199" spans="1:18" x14ac:dyDescent="0.25">
      <c r="A199" s="2802"/>
      <c r="B199" s="706">
        <v>2047</v>
      </c>
      <c r="C199" s="1058">
        <f t="shared" si="32"/>
        <v>657925.23360842525</v>
      </c>
      <c r="D199" s="1058">
        <f t="shared" si="33"/>
        <v>984.91801438387017</v>
      </c>
      <c r="E199" s="1058">
        <f t="shared" si="34"/>
        <v>13694.300071993332</v>
      </c>
      <c r="F199" s="1058">
        <f t="shared" si="35"/>
        <v>61971.0414650331</v>
      </c>
      <c r="G199" s="1058">
        <f t="shared" si="36"/>
        <v>3663.8950135079967</v>
      </c>
      <c r="H199" s="1857">
        <v>94</v>
      </c>
      <c r="I199" s="1857">
        <f>'Emission-Waste Transport Vehicl'!N61</f>
        <v>18.726897505536005</v>
      </c>
      <c r="J199" s="1857">
        <f>'Emission-Waste Transport Vehicl'!P61</f>
        <v>10.419333762816001</v>
      </c>
      <c r="K199" s="1857">
        <f>'Emission-Waste Transport Vehicl'!Q61</f>
        <v>8.0919475845120008</v>
      </c>
      <c r="L199" s="1857">
        <f>'Emission-Waste Transport Vehicl'!R61</f>
        <v>0.80538976742400015</v>
      </c>
      <c r="M199" s="1857">
        <f t="shared" si="37"/>
        <v>61844.971959191978</v>
      </c>
      <c r="N199" s="830">
        <f t="shared" si="31"/>
        <v>18444.458706722773</v>
      </c>
      <c r="O199" s="830">
        <f t="shared" si="38"/>
        <v>142685.4830982537</v>
      </c>
      <c r="P199" s="830">
        <f t="shared" si="39"/>
        <v>501466.41929266765</v>
      </c>
      <c r="Q199" s="830">
        <f t="shared" si="40"/>
        <v>2950.8635527951592</v>
      </c>
      <c r="R199" s="2773"/>
    </row>
    <row r="200" spans="1:18" x14ac:dyDescent="0.25">
      <c r="A200" s="2802"/>
      <c r="B200" s="706">
        <v>2048</v>
      </c>
      <c r="C200" s="1058">
        <f t="shared" si="32"/>
        <v>657925.23360842525</v>
      </c>
      <c r="D200" s="1058">
        <f t="shared" si="33"/>
        <v>984.91801438387017</v>
      </c>
      <c r="E200" s="1058">
        <f t="shared" si="34"/>
        <v>13694.300071993332</v>
      </c>
      <c r="F200" s="1058">
        <f t="shared" si="35"/>
        <v>61971.0414650331</v>
      </c>
      <c r="G200" s="1058">
        <f t="shared" si="36"/>
        <v>3663.8950135079967</v>
      </c>
      <c r="H200" s="1857">
        <v>95</v>
      </c>
      <c r="I200" s="1857">
        <f>'Emission-Waste Transport Vehicl'!N62</f>
        <v>18.358488832464005</v>
      </c>
      <c r="J200" s="1857">
        <f>'Emission-Waste Transport Vehicl'!P62</f>
        <v>10.214357315184001</v>
      </c>
      <c r="K200" s="1857">
        <f>'Emission-Waste Transport Vehicl'!Q62</f>
        <v>7.9327571114880007</v>
      </c>
      <c r="L200" s="1857">
        <f>'Emission-Waste Transport Vehicl'!R62</f>
        <v>0.78954557457600016</v>
      </c>
      <c r="M200" s="1857">
        <f t="shared" si="37"/>
        <v>62502.897192800403</v>
      </c>
      <c r="N200" s="830">
        <f t="shared" si="31"/>
        <v>18081.606367958902</v>
      </c>
      <c r="O200" s="830">
        <f t="shared" si="38"/>
        <v>139878.47411668987</v>
      </c>
      <c r="P200" s="830">
        <f t="shared" si="39"/>
        <v>491601.21988805907</v>
      </c>
      <c r="Q200" s="830">
        <f t="shared" si="40"/>
        <v>2892.8120936263131</v>
      </c>
      <c r="R200" s="2773"/>
    </row>
    <row r="201" spans="1:18" x14ac:dyDescent="0.25">
      <c r="A201" s="2802"/>
      <c r="B201" s="706">
        <v>2049</v>
      </c>
      <c r="C201" s="1058">
        <f t="shared" si="32"/>
        <v>657925.23360842525</v>
      </c>
      <c r="D201" s="1058">
        <f t="shared" si="33"/>
        <v>984.91801438387017</v>
      </c>
      <c r="E201" s="1058">
        <f t="shared" si="34"/>
        <v>13694.300071993332</v>
      </c>
      <c r="F201" s="1058">
        <f t="shared" si="35"/>
        <v>61971.0414650331</v>
      </c>
      <c r="G201" s="1058">
        <f t="shared" si="36"/>
        <v>3663.8950135079967</v>
      </c>
      <c r="H201" s="1857">
        <v>96</v>
      </c>
      <c r="I201" s="1857">
        <f>'Emission-Waste Transport Vehicl'!N63</f>
        <v>17.999860920624005</v>
      </c>
      <c r="J201" s="1857">
        <f>'Emission-Waste Transport Vehicl'!P63</f>
        <v>10.014822720144002</v>
      </c>
      <c r="K201" s="1857">
        <f>'Emission-Waste Transport Vehicl'!Q63</f>
        <v>7.7777929342080014</v>
      </c>
      <c r="L201" s="1857">
        <f>'Emission-Waste Transport Vehicl'!R63</f>
        <v>0.77412202401600017</v>
      </c>
      <c r="M201" s="1857">
        <f t="shared" si="37"/>
        <v>63160.822426408828</v>
      </c>
      <c r="N201" s="830">
        <f t="shared" si="31"/>
        <v>17728.387277126818</v>
      </c>
      <c r="O201" s="830">
        <f t="shared" si="38"/>
        <v>137145.98749746845</v>
      </c>
      <c r="P201" s="830">
        <f t="shared" si="39"/>
        <v>481997.92843224551</v>
      </c>
      <c r="Q201" s="830">
        <f t="shared" si="40"/>
        <v>2836.3018236389407</v>
      </c>
      <c r="R201" s="2773"/>
    </row>
    <row r="202" spans="1:18" x14ac:dyDescent="0.25">
      <c r="A202" s="2802"/>
      <c r="B202" s="706">
        <v>2050</v>
      </c>
      <c r="C202" s="1058">
        <f t="shared" si="32"/>
        <v>657925.23360842525</v>
      </c>
      <c r="D202" s="1058">
        <f t="shared" si="33"/>
        <v>984.91801438387017</v>
      </c>
      <c r="E202" s="1058">
        <f t="shared" si="34"/>
        <v>13694.300071993332</v>
      </c>
      <c r="F202" s="1058">
        <f t="shared" si="35"/>
        <v>61971.0414650331</v>
      </c>
      <c r="G202" s="1058">
        <f t="shared" si="36"/>
        <v>3663.8950135079967</v>
      </c>
      <c r="H202" s="1857">
        <v>97</v>
      </c>
      <c r="I202" s="1857">
        <f>'Emission-Waste Transport Vehicl'!N64</f>
        <v>17.644493262528005</v>
      </c>
      <c r="J202" s="1857">
        <f>'Emission-Waste Transport Vehicl'!P64</f>
        <v>9.8171020759680019</v>
      </c>
      <c r="K202" s="1857">
        <f>'Emission-Waste Transport Vehicl'!Q64</f>
        <v>7.624237522176001</v>
      </c>
      <c r="L202" s="1857">
        <f>'Emission-Waste Transport Vehicl'!R64</f>
        <v>0.75883868755200012</v>
      </c>
      <c r="M202" s="1857">
        <f t="shared" si="37"/>
        <v>63818.747660017252</v>
      </c>
      <c r="N202" s="830">
        <f t="shared" si="31"/>
        <v>17378.379268938657</v>
      </c>
      <c r="O202" s="830">
        <f t="shared" si="38"/>
        <v>134438.34166569449</v>
      </c>
      <c r="P202" s="830">
        <f t="shared" si="39"/>
        <v>472481.93962603016</v>
      </c>
      <c r="Q202" s="830">
        <f t="shared" si="40"/>
        <v>2780.305283378726</v>
      </c>
      <c r="R202" s="2773"/>
    </row>
    <row r="203" spans="1:18" x14ac:dyDescent="0.25">
      <c r="A203" s="2802"/>
      <c r="B203" s="706">
        <v>2051</v>
      </c>
      <c r="C203" s="1058">
        <f t="shared" si="32"/>
        <v>657925.23360842525</v>
      </c>
      <c r="D203" s="1058">
        <f t="shared" si="33"/>
        <v>984.91801438387017</v>
      </c>
      <c r="E203" s="1058">
        <f t="shared" si="34"/>
        <v>13694.300071993332</v>
      </c>
      <c r="F203" s="1058">
        <f t="shared" si="35"/>
        <v>61971.0414650331</v>
      </c>
      <c r="G203" s="1058">
        <f t="shared" si="36"/>
        <v>3663.8950135079967</v>
      </c>
      <c r="H203" s="1857">
        <v>97</v>
      </c>
      <c r="I203" s="1857">
        <f>'Emission-Waste Transport Vehicl'!N65</f>
        <v>17.298906365664003</v>
      </c>
      <c r="J203" s="1857">
        <f>'Emission-Waste Transport Vehicl'!P65</f>
        <v>9.624823284384</v>
      </c>
      <c r="K203" s="1857">
        <f>'Emission-Waste Transport Vehicl'!Q65</f>
        <v>7.4749084058879998</v>
      </c>
      <c r="L203" s="1857">
        <f>'Emission-Waste Transport Vehicl'!R65</f>
        <v>0.74397599337600007</v>
      </c>
      <c r="M203" s="1857">
        <f t="shared" si="37"/>
        <v>63818.747660017252</v>
      </c>
      <c r="N203" s="830">
        <f t="shared" si="31"/>
        <v>17038.004508682283</v>
      </c>
      <c r="O203" s="830">
        <f t="shared" si="38"/>
        <v>131805.2181962629</v>
      </c>
      <c r="P203" s="830">
        <f t="shared" si="39"/>
        <v>463227.8587686097</v>
      </c>
      <c r="Q203" s="830">
        <f t="shared" si="40"/>
        <v>2725.8499322999851</v>
      </c>
      <c r="R203" s="2773"/>
    </row>
    <row r="204" spans="1:18" x14ac:dyDescent="0.25">
      <c r="A204" s="2802"/>
      <c r="B204" s="706">
        <v>2052</v>
      </c>
      <c r="C204" s="1058">
        <f t="shared" si="32"/>
        <v>657925.23360842525</v>
      </c>
      <c r="D204" s="1058">
        <f t="shared" si="33"/>
        <v>984.91801438387017</v>
      </c>
      <c r="E204" s="1058">
        <f t="shared" si="34"/>
        <v>13694.300071993332</v>
      </c>
      <c r="F204" s="1058">
        <f t="shared" si="35"/>
        <v>61971.0414650331</v>
      </c>
      <c r="G204" s="1058">
        <f t="shared" si="36"/>
        <v>3663.8950135079967</v>
      </c>
      <c r="H204" s="1857">
        <v>97</v>
      </c>
      <c r="I204" s="1857">
        <f>'Emission-Waste Transport Vehicl'!N66</f>
        <v>16.959839976288002</v>
      </c>
      <c r="J204" s="1857">
        <f>'Emission-Waste Transport Vehicl'!P66</f>
        <v>9.4361723945280005</v>
      </c>
      <c r="K204" s="1857">
        <f>'Emission-Waste Transport Vehicl'!Q66</f>
        <v>7.3283968200960006</v>
      </c>
      <c r="L204" s="1857">
        <f>'Emission-Waste Transport Vehicl'!R66</f>
        <v>0.72939372739200004</v>
      </c>
      <c r="M204" s="1857">
        <f t="shared" si="37"/>
        <v>63818.747660017252</v>
      </c>
      <c r="N204" s="830">
        <f t="shared" si="31"/>
        <v>16704.051913713763</v>
      </c>
      <c r="O204" s="830">
        <f t="shared" si="38"/>
        <v>129221.77630172629</v>
      </c>
      <c r="P204" s="830">
        <f t="shared" si="39"/>
        <v>454148.38321038597</v>
      </c>
      <c r="Q204" s="830">
        <f t="shared" si="40"/>
        <v>2672.4220406755599</v>
      </c>
      <c r="R204" s="2773"/>
    </row>
    <row r="205" spans="1:18" x14ac:dyDescent="0.25">
      <c r="A205" s="2802"/>
      <c r="B205" s="706">
        <v>2053</v>
      </c>
      <c r="C205" s="1058">
        <f t="shared" si="32"/>
        <v>657925.23360842525</v>
      </c>
      <c r="D205" s="1058">
        <f t="shared" si="33"/>
        <v>984.91801438387017</v>
      </c>
      <c r="E205" s="1058">
        <f t="shared" si="34"/>
        <v>13694.300071993332</v>
      </c>
      <c r="F205" s="1058">
        <f t="shared" si="35"/>
        <v>61971.0414650331</v>
      </c>
      <c r="G205" s="1058">
        <f t="shared" si="36"/>
        <v>3663.8950135079967</v>
      </c>
      <c r="H205" s="1857">
        <v>97</v>
      </c>
      <c r="I205" s="1857">
        <f>'Emission-Waste Transport Vehicl'!N67</f>
        <v>15.361506000000002</v>
      </c>
      <c r="J205" s="1857">
        <f>'Emission-Waste Transport Vehicl'!P67</f>
        <v>9.2511494064000015</v>
      </c>
      <c r="K205" s="1857">
        <f>'Emission-Waste Transport Vehicl'!Q67</f>
        <v>7.1847027647999999</v>
      </c>
      <c r="L205" s="1857">
        <f>'Emission-Waste Transport Vehicl'!R67</f>
        <v>0.71509188960000014</v>
      </c>
      <c r="M205" s="1857">
        <f t="shared" si="37"/>
        <v>63818.747660017252</v>
      </c>
      <c r="N205" s="830">
        <f t="shared" si="31"/>
        <v>15129.82398746591</v>
      </c>
      <c r="O205" s="830">
        <f t="shared" si="38"/>
        <v>126688.0159820846</v>
      </c>
      <c r="P205" s="830">
        <f t="shared" si="39"/>
        <v>445243.51295135875</v>
      </c>
      <c r="Q205" s="830">
        <f t="shared" si="40"/>
        <v>2620.0216085054512</v>
      </c>
      <c r="R205" s="2773"/>
    </row>
    <row r="206" spans="1:18" x14ac:dyDescent="0.25">
      <c r="A206" s="2802"/>
      <c r="B206" s="706">
        <v>2054</v>
      </c>
      <c r="C206" s="1058">
        <f t="shared" si="32"/>
        <v>657925.23360842525</v>
      </c>
      <c r="D206" s="1058">
        <f t="shared" si="33"/>
        <v>984.91801438387017</v>
      </c>
      <c r="E206" s="1058">
        <f t="shared" si="34"/>
        <v>13694.300071993332</v>
      </c>
      <c r="F206" s="1058">
        <f t="shared" si="35"/>
        <v>61971.0414650331</v>
      </c>
      <c r="G206" s="1058">
        <f t="shared" si="36"/>
        <v>3663.8950135079967</v>
      </c>
      <c r="H206" s="1857">
        <v>97</v>
      </c>
      <c r="I206" s="1857">
        <f>'Emission-Waste Transport Vehicl'!N68</f>
        <v>16.301268720000003</v>
      </c>
      <c r="J206" s="1857">
        <f>'Emission-Waste Transport Vehicl'!P68</f>
        <v>9.0697543200000013</v>
      </c>
      <c r="K206" s="1857">
        <f>'Emission-Waste Transport Vehicl'!Q68</f>
        <v>7.0438262400000005</v>
      </c>
      <c r="L206" s="1857">
        <f>'Emission-Waste Transport Vehicl'!R68</f>
        <v>0.70107048000000005</v>
      </c>
      <c r="M206" s="1857">
        <f t="shared" si="37"/>
        <v>63818.747660017252</v>
      </c>
      <c r="N206" s="830">
        <f t="shared" si="31"/>
        <v>16055.413219640295</v>
      </c>
      <c r="O206" s="830">
        <f t="shared" si="38"/>
        <v>124203.93723733784</v>
      </c>
      <c r="P206" s="830">
        <f t="shared" si="39"/>
        <v>436513.24799152825</v>
      </c>
      <c r="Q206" s="830">
        <f t="shared" si="40"/>
        <v>2568.6486357896579</v>
      </c>
      <c r="R206" s="2773"/>
    </row>
    <row r="207" spans="1:18" x14ac:dyDescent="0.25">
      <c r="A207" s="2802"/>
      <c r="B207" s="706">
        <v>2055</v>
      </c>
      <c r="C207" s="1058">
        <f t="shared" si="32"/>
        <v>657925.23360842525</v>
      </c>
      <c r="D207" s="1058">
        <f t="shared" si="33"/>
        <v>984.91801438387017</v>
      </c>
      <c r="E207" s="1058">
        <f t="shared" si="34"/>
        <v>13694.300071993332</v>
      </c>
      <c r="F207" s="1058">
        <f t="shared" si="35"/>
        <v>61971.0414650331</v>
      </c>
      <c r="G207" s="1058">
        <f t="shared" si="36"/>
        <v>3663.8950135079967</v>
      </c>
      <c r="H207" s="1857">
        <v>97</v>
      </c>
      <c r="I207" s="1857">
        <f>'Emission-Waste Transport Vehicl'!N69</f>
        <v>15.981763853088003</v>
      </c>
      <c r="J207" s="1857">
        <f>'Emission-Waste Transport Vehicl'!P69</f>
        <v>8.8919871353280016</v>
      </c>
      <c r="K207" s="1857">
        <f>'Emission-Waste Transport Vehicl'!Q69</f>
        <v>6.9057672456960004</v>
      </c>
      <c r="L207" s="1857">
        <f>'Emission-Waste Transport Vehicl'!R69</f>
        <v>0.6873294985920001</v>
      </c>
      <c r="M207" s="1857">
        <f t="shared" si="37"/>
        <v>63818.747660017252</v>
      </c>
      <c r="N207" s="830">
        <f t="shared" si="31"/>
        <v>15740.727120535346</v>
      </c>
      <c r="O207" s="830">
        <f t="shared" si="38"/>
        <v>121769.54006748603</v>
      </c>
      <c r="P207" s="830">
        <f t="shared" si="39"/>
        <v>427957.58833089424</v>
      </c>
      <c r="Q207" s="830">
        <f t="shared" si="40"/>
        <v>2518.3031225281807</v>
      </c>
      <c r="R207" s="2773"/>
    </row>
    <row r="208" spans="1:18" x14ac:dyDescent="0.25">
      <c r="A208" s="2802"/>
      <c r="B208" s="706">
        <v>2056</v>
      </c>
      <c r="C208" s="1058">
        <f t="shared" si="32"/>
        <v>657925.23360842525</v>
      </c>
      <c r="D208" s="1058">
        <f t="shared" si="33"/>
        <v>984.91801438387017</v>
      </c>
      <c r="E208" s="1058">
        <f t="shared" si="34"/>
        <v>13694.300071993332</v>
      </c>
      <c r="F208" s="1058">
        <f t="shared" si="35"/>
        <v>61971.0414650331</v>
      </c>
      <c r="G208" s="1058">
        <f t="shared" si="36"/>
        <v>3663.8950135079967</v>
      </c>
      <c r="H208" s="1857">
        <v>97</v>
      </c>
      <c r="I208" s="1857">
        <f>'Emission-Waste Transport Vehicl'!N70</f>
        <v>15.668779493664003</v>
      </c>
      <c r="J208" s="1857">
        <f>'Emission-Waste Transport Vehicl'!P70</f>
        <v>8.7178478523840006</v>
      </c>
      <c r="K208" s="1857">
        <f>'Emission-Waste Transport Vehicl'!Q70</f>
        <v>6.7705257818880007</v>
      </c>
      <c r="L208" s="1857">
        <f>'Emission-Waste Transport Vehicl'!R70</f>
        <v>0.67386894537600017</v>
      </c>
      <c r="M208" s="1857">
        <f t="shared" si="37"/>
        <v>63818.747660017252</v>
      </c>
      <c r="N208" s="830">
        <f t="shared" si="31"/>
        <v>15432.463186718252</v>
      </c>
      <c r="O208" s="830">
        <f t="shared" si="38"/>
        <v>119384.82447252913</v>
      </c>
      <c r="P208" s="830">
        <f t="shared" si="39"/>
        <v>419576.53396945697</v>
      </c>
      <c r="Q208" s="830">
        <f t="shared" si="40"/>
        <v>2468.9850687210196</v>
      </c>
      <c r="R208" s="2773"/>
    </row>
    <row r="209" spans="1:18" x14ac:dyDescent="0.25">
      <c r="A209" s="2802"/>
      <c r="B209" s="706">
        <v>2057</v>
      </c>
      <c r="C209" s="1058">
        <f t="shared" si="32"/>
        <v>657925.23360842525</v>
      </c>
      <c r="D209" s="1058">
        <f t="shared" si="33"/>
        <v>984.91801438387017</v>
      </c>
      <c r="E209" s="1058">
        <f t="shared" si="34"/>
        <v>13694.300071993332</v>
      </c>
      <c r="F209" s="1058">
        <f t="shared" si="35"/>
        <v>61971.0414650331</v>
      </c>
      <c r="G209" s="1058">
        <f t="shared" si="36"/>
        <v>3663.8950135079967</v>
      </c>
      <c r="H209" s="1857">
        <v>97</v>
      </c>
      <c r="I209" s="1857">
        <f>'Emission-Waste Transport Vehicl'!N71</f>
        <v>15.362315641728001</v>
      </c>
      <c r="J209" s="1857">
        <f>'Emission-Waste Transport Vehicl'!P71</f>
        <v>8.547336471168002</v>
      </c>
      <c r="K209" s="1857">
        <f>'Emission-Waste Transport Vehicl'!Q71</f>
        <v>6.6381018485760004</v>
      </c>
      <c r="L209" s="1857">
        <f>'Emission-Waste Transport Vehicl'!R71</f>
        <v>0.66068882035200005</v>
      </c>
      <c r="M209" s="1857">
        <f t="shared" si="37"/>
        <v>63818.747660017252</v>
      </c>
      <c r="N209" s="830">
        <f t="shared" si="31"/>
        <v>15130.621418189014</v>
      </c>
      <c r="O209" s="830">
        <f t="shared" si="38"/>
        <v>117049.7904524672</v>
      </c>
      <c r="P209" s="830">
        <f t="shared" si="39"/>
        <v>411370.08490721619</v>
      </c>
      <c r="Q209" s="830">
        <f t="shared" si="40"/>
        <v>2420.6944743681738</v>
      </c>
      <c r="R209" s="2773"/>
    </row>
    <row r="210" spans="1:18" x14ac:dyDescent="0.25">
      <c r="A210" s="2802"/>
      <c r="B210" s="706">
        <v>2058</v>
      </c>
      <c r="C210" s="1058">
        <f t="shared" si="32"/>
        <v>657925.23360842525</v>
      </c>
      <c r="D210" s="1058">
        <f t="shared" si="33"/>
        <v>984.91801438387017</v>
      </c>
      <c r="E210" s="1058">
        <f t="shared" si="34"/>
        <v>13694.300071993332</v>
      </c>
      <c r="F210" s="1058">
        <f t="shared" si="35"/>
        <v>61971.0414650331</v>
      </c>
      <c r="G210" s="1058">
        <f t="shared" si="36"/>
        <v>3663.8950135079967</v>
      </c>
      <c r="H210" s="1857">
        <v>97</v>
      </c>
      <c r="I210" s="1857">
        <f>'Emission-Waste Transport Vehicl'!N72</f>
        <v>15.059112043536</v>
      </c>
      <c r="J210" s="1857">
        <f>'Emission-Waste Transport Vehicl'!P72</f>
        <v>8.378639040816001</v>
      </c>
      <c r="K210" s="1857">
        <f>'Emission-Waste Transport Vehicl'!Q72</f>
        <v>6.5070866805119998</v>
      </c>
      <c r="L210" s="1857">
        <f>'Emission-Waste Transport Vehicl'!R72</f>
        <v>0.647648909424</v>
      </c>
      <c r="M210" s="1857">
        <f t="shared" si="37"/>
        <v>63818.747660017252</v>
      </c>
      <c r="N210" s="830">
        <f t="shared" si="31"/>
        <v>14831.990732303702</v>
      </c>
      <c r="O210" s="830">
        <f t="shared" si="38"/>
        <v>114739.5972198527</v>
      </c>
      <c r="P210" s="830">
        <f t="shared" si="39"/>
        <v>403250.93849457375</v>
      </c>
      <c r="Q210" s="830">
        <f t="shared" si="40"/>
        <v>2372.9176097424856</v>
      </c>
      <c r="R210" s="2773"/>
    </row>
    <row r="211" spans="1:18" x14ac:dyDescent="0.25">
      <c r="A211" s="2802"/>
      <c r="B211" s="706">
        <v>2059</v>
      </c>
      <c r="C211" s="1058">
        <f t="shared" si="32"/>
        <v>657925.23360842525</v>
      </c>
      <c r="D211" s="1058">
        <f t="shared" si="33"/>
        <v>984.91801438387017</v>
      </c>
      <c r="E211" s="1058">
        <f t="shared" si="34"/>
        <v>13694.300071993332</v>
      </c>
      <c r="F211" s="1058">
        <f t="shared" si="35"/>
        <v>61971.0414650331</v>
      </c>
      <c r="G211" s="1058">
        <f t="shared" si="36"/>
        <v>3663.8950135079967</v>
      </c>
      <c r="H211" s="1857">
        <v>97</v>
      </c>
      <c r="I211" s="1857">
        <f>'Emission-Waste Transport Vehicl'!N73</f>
        <v>14.765689206576004</v>
      </c>
      <c r="J211" s="1857">
        <f>'Emission-Waste Transport Vehicl'!P73</f>
        <v>8.2153834630560016</v>
      </c>
      <c r="K211" s="1857">
        <f>'Emission-Waste Transport Vehicl'!Q73</f>
        <v>6.380297808192001</v>
      </c>
      <c r="L211" s="1857">
        <f>'Emission-Waste Transport Vehicl'!R73</f>
        <v>0.63502964078400004</v>
      </c>
      <c r="M211" s="1857">
        <f t="shared" si="37"/>
        <v>63818.747660017252</v>
      </c>
      <c r="N211" s="830">
        <f t="shared" si="31"/>
        <v>14542.993294350181</v>
      </c>
      <c r="O211" s="830">
        <f t="shared" si="38"/>
        <v>112503.92634958062</v>
      </c>
      <c r="P211" s="830">
        <f t="shared" si="39"/>
        <v>395393.70003072632</v>
      </c>
      <c r="Q211" s="830">
        <f t="shared" si="40"/>
        <v>2326.6819342982722</v>
      </c>
      <c r="R211" s="2773"/>
    </row>
    <row r="212" spans="1:18" x14ac:dyDescent="0.25">
      <c r="A212" s="2802"/>
      <c r="B212" s="706">
        <v>2060</v>
      </c>
      <c r="C212" s="1058">
        <f t="shared" si="32"/>
        <v>657925.23360842525</v>
      </c>
      <c r="D212" s="1058">
        <f t="shared" si="33"/>
        <v>984.91801438387017</v>
      </c>
      <c r="E212" s="1058">
        <f t="shared" si="34"/>
        <v>13694.300071993332</v>
      </c>
      <c r="F212" s="1058">
        <f t="shared" si="35"/>
        <v>61971.0414650331</v>
      </c>
      <c r="G212" s="1058">
        <f t="shared" si="36"/>
        <v>3663.8950135079967</v>
      </c>
      <c r="H212" s="1857">
        <v>97</v>
      </c>
      <c r="I212" s="1857">
        <f>'Emission-Waste Transport Vehicl'!N74</f>
        <v>14.475526623360002</v>
      </c>
      <c r="J212" s="1857">
        <f>'Emission-Waste Transport Vehicl'!P74</f>
        <v>8.0539418361599999</v>
      </c>
      <c r="K212" s="1857">
        <f>'Emission-Waste Transport Vehicl'!Q74</f>
        <v>6.2549177011200001</v>
      </c>
      <c r="L212" s="1857">
        <f>'Emission-Waste Transport Vehicl'!R74</f>
        <v>0.62255058624000004</v>
      </c>
      <c r="M212" s="1857">
        <f t="shared" si="37"/>
        <v>63818.747660017252</v>
      </c>
      <c r="N212" s="830">
        <f t="shared" si="31"/>
        <v>14257.206939040581</v>
      </c>
      <c r="O212" s="830">
        <f t="shared" si="38"/>
        <v>110293.09626675599</v>
      </c>
      <c r="P212" s="830">
        <f t="shared" si="39"/>
        <v>387623.76421647705</v>
      </c>
      <c r="Q212" s="830">
        <f t="shared" si="40"/>
        <v>2280.9599885812163</v>
      </c>
      <c r="R212" s="2773"/>
    </row>
    <row r="213" spans="1:18" x14ac:dyDescent="0.25">
      <c r="A213" s="2802"/>
      <c r="B213" s="706">
        <v>2061</v>
      </c>
      <c r="C213" s="1058">
        <f t="shared" si="32"/>
        <v>657925.23360842525</v>
      </c>
      <c r="D213" s="1058">
        <f t="shared" si="33"/>
        <v>984.91801438387017</v>
      </c>
      <c r="E213" s="1058">
        <f t="shared" si="34"/>
        <v>13694.300071993332</v>
      </c>
      <c r="F213" s="1058">
        <f t="shared" si="35"/>
        <v>61971.0414650331</v>
      </c>
      <c r="G213" s="1058">
        <f t="shared" si="36"/>
        <v>3663.8950135079967</v>
      </c>
      <c r="H213" s="1857">
        <v>97</v>
      </c>
      <c r="I213" s="1857">
        <f>'Emission-Waste Transport Vehicl'!N75</f>
        <v>14.191884547632004</v>
      </c>
      <c r="J213" s="1857">
        <f>'Emission-Waste Transport Vehicl'!P75</f>
        <v>7.8961281109920014</v>
      </c>
      <c r="K213" s="1857">
        <f>'Emission-Waste Transport Vehicl'!Q75</f>
        <v>6.1323551245440004</v>
      </c>
      <c r="L213" s="1857">
        <f>'Emission-Waste Transport Vehicl'!R75</f>
        <v>0.61035195988800006</v>
      </c>
      <c r="M213" s="1857">
        <f t="shared" si="37"/>
        <v>63818.747660017252</v>
      </c>
      <c r="N213" s="830">
        <f t="shared" si="31"/>
        <v>13977.842749018842</v>
      </c>
      <c r="O213" s="830">
        <f t="shared" si="38"/>
        <v>108131.94775882634</v>
      </c>
      <c r="P213" s="830">
        <f t="shared" si="39"/>
        <v>380028.43370142445</v>
      </c>
      <c r="Q213" s="830">
        <f t="shared" si="40"/>
        <v>2236.2655023184761</v>
      </c>
      <c r="R213" s="2773"/>
    </row>
    <row r="214" spans="1:18" x14ac:dyDescent="0.25">
      <c r="A214" s="2802"/>
      <c r="B214" s="706">
        <v>2062</v>
      </c>
      <c r="C214" s="1058">
        <f t="shared" si="32"/>
        <v>657925.23360842525</v>
      </c>
      <c r="D214" s="1058">
        <f t="shared" si="33"/>
        <v>984.91801438387017</v>
      </c>
      <c r="E214" s="1058">
        <f t="shared" si="34"/>
        <v>13694.300071993332</v>
      </c>
      <c r="F214" s="1058">
        <f t="shared" si="35"/>
        <v>61971.0414650331</v>
      </c>
      <c r="G214" s="1058">
        <f t="shared" si="36"/>
        <v>3663.8950135079967</v>
      </c>
      <c r="H214" s="1857">
        <v>97</v>
      </c>
      <c r="I214" s="1857">
        <f>'Emission-Waste Transport Vehicl'!N76</f>
        <v>13.914762979392002</v>
      </c>
      <c r="J214" s="1857">
        <f>'Emission-Waste Transport Vehicl'!P76</f>
        <v>7.7419422875520008</v>
      </c>
      <c r="K214" s="1857">
        <f>'Emission-Waste Transport Vehicl'!Q76</f>
        <v>6.0126100784640002</v>
      </c>
      <c r="L214" s="1857">
        <f>'Emission-Waste Transport Vehicl'!R76</f>
        <v>0.59843376172800011</v>
      </c>
      <c r="M214" s="1857">
        <f t="shared" si="37"/>
        <v>63818.747660017252</v>
      </c>
      <c r="N214" s="830">
        <f t="shared" si="31"/>
        <v>13704.900724284957</v>
      </c>
      <c r="O214" s="830">
        <f t="shared" si="38"/>
        <v>106020.48082579159</v>
      </c>
      <c r="P214" s="830">
        <f t="shared" si="39"/>
        <v>372607.70848556847</v>
      </c>
      <c r="Q214" s="830">
        <f t="shared" si="40"/>
        <v>2192.5984755100521</v>
      </c>
      <c r="R214" s="2773"/>
    </row>
    <row r="215" spans="1:18" x14ac:dyDescent="0.25">
      <c r="A215" s="2802"/>
      <c r="B215" s="706">
        <v>2063</v>
      </c>
      <c r="C215" s="1058">
        <f t="shared" si="32"/>
        <v>657925.23360842525</v>
      </c>
      <c r="D215" s="1058">
        <f t="shared" si="33"/>
        <v>984.91801438387017</v>
      </c>
      <c r="E215" s="1058">
        <f t="shared" si="34"/>
        <v>13694.300071993332</v>
      </c>
      <c r="F215" s="1058">
        <f t="shared" si="35"/>
        <v>61971.0414650331</v>
      </c>
      <c r="G215" s="1058">
        <f t="shared" si="36"/>
        <v>3663.8950135079967</v>
      </c>
      <c r="H215" s="1857">
        <v>97</v>
      </c>
      <c r="I215" s="1857">
        <f>'Emission-Waste Transport Vehicl'!N77</f>
        <v>13.640901664896001</v>
      </c>
      <c r="J215" s="1857">
        <f>'Emission-Waste Transport Vehicl'!P77</f>
        <v>7.5895704149760004</v>
      </c>
      <c r="K215" s="1857">
        <f>'Emission-Waste Transport Vehicl'!Q77</f>
        <v>5.8942737976319997</v>
      </c>
      <c r="L215" s="1857">
        <f>'Emission-Waste Transport Vehicl'!R77</f>
        <v>0.58665577766400001</v>
      </c>
      <c r="M215" s="1857">
        <f t="shared" si="37"/>
        <v>63818.747660017252</v>
      </c>
      <c r="N215" s="830">
        <f>D215*I215</f>
        <v>13435.169782194998</v>
      </c>
      <c r="O215" s="830">
        <f t="shared" si="38"/>
        <v>103933.8546802043</v>
      </c>
      <c r="P215" s="830">
        <f t="shared" si="39"/>
        <v>365274.28591931076</v>
      </c>
      <c r="Q215" s="830">
        <f t="shared" si="40"/>
        <v>2149.4451784287858</v>
      </c>
      <c r="R215" s="2773"/>
    </row>
    <row r="216" spans="1:18" x14ac:dyDescent="0.25">
      <c r="A216" s="2802"/>
      <c r="B216" s="706">
        <v>2064</v>
      </c>
      <c r="C216" s="1058">
        <f t="shared" si="32"/>
        <v>657925.23360842525</v>
      </c>
      <c r="D216" s="1058">
        <f t="shared" si="33"/>
        <v>984.91801438387017</v>
      </c>
      <c r="E216" s="1058">
        <f t="shared" si="34"/>
        <v>13694.300071993332</v>
      </c>
      <c r="F216" s="1058">
        <f t="shared" si="35"/>
        <v>61971.0414650331</v>
      </c>
      <c r="G216" s="1058">
        <f t="shared" si="36"/>
        <v>3663.8950135079967</v>
      </c>
      <c r="H216" s="1857">
        <v>97</v>
      </c>
      <c r="I216" s="1857">
        <f>'Emission-Waste Transport Vehicl'!N78</f>
        <v>13.373560857888002</v>
      </c>
      <c r="J216" s="1857">
        <f>'Emission-Waste Transport Vehicl'!P78</f>
        <v>7.4408264441280014</v>
      </c>
      <c r="K216" s="1857">
        <f>'Emission-Waste Transport Vehicl'!Q78</f>
        <v>5.7787550472960003</v>
      </c>
      <c r="L216" s="1857">
        <f>'Emission-Waste Transport Vehicl'!R78</f>
        <v>0.57515822179200005</v>
      </c>
      <c r="M216" s="1857">
        <f t="shared" si="37"/>
        <v>63818.747660017252</v>
      </c>
      <c r="N216" s="830">
        <f t="shared" ref="N216:N221" si="41">D216*I216</f>
        <v>13171.861005392899</v>
      </c>
      <c r="O216" s="830">
        <f t="shared" si="38"/>
        <v>101896.91010951197</v>
      </c>
      <c r="P216" s="830">
        <f t="shared" si="39"/>
        <v>358115.46865224978</v>
      </c>
      <c r="Q216" s="830">
        <f t="shared" si="40"/>
        <v>2107.3193408018356</v>
      </c>
      <c r="R216" s="2773"/>
    </row>
    <row r="217" spans="1:18" x14ac:dyDescent="0.25">
      <c r="A217" s="2802"/>
      <c r="B217" s="706">
        <v>2065</v>
      </c>
      <c r="C217" s="1058">
        <f t="shared" si="32"/>
        <v>657925.23360842525</v>
      </c>
      <c r="D217" s="1058">
        <f t="shared" si="33"/>
        <v>984.91801438387017</v>
      </c>
      <c r="E217" s="1058">
        <f t="shared" si="34"/>
        <v>13694.300071993332</v>
      </c>
      <c r="F217" s="1058">
        <f t="shared" si="35"/>
        <v>61971.0414650331</v>
      </c>
      <c r="G217" s="1058">
        <f t="shared" si="36"/>
        <v>3663.8950135079967</v>
      </c>
      <c r="H217" s="1857">
        <v>97</v>
      </c>
      <c r="I217" s="1857">
        <f>'Emission-Waste Transport Vehicl'!N79</f>
        <v>13.112740558368001</v>
      </c>
      <c r="J217" s="1857">
        <f>'Emission-Waste Transport Vehicl'!P79</f>
        <v>7.2957103750080003</v>
      </c>
      <c r="K217" s="1857">
        <f>'Emission-Waste Transport Vehicl'!Q79</f>
        <v>5.6660538274560004</v>
      </c>
      <c r="L217" s="1857">
        <f>'Emission-Waste Transport Vehicl'!R79</f>
        <v>0.56394109411200011</v>
      </c>
      <c r="M217" s="1857">
        <f t="shared" si="37"/>
        <v>63818.747660017252</v>
      </c>
      <c r="N217" s="830">
        <f t="shared" si="41"/>
        <v>12914.974393878652</v>
      </c>
      <c r="O217" s="830">
        <f t="shared" si="38"/>
        <v>99909.647113714556</v>
      </c>
      <c r="P217" s="830">
        <f t="shared" si="39"/>
        <v>351131.2566843853</v>
      </c>
      <c r="Q217" s="830">
        <f t="shared" si="40"/>
        <v>2066.220962629201</v>
      </c>
      <c r="R217" s="2773"/>
    </row>
    <row r="218" spans="1:18" x14ac:dyDescent="0.25">
      <c r="A218" s="2802"/>
      <c r="B218" s="706">
        <v>2066</v>
      </c>
      <c r="C218" s="1058">
        <f t="shared" si="32"/>
        <v>657925.23360842525</v>
      </c>
      <c r="D218" s="1058">
        <f t="shared" si="33"/>
        <v>984.91801438387017</v>
      </c>
      <c r="E218" s="1058">
        <f t="shared" si="34"/>
        <v>13694.300071993332</v>
      </c>
      <c r="F218" s="1058">
        <f t="shared" si="35"/>
        <v>61971.0414650331</v>
      </c>
      <c r="G218" s="1058">
        <f t="shared" si="36"/>
        <v>3663.8950135079967</v>
      </c>
      <c r="H218" s="1857">
        <v>97</v>
      </c>
      <c r="I218" s="1857">
        <f>'Emission-Waste Transport Vehicl'!N80</f>
        <v>12.855180512592</v>
      </c>
      <c r="J218" s="1857">
        <f>'Emission-Waste Transport Vehicl'!P80</f>
        <v>7.1524082567520004</v>
      </c>
      <c r="K218" s="1857">
        <f>'Emission-Waste Transport Vehicl'!Q80</f>
        <v>5.5547613728639993</v>
      </c>
      <c r="L218" s="1857">
        <f>'Emission-Waste Transport Vehicl'!R80</f>
        <v>0.55286418052800002</v>
      </c>
      <c r="M218" s="1857">
        <f t="shared" si="37"/>
        <v>63818.747660017252</v>
      </c>
      <c r="N218" s="830">
        <f t="shared" si="41"/>
        <v>12661.298865008335</v>
      </c>
      <c r="O218" s="830">
        <f t="shared" si="38"/>
        <v>97947.224905364623</v>
      </c>
      <c r="P218" s="830">
        <f t="shared" si="39"/>
        <v>344234.34736611909</v>
      </c>
      <c r="Q218" s="830">
        <f t="shared" si="40"/>
        <v>2025.6363141837242</v>
      </c>
      <c r="R218" s="2773"/>
    </row>
    <row r="219" spans="1:18" x14ac:dyDescent="0.25">
      <c r="A219" s="2802"/>
      <c r="B219" s="706">
        <v>2067</v>
      </c>
      <c r="C219" s="1058">
        <f t="shared" si="32"/>
        <v>657925.23360842525</v>
      </c>
      <c r="D219" s="1058">
        <f t="shared" si="33"/>
        <v>984.91801438387017</v>
      </c>
      <c r="E219" s="1058">
        <f t="shared" si="34"/>
        <v>13694.300071993332</v>
      </c>
      <c r="F219" s="1058">
        <f t="shared" si="35"/>
        <v>61971.0414650331</v>
      </c>
      <c r="G219" s="1058">
        <f t="shared" si="36"/>
        <v>3663.8950135079967</v>
      </c>
      <c r="H219" s="1857">
        <v>97</v>
      </c>
      <c r="I219" s="1857">
        <f>'Emission-Waste Transport Vehicl'!N81</f>
        <v>12.600880720560001</v>
      </c>
      <c r="J219" s="1857">
        <f>'Emission-Waste Transport Vehicl'!P81</f>
        <v>7.0109200893600008</v>
      </c>
      <c r="K219" s="1857">
        <f>'Emission-Waste Transport Vehicl'!Q81</f>
        <v>5.4448776835200006</v>
      </c>
      <c r="L219" s="1857">
        <f>'Emission-Waste Transport Vehicl'!R81</f>
        <v>0.5419274810400001</v>
      </c>
      <c r="M219" s="1857">
        <f t="shared" si="37"/>
        <v>63818.747660017252</v>
      </c>
      <c r="N219" s="830">
        <f t="shared" si="41"/>
        <v>12410.834418781948</v>
      </c>
      <c r="O219" s="830">
        <f t="shared" si="38"/>
        <v>96009.643484462154</v>
      </c>
      <c r="P219" s="830">
        <f t="shared" si="39"/>
        <v>337424.74069745134</v>
      </c>
      <c r="Q219" s="830">
        <f t="shared" si="40"/>
        <v>1985.5653954654058</v>
      </c>
      <c r="R219" s="2773"/>
    </row>
    <row r="220" spans="1:18" x14ac:dyDescent="0.25">
      <c r="A220" s="2802"/>
      <c r="B220" s="706">
        <v>2068</v>
      </c>
      <c r="C220" s="1058">
        <f t="shared" si="32"/>
        <v>657925.23360842525</v>
      </c>
      <c r="D220" s="1058">
        <f t="shared" si="33"/>
        <v>984.91801438387017</v>
      </c>
      <c r="E220" s="1058">
        <f t="shared" si="34"/>
        <v>13694.300071993332</v>
      </c>
      <c r="F220" s="1058">
        <f t="shared" si="35"/>
        <v>61971.0414650331</v>
      </c>
      <c r="G220" s="1058">
        <f t="shared" si="36"/>
        <v>3663.8950135079967</v>
      </c>
      <c r="H220" s="1857">
        <v>97</v>
      </c>
      <c r="I220" s="1857">
        <f>'Emission-Waste Transport Vehicl'!N82</f>
        <v>12.356361689760002</v>
      </c>
      <c r="J220" s="1857">
        <f>'Emission-Waste Transport Vehicl'!P82</f>
        <v>6.8748737745600002</v>
      </c>
      <c r="K220" s="1857">
        <f>'Emission-Waste Transport Vehicl'!Q82</f>
        <v>5.339220289920001</v>
      </c>
      <c r="L220" s="1857">
        <f>'Emission-Waste Transport Vehicl'!R82</f>
        <v>0.53141142384000006</v>
      </c>
      <c r="M220" s="1857">
        <f t="shared" si="37"/>
        <v>63818.747660017252</v>
      </c>
      <c r="N220" s="830">
        <f t="shared" si="41"/>
        <v>12170.003220487344</v>
      </c>
      <c r="O220" s="830">
        <f t="shared" si="38"/>
        <v>94146.584425902081</v>
      </c>
      <c r="P220" s="830">
        <f t="shared" si="39"/>
        <v>330877.04197757842</v>
      </c>
      <c r="Q220" s="830">
        <f t="shared" si="40"/>
        <v>1947.0356659285608</v>
      </c>
      <c r="R220" s="2773"/>
    </row>
    <row r="221" spans="1:18" ht="15.75" thickBot="1" x14ac:dyDescent="0.3">
      <c r="A221" s="2807"/>
      <c r="B221" s="55">
        <v>2069</v>
      </c>
      <c r="C221" s="1060">
        <f t="shared" si="32"/>
        <v>657925.23360842525</v>
      </c>
      <c r="D221" s="1060">
        <f t="shared" si="33"/>
        <v>984.91801438387017</v>
      </c>
      <c r="E221" s="1060">
        <f t="shared" si="34"/>
        <v>13694.300071993332</v>
      </c>
      <c r="F221" s="1060">
        <f t="shared" si="35"/>
        <v>61971.0414650331</v>
      </c>
      <c r="G221" s="1060">
        <f t="shared" si="36"/>
        <v>3663.8950135079967</v>
      </c>
      <c r="H221" s="1858">
        <v>97</v>
      </c>
      <c r="I221" s="1858">
        <f>'Emission-Waste Transport Vehicl'!N83</f>
        <v>12.111842658960002</v>
      </c>
      <c r="J221" s="1858">
        <f>'Emission-Waste Transport Vehicl'!P83</f>
        <v>6.7388274597600004</v>
      </c>
      <c r="K221" s="1858">
        <f>'Emission-Waste Transport Vehicl'!Q83</f>
        <v>5.2335628963200005</v>
      </c>
      <c r="L221" s="1858">
        <f>'Emission-Waste Transport Vehicl'!R83</f>
        <v>0.52089536664000002</v>
      </c>
      <c r="M221" s="1858">
        <f t="shared" si="37"/>
        <v>63818.747660017252</v>
      </c>
      <c r="N221" s="1063">
        <f t="shared" si="41"/>
        <v>11929.172022192741</v>
      </c>
      <c r="O221" s="1063">
        <f t="shared" si="38"/>
        <v>92283.525367342008</v>
      </c>
      <c r="P221" s="1063">
        <f t="shared" si="39"/>
        <v>324329.34325770551</v>
      </c>
      <c r="Q221" s="1063">
        <f t="shared" si="40"/>
        <v>1908.5059363917157</v>
      </c>
      <c r="R221" s="2774"/>
    </row>
  </sheetData>
  <mergeCells count="15">
    <mergeCell ref="A120:A170"/>
    <mergeCell ref="R120:R170"/>
    <mergeCell ref="A171:A221"/>
    <mergeCell ref="R171:R221"/>
    <mergeCell ref="A16:R16"/>
    <mergeCell ref="A18:A68"/>
    <mergeCell ref="R18:R68"/>
    <mergeCell ref="A69:A119"/>
    <mergeCell ref="R69:R119"/>
    <mergeCell ref="C4:C7"/>
    <mergeCell ref="A1:D1"/>
    <mergeCell ref="A2:D2"/>
    <mergeCell ref="B9:F9"/>
    <mergeCell ref="G9:K9"/>
    <mergeCell ref="A9:A10"/>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D8F183-44BA-42F8-B810-05D15068ADE6}">
  <sheetPr codeName="Sheet16"/>
  <dimension ref="A1:AB438"/>
  <sheetViews>
    <sheetView topLeftCell="B21" zoomScale="89" zoomScaleNormal="89" workbookViewId="0">
      <selection activeCell="E33" sqref="E33"/>
    </sheetView>
  </sheetViews>
  <sheetFormatPr defaultRowHeight="15" x14ac:dyDescent="0.25"/>
  <cols>
    <col min="1" max="1" width="73.7109375" style="498" customWidth="1"/>
    <col min="2" max="2" width="55.5703125" style="498" customWidth="1"/>
    <col min="3" max="3" width="30.28515625" style="498" customWidth="1"/>
    <col min="4" max="4" width="42.85546875" style="498" customWidth="1"/>
    <col min="5" max="5" width="27.5703125" style="498" customWidth="1"/>
    <col min="6" max="6" width="19.42578125" style="498" customWidth="1"/>
    <col min="7" max="7" width="26.42578125" style="498" customWidth="1"/>
    <col min="8" max="8" width="22.7109375" style="498" customWidth="1"/>
    <col min="9" max="9" width="22.7109375" style="498" bestFit="1" customWidth="1"/>
    <col min="10" max="11" width="23" style="498" customWidth="1"/>
    <col min="12" max="12" width="24.140625" style="498" customWidth="1"/>
    <col min="13" max="13" width="18.7109375" style="498" customWidth="1"/>
    <col min="14" max="14" width="16" style="498" customWidth="1"/>
    <col min="15" max="15" width="14.85546875" style="498" customWidth="1"/>
    <col min="16" max="16" width="14.28515625" style="498" customWidth="1"/>
    <col min="17" max="17" width="15.85546875" style="498" customWidth="1"/>
    <col min="18" max="18" width="24.28515625" style="498" customWidth="1"/>
    <col min="19" max="16384" width="9.140625" style="498"/>
  </cols>
  <sheetData>
    <row r="1" spans="1:12" ht="40.5" customHeight="1" thickBot="1" x14ac:dyDescent="0.3">
      <c r="A1" s="2782" t="s">
        <v>1322</v>
      </c>
      <c r="B1" s="2783"/>
      <c r="C1" s="2783"/>
      <c r="D1" s="2783"/>
      <c r="E1" s="2783"/>
      <c r="F1" s="2783"/>
      <c r="G1" s="2783"/>
      <c r="H1" s="2783"/>
      <c r="I1" s="2784"/>
    </row>
    <row r="2" spans="1:12" s="1243" customFormat="1" ht="16.5" customHeight="1" thickBot="1" x14ac:dyDescent="0.3">
      <c r="A2" s="98"/>
      <c r="B2" s="1352"/>
      <c r="C2" s="1352"/>
      <c r="D2" s="1352"/>
      <c r="E2" s="1352"/>
      <c r="F2" s="1008"/>
      <c r="G2" s="1008"/>
      <c r="H2" s="1008"/>
      <c r="I2" s="1008"/>
    </row>
    <row r="3" spans="1:12" ht="42.75" customHeight="1" thickBot="1" x14ac:dyDescent="0.3">
      <c r="A3" s="2627" t="s">
        <v>1366</v>
      </c>
      <c r="B3" s="2629"/>
      <c r="C3" s="1078"/>
      <c r="D3" s="1078"/>
      <c r="E3" s="251"/>
      <c r="F3" s="974"/>
      <c r="G3" s="974"/>
      <c r="H3" s="974"/>
      <c r="I3" s="974"/>
    </row>
    <row r="4" spans="1:12" ht="56.25" customHeight="1" thickBot="1" x14ac:dyDescent="0.3">
      <c r="A4" s="2627" t="s">
        <v>1323</v>
      </c>
      <c r="B4" s="2629"/>
      <c r="C4" s="1078"/>
      <c r="D4" s="1078"/>
      <c r="E4" s="251"/>
    </row>
    <row r="5" spans="1:12" x14ac:dyDescent="0.25">
      <c r="A5" s="1003" t="s">
        <v>24</v>
      </c>
      <c r="B5" s="1570" t="s">
        <v>1551</v>
      </c>
      <c r="C5" s="520"/>
      <c r="E5" s="1008"/>
    </row>
    <row r="6" spans="1:12" ht="15.75" thickBot="1" x14ac:dyDescent="0.3">
      <c r="A6" s="1574" t="s">
        <v>1083</v>
      </c>
      <c r="B6" s="1087">
        <f>(3+0.5)/2</f>
        <v>1.75</v>
      </c>
      <c r="C6" s="115"/>
      <c r="E6" s="1086"/>
    </row>
    <row r="7" spans="1:12" ht="15.75" thickBot="1" x14ac:dyDescent="0.3">
      <c r="A7" s="115"/>
      <c r="B7" s="1583"/>
      <c r="C7" s="115"/>
      <c r="D7" s="1051"/>
      <c r="E7" s="1044"/>
      <c r="F7" s="974"/>
      <c r="G7" s="974"/>
      <c r="H7" s="974"/>
    </row>
    <row r="8" spans="1:12" ht="40.5" customHeight="1" thickBot="1" x14ac:dyDescent="0.3">
      <c r="A8" s="2811" t="s">
        <v>1283</v>
      </c>
      <c r="B8" s="2782" t="s">
        <v>1484</v>
      </c>
      <c r="C8" s="2797"/>
      <c r="D8" s="2797"/>
      <c r="E8" s="2797"/>
      <c r="F8" s="2798"/>
      <c r="G8" s="2627" t="s">
        <v>1485</v>
      </c>
      <c r="H8" s="2550"/>
      <c r="I8" s="2550"/>
      <c r="J8" s="2550"/>
      <c r="K8" s="2551"/>
    </row>
    <row r="9" spans="1:12" ht="18.75" thickBot="1" x14ac:dyDescent="0.3">
      <c r="A9" s="2812"/>
      <c r="B9" s="1041" t="s">
        <v>380</v>
      </c>
      <c r="C9" s="1571" t="s">
        <v>1040</v>
      </c>
      <c r="D9" s="1571" t="s">
        <v>329</v>
      </c>
      <c r="E9" s="1571" t="s">
        <v>330</v>
      </c>
      <c r="F9" s="1572" t="s">
        <v>77</v>
      </c>
      <c r="G9" s="1004" t="s">
        <v>380</v>
      </c>
      <c r="H9" s="1585" t="s">
        <v>1040</v>
      </c>
      <c r="I9" s="1585" t="s">
        <v>329</v>
      </c>
      <c r="J9" s="1585" t="s">
        <v>330</v>
      </c>
      <c r="K9" s="1586" t="s">
        <v>77</v>
      </c>
    </row>
    <row r="10" spans="1:12" ht="15.75" thickBot="1" x14ac:dyDescent="0.3">
      <c r="A10" s="1584">
        <f>'Emission-Solid-liquid Residual'!$B$6</f>
        <v>1.75</v>
      </c>
      <c r="B10" s="1482">
        <v>0.34760000000000002</v>
      </c>
      <c r="C10" s="890">
        <v>1.573</v>
      </c>
      <c r="D10" s="890">
        <v>9.2999999999999999E-2</v>
      </c>
      <c r="E10" s="890">
        <v>2.5000000000000001E-2</v>
      </c>
      <c r="F10" s="1483">
        <v>16.7</v>
      </c>
      <c r="G10" s="1269">
        <f>(((B32)*'Emission-Solid-liquid Residual'!A10*'Emission-Solid-liquid Residual'!B10)/1000)/(2.2)</f>
        <v>4.5802718621724834</v>
      </c>
      <c r="H10" s="1573">
        <f>(((B32)*'Emission-Solid-liquid Residual'!A10*C10)/1000)/(2.2)</f>
        <v>20.727179629451427</v>
      </c>
      <c r="I10" s="1573">
        <f>(((B32)*'Emission-Solid-liquid Residual'!A10*D10)/1000)/(2.2)</f>
        <v>1.2254467295225575</v>
      </c>
      <c r="J10" s="1573">
        <f>(((B32)*'Emission-Solid-liquid Residual'!A10*E10)/1000)/(2.2)</f>
        <v>0.32942116385014986</v>
      </c>
      <c r="K10" s="1555">
        <f>(((B32)*'Emission-Solid-liquid Residual'!A10*F10)/1000)/(2.2)</f>
        <v>220.05333745190012</v>
      </c>
    </row>
    <row r="11" spans="1:12" ht="15.75" thickBot="1" x14ac:dyDescent="0.3">
      <c r="A11" s="1051"/>
      <c r="B11" s="738"/>
      <c r="C11" s="738"/>
      <c r="D11" s="738"/>
      <c r="E11" s="738"/>
      <c r="F11" s="738"/>
      <c r="G11" s="995"/>
      <c r="H11" s="995"/>
      <c r="I11" s="995"/>
      <c r="J11" s="995"/>
      <c r="K11" s="995"/>
    </row>
    <row r="12" spans="1:12" ht="27" customHeight="1" thickBot="1" x14ac:dyDescent="0.3">
      <c r="A12" s="2823" t="s">
        <v>1286</v>
      </c>
      <c r="B12" s="2824"/>
      <c r="C12" s="2824"/>
      <c r="D12" s="2824"/>
      <c r="E12" s="2824"/>
      <c r="F12" s="2824"/>
      <c r="G12" s="2824"/>
      <c r="H12" s="2824"/>
      <c r="I12" s="2824"/>
      <c r="J12" s="2824"/>
      <c r="K12" s="2824"/>
      <c r="L12" s="2825"/>
    </row>
    <row r="13" spans="1:12" ht="30" customHeight="1" thickBot="1" x14ac:dyDescent="0.3">
      <c r="A13" s="2826" t="s">
        <v>1424</v>
      </c>
      <c r="B13" s="2822" t="s">
        <v>1124</v>
      </c>
      <c r="C13" s="2860" t="s">
        <v>1324</v>
      </c>
      <c r="D13" s="2860"/>
      <c r="E13" s="2860"/>
      <c r="F13" s="2860"/>
      <c r="G13" s="2861"/>
      <c r="H13" s="2777" t="s">
        <v>1203</v>
      </c>
      <c r="I13" s="2844"/>
      <c r="J13" s="2844"/>
      <c r="K13" s="2844"/>
      <c r="L13" s="2845"/>
    </row>
    <row r="14" spans="1:12" ht="18" x14ac:dyDescent="0.25">
      <c r="A14" s="2827"/>
      <c r="B14" s="2552"/>
      <c r="C14" s="1103" t="s">
        <v>380</v>
      </c>
      <c r="D14" s="1007" t="s">
        <v>1040</v>
      </c>
      <c r="E14" s="1007" t="s">
        <v>329</v>
      </c>
      <c r="F14" s="1007" t="s">
        <v>330</v>
      </c>
      <c r="G14" s="961" t="s">
        <v>77</v>
      </c>
      <c r="H14" s="987" t="s">
        <v>380</v>
      </c>
      <c r="I14" s="1007" t="s">
        <v>1040</v>
      </c>
      <c r="J14" s="1007" t="s">
        <v>329</v>
      </c>
      <c r="K14" s="1007" t="s">
        <v>330</v>
      </c>
      <c r="L14" s="961" t="s">
        <v>77</v>
      </c>
    </row>
    <row r="15" spans="1:12" ht="15.75" thickBot="1" x14ac:dyDescent="0.3">
      <c r="A15" s="1330">
        <v>0.182</v>
      </c>
      <c r="B15" s="1804">
        <f>'Emission-Landfilling'!$E$12</f>
        <v>13978.21</v>
      </c>
      <c r="C15" s="1104">
        <f>(3+2)/2</f>
        <v>2.5</v>
      </c>
      <c r="D15" s="776">
        <f>(0.024+0.03)/2</f>
        <v>2.7E-2</v>
      </c>
      <c r="E15" s="776">
        <f>(1.6+0.12)/2</f>
        <v>0.8600000000000001</v>
      </c>
      <c r="F15" s="776">
        <f>(0.5+0.3)/2</f>
        <v>0.4</v>
      </c>
      <c r="G15" s="1019">
        <f>938</f>
        <v>938</v>
      </c>
      <c r="H15" s="1100">
        <f>(((B15)*'Emission-Solid-liquid Residual'!A15*'Emission-Solid-liquid Residual'!C15)/1000)/(2.2)</f>
        <v>2.8909479772727265</v>
      </c>
      <c r="I15" s="817">
        <f>(((B15)*'Emission-Solid-liquid Residual'!A15*D15)/1000)/(2.2)</f>
        <v>3.1222238154545442E-2</v>
      </c>
      <c r="J15" s="817">
        <f>(((B15)*'Emission-Solid-liquid Residual'!A15*E15)/1000)/(2.2)</f>
        <v>0.99448610418181815</v>
      </c>
      <c r="K15" s="817">
        <f>(((B15)*'Emission-Solid-liquid Residual'!A15*F15)/1000)/(2.2)</f>
        <v>0.46255167636363631</v>
      </c>
      <c r="L15" s="1101">
        <f>(((B15)*'Emission-Solid-liquid Residual'!A15*G15)/1000)/(2.2)</f>
        <v>1084.683681072727</v>
      </c>
    </row>
    <row r="16" spans="1:12" ht="15.75" thickBot="1" x14ac:dyDescent="0.3">
      <c r="A16" s="1051"/>
      <c r="B16" s="974"/>
      <c r="C16" s="738"/>
      <c r="D16" s="738"/>
      <c r="E16" s="738"/>
      <c r="F16" s="738"/>
      <c r="G16" s="738"/>
      <c r="H16" s="995"/>
      <c r="I16" s="995"/>
      <c r="J16" s="995"/>
      <c r="K16" s="995"/>
      <c r="L16" s="995"/>
    </row>
    <row r="17" spans="1:12" ht="30.75" customHeight="1" thickBot="1" x14ac:dyDescent="0.3">
      <c r="A17" s="2823" t="s">
        <v>1393</v>
      </c>
      <c r="B17" s="2824"/>
      <c r="C17" s="2824"/>
      <c r="D17" s="2824"/>
      <c r="E17" s="2824"/>
      <c r="F17" s="2824"/>
      <c r="G17" s="2824"/>
      <c r="H17" s="2824"/>
      <c r="I17" s="2824"/>
      <c r="J17" s="2824"/>
      <c r="K17" s="2824"/>
      <c r="L17" s="2825"/>
    </row>
    <row r="18" spans="1:12" ht="30" customHeight="1" thickBot="1" x14ac:dyDescent="0.3">
      <c r="A18" s="2826" t="s">
        <v>1394</v>
      </c>
      <c r="B18" s="2828" t="s">
        <v>1703</v>
      </c>
      <c r="C18" s="2860" t="s">
        <v>1324</v>
      </c>
      <c r="D18" s="2860"/>
      <c r="E18" s="2860"/>
      <c r="F18" s="2860"/>
      <c r="G18" s="2861"/>
      <c r="H18" s="2777" t="s">
        <v>1203</v>
      </c>
      <c r="I18" s="2844"/>
      <c r="J18" s="2844"/>
      <c r="K18" s="2844"/>
      <c r="L18" s="2845"/>
    </row>
    <row r="19" spans="1:12" ht="27.75" customHeight="1" x14ac:dyDescent="0.25">
      <c r="A19" s="2827"/>
      <c r="B19" s="2552"/>
      <c r="C19" s="1103" t="s">
        <v>380</v>
      </c>
      <c r="D19" s="1293" t="s">
        <v>1040</v>
      </c>
      <c r="E19" s="1293" t="s">
        <v>329</v>
      </c>
      <c r="F19" s="1293" t="s">
        <v>330</v>
      </c>
      <c r="G19" s="961" t="s">
        <v>77</v>
      </c>
      <c r="H19" s="1308" t="s">
        <v>380</v>
      </c>
      <c r="I19" s="1293" t="s">
        <v>1040</v>
      </c>
      <c r="J19" s="1293" t="s">
        <v>329</v>
      </c>
      <c r="K19" s="1293" t="s">
        <v>330</v>
      </c>
      <c r="L19" s="961" t="s">
        <v>77</v>
      </c>
    </row>
    <row r="20" spans="1:12" ht="15.75" thickBot="1" x14ac:dyDescent="0.3">
      <c r="A20" s="1330">
        <v>0.129</v>
      </c>
      <c r="B20" s="1726">
        <f>(' QUICK OVERVIEW- Inputs&amp;Outputs'!C38)* (0.972 * (' QUICK OVERVIEW- Inputs&amp;Outputs'!C39 - ' QUICK OVERVIEW- Inputs&amp;Outputs'!C40) + 0.6505)</f>
        <v>0</v>
      </c>
      <c r="C20" s="1104">
        <f>(3+2)/2</f>
        <v>2.5</v>
      </c>
      <c r="D20" s="776">
        <f>(0.024+0.03)/2</f>
        <v>2.7E-2</v>
      </c>
      <c r="E20" s="776">
        <f>(1.6+0.12)/2</f>
        <v>0.8600000000000001</v>
      </c>
      <c r="F20" s="776">
        <f>(0.5+0.3)/2</f>
        <v>0.4</v>
      </c>
      <c r="G20" s="1299">
        <f>938</f>
        <v>938</v>
      </c>
      <c r="H20" s="1304">
        <f>(((B20*7.48)*'Emission-Solid-liquid Residual'!A20*'Emission-Solid-liquid Residual'!C20)/1000)/(2.2)</f>
        <v>0</v>
      </c>
      <c r="I20" s="1305">
        <f>(((B20*7.48)*'Emission-Solid-liquid Residual'!A20*D20)/1000)/(2.2)</f>
        <v>0</v>
      </c>
      <c r="J20" s="1305">
        <f>(((B20*7.48)*'Emission-Solid-liquid Residual'!A20*E20)/1000)/(2.2)</f>
        <v>0</v>
      </c>
      <c r="K20" s="1305">
        <f>(((B20*7.48)*'Emission-Solid-liquid Residual'!A20*F20)/1000)/(2.2)</f>
        <v>0</v>
      </c>
      <c r="L20" s="1306">
        <f>(((B20*7.48)*'Emission-Solid-liquid Residual'!A20*G20)/1000)/(2.2)</f>
        <v>0</v>
      </c>
    </row>
    <row r="21" spans="1:12" ht="15.75" thickBot="1" x14ac:dyDescent="0.3">
      <c r="A21" s="1051"/>
      <c r="B21" s="738"/>
      <c r="C21" s="738"/>
      <c r="D21" s="738"/>
      <c r="E21" s="738"/>
      <c r="F21" s="738"/>
      <c r="G21" s="995"/>
      <c r="H21" s="995"/>
      <c r="I21" s="995"/>
      <c r="J21" s="995"/>
      <c r="K21" s="995"/>
    </row>
    <row r="22" spans="1:12" ht="36" customHeight="1" x14ac:dyDescent="0.25">
      <c r="A22" s="2799" t="s">
        <v>1120</v>
      </c>
      <c r="B22" s="2852"/>
      <c r="C22" s="2852"/>
      <c r="D22" s="2852"/>
      <c r="E22" s="2852"/>
      <c r="F22" s="2852"/>
      <c r="G22" s="2852"/>
      <c r="H22" s="2852"/>
      <c r="I22" s="2853"/>
      <c r="J22" s="115"/>
      <c r="K22" s="115"/>
    </row>
    <row r="23" spans="1:12" ht="30" x14ac:dyDescent="0.25">
      <c r="A23" s="1350" t="s">
        <v>1045</v>
      </c>
      <c r="B23" s="1335" t="s">
        <v>1169</v>
      </c>
      <c r="C23" s="1026" t="s">
        <v>1309</v>
      </c>
      <c r="D23" s="2849" t="s">
        <v>1331</v>
      </c>
      <c r="E23" s="2850"/>
      <c r="F23" s="2850"/>
      <c r="G23" s="2850"/>
      <c r="H23" s="2850"/>
      <c r="I23" s="2851"/>
      <c r="J23" s="115"/>
      <c r="K23" s="115"/>
    </row>
    <row r="24" spans="1:12" x14ac:dyDescent="0.25">
      <c r="A24" s="2846" t="s">
        <v>1048</v>
      </c>
      <c r="B24" s="2847"/>
      <c r="C24" s="2847"/>
      <c r="D24" s="2847"/>
      <c r="E24" s="2847"/>
      <c r="F24" s="2847"/>
      <c r="G24" s="2847"/>
      <c r="H24" s="2847"/>
      <c r="I24" s="2848"/>
      <c r="J24" s="115"/>
      <c r="K24" s="115"/>
    </row>
    <row r="25" spans="1:12" x14ac:dyDescent="0.25">
      <c r="A25" s="1342" t="s">
        <v>1049</v>
      </c>
      <c r="B25" s="1119" t="s">
        <v>1050</v>
      </c>
      <c r="C25" s="1120">
        <f>((16.04*1*1.5*1000)/1000)/(0.0821*298)*28</f>
        <v>27.535580279410439</v>
      </c>
      <c r="D25" s="2857" t="s">
        <v>1051</v>
      </c>
      <c r="E25" s="2858"/>
      <c r="F25" s="2858"/>
      <c r="G25" s="2858"/>
      <c r="H25" s="2858"/>
      <c r="I25" s="2859"/>
      <c r="J25" s="115"/>
      <c r="K25" s="115"/>
    </row>
    <row r="26" spans="1:12" ht="15.75" thickBot="1" x14ac:dyDescent="0.3">
      <c r="A26" s="884" t="s">
        <v>1074</v>
      </c>
      <c r="B26" s="85" t="s">
        <v>1075</v>
      </c>
      <c r="C26" s="1121">
        <f>2.485*28</f>
        <v>69.58</v>
      </c>
      <c r="D26" s="2854" t="s">
        <v>1058</v>
      </c>
      <c r="E26" s="2855"/>
      <c r="F26" s="2855"/>
      <c r="G26" s="2855"/>
      <c r="H26" s="2855"/>
      <c r="I26" s="2856"/>
      <c r="J26" s="115"/>
      <c r="K26" s="115"/>
    </row>
    <row r="27" spans="1:12" x14ac:dyDescent="0.25">
      <c r="A27" s="2813" t="s">
        <v>1053</v>
      </c>
      <c r="B27" s="2814"/>
      <c r="C27" s="2814"/>
      <c r="D27" s="2814"/>
      <c r="E27" s="2814"/>
      <c r="F27" s="2814"/>
      <c r="G27" s="2814"/>
      <c r="H27" s="2814"/>
      <c r="I27" s="2815"/>
      <c r="J27" s="115"/>
      <c r="K27" s="115"/>
    </row>
    <row r="28" spans="1:12" x14ac:dyDescent="0.25">
      <c r="A28" s="1122"/>
      <c r="B28" s="1123"/>
      <c r="C28" s="1335" t="s">
        <v>1057</v>
      </c>
      <c r="D28" s="2849" t="s">
        <v>1331</v>
      </c>
      <c r="E28" s="2850"/>
      <c r="F28" s="2850"/>
      <c r="G28" s="2850"/>
      <c r="H28" s="2850"/>
      <c r="I28" s="2851"/>
      <c r="J28" s="115"/>
      <c r="K28" s="115"/>
    </row>
    <row r="29" spans="1:12" x14ac:dyDescent="0.25">
      <c r="A29" s="1342" t="s">
        <v>1054</v>
      </c>
      <c r="B29" s="706" t="s">
        <v>1055</v>
      </c>
      <c r="C29" s="706">
        <v>-13</v>
      </c>
      <c r="D29" s="2857" t="s">
        <v>1056</v>
      </c>
      <c r="E29" s="2858"/>
      <c r="F29" s="2858"/>
      <c r="G29" s="2858"/>
      <c r="H29" s="2858"/>
      <c r="I29" s="2859"/>
      <c r="J29" s="115"/>
      <c r="K29" s="115"/>
    </row>
    <row r="30" spans="1:12" ht="15.75" thickBot="1" x14ac:dyDescent="0.3">
      <c r="A30" s="1105"/>
      <c r="B30" s="1105"/>
      <c r="D30" s="1106"/>
      <c r="E30" s="1107"/>
      <c r="F30" s="1107"/>
      <c r="J30" s="115"/>
      <c r="K30" s="115"/>
    </row>
    <row r="31" spans="1:12" ht="30.75" thickBot="1" x14ac:dyDescent="0.3">
      <c r="A31" s="770" t="s">
        <v>1081</v>
      </c>
      <c r="B31" s="1016" t="s">
        <v>1257</v>
      </c>
      <c r="C31" s="1127" t="s">
        <v>1232</v>
      </c>
      <c r="D31" s="1128" t="s">
        <v>1231</v>
      </c>
      <c r="J31" s="115"/>
      <c r="K31" s="115"/>
    </row>
    <row r="32" spans="1:12" x14ac:dyDescent="0.25">
      <c r="A32" s="1124" t="s">
        <v>1048</v>
      </c>
      <c r="B32" s="2816">
        <f>('AD Calculations'!D5+'AD Calculations'!D6+'AD Calculations'!D7+'AD Calculations'!D8+'AD Calculations'!D9+'AD Calculations'!D10)*0.95*3785.41</f>
        <v>16565.17852503611</v>
      </c>
      <c r="C32" s="1125">
        <f>(C25+C26)/2</f>
        <v>48.557790139705219</v>
      </c>
      <c r="D32" s="1370">
        <f>B32*C32</f>
        <v>804368.46244545502</v>
      </c>
      <c r="J32" s="115"/>
      <c r="K32" s="115"/>
    </row>
    <row r="33" spans="1:23" ht="15.75" thickBot="1" x14ac:dyDescent="0.3">
      <c r="A33" s="421" t="s">
        <v>1053</v>
      </c>
      <c r="B33" s="2817"/>
      <c r="C33" s="817">
        <f>(C29)</f>
        <v>-13</v>
      </c>
      <c r="D33" s="1090">
        <f>B32*C33*0.3</f>
        <v>-64604.196247640823</v>
      </c>
      <c r="J33" s="115"/>
      <c r="K33" s="115"/>
    </row>
    <row r="34" spans="1:23" ht="15.75" thickBot="1" x14ac:dyDescent="0.3">
      <c r="A34" s="1042"/>
      <c r="B34" s="1108"/>
      <c r="C34" s="995"/>
      <c r="D34" s="995"/>
      <c r="J34" s="115"/>
      <c r="K34" s="115"/>
    </row>
    <row r="35" spans="1:23" ht="45" customHeight="1" x14ac:dyDescent="0.25">
      <c r="A35" s="1023"/>
      <c r="B35" s="1024" t="s">
        <v>1558</v>
      </c>
      <c r="C35" s="2811" t="s">
        <v>1484</v>
      </c>
      <c r="D35" s="2820"/>
      <c r="E35" s="2820"/>
      <c r="F35" s="2820"/>
      <c r="G35" s="2821"/>
      <c r="H35" s="2811" t="s">
        <v>1110</v>
      </c>
      <c r="I35" s="2820"/>
      <c r="J35" s="2820"/>
      <c r="K35" s="2820"/>
      <c r="L35" s="2821"/>
    </row>
    <row r="36" spans="1:23" ht="18" x14ac:dyDescent="0.25">
      <c r="A36" s="2679" t="s">
        <v>1052</v>
      </c>
      <c r="B36" s="2818">
        <f>(B32*0.085)*0.85</f>
        <v>1196.8341484338591</v>
      </c>
      <c r="C36" s="987" t="s">
        <v>380</v>
      </c>
      <c r="D36" s="1007" t="s">
        <v>1040</v>
      </c>
      <c r="E36" s="1007" t="s">
        <v>329</v>
      </c>
      <c r="F36" s="1007" t="s">
        <v>330</v>
      </c>
      <c r="G36" s="961" t="s">
        <v>77</v>
      </c>
      <c r="H36" s="987" t="s">
        <v>380</v>
      </c>
      <c r="I36" s="1007" t="s">
        <v>1040</v>
      </c>
      <c r="J36" s="1007" t="s">
        <v>329</v>
      </c>
      <c r="K36" s="1007" t="s">
        <v>330</v>
      </c>
      <c r="L36" s="961" t="s">
        <v>77</v>
      </c>
    </row>
    <row r="37" spans="1:23" ht="15.75" thickBot="1" x14ac:dyDescent="0.3">
      <c r="A37" s="2680"/>
      <c r="B37" s="2819"/>
      <c r="C37" s="1482">
        <v>0.34760000000000002</v>
      </c>
      <c r="D37" s="890">
        <v>1.573</v>
      </c>
      <c r="E37" s="890">
        <v>9.2999999999999999E-2</v>
      </c>
      <c r="F37" s="890">
        <v>2.5000000000000001E-2</v>
      </c>
      <c r="G37" s="1483">
        <v>16.7</v>
      </c>
      <c r="H37" s="585">
        <f>((B36*C37)/1000)/2.2</f>
        <v>0.18909979545254973</v>
      </c>
      <c r="I37" s="586">
        <f>((B36*D37)/1000)/2.2</f>
        <v>0.85573641613020923</v>
      </c>
      <c r="J37" s="586">
        <f>((B36*E37)/1000)/2.2</f>
        <v>5.0593443547431317E-2</v>
      </c>
      <c r="K37" s="586">
        <f>((B36*F37)/1000)/2.2</f>
        <v>1.3600388050384762E-2</v>
      </c>
      <c r="L37" s="587">
        <f>((B36*G37)/1000)/2.2</f>
        <v>9.0850592176570188</v>
      </c>
    </row>
    <row r="38" spans="1:23" thickBot="1" x14ac:dyDescent="0.3">
      <c r="A38" s="875"/>
      <c r="B38" s="788"/>
      <c r="C38" s="738"/>
      <c r="D38" s="738"/>
      <c r="E38" s="738"/>
      <c r="F38" s="738"/>
      <c r="G38" s="738"/>
      <c r="H38" s="787"/>
      <c r="I38" s="787"/>
      <c r="J38" s="787"/>
      <c r="K38" s="787"/>
      <c r="L38" s="787"/>
    </row>
    <row r="39" spans="1:23" x14ac:dyDescent="0.25">
      <c r="A39" s="2811" t="s">
        <v>1325</v>
      </c>
      <c r="B39" s="2852"/>
      <c r="C39" s="2853"/>
      <c r="D39" s="738"/>
      <c r="E39" s="738"/>
      <c r="F39" s="738"/>
      <c r="G39" s="738"/>
      <c r="H39" s="787"/>
      <c r="I39" s="787"/>
      <c r="J39" s="787"/>
      <c r="K39" s="787"/>
      <c r="L39" s="787"/>
      <c r="M39" s="974"/>
      <c r="N39" s="974"/>
      <c r="O39" s="974"/>
      <c r="P39" s="974"/>
      <c r="Q39" s="974"/>
      <c r="R39" s="974"/>
      <c r="S39" s="974"/>
      <c r="T39" s="974"/>
      <c r="U39" s="974"/>
      <c r="V39" s="974"/>
      <c r="W39" s="974"/>
    </row>
    <row r="40" spans="1:23" x14ac:dyDescent="0.25">
      <c r="A40" s="987" t="s">
        <v>1295</v>
      </c>
      <c r="B40" s="1026" t="s">
        <v>1294</v>
      </c>
      <c r="C40" s="1027" t="s">
        <v>1296</v>
      </c>
      <c r="D40" s="738"/>
      <c r="E40" s="738"/>
      <c r="F40" s="738"/>
      <c r="G40" s="738"/>
      <c r="H40" s="787"/>
      <c r="I40" s="787"/>
      <c r="J40" s="787"/>
      <c r="K40" s="787"/>
      <c r="L40" s="787"/>
      <c r="M40" s="974"/>
      <c r="N40" s="974"/>
      <c r="O40" s="974"/>
      <c r="P40" s="974"/>
      <c r="Q40" s="974"/>
      <c r="R40" s="974"/>
      <c r="S40" s="974"/>
      <c r="T40" s="974"/>
      <c r="U40" s="974"/>
      <c r="V40" s="974"/>
      <c r="W40" s="974"/>
    </row>
    <row r="41" spans="1:23" ht="15.75" thickBot="1" x14ac:dyDescent="0.3">
      <c r="A41" s="421">
        <f>('AD Calculations'!D5+'AD Calculations'!D6+'AD Calculations'!D7+'AD Calculations'!D8+'AD Calculations'!D9+'AD Calculations'!D10)*0.95*3785.41</f>
        <v>16565.17852503611</v>
      </c>
      <c r="B41" s="991">
        <v>21</v>
      </c>
      <c r="C41" s="1090">
        <f>B41*A41</f>
        <v>347868.7490257583</v>
      </c>
      <c r="D41" s="738"/>
      <c r="E41" s="738"/>
      <c r="F41" s="738"/>
      <c r="G41" s="738"/>
      <c r="H41" s="787"/>
      <c r="I41" s="787"/>
      <c r="J41" s="787"/>
      <c r="K41" s="787"/>
      <c r="L41" s="787"/>
      <c r="M41" s="974"/>
      <c r="N41" s="974"/>
      <c r="O41" s="974"/>
      <c r="P41" s="974"/>
      <c r="Q41" s="974"/>
      <c r="R41" s="974"/>
      <c r="S41" s="974"/>
      <c r="T41" s="974"/>
      <c r="U41" s="974"/>
      <c r="V41" s="974"/>
      <c r="W41" s="974"/>
    </row>
    <row r="42" spans="1:23" ht="15.75" thickBot="1" x14ac:dyDescent="0.3">
      <c r="A42" s="1109"/>
      <c r="B42" s="115"/>
      <c r="C42" s="1110"/>
      <c r="D42" s="738"/>
      <c r="E42" s="738"/>
      <c r="F42" s="738"/>
      <c r="G42" s="738"/>
      <c r="H42" s="787"/>
      <c r="I42" s="787"/>
      <c r="J42" s="787"/>
      <c r="K42" s="787"/>
      <c r="L42" s="787"/>
      <c r="M42" s="974"/>
      <c r="N42" s="974"/>
      <c r="O42" s="974"/>
      <c r="P42" s="974"/>
      <c r="Q42" s="974"/>
      <c r="R42" s="974"/>
      <c r="S42" s="974"/>
      <c r="T42" s="974"/>
      <c r="U42" s="974"/>
      <c r="V42" s="974"/>
      <c r="W42" s="974"/>
    </row>
    <row r="43" spans="1:23" ht="15.75" thickBot="1" x14ac:dyDescent="0.3">
      <c r="A43" s="2835" t="s">
        <v>1399</v>
      </c>
      <c r="B43" s="2789"/>
      <c r="C43" s="2789"/>
      <c r="D43" s="2789"/>
      <c r="E43" s="2790"/>
      <c r="F43" s="738"/>
      <c r="G43" s="738"/>
      <c r="H43" s="787"/>
      <c r="I43" s="787"/>
      <c r="J43" s="787"/>
      <c r="K43" s="787"/>
      <c r="L43" s="787"/>
      <c r="M43" s="974"/>
      <c r="N43" s="974"/>
      <c r="O43" s="974"/>
      <c r="P43" s="974"/>
      <c r="Q43" s="974"/>
      <c r="R43" s="974"/>
      <c r="S43" s="974"/>
      <c r="T43" s="974"/>
      <c r="U43" s="974"/>
      <c r="V43" s="974"/>
      <c r="W43" s="974"/>
    </row>
    <row r="44" spans="1:23" x14ac:dyDescent="0.25">
      <c r="A44" s="1236" t="str">
        <f>'Emission-Composting'!A10</f>
        <v>Type of Pollutants</v>
      </c>
      <c r="B44" s="1514" t="str">
        <f>'Emission-Composting'!B10</f>
        <v>kg/ton wet waste</v>
      </c>
      <c r="C44" s="1515" t="str">
        <f>'Emission-Composting'!C10</f>
        <v>Total Waste (Tons/Year)</v>
      </c>
      <c r="D44" s="1556" t="str">
        <f>'Emission-Composting'!D10</f>
        <v>Emission (Kg/year)</v>
      </c>
      <c r="E44" s="1557" t="s">
        <v>1371</v>
      </c>
      <c r="F44" s="738"/>
      <c r="G44" s="738"/>
      <c r="H44" s="787"/>
      <c r="I44" s="787"/>
      <c r="J44" s="787"/>
      <c r="K44" s="787"/>
      <c r="L44" s="787"/>
      <c r="M44" s="974"/>
      <c r="N44" s="974"/>
      <c r="O44" s="974"/>
      <c r="P44" s="974"/>
      <c r="Q44" s="974"/>
      <c r="R44" s="974"/>
      <c r="S44" s="974"/>
      <c r="T44" s="974"/>
      <c r="U44" s="974"/>
      <c r="V44" s="974"/>
      <c r="W44" s="974"/>
    </row>
    <row r="45" spans="1:23" ht="15.75" thickBot="1" x14ac:dyDescent="0.3">
      <c r="A45" s="1567" t="str">
        <f>'Emission-Composting'!A11</f>
        <v xml:space="preserve"> kg CO2 tonne–1 ww</v>
      </c>
      <c r="B45" s="708">
        <f>'Emission-Composting'!B11</f>
        <v>82.75</v>
      </c>
      <c r="C45" s="1568">
        <f t="shared" ref="C45" si="0">$B$32</f>
        <v>16565.17852503611</v>
      </c>
      <c r="D45" s="1568">
        <f>C45*B45*0.15</f>
        <v>205615.27844201072</v>
      </c>
      <c r="E45" s="1569">
        <f>D45</f>
        <v>205615.27844201072</v>
      </c>
      <c r="F45" s="738"/>
      <c r="G45" s="738"/>
      <c r="H45" s="787"/>
      <c r="I45" s="787"/>
      <c r="J45" s="787"/>
      <c r="K45" s="787"/>
      <c r="L45" s="787"/>
      <c r="M45" s="974"/>
      <c r="N45" s="974"/>
      <c r="O45" s="974"/>
      <c r="P45" s="974"/>
      <c r="Q45" s="974"/>
      <c r="R45" s="974"/>
      <c r="S45" s="974"/>
      <c r="T45" s="974"/>
      <c r="U45" s="974"/>
      <c r="V45" s="974"/>
      <c r="W45" s="974"/>
    </row>
    <row r="46" spans="1:23" ht="15.75" thickBot="1" x14ac:dyDescent="0.3">
      <c r="A46" s="1516"/>
      <c r="B46" s="1516"/>
      <c r="C46" s="1517"/>
      <c r="D46" s="1517"/>
      <c r="E46" s="1517"/>
      <c r="F46" s="738"/>
      <c r="G46" s="738"/>
      <c r="H46" s="787"/>
      <c r="I46" s="787"/>
      <c r="J46" s="787"/>
      <c r="K46" s="787"/>
      <c r="L46" s="787"/>
      <c r="M46" s="974"/>
      <c r="N46" s="974"/>
      <c r="O46" s="974"/>
      <c r="P46" s="974"/>
      <c r="Q46" s="974"/>
      <c r="R46" s="974"/>
      <c r="S46" s="974"/>
      <c r="T46" s="974"/>
      <c r="U46" s="974"/>
      <c r="V46" s="974"/>
      <c r="W46" s="974"/>
    </row>
    <row r="47" spans="1:23" ht="25.5" customHeight="1" thickBot="1" x14ac:dyDescent="0.3">
      <c r="A47" s="2841" t="s">
        <v>1372</v>
      </c>
      <c r="B47" s="2842"/>
      <c r="C47" s="2842"/>
      <c r="D47" s="2842"/>
      <c r="E47" s="2842"/>
      <c r="F47" s="2843"/>
      <c r="G47" s="251"/>
      <c r="H47" s="251"/>
      <c r="I47" s="251"/>
      <c r="J47" s="251"/>
      <c r="K47" s="251"/>
      <c r="L47" s="251"/>
      <c r="M47" s="251"/>
      <c r="N47" s="251"/>
      <c r="O47" s="251"/>
      <c r="P47" s="251"/>
      <c r="Q47" s="1088"/>
      <c r="R47" s="974"/>
      <c r="S47" s="974"/>
      <c r="T47" s="974"/>
      <c r="U47" s="974"/>
      <c r="V47" s="974"/>
      <c r="W47" s="974"/>
    </row>
    <row r="48" spans="1:23" ht="15.75" thickBot="1" x14ac:dyDescent="0.3">
      <c r="A48" s="1523" t="s">
        <v>1094</v>
      </c>
      <c r="B48" s="1524" t="str">
        <f>H36</f>
        <v xml:space="preserve">NOx     </v>
      </c>
      <c r="C48" s="1446" t="str">
        <f>I36</f>
        <v>SO2</v>
      </c>
      <c r="D48" s="1524" t="str">
        <f>J36</f>
        <v>VOC</v>
      </c>
      <c r="E48" s="1524" t="str">
        <f>K36</f>
        <v>PM</v>
      </c>
      <c r="F48" s="1525" t="s">
        <v>1481</v>
      </c>
      <c r="G48" s="1088"/>
      <c r="H48" s="1088"/>
      <c r="I48" s="1088"/>
      <c r="J48" s="1088"/>
      <c r="K48" s="1088"/>
      <c r="L48" s="2836"/>
      <c r="M48" s="2836"/>
      <c r="N48" s="2836"/>
      <c r="O48" s="1322"/>
      <c r="P48" s="1322"/>
      <c r="Q48" s="1088"/>
      <c r="R48" s="974"/>
      <c r="S48" s="974"/>
      <c r="T48" s="974"/>
      <c r="U48" s="974"/>
      <c r="V48" s="974"/>
      <c r="W48" s="974"/>
    </row>
    <row r="49" spans="1:23" ht="15" customHeight="1" thickBot="1" x14ac:dyDescent="0.3">
      <c r="A49" s="2838" t="s">
        <v>1483</v>
      </c>
      <c r="B49" s="2839"/>
      <c r="C49" s="2839"/>
      <c r="D49" s="2839"/>
      <c r="E49" s="2839"/>
      <c r="F49" s="2840"/>
      <c r="G49" s="1476"/>
      <c r="H49" s="1521"/>
      <c r="I49" s="1521"/>
      <c r="J49" s="1521"/>
      <c r="K49" s="1521"/>
      <c r="L49" s="1088"/>
      <c r="M49" s="1088"/>
      <c r="N49" s="1088"/>
      <c r="O49" s="974"/>
      <c r="P49" s="974"/>
      <c r="Q49" s="974"/>
      <c r="R49" s="974"/>
      <c r="S49" s="974"/>
      <c r="T49" s="974"/>
      <c r="U49" s="974"/>
      <c r="V49" s="974"/>
      <c r="W49" s="974"/>
    </row>
    <row r="50" spans="1:23" x14ac:dyDescent="0.25">
      <c r="A50" s="1490" t="s">
        <v>1373</v>
      </c>
      <c r="B50" s="1215" t="s">
        <v>897</v>
      </c>
      <c r="C50" s="1215" t="s">
        <v>897</v>
      </c>
      <c r="D50" s="1215" t="s">
        <v>897</v>
      </c>
      <c r="E50" s="1215" t="s">
        <v>897</v>
      </c>
      <c r="F50" s="1126">
        <f>$C$41</f>
        <v>347868.7490257583</v>
      </c>
      <c r="G50" s="124"/>
      <c r="H50" s="1518"/>
      <c r="I50" s="1518"/>
      <c r="J50" s="1518"/>
      <c r="K50" s="1518"/>
      <c r="L50" s="1088"/>
      <c r="M50" s="1088"/>
      <c r="N50" s="1088"/>
      <c r="O50" s="974"/>
      <c r="P50" s="974"/>
      <c r="Q50" s="974"/>
      <c r="R50" s="974"/>
      <c r="S50" s="974"/>
      <c r="T50" s="974"/>
      <c r="U50" s="974"/>
      <c r="V50" s="974"/>
      <c r="W50" s="974"/>
    </row>
    <row r="51" spans="1:23" x14ac:dyDescent="0.25">
      <c r="A51" s="420" t="s">
        <v>1048</v>
      </c>
      <c r="B51" s="1213" t="s">
        <v>897</v>
      </c>
      <c r="C51" s="1213" t="s">
        <v>897</v>
      </c>
      <c r="D51" s="1213" t="s">
        <v>897</v>
      </c>
      <c r="E51" s="1213" t="s">
        <v>897</v>
      </c>
      <c r="F51" s="1496">
        <f>$D$32</f>
        <v>804368.46244545502</v>
      </c>
      <c r="G51" s="124"/>
      <c r="H51" s="1518"/>
      <c r="I51" s="1518"/>
      <c r="J51" s="1518"/>
      <c r="K51" s="1518"/>
      <c r="L51" s="1518"/>
      <c r="M51" s="1088"/>
      <c r="N51" s="1088"/>
      <c r="O51" s="974"/>
      <c r="P51" s="974"/>
      <c r="Q51" s="974"/>
      <c r="R51" s="974"/>
      <c r="S51" s="974"/>
      <c r="T51" s="974"/>
      <c r="U51" s="974"/>
      <c r="V51" s="974"/>
      <c r="W51" s="974"/>
    </row>
    <row r="52" spans="1:23" x14ac:dyDescent="0.25">
      <c r="A52" s="420" t="s">
        <v>1053</v>
      </c>
      <c r="B52" s="1213" t="s">
        <v>897</v>
      </c>
      <c r="C52" s="1213" t="s">
        <v>897</v>
      </c>
      <c r="D52" s="1213" t="s">
        <v>897</v>
      </c>
      <c r="E52" s="1213" t="s">
        <v>897</v>
      </c>
      <c r="F52" s="1496">
        <f>$D$33</f>
        <v>-64604.196247640823</v>
      </c>
      <c r="G52" s="124"/>
      <c r="H52" s="1518"/>
      <c r="I52" s="1518"/>
      <c r="J52" s="1518"/>
      <c r="K52" s="1518"/>
      <c r="L52" s="1518"/>
      <c r="M52" s="1088"/>
      <c r="N52" s="1088"/>
      <c r="O52" s="974"/>
      <c r="P52" s="974"/>
      <c r="Q52" s="974"/>
      <c r="R52" s="974"/>
      <c r="S52" s="974"/>
      <c r="T52" s="974"/>
      <c r="U52" s="974"/>
      <c r="V52" s="974"/>
      <c r="W52" s="974"/>
    </row>
    <row r="53" spans="1:23" x14ac:dyDescent="0.25">
      <c r="A53" s="1487" t="s">
        <v>1479</v>
      </c>
      <c r="B53" s="1213" t="s">
        <v>897</v>
      </c>
      <c r="C53" s="1213" t="s">
        <v>897</v>
      </c>
      <c r="D53" s="1213" t="s">
        <v>897</v>
      </c>
      <c r="E53" s="1213" t="s">
        <v>897</v>
      </c>
      <c r="F53" s="1522">
        <f>$D$45</f>
        <v>205615.27844201072</v>
      </c>
      <c r="G53" s="251"/>
      <c r="H53" s="251"/>
      <c r="I53" s="251"/>
      <c r="J53" s="251"/>
      <c r="K53" s="251"/>
      <c r="L53" s="2372"/>
      <c r="M53" s="2372"/>
      <c r="N53" s="2372"/>
      <c r="O53" s="974"/>
      <c r="P53" s="974"/>
      <c r="Q53" s="974"/>
      <c r="R53" s="974"/>
      <c r="S53" s="974"/>
      <c r="T53" s="974"/>
      <c r="U53" s="974"/>
      <c r="V53" s="974"/>
      <c r="W53" s="974"/>
    </row>
    <row r="54" spans="1:23" x14ac:dyDescent="0.25">
      <c r="A54" s="420" t="s">
        <v>1502</v>
      </c>
      <c r="B54" s="1494">
        <f>G10</f>
        <v>4.5802718621724834</v>
      </c>
      <c r="C54" s="1494">
        <f>H10</f>
        <v>20.727179629451427</v>
      </c>
      <c r="D54" s="1489">
        <f>I10</f>
        <v>1.2254467295225575</v>
      </c>
      <c r="E54" s="1489">
        <f>J10</f>
        <v>0.32942116385014986</v>
      </c>
      <c r="F54" s="1501">
        <f>K10</f>
        <v>220.05333745190012</v>
      </c>
      <c r="G54" s="251"/>
      <c r="H54" s="251"/>
      <c r="I54" s="251"/>
      <c r="J54" s="251"/>
      <c r="K54" s="251"/>
      <c r="L54" s="2372"/>
      <c r="M54" s="2372"/>
      <c r="N54" s="2372"/>
      <c r="O54" s="995"/>
      <c r="P54" s="995"/>
      <c r="Q54" s="974"/>
      <c r="R54" s="974"/>
      <c r="S54" s="974"/>
      <c r="T54" s="974"/>
      <c r="U54" s="974"/>
      <c r="V54" s="974"/>
      <c r="W54" s="974"/>
    </row>
    <row r="55" spans="1:23" ht="16.5" customHeight="1" thickBot="1" x14ac:dyDescent="0.3">
      <c r="A55" s="1479" t="s">
        <v>1543</v>
      </c>
      <c r="B55" s="1498">
        <f>H37</f>
        <v>0.18909979545254973</v>
      </c>
      <c r="C55" s="1498">
        <f>I37</f>
        <v>0.85573641613020923</v>
      </c>
      <c r="D55" s="1498">
        <f>J37</f>
        <v>5.0593443547431317E-2</v>
      </c>
      <c r="E55" s="1498">
        <f>K37</f>
        <v>1.3600388050384762E-2</v>
      </c>
      <c r="F55" s="1506">
        <f>L37</f>
        <v>9.0850592176570188</v>
      </c>
      <c r="G55" s="1088"/>
      <c r="H55" s="1088"/>
      <c r="I55" s="1088"/>
      <c r="J55" s="1088"/>
      <c r="K55" s="1088"/>
      <c r="L55" s="2837"/>
      <c r="M55" s="2837"/>
      <c r="N55" s="2837"/>
      <c r="O55" s="995"/>
      <c r="P55" s="995"/>
      <c r="Q55" s="974"/>
      <c r="R55" s="974"/>
      <c r="S55" s="974"/>
      <c r="T55" s="974"/>
      <c r="U55" s="974"/>
      <c r="V55" s="974"/>
      <c r="W55" s="974"/>
    </row>
    <row r="56" spans="1:23" ht="16.5" customHeight="1" thickBot="1" x14ac:dyDescent="0.3">
      <c r="A56" s="2829" t="s">
        <v>1482</v>
      </c>
      <c r="B56" s="2830"/>
      <c r="C56" s="2830"/>
      <c r="D56" s="2830"/>
      <c r="E56" s="2830"/>
      <c r="F56" s="2831"/>
      <c r="G56" s="1088"/>
      <c r="H56" s="1088"/>
      <c r="I56" s="1088"/>
      <c r="J56" s="1088"/>
      <c r="K56" s="1088"/>
      <c r="L56" s="1520"/>
      <c r="M56" s="1520"/>
      <c r="N56" s="1520"/>
      <c r="O56" s="995"/>
      <c r="P56" s="995"/>
      <c r="Q56" s="974"/>
      <c r="R56" s="974"/>
      <c r="S56" s="974"/>
      <c r="T56" s="974"/>
      <c r="U56" s="974"/>
      <c r="V56" s="974"/>
      <c r="W56" s="974"/>
    </row>
    <row r="57" spans="1:23" ht="15.75" customHeight="1" x14ac:dyDescent="0.25">
      <c r="A57" s="1480" t="s">
        <v>1293</v>
      </c>
      <c r="B57" s="732">
        <f>H15</f>
        <v>2.8909479772727265</v>
      </c>
      <c r="C57" s="1257">
        <f>I15</f>
        <v>3.1222238154545442E-2</v>
      </c>
      <c r="D57" s="1257">
        <f>J15</f>
        <v>0.99448610418181815</v>
      </c>
      <c r="E57" s="1257">
        <f>K15</f>
        <v>0.46255167636363631</v>
      </c>
      <c r="F57" s="1258">
        <f>L15</f>
        <v>1084.683681072727</v>
      </c>
      <c r="G57" s="1088"/>
      <c r="H57" s="1088"/>
      <c r="I57" s="1088"/>
      <c r="J57" s="1088"/>
      <c r="K57" s="1088"/>
      <c r="L57" s="1088"/>
      <c r="M57" s="1088"/>
      <c r="N57" s="1088"/>
      <c r="O57" s="974"/>
      <c r="P57" s="974"/>
      <c r="Q57" s="974"/>
      <c r="R57" s="974"/>
      <c r="S57" s="974"/>
      <c r="T57" s="974"/>
      <c r="U57" s="974"/>
      <c r="V57" s="974"/>
      <c r="W57" s="974"/>
    </row>
    <row r="58" spans="1:23" ht="15.75" thickBot="1" x14ac:dyDescent="0.3">
      <c r="A58" s="1488" t="s">
        <v>1395</v>
      </c>
      <c r="B58" s="1503">
        <f>H20</f>
        <v>0</v>
      </c>
      <c r="C58" s="586">
        <f>I20</f>
        <v>0</v>
      </c>
      <c r="D58" s="586">
        <f>J20</f>
        <v>0</v>
      </c>
      <c r="E58" s="586">
        <f>K20</f>
        <v>0</v>
      </c>
      <c r="F58" s="587">
        <f>L20</f>
        <v>0</v>
      </c>
      <c r="G58" s="124"/>
      <c r="H58" s="1518"/>
      <c r="I58" s="1518"/>
      <c r="J58" s="1518"/>
      <c r="K58" s="1518"/>
      <c r="L58" s="1088"/>
      <c r="M58" s="1088"/>
      <c r="N58" s="1088"/>
      <c r="O58" s="974"/>
      <c r="P58" s="974"/>
      <c r="Q58" s="974"/>
      <c r="R58" s="974"/>
      <c r="S58" s="974"/>
      <c r="T58" s="974"/>
      <c r="U58" s="974"/>
      <c r="V58" s="974"/>
      <c r="W58" s="974"/>
    </row>
    <row r="59" spans="1:23" ht="15.75" thickBot="1" x14ac:dyDescent="0.3">
      <c r="A59" s="868"/>
      <c r="B59" s="1519"/>
      <c r="C59" s="1497"/>
      <c r="D59" s="738"/>
      <c r="E59" s="738"/>
      <c r="F59" s="738"/>
      <c r="G59" s="738"/>
      <c r="H59" s="787"/>
      <c r="I59" s="787"/>
      <c r="J59" s="787"/>
      <c r="K59" s="787"/>
      <c r="L59" s="787"/>
      <c r="M59" s="974"/>
      <c r="N59" s="974"/>
      <c r="O59" s="974"/>
      <c r="P59" s="974"/>
      <c r="Q59" s="974"/>
      <c r="R59" s="974"/>
      <c r="S59" s="974"/>
      <c r="T59" s="974"/>
      <c r="U59" s="974"/>
      <c r="V59" s="974"/>
      <c r="W59" s="974"/>
    </row>
    <row r="60" spans="1:23" ht="60.75" customHeight="1" thickBot="1" x14ac:dyDescent="0.3">
      <c r="A60" s="2627" t="s">
        <v>1326</v>
      </c>
      <c r="B60" s="2628"/>
      <c r="C60" s="2628"/>
      <c r="D60" s="2628"/>
      <c r="E60" s="2628"/>
      <c r="F60" s="2628"/>
      <c r="G60" s="2628"/>
      <c r="H60" s="2628"/>
      <c r="I60" s="2628"/>
      <c r="J60" s="2628"/>
      <c r="K60" s="2628"/>
      <c r="L60" s="2628"/>
      <c r="M60" s="2628"/>
      <c r="N60" s="2628"/>
      <c r="O60" s="2628"/>
      <c r="P60" s="2628"/>
      <c r="Q60" s="2628"/>
      <c r="R60" s="2629"/>
    </row>
    <row r="61" spans="1:23" ht="79.5" customHeight="1" thickBot="1" x14ac:dyDescent="0.3">
      <c r="A61" s="1041" t="s">
        <v>1115</v>
      </c>
      <c r="B61" s="1071" t="s">
        <v>177</v>
      </c>
      <c r="C61" s="1940" t="s">
        <v>1244</v>
      </c>
      <c r="D61" s="1940" t="s">
        <v>1252</v>
      </c>
      <c r="E61" s="1940" t="s">
        <v>1247</v>
      </c>
      <c r="F61" s="1940" t="s">
        <v>1241</v>
      </c>
      <c r="G61" s="1940" t="s">
        <v>1242</v>
      </c>
      <c r="H61" s="1939" t="s">
        <v>272</v>
      </c>
      <c r="I61" s="1940" t="s">
        <v>1080</v>
      </c>
      <c r="J61" s="1940" t="s">
        <v>273</v>
      </c>
      <c r="K61" s="1940" t="s">
        <v>455</v>
      </c>
      <c r="L61" s="1940" t="s">
        <v>274</v>
      </c>
      <c r="M61" s="1940" t="s">
        <v>1117</v>
      </c>
      <c r="N61" s="1940" t="s">
        <v>1079</v>
      </c>
      <c r="O61" s="1940" t="s">
        <v>271</v>
      </c>
      <c r="P61" s="1940" t="s">
        <v>277</v>
      </c>
      <c r="Q61" s="1940" t="s">
        <v>278</v>
      </c>
      <c r="R61" s="1941" t="s">
        <v>316</v>
      </c>
    </row>
    <row r="62" spans="1:23" x14ac:dyDescent="0.25">
      <c r="A62" s="2801" t="s">
        <v>1076</v>
      </c>
      <c r="B62" s="1117">
        <v>2019</v>
      </c>
      <c r="C62" s="1059">
        <f>'Emission-Solid-liquid Residual'!$K$10</f>
        <v>220.05333745190012</v>
      </c>
      <c r="D62" s="1059">
        <f>'Emission-Solid-liquid Residual'!$J$10</f>
        <v>0.32942116385014986</v>
      </c>
      <c r="E62" s="1059">
        <f>'Emission-Solid-liquid Residual'!$G$10</f>
        <v>4.5802718621724834</v>
      </c>
      <c r="F62" s="1059">
        <f>'Emission-Solid-liquid Residual'!$H$10</f>
        <v>20.727179629451427</v>
      </c>
      <c r="G62" s="1059">
        <f>'Emission-Solid-liquid Residual'!$I$10</f>
        <v>1.2254467295225575</v>
      </c>
      <c r="H62" s="1072">
        <v>62</v>
      </c>
      <c r="I62" s="1072">
        <f>'Emission-Waste Transport Vehicl'!N33</f>
        <v>32.602537440000006</v>
      </c>
      <c r="J62" s="1072">
        <f>'Emission-Waste Transport Vehicl'!P33</f>
        <v>18.139508640000003</v>
      </c>
      <c r="K62" s="1072">
        <f>'Emission-Waste Transport Vehicl'!Q33</f>
        <v>14.087652480000001</v>
      </c>
      <c r="L62" s="1072">
        <f>'Emission-Waste Transport Vehicl'!R33</f>
        <v>1.4021409600000001</v>
      </c>
      <c r="M62" s="1072">
        <f t="shared" ref="M62:M93" si="1">(C62/1000)*H62</f>
        <v>13.643306922017807</v>
      </c>
      <c r="N62" s="1118">
        <f t="shared" ref="N62:N93" si="2">D62*I62</f>
        <v>10.739965827952886</v>
      </c>
      <c r="O62" s="1118">
        <f t="shared" ref="O62:O93" si="3">E62*J62</f>
        <v>83.083881017426663</v>
      </c>
      <c r="P62" s="1118">
        <f t="shared" ref="P62:P93" si="4">F62*K62</f>
        <v>291.99730351024692</v>
      </c>
      <c r="Q62" s="1118">
        <f t="shared" ref="Q62:Q93" si="5">G62*L62</f>
        <v>1.7182490537616193</v>
      </c>
      <c r="R62" s="2804">
        <f>(SUM(M62:M112)*1.2682)+(SUM(N62:N112))+(SUM(O62:O112))+(SUM(P62:P112))+(SUM(Q62:Q112))</f>
        <v>13791.525362338803</v>
      </c>
    </row>
    <row r="63" spans="1:23" x14ac:dyDescent="0.25">
      <c r="A63" s="2802"/>
      <c r="B63" s="706">
        <v>2020</v>
      </c>
      <c r="C63" s="1058">
        <f>'Emission-Solid-liquid Residual'!$K$10</f>
        <v>220.05333745190012</v>
      </c>
      <c r="D63" s="1058">
        <f>'Emission-Solid-liquid Residual'!$J$10</f>
        <v>0.32942116385014986</v>
      </c>
      <c r="E63" s="1058">
        <f>'Emission-Solid-liquid Residual'!$G$10</f>
        <v>4.5802718621724834</v>
      </c>
      <c r="F63" s="1058">
        <f>'Emission-Solid-liquid Residual'!$H$10</f>
        <v>20.727179629451427</v>
      </c>
      <c r="G63" s="1058">
        <f>'Emission-Solid-liquid Residual'!$I$10</f>
        <v>1.2254467295225575</v>
      </c>
      <c r="H63" s="1933">
        <v>64</v>
      </c>
      <c r="I63" s="1933">
        <f>'Emission-Waste Transport Vehicl'!N34</f>
        <v>31.963527706176006</v>
      </c>
      <c r="J63" s="1933">
        <f>'Emission-Waste Transport Vehicl'!P34</f>
        <v>17.783974270656003</v>
      </c>
      <c r="K63" s="1933">
        <f>'Emission-Waste Transport Vehicl'!Q34</f>
        <v>13.811534491392001</v>
      </c>
      <c r="L63" s="1933">
        <f>'Emission-Waste Transport Vehicl'!R34</f>
        <v>1.3746589971840002</v>
      </c>
      <c r="M63" s="1933">
        <f t="shared" si="1"/>
        <v>14.083413596921607</v>
      </c>
      <c r="N63" s="830">
        <f t="shared" si="2"/>
        <v>10.52946249772501</v>
      </c>
      <c r="O63" s="830">
        <f t="shared" si="3"/>
        <v>81.455436949485104</v>
      </c>
      <c r="P63" s="830">
        <f t="shared" si="4"/>
        <v>286.27415636144605</v>
      </c>
      <c r="Q63" s="830">
        <f t="shared" si="5"/>
        <v>1.6845713723078917</v>
      </c>
      <c r="R63" s="2773"/>
    </row>
    <row r="64" spans="1:23" ht="21" customHeight="1" x14ac:dyDescent="0.25">
      <c r="A64" s="2802"/>
      <c r="B64" s="706">
        <v>2021</v>
      </c>
      <c r="C64" s="1058">
        <f>'Emission-Solid-liquid Residual'!$K$10</f>
        <v>220.05333745190012</v>
      </c>
      <c r="D64" s="1058">
        <f>'Emission-Solid-liquid Residual'!$J$10</f>
        <v>0.32942116385014986</v>
      </c>
      <c r="E64" s="1058">
        <f>'Emission-Solid-liquid Residual'!$G$10</f>
        <v>4.5802718621724834</v>
      </c>
      <c r="F64" s="1058">
        <f>'Emission-Solid-liquid Residual'!$H$10</f>
        <v>20.727179629451427</v>
      </c>
      <c r="G64" s="1058">
        <f>'Emission-Solid-liquid Residual'!$I$10</f>
        <v>1.2254467295225575</v>
      </c>
      <c r="H64" s="1933">
        <v>65</v>
      </c>
      <c r="I64" s="1933">
        <f>'Emission-Waste Transport Vehicl'!N35</f>
        <v>31.337558987328006</v>
      </c>
      <c r="J64" s="1933">
        <f>'Emission-Waste Transport Vehicl'!P35</f>
        <v>17.435695704768001</v>
      </c>
      <c r="K64" s="1933">
        <f>'Emission-Waste Transport Vehicl'!Q35</f>
        <v>13.541051563776001</v>
      </c>
      <c r="L64" s="1933">
        <f>'Emission-Waste Transport Vehicl'!R35</f>
        <v>1.3477378907520003</v>
      </c>
      <c r="M64" s="1933">
        <f t="shared" si="1"/>
        <v>14.303466934373507</v>
      </c>
      <c r="N64" s="830">
        <f t="shared" si="2"/>
        <v>10.323255153828315</v>
      </c>
      <c r="O64" s="830">
        <f t="shared" si="3"/>
        <v>79.860226433950501</v>
      </c>
      <c r="P64" s="830">
        <f t="shared" si="4"/>
        <v>280.66780813404932</v>
      </c>
      <c r="Q64" s="830">
        <f t="shared" si="5"/>
        <v>1.6515809904756686</v>
      </c>
      <c r="R64" s="2773"/>
    </row>
    <row r="65" spans="1:28" x14ac:dyDescent="0.25">
      <c r="A65" s="2802"/>
      <c r="B65" s="706">
        <v>2022</v>
      </c>
      <c r="C65" s="1058">
        <f>'Emission-Solid-liquid Residual'!$K$10</f>
        <v>220.05333745190012</v>
      </c>
      <c r="D65" s="1058">
        <f>'Emission-Solid-liquid Residual'!$J$10</f>
        <v>0.32942116385014986</v>
      </c>
      <c r="E65" s="1058">
        <f>'Emission-Solid-liquid Residual'!$G$10</f>
        <v>4.5802718621724834</v>
      </c>
      <c r="F65" s="1058">
        <f>'Emission-Solid-liquid Residual'!$H$10</f>
        <v>20.727179629451427</v>
      </c>
      <c r="G65" s="1058">
        <f>'Emission-Solid-liquid Residual'!$I$10</f>
        <v>1.2254467295225575</v>
      </c>
      <c r="H65" s="1933">
        <v>66</v>
      </c>
      <c r="I65" s="1933">
        <f>'Emission-Waste Transport Vehicl'!N36</f>
        <v>30.721371029712003</v>
      </c>
      <c r="J65" s="1933">
        <f>'Emission-Waste Transport Vehicl'!P36</f>
        <v>17.092858991472003</v>
      </c>
      <c r="K65" s="1933">
        <f>'Emission-Waste Transport Vehicl'!Q36</f>
        <v>13.274794931903999</v>
      </c>
      <c r="L65" s="1933">
        <f>'Emission-Waste Transport Vehicl'!R36</f>
        <v>1.3212374266080003</v>
      </c>
      <c r="M65" s="1933">
        <f t="shared" si="1"/>
        <v>14.523520271825408</v>
      </c>
      <c r="N65" s="830">
        <f t="shared" si="2"/>
        <v>10.120269799680004</v>
      </c>
      <c r="O65" s="830">
        <f t="shared" si="3"/>
        <v>78.289941082721143</v>
      </c>
      <c r="P65" s="830">
        <f t="shared" si="4"/>
        <v>275.14905909770562</v>
      </c>
      <c r="Q65" s="830">
        <f t="shared" si="5"/>
        <v>1.6191060833595741</v>
      </c>
      <c r="R65" s="2773"/>
    </row>
    <row r="66" spans="1:28" x14ac:dyDescent="0.25">
      <c r="A66" s="2802"/>
      <c r="B66" s="706">
        <v>2023</v>
      </c>
      <c r="C66" s="1058">
        <f>'Emission-Solid-liquid Residual'!$K$10</f>
        <v>220.05333745190012</v>
      </c>
      <c r="D66" s="1058">
        <f>'Emission-Solid-liquid Residual'!$J$10</f>
        <v>0.32942116385014986</v>
      </c>
      <c r="E66" s="1058">
        <f>'Emission-Solid-liquid Residual'!$G$10</f>
        <v>4.5802718621724834</v>
      </c>
      <c r="F66" s="1058">
        <f>'Emission-Solid-liquid Residual'!$H$10</f>
        <v>20.727179629451427</v>
      </c>
      <c r="G66" s="1058">
        <f>'Emission-Solid-liquid Residual'!$I$10</f>
        <v>1.2254467295225575</v>
      </c>
      <c r="H66" s="1933">
        <v>67</v>
      </c>
      <c r="I66" s="1933">
        <f>'Emission-Waste Transport Vehicl'!N37</f>
        <v>30.118224087072001</v>
      </c>
      <c r="J66" s="1933">
        <f>'Emission-Waste Transport Vehicl'!P37</f>
        <v>16.757278081632002</v>
      </c>
      <c r="K66" s="1933">
        <f>'Emission-Waste Transport Vehicl'!Q37</f>
        <v>13.014173361024</v>
      </c>
      <c r="L66" s="1933">
        <f>'Emission-Waste Transport Vehicl'!R37</f>
        <v>1.295297818848</v>
      </c>
      <c r="M66" s="1933">
        <f t="shared" si="1"/>
        <v>14.743573609277307</v>
      </c>
      <c r="N66" s="830">
        <f t="shared" si="2"/>
        <v>9.9215804318628749</v>
      </c>
      <c r="O66" s="830">
        <f t="shared" si="3"/>
        <v>76.752889283898753</v>
      </c>
      <c r="P66" s="830">
        <f t="shared" si="4"/>
        <v>269.74710898276606</v>
      </c>
      <c r="Q66" s="830">
        <f t="shared" si="5"/>
        <v>1.5873184758649836</v>
      </c>
      <c r="R66" s="2773"/>
    </row>
    <row r="67" spans="1:28" x14ac:dyDescent="0.25">
      <c r="A67" s="2802"/>
      <c r="B67" s="706">
        <v>2024</v>
      </c>
      <c r="C67" s="1058">
        <f>'Emission-Solid-liquid Residual'!$K$10</f>
        <v>220.05333745190012</v>
      </c>
      <c r="D67" s="1058">
        <f>'Emission-Solid-liquid Residual'!$J$10</f>
        <v>0.32942116385014986</v>
      </c>
      <c r="E67" s="1058">
        <f>'Emission-Solid-liquid Residual'!$G$10</f>
        <v>4.5802718621724834</v>
      </c>
      <c r="F67" s="1058">
        <f>'Emission-Solid-liquid Residual'!$H$10</f>
        <v>20.727179629451427</v>
      </c>
      <c r="G67" s="1058">
        <f>'Emission-Solid-liquid Residual'!$I$10</f>
        <v>1.2254467295225575</v>
      </c>
      <c r="H67" s="1933">
        <v>68</v>
      </c>
      <c r="I67" s="1933">
        <f>'Emission-Waste Transport Vehicl'!N38</f>
        <v>29.528118159408002</v>
      </c>
      <c r="J67" s="1933">
        <f>'Emission-Waste Transport Vehicl'!P38</f>
        <v>16.428952975248002</v>
      </c>
      <c r="K67" s="1933">
        <f>'Emission-Waste Transport Vehicl'!Q38</f>
        <v>12.759186851135999</v>
      </c>
      <c r="L67" s="1933">
        <f>'Emission-Waste Transport Vehicl'!R38</f>
        <v>1.269919067472</v>
      </c>
      <c r="M67" s="1933">
        <f t="shared" si="1"/>
        <v>14.963626946729208</v>
      </c>
      <c r="N67" s="830">
        <f t="shared" si="2"/>
        <v>9.7271870503769282</v>
      </c>
      <c r="O67" s="830">
        <f t="shared" si="3"/>
        <v>75.249071037483333</v>
      </c>
      <c r="P67" s="830">
        <f t="shared" si="4"/>
        <v>264.46195778923055</v>
      </c>
      <c r="Q67" s="830">
        <f t="shared" si="5"/>
        <v>1.5562181679918985</v>
      </c>
      <c r="R67" s="2773"/>
    </row>
    <row r="68" spans="1:28" x14ac:dyDescent="0.25">
      <c r="A68" s="2802"/>
      <c r="B68" s="706">
        <v>2025</v>
      </c>
      <c r="C68" s="1058">
        <f>'Emission-Solid-liquid Residual'!$K$10</f>
        <v>220.05333745190012</v>
      </c>
      <c r="D68" s="1058">
        <f>'Emission-Solid-liquid Residual'!$J$10</f>
        <v>0.32942116385014986</v>
      </c>
      <c r="E68" s="1058">
        <f>'Emission-Solid-liquid Residual'!$G$10</f>
        <v>4.5802718621724834</v>
      </c>
      <c r="F68" s="1058">
        <f>'Emission-Solid-liquid Residual'!$H$10</f>
        <v>20.727179629451427</v>
      </c>
      <c r="G68" s="1058">
        <f>'Emission-Solid-liquid Residual'!$I$10</f>
        <v>1.2254467295225575</v>
      </c>
      <c r="H68" s="1933">
        <v>69</v>
      </c>
      <c r="I68" s="1933">
        <f>'Emission-Waste Transport Vehicl'!N39</f>
        <v>28.951053246720004</v>
      </c>
      <c r="J68" s="1933">
        <f>'Emission-Waste Transport Vehicl'!P39</f>
        <v>16.10788367232</v>
      </c>
      <c r="K68" s="1933">
        <f>'Emission-Waste Transport Vehicl'!Q39</f>
        <v>12.50983540224</v>
      </c>
      <c r="L68" s="1933">
        <f>'Emission-Waste Transport Vehicl'!R39</f>
        <v>1.2451011724800001</v>
      </c>
      <c r="M68" s="1933">
        <f t="shared" si="1"/>
        <v>15.183680284181108</v>
      </c>
      <c r="N68" s="830">
        <f t="shared" si="2"/>
        <v>9.5370896552221627</v>
      </c>
      <c r="O68" s="830">
        <f t="shared" si="3"/>
        <v>73.778486343474867</v>
      </c>
      <c r="P68" s="830">
        <f t="shared" si="4"/>
        <v>259.29360551709925</v>
      </c>
      <c r="Q68" s="830">
        <f t="shared" si="5"/>
        <v>1.5258051597403179</v>
      </c>
      <c r="R68" s="2773"/>
    </row>
    <row r="69" spans="1:28" x14ac:dyDescent="0.25">
      <c r="A69" s="2802"/>
      <c r="B69" s="706">
        <v>2026</v>
      </c>
      <c r="C69" s="1058">
        <f>'Emission-Solid-liquid Residual'!$K$10</f>
        <v>220.05333745190012</v>
      </c>
      <c r="D69" s="1058">
        <f>'Emission-Solid-liquid Residual'!$J$10</f>
        <v>0.32942116385014986</v>
      </c>
      <c r="E69" s="1058">
        <f>'Emission-Solid-liquid Residual'!$G$10</f>
        <v>4.5802718621724834</v>
      </c>
      <c r="F69" s="1058">
        <f>'Emission-Solid-liquid Residual'!$H$10</f>
        <v>20.727179629451427</v>
      </c>
      <c r="G69" s="1058">
        <f>'Emission-Solid-liquid Residual'!$I$10</f>
        <v>1.2254467295225575</v>
      </c>
      <c r="H69" s="1933">
        <v>70</v>
      </c>
      <c r="I69" s="1933">
        <f>'Emission-Waste Transport Vehicl'!N40</f>
        <v>28.383769095264007</v>
      </c>
      <c r="J69" s="1933">
        <f>'Emission-Waste Transport Vehicl'!P40</f>
        <v>15.792256221984003</v>
      </c>
      <c r="K69" s="1933">
        <f>'Emission-Waste Transport Vehicl'!Q40</f>
        <v>12.264710249088001</v>
      </c>
      <c r="L69" s="1933">
        <f>'Emission-Waste Transport Vehicl'!R40</f>
        <v>1.2207039197760001</v>
      </c>
      <c r="M69" s="1933">
        <f t="shared" si="1"/>
        <v>15.403733621633009</v>
      </c>
      <c r="N69" s="830">
        <f t="shared" si="2"/>
        <v>9.3502142498157852</v>
      </c>
      <c r="O69" s="830">
        <f t="shared" si="3"/>
        <v>72.332826813771661</v>
      </c>
      <c r="P69" s="830">
        <f t="shared" si="4"/>
        <v>254.21285243602097</v>
      </c>
      <c r="Q69" s="830">
        <f t="shared" si="5"/>
        <v>1.4959076262048658</v>
      </c>
      <c r="R69" s="2773"/>
    </row>
    <row r="70" spans="1:28" ht="19.5" customHeight="1" x14ac:dyDescent="0.25">
      <c r="A70" s="2802"/>
      <c r="B70" s="706">
        <v>2027</v>
      </c>
      <c r="C70" s="1058">
        <f>'Emission-Solid-liquid Residual'!$K$10</f>
        <v>220.05333745190012</v>
      </c>
      <c r="D70" s="1058">
        <f>'Emission-Solid-liquid Residual'!$J$10</f>
        <v>0.32942116385014986</v>
      </c>
      <c r="E70" s="1058">
        <f>'Emission-Solid-liquid Residual'!$G$10</f>
        <v>4.5802718621724834</v>
      </c>
      <c r="F70" s="1058">
        <f>'Emission-Solid-liquid Residual'!$H$10</f>
        <v>20.727179629451427</v>
      </c>
      <c r="G70" s="1058">
        <f>'Emission-Solid-liquid Residual'!$I$10</f>
        <v>1.2254467295225575</v>
      </c>
      <c r="H70" s="1933">
        <v>71</v>
      </c>
      <c r="I70" s="1933">
        <f>'Emission-Waste Transport Vehicl'!N41</f>
        <v>27.826265705040004</v>
      </c>
      <c r="J70" s="1933">
        <f>'Emission-Waste Transport Vehicl'!P41</f>
        <v>15.482070624240002</v>
      </c>
      <c r="K70" s="1933">
        <f>'Emission-Waste Transport Vehicl'!Q41</f>
        <v>12.023811391680001</v>
      </c>
      <c r="L70" s="1933">
        <f>'Emission-Waste Transport Vehicl'!R41</f>
        <v>1.1967273093600002</v>
      </c>
      <c r="M70" s="1933">
        <f t="shared" si="1"/>
        <v>15.623786959084908</v>
      </c>
      <c r="N70" s="830">
        <f t="shared" si="2"/>
        <v>9.1665608341577887</v>
      </c>
      <c r="O70" s="830">
        <f t="shared" si="3"/>
        <v>70.912092448373656</v>
      </c>
      <c r="P70" s="830">
        <f t="shared" si="4"/>
        <v>249.21969854599573</v>
      </c>
      <c r="Q70" s="830">
        <f t="shared" si="5"/>
        <v>1.4665255673855422</v>
      </c>
      <c r="R70" s="2773"/>
    </row>
    <row r="71" spans="1:28" ht="24" customHeight="1" x14ac:dyDescent="0.25">
      <c r="A71" s="2802"/>
      <c r="B71" s="706">
        <v>2028</v>
      </c>
      <c r="C71" s="1058">
        <f>'Emission-Solid-liquid Residual'!$K$10</f>
        <v>220.05333745190012</v>
      </c>
      <c r="D71" s="1058">
        <f>'Emission-Solid-liquid Residual'!$J$10</f>
        <v>0.32942116385014986</v>
      </c>
      <c r="E71" s="1058">
        <f>'Emission-Solid-liquid Residual'!$G$10</f>
        <v>4.5802718621724834</v>
      </c>
      <c r="F71" s="1058">
        <f>'Emission-Solid-liquid Residual'!$H$10</f>
        <v>20.727179629451427</v>
      </c>
      <c r="G71" s="1058">
        <f>'Emission-Solid-liquid Residual'!$I$10</f>
        <v>1.2254467295225575</v>
      </c>
      <c r="H71" s="1933">
        <v>72</v>
      </c>
      <c r="I71" s="1933">
        <f>'Emission-Waste Transport Vehicl'!N42</f>
        <v>27.281803329792002</v>
      </c>
      <c r="J71" s="1933">
        <f>'Emission-Waste Transport Vehicl'!P42</f>
        <v>15.179140829952001</v>
      </c>
      <c r="K71" s="1933">
        <f>'Emission-Waste Transport Vehicl'!Q42</f>
        <v>11.788547595263999</v>
      </c>
      <c r="L71" s="1933">
        <f>'Emission-Waste Transport Vehicl'!R42</f>
        <v>1.173311555328</v>
      </c>
      <c r="M71" s="1933">
        <f t="shared" si="1"/>
        <v>15.843840296536808</v>
      </c>
      <c r="N71" s="830">
        <f t="shared" si="2"/>
        <v>8.987203404830975</v>
      </c>
      <c r="O71" s="830">
        <f t="shared" si="3"/>
        <v>69.52459163538262</v>
      </c>
      <c r="P71" s="830">
        <f t="shared" si="4"/>
        <v>244.34334357737458</v>
      </c>
      <c r="Q71" s="830">
        <f t="shared" si="5"/>
        <v>1.4378308081877229</v>
      </c>
      <c r="R71" s="2773"/>
      <c r="S71" s="1078"/>
      <c r="T71" s="1078"/>
      <c r="U71" s="1078"/>
      <c r="V71" s="1078"/>
      <c r="W71" s="1078"/>
      <c r="X71" s="1078"/>
      <c r="Y71" s="1078"/>
      <c r="Z71" s="1078"/>
      <c r="AA71" s="1078"/>
      <c r="AB71" s="1088"/>
    </row>
    <row r="72" spans="1:28" x14ac:dyDescent="0.25">
      <c r="A72" s="2802"/>
      <c r="B72" s="706">
        <v>2029</v>
      </c>
      <c r="C72" s="1058">
        <f>'Emission-Solid-liquid Residual'!$K$10</f>
        <v>220.05333745190012</v>
      </c>
      <c r="D72" s="1058">
        <f>'Emission-Solid-liquid Residual'!$J$10</f>
        <v>0.32942116385014986</v>
      </c>
      <c r="E72" s="1058">
        <f>'Emission-Solid-liquid Residual'!$G$10</f>
        <v>4.5802718621724834</v>
      </c>
      <c r="F72" s="1058">
        <f>'Emission-Solid-liquid Residual'!$H$10</f>
        <v>20.727179629451427</v>
      </c>
      <c r="G72" s="1058">
        <f>'Emission-Solid-liquid Residual'!$I$10</f>
        <v>1.2254467295225575</v>
      </c>
      <c r="H72" s="1933">
        <v>73</v>
      </c>
      <c r="I72" s="1933">
        <f>'Emission-Waste Transport Vehicl'!N43</f>
        <v>26.743861462032005</v>
      </c>
      <c r="J72" s="1933">
        <f>'Emission-Waste Transport Vehicl'!P43</f>
        <v>14.879838937392002</v>
      </c>
      <c r="K72" s="1933">
        <f>'Emission-Waste Transport Vehicl'!Q43</f>
        <v>11.556101329344001</v>
      </c>
      <c r="L72" s="1933">
        <f>'Emission-Waste Transport Vehicl'!R43</f>
        <v>1.1501762294880002</v>
      </c>
      <c r="M72" s="1933">
        <f t="shared" si="1"/>
        <v>16.063893633988709</v>
      </c>
      <c r="N72" s="830">
        <f t="shared" si="2"/>
        <v>8.8099939686697528</v>
      </c>
      <c r="O72" s="830">
        <f t="shared" si="3"/>
        <v>68.153707598595091</v>
      </c>
      <c r="P72" s="830">
        <f t="shared" si="4"/>
        <v>239.52538806945554</v>
      </c>
      <c r="Q72" s="830">
        <f t="shared" si="5"/>
        <v>1.4094796988006564</v>
      </c>
      <c r="R72" s="2773"/>
    </row>
    <row r="73" spans="1:28" x14ac:dyDescent="0.25">
      <c r="A73" s="2802"/>
      <c r="B73" s="706">
        <v>2030</v>
      </c>
      <c r="C73" s="1058">
        <f>'Emission-Solid-liquid Residual'!$K$10</f>
        <v>220.05333745190012</v>
      </c>
      <c r="D73" s="1058">
        <f>'Emission-Solid-liquid Residual'!$J$10</f>
        <v>0.32942116385014986</v>
      </c>
      <c r="E73" s="1058">
        <f>'Emission-Solid-liquid Residual'!$G$10</f>
        <v>4.5802718621724834</v>
      </c>
      <c r="F73" s="1058">
        <f>'Emission-Solid-liquid Residual'!$H$10</f>
        <v>20.727179629451427</v>
      </c>
      <c r="G73" s="1058">
        <f>'Emission-Solid-liquid Residual'!$I$10</f>
        <v>1.2254467295225575</v>
      </c>
      <c r="H73" s="1933">
        <v>75</v>
      </c>
      <c r="I73" s="1933">
        <f>'Emission-Waste Transport Vehicl'!N44</f>
        <v>26.222220862992003</v>
      </c>
      <c r="J73" s="1933">
        <f>'Emission-Waste Transport Vehicl'!P44</f>
        <v>14.589606799152003</v>
      </c>
      <c r="K73" s="1933">
        <f>'Emission-Waste Transport Vehicl'!Q44</f>
        <v>11.330698889664001</v>
      </c>
      <c r="L73" s="1933">
        <f>'Emission-Waste Transport Vehicl'!R44</f>
        <v>1.1277419741280001</v>
      </c>
      <c r="M73" s="1933">
        <f t="shared" si="1"/>
        <v>16.504000308892508</v>
      </c>
      <c r="N73" s="830">
        <f t="shared" si="2"/>
        <v>8.6381545154225066</v>
      </c>
      <c r="O73" s="830">
        <f t="shared" si="3"/>
        <v>66.824365502316269</v>
      </c>
      <c r="P73" s="830">
        <f t="shared" si="4"/>
        <v>234.8534312132916</v>
      </c>
      <c r="Q73" s="830">
        <f t="shared" si="5"/>
        <v>1.3819877139404704</v>
      </c>
      <c r="R73" s="2773"/>
    </row>
    <row r="74" spans="1:28" x14ac:dyDescent="0.25">
      <c r="A74" s="2802"/>
      <c r="B74" s="706">
        <v>2031</v>
      </c>
      <c r="C74" s="1058">
        <f>'Emission-Solid-liquid Residual'!$K$10</f>
        <v>220.05333745190012</v>
      </c>
      <c r="D74" s="1058">
        <f>'Emission-Solid-liquid Residual'!$J$10</f>
        <v>0.32942116385014986</v>
      </c>
      <c r="E74" s="1058">
        <f>'Emission-Solid-liquid Residual'!$G$10</f>
        <v>4.5802718621724834</v>
      </c>
      <c r="F74" s="1058">
        <f>'Emission-Solid-liquid Residual'!$H$10</f>
        <v>20.727179629451427</v>
      </c>
      <c r="G74" s="1058">
        <f>'Emission-Solid-liquid Residual'!$I$10</f>
        <v>1.2254467295225575</v>
      </c>
      <c r="H74" s="1933">
        <v>76</v>
      </c>
      <c r="I74" s="1933">
        <f>'Emission-Waste Transport Vehicl'!N45</f>
        <v>25.70710077144</v>
      </c>
      <c r="J74" s="1933">
        <f>'Emission-Waste Transport Vehicl'!P45</f>
        <v>14.303002562640001</v>
      </c>
      <c r="K74" s="1933">
        <f>'Emission-Waste Transport Vehicl'!Q45</f>
        <v>11.108113980480001</v>
      </c>
      <c r="L74" s="1933">
        <f>'Emission-Waste Transport Vehicl'!R45</f>
        <v>1.1055881469600002</v>
      </c>
      <c r="M74" s="1933">
        <f t="shared" si="1"/>
        <v>16.724053646344409</v>
      </c>
      <c r="N74" s="830">
        <f t="shared" si="2"/>
        <v>8.46846305534085</v>
      </c>
      <c r="O74" s="830">
        <f t="shared" si="3"/>
        <v>65.511640182240924</v>
      </c>
      <c r="P74" s="830">
        <f t="shared" si="4"/>
        <v>230.23987381782968</v>
      </c>
      <c r="Q74" s="830">
        <f t="shared" si="5"/>
        <v>1.3548393788910369</v>
      </c>
      <c r="R74" s="2773"/>
    </row>
    <row r="75" spans="1:28" x14ac:dyDescent="0.25">
      <c r="A75" s="2802"/>
      <c r="B75" s="706">
        <v>2032</v>
      </c>
      <c r="C75" s="1058">
        <f>'Emission-Solid-liquid Residual'!$K$10</f>
        <v>220.05333745190012</v>
      </c>
      <c r="D75" s="1058">
        <f>'Emission-Solid-liquid Residual'!$J$10</f>
        <v>0.32942116385014986</v>
      </c>
      <c r="E75" s="1058">
        <f>'Emission-Solid-liquid Residual'!$G$10</f>
        <v>4.5802718621724834</v>
      </c>
      <c r="F75" s="1058">
        <f>'Emission-Solid-liquid Residual'!$H$10</f>
        <v>20.727179629451427</v>
      </c>
      <c r="G75" s="1058">
        <f>'Emission-Solid-liquid Residual'!$I$10</f>
        <v>1.2254467295225575</v>
      </c>
      <c r="H75" s="1933">
        <v>77</v>
      </c>
      <c r="I75" s="1933">
        <f>'Emission-Waste Transport Vehicl'!N46</f>
        <v>25.201761441120002</v>
      </c>
      <c r="J75" s="1933">
        <f>'Emission-Waste Transport Vehicl'!P46</f>
        <v>14.021840178720002</v>
      </c>
      <c r="K75" s="1933">
        <f>'Emission-Waste Transport Vehicl'!Q46</f>
        <v>10.889755367040001</v>
      </c>
      <c r="L75" s="1933">
        <f>'Emission-Waste Transport Vehicl'!R46</f>
        <v>1.0838549620800002</v>
      </c>
      <c r="M75" s="1933">
        <f t="shared" si="1"/>
        <v>16.94410698379631</v>
      </c>
      <c r="N75" s="830">
        <f t="shared" si="2"/>
        <v>8.3019935850075814</v>
      </c>
      <c r="O75" s="830">
        <f t="shared" si="3"/>
        <v>64.22384002647081</v>
      </c>
      <c r="P75" s="830">
        <f t="shared" si="4"/>
        <v>225.71391561342085</v>
      </c>
      <c r="Q75" s="830">
        <f t="shared" si="5"/>
        <v>1.3282065185577319</v>
      </c>
      <c r="R75" s="2773"/>
    </row>
    <row r="76" spans="1:28" x14ac:dyDescent="0.25">
      <c r="A76" s="2802"/>
      <c r="B76" s="706">
        <v>2033</v>
      </c>
      <c r="C76" s="1058">
        <f>'Emission-Solid-liquid Residual'!$K$10</f>
        <v>220.05333745190012</v>
      </c>
      <c r="D76" s="1058">
        <f>'Emission-Solid-liquid Residual'!$J$10</f>
        <v>0.32942116385014986</v>
      </c>
      <c r="E76" s="1058">
        <f>'Emission-Solid-liquid Residual'!$G$10</f>
        <v>4.5802718621724834</v>
      </c>
      <c r="F76" s="1058">
        <f>'Emission-Solid-liquid Residual'!$H$10</f>
        <v>20.727179629451427</v>
      </c>
      <c r="G76" s="1058">
        <f>'Emission-Solid-liquid Residual'!$I$10</f>
        <v>1.2254467295225575</v>
      </c>
      <c r="H76" s="1933">
        <v>78</v>
      </c>
      <c r="I76" s="1933">
        <f>'Emission-Waste Transport Vehicl'!N47</f>
        <v>24.709463125776001</v>
      </c>
      <c r="J76" s="1933">
        <f>'Emission-Waste Transport Vehicl'!P47</f>
        <v>13.747933598256003</v>
      </c>
      <c r="K76" s="1933">
        <f>'Emission-Waste Transport Vehicl'!Q47</f>
        <v>10.677031814592</v>
      </c>
      <c r="L76" s="1933">
        <f>'Emission-Waste Transport Vehicl'!R47</f>
        <v>1.0626826335840001</v>
      </c>
      <c r="M76" s="1933">
        <f t="shared" si="1"/>
        <v>17.164160321248207</v>
      </c>
      <c r="N76" s="830">
        <f t="shared" si="2"/>
        <v>8.1398201010054922</v>
      </c>
      <c r="O76" s="830">
        <f t="shared" si="3"/>
        <v>62.969273423107673</v>
      </c>
      <c r="P76" s="830">
        <f t="shared" si="4"/>
        <v>221.30475633041613</v>
      </c>
      <c r="Q76" s="830">
        <f t="shared" si="5"/>
        <v>1.3022609578459312</v>
      </c>
      <c r="R76" s="2773"/>
    </row>
    <row r="77" spans="1:28" x14ac:dyDescent="0.25">
      <c r="A77" s="2802"/>
      <c r="B77" s="706">
        <v>2034</v>
      </c>
      <c r="C77" s="1058">
        <f>'Emission-Solid-liquid Residual'!$K$10</f>
        <v>220.05333745190012</v>
      </c>
      <c r="D77" s="1058">
        <f>'Emission-Solid-liquid Residual'!$J$10</f>
        <v>0.32942116385014986</v>
      </c>
      <c r="E77" s="1058">
        <f>'Emission-Solid-liquid Residual'!$G$10</f>
        <v>4.5802718621724834</v>
      </c>
      <c r="F77" s="1058">
        <f>'Emission-Solid-liquid Residual'!$H$10</f>
        <v>20.727179629451427</v>
      </c>
      <c r="G77" s="1058">
        <f>'Emission-Solid-liquid Residual'!$I$10</f>
        <v>1.2254467295225575</v>
      </c>
      <c r="H77" s="1933">
        <v>79</v>
      </c>
      <c r="I77" s="1933">
        <f>'Emission-Waste Transport Vehicl'!N48</f>
        <v>24.223685317920005</v>
      </c>
      <c r="J77" s="1933">
        <f>'Emission-Waste Transport Vehicl'!P48</f>
        <v>13.477654919520001</v>
      </c>
      <c r="K77" s="1933">
        <f>'Emission-Waste Transport Vehicl'!Q48</f>
        <v>10.467125792640001</v>
      </c>
      <c r="L77" s="1933">
        <f>'Emission-Waste Transport Vehicl'!R48</f>
        <v>1.04179073328</v>
      </c>
      <c r="M77" s="1933">
        <f t="shared" si="1"/>
        <v>17.384213658700109</v>
      </c>
      <c r="N77" s="830">
        <f t="shared" si="2"/>
        <v>7.9797946101689954</v>
      </c>
      <c r="O77" s="830">
        <f t="shared" si="3"/>
        <v>61.731323595948005</v>
      </c>
      <c r="P77" s="830">
        <f t="shared" si="4"/>
        <v>216.95399650811345</v>
      </c>
      <c r="Q77" s="830">
        <f t="shared" si="5"/>
        <v>1.2766590469448831</v>
      </c>
      <c r="R77" s="2773"/>
    </row>
    <row r="78" spans="1:28" x14ac:dyDescent="0.25">
      <c r="A78" s="2802"/>
      <c r="B78" s="706">
        <v>2035</v>
      </c>
      <c r="C78" s="1058">
        <f>'Emission-Solid-liquid Residual'!$K$10</f>
        <v>220.05333745190012</v>
      </c>
      <c r="D78" s="1058">
        <f>'Emission-Solid-liquid Residual'!$J$10</f>
        <v>0.32942116385014986</v>
      </c>
      <c r="E78" s="1058">
        <f>'Emission-Solid-liquid Residual'!$G$10</f>
        <v>4.5802718621724834</v>
      </c>
      <c r="F78" s="1058">
        <f>'Emission-Solid-liquid Residual'!$H$10</f>
        <v>20.727179629451427</v>
      </c>
      <c r="G78" s="1058">
        <f>'Emission-Solid-liquid Residual'!$I$10</f>
        <v>1.2254467295225575</v>
      </c>
      <c r="H78" s="1933">
        <v>80</v>
      </c>
      <c r="I78" s="1933">
        <f>'Emission-Waste Transport Vehicl'!N49</f>
        <v>23.747688271296006</v>
      </c>
      <c r="J78" s="1933">
        <f>'Emission-Waste Transport Vehicl'!P49</f>
        <v>13.212818093376002</v>
      </c>
      <c r="K78" s="1933">
        <f>'Emission-Waste Transport Vehicl'!Q49</f>
        <v>10.261446066432002</v>
      </c>
      <c r="L78" s="1933">
        <f>'Emission-Waste Transport Vehicl'!R49</f>
        <v>1.0213194752640002</v>
      </c>
      <c r="M78" s="1933">
        <f t="shared" si="1"/>
        <v>17.60426699615201</v>
      </c>
      <c r="N78" s="830">
        <f t="shared" si="2"/>
        <v>7.8229911090808839</v>
      </c>
      <c r="O78" s="830">
        <f t="shared" si="3"/>
        <v>60.518298933093583</v>
      </c>
      <c r="P78" s="830">
        <f t="shared" si="4"/>
        <v>212.69083587686387</v>
      </c>
      <c r="Q78" s="830">
        <f t="shared" si="5"/>
        <v>1.2515726107599636</v>
      </c>
      <c r="R78" s="2773"/>
    </row>
    <row r="79" spans="1:28" x14ac:dyDescent="0.25">
      <c r="A79" s="2802"/>
      <c r="B79" s="706">
        <v>2036</v>
      </c>
      <c r="C79" s="1058">
        <f>'Emission-Solid-liquid Residual'!$K$10</f>
        <v>220.05333745190012</v>
      </c>
      <c r="D79" s="1058">
        <f>'Emission-Solid-liquid Residual'!$J$10</f>
        <v>0.32942116385014986</v>
      </c>
      <c r="E79" s="1058">
        <f>'Emission-Solid-liquid Residual'!$G$10</f>
        <v>4.5802718621724834</v>
      </c>
      <c r="F79" s="1058">
        <f>'Emission-Solid-liquid Residual'!$H$10</f>
        <v>20.727179629451427</v>
      </c>
      <c r="G79" s="1058">
        <f>'Emission-Solid-liquid Residual'!$I$10</f>
        <v>1.2254467295225575</v>
      </c>
      <c r="H79" s="1933">
        <v>81</v>
      </c>
      <c r="I79" s="1933">
        <f>'Emission-Waste Transport Vehicl'!N50</f>
        <v>23.284732239648001</v>
      </c>
      <c r="J79" s="1933">
        <f>'Emission-Waste Transport Vehicl'!P50</f>
        <v>12.955237070688</v>
      </c>
      <c r="K79" s="1933">
        <f>'Emission-Waste Transport Vehicl'!Q50</f>
        <v>10.061401401215999</v>
      </c>
      <c r="L79" s="1933">
        <f>'Emission-Waste Transport Vehicl'!R50</f>
        <v>1.001409073632</v>
      </c>
      <c r="M79" s="1933">
        <f t="shared" si="1"/>
        <v>17.824320333603911</v>
      </c>
      <c r="N79" s="830">
        <f t="shared" si="2"/>
        <v>7.6704835943239509</v>
      </c>
      <c r="O79" s="830">
        <f t="shared" si="3"/>
        <v>59.338507822646115</v>
      </c>
      <c r="P79" s="830">
        <f t="shared" si="4"/>
        <v>208.54447416701831</v>
      </c>
      <c r="Q79" s="830">
        <f t="shared" si="5"/>
        <v>1.2271734741965485</v>
      </c>
      <c r="R79" s="2773"/>
    </row>
    <row r="80" spans="1:28" x14ac:dyDescent="0.25">
      <c r="A80" s="2802"/>
      <c r="B80" s="706">
        <v>2037</v>
      </c>
      <c r="C80" s="1058">
        <f>'Emission-Solid-liquid Residual'!$K$10</f>
        <v>220.05333745190012</v>
      </c>
      <c r="D80" s="1058">
        <f>'Emission-Solid-liquid Residual'!$J$10</f>
        <v>0.32942116385014986</v>
      </c>
      <c r="E80" s="1058">
        <f>'Emission-Solid-liquid Residual'!$G$10</f>
        <v>4.5802718621724834</v>
      </c>
      <c r="F80" s="1058">
        <f>'Emission-Solid-liquid Residual'!$H$10</f>
        <v>20.727179629451427</v>
      </c>
      <c r="G80" s="1058">
        <f>'Emission-Solid-liquid Residual'!$I$10</f>
        <v>1.2254467295225575</v>
      </c>
      <c r="H80" s="1933">
        <v>83</v>
      </c>
      <c r="I80" s="1933">
        <f>'Emission-Waste Transport Vehicl'!N51</f>
        <v>22.828296715488005</v>
      </c>
      <c r="J80" s="1933">
        <f>'Emission-Waste Transport Vehicl'!P51</f>
        <v>12.701283949728003</v>
      </c>
      <c r="K80" s="1933">
        <f>'Emission-Waste Transport Vehicl'!Q51</f>
        <v>9.8641742664960006</v>
      </c>
      <c r="L80" s="1933">
        <f>'Emission-Waste Transport Vehicl'!R51</f>
        <v>0.9817791001920001</v>
      </c>
      <c r="M80" s="1933">
        <f t="shared" si="1"/>
        <v>18.26442700850771</v>
      </c>
      <c r="N80" s="830">
        <f t="shared" si="2"/>
        <v>7.520124072732612</v>
      </c>
      <c r="O80" s="830">
        <f t="shared" si="3"/>
        <v>58.175333488402153</v>
      </c>
      <c r="P80" s="830">
        <f t="shared" si="4"/>
        <v>204.45651191787488</v>
      </c>
      <c r="Q80" s="830">
        <f t="shared" si="5"/>
        <v>1.2031179874438858</v>
      </c>
      <c r="R80" s="2773"/>
    </row>
    <row r="81" spans="1:18" x14ac:dyDescent="0.25">
      <c r="A81" s="2802"/>
      <c r="B81" s="706">
        <v>2038</v>
      </c>
      <c r="C81" s="1058">
        <f>'Emission-Solid-liquid Residual'!$K$10</f>
        <v>220.05333745190012</v>
      </c>
      <c r="D81" s="1058">
        <f>'Emission-Solid-liquid Residual'!$J$10</f>
        <v>0.32942116385014986</v>
      </c>
      <c r="E81" s="1058">
        <f>'Emission-Solid-liquid Residual'!$G$10</f>
        <v>4.5802718621724834</v>
      </c>
      <c r="F81" s="1058">
        <f>'Emission-Solid-liquid Residual'!$H$10</f>
        <v>20.727179629451427</v>
      </c>
      <c r="G81" s="1058">
        <f>'Emission-Solid-liquid Residual'!$I$10</f>
        <v>1.2254467295225575</v>
      </c>
      <c r="H81" s="1933">
        <v>84</v>
      </c>
      <c r="I81" s="1933">
        <f>'Emission-Waste Transport Vehicl'!N52</f>
        <v>22.378381698816003</v>
      </c>
      <c r="J81" s="1933">
        <f>'Emission-Waste Transport Vehicl'!P52</f>
        <v>12.450958730496001</v>
      </c>
      <c r="K81" s="1933">
        <f>'Emission-Waste Transport Vehicl'!Q52</f>
        <v>9.6697646622720015</v>
      </c>
      <c r="L81" s="1933">
        <f>'Emission-Waste Transport Vehicl'!R52</f>
        <v>0.96242955494400007</v>
      </c>
      <c r="M81" s="1933">
        <f t="shared" si="1"/>
        <v>18.484480345959611</v>
      </c>
      <c r="N81" s="830">
        <f t="shared" si="2"/>
        <v>7.3719125443068618</v>
      </c>
      <c r="O81" s="830">
        <f t="shared" si="3"/>
        <v>57.028775930361661</v>
      </c>
      <c r="P81" s="830">
        <f t="shared" si="4"/>
        <v>200.4269491294335</v>
      </c>
      <c r="Q81" s="830">
        <f t="shared" si="5"/>
        <v>1.1794061505019755</v>
      </c>
      <c r="R81" s="2773"/>
    </row>
    <row r="82" spans="1:18" x14ac:dyDescent="0.25">
      <c r="A82" s="2802"/>
      <c r="B82" s="706">
        <v>2039</v>
      </c>
      <c r="C82" s="1058">
        <f>'Emission-Solid-liquid Residual'!$K$10</f>
        <v>220.05333745190012</v>
      </c>
      <c r="D82" s="1058">
        <f>'Emission-Solid-liquid Residual'!$J$10</f>
        <v>0.32942116385014986</v>
      </c>
      <c r="E82" s="1058">
        <f>'Emission-Solid-liquid Residual'!$G$10</f>
        <v>4.5802718621724834</v>
      </c>
      <c r="F82" s="1058">
        <f>'Emission-Solid-liquid Residual'!$H$10</f>
        <v>20.727179629451427</v>
      </c>
      <c r="G82" s="1058">
        <f>'Emission-Solid-liquid Residual'!$I$10</f>
        <v>1.2254467295225575</v>
      </c>
      <c r="H82" s="1933">
        <v>85</v>
      </c>
      <c r="I82" s="1933">
        <f>'Emission-Waste Transport Vehicl'!N53</f>
        <v>21.941507697120006</v>
      </c>
      <c r="J82" s="1933">
        <f>'Emission-Waste Transport Vehicl'!P53</f>
        <v>12.207889314720003</v>
      </c>
      <c r="K82" s="1933">
        <f>'Emission-Waste Transport Vehicl'!Q53</f>
        <v>9.4809901190400012</v>
      </c>
      <c r="L82" s="1933">
        <f>'Emission-Waste Transport Vehicl'!R53</f>
        <v>0.9436408660800002</v>
      </c>
      <c r="M82" s="1933">
        <f t="shared" si="1"/>
        <v>18.704533683411508</v>
      </c>
      <c r="N82" s="830">
        <f t="shared" si="2"/>
        <v>7.2279970022122937</v>
      </c>
      <c r="O82" s="830">
        <f t="shared" si="3"/>
        <v>55.915451924728146</v>
      </c>
      <c r="P82" s="830">
        <f t="shared" si="4"/>
        <v>196.51418526239618</v>
      </c>
      <c r="Q82" s="830">
        <f t="shared" si="5"/>
        <v>1.1563816131815698</v>
      </c>
      <c r="R82" s="2773"/>
    </row>
    <row r="83" spans="1:18" x14ac:dyDescent="0.25">
      <c r="A83" s="2802"/>
      <c r="B83" s="706">
        <v>2040</v>
      </c>
      <c r="C83" s="1058">
        <f>'Emission-Solid-liquid Residual'!$K$10</f>
        <v>220.05333745190012</v>
      </c>
      <c r="D83" s="1058">
        <f>'Emission-Solid-liquid Residual'!$J$10</f>
        <v>0.32942116385014986</v>
      </c>
      <c r="E83" s="1058">
        <f>'Emission-Solid-liquid Residual'!$G$10</f>
        <v>4.5802718621724834</v>
      </c>
      <c r="F83" s="1058">
        <f>'Emission-Solid-liquid Residual'!$H$10</f>
        <v>20.727179629451427</v>
      </c>
      <c r="G83" s="1058">
        <f>'Emission-Solid-liquid Residual'!$I$10</f>
        <v>1.2254467295225575</v>
      </c>
      <c r="H83" s="1933">
        <v>86</v>
      </c>
      <c r="I83" s="1933">
        <f>'Emission-Waste Transport Vehicl'!N54</f>
        <v>21.511154202912003</v>
      </c>
      <c r="J83" s="1933">
        <f>'Emission-Waste Transport Vehicl'!P54</f>
        <v>11.968447800672001</v>
      </c>
      <c r="K83" s="1933">
        <f>'Emission-Waste Transport Vehicl'!Q54</f>
        <v>9.2950331063040004</v>
      </c>
      <c r="L83" s="1933">
        <f>'Emission-Waste Transport Vehicl'!R54</f>
        <v>0.92513260540800013</v>
      </c>
      <c r="M83" s="1933">
        <f t="shared" si="1"/>
        <v>18.924587020863409</v>
      </c>
      <c r="N83" s="830">
        <f t="shared" si="2"/>
        <v>7.0862294532833143</v>
      </c>
      <c r="O83" s="830">
        <f t="shared" si="3"/>
        <v>54.818744695298108</v>
      </c>
      <c r="P83" s="830">
        <f t="shared" si="4"/>
        <v>192.65982085606089</v>
      </c>
      <c r="Q83" s="830">
        <f t="shared" si="5"/>
        <v>1.1337007256719165</v>
      </c>
      <c r="R83" s="2773"/>
    </row>
    <row r="84" spans="1:18" x14ac:dyDescent="0.25">
      <c r="A84" s="2802"/>
      <c r="B84" s="706">
        <v>2041</v>
      </c>
      <c r="C84" s="1058">
        <f>'Emission-Solid-liquid Residual'!$K$10</f>
        <v>220.05333745190012</v>
      </c>
      <c r="D84" s="1058">
        <f>'Emission-Solid-liquid Residual'!$J$10</f>
        <v>0.32942116385014986</v>
      </c>
      <c r="E84" s="1058">
        <f>'Emission-Solid-liquid Residual'!$G$10</f>
        <v>4.5802718621724834</v>
      </c>
      <c r="F84" s="1058">
        <f>'Emission-Solid-liquid Residual'!$H$10</f>
        <v>20.727179629451427</v>
      </c>
      <c r="G84" s="1058">
        <f>'Emission-Solid-liquid Residual'!$I$10</f>
        <v>1.2254467295225575</v>
      </c>
      <c r="H84" s="1933">
        <v>87</v>
      </c>
      <c r="I84" s="1933">
        <f>'Emission-Waste Transport Vehicl'!N55</f>
        <v>21.087321216192002</v>
      </c>
      <c r="J84" s="1933">
        <f>'Emission-Waste Transport Vehicl'!P55</f>
        <v>11.732634188352002</v>
      </c>
      <c r="K84" s="1933">
        <f>'Emission-Waste Transport Vehicl'!Q55</f>
        <v>9.1118936240640007</v>
      </c>
      <c r="L84" s="1933">
        <f>'Emission-Waste Transport Vehicl'!R55</f>
        <v>0.9069047729280002</v>
      </c>
      <c r="M84" s="1933">
        <f t="shared" si="1"/>
        <v>19.144640358315311</v>
      </c>
      <c r="N84" s="830">
        <f t="shared" si="2"/>
        <v>6.9466098975199273</v>
      </c>
      <c r="O84" s="830">
        <f t="shared" si="3"/>
        <v>53.738654242071568</v>
      </c>
      <c r="P84" s="830">
        <f t="shared" si="4"/>
        <v>188.8638559104277</v>
      </c>
      <c r="Q84" s="830">
        <f t="shared" si="5"/>
        <v>1.1113634879730154</v>
      </c>
      <c r="R84" s="2773"/>
    </row>
    <row r="85" spans="1:18" x14ac:dyDescent="0.25">
      <c r="A85" s="2802"/>
      <c r="B85" s="706">
        <v>2042</v>
      </c>
      <c r="C85" s="1058">
        <f>'Emission-Solid-liquid Residual'!$K$10</f>
        <v>220.05333745190012</v>
      </c>
      <c r="D85" s="1058">
        <f>'Emission-Solid-liquid Residual'!$J$10</f>
        <v>0.32942116385014986</v>
      </c>
      <c r="E85" s="1058">
        <f>'Emission-Solid-liquid Residual'!$G$10</f>
        <v>4.5802718621724834</v>
      </c>
      <c r="F85" s="1058">
        <f>'Emission-Solid-liquid Residual'!$H$10</f>
        <v>20.727179629451427</v>
      </c>
      <c r="G85" s="1058">
        <f>'Emission-Solid-liquid Residual'!$I$10</f>
        <v>1.2254467295225575</v>
      </c>
      <c r="H85" s="1933">
        <v>88</v>
      </c>
      <c r="I85" s="1933">
        <f>'Emission-Waste Transport Vehicl'!N56</f>
        <v>20.676529244448002</v>
      </c>
      <c r="J85" s="1933">
        <f>'Emission-Waste Transport Vehicl'!P56</f>
        <v>11.504076379488001</v>
      </c>
      <c r="K85" s="1933">
        <f>'Emission-Waste Transport Vehicl'!Q56</f>
        <v>8.9343892028159999</v>
      </c>
      <c r="L85" s="1933">
        <f>'Emission-Waste Transport Vehicl'!R56</f>
        <v>0.8892377968320001</v>
      </c>
      <c r="M85" s="1933">
        <f t="shared" si="1"/>
        <v>19.364693695767212</v>
      </c>
      <c r="N85" s="830">
        <f t="shared" si="2"/>
        <v>6.8112863280877205</v>
      </c>
      <c r="O85" s="830">
        <f t="shared" si="3"/>
        <v>52.691797341251991</v>
      </c>
      <c r="P85" s="830">
        <f t="shared" si="4"/>
        <v>185.18468988619858</v>
      </c>
      <c r="Q85" s="830">
        <f t="shared" si="5"/>
        <v>1.089713549895619</v>
      </c>
      <c r="R85" s="2773"/>
    </row>
    <row r="86" spans="1:18" x14ac:dyDescent="0.25">
      <c r="A86" s="2802"/>
      <c r="B86" s="706">
        <v>2043</v>
      </c>
      <c r="C86" s="1058">
        <f>'Emission-Solid-liquid Residual'!$K$10</f>
        <v>220.05333745190012</v>
      </c>
      <c r="D86" s="1058">
        <f>'Emission-Solid-liquid Residual'!$J$10</f>
        <v>0.32942116385014986</v>
      </c>
      <c r="E86" s="1058">
        <f>'Emission-Solid-liquid Residual'!$G$10</f>
        <v>4.5802718621724834</v>
      </c>
      <c r="F86" s="1058">
        <f>'Emission-Solid-liquid Residual'!$H$10</f>
        <v>20.727179629451427</v>
      </c>
      <c r="G86" s="1058">
        <f>'Emission-Solid-liquid Residual'!$I$10</f>
        <v>1.2254467295225575</v>
      </c>
      <c r="H86" s="1933">
        <v>89</v>
      </c>
      <c r="I86" s="1933">
        <f>'Emission-Waste Transport Vehicl'!N57</f>
        <v>20.268997526448004</v>
      </c>
      <c r="J86" s="1933">
        <f>'Emission-Waste Transport Vehicl'!P57</f>
        <v>11.277332521488001</v>
      </c>
      <c r="K86" s="1933">
        <f>'Emission-Waste Transport Vehicl'!Q57</f>
        <v>8.7582935468160006</v>
      </c>
      <c r="L86" s="1933">
        <f>'Emission-Waste Transport Vehicl'!R57</f>
        <v>0.87171103483200019</v>
      </c>
      <c r="M86" s="1933">
        <f t="shared" si="1"/>
        <v>19.584747033219109</v>
      </c>
      <c r="N86" s="830">
        <f t="shared" si="2"/>
        <v>6.6770367552383103</v>
      </c>
      <c r="O86" s="830">
        <f t="shared" si="3"/>
        <v>51.653248828534153</v>
      </c>
      <c r="P86" s="830">
        <f t="shared" si="4"/>
        <v>181.53472359232049</v>
      </c>
      <c r="Q86" s="830">
        <f t="shared" si="5"/>
        <v>1.0682354367235989</v>
      </c>
      <c r="R86" s="2773"/>
    </row>
    <row r="87" spans="1:18" x14ac:dyDescent="0.25">
      <c r="A87" s="2802"/>
      <c r="B87" s="706">
        <v>2044</v>
      </c>
      <c r="C87" s="1058">
        <f>'Emission-Solid-liquid Residual'!$K$10</f>
        <v>220.05333745190012</v>
      </c>
      <c r="D87" s="1058">
        <f>'Emission-Solid-liquid Residual'!$J$10</f>
        <v>0.32942116385014986</v>
      </c>
      <c r="E87" s="1058">
        <f>'Emission-Solid-liquid Residual'!$G$10</f>
        <v>4.5802718621724834</v>
      </c>
      <c r="F87" s="1058">
        <f>'Emission-Solid-liquid Residual'!$H$10</f>
        <v>20.727179629451427</v>
      </c>
      <c r="G87" s="1058">
        <f>'Emission-Solid-liquid Residual'!$I$10</f>
        <v>1.2254467295225575</v>
      </c>
      <c r="H87" s="1933">
        <v>90</v>
      </c>
      <c r="I87" s="1933">
        <f>'Emission-Waste Transport Vehicl'!N58</f>
        <v>19.871246569680004</v>
      </c>
      <c r="J87" s="1933">
        <f>'Emission-Waste Transport Vehicl'!P58</f>
        <v>11.056030516080002</v>
      </c>
      <c r="K87" s="1933">
        <f>'Emission-Waste Transport Vehicl'!Q58</f>
        <v>8.5864241865600004</v>
      </c>
      <c r="L87" s="1933">
        <f>'Emission-Waste Transport Vehicl'!R58</f>
        <v>0.85460491512000014</v>
      </c>
      <c r="M87" s="1933">
        <f t="shared" si="1"/>
        <v>19.804800370671011</v>
      </c>
      <c r="N87" s="830">
        <f t="shared" si="2"/>
        <v>6.5460091721372846</v>
      </c>
      <c r="O87" s="830">
        <f t="shared" si="3"/>
        <v>50.639625480121552</v>
      </c>
      <c r="P87" s="830">
        <f t="shared" si="4"/>
        <v>177.9723564894955</v>
      </c>
      <c r="Q87" s="830">
        <f t="shared" si="5"/>
        <v>1.047272798267707</v>
      </c>
      <c r="R87" s="2773"/>
    </row>
    <row r="88" spans="1:18" x14ac:dyDescent="0.25">
      <c r="A88" s="2802"/>
      <c r="B88" s="706">
        <v>2045</v>
      </c>
      <c r="C88" s="1058">
        <f>'Emission-Solid-liquid Residual'!$K$10</f>
        <v>220.05333745190012</v>
      </c>
      <c r="D88" s="1058">
        <f>'Emission-Solid-liquid Residual'!$J$10</f>
        <v>0.32942116385014986</v>
      </c>
      <c r="E88" s="1058">
        <f>'Emission-Solid-liquid Residual'!$G$10</f>
        <v>4.5802718621724834</v>
      </c>
      <c r="F88" s="1058">
        <f>'Emission-Solid-liquid Residual'!$H$10</f>
        <v>20.727179629451427</v>
      </c>
      <c r="G88" s="1058">
        <f>'Emission-Solid-liquid Residual'!$I$10</f>
        <v>1.2254467295225575</v>
      </c>
      <c r="H88" s="1933">
        <v>92</v>
      </c>
      <c r="I88" s="1933">
        <f>'Emission-Waste Transport Vehicl'!N59</f>
        <v>19.483276374144001</v>
      </c>
      <c r="J88" s="1933">
        <f>'Emission-Waste Transport Vehicl'!P59</f>
        <v>10.840170363264003</v>
      </c>
      <c r="K88" s="1933">
        <f>'Emission-Waste Transport Vehicl'!Q59</f>
        <v>8.4187811220480011</v>
      </c>
      <c r="L88" s="1933">
        <f>'Emission-Waste Transport Vehicl'!R59</f>
        <v>0.83791943769600008</v>
      </c>
      <c r="M88" s="1933">
        <f t="shared" si="1"/>
        <v>20.244907045574809</v>
      </c>
      <c r="N88" s="830">
        <f t="shared" si="2"/>
        <v>6.4182035787846443</v>
      </c>
      <c r="O88" s="830">
        <f t="shared" si="3"/>
        <v>49.650927296014181</v>
      </c>
      <c r="P88" s="830">
        <f t="shared" si="4"/>
        <v>174.49758857772355</v>
      </c>
      <c r="Q88" s="830">
        <f t="shared" si="5"/>
        <v>1.0268256345279436</v>
      </c>
      <c r="R88" s="2773"/>
    </row>
    <row r="89" spans="1:18" x14ac:dyDescent="0.25">
      <c r="A89" s="2802"/>
      <c r="B89" s="706">
        <v>2046</v>
      </c>
      <c r="C89" s="1058">
        <f>'Emission-Solid-liquid Residual'!$K$10</f>
        <v>220.05333745190012</v>
      </c>
      <c r="D89" s="1058">
        <f>'Emission-Solid-liquid Residual'!$J$10</f>
        <v>0.32942116385014986</v>
      </c>
      <c r="E89" s="1058">
        <f>'Emission-Solid-liquid Residual'!$G$10</f>
        <v>4.5802718621724834</v>
      </c>
      <c r="F89" s="1058">
        <f>'Emission-Solid-liquid Residual'!$H$10</f>
        <v>20.727179629451427</v>
      </c>
      <c r="G89" s="1058">
        <f>'Emission-Solid-liquid Residual'!$I$10</f>
        <v>1.2254467295225575</v>
      </c>
      <c r="H89" s="1933">
        <v>93</v>
      </c>
      <c r="I89" s="1933">
        <f>'Emission-Waste Transport Vehicl'!N60</f>
        <v>19.101826686096</v>
      </c>
      <c r="J89" s="1933">
        <f>'Emission-Waste Transport Vehicl'!P60</f>
        <v>10.627938112176002</v>
      </c>
      <c r="K89" s="1933">
        <f>'Emission-Waste Transport Vehicl'!Q60</f>
        <v>8.2539555880319995</v>
      </c>
      <c r="L89" s="1933">
        <f>'Emission-Waste Transport Vehicl'!R60</f>
        <v>0.82151438846400004</v>
      </c>
      <c r="M89" s="1933">
        <f t="shared" si="1"/>
        <v>20.46496038302671</v>
      </c>
      <c r="N89" s="830">
        <f t="shared" si="2"/>
        <v>6.2925459785975955</v>
      </c>
      <c r="O89" s="830">
        <f t="shared" si="3"/>
        <v>48.678845888110288</v>
      </c>
      <c r="P89" s="830">
        <f t="shared" si="4"/>
        <v>171.08122012665365</v>
      </c>
      <c r="Q89" s="830">
        <f t="shared" si="5"/>
        <v>1.0067221205989327</v>
      </c>
      <c r="R89" s="2773"/>
    </row>
    <row r="90" spans="1:18" x14ac:dyDescent="0.25">
      <c r="A90" s="2802"/>
      <c r="B90" s="706">
        <v>2047</v>
      </c>
      <c r="C90" s="1058">
        <f>'Emission-Solid-liquid Residual'!$K$10</f>
        <v>220.05333745190012</v>
      </c>
      <c r="D90" s="1058">
        <f>'Emission-Solid-liquid Residual'!$J$10</f>
        <v>0.32942116385014986</v>
      </c>
      <c r="E90" s="1058">
        <f>'Emission-Solid-liquid Residual'!$G$10</f>
        <v>4.5802718621724834</v>
      </c>
      <c r="F90" s="1058">
        <f>'Emission-Solid-liquid Residual'!$H$10</f>
        <v>20.727179629451427</v>
      </c>
      <c r="G90" s="1058">
        <f>'Emission-Solid-liquid Residual'!$I$10</f>
        <v>1.2254467295225575</v>
      </c>
      <c r="H90" s="1933">
        <v>94</v>
      </c>
      <c r="I90" s="1933">
        <f>'Emission-Waste Transport Vehicl'!N61</f>
        <v>18.726897505536005</v>
      </c>
      <c r="J90" s="1933">
        <f>'Emission-Waste Transport Vehicl'!P61</f>
        <v>10.419333762816001</v>
      </c>
      <c r="K90" s="1933">
        <f>'Emission-Waste Transport Vehicl'!Q61</f>
        <v>8.0919475845120008</v>
      </c>
      <c r="L90" s="1933">
        <f>'Emission-Waste Transport Vehicl'!R61</f>
        <v>0.80538976742400015</v>
      </c>
      <c r="M90" s="1933">
        <f t="shared" si="1"/>
        <v>20.685013720478612</v>
      </c>
      <c r="N90" s="830">
        <f t="shared" si="2"/>
        <v>6.1690363715761389</v>
      </c>
      <c r="O90" s="830">
        <f t="shared" si="3"/>
        <v>47.723381256409873</v>
      </c>
      <c r="P90" s="830">
        <f t="shared" si="4"/>
        <v>167.72325113628582</v>
      </c>
      <c r="Q90" s="830">
        <f t="shared" si="5"/>
        <v>0.98696225648067426</v>
      </c>
      <c r="R90" s="2773"/>
    </row>
    <row r="91" spans="1:18" x14ac:dyDescent="0.25">
      <c r="A91" s="2802"/>
      <c r="B91" s="706">
        <v>2048</v>
      </c>
      <c r="C91" s="1058">
        <f>'Emission-Solid-liquid Residual'!$K$10</f>
        <v>220.05333745190012</v>
      </c>
      <c r="D91" s="1058">
        <f>'Emission-Solid-liquid Residual'!$J$10</f>
        <v>0.32942116385014986</v>
      </c>
      <c r="E91" s="1058">
        <f>'Emission-Solid-liquid Residual'!$G$10</f>
        <v>4.5802718621724834</v>
      </c>
      <c r="F91" s="1058">
        <f>'Emission-Solid-liquid Residual'!$H$10</f>
        <v>20.727179629451427</v>
      </c>
      <c r="G91" s="1058">
        <f>'Emission-Solid-liquid Residual'!$I$10</f>
        <v>1.2254467295225575</v>
      </c>
      <c r="H91" s="1933">
        <v>95</v>
      </c>
      <c r="I91" s="1933">
        <f>'Emission-Waste Transport Vehicl'!N62</f>
        <v>18.358488832464005</v>
      </c>
      <c r="J91" s="1933">
        <f>'Emission-Waste Transport Vehicl'!P62</f>
        <v>10.214357315184001</v>
      </c>
      <c r="K91" s="1933">
        <f>'Emission-Waste Transport Vehicl'!Q62</f>
        <v>7.9327571114880007</v>
      </c>
      <c r="L91" s="1933">
        <f>'Emission-Waste Transport Vehicl'!R62</f>
        <v>0.78954557457600016</v>
      </c>
      <c r="M91" s="1933">
        <f t="shared" si="1"/>
        <v>20.905067057930513</v>
      </c>
      <c r="N91" s="830">
        <f t="shared" si="2"/>
        <v>6.0476747577202712</v>
      </c>
      <c r="O91" s="830">
        <f t="shared" si="3"/>
        <v>46.784533400912956</v>
      </c>
      <c r="P91" s="830">
        <f t="shared" si="4"/>
        <v>164.42368160662002</v>
      </c>
      <c r="Q91" s="830">
        <f t="shared" si="5"/>
        <v>0.96754604217316797</v>
      </c>
      <c r="R91" s="2773"/>
    </row>
    <row r="92" spans="1:18" x14ac:dyDescent="0.25">
      <c r="A92" s="2802"/>
      <c r="B92" s="706">
        <v>2049</v>
      </c>
      <c r="C92" s="1058">
        <f>'Emission-Solid-liquid Residual'!$K$10</f>
        <v>220.05333745190012</v>
      </c>
      <c r="D92" s="1058">
        <f>'Emission-Solid-liquid Residual'!$J$10</f>
        <v>0.32942116385014986</v>
      </c>
      <c r="E92" s="1058">
        <f>'Emission-Solid-liquid Residual'!$G$10</f>
        <v>4.5802718621724834</v>
      </c>
      <c r="F92" s="1058">
        <f>'Emission-Solid-liquid Residual'!$H$10</f>
        <v>20.727179629451427</v>
      </c>
      <c r="G92" s="1058">
        <f>'Emission-Solid-liquid Residual'!$I$10</f>
        <v>1.2254467295225575</v>
      </c>
      <c r="H92" s="1933">
        <v>96</v>
      </c>
      <c r="I92" s="1933">
        <f>'Emission-Waste Transport Vehicl'!N63</f>
        <v>17.999860920624005</v>
      </c>
      <c r="J92" s="1933">
        <f>'Emission-Waste Transport Vehicl'!P63</f>
        <v>10.014822720144002</v>
      </c>
      <c r="K92" s="1933">
        <f>'Emission-Waste Transport Vehicl'!Q63</f>
        <v>7.7777929342080014</v>
      </c>
      <c r="L92" s="1933">
        <f>'Emission-Waste Transport Vehicl'!R63</f>
        <v>0.77412202401600017</v>
      </c>
      <c r="M92" s="1933">
        <f t="shared" si="1"/>
        <v>21.12512039538241</v>
      </c>
      <c r="N92" s="830">
        <f t="shared" si="2"/>
        <v>5.9295351336127897</v>
      </c>
      <c r="O92" s="830">
        <f t="shared" si="3"/>
        <v>45.870610709721262</v>
      </c>
      <c r="P92" s="830">
        <f t="shared" si="4"/>
        <v>161.21171126800732</v>
      </c>
      <c r="Q92" s="830">
        <f t="shared" si="5"/>
        <v>0.94864530258179014</v>
      </c>
      <c r="R92" s="2773"/>
    </row>
    <row r="93" spans="1:18" x14ac:dyDescent="0.25">
      <c r="A93" s="2802"/>
      <c r="B93" s="706">
        <v>2050</v>
      </c>
      <c r="C93" s="1058">
        <f>'Emission-Solid-liquid Residual'!$K$10</f>
        <v>220.05333745190012</v>
      </c>
      <c r="D93" s="1058">
        <f>'Emission-Solid-liquid Residual'!$J$10</f>
        <v>0.32942116385014986</v>
      </c>
      <c r="E93" s="1058">
        <f>'Emission-Solid-liquid Residual'!$G$10</f>
        <v>4.5802718621724834</v>
      </c>
      <c r="F93" s="1058">
        <f>'Emission-Solid-liquid Residual'!$H$10</f>
        <v>20.727179629451427</v>
      </c>
      <c r="G93" s="1058">
        <f>'Emission-Solid-liquid Residual'!$I$10</f>
        <v>1.2254467295225575</v>
      </c>
      <c r="H93" s="1933">
        <v>97</v>
      </c>
      <c r="I93" s="1933">
        <f>'Emission-Waste Transport Vehicl'!N64</f>
        <v>17.644493262528005</v>
      </c>
      <c r="J93" s="1933">
        <f>'Emission-Waste Transport Vehicl'!P64</f>
        <v>9.8171020759680019</v>
      </c>
      <c r="K93" s="1933">
        <f>'Emission-Waste Transport Vehicl'!Q64</f>
        <v>7.624237522176001</v>
      </c>
      <c r="L93" s="1933">
        <f>'Emission-Waste Transport Vehicl'!R64</f>
        <v>0.75883868755200012</v>
      </c>
      <c r="M93" s="1933">
        <f t="shared" si="1"/>
        <v>21.345173732834311</v>
      </c>
      <c r="N93" s="830">
        <f t="shared" si="2"/>
        <v>5.8124695060881031</v>
      </c>
      <c r="O93" s="830">
        <f t="shared" si="3"/>
        <v>44.964996406631315</v>
      </c>
      <c r="P93" s="830">
        <f t="shared" si="4"/>
        <v>158.02894065974564</v>
      </c>
      <c r="Q93" s="830">
        <f t="shared" si="5"/>
        <v>0.92991638789578845</v>
      </c>
      <c r="R93" s="2773"/>
    </row>
    <row r="94" spans="1:18" x14ac:dyDescent="0.25">
      <c r="A94" s="2802"/>
      <c r="B94" s="706">
        <v>2051</v>
      </c>
      <c r="C94" s="1058">
        <f>'Emission-Solid-liquid Residual'!$K$10</f>
        <v>220.05333745190012</v>
      </c>
      <c r="D94" s="1058">
        <f>'Emission-Solid-liquid Residual'!$J$10</f>
        <v>0.32942116385014986</v>
      </c>
      <c r="E94" s="1058">
        <f>'Emission-Solid-liquid Residual'!$G$10</f>
        <v>4.5802718621724834</v>
      </c>
      <c r="F94" s="1058">
        <f>'Emission-Solid-liquid Residual'!$H$10</f>
        <v>20.727179629451427</v>
      </c>
      <c r="G94" s="1058">
        <f>'Emission-Solid-liquid Residual'!$I$10</f>
        <v>1.2254467295225575</v>
      </c>
      <c r="H94" s="1933">
        <v>97</v>
      </c>
      <c r="I94" s="1933">
        <f>'Emission-Waste Transport Vehicl'!N65</f>
        <v>17.298906365664003</v>
      </c>
      <c r="J94" s="1933">
        <f>'Emission-Waste Transport Vehicl'!P65</f>
        <v>9.624823284384</v>
      </c>
      <c r="K94" s="1933">
        <f>'Emission-Waste Transport Vehicl'!Q65</f>
        <v>7.4749084058879998</v>
      </c>
      <c r="L94" s="1933">
        <f>'Emission-Waste Transport Vehicl'!R65</f>
        <v>0.74397599337600007</v>
      </c>
      <c r="M94" s="1933">
        <f t="shared" ref="M94:M112" si="6">(C94/1000)*H94</f>
        <v>21.345173732834311</v>
      </c>
      <c r="N94" s="830">
        <f t="shared" ref="N94:N112" si="7">D94*I94</f>
        <v>5.6986258683118018</v>
      </c>
      <c r="O94" s="830">
        <f t="shared" ref="O94:O112" si="8">E94*J94</f>
        <v>44.084307267846583</v>
      </c>
      <c r="P94" s="830">
        <f t="shared" ref="P94:P112" si="9">F94*K94</f>
        <v>154.93376924253698</v>
      </c>
      <c r="Q94" s="830">
        <f t="shared" ref="Q94:Q112" si="10">G94*L94</f>
        <v>0.91170294792591522</v>
      </c>
      <c r="R94" s="2773"/>
    </row>
    <row r="95" spans="1:18" x14ac:dyDescent="0.25">
      <c r="A95" s="2802"/>
      <c r="B95" s="706">
        <v>2052</v>
      </c>
      <c r="C95" s="1058">
        <f>'Emission-Solid-liquid Residual'!$K$10</f>
        <v>220.05333745190012</v>
      </c>
      <c r="D95" s="1058">
        <f>'Emission-Solid-liquid Residual'!$J$10</f>
        <v>0.32942116385014986</v>
      </c>
      <c r="E95" s="1058">
        <f>'Emission-Solid-liquid Residual'!$G$10</f>
        <v>4.5802718621724834</v>
      </c>
      <c r="F95" s="1058">
        <f>'Emission-Solid-liquid Residual'!$H$10</f>
        <v>20.727179629451427</v>
      </c>
      <c r="G95" s="1058">
        <f>'Emission-Solid-liquid Residual'!$I$10</f>
        <v>1.2254467295225575</v>
      </c>
      <c r="H95" s="1933">
        <v>97</v>
      </c>
      <c r="I95" s="1933">
        <f>'Emission-Waste Transport Vehicl'!N66</f>
        <v>16.959839976288002</v>
      </c>
      <c r="J95" s="1933">
        <f>'Emission-Waste Transport Vehicl'!P66</f>
        <v>9.4361723945280005</v>
      </c>
      <c r="K95" s="1933">
        <f>'Emission-Waste Transport Vehicl'!Q66</f>
        <v>7.3283968200960006</v>
      </c>
      <c r="L95" s="1933">
        <f>'Emission-Waste Transport Vehicl'!R66</f>
        <v>0.72939372739200004</v>
      </c>
      <c r="M95" s="1933">
        <f t="shared" si="6"/>
        <v>21.345173732834311</v>
      </c>
      <c r="N95" s="830">
        <f t="shared" si="7"/>
        <v>5.5869302237010912</v>
      </c>
      <c r="O95" s="830">
        <f t="shared" si="8"/>
        <v>43.220234905265343</v>
      </c>
      <c r="P95" s="830">
        <f t="shared" si="9"/>
        <v>151.89699728603043</v>
      </c>
      <c r="Q95" s="830">
        <f t="shared" si="10"/>
        <v>0.89383315776679428</v>
      </c>
      <c r="R95" s="2773"/>
    </row>
    <row r="96" spans="1:18" x14ac:dyDescent="0.25">
      <c r="A96" s="2802"/>
      <c r="B96" s="706">
        <v>2053</v>
      </c>
      <c r="C96" s="1058">
        <f>'Emission-Solid-liquid Residual'!$K$10</f>
        <v>220.05333745190012</v>
      </c>
      <c r="D96" s="1058">
        <f>'Emission-Solid-liquid Residual'!$J$10</f>
        <v>0.32942116385014986</v>
      </c>
      <c r="E96" s="1058">
        <f>'Emission-Solid-liquid Residual'!$G$10</f>
        <v>4.5802718621724834</v>
      </c>
      <c r="F96" s="1058">
        <f>'Emission-Solid-liquid Residual'!$H$10</f>
        <v>20.727179629451427</v>
      </c>
      <c r="G96" s="1058">
        <f>'Emission-Solid-liquid Residual'!$I$10</f>
        <v>1.2254467295225575</v>
      </c>
      <c r="H96" s="1933">
        <v>97</v>
      </c>
      <c r="I96" s="1933">
        <f>'Emission-Waste Transport Vehicl'!N67</f>
        <v>15.361506000000002</v>
      </c>
      <c r="J96" s="1933">
        <f>'Emission-Waste Transport Vehicl'!P67</f>
        <v>9.2511494064000015</v>
      </c>
      <c r="K96" s="1933">
        <f>'Emission-Waste Transport Vehicl'!Q67</f>
        <v>7.1847027647999999</v>
      </c>
      <c r="L96" s="1933">
        <f>'Emission-Waste Transport Vehicl'!R67</f>
        <v>0.71509188960000014</v>
      </c>
      <c r="M96" s="1933">
        <f t="shared" si="6"/>
        <v>21.345173732834311</v>
      </c>
      <c r="N96" s="830">
        <f t="shared" si="7"/>
        <v>5.060405185011061</v>
      </c>
      <c r="O96" s="830">
        <f t="shared" si="8"/>
        <v>42.372779318887602</v>
      </c>
      <c r="P96" s="830">
        <f t="shared" si="9"/>
        <v>148.91862479022592</v>
      </c>
      <c r="Q96" s="830">
        <f t="shared" si="10"/>
        <v>0.87630701741842598</v>
      </c>
      <c r="R96" s="2773"/>
    </row>
    <row r="97" spans="1:18" x14ac:dyDescent="0.25">
      <c r="A97" s="2802"/>
      <c r="B97" s="706">
        <v>2054</v>
      </c>
      <c r="C97" s="1058">
        <f>'Emission-Solid-liquid Residual'!$K$10</f>
        <v>220.05333745190012</v>
      </c>
      <c r="D97" s="1058">
        <f>'Emission-Solid-liquid Residual'!$J$10</f>
        <v>0.32942116385014986</v>
      </c>
      <c r="E97" s="1058">
        <f>'Emission-Solid-liquid Residual'!$G$10</f>
        <v>4.5802718621724834</v>
      </c>
      <c r="F97" s="1058">
        <f>'Emission-Solid-liquid Residual'!$H$10</f>
        <v>20.727179629451427</v>
      </c>
      <c r="G97" s="1058">
        <f>'Emission-Solid-liquid Residual'!$I$10</f>
        <v>1.2254467295225575</v>
      </c>
      <c r="H97" s="1933">
        <v>97</v>
      </c>
      <c r="I97" s="1933">
        <f>'Emission-Waste Transport Vehicl'!N68</f>
        <v>16.301268720000003</v>
      </c>
      <c r="J97" s="1933">
        <f>'Emission-Waste Transport Vehicl'!P68</f>
        <v>9.0697543200000013</v>
      </c>
      <c r="K97" s="1933">
        <f>'Emission-Waste Transport Vehicl'!Q68</f>
        <v>7.0438262400000005</v>
      </c>
      <c r="L97" s="1933">
        <f>'Emission-Waste Transport Vehicl'!R68</f>
        <v>0.70107048000000005</v>
      </c>
      <c r="M97" s="1933">
        <f t="shared" si="6"/>
        <v>21.345173732834311</v>
      </c>
      <c r="N97" s="830">
        <f t="shared" si="7"/>
        <v>5.3699829139764432</v>
      </c>
      <c r="O97" s="830">
        <f t="shared" si="8"/>
        <v>41.541940508713331</v>
      </c>
      <c r="P97" s="830">
        <f t="shared" si="9"/>
        <v>145.99865175512346</v>
      </c>
      <c r="Q97" s="830">
        <f t="shared" si="10"/>
        <v>0.85912452688080965</v>
      </c>
      <c r="R97" s="2773"/>
    </row>
    <row r="98" spans="1:18" x14ac:dyDescent="0.25">
      <c r="A98" s="2802"/>
      <c r="B98" s="706">
        <v>2055</v>
      </c>
      <c r="C98" s="1058">
        <f>'Emission-Solid-liquid Residual'!$K$10</f>
        <v>220.05333745190012</v>
      </c>
      <c r="D98" s="1058">
        <f>'Emission-Solid-liquid Residual'!$J$10</f>
        <v>0.32942116385014986</v>
      </c>
      <c r="E98" s="1058">
        <f>'Emission-Solid-liquid Residual'!$G$10</f>
        <v>4.5802718621724834</v>
      </c>
      <c r="F98" s="1058">
        <f>'Emission-Solid-liquid Residual'!$H$10</f>
        <v>20.727179629451427</v>
      </c>
      <c r="G98" s="1058">
        <f>'Emission-Solid-liquid Residual'!$I$10</f>
        <v>1.2254467295225575</v>
      </c>
      <c r="H98" s="1933">
        <v>97</v>
      </c>
      <c r="I98" s="1933">
        <f>'Emission-Waste Transport Vehicl'!N69</f>
        <v>15.981763853088003</v>
      </c>
      <c r="J98" s="1933">
        <f>'Emission-Waste Transport Vehicl'!P69</f>
        <v>8.8919871353280016</v>
      </c>
      <c r="K98" s="1933">
        <f>'Emission-Waste Transport Vehicl'!Q69</f>
        <v>6.9057672456960004</v>
      </c>
      <c r="L98" s="1933">
        <f>'Emission-Waste Transport Vehicl'!R69</f>
        <v>0.6873294985920001</v>
      </c>
      <c r="M98" s="1933">
        <f t="shared" si="6"/>
        <v>21.345173732834311</v>
      </c>
      <c r="N98" s="830">
        <f t="shared" si="7"/>
        <v>5.2647312488625051</v>
      </c>
      <c r="O98" s="830">
        <f t="shared" si="8"/>
        <v>40.727718474742552</v>
      </c>
      <c r="P98" s="830">
        <f t="shared" si="9"/>
        <v>143.13707818072302</v>
      </c>
      <c r="Q98" s="830">
        <f t="shared" si="10"/>
        <v>0.84228568615394583</v>
      </c>
      <c r="R98" s="2773"/>
    </row>
    <row r="99" spans="1:18" x14ac:dyDescent="0.25">
      <c r="A99" s="2802"/>
      <c r="B99" s="706">
        <v>2056</v>
      </c>
      <c r="C99" s="1058">
        <f>'Emission-Solid-liquid Residual'!$K$10</f>
        <v>220.05333745190012</v>
      </c>
      <c r="D99" s="1058">
        <f>'Emission-Solid-liquid Residual'!$J$10</f>
        <v>0.32942116385014986</v>
      </c>
      <c r="E99" s="1058">
        <f>'Emission-Solid-liquid Residual'!$G$10</f>
        <v>4.5802718621724834</v>
      </c>
      <c r="F99" s="1058">
        <f>'Emission-Solid-liquid Residual'!$H$10</f>
        <v>20.727179629451427</v>
      </c>
      <c r="G99" s="1058">
        <f>'Emission-Solid-liquid Residual'!$I$10</f>
        <v>1.2254467295225575</v>
      </c>
      <c r="H99" s="1933">
        <v>97</v>
      </c>
      <c r="I99" s="1933">
        <f>'Emission-Waste Transport Vehicl'!N70</f>
        <v>15.668779493664003</v>
      </c>
      <c r="J99" s="1933">
        <f>'Emission-Waste Transport Vehicl'!P70</f>
        <v>8.7178478523840006</v>
      </c>
      <c r="K99" s="1933">
        <f>'Emission-Waste Transport Vehicl'!Q70</f>
        <v>6.7705257818880007</v>
      </c>
      <c r="L99" s="1933">
        <f>'Emission-Waste Transport Vehicl'!R70</f>
        <v>0.67386894537600017</v>
      </c>
      <c r="M99" s="1933">
        <f t="shared" si="6"/>
        <v>21.345173732834311</v>
      </c>
      <c r="N99" s="830">
        <f t="shared" si="7"/>
        <v>5.1616275769141575</v>
      </c>
      <c r="O99" s="830">
        <f t="shared" si="8"/>
        <v>39.930113216975251</v>
      </c>
      <c r="P99" s="830">
        <f t="shared" si="9"/>
        <v>140.33390406702466</v>
      </c>
      <c r="Q99" s="830">
        <f t="shared" si="10"/>
        <v>0.82579049523783432</v>
      </c>
      <c r="R99" s="2773"/>
    </row>
    <row r="100" spans="1:18" x14ac:dyDescent="0.25">
      <c r="A100" s="2802"/>
      <c r="B100" s="706">
        <v>2057</v>
      </c>
      <c r="C100" s="1058">
        <f>'Emission-Solid-liquid Residual'!$K$10</f>
        <v>220.05333745190012</v>
      </c>
      <c r="D100" s="1058">
        <f>'Emission-Solid-liquid Residual'!$J$10</f>
        <v>0.32942116385014986</v>
      </c>
      <c r="E100" s="1058">
        <f>'Emission-Solid-liquid Residual'!$G$10</f>
        <v>4.5802718621724834</v>
      </c>
      <c r="F100" s="1058">
        <f>'Emission-Solid-liquid Residual'!$H$10</f>
        <v>20.727179629451427</v>
      </c>
      <c r="G100" s="1058">
        <f>'Emission-Solid-liquid Residual'!$I$10</f>
        <v>1.2254467295225575</v>
      </c>
      <c r="H100" s="1933">
        <v>97</v>
      </c>
      <c r="I100" s="1933">
        <f>'Emission-Waste Transport Vehicl'!N71</f>
        <v>15.362315641728001</v>
      </c>
      <c r="J100" s="1933">
        <f>'Emission-Waste Transport Vehicl'!P71</f>
        <v>8.547336471168002</v>
      </c>
      <c r="K100" s="1933">
        <f>'Emission-Waste Transport Vehicl'!Q71</f>
        <v>6.6381018485760004</v>
      </c>
      <c r="L100" s="1933">
        <f>'Emission-Waste Transport Vehicl'!R71</f>
        <v>0.66068882035200005</v>
      </c>
      <c r="M100" s="1933">
        <f t="shared" si="6"/>
        <v>21.345173732834311</v>
      </c>
      <c r="N100" s="830">
        <f t="shared" si="7"/>
        <v>5.0606718981313996</v>
      </c>
      <c r="O100" s="830">
        <f t="shared" si="8"/>
        <v>39.149124735411448</v>
      </c>
      <c r="P100" s="830">
        <f t="shared" si="9"/>
        <v>137.58912941402835</v>
      </c>
      <c r="Q100" s="830">
        <f t="shared" si="10"/>
        <v>0.809638954132475</v>
      </c>
      <c r="R100" s="2773"/>
    </row>
    <row r="101" spans="1:18" x14ac:dyDescent="0.25">
      <c r="A101" s="2802"/>
      <c r="B101" s="706">
        <v>2058</v>
      </c>
      <c r="C101" s="1058">
        <f>'Emission-Solid-liquid Residual'!$K$10</f>
        <v>220.05333745190012</v>
      </c>
      <c r="D101" s="1058">
        <f>'Emission-Solid-liquid Residual'!$J$10</f>
        <v>0.32942116385014986</v>
      </c>
      <c r="E101" s="1058">
        <f>'Emission-Solid-liquid Residual'!$G$10</f>
        <v>4.5802718621724834</v>
      </c>
      <c r="F101" s="1058">
        <f>'Emission-Solid-liquid Residual'!$H$10</f>
        <v>20.727179629451427</v>
      </c>
      <c r="G101" s="1058">
        <f>'Emission-Solid-liquid Residual'!$I$10</f>
        <v>1.2254467295225575</v>
      </c>
      <c r="H101" s="1933">
        <v>97</v>
      </c>
      <c r="I101" s="1933">
        <f>'Emission-Waste Transport Vehicl'!N72</f>
        <v>15.059112043536</v>
      </c>
      <c r="J101" s="1933">
        <f>'Emission-Waste Transport Vehicl'!P72</f>
        <v>8.378639040816001</v>
      </c>
      <c r="K101" s="1933">
        <f>'Emission-Waste Transport Vehicl'!Q72</f>
        <v>6.5070866805119998</v>
      </c>
      <c r="L101" s="1933">
        <f>'Emission-Waste Transport Vehicl'!R72</f>
        <v>0.647648909424</v>
      </c>
      <c r="M101" s="1933">
        <f t="shared" si="6"/>
        <v>21.345173732834311</v>
      </c>
      <c r="N101" s="830">
        <f t="shared" si="7"/>
        <v>4.9607902159314374</v>
      </c>
      <c r="O101" s="830">
        <f t="shared" si="8"/>
        <v>38.376444641949377</v>
      </c>
      <c r="P101" s="830">
        <f t="shared" si="9"/>
        <v>134.87355449138303</v>
      </c>
      <c r="Q101" s="830">
        <f t="shared" si="10"/>
        <v>0.79365923793249182</v>
      </c>
      <c r="R101" s="2773"/>
    </row>
    <row r="102" spans="1:18" x14ac:dyDescent="0.25">
      <c r="A102" s="2802"/>
      <c r="B102" s="706">
        <v>2059</v>
      </c>
      <c r="C102" s="1058">
        <f>'Emission-Solid-liquid Residual'!$K$10</f>
        <v>220.05333745190012</v>
      </c>
      <c r="D102" s="1058">
        <f>'Emission-Solid-liquid Residual'!$J$10</f>
        <v>0.32942116385014986</v>
      </c>
      <c r="E102" s="1058">
        <f>'Emission-Solid-liquid Residual'!$G$10</f>
        <v>4.5802718621724834</v>
      </c>
      <c r="F102" s="1058">
        <f>'Emission-Solid-liquid Residual'!$H$10</f>
        <v>20.727179629451427</v>
      </c>
      <c r="G102" s="1058">
        <f>'Emission-Solid-liquid Residual'!$I$10</f>
        <v>1.2254467295225575</v>
      </c>
      <c r="H102" s="1933">
        <v>97</v>
      </c>
      <c r="I102" s="1933">
        <f>'Emission-Waste Transport Vehicl'!N73</f>
        <v>14.765689206576004</v>
      </c>
      <c r="J102" s="1933">
        <f>'Emission-Waste Transport Vehicl'!P73</f>
        <v>8.2153834630560016</v>
      </c>
      <c r="K102" s="1933">
        <f>'Emission-Waste Transport Vehicl'!Q73</f>
        <v>6.380297808192001</v>
      </c>
      <c r="L102" s="1933">
        <f>'Emission-Waste Transport Vehicl'!R73</f>
        <v>0.63502964078400004</v>
      </c>
      <c r="M102" s="1933">
        <f t="shared" si="6"/>
        <v>21.345173732834311</v>
      </c>
      <c r="N102" s="830">
        <f t="shared" si="7"/>
        <v>4.8641305234798633</v>
      </c>
      <c r="O102" s="830">
        <f t="shared" si="8"/>
        <v>37.628689712792536</v>
      </c>
      <c r="P102" s="830">
        <f t="shared" si="9"/>
        <v>132.24557875979085</v>
      </c>
      <c r="Q102" s="830">
        <f t="shared" si="10"/>
        <v>0.77819499644863732</v>
      </c>
      <c r="R102" s="2773"/>
    </row>
    <row r="103" spans="1:18" x14ac:dyDescent="0.25">
      <c r="A103" s="2802"/>
      <c r="B103" s="706">
        <v>2060</v>
      </c>
      <c r="C103" s="1058">
        <f>'Emission-Solid-liquid Residual'!$K$10</f>
        <v>220.05333745190012</v>
      </c>
      <c r="D103" s="1058">
        <f>'Emission-Solid-liquid Residual'!$J$10</f>
        <v>0.32942116385014986</v>
      </c>
      <c r="E103" s="1058">
        <f>'Emission-Solid-liquid Residual'!$G$10</f>
        <v>4.5802718621724834</v>
      </c>
      <c r="F103" s="1058">
        <f>'Emission-Solid-liquid Residual'!$H$10</f>
        <v>20.727179629451427</v>
      </c>
      <c r="G103" s="1058">
        <f>'Emission-Solid-liquid Residual'!$I$10</f>
        <v>1.2254467295225575</v>
      </c>
      <c r="H103" s="1933">
        <v>97</v>
      </c>
      <c r="I103" s="1933">
        <f>'Emission-Waste Transport Vehicl'!N74</f>
        <v>14.475526623360002</v>
      </c>
      <c r="J103" s="1933">
        <f>'Emission-Waste Transport Vehicl'!P74</f>
        <v>8.0539418361599999</v>
      </c>
      <c r="K103" s="1933">
        <f>'Emission-Waste Transport Vehicl'!Q74</f>
        <v>6.2549177011200001</v>
      </c>
      <c r="L103" s="1933">
        <f>'Emission-Waste Transport Vehicl'!R74</f>
        <v>0.62255058624000004</v>
      </c>
      <c r="M103" s="1933">
        <f t="shared" si="6"/>
        <v>21.345173732834311</v>
      </c>
      <c r="N103" s="830">
        <f t="shared" si="7"/>
        <v>4.7685448276110813</v>
      </c>
      <c r="O103" s="830">
        <f t="shared" si="8"/>
        <v>36.889243171737434</v>
      </c>
      <c r="P103" s="830">
        <f t="shared" si="9"/>
        <v>129.64680275854963</v>
      </c>
      <c r="Q103" s="830">
        <f t="shared" si="10"/>
        <v>0.76290257987015897</v>
      </c>
      <c r="R103" s="2773"/>
    </row>
    <row r="104" spans="1:18" x14ac:dyDescent="0.25">
      <c r="A104" s="2802"/>
      <c r="B104" s="706">
        <v>2061</v>
      </c>
      <c r="C104" s="1058">
        <f>'Emission-Solid-liquid Residual'!$K$10</f>
        <v>220.05333745190012</v>
      </c>
      <c r="D104" s="1058">
        <f>'Emission-Solid-liquid Residual'!$J$10</f>
        <v>0.32942116385014986</v>
      </c>
      <c r="E104" s="1058">
        <f>'Emission-Solid-liquid Residual'!$G$10</f>
        <v>4.5802718621724834</v>
      </c>
      <c r="F104" s="1058">
        <f>'Emission-Solid-liquid Residual'!$H$10</f>
        <v>20.727179629451427</v>
      </c>
      <c r="G104" s="1058">
        <f>'Emission-Solid-liquid Residual'!$I$10</f>
        <v>1.2254467295225575</v>
      </c>
      <c r="H104" s="1933">
        <v>97</v>
      </c>
      <c r="I104" s="1933">
        <f>'Emission-Waste Transport Vehicl'!N75</f>
        <v>14.191884547632004</v>
      </c>
      <c r="J104" s="1933">
        <f>'Emission-Waste Transport Vehicl'!P75</f>
        <v>7.8961281109920014</v>
      </c>
      <c r="K104" s="1933">
        <f>'Emission-Waste Transport Vehicl'!Q75</f>
        <v>6.1323551245440004</v>
      </c>
      <c r="L104" s="1933">
        <f>'Emission-Waste Transport Vehicl'!R75</f>
        <v>0.61035195988800006</v>
      </c>
      <c r="M104" s="1933">
        <f t="shared" si="6"/>
        <v>21.345173732834311</v>
      </c>
      <c r="N104" s="830">
        <f t="shared" si="7"/>
        <v>4.6751071249078926</v>
      </c>
      <c r="O104" s="830">
        <f t="shared" si="8"/>
        <v>36.16641340688583</v>
      </c>
      <c r="P104" s="830">
        <f t="shared" si="9"/>
        <v>127.10642621801048</v>
      </c>
      <c r="Q104" s="830">
        <f t="shared" si="10"/>
        <v>0.74795381310243292</v>
      </c>
      <c r="R104" s="2773"/>
    </row>
    <row r="105" spans="1:18" x14ac:dyDescent="0.25">
      <c r="A105" s="2802"/>
      <c r="B105" s="706">
        <v>2062</v>
      </c>
      <c r="C105" s="1058">
        <f>'Emission-Solid-liquid Residual'!$K$10</f>
        <v>220.05333745190012</v>
      </c>
      <c r="D105" s="1058">
        <f>'Emission-Solid-liquid Residual'!$J$10</f>
        <v>0.32942116385014986</v>
      </c>
      <c r="E105" s="1058">
        <f>'Emission-Solid-liquid Residual'!$G$10</f>
        <v>4.5802718621724834</v>
      </c>
      <c r="F105" s="1058">
        <f>'Emission-Solid-liquid Residual'!$H$10</f>
        <v>20.727179629451427</v>
      </c>
      <c r="G105" s="1058">
        <f>'Emission-Solid-liquid Residual'!$I$10</f>
        <v>1.2254467295225575</v>
      </c>
      <c r="H105" s="1933">
        <v>97</v>
      </c>
      <c r="I105" s="1933">
        <f>'Emission-Waste Transport Vehicl'!N76</f>
        <v>13.914762979392002</v>
      </c>
      <c r="J105" s="1933">
        <f>'Emission-Waste Transport Vehicl'!P76</f>
        <v>7.7419422875520008</v>
      </c>
      <c r="K105" s="1933">
        <f>'Emission-Waste Transport Vehicl'!Q76</f>
        <v>6.0126100784640002</v>
      </c>
      <c r="L105" s="1933">
        <f>'Emission-Waste Transport Vehicl'!R76</f>
        <v>0.59843376172800011</v>
      </c>
      <c r="M105" s="1933">
        <f t="shared" si="6"/>
        <v>21.345173732834311</v>
      </c>
      <c r="N105" s="830">
        <f t="shared" si="7"/>
        <v>4.5838174153702917</v>
      </c>
      <c r="O105" s="830">
        <f t="shared" si="8"/>
        <v>35.460200418237697</v>
      </c>
      <c r="P105" s="830">
        <f t="shared" si="9"/>
        <v>124.62444913817338</v>
      </c>
      <c r="Q105" s="830">
        <f t="shared" si="10"/>
        <v>0.73334869614545917</v>
      </c>
      <c r="R105" s="2773"/>
    </row>
    <row r="106" spans="1:18" x14ac:dyDescent="0.25">
      <c r="A106" s="2802"/>
      <c r="B106" s="706">
        <v>2063</v>
      </c>
      <c r="C106" s="1058">
        <f>'Emission-Solid-liquid Residual'!$K$10</f>
        <v>220.05333745190012</v>
      </c>
      <c r="D106" s="1058">
        <f>'Emission-Solid-liquid Residual'!$J$10</f>
        <v>0.32942116385014986</v>
      </c>
      <c r="E106" s="1058">
        <f>'Emission-Solid-liquid Residual'!$G$10</f>
        <v>4.5802718621724834</v>
      </c>
      <c r="F106" s="1058">
        <f>'Emission-Solid-liquid Residual'!$H$10</f>
        <v>20.727179629451427</v>
      </c>
      <c r="G106" s="1058">
        <f>'Emission-Solid-liquid Residual'!$I$10</f>
        <v>1.2254467295225575</v>
      </c>
      <c r="H106" s="1933">
        <v>97</v>
      </c>
      <c r="I106" s="1933">
        <f>'Emission-Waste Transport Vehicl'!N77</f>
        <v>13.640901664896001</v>
      </c>
      <c r="J106" s="1933">
        <f>'Emission-Waste Transport Vehicl'!P77</f>
        <v>7.5895704149760004</v>
      </c>
      <c r="K106" s="1933">
        <f>'Emission-Waste Transport Vehicl'!Q77</f>
        <v>5.8942737976319997</v>
      </c>
      <c r="L106" s="1933">
        <f>'Emission-Waste Transport Vehicl'!R77</f>
        <v>0.58665577766400001</v>
      </c>
      <c r="M106" s="1933">
        <f t="shared" si="6"/>
        <v>21.345173732834311</v>
      </c>
      <c r="N106" s="830">
        <f t="shared" si="7"/>
        <v>4.4936017024154875</v>
      </c>
      <c r="O106" s="830">
        <f t="shared" si="8"/>
        <v>34.76229581769131</v>
      </c>
      <c r="P106" s="830">
        <f t="shared" si="9"/>
        <v>122.17167178868729</v>
      </c>
      <c r="Q106" s="830">
        <f t="shared" si="10"/>
        <v>0.71891540409386145</v>
      </c>
      <c r="R106" s="2773"/>
    </row>
    <row r="107" spans="1:18" x14ac:dyDescent="0.25">
      <c r="A107" s="2802"/>
      <c r="B107" s="706">
        <v>2064</v>
      </c>
      <c r="C107" s="1058">
        <f>'Emission-Solid-liquid Residual'!$K$10</f>
        <v>220.05333745190012</v>
      </c>
      <c r="D107" s="1058">
        <f>'Emission-Solid-liquid Residual'!$J$10</f>
        <v>0.32942116385014986</v>
      </c>
      <c r="E107" s="1058">
        <f>'Emission-Solid-liquid Residual'!$G$10</f>
        <v>4.5802718621724834</v>
      </c>
      <c r="F107" s="1058">
        <f>'Emission-Solid-liquid Residual'!$H$10</f>
        <v>20.727179629451427</v>
      </c>
      <c r="G107" s="1058">
        <f>'Emission-Solid-liquid Residual'!$I$10</f>
        <v>1.2254467295225575</v>
      </c>
      <c r="H107" s="1933">
        <v>97</v>
      </c>
      <c r="I107" s="1933">
        <f>'Emission-Waste Transport Vehicl'!N78</f>
        <v>13.373560857888002</v>
      </c>
      <c r="J107" s="1933">
        <f>'Emission-Waste Transport Vehicl'!P78</f>
        <v>7.4408264441280014</v>
      </c>
      <c r="K107" s="1933">
        <f>'Emission-Waste Transport Vehicl'!Q78</f>
        <v>5.7787550472960003</v>
      </c>
      <c r="L107" s="1933">
        <f>'Emission-Waste Transport Vehicl'!R78</f>
        <v>0.57515822179200005</v>
      </c>
      <c r="M107" s="1933">
        <f t="shared" si="6"/>
        <v>21.345173732834311</v>
      </c>
      <c r="N107" s="830">
        <f t="shared" si="7"/>
        <v>4.4055339826262738</v>
      </c>
      <c r="O107" s="830">
        <f t="shared" si="8"/>
        <v>34.081007993348422</v>
      </c>
      <c r="P107" s="830">
        <f t="shared" si="9"/>
        <v>119.77729389990328</v>
      </c>
      <c r="Q107" s="830">
        <f t="shared" si="10"/>
        <v>0.70482576185301626</v>
      </c>
      <c r="R107" s="2773"/>
    </row>
    <row r="108" spans="1:18" x14ac:dyDescent="0.25">
      <c r="A108" s="2802"/>
      <c r="B108" s="706">
        <v>2065</v>
      </c>
      <c r="C108" s="1058">
        <f>'Emission-Solid-liquid Residual'!$K$10</f>
        <v>220.05333745190012</v>
      </c>
      <c r="D108" s="1058">
        <f>'Emission-Solid-liquid Residual'!$J$10</f>
        <v>0.32942116385014986</v>
      </c>
      <c r="E108" s="1058">
        <f>'Emission-Solid-liquid Residual'!$G$10</f>
        <v>4.5802718621724834</v>
      </c>
      <c r="F108" s="1058">
        <f>'Emission-Solid-liquid Residual'!$H$10</f>
        <v>20.727179629451427</v>
      </c>
      <c r="G108" s="1058">
        <f>'Emission-Solid-liquid Residual'!$I$10</f>
        <v>1.2254467295225575</v>
      </c>
      <c r="H108" s="1933">
        <v>97</v>
      </c>
      <c r="I108" s="1933">
        <f>'Emission-Waste Transport Vehicl'!N79</f>
        <v>13.112740558368001</v>
      </c>
      <c r="J108" s="1933">
        <f>'Emission-Waste Transport Vehicl'!P79</f>
        <v>7.2957103750080003</v>
      </c>
      <c r="K108" s="1933">
        <f>'Emission-Waste Transport Vehicl'!Q79</f>
        <v>5.6660538274560004</v>
      </c>
      <c r="L108" s="1933">
        <f>'Emission-Waste Transport Vehicl'!R79</f>
        <v>0.56394109411200011</v>
      </c>
      <c r="M108" s="1933">
        <f t="shared" si="6"/>
        <v>21.345173732834311</v>
      </c>
      <c r="N108" s="830">
        <f t="shared" si="7"/>
        <v>4.3196142560026507</v>
      </c>
      <c r="O108" s="830">
        <f t="shared" si="8"/>
        <v>33.416336945209004</v>
      </c>
      <c r="P108" s="830">
        <f t="shared" si="9"/>
        <v>117.4413154718213</v>
      </c>
      <c r="Q108" s="830">
        <f t="shared" si="10"/>
        <v>0.69107976942292337</v>
      </c>
      <c r="R108" s="2773"/>
    </row>
    <row r="109" spans="1:18" x14ac:dyDescent="0.25">
      <c r="A109" s="2802"/>
      <c r="B109" s="706">
        <v>2066</v>
      </c>
      <c r="C109" s="1058">
        <f>'Emission-Solid-liquid Residual'!$K$10</f>
        <v>220.05333745190012</v>
      </c>
      <c r="D109" s="1058">
        <f>'Emission-Solid-liquid Residual'!$J$10</f>
        <v>0.32942116385014986</v>
      </c>
      <c r="E109" s="1058">
        <f>'Emission-Solid-liquid Residual'!$G$10</f>
        <v>4.5802718621724834</v>
      </c>
      <c r="F109" s="1058">
        <f>'Emission-Solid-liquid Residual'!$H$10</f>
        <v>20.727179629451427</v>
      </c>
      <c r="G109" s="1058">
        <f>'Emission-Solid-liquid Residual'!$I$10</f>
        <v>1.2254467295225575</v>
      </c>
      <c r="H109" s="1933">
        <v>97</v>
      </c>
      <c r="I109" s="1933">
        <f>'Emission-Waste Transport Vehicl'!N80</f>
        <v>12.855180512592</v>
      </c>
      <c r="J109" s="1933">
        <f>'Emission-Waste Transport Vehicl'!P80</f>
        <v>7.1524082567520004</v>
      </c>
      <c r="K109" s="1933">
        <f>'Emission-Waste Transport Vehicl'!Q80</f>
        <v>5.5547613728639993</v>
      </c>
      <c r="L109" s="1933">
        <f>'Emission-Waste Transport Vehicl'!R80</f>
        <v>0.55286418052800002</v>
      </c>
      <c r="M109" s="1933">
        <f t="shared" si="6"/>
        <v>21.345173732834311</v>
      </c>
      <c r="N109" s="830">
        <f t="shared" si="7"/>
        <v>4.2347685259618224</v>
      </c>
      <c r="O109" s="830">
        <f t="shared" si="8"/>
        <v>32.759974285171332</v>
      </c>
      <c r="P109" s="830">
        <f t="shared" si="9"/>
        <v>115.13453677409034</v>
      </c>
      <c r="Q109" s="830">
        <f t="shared" si="10"/>
        <v>0.67750560189820641</v>
      </c>
      <c r="R109" s="2773"/>
    </row>
    <row r="110" spans="1:18" x14ac:dyDescent="0.25">
      <c r="A110" s="2802"/>
      <c r="B110" s="706">
        <v>2067</v>
      </c>
      <c r="C110" s="1058">
        <f>'Emission-Solid-liquid Residual'!$K$10</f>
        <v>220.05333745190012</v>
      </c>
      <c r="D110" s="1058">
        <f>'Emission-Solid-liquid Residual'!$J$10</f>
        <v>0.32942116385014986</v>
      </c>
      <c r="E110" s="1058">
        <f>'Emission-Solid-liquid Residual'!$G$10</f>
        <v>4.5802718621724834</v>
      </c>
      <c r="F110" s="1058">
        <f>'Emission-Solid-liquid Residual'!$H$10</f>
        <v>20.727179629451427</v>
      </c>
      <c r="G110" s="1058">
        <f>'Emission-Solid-liquid Residual'!$I$10</f>
        <v>1.2254467295225575</v>
      </c>
      <c r="H110" s="1933">
        <v>97</v>
      </c>
      <c r="I110" s="1933">
        <f>'Emission-Waste Transport Vehicl'!N81</f>
        <v>12.600880720560001</v>
      </c>
      <c r="J110" s="1933">
        <f>'Emission-Waste Transport Vehicl'!P81</f>
        <v>7.0109200893600008</v>
      </c>
      <c r="K110" s="1933">
        <f>'Emission-Waste Transport Vehicl'!Q81</f>
        <v>5.4448776835200006</v>
      </c>
      <c r="L110" s="1933">
        <f>'Emission-Waste Transport Vehicl'!R81</f>
        <v>0.5419274810400001</v>
      </c>
      <c r="M110" s="1933">
        <f t="shared" si="6"/>
        <v>21.345173732834311</v>
      </c>
      <c r="N110" s="830">
        <f t="shared" si="7"/>
        <v>4.1509967925037907</v>
      </c>
      <c r="O110" s="830">
        <f t="shared" si="8"/>
        <v>32.111920013235405</v>
      </c>
      <c r="P110" s="830">
        <f t="shared" si="9"/>
        <v>112.85695780671043</v>
      </c>
      <c r="Q110" s="830">
        <f t="shared" si="10"/>
        <v>0.66410325927886593</v>
      </c>
      <c r="R110" s="2773"/>
    </row>
    <row r="111" spans="1:18" x14ac:dyDescent="0.25">
      <c r="A111" s="2802"/>
      <c r="B111" s="706">
        <v>2068</v>
      </c>
      <c r="C111" s="1058">
        <f>'Emission-Solid-liquid Residual'!$K$10</f>
        <v>220.05333745190012</v>
      </c>
      <c r="D111" s="1058">
        <f>'Emission-Solid-liquid Residual'!$J$10</f>
        <v>0.32942116385014986</v>
      </c>
      <c r="E111" s="1058">
        <f>'Emission-Solid-liquid Residual'!$G$10</f>
        <v>4.5802718621724834</v>
      </c>
      <c r="F111" s="1058">
        <f>'Emission-Solid-liquid Residual'!$H$10</f>
        <v>20.727179629451427</v>
      </c>
      <c r="G111" s="1058">
        <f>'Emission-Solid-liquid Residual'!$I$10</f>
        <v>1.2254467295225575</v>
      </c>
      <c r="H111" s="1933">
        <v>97</v>
      </c>
      <c r="I111" s="1933">
        <f>'Emission-Waste Transport Vehicl'!N82</f>
        <v>12.356361689760002</v>
      </c>
      <c r="J111" s="1933">
        <f>'Emission-Waste Transport Vehicl'!P82</f>
        <v>6.8748737745600002</v>
      </c>
      <c r="K111" s="1933">
        <f>'Emission-Waste Transport Vehicl'!Q82</f>
        <v>5.339220289920001</v>
      </c>
      <c r="L111" s="1933">
        <f>'Emission-Waste Transport Vehicl'!R82</f>
        <v>0.53141142384000006</v>
      </c>
      <c r="M111" s="1933">
        <f t="shared" si="6"/>
        <v>21.345173732834311</v>
      </c>
      <c r="N111" s="830">
        <f t="shared" si="7"/>
        <v>4.0704470487941444</v>
      </c>
      <c r="O111" s="830">
        <f t="shared" si="8"/>
        <v>31.488790905604702</v>
      </c>
      <c r="P111" s="830">
        <f t="shared" si="9"/>
        <v>110.66697803038359</v>
      </c>
      <c r="Q111" s="830">
        <f t="shared" si="10"/>
        <v>0.65121639137565368</v>
      </c>
      <c r="R111" s="2773"/>
    </row>
    <row r="112" spans="1:18" ht="15.75" thickBot="1" x14ac:dyDescent="0.3">
      <c r="A112" s="2807"/>
      <c r="B112" s="55">
        <v>2069</v>
      </c>
      <c r="C112" s="1060">
        <f>'Emission-Solid-liquid Residual'!$K$10</f>
        <v>220.05333745190012</v>
      </c>
      <c r="D112" s="1060">
        <f>'Emission-Solid-liquid Residual'!$J$10</f>
        <v>0.32942116385014986</v>
      </c>
      <c r="E112" s="1060">
        <f>'Emission-Solid-liquid Residual'!$G$10</f>
        <v>4.5802718621724834</v>
      </c>
      <c r="F112" s="1060">
        <f>'Emission-Solid-liquid Residual'!$H$10</f>
        <v>20.727179629451427</v>
      </c>
      <c r="G112" s="1060">
        <f>'Emission-Solid-liquid Residual'!$I$10</f>
        <v>1.2254467295225575</v>
      </c>
      <c r="H112" s="1934">
        <v>97</v>
      </c>
      <c r="I112" s="1934">
        <f>'Emission-Waste Transport Vehicl'!N83</f>
        <v>12.111842658960002</v>
      </c>
      <c r="J112" s="1934">
        <f>'Emission-Waste Transport Vehicl'!P83</f>
        <v>6.7388274597600004</v>
      </c>
      <c r="K112" s="1934">
        <f>'Emission-Waste Transport Vehicl'!Q83</f>
        <v>5.2335628963200005</v>
      </c>
      <c r="L112" s="1934">
        <f>'Emission-Waste Transport Vehicl'!R83</f>
        <v>0.52089536664000002</v>
      </c>
      <c r="M112" s="1934">
        <f t="shared" si="6"/>
        <v>21.345173732834311</v>
      </c>
      <c r="N112" s="1063">
        <f t="shared" si="7"/>
        <v>3.9898973050844977</v>
      </c>
      <c r="O112" s="1063">
        <f t="shared" si="8"/>
        <v>30.865661797974003</v>
      </c>
      <c r="P112" s="1063">
        <f t="shared" si="9"/>
        <v>108.47699825405672</v>
      </c>
      <c r="Q112" s="1063">
        <f t="shared" si="10"/>
        <v>0.63832952347244154</v>
      </c>
      <c r="R112" s="2774"/>
    </row>
    <row r="113" spans="1:18" ht="15.75" thickBot="1" x14ac:dyDescent="0.3"/>
    <row r="114" spans="1:18" ht="75" customHeight="1" thickBot="1" x14ac:dyDescent="0.3">
      <c r="A114" s="2627" t="s">
        <v>1327</v>
      </c>
      <c r="B114" s="2628"/>
      <c r="C114" s="2628"/>
      <c r="D114" s="2629"/>
      <c r="E114" s="1078"/>
      <c r="F114" s="1078"/>
      <c r="G114" s="1078"/>
      <c r="H114" s="1078"/>
      <c r="I114" s="1078"/>
      <c r="J114" s="1078"/>
      <c r="K114" s="1078"/>
      <c r="L114" s="1078"/>
      <c r="M114" s="1078"/>
      <c r="N114" s="1078"/>
      <c r="O114" s="1078"/>
      <c r="P114" s="1078"/>
      <c r="Q114" s="1078"/>
      <c r="R114" s="1078"/>
    </row>
    <row r="115" spans="1:18" ht="60.75" thickBot="1" x14ac:dyDescent="0.3">
      <c r="A115" s="1131" t="s">
        <v>177</v>
      </c>
      <c r="B115" s="1940" t="s">
        <v>1332</v>
      </c>
      <c r="C115" s="1940" t="s">
        <v>1108</v>
      </c>
      <c r="D115" s="1941" t="s">
        <v>1109</v>
      </c>
    </row>
    <row r="116" spans="1:18" x14ac:dyDescent="0.25">
      <c r="A116" s="1927">
        <v>2019</v>
      </c>
      <c r="B116" s="1072">
        <v>62</v>
      </c>
      <c r="C116" s="1129">
        <f>($D$32/1000)*B116</f>
        <v>49870.844671618215</v>
      </c>
      <c r="D116" s="1130">
        <f t="shared" ref="D116:D147" si="11">($D$33/1000)*B116</f>
        <v>-4005.4601673537313</v>
      </c>
    </row>
    <row r="117" spans="1:18" x14ac:dyDescent="0.25">
      <c r="A117" s="1935">
        <v>2020</v>
      </c>
      <c r="B117" s="1933">
        <v>64</v>
      </c>
      <c r="C117" s="1092">
        <f t="shared" ref="C117:C147" si="12">($D$32/1000)*B117</f>
        <v>51479.581596509124</v>
      </c>
      <c r="D117" s="1112">
        <f t="shared" si="11"/>
        <v>-4134.668559849013</v>
      </c>
    </row>
    <row r="118" spans="1:18" x14ac:dyDescent="0.25">
      <c r="A118" s="1935">
        <v>2021</v>
      </c>
      <c r="B118" s="1933">
        <v>65</v>
      </c>
      <c r="C118" s="1092">
        <f t="shared" si="12"/>
        <v>52283.950058954579</v>
      </c>
      <c r="D118" s="1112">
        <f t="shared" si="11"/>
        <v>-4199.2727560966541</v>
      </c>
    </row>
    <row r="119" spans="1:18" x14ac:dyDescent="0.25">
      <c r="A119" s="1935">
        <v>2022</v>
      </c>
      <c r="B119" s="1933">
        <v>66</v>
      </c>
      <c r="C119" s="1092">
        <f t="shared" si="12"/>
        <v>53088.318521400033</v>
      </c>
      <c r="D119" s="1112">
        <f t="shared" si="11"/>
        <v>-4263.8769523442943</v>
      </c>
    </row>
    <row r="120" spans="1:18" x14ac:dyDescent="0.25">
      <c r="A120" s="1935">
        <v>2023</v>
      </c>
      <c r="B120" s="1933">
        <v>67</v>
      </c>
      <c r="C120" s="1092">
        <f t="shared" si="12"/>
        <v>53892.686983845488</v>
      </c>
      <c r="D120" s="1112">
        <f t="shared" si="11"/>
        <v>-4328.4811485919354</v>
      </c>
    </row>
    <row r="121" spans="1:18" x14ac:dyDescent="0.25">
      <c r="A121" s="1935">
        <v>2024</v>
      </c>
      <c r="B121" s="1933">
        <v>68</v>
      </c>
      <c r="C121" s="1092">
        <f t="shared" si="12"/>
        <v>54697.055446290942</v>
      </c>
      <c r="D121" s="1112">
        <f t="shared" si="11"/>
        <v>-4393.0853448395765</v>
      </c>
    </row>
    <row r="122" spans="1:18" x14ac:dyDescent="0.25">
      <c r="A122" s="1935">
        <v>2025</v>
      </c>
      <c r="B122" s="1933">
        <v>69</v>
      </c>
      <c r="C122" s="1092">
        <f t="shared" si="12"/>
        <v>55501.423908736397</v>
      </c>
      <c r="D122" s="1112">
        <f t="shared" si="11"/>
        <v>-4457.6895410872175</v>
      </c>
    </row>
    <row r="123" spans="1:18" x14ac:dyDescent="0.25">
      <c r="A123" s="1935">
        <v>2026</v>
      </c>
      <c r="B123" s="1933">
        <v>70</v>
      </c>
      <c r="C123" s="1092">
        <f t="shared" si="12"/>
        <v>56305.792371181851</v>
      </c>
      <c r="D123" s="1112">
        <f t="shared" si="11"/>
        <v>-4522.2937373348577</v>
      </c>
    </row>
    <row r="124" spans="1:18" x14ac:dyDescent="0.25">
      <c r="A124" s="1935">
        <v>2027</v>
      </c>
      <c r="B124" s="1933">
        <v>71</v>
      </c>
      <c r="C124" s="1092">
        <f t="shared" si="12"/>
        <v>57110.160833627313</v>
      </c>
      <c r="D124" s="1112">
        <f t="shared" si="11"/>
        <v>-4586.8979335824988</v>
      </c>
    </row>
    <row r="125" spans="1:18" x14ac:dyDescent="0.25">
      <c r="A125" s="1935">
        <v>2028</v>
      </c>
      <c r="B125" s="1933">
        <v>72</v>
      </c>
      <c r="C125" s="1092">
        <f t="shared" si="12"/>
        <v>57914.529296072767</v>
      </c>
      <c r="D125" s="1112">
        <f t="shared" si="11"/>
        <v>-4651.5021298301399</v>
      </c>
    </row>
    <row r="126" spans="1:18" x14ac:dyDescent="0.25">
      <c r="A126" s="1935">
        <v>2029</v>
      </c>
      <c r="B126" s="1933">
        <v>73</v>
      </c>
      <c r="C126" s="1092">
        <f t="shared" si="12"/>
        <v>58718.897758518222</v>
      </c>
      <c r="D126" s="1112">
        <f t="shared" si="11"/>
        <v>-4716.1063260777801</v>
      </c>
    </row>
    <row r="127" spans="1:18" x14ac:dyDescent="0.25">
      <c r="A127" s="1935">
        <v>2030</v>
      </c>
      <c r="B127" s="1933">
        <v>75</v>
      </c>
      <c r="C127" s="1092">
        <f t="shared" si="12"/>
        <v>60327.634683409131</v>
      </c>
      <c r="D127" s="1112">
        <f t="shared" si="11"/>
        <v>-4845.3147185730622</v>
      </c>
    </row>
    <row r="128" spans="1:18" x14ac:dyDescent="0.25">
      <c r="A128" s="1935">
        <v>2031</v>
      </c>
      <c r="B128" s="1933">
        <v>76</v>
      </c>
      <c r="C128" s="1092">
        <f t="shared" si="12"/>
        <v>61132.003145854585</v>
      </c>
      <c r="D128" s="1112">
        <f t="shared" si="11"/>
        <v>-4909.9189148207033</v>
      </c>
    </row>
    <row r="129" spans="1:4" x14ac:dyDescent="0.25">
      <c r="A129" s="1935">
        <v>2032</v>
      </c>
      <c r="B129" s="1933">
        <v>77</v>
      </c>
      <c r="C129" s="1092">
        <f t="shared" si="12"/>
        <v>61936.37160830004</v>
      </c>
      <c r="D129" s="1112">
        <f t="shared" si="11"/>
        <v>-4974.5231110683435</v>
      </c>
    </row>
    <row r="130" spans="1:4" x14ac:dyDescent="0.25">
      <c r="A130" s="1935">
        <v>2033</v>
      </c>
      <c r="B130" s="1933">
        <v>78</v>
      </c>
      <c r="C130" s="1092">
        <f t="shared" si="12"/>
        <v>62740.740070745494</v>
      </c>
      <c r="D130" s="1112">
        <f t="shared" si="11"/>
        <v>-5039.1273073159846</v>
      </c>
    </row>
    <row r="131" spans="1:4" x14ac:dyDescent="0.25">
      <c r="A131" s="1935">
        <v>2034</v>
      </c>
      <c r="B131" s="1933">
        <v>79</v>
      </c>
      <c r="C131" s="1092">
        <f t="shared" si="12"/>
        <v>63545.108533190949</v>
      </c>
      <c r="D131" s="1112">
        <f t="shared" si="11"/>
        <v>-5103.7315035636257</v>
      </c>
    </row>
    <row r="132" spans="1:4" x14ac:dyDescent="0.25">
      <c r="A132" s="1935">
        <v>2035</v>
      </c>
      <c r="B132" s="1933">
        <v>80</v>
      </c>
      <c r="C132" s="1092">
        <f t="shared" si="12"/>
        <v>64349.476995636403</v>
      </c>
      <c r="D132" s="1112">
        <f t="shared" si="11"/>
        <v>-5168.3356998112667</v>
      </c>
    </row>
    <row r="133" spans="1:4" x14ac:dyDescent="0.25">
      <c r="A133" s="1935">
        <v>2036</v>
      </c>
      <c r="B133" s="1933">
        <v>81</v>
      </c>
      <c r="C133" s="1092">
        <f t="shared" si="12"/>
        <v>65153.845458081858</v>
      </c>
      <c r="D133" s="1112">
        <f t="shared" si="11"/>
        <v>-5232.9398960589069</v>
      </c>
    </row>
    <row r="134" spans="1:4" x14ac:dyDescent="0.25">
      <c r="A134" s="1935">
        <v>2037</v>
      </c>
      <c r="B134" s="1933">
        <v>83</v>
      </c>
      <c r="C134" s="1092">
        <f t="shared" si="12"/>
        <v>66762.582382972774</v>
      </c>
      <c r="D134" s="1112">
        <f t="shared" si="11"/>
        <v>-5362.1482885541891</v>
      </c>
    </row>
    <row r="135" spans="1:4" x14ac:dyDescent="0.25">
      <c r="A135" s="1935">
        <v>2038</v>
      </c>
      <c r="B135" s="1933">
        <v>84</v>
      </c>
      <c r="C135" s="1092">
        <f t="shared" si="12"/>
        <v>67566.950845418221</v>
      </c>
      <c r="D135" s="1112">
        <f t="shared" si="11"/>
        <v>-5426.7524848018293</v>
      </c>
    </row>
    <row r="136" spans="1:4" x14ac:dyDescent="0.25">
      <c r="A136" s="1935">
        <v>2039</v>
      </c>
      <c r="B136" s="1933">
        <v>85</v>
      </c>
      <c r="C136" s="1092">
        <f t="shared" si="12"/>
        <v>68371.319307863683</v>
      </c>
      <c r="D136" s="1112">
        <f t="shared" si="11"/>
        <v>-5491.3566810494704</v>
      </c>
    </row>
    <row r="137" spans="1:4" x14ac:dyDescent="0.25">
      <c r="A137" s="1935">
        <v>2040</v>
      </c>
      <c r="B137" s="1933">
        <v>86</v>
      </c>
      <c r="C137" s="1092">
        <f t="shared" si="12"/>
        <v>69175.68777030913</v>
      </c>
      <c r="D137" s="1112">
        <f t="shared" si="11"/>
        <v>-5555.9608772971114</v>
      </c>
    </row>
    <row r="138" spans="1:4" x14ac:dyDescent="0.25">
      <c r="A138" s="1935">
        <v>2041</v>
      </c>
      <c r="B138" s="1933">
        <v>87</v>
      </c>
      <c r="C138" s="1092">
        <f t="shared" si="12"/>
        <v>69980.056232754592</v>
      </c>
      <c r="D138" s="1112">
        <f t="shared" si="11"/>
        <v>-5620.5650735447525</v>
      </c>
    </row>
    <row r="139" spans="1:4" x14ac:dyDescent="0.25">
      <c r="A139" s="1935">
        <v>2042</v>
      </c>
      <c r="B139" s="1933">
        <v>88</v>
      </c>
      <c r="C139" s="1092">
        <f t="shared" si="12"/>
        <v>70784.424695200039</v>
      </c>
      <c r="D139" s="1112">
        <f t="shared" si="11"/>
        <v>-5685.1692697923927</v>
      </c>
    </row>
    <row r="140" spans="1:4" x14ac:dyDescent="0.25">
      <c r="A140" s="1935">
        <v>2043</v>
      </c>
      <c r="B140" s="1933">
        <v>89</v>
      </c>
      <c r="C140" s="1092">
        <f t="shared" si="12"/>
        <v>71588.793157645501</v>
      </c>
      <c r="D140" s="1112">
        <f t="shared" si="11"/>
        <v>-5749.7734660400338</v>
      </c>
    </row>
    <row r="141" spans="1:4" x14ac:dyDescent="0.25">
      <c r="A141" s="1935">
        <v>2044</v>
      </c>
      <c r="B141" s="1933">
        <v>90</v>
      </c>
      <c r="C141" s="1092">
        <f t="shared" si="12"/>
        <v>72393.161620090963</v>
      </c>
      <c r="D141" s="1112">
        <f t="shared" si="11"/>
        <v>-5814.3776622876749</v>
      </c>
    </row>
    <row r="142" spans="1:4" x14ac:dyDescent="0.25">
      <c r="A142" s="1935">
        <v>2045</v>
      </c>
      <c r="B142" s="1933">
        <v>92</v>
      </c>
      <c r="C142" s="1092">
        <f t="shared" si="12"/>
        <v>74001.898544981872</v>
      </c>
      <c r="D142" s="1112">
        <f t="shared" si="11"/>
        <v>-5943.5860547829561</v>
      </c>
    </row>
    <row r="143" spans="1:4" x14ac:dyDescent="0.25">
      <c r="A143" s="1935">
        <v>2046</v>
      </c>
      <c r="B143" s="1933">
        <v>93</v>
      </c>
      <c r="C143" s="1092">
        <f t="shared" si="12"/>
        <v>74806.267007427319</v>
      </c>
      <c r="D143" s="1112">
        <f t="shared" si="11"/>
        <v>-6008.1902510305972</v>
      </c>
    </row>
    <row r="144" spans="1:4" x14ac:dyDescent="0.25">
      <c r="A144" s="1935">
        <v>2047</v>
      </c>
      <c r="B144" s="1933">
        <v>94</v>
      </c>
      <c r="C144" s="1092">
        <f t="shared" si="12"/>
        <v>75610.635469872781</v>
      </c>
      <c r="D144" s="1112">
        <f t="shared" si="11"/>
        <v>-6072.7944472782383</v>
      </c>
    </row>
    <row r="145" spans="1:4" x14ac:dyDescent="0.25">
      <c r="A145" s="1935">
        <v>2048</v>
      </c>
      <c r="B145" s="1933">
        <v>95</v>
      </c>
      <c r="C145" s="1092">
        <f t="shared" si="12"/>
        <v>76415.003932318228</v>
      </c>
      <c r="D145" s="1112">
        <f t="shared" si="11"/>
        <v>-6137.3986435258785</v>
      </c>
    </row>
    <row r="146" spans="1:4" x14ac:dyDescent="0.25">
      <c r="A146" s="1935">
        <v>2049</v>
      </c>
      <c r="B146" s="1933">
        <v>96</v>
      </c>
      <c r="C146" s="1092">
        <f t="shared" si="12"/>
        <v>77219.37239476369</v>
      </c>
      <c r="D146" s="1112">
        <f t="shared" si="11"/>
        <v>-6202.0028397735196</v>
      </c>
    </row>
    <row r="147" spans="1:4" x14ac:dyDescent="0.25">
      <c r="A147" s="1935">
        <v>2050</v>
      </c>
      <c r="B147" s="1933">
        <v>97</v>
      </c>
      <c r="C147" s="1092">
        <f t="shared" si="12"/>
        <v>78023.740857209137</v>
      </c>
      <c r="D147" s="1112">
        <f t="shared" si="11"/>
        <v>-6266.6070360211606</v>
      </c>
    </row>
    <row r="148" spans="1:4" x14ac:dyDescent="0.25">
      <c r="A148" s="1935">
        <v>2051</v>
      </c>
      <c r="B148" s="1933">
        <v>97</v>
      </c>
      <c r="C148" s="1092">
        <f t="shared" ref="C148:C166" si="13">($D$32/1000)*B148</f>
        <v>78023.740857209137</v>
      </c>
      <c r="D148" s="1112">
        <f t="shared" ref="D148:D166" si="14">($D$33/1000)*B148</f>
        <v>-6266.6070360211606</v>
      </c>
    </row>
    <row r="149" spans="1:4" x14ac:dyDescent="0.25">
      <c r="A149" s="1935">
        <v>2052</v>
      </c>
      <c r="B149" s="1933">
        <v>97</v>
      </c>
      <c r="C149" s="1092">
        <f t="shared" si="13"/>
        <v>78023.740857209137</v>
      </c>
      <c r="D149" s="1112">
        <f t="shared" si="14"/>
        <v>-6266.6070360211606</v>
      </c>
    </row>
    <row r="150" spans="1:4" x14ac:dyDescent="0.25">
      <c r="A150" s="1935">
        <v>2053</v>
      </c>
      <c r="B150" s="1933">
        <v>97</v>
      </c>
      <c r="C150" s="1092">
        <f t="shared" si="13"/>
        <v>78023.740857209137</v>
      </c>
      <c r="D150" s="1112">
        <f t="shared" si="14"/>
        <v>-6266.6070360211606</v>
      </c>
    </row>
    <row r="151" spans="1:4" x14ac:dyDescent="0.25">
      <c r="A151" s="1935">
        <v>2054</v>
      </c>
      <c r="B151" s="1933">
        <v>97</v>
      </c>
      <c r="C151" s="1092">
        <f t="shared" si="13"/>
        <v>78023.740857209137</v>
      </c>
      <c r="D151" s="1112">
        <f t="shared" si="14"/>
        <v>-6266.6070360211606</v>
      </c>
    </row>
    <row r="152" spans="1:4" x14ac:dyDescent="0.25">
      <c r="A152" s="1935">
        <v>2055</v>
      </c>
      <c r="B152" s="1933">
        <v>97</v>
      </c>
      <c r="C152" s="1092">
        <f t="shared" si="13"/>
        <v>78023.740857209137</v>
      </c>
      <c r="D152" s="1112">
        <f t="shared" si="14"/>
        <v>-6266.6070360211606</v>
      </c>
    </row>
    <row r="153" spans="1:4" x14ac:dyDescent="0.25">
      <c r="A153" s="1935">
        <v>2056</v>
      </c>
      <c r="B153" s="1933">
        <v>97</v>
      </c>
      <c r="C153" s="1092">
        <f t="shared" si="13"/>
        <v>78023.740857209137</v>
      </c>
      <c r="D153" s="1112">
        <f t="shared" si="14"/>
        <v>-6266.6070360211606</v>
      </c>
    </row>
    <row r="154" spans="1:4" x14ac:dyDescent="0.25">
      <c r="A154" s="1935">
        <v>2057</v>
      </c>
      <c r="B154" s="1933">
        <v>97</v>
      </c>
      <c r="C154" s="1092">
        <f t="shared" si="13"/>
        <v>78023.740857209137</v>
      </c>
      <c r="D154" s="1112">
        <f t="shared" si="14"/>
        <v>-6266.6070360211606</v>
      </c>
    </row>
    <row r="155" spans="1:4" x14ac:dyDescent="0.25">
      <c r="A155" s="1935">
        <v>2058</v>
      </c>
      <c r="B155" s="1933">
        <v>97</v>
      </c>
      <c r="C155" s="1092">
        <f t="shared" si="13"/>
        <v>78023.740857209137</v>
      </c>
      <c r="D155" s="1112">
        <f t="shared" si="14"/>
        <v>-6266.6070360211606</v>
      </c>
    </row>
    <row r="156" spans="1:4" x14ac:dyDescent="0.25">
      <c r="A156" s="1935">
        <v>2059</v>
      </c>
      <c r="B156" s="1933">
        <v>97</v>
      </c>
      <c r="C156" s="1092">
        <f t="shared" si="13"/>
        <v>78023.740857209137</v>
      </c>
      <c r="D156" s="1112">
        <f t="shared" si="14"/>
        <v>-6266.6070360211606</v>
      </c>
    </row>
    <row r="157" spans="1:4" x14ac:dyDescent="0.25">
      <c r="A157" s="1935">
        <v>2060</v>
      </c>
      <c r="B157" s="1933">
        <v>97</v>
      </c>
      <c r="C157" s="1092">
        <f t="shared" si="13"/>
        <v>78023.740857209137</v>
      </c>
      <c r="D157" s="1112">
        <f t="shared" si="14"/>
        <v>-6266.6070360211606</v>
      </c>
    </row>
    <row r="158" spans="1:4" x14ac:dyDescent="0.25">
      <c r="A158" s="1935">
        <v>2061</v>
      </c>
      <c r="B158" s="1933">
        <v>97</v>
      </c>
      <c r="C158" s="1092">
        <f t="shared" si="13"/>
        <v>78023.740857209137</v>
      </c>
      <c r="D158" s="1112">
        <f t="shared" si="14"/>
        <v>-6266.6070360211606</v>
      </c>
    </row>
    <row r="159" spans="1:4" x14ac:dyDescent="0.25">
      <c r="A159" s="1935">
        <v>2062</v>
      </c>
      <c r="B159" s="1933">
        <v>97</v>
      </c>
      <c r="C159" s="1092">
        <f t="shared" si="13"/>
        <v>78023.740857209137</v>
      </c>
      <c r="D159" s="1112">
        <f t="shared" si="14"/>
        <v>-6266.6070360211606</v>
      </c>
    </row>
    <row r="160" spans="1:4" x14ac:dyDescent="0.25">
      <c r="A160" s="1935">
        <v>2063</v>
      </c>
      <c r="B160" s="1933">
        <v>97</v>
      </c>
      <c r="C160" s="1092">
        <f t="shared" si="13"/>
        <v>78023.740857209137</v>
      </c>
      <c r="D160" s="1112">
        <f t="shared" si="14"/>
        <v>-6266.6070360211606</v>
      </c>
    </row>
    <row r="161" spans="1:18" x14ac:dyDescent="0.25">
      <c r="A161" s="1935">
        <v>2064</v>
      </c>
      <c r="B161" s="1933">
        <v>97</v>
      </c>
      <c r="C161" s="1092">
        <f t="shared" si="13"/>
        <v>78023.740857209137</v>
      </c>
      <c r="D161" s="1112">
        <f t="shared" si="14"/>
        <v>-6266.6070360211606</v>
      </c>
    </row>
    <row r="162" spans="1:18" x14ac:dyDescent="0.25">
      <c r="A162" s="1935">
        <v>2065</v>
      </c>
      <c r="B162" s="1933">
        <v>97</v>
      </c>
      <c r="C162" s="1092">
        <f t="shared" si="13"/>
        <v>78023.740857209137</v>
      </c>
      <c r="D162" s="1112">
        <f t="shared" si="14"/>
        <v>-6266.6070360211606</v>
      </c>
    </row>
    <row r="163" spans="1:18" x14ac:dyDescent="0.25">
      <c r="A163" s="1935">
        <v>2066</v>
      </c>
      <c r="B163" s="1933">
        <v>97</v>
      </c>
      <c r="C163" s="1092">
        <f t="shared" si="13"/>
        <v>78023.740857209137</v>
      </c>
      <c r="D163" s="1112">
        <f t="shared" si="14"/>
        <v>-6266.6070360211606</v>
      </c>
    </row>
    <row r="164" spans="1:18" x14ac:dyDescent="0.25">
      <c r="A164" s="1935">
        <v>2067</v>
      </c>
      <c r="B164" s="1933">
        <v>97</v>
      </c>
      <c r="C164" s="1092">
        <f t="shared" si="13"/>
        <v>78023.740857209137</v>
      </c>
      <c r="D164" s="1112">
        <f t="shared" si="14"/>
        <v>-6266.6070360211606</v>
      </c>
    </row>
    <row r="165" spans="1:18" x14ac:dyDescent="0.25">
      <c r="A165" s="1935">
        <v>2068</v>
      </c>
      <c r="B165" s="1933">
        <v>97</v>
      </c>
      <c r="C165" s="1092">
        <f t="shared" si="13"/>
        <v>78023.740857209137</v>
      </c>
      <c r="D165" s="1112">
        <f t="shared" si="14"/>
        <v>-6266.6070360211606</v>
      </c>
    </row>
    <row r="166" spans="1:18" ht="15.75" thickBot="1" x14ac:dyDescent="0.3">
      <c r="A166" s="1926">
        <v>2069</v>
      </c>
      <c r="B166" s="1073">
        <v>97</v>
      </c>
      <c r="C166" s="1113">
        <f t="shared" si="13"/>
        <v>78023.740857209137</v>
      </c>
      <c r="D166" s="1114">
        <f t="shared" si="14"/>
        <v>-6266.6070360211606</v>
      </c>
    </row>
    <row r="167" spans="1:18" ht="15.75" thickBot="1" x14ac:dyDescent="0.3">
      <c r="A167" s="408" t="s">
        <v>1098</v>
      </c>
      <c r="B167" s="1115"/>
      <c r="C167" s="1116">
        <f>SUM(C116:C166)</f>
        <v>3535199.3924477734</v>
      </c>
      <c r="D167" s="1084">
        <f>SUM(D116:D166)</f>
        <v>-283935.4425083815</v>
      </c>
    </row>
    <row r="168" spans="1:18" ht="15.75" thickBot="1" x14ac:dyDescent="0.3"/>
    <row r="169" spans="1:18" ht="58.5" customHeight="1" thickBot="1" x14ac:dyDescent="0.3">
      <c r="A169" s="2627" t="s">
        <v>1328</v>
      </c>
      <c r="B169" s="2628"/>
      <c r="C169" s="2628"/>
      <c r="D169" s="2628"/>
      <c r="E169" s="2628"/>
      <c r="F169" s="2628"/>
      <c r="G169" s="2628"/>
      <c r="H169" s="2628"/>
      <c r="I169" s="2628"/>
      <c r="J169" s="2628"/>
      <c r="K169" s="2628"/>
      <c r="L169" s="2628"/>
      <c r="M169" s="2628"/>
      <c r="N169" s="2628"/>
      <c r="O169" s="2628"/>
      <c r="P169" s="2628"/>
      <c r="Q169" s="2628"/>
      <c r="R169" s="2629"/>
    </row>
    <row r="170" spans="1:18" ht="66.75" thickBot="1" x14ac:dyDescent="0.3">
      <c r="A170" s="861" t="s">
        <v>1115</v>
      </c>
      <c r="B170" s="1071" t="s">
        <v>177</v>
      </c>
      <c r="C170" s="821" t="s">
        <v>1244</v>
      </c>
      <c r="D170" s="821" t="s">
        <v>1252</v>
      </c>
      <c r="E170" s="821" t="s">
        <v>1247</v>
      </c>
      <c r="F170" s="821" t="s">
        <v>1241</v>
      </c>
      <c r="G170" s="821" t="s">
        <v>1242</v>
      </c>
      <c r="H170" s="1028" t="s">
        <v>272</v>
      </c>
      <c r="I170" s="821" t="s">
        <v>1080</v>
      </c>
      <c r="J170" s="821" t="s">
        <v>273</v>
      </c>
      <c r="K170" s="821" t="s">
        <v>455</v>
      </c>
      <c r="L170" s="821" t="s">
        <v>274</v>
      </c>
      <c r="M170" s="821" t="s">
        <v>1117</v>
      </c>
      <c r="N170" s="821" t="s">
        <v>1079</v>
      </c>
      <c r="O170" s="821" t="s">
        <v>271</v>
      </c>
      <c r="P170" s="821" t="s">
        <v>277</v>
      </c>
      <c r="Q170" s="821" t="s">
        <v>278</v>
      </c>
      <c r="R170" s="836" t="s">
        <v>316</v>
      </c>
    </row>
    <row r="171" spans="1:18" x14ac:dyDescent="0.25">
      <c r="A171" s="2806" t="s">
        <v>1258</v>
      </c>
      <c r="B171" s="888">
        <v>2019</v>
      </c>
      <c r="C171" s="1055">
        <f>$L$37</f>
        <v>9.0850592176570188</v>
      </c>
      <c r="D171" s="1055">
        <f>$K$37</f>
        <v>1.3600388050384762E-2</v>
      </c>
      <c r="E171" s="1055">
        <f>$H$37</f>
        <v>0.18909979545254973</v>
      </c>
      <c r="F171" s="1055">
        <f>$I$37</f>
        <v>0.85573641613020923</v>
      </c>
      <c r="G171" s="1055">
        <f>$J$37</f>
        <v>5.0593443547431317E-2</v>
      </c>
      <c r="H171" s="1056">
        <v>62</v>
      </c>
      <c r="I171" s="1056">
        <f>'Emission-Waste Transport Vehicl'!N33</f>
        <v>32.602537440000006</v>
      </c>
      <c r="J171" s="1056">
        <f>'Emission-Waste Transport Vehicl'!P33</f>
        <v>18.139508640000003</v>
      </c>
      <c r="K171" s="1056">
        <f>'Emission-Waste Transport Vehicl'!Q33</f>
        <v>14.087652480000001</v>
      </c>
      <c r="L171" s="1056">
        <f>'Emission-Waste Transport Vehicl'!R33</f>
        <v>1.4021409600000001</v>
      </c>
      <c r="M171" s="1056">
        <f t="shared" ref="M171:M202" si="15">(C171/1000)*H171</f>
        <v>0.56327367149473517</v>
      </c>
      <c r="N171" s="1057">
        <f t="shared" ref="N171:N202" si="16">D171*I171</f>
        <v>0.44340716061119789</v>
      </c>
      <c r="O171" s="1057">
        <f t="shared" ref="O171:O202" si="17">E171*J171</f>
        <v>3.4301773734337591</v>
      </c>
      <c r="P171" s="1057">
        <f t="shared" ref="P171:P202" si="18">F171*K171</f>
        <v>12.055317244923055</v>
      </c>
      <c r="Q171" s="1057">
        <f t="shared" ref="Q171:Q221" si="19">G171*L171</f>
        <v>7.093913950530116E-2</v>
      </c>
      <c r="R171" s="2772">
        <f>(SUM(M171:M221)*1.2682)+(SUM(N171:N221))+(SUM(O171:O221))+(SUM(P171:P221))+(SUM(Q171:Q221))</f>
        <v>569.39297567370227</v>
      </c>
    </row>
    <row r="172" spans="1:18" x14ac:dyDescent="0.25">
      <c r="A172" s="2802"/>
      <c r="B172" s="706">
        <v>2020</v>
      </c>
      <c r="C172" s="1058">
        <f t="shared" ref="C172:C221" si="20">$L$37</f>
        <v>9.0850592176570188</v>
      </c>
      <c r="D172" s="1058">
        <f t="shared" ref="D172:D221" si="21">$K$37</f>
        <v>1.3600388050384762E-2</v>
      </c>
      <c r="E172" s="1058">
        <f t="shared" ref="E172:E221" si="22">$H$37</f>
        <v>0.18909979545254973</v>
      </c>
      <c r="F172" s="1058">
        <f t="shared" ref="F172:F221" si="23">$I$37</f>
        <v>0.85573641613020923</v>
      </c>
      <c r="G172" s="1058">
        <f t="shared" ref="G172:G221" si="24">$J$37</f>
        <v>5.0593443547431317E-2</v>
      </c>
      <c r="H172" s="1933">
        <v>64</v>
      </c>
      <c r="I172" s="1933">
        <f>'Emission-Waste Transport Vehicl'!N34</f>
        <v>31.963527706176006</v>
      </c>
      <c r="J172" s="1933">
        <f>'Emission-Waste Transport Vehicl'!P34</f>
        <v>17.783974270656003</v>
      </c>
      <c r="K172" s="1933">
        <f>'Emission-Waste Transport Vehicl'!Q34</f>
        <v>13.811534491392001</v>
      </c>
      <c r="L172" s="1933">
        <f>'Emission-Waste Transport Vehicl'!R34</f>
        <v>1.3746589971840002</v>
      </c>
      <c r="M172" s="1933">
        <f t="shared" si="15"/>
        <v>0.58144378993004919</v>
      </c>
      <c r="N172" s="830">
        <f t="shared" si="16"/>
        <v>0.4347163802632184</v>
      </c>
      <c r="O172" s="830">
        <f t="shared" si="17"/>
        <v>3.3629458969144577</v>
      </c>
      <c r="P172" s="830">
        <f t="shared" si="18"/>
        <v>11.819033026922563</v>
      </c>
      <c r="Q172" s="830">
        <f t="shared" si="19"/>
        <v>6.9548732370997263E-2</v>
      </c>
      <c r="R172" s="2773"/>
    </row>
    <row r="173" spans="1:18" x14ac:dyDescent="0.25">
      <c r="A173" s="2802"/>
      <c r="B173" s="706">
        <v>2021</v>
      </c>
      <c r="C173" s="1058">
        <f t="shared" si="20"/>
        <v>9.0850592176570188</v>
      </c>
      <c r="D173" s="1058">
        <f t="shared" si="21"/>
        <v>1.3600388050384762E-2</v>
      </c>
      <c r="E173" s="1058">
        <f t="shared" si="22"/>
        <v>0.18909979545254973</v>
      </c>
      <c r="F173" s="1058">
        <f t="shared" si="23"/>
        <v>0.85573641613020923</v>
      </c>
      <c r="G173" s="1058">
        <f t="shared" si="24"/>
        <v>5.0593443547431317E-2</v>
      </c>
      <c r="H173" s="1933">
        <v>65</v>
      </c>
      <c r="I173" s="1933">
        <f>'Emission-Waste Transport Vehicl'!N35</f>
        <v>31.337558987328006</v>
      </c>
      <c r="J173" s="1933">
        <f>'Emission-Waste Transport Vehicl'!P35</f>
        <v>17.435695704768001</v>
      </c>
      <c r="K173" s="1933">
        <f>'Emission-Waste Transport Vehicl'!Q35</f>
        <v>13.541051563776001</v>
      </c>
      <c r="L173" s="1933">
        <f>'Emission-Waste Transport Vehicl'!R35</f>
        <v>1.3477378907520003</v>
      </c>
      <c r="M173" s="1933">
        <f t="shared" si="15"/>
        <v>0.5905288491477062</v>
      </c>
      <c r="N173" s="830">
        <f t="shared" si="16"/>
        <v>0.42620296277948339</v>
      </c>
      <c r="O173" s="830">
        <f t="shared" si="17"/>
        <v>3.2970864913445292</v>
      </c>
      <c r="P173" s="830">
        <f t="shared" si="18"/>
        <v>11.587570935820041</v>
      </c>
      <c r="Q173" s="830">
        <f t="shared" si="19"/>
        <v>6.8186700892495483E-2</v>
      </c>
      <c r="R173" s="2773"/>
    </row>
    <row r="174" spans="1:18" x14ac:dyDescent="0.25">
      <c r="A174" s="2802"/>
      <c r="B174" s="706">
        <v>2022</v>
      </c>
      <c r="C174" s="1058">
        <f t="shared" si="20"/>
        <v>9.0850592176570188</v>
      </c>
      <c r="D174" s="1058">
        <f t="shared" si="21"/>
        <v>1.3600388050384762E-2</v>
      </c>
      <c r="E174" s="1058">
        <f t="shared" si="22"/>
        <v>0.18909979545254973</v>
      </c>
      <c r="F174" s="1058">
        <f t="shared" si="23"/>
        <v>0.85573641613020923</v>
      </c>
      <c r="G174" s="1058">
        <f t="shared" si="24"/>
        <v>5.0593443547431317E-2</v>
      </c>
      <c r="H174" s="1933">
        <v>66</v>
      </c>
      <c r="I174" s="1933">
        <f>'Emission-Waste Transport Vehicl'!N36</f>
        <v>30.721371029712003</v>
      </c>
      <c r="J174" s="1933">
        <f>'Emission-Waste Transport Vehicl'!P36</f>
        <v>17.092858991472003</v>
      </c>
      <c r="K174" s="1933">
        <f>'Emission-Waste Transport Vehicl'!Q36</f>
        <v>13.274794931903999</v>
      </c>
      <c r="L174" s="1933">
        <f>'Emission-Waste Transport Vehicl'!R36</f>
        <v>1.3212374266080003</v>
      </c>
      <c r="M174" s="1933">
        <f t="shared" si="15"/>
        <v>0.59961390836536321</v>
      </c>
      <c r="N174" s="830">
        <f t="shared" si="16"/>
        <v>0.41782256744393176</v>
      </c>
      <c r="O174" s="830">
        <f t="shared" si="17"/>
        <v>3.2322561389866311</v>
      </c>
      <c r="P174" s="830">
        <f t="shared" si="18"/>
        <v>11.359725439890994</v>
      </c>
      <c r="Q174" s="830">
        <f t="shared" si="19"/>
        <v>6.6845951155845296E-2</v>
      </c>
      <c r="R174" s="2773"/>
    </row>
    <row r="175" spans="1:18" x14ac:dyDescent="0.25">
      <c r="A175" s="2802"/>
      <c r="B175" s="706">
        <v>2023</v>
      </c>
      <c r="C175" s="1058">
        <f t="shared" si="20"/>
        <v>9.0850592176570188</v>
      </c>
      <c r="D175" s="1058">
        <f t="shared" si="21"/>
        <v>1.3600388050384762E-2</v>
      </c>
      <c r="E175" s="1058">
        <f t="shared" si="22"/>
        <v>0.18909979545254973</v>
      </c>
      <c r="F175" s="1058">
        <f t="shared" si="23"/>
        <v>0.85573641613020923</v>
      </c>
      <c r="G175" s="1058">
        <f t="shared" si="24"/>
        <v>5.0593443547431317E-2</v>
      </c>
      <c r="H175" s="1933">
        <v>67</v>
      </c>
      <c r="I175" s="1933">
        <f>'Emission-Waste Transport Vehicl'!N37</f>
        <v>30.118224087072001</v>
      </c>
      <c r="J175" s="1933">
        <f>'Emission-Waste Transport Vehicl'!P37</f>
        <v>16.757278081632002</v>
      </c>
      <c r="K175" s="1933">
        <f>'Emission-Waste Transport Vehicl'!Q37</f>
        <v>13.014173361024</v>
      </c>
      <c r="L175" s="1933">
        <f>'Emission-Waste Transport Vehicl'!R37</f>
        <v>1.295297818848</v>
      </c>
      <c r="M175" s="1933">
        <f t="shared" si="15"/>
        <v>0.60869896758302022</v>
      </c>
      <c r="N175" s="830">
        <f t="shared" si="16"/>
        <v>0.40961953497262454</v>
      </c>
      <c r="O175" s="830">
        <f t="shared" si="17"/>
        <v>3.1687978575781064</v>
      </c>
      <c r="P175" s="830">
        <f t="shared" si="18"/>
        <v>11.136702070859917</v>
      </c>
      <c r="Q175" s="830">
        <f t="shared" si="19"/>
        <v>6.5533577074997199E-2</v>
      </c>
      <c r="R175" s="2773"/>
    </row>
    <row r="176" spans="1:18" x14ac:dyDescent="0.25">
      <c r="A176" s="2802"/>
      <c r="B176" s="706">
        <v>2024</v>
      </c>
      <c r="C176" s="1058">
        <f t="shared" si="20"/>
        <v>9.0850592176570188</v>
      </c>
      <c r="D176" s="1058">
        <f t="shared" si="21"/>
        <v>1.3600388050384762E-2</v>
      </c>
      <c r="E176" s="1058">
        <f t="shared" si="22"/>
        <v>0.18909979545254973</v>
      </c>
      <c r="F176" s="1058">
        <f t="shared" si="23"/>
        <v>0.85573641613020923</v>
      </c>
      <c r="G176" s="1058">
        <f t="shared" si="24"/>
        <v>5.0593443547431317E-2</v>
      </c>
      <c r="H176" s="1933">
        <v>68</v>
      </c>
      <c r="I176" s="1933">
        <f>'Emission-Waste Transport Vehicl'!N38</f>
        <v>29.528118159408002</v>
      </c>
      <c r="J176" s="1933">
        <f>'Emission-Waste Transport Vehicl'!P38</f>
        <v>16.428952975248002</v>
      </c>
      <c r="K176" s="1933">
        <f>'Emission-Waste Transport Vehicl'!Q38</f>
        <v>12.759186851135999</v>
      </c>
      <c r="L176" s="1933">
        <f>'Emission-Waste Transport Vehicl'!R38</f>
        <v>1.269919067472</v>
      </c>
      <c r="M176" s="1933">
        <f t="shared" si="15"/>
        <v>0.61778402680067723</v>
      </c>
      <c r="N176" s="830">
        <f t="shared" si="16"/>
        <v>0.40159386536556191</v>
      </c>
      <c r="O176" s="830">
        <f t="shared" si="17"/>
        <v>3.1067116471189555</v>
      </c>
      <c r="P176" s="830">
        <f t="shared" si="18"/>
        <v>10.91850082872681</v>
      </c>
      <c r="Q176" s="830">
        <f t="shared" si="19"/>
        <v>6.4249578649951261E-2</v>
      </c>
      <c r="R176" s="2773"/>
    </row>
    <row r="177" spans="1:18" x14ac:dyDescent="0.25">
      <c r="A177" s="2802"/>
      <c r="B177" s="706">
        <v>2025</v>
      </c>
      <c r="C177" s="1058">
        <f t="shared" si="20"/>
        <v>9.0850592176570188</v>
      </c>
      <c r="D177" s="1058">
        <f t="shared" si="21"/>
        <v>1.3600388050384762E-2</v>
      </c>
      <c r="E177" s="1058">
        <f t="shared" si="22"/>
        <v>0.18909979545254973</v>
      </c>
      <c r="F177" s="1058">
        <f t="shared" si="23"/>
        <v>0.85573641613020923</v>
      </c>
      <c r="G177" s="1058">
        <f t="shared" si="24"/>
        <v>5.0593443547431317E-2</v>
      </c>
      <c r="H177" s="1933">
        <v>69</v>
      </c>
      <c r="I177" s="1933">
        <f>'Emission-Waste Transport Vehicl'!N39</f>
        <v>28.951053246720004</v>
      </c>
      <c r="J177" s="1933">
        <f>'Emission-Waste Transport Vehicl'!P39</f>
        <v>16.10788367232</v>
      </c>
      <c r="K177" s="1933">
        <f>'Emission-Waste Transport Vehicl'!Q39</f>
        <v>12.50983540224</v>
      </c>
      <c r="L177" s="1933">
        <f>'Emission-Waste Transport Vehicl'!R39</f>
        <v>1.2451011724800001</v>
      </c>
      <c r="M177" s="1933">
        <f t="shared" si="15"/>
        <v>0.62686908601833424</v>
      </c>
      <c r="N177" s="830">
        <f t="shared" si="16"/>
        <v>0.39374555862274374</v>
      </c>
      <c r="O177" s="830">
        <f t="shared" si="17"/>
        <v>3.0459975076091776</v>
      </c>
      <c r="P177" s="830">
        <f t="shared" si="18"/>
        <v>10.705121713491673</v>
      </c>
      <c r="Q177" s="830">
        <f t="shared" si="19"/>
        <v>6.2993955880707428E-2</v>
      </c>
      <c r="R177" s="2773"/>
    </row>
    <row r="178" spans="1:18" x14ac:dyDescent="0.25">
      <c r="A178" s="2802"/>
      <c r="B178" s="706">
        <v>2026</v>
      </c>
      <c r="C178" s="1058">
        <f t="shared" si="20"/>
        <v>9.0850592176570188</v>
      </c>
      <c r="D178" s="1058">
        <f t="shared" si="21"/>
        <v>1.3600388050384762E-2</v>
      </c>
      <c r="E178" s="1058">
        <f t="shared" si="22"/>
        <v>0.18909979545254973</v>
      </c>
      <c r="F178" s="1058">
        <f t="shared" si="23"/>
        <v>0.85573641613020923</v>
      </c>
      <c r="G178" s="1058">
        <f t="shared" si="24"/>
        <v>5.0593443547431317E-2</v>
      </c>
      <c r="H178" s="1933">
        <v>70</v>
      </c>
      <c r="I178" s="1933">
        <f>'Emission-Waste Transport Vehicl'!N40</f>
        <v>28.383769095264007</v>
      </c>
      <c r="J178" s="1933">
        <f>'Emission-Waste Transport Vehicl'!P40</f>
        <v>15.792256221984003</v>
      </c>
      <c r="K178" s="1933">
        <f>'Emission-Waste Transport Vehicl'!Q40</f>
        <v>12.264710249088001</v>
      </c>
      <c r="L178" s="1933">
        <f>'Emission-Waste Transport Vehicl'!R40</f>
        <v>1.2207039197760001</v>
      </c>
      <c r="M178" s="1933">
        <f t="shared" si="15"/>
        <v>0.63595414523599125</v>
      </c>
      <c r="N178" s="830">
        <f t="shared" si="16"/>
        <v>0.38603027402810891</v>
      </c>
      <c r="O178" s="830">
        <f t="shared" si="17"/>
        <v>2.9863124213114309</v>
      </c>
      <c r="P178" s="830">
        <f t="shared" si="18"/>
        <v>10.495359193430012</v>
      </c>
      <c r="Q178" s="830">
        <f t="shared" si="19"/>
        <v>6.1759614853315187E-2</v>
      </c>
      <c r="R178" s="2773"/>
    </row>
    <row r="179" spans="1:18" x14ac:dyDescent="0.25">
      <c r="A179" s="2802"/>
      <c r="B179" s="706">
        <v>2027</v>
      </c>
      <c r="C179" s="1058">
        <f t="shared" si="20"/>
        <v>9.0850592176570188</v>
      </c>
      <c r="D179" s="1058">
        <f t="shared" si="21"/>
        <v>1.3600388050384762E-2</v>
      </c>
      <c r="E179" s="1058">
        <f t="shared" si="22"/>
        <v>0.18909979545254973</v>
      </c>
      <c r="F179" s="1058">
        <f t="shared" si="23"/>
        <v>0.85573641613020923</v>
      </c>
      <c r="G179" s="1058">
        <f t="shared" si="24"/>
        <v>5.0593443547431317E-2</v>
      </c>
      <c r="H179" s="1933">
        <v>71</v>
      </c>
      <c r="I179" s="1933">
        <f>'Emission-Waste Transport Vehicl'!N41</f>
        <v>27.826265705040004</v>
      </c>
      <c r="J179" s="1933">
        <f>'Emission-Waste Transport Vehicl'!P41</f>
        <v>15.482070624240002</v>
      </c>
      <c r="K179" s="1933">
        <f>'Emission-Waste Transport Vehicl'!Q41</f>
        <v>12.023811391680001</v>
      </c>
      <c r="L179" s="1933">
        <f>'Emission-Waste Transport Vehicl'!R41</f>
        <v>1.1967273093600002</v>
      </c>
      <c r="M179" s="1933">
        <f t="shared" si="15"/>
        <v>0.64503920445364837</v>
      </c>
      <c r="N179" s="830">
        <f t="shared" si="16"/>
        <v>0.37844801158165742</v>
      </c>
      <c r="O179" s="830">
        <f t="shared" si="17"/>
        <v>2.9276563882257132</v>
      </c>
      <c r="P179" s="830">
        <f t="shared" si="18"/>
        <v>10.289213268541827</v>
      </c>
      <c r="Q179" s="830">
        <f t="shared" si="19"/>
        <v>6.0546555567774545E-2</v>
      </c>
      <c r="R179" s="2773"/>
    </row>
    <row r="180" spans="1:18" x14ac:dyDescent="0.25">
      <c r="A180" s="2802"/>
      <c r="B180" s="706">
        <v>2028</v>
      </c>
      <c r="C180" s="1058">
        <f t="shared" si="20"/>
        <v>9.0850592176570188</v>
      </c>
      <c r="D180" s="1058">
        <f t="shared" si="21"/>
        <v>1.3600388050384762E-2</v>
      </c>
      <c r="E180" s="1058">
        <f t="shared" si="22"/>
        <v>0.18909979545254973</v>
      </c>
      <c r="F180" s="1058">
        <f t="shared" si="23"/>
        <v>0.85573641613020923</v>
      </c>
      <c r="G180" s="1058">
        <f t="shared" si="24"/>
        <v>5.0593443547431317E-2</v>
      </c>
      <c r="H180" s="1933">
        <v>72</v>
      </c>
      <c r="I180" s="1933">
        <f>'Emission-Waste Transport Vehicl'!N42</f>
        <v>27.281803329792002</v>
      </c>
      <c r="J180" s="1933">
        <f>'Emission-Waste Transport Vehicl'!P42</f>
        <v>15.179140829952001</v>
      </c>
      <c r="K180" s="1933">
        <f>'Emission-Waste Transport Vehicl'!Q42</f>
        <v>11.788547595263999</v>
      </c>
      <c r="L180" s="1933">
        <f>'Emission-Waste Transport Vehicl'!R42</f>
        <v>1.173311555328</v>
      </c>
      <c r="M180" s="1933">
        <f t="shared" si="15"/>
        <v>0.65412426367130538</v>
      </c>
      <c r="N180" s="830">
        <f t="shared" si="16"/>
        <v>0.37104311199945034</v>
      </c>
      <c r="O180" s="830">
        <f t="shared" si="17"/>
        <v>2.8703724260893693</v>
      </c>
      <c r="P180" s="830">
        <f t="shared" si="18"/>
        <v>10.087889470551611</v>
      </c>
      <c r="Q180" s="830">
        <f t="shared" si="19"/>
        <v>5.9361871938036007E-2</v>
      </c>
      <c r="R180" s="2773"/>
    </row>
    <row r="181" spans="1:18" x14ac:dyDescent="0.25">
      <c r="A181" s="2802"/>
      <c r="B181" s="706">
        <v>2029</v>
      </c>
      <c r="C181" s="1058">
        <f t="shared" si="20"/>
        <v>9.0850592176570188</v>
      </c>
      <c r="D181" s="1058">
        <f t="shared" si="21"/>
        <v>1.3600388050384762E-2</v>
      </c>
      <c r="E181" s="1058">
        <f t="shared" si="22"/>
        <v>0.18909979545254973</v>
      </c>
      <c r="F181" s="1058">
        <f t="shared" si="23"/>
        <v>0.85573641613020923</v>
      </c>
      <c r="G181" s="1058">
        <f t="shared" si="24"/>
        <v>5.0593443547431317E-2</v>
      </c>
      <c r="H181" s="1933">
        <v>73</v>
      </c>
      <c r="I181" s="1933">
        <f>'Emission-Waste Transport Vehicl'!N43</f>
        <v>26.743861462032005</v>
      </c>
      <c r="J181" s="1933">
        <f>'Emission-Waste Transport Vehicl'!P43</f>
        <v>14.879838937392002</v>
      </c>
      <c r="K181" s="1933">
        <f>'Emission-Waste Transport Vehicl'!Q43</f>
        <v>11.556101329344001</v>
      </c>
      <c r="L181" s="1933">
        <f>'Emission-Waste Transport Vehicl'!R43</f>
        <v>1.1501762294880002</v>
      </c>
      <c r="M181" s="1933">
        <f t="shared" si="15"/>
        <v>0.66320932288896239</v>
      </c>
      <c r="N181" s="830">
        <f t="shared" si="16"/>
        <v>0.36372689384936563</v>
      </c>
      <c r="O181" s="830">
        <f t="shared" si="17"/>
        <v>2.8137744994277125</v>
      </c>
      <c r="P181" s="830">
        <f t="shared" si="18"/>
        <v>9.8889767360103829</v>
      </c>
      <c r="Q181" s="830">
        <f t="shared" si="19"/>
        <v>5.8191376136198548E-2</v>
      </c>
      <c r="R181" s="2773"/>
    </row>
    <row r="182" spans="1:18" x14ac:dyDescent="0.25">
      <c r="A182" s="2802"/>
      <c r="B182" s="706">
        <v>2030</v>
      </c>
      <c r="C182" s="1058">
        <f t="shared" si="20"/>
        <v>9.0850592176570188</v>
      </c>
      <c r="D182" s="1058">
        <f t="shared" si="21"/>
        <v>1.3600388050384762E-2</v>
      </c>
      <c r="E182" s="1058">
        <f t="shared" si="22"/>
        <v>0.18909979545254973</v>
      </c>
      <c r="F182" s="1058">
        <f t="shared" si="23"/>
        <v>0.85573641613020923</v>
      </c>
      <c r="G182" s="1058">
        <f t="shared" si="24"/>
        <v>5.0593443547431317E-2</v>
      </c>
      <c r="H182" s="1933">
        <v>75</v>
      </c>
      <c r="I182" s="1933">
        <f>'Emission-Waste Transport Vehicl'!N44</f>
        <v>26.222220862992003</v>
      </c>
      <c r="J182" s="1933">
        <f>'Emission-Waste Transport Vehicl'!P44</f>
        <v>14.589606799152003</v>
      </c>
      <c r="K182" s="1933">
        <f>'Emission-Waste Transport Vehicl'!Q44</f>
        <v>11.330698889664001</v>
      </c>
      <c r="L182" s="1933">
        <f>'Emission-Waste Transport Vehicl'!R44</f>
        <v>1.1277419741280001</v>
      </c>
      <c r="M182" s="1933">
        <f t="shared" si="15"/>
        <v>0.68137944132427641</v>
      </c>
      <c r="N182" s="830">
        <f t="shared" si="16"/>
        <v>0.35663237927958646</v>
      </c>
      <c r="O182" s="830">
        <f t="shared" si="17"/>
        <v>2.7588916614527728</v>
      </c>
      <c r="P182" s="830">
        <f t="shared" si="18"/>
        <v>9.6960916600916125</v>
      </c>
      <c r="Q182" s="830">
        <f t="shared" si="19"/>
        <v>5.7056349904113728E-2</v>
      </c>
      <c r="R182" s="2773"/>
    </row>
    <row r="183" spans="1:18" x14ac:dyDescent="0.25">
      <c r="A183" s="2802"/>
      <c r="B183" s="706">
        <v>2031</v>
      </c>
      <c r="C183" s="1058">
        <f t="shared" si="20"/>
        <v>9.0850592176570188</v>
      </c>
      <c r="D183" s="1058">
        <f t="shared" si="21"/>
        <v>1.3600388050384762E-2</v>
      </c>
      <c r="E183" s="1058">
        <f t="shared" si="22"/>
        <v>0.18909979545254973</v>
      </c>
      <c r="F183" s="1058">
        <f t="shared" si="23"/>
        <v>0.85573641613020923</v>
      </c>
      <c r="G183" s="1058">
        <f t="shared" si="24"/>
        <v>5.0593443547431317E-2</v>
      </c>
      <c r="H183" s="1933">
        <v>76</v>
      </c>
      <c r="I183" s="1933">
        <f>'Emission-Waste Transport Vehicl'!N45</f>
        <v>25.70710077144</v>
      </c>
      <c r="J183" s="1933">
        <f>'Emission-Waste Transport Vehicl'!P45</f>
        <v>14.303002562640001</v>
      </c>
      <c r="K183" s="1933">
        <f>'Emission-Waste Transport Vehicl'!Q45</f>
        <v>11.108113980480001</v>
      </c>
      <c r="L183" s="1933">
        <f>'Emission-Waste Transport Vehicl'!R45</f>
        <v>1.1055881469600002</v>
      </c>
      <c r="M183" s="1933">
        <f t="shared" si="15"/>
        <v>0.69046450054193342</v>
      </c>
      <c r="N183" s="830">
        <f t="shared" si="16"/>
        <v>0.34962654614192951</v>
      </c>
      <c r="O183" s="830">
        <f t="shared" si="17"/>
        <v>2.7046948589525188</v>
      </c>
      <c r="P183" s="830">
        <f t="shared" si="18"/>
        <v>9.505617647621829</v>
      </c>
      <c r="Q183" s="830">
        <f t="shared" si="19"/>
        <v>5.5935511499929966E-2</v>
      </c>
      <c r="R183" s="2773"/>
    </row>
    <row r="184" spans="1:18" x14ac:dyDescent="0.25">
      <c r="A184" s="2802"/>
      <c r="B184" s="706">
        <v>2032</v>
      </c>
      <c r="C184" s="1058">
        <f t="shared" si="20"/>
        <v>9.0850592176570188</v>
      </c>
      <c r="D184" s="1058">
        <f t="shared" si="21"/>
        <v>1.3600388050384762E-2</v>
      </c>
      <c r="E184" s="1058">
        <f t="shared" si="22"/>
        <v>0.18909979545254973</v>
      </c>
      <c r="F184" s="1058">
        <f t="shared" si="23"/>
        <v>0.85573641613020923</v>
      </c>
      <c r="G184" s="1058">
        <f t="shared" si="24"/>
        <v>5.0593443547431317E-2</v>
      </c>
      <c r="H184" s="1933">
        <v>77</v>
      </c>
      <c r="I184" s="1933">
        <f>'Emission-Waste Transport Vehicl'!N46</f>
        <v>25.201761441120002</v>
      </c>
      <c r="J184" s="1933">
        <f>'Emission-Waste Transport Vehicl'!P46</f>
        <v>14.021840178720002</v>
      </c>
      <c r="K184" s="1933">
        <f>'Emission-Waste Transport Vehicl'!Q46</f>
        <v>10.889755367040001</v>
      </c>
      <c r="L184" s="1933">
        <f>'Emission-Waste Transport Vehicl'!R46</f>
        <v>1.0838549620800002</v>
      </c>
      <c r="M184" s="1933">
        <f t="shared" si="15"/>
        <v>0.69954955975959043</v>
      </c>
      <c r="N184" s="830">
        <f t="shared" si="16"/>
        <v>0.34275373515245594</v>
      </c>
      <c r="O184" s="830">
        <f t="shared" si="17"/>
        <v>2.6515271096642956</v>
      </c>
      <c r="P184" s="830">
        <f t="shared" si="18"/>
        <v>9.3187602303255215</v>
      </c>
      <c r="Q184" s="830">
        <f t="shared" si="19"/>
        <v>5.4835954837597803E-2</v>
      </c>
      <c r="R184" s="2773"/>
    </row>
    <row r="185" spans="1:18" x14ac:dyDescent="0.25">
      <c r="A185" s="2802"/>
      <c r="B185" s="706">
        <v>2033</v>
      </c>
      <c r="C185" s="1058">
        <f t="shared" si="20"/>
        <v>9.0850592176570188</v>
      </c>
      <c r="D185" s="1058">
        <f t="shared" si="21"/>
        <v>1.3600388050384762E-2</v>
      </c>
      <c r="E185" s="1058">
        <f t="shared" si="22"/>
        <v>0.18909979545254973</v>
      </c>
      <c r="F185" s="1058">
        <f t="shared" si="23"/>
        <v>0.85573641613020923</v>
      </c>
      <c r="G185" s="1058">
        <f t="shared" si="24"/>
        <v>5.0593443547431317E-2</v>
      </c>
      <c r="H185" s="1933">
        <v>78</v>
      </c>
      <c r="I185" s="1933">
        <f>'Emission-Waste Transport Vehicl'!N47</f>
        <v>24.709463125776001</v>
      </c>
      <c r="J185" s="1933">
        <f>'Emission-Waste Transport Vehicl'!P47</f>
        <v>13.747933598256003</v>
      </c>
      <c r="K185" s="1933">
        <f>'Emission-Waste Transport Vehicl'!Q47</f>
        <v>10.677031814592</v>
      </c>
      <c r="L185" s="1933">
        <f>'Emission-Waste Transport Vehicl'!R47</f>
        <v>1.0626826335840001</v>
      </c>
      <c r="M185" s="1933">
        <f t="shared" si="15"/>
        <v>0.70863461897724744</v>
      </c>
      <c r="N185" s="830">
        <f t="shared" si="16"/>
        <v>0.33605828702722684</v>
      </c>
      <c r="O185" s="830">
        <f t="shared" si="17"/>
        <v>2.5997314313254463</v>
      </c>
      <c r="P185" s="830">
        <f t="shared" si="18"/>
        <v>9.1367249399271824</v>
      </c>
      <c r="Q185" s="830">
        <f t="shared" si="19"/>
        <v>5.3764773831067744E-2</v>
      </c>
      <c r="R185" s="2773"/>
    </row>
    <row r="186" spans="1:18" x14ac:dyDescent="0.25">
      <c r="A186" s="2802"/>
      <c r="B186" s="706">
        <v>2034</v>
      </c>
      <c r="C186" s="1058">
        <f t="shared" si="20"/>
        <v>9.0850592176570188</v>
      </c>
      <c r="D186" s="1058">
        <f t="shared" si="21"/>
        <v>1.3600388050384762E-2</v>
      </c>
      <c r="E186" s="1058">
        <f t="shared" si="22"/>
        <v>0.18909979545254973</v>
      </c>
      <c r="F186" s="1058">
        <f t="shared" si="23"/>
        <v>0.85573641613020923</v>
      </c>
      <c r="G186" s="1058">
        <f t="shared" si="24"/>
        <v>5.0593443547431317E-2</v>
      </c>
      <c r="H186" s="1933">
        <v>79</v>
      </c>
      <c r="I186" s="1933">
        <f>'Emission-Waste Transport Vehicl'!N48</f>
        <v>24.223685317920005</v>
      </c>
      <c r="J186" s="1933">
        <f>'Emission-Waste Transport Vehicl'!P48</f>
        <v>13.477654919520001</v>
      </c>
      <c r="K186" s="1933">
        <f>'Emission-Waste Transport Vehicl'!Q48</f>
        <v>10.467125792640001</v>
      </c>
      <c r="L186" s="1933">
        <f>'Emission-Waste Transport Vehicl'!R48</f>
        <v>1.04179073328</v>
      </c>
      <c r="M186" s="1933">
        <f t="shared" si="15"/>
        <v>0.71771967819490445</v>
      </c>
      <c r="N186" s="830">
        <f t="shared" si="16"/>
        <v>0.32945152033412006</v>
      </c>
      <c r="O186" s="830">
        <f t="shared" si="17"/>
        <v>2.5486217884612827</v>
      </c>
      <c r="P186" s="830">
        <f t="shared" si="18"/>
        <v>8.9571007129778302</v>
      </c>
      <c r="Q186" s="830">
        <f t="shared" si="19"/>
        <v>5.2707780652438758E-2</v>
      </c>
      <c r="R186" s="2773"/>
    </row>
    <row r="187" spans="1:18" x14ac:dyDescent="0.25">
      <c r="A187" s="2802"/>
      <c r="B187" s="706">
        <v>2035</v>
      </c>
      <c r="C187" s="1058">
        <f t="shared" si="20"/>
        <v>9.0850592176570188</v>
      </c>
      <c r="D187" s="1058">
        <f t="shared" si="21"/>
        <v>1.3600388050384762E-2</v>
      </c>
      <c r="E187" s="1058">
        <f t="shared" si="22"/>
        <v>0.18909979545254973</v>
      </c>
      <c r="F187" s="1058">
        <f t="shared" si="23"/>
        <v>0.85573641613020923</v>
      </c>
      <c r="G187" s="1058">
        <f t="shared" si="24"/>
        <v>5.0593443547431317E-2</v>
      </c>
      <c r="H187" s="1933">
        <v>80</v>
      </c>
      <c r="I187" s="1933">
        <f>'Emission-Waste Transport Vehicl'!N49</f>
        <v>23.747688271296006</v>
      </c>
      <c r="J187" s="1933">
        <f>'Emission-Waste Transport Vehicl'!P49</f>
        <v>13.212818093376002</v>
      </c>
      <c r="K187" s="1933">
        <f>'Emission-Waste Transport Vehicl'!Q49</f>
        <v>10.261446066432002</v>
      </c>
      <c r="L187" s="1933">
        <f>'Emission-Waste Transport Vehicl'!R49</f>
        <v>1.0213194752640002</v>
      </c>
      <c r="M187" s="1933">
        <f t="shared" si="15"/>
        <v>0.72680473741256146</v>
      </c>
      <c r="N187" s="830">
        <f t="shared" si="16"/>
        <v>0.32297777578919656</v>
      </c>
      <c r="O187" s="830">
        <f t="shared" si="17"/>
        <v>2.4985411988091504</v>
      </c>
      <c r="P187" s="830">
        <f t="shared" si="18"/>
        <v>8.7810930812019539</v>
      </c>
      <c r="Q187" s="830">
        <f t="shared" si="19"/>
        <v>5.1672069215661372E-2</v>
      </c>
      <c r="R187" s="2773"/>
    </row>
    <row r="188" spans="1:18" x14ac:dyDescent="0.25">
      <c r="A188" s="2802"/>
      <c r="B188" s="706">
        <v>2036</v>
      </c>
      <c r="C188" s="1058">
        <f t="shared" si="20"/>
        <v>9.0850592176570188</v>
      </c>
      <c r="D188" s="1058">
        <f t="shared" si="21"/>
        <v>1.3600388050384762E-2</v>
      </c>
      <c r="E188" s="1058">
        <f t="shared" si="22"/>
        <v>0.18909979545254973</v>
      </c>
      <c r="F188" s="1058">
        <f t="shared" si="23"/>
        <v>0.85573641613020923</v>
      </c>
      <c r="G188" s="1058">
        <f t="shared" si="24"/>
        <v>5.0593443547431317E-2</v>
      </c>
      <c r="H188" s="1933">
        <v>81</v>
      </c>
      <c r="I188" s="1933">
        <f>'Emission-Waste Transport Vehicl'!N50</f>
        <v>23.284732239648001</v>
      </c>
      <c r="J188" s="1933">
        <f>'Emission-Waste Transport Vehicl'!P50</f>
        <v>12.955237070688</v>
      </c>
      <c r="K188" s="1933">
        <f>'Emission-Waste Transport Vehicl'!Q50</f>
        <v>10.061401401215999</v>
      </c>
      <c r="L188" s="1933">
        <f>'Emission-Waste Transport Vehicl'!R50</f>
        <v>1.001409073632</v>
      </c>
      <c r="M188" s="1933">
        <f t="shared" si="15"/>
        <v>0.73588979663021847</v>
      </c>
      <c r="N188" s="830">
        <f t="shared" si="16"/>
        <v>0.31668139410851748</v>
      </c>
      <c r="O188" s="830">
        <f t="shared" si="17"/>
        <v>2.4498326801063905</v>
      </c>
      <c r="P188" s="830">
        <f t="shared" si="18"/>
        <v>8.6099075763240442</v>
      </c>
      <c r="Q188" s="830">
        <f t="shared" si="19"/>
        <v>5.0664733434686089E-2</v>
      </c>
      <c r="R188" s="2773"/>
    </row>
    <row r="189" spans="1:18" x14ac:dyDescent="0.25">
      <c r="A189" s="2802"/>
      <c r="B189" s="706">
        <v>2037</v>
      </c>
      <c r="C189" s="1058">
        <f t="shared" si="20"/>
        <v>9.0850592176570188</v>
      </c>
      <c r="D189" s="1058">
        <f t="shared" si="21"/>
        <v>1.3600388050384762E-2</v>
      </c>
      <c r="E189" s="1058">
        <f t="shared" si="22"/>
        <v>0.18909979545254973</v>
      </c>
      <c r="F189" s="1058">
        <f t="shared" si="23"/>
        <v>0.85573641613020923</v>
      </c>
      <c r="G189" s="1058">
        <f t="shared" si="24"/>
        <v>5.0593443547431317E-2</v>
      </c>
      <c r="H189" s="1933">
        <v>83</v>
      </c>
      <c r="I189" s="1933">
        <f>'Emission-Waste Transport Vehicl'!N51</f>
        <v>22.828296715488005</v>
      </c>
      <c r="J189" s="1933">
        <f>'Emission-Waste Transport Vehicl'!P51</f>
        <v>12.701283949728003</v>
      </c>
      <c r="K189" s="1933">
        <f>'Emission-Waste Transport Vehicl'!Q51</f>
        <v>9.8641742664960006</v>
      </c>
      <c r="L189" s="1933">
        <f>'Emission-Waste Transport Vehicl'!R51</f>
        <v>0.9817791001920001</v>
      </c>
      <c r="M189" s="1933">
        <f t="shared" si="15"/>
        <v>0.75405991506553249</v>
      </c>
      <c r="N189" s="830">
        <f t="shared" si="16"/>
        <v>0.31047369385996076</v>
      </c>
      <c r="O189" s="830">
        <f t="shared" si="17"/>
        <v>2.4018101968783183</v>
      </c>
      <c r="P189" s="830">
        <f t="shared" si="18"/>
        <v>8.4411331348951233</v>
      </c>
      <c r="Q189" s="830">
        <f t="shared" si="19"/>
        <v>4.9671585481611873E-2</v>
      </c>
      <c r="R189" s="2773"/>
    </row>
    <row r="190" spans="1:18" x14ac:dyDescent="0.25">
      <c r="A190" s="2802"/>
      <c r="B190" s="706">
        <v>2038</v>
      </c>
      <c r="C190" s="1058">
        <f t="shared" si="20"/>
        <v>9.0850592176570188</v>
      </c>
      <c r="D190" s="1058">
        <f t="shared" si="21"/>
        <v>1.3600388050384762E-2</v>
      </c>
      <c r="E190" s="1058">
        <f t="shared" si="22"/>
        <v>0.18909979545254973</v>
      </c>
      <c r="F190" s="1058">
        <f t="shared" si="23"/>
        <v>0.85573641613020923</v>
      </c>
      <c r="G190" s="1058">
        <f t="shared" si="24"/>
        <v>5.0593443547431317E-2</v>
      </c>
      <c r="H190" s="1933">
        <v>84</v>
      </c>
      <c r="I190" s="1933">
        <f>'Emission-Waste Transport Vehicl'!N52</f>
        <v>22.378381698816003</v>
      </c>
      <c r="J190" s="1933">
        <f>'Emission-Waste Transport Vehicl'!P52</f>
        <v>12.450958730496001</v>
      </c>
      <c r="K190" s="1933">
        <f>'Emission-Waste Transport Vehicl'!Q52</f>
        <v>9.6697646622720015</v>
      </c>
      <c r="L190" s="1933">
        <f>'Emission-Waste Transport Vehicl'!R52</f>
        <v>0.96242955494400007</v>
      </c>
      <c r="M190" s="1933">
        <f t="shared" si="15"/>
        <v>0.76314497428318961</v>
      </c>
      <c r="N190" s="830">
        <f t="shared" si="16"/>
        <v>0.3043546750435262</v>
      </c>
      <c r="O190" s="830">
        <f t="shared" si="17"/>
        <v>2.3544737491249323</v>
      </c>
      <c r="P190" s="830">
        <f t="shared" si="18"/>
        <v>8.2747697569151857</v>
      </c>
      <c r="Q190" s="830">
        <f t="shared" si="19"/>
        <v>4.8692625356438715E-2</v>
      </c>
      <c r="R190" s="2773"/>
    </row>
    <row r="191" spans="1:18" x14ac:dyDescent="0.25">
      <c r="A191" s="2802"/>
      <c r="B191" s="706">
        <v>2039</v>
      </c>
      <c r="C191" s="1058">
        <f t="shared" si="20"/>
        <v>9.0850592176570188</v>
      </c>
      <c r="D191" s="1058">
        <f t="shared" si="21"/>
        <v>1.3600388050384762E-2</v>
      </c>
      <c r="E191" s="1058">
        <f t="shared" si="22"/>
        <v>0.18909979545254973</v>
      </c>
      <c r="F191" s="1058">
        <f t="shared" si="23"/>
        <v>0.85573641613020923</v>
      </c>
      <c r="G191" s="1058">
        <f t="shared" si="24"/>
        <v>5.0593443547431317E-2</v>
      </c>
      <c r="H191" s="1933">
        <v>85</v>
      </c>
      <c r="I191" s="1933">
        <f>'Emission-Waste Transport Vehicl'!N53</f>
        <v>21.941507697120006</v>
      </c>
      <c r="J191" s="1933">
        <f>'Emission-Waste Transport Vehicl'!P53</f>
        <v>12.207889314720003</v>
      </c>
      <c r="K191" s="1933">
        <f>'Emission-Waste Transport Vehicl'!Q53</f>
        <v>9.4809901190400012</v>
      </c>
      <c r="L191" s="1933">
        <f>'Emission-Waste Transport Vehicl'!R53</f>
        <v>0.9436408660800002</v>
      </c>
      <c r="M191" s="1933">
        <f t="shared" si="15"/>
        <v>0.77223003350084662</v>
      </c>
      <c r="N191" s="830">
        <f t="shared" si="16"/>
        <v>0.29841301909133622</v>
      </c>
      <c r="O191" s="830">
        <f t="shared" si="17"/>
        <v>2.3085093723209202</v>
      </c>
      <c r="P191" s="830">
        <f t="shared" si="18"/>
        <v>8.1132285058332165</v>
      </c>
      <c r="Q191" s="830">
        <f t="shared" si="19"/>
        <v>4.7742040887067683E-2</v>
      </c>
      <c r="R191" s="2773"/>
    </row>
    <row r="192" spans="1:18" x14ac:dyDescent="0.25">
      <c r="A192" s="2802"/>
      <c r="B192" s="706">
        <v>2040</v>
      </c>
      <c r="C192" s="1058">
        <f t="shared" si="20"/>
        <v>9.0850592176570188</v>
      </c>
      <c r="D192" s="1058">
        <f t="shared" si="21"/>
        <v>1.3600388050384762E-2</v>
      </c>
      <c r="E192" s="1058">
        <f t="shared" si="22"/>
        <v>0.18909979545254973</v>
      </c>
      <c r="F192" s="1058">
        <f t="shared" si="23"/>
        <v>0.85573641613020923</v>
      </c>
      <c r="G192" s="1058">
        <f t="shared" si="24"/>
        <v>5.0593443547431317E-2</v>
      </c>
      <c r="H192" s="1933">
        <v>86</v>
      </c>
      <c r="I192" s="1933">
        <f>'Emission-Waste Transport Vehicl'!N54</f>
        <v>21.511154202912003</v>
      </c>
      <c r="J192" s="1933">
        <f>'Emission-Waste Transport Vehicl'!P54</f>
        <v>11.968447800672001</v>
      </c>
      <c r="K192" s="1933">
        <f>'Emission-Waste Transport Vehicl'!Q54</f>
        <v>9.2950331063040004</v>
      </c>
      <c r="L192" s="1933">
        <f>'Emission-Waste Transport Vehicl'!R54</f>
        <v>0.92513260540800013</v>
      </c>
      <c r="M192" s="1933">
        <f t="shared" si="15"/>
        <v>0.78131509271850363</v>
      </c>
      <c r="N192" s="830">
        <f t="shared" si="16"/>
        <v>0.29256004457126839</v>
      </c>
      <c r="O192" s="830">
        <f t="shared" si="17"/>
        <v>2.263231030991594</v>
      </c>
      <c r="P192" s="830">
        <f t="shared" si="18"/>
        <v>7.9540983182002316</v>
      </c>
      <c r="Q192" s="830">
        <f t="shared" si="19"/>
        <v>4.6805644245597709E-2</v>
      </c>
      <c r="R192" s="2773"/>
    </row>
    <row r="193" spans="1:18" x14ac:dyDescent="0.25">
      <c r="A193" s="2802"/>
      <c r="B193" s="706">
        <v>2041</v>
      </c>
      <c r="C193" s="1058">
        <f t="shared" si="20"/>
        <v>9.0850592176570188</v>
      </c>
      <c r="D193" s="1058">
        <f t="shared" si="21"/>
        <v>1.3600388050384762E-2</v>
      </c>
      <c r="E193" s="1058">
        <f t="shared" si="22"/>
        <v>0.18909979545254973</v>
      </c>
      <c r="F193" s="1058">
        <f t="shared" si="23"/>
        <v>0.85573641613020923</v>
      </c>
      <c r="G193" s="1058">
        <f t="shared" si="24"/>
        <v>5.0593443547431317E-2</v>
      </c>
      <c r="H193" s="1933">
        <v>87</v>
      </c>
      <c r="I193" s="1933">
        <f>'Emission-Waste Transport Vehicl'!N55</f>
        <v>21.087321216192002</v>
      </c>
      <c r="J193" s="1933">
        <f>'Emission-Waste Transport Vehicl'!P55</f>
        <v>11.732634188352002</v>
      </c>
      <c r="K193" s="1933">
        <f>'Emission-Waste Transport Vehicl'!Q55</f>
        <v>9.1118936240640007</v>
      </c>
      <c r="L193" s="1933">
        <f>'Emission-Waste Transport Vehicl'!R55</f>
        <v>0.9069047729280002</v>
      </c>
      <c r="M193" s="1933">
        <f t="shared" si="15"/>
        <v>0.79040015193616064</v>
      </c>
      <c r="N193" s="830">
        <f t="shared" si="16"/>
        <v>0.28679575148332276</v>
      </c>
      <c r="O193" s="830">
        <f t="shared" si="17"/>
        <v>2.2186387251369553</v>
      </c>
      <c r="P193" s="830">
        <f t="shared" si="18"/>
        <v>7.7973791940162318</v>
      </c>
      <c r="Q193" s="830">
        <f t="shared" si="19"/>
        <v>4.5883435432028795E-2</v>
      </c>
      <c r="R193" s="2773"/>
    </row>
    <row r="194" spans="1:18" x14ac:dyDescent="0.25">
      <c r="A194" s="2802"/>
      <c r="B194" s="706">
        <v>2042</v>
      </c>
      <c r="C194" s="1058">
        <f t="shared" si="20"/>
        <v>9.0850592176570188</v>
      </c>
      <c r="D194" s="1058">
        <f t="shared" si="21"/>
        <v>1.3600388050384762E-2</v>
      </c>
      <c r="E194" s="1058">
        <f t="shared" si="22"/>
        <v>0.18909979545254973</v>
      </c>
      <c r="F194" s="1058">
        <f t="shared" si="23"/>
        <v>0.85573641613020923</v>
      </c>
      <c r="G194" s="1058">
        <f t="shared" si="24"/>
        <v>5.0593443547431317E-2</v>
      </c>
      <c r="H194" s="1933">
        <v>88</v>
      </c>
      <c r="I194" s="1933">
        <f>'Emission-Waste Transport Vehicl'!N56</f>
        <v>20.676529244448002</v>
      </c>
      <c r="J194" s="1933">
        <f>'Emission-Waste Transport Vehicl'!P56</f>
        <v>11.504076379488001</v>
      </c>
      <c r="K194" s="1933">
        <f>'Emission-Waste Transport Vehicl'!Q56</f>
        <v>8.9343892028159999</v>
      </c>
      <c r="L194" s="1933">
        <f>'Emission-Waste Transport Vehicl'!R56</f>
        <v>0.8892377968320001</v>
      </c>
      <c r="M194" s="1933">
        <f t="shared" si="15"/>
        <v>0.79948521115381765</v>
      </c>
      <c r="N194" s="830">
        <f t="shared" si="16"/>
        <v>0.28120882125962166</v>
      </c>
      <c r="O194" s="830">
        <f t="shared" si="17"/>
        <v>2.17541849023169</v>
      </c>
      <c r="P194" s="830">
        <f t="shared" si="18"/>
        <v>7.6454821967302005</v>
      </c>
      <c r="Q194" s="830">
        <f t="shared" si="19"/>
        <v>4.4989602274261999E-2</v>
      </c>
      <c r="R194" s="2773"/>
    </row>
    <row r="195" spans="1:18" x14ac:dyDescent="0.25">
      <c r="A195" s="2802"/>
      <c r="B195" s="706">
        <v>2043</v>
      </c>
      <c r="C195" s="1058">
        <f t="shared" si="20"/>
        <v>9.0850592176570188</v>
      </c>
      <c r="D195" s="1058">
        <f t="shared" si="21"/>
        <v>1.3600388050384762E-2</v>
      </c>
      <c r="E195" s="1058">
        <f t="shared" si="22"/>
        <v>0.18909979545254973</v>
      </c>
      <c r="F195" s="1058">
        <f t="shared" si="23"/>
        <v>0.85573641613020923</v>
      </c>
      <c r="G195" s="1058">
        <f t="shared" si="24"/>
        <v>5.0593443547431317E-2</v>
      </c>
      <c r="H195" s="1933">
        <v>89</v>
      </c>
      <c r="I195" s="1933">
        <f>'Emission-Waste Transport Vehicl'!N57</f>
        <v>20.268997526448004</v>
      </c>
      <c r="J195" s="1933">
        <f>'Emission-Waste Transport Vehicl'!P57</f>
        <v>11.277332521488001</v>
      </c>
      <c r="K195" s="1933">
        <f>'Emission-Waste Transport Vehicl'!Q57</f>
        <v>8.7582935468160006</v>
      </c>
      <c r="L195" s="1933">
        <f>'Emission-Waste Transport Vehicl'!R57</f>
        <v>0.87171103483200019</v>
      </c>
      <c r="M195" s="1933">
        <f t="shared" si="15"/>
        <v>0.80857027037147466</v>
      </c>
      <c r="N195" s="830">
        <f t="shared" si="16"/>
        <v>0.27566623175198174</v>
      </c>
      <c r="O195" s="830">
        <f t="shared" si="17"/>
        <v>2.1325412730637678</v>
      </c>
      <c r="P195" s="830">
        <f t="shared" si="18"/>
        <v>7.4947907311686635</v>
      </c>
      <c r="Q195" s="830">
        <f t="shared" si="19"/>
        <v>4.4102863030445735E-2</v>
      </c>
      <c r="R195" s="2773"/>
    </row>
    <row r="196" spans="1:18" x14ac:dyDescent="0.25">
      <c r="A196" s="2802"/>
      <c r="B196" s="706">
        <v>2044</v>
      </c>
      <c r="C196" s="1058">
        <f t="shared" si="20"/>
        <v>9.0850592176570188</v>
      </c>
      <c r="D196" s="1058">
        <f t="shared" si="21"/>
        <v>1.3600388050384762E-2</v>
      </c>
      <c r="E196" s="1058">
        <f t="shared" si="22"/>
        <v>0.18909979545254973</v>
      </c>
      <c r="F196" s="1058">
        <f t="shared" si="23"/>
        <v>0.85573641613020923</v>
      </c>
      <c r="G196" s="1058">
        <f t="shared" si="24"/>
        <v>5.0593443547431317E-2</v>
      </c>
      <c r="H196" s="1933">
        <v>90</v>
      </c>
      <c r="I196" s="1933">
        <f>'Emission-Waste Transport Vehicl'!N58</f>
        <v>19.871246569680004</v>
      </c>
      <c r="J196" s="1933">
        <f>'Emission-Waste Transport Vehicl'!P58</f>
        <v>11.056030516080002</v>
      </c>
      <c r="K196" s="1933">
        <f>'Emission-Waste Transport Vehicl'!Q58</f>
        <v>8.5864241865600004</v>
      </c>
      <c r="L196" s="1933">
        <f>'Emission-Waste Transport Vehicl'!R58</f>
        <v>0.85460491512000014</v>
      </c>
      <c r="M196" s="1933">
        <f t="shared" si="15"/>
        <v>0.81765532958913167</v>
      </c>
      <c r="N196" s="830">
        <f t="shared" si="16"/>
        <v>0.2702566643925251</v>
      </c>
      <c r="O196" s="830">
        <f t="shared" si="17"/>
        <v>2.090693109107876</v>
      </c>
      <c r="P196" s="830">
        <f t="shared" si="18"/>
        <v>7.3477158607806015</v>
      </c>
      <c r="Q196" s="830">
        <f t="shared" si="19"/>
        <v>4.3237405528481057E-2</v>
      </c>
      <c r="R196" s="2773"/>
    </row>
    <row r="197" spans="1:18" x14ac:dyDescent="0.25">
      <c r="A197" s="2802"/>
      <c r="B197" s="706">
        <v>2045</v>
      </c>
      <c r="C197" s="1058">
        <f t="shared" si="20"/>
        <v>9.0850592176570188</v>
      </c>
      <c r="D197" s="1058">
        <f t="shared" si="21"/>
        <v>1.3600388050384762E-2</v>
      </c>
      <c r="E197" s="1058">
        <f t="shared" si="22"/>
        <v>0.18909979545254973</v>
      </c>
      <c r="F197" s="1058">
        <f t="shared" si="23"/>
        <v>0.85573641613020923</v>
      </c>
      <c r="G197" s="1058">
        <f t="shared" si="24"/>
        <v>5.0593443547431317E-2</v>
      </c>
      <c r="H197" s="1933">
        <v>92</v>
      </c>
      <c r="I197" s="1933">
        <f>'Emission-Waste Transport Vehicl'!N59</f>
        <v>19.483276374144001</v>
      </c>
      <c r="J197" s="1933">
        <f>'Emission-Waste Transport Vehicl'!P59</f>
        <v>10.840170363264003</v>
      </c>
      <c r="K197" s="1933">
        <f>'Emission-Waste Transport Vehicl'!Q59</f>
        <v>8.4187811220480011</v>
      </c>
      <c r="L197" s="1933">
        <f>'Emission-Waste Transport Vehicl'!R59</f>
        <v>0.83791943769600008</v>
      </c>
      <c r="M197" s="1933">
        <f t="shared" si="15"/>
        <v>0.83582544802444569</v>
      </c>
      <c r="N197" s="830">
        <f t="shared" si="16"/>
        <v>0.26498011918125181</v>
      </c>
      <c r="O197" s="830">
        <f t="shared" si="17"/>
        <v>2.0498739983640148</v>
      </c>
      <c r="P197" s="830">
        <f t="shared" si="18"/>
        <v>7.204257585566018</v>
      </c>
      <c r="Q197" s="830">
        <f t="shared" si="19"/>
        <v>4.2393229768367971E-2</v>
      </c>
      <c r="R197" s="2773"/>
    </row>
    <row r="198" spans="1:18" x14ac:dyDescent="0.25">
      <c r="A198" s="2802"/>
      <c r="B198" s="706">
        <v>2046</v>
      </c>
      <c r="C198" s="1058">
        <f t="shared" si="20"/>
        <v>9.0850592176570188</v>
      </c>
      <c r="D198" s="1058">
        <f t="shared" si="21"/>
        <v>1.3600388050384762E-2</v>
      </c>
      <c r="E198" s="1058">
        <f t="shared" si="22"/>
        <v>0.18909979545254973</v>
      </c>
      <c r="F198" s="1058">
        <f t="shared" si="23"/>
        <v>0.85573641613020923</v>
      </c>
      <c r="G198" s="1058">
        <f t="shared" si="24"/>
        <v>5.0593443547431317E-2</v>
      </c>
      <c r="H198" s="1933">
        <v>93</v>
      </c>
      <c r="I198" s="1933">
        <f>'Emission-Waste Transport Vehicl'!N60</f>
        <v>19.101826686096</v>
      </c>
      <c r="J198" s="1933">
        <f>'Emission-Waste Transport Vehicl'!P60</f>
        <v>10.627938112176002</v>
      </c>
      <c r="K198" s="1933">
        <f>'Emission-Waste Transport Vehicl'!Q60</f>
        <v>8.2539555880319995</v>
      </c>
      <c r="L198" s="1933">
        <f>'Emission-Waste Transport Vehicl'!R60</f>
        <v>0.82151438846400004</v>
      </c>
      <c r="M198" s="1933">
        <f t="shared" si="15"/>
        <v>0.8449105072421027</v>
      </c>
      <c r="N198" s="830">
        <f t="shared" si="16"/>
        <v>0.25979225540210082</v>
      </c>
      <c r="O198" s="830">
        <f t="shared" si="17"/>
        <v>2.0097409230948395</v>
      </c>
      <c r="P198" s="830">
        <f t="shared" si="18"/>
        <v>7.0632103738004171</v>
      </c>
      <c r="Q198" s="830">
        <f t="shared" si="19"/>
        <v>4.1563241836155951E-2</v>
      </c>
      <c r="R198" s="2773"/>
    </row>
    <row r="199" spans="1:18" x14ac:dyDescent="0.25">
      <c r="A199" s="2802"/>
      <c r="B199" s="706">
        <v>2047</v>
      </c>
      <c r="C199" s="1058">
        <f t="shared" si="20"/>
        <v>9.0850592176570188</v>
      </c>
      <c r="D199" s="1058">
        <f t="shared" si="21"/>
        <v>1.3600388050384762E-2</v>
      </c>
      <c r="E199" s="1058">
        <f t="shared" si="22"/>
        <v>0.18909979545254973</v>
      </c>
      <c r="F199" s="1058">
        <f t="shared" si="23"/>
        <v>0.85573641613020923</v>
      </c>
      <c r="G199" s="1058">
        <f t="shared" si="24"/>
        <v>5.0593443547431317E-2</v>
      </c>
      <c r="H199" s="1933">
        <v>94</v>
      </c>
      <c r="I199" s="1933">
        <f>'Emission-Waste Transport Vehicl'!N61</f>
        <v>18.726897505536005</v>
      </c>
      <c r="J199" s="1933">
        <f>'Emission-Waste Transport Vehicl'!P61</f>
        <v>10.419333762816001</v>
      </c>
      <c r="K199" s="1933">
        <f>'Emission-Waste Transport Vehicl'!Q61</f>
        <v>8.0919475845120008</v>
      </c>
      <c r="L199" s="1933">
        <f>'Emission-Waste Transport Vehicl'!R61</f>
        <v>0.80538976742400015</v>
      </c>
      <c r="M199" s="1933">
        <f t="shared" si="15"/>
        <v>0.85399556645975971</v>
      </c>
      <c r="N199" s="830">
        <f t="shared" si="16"/>
        <v>0.25469307305507211</v>
      </c>
      <c r="O199" s="830">
        <f t="shared" si="17"/>
        <v>1.9702938833003512</v>
      </c>
      <c r="P199" s="830">
        <f t="shared" si="18"/>
        <v>6.924574225483803</v>
      </c>
      <c r="Q199" s="830">
        <f t="shared" si="19"/>
        <v>4.074744173184499E-2</v>
      </c>
      <c r="R199" s="2773"/>
    </row>
    <row r="200" spans="1:18" x14ac:dyDescent="0.25">
      <c r="A200" s="2802"/>
      <c r="B200" s="706">
        <v>2048</v>
      </c>
      <c r="C200" s="1058">
        <f t="shared" si="20"/>
        <v>9.0850592176570188</v>
      </c>
      <c r="D200" s="1058">
        <f t="shared" si="21"/>
        <v>1.3600388050384762E-2</v>
      </c>
      <c r="E200" s="1058">
        <f t="shared" si="22"/>
        <v>0.18909979545254973</v>
      </c>
      <c r="F200" s="1058">
        <f t="shared" si="23"/>
        <v>0.85573641613020923</v>
      </c>
      <c r="G200" s="1058">
        <f t="shared" si="24"/>
        <v>5.0593443547431317E-2</v>
      </c>
      <c r="H200" s="1933">
        <v>95</v>
      </c>
      <c r="I200" s="1933">
        <f>'Emission-Waste Transport Vehicl'!N62</f>
        <v>18.358488832464005</v>
      </c>
      <c r="J200" s="1933">
        <f>'Emission-Waste Transport Vehicl'!P62</f>
        <v>10.214357315184001</v>
      </c>
      <c r="K200" s="1933">
        <f>'Emission-Waste Transport Vehicl'!Q62</f>
        <v>7.9327571114880007</v>
      </c>
      <c r="L200" s="1933">
        <f>'Emission-Waste Transport Vehicl'!R62</f>
        <v>0.78954557457600016</v>
      </c>
      <c r="M200" s="1933">
        <f t="shared" si="15"/>
        <v>0.86308062567741672</v>
      </c>
      <c r="N200" s="830">
        <f t="shared" si="16"/>
        <v>0.24968257214016557</v>
      </c>
      <c r="O200" s="830">
        <f t="shared" si="17"/>
        <v>1.9315328789805497</v>
      </c>
      <c r="P200" s="830">
        <f t="shared" si="18"/>
        <v>6.7883491406161722</v>
      </c>
      <c r="Q200" s="830">
        <f t="shared" si="19"/>
        <v>3.9945829455435088E-2</v>
      </c>
      <c r="R200" s="2773"/>
    </row>
    <row r="201" spans="1:18" x14ac:dyDescent="0.25">
      <c r="A201" s="2802"/>
      <c r="B201" s="706">
        <v>2049</v>
      </c>
      <c r="C201" s="1058">
        <f t="shared" si="20"/>
        <v>9.0850592176570188</v>
      </c>
      <c r="D201" s="1058">
        <f t="shared" si="21"/>
        <v>1.3600388050384762E-2</v>
      </c>
      <c r="E201" s="1058">
        <f t="shared" si="22"/>
        <v>0.18909979545254973</v>
      </c>
      <c r="F201" s="1058">
        <f t="shared" si="23"/>
        <v>0.85573641613020923</v>
      </c>
      <c r="G201" s="1058">
        <f t="shared" si="24"/>
        <v>5.0593443547431317E-2</v>
      </c>
      <c r="H201" s="1933">
        <v>96</v>
      </c>
      <c r="I201" s="1933">
        <f>'Emission-Waste Transport Vehicl'!N63</f>
        <v>17.999860920624005</v>
      </c>
      <c r="J201" s="1933">
        <f>'Emission-Waste Transport Vehicl'!P63</f>
        <v>10.014822720144002</v>
      </c>
      <c r="K201" s="1933">
        <f>'Emission-Waste Transport Vehicl'!Q63</f>
        <v>7.7777929342080014</v>
      </c>
      <c r="L201" s="1933">
        <f>'Emission-Waste Transport Vehicl'!R63</f>
        <v>0.77412202401600017</v>
      </c>
      <c r="M201" s="1933">
        <f t="shared" si="15"/>
        <v>0.87216568489507384</v>
      </c>
      <c r="N201" s="830">
        <f t="shared" si="16"/>
        <v>0.24480509337344239</v>
      </c>
      <c r="O201" s="830">
        <f t="shared" si="17"/>
        <v>1.8938009278727785</v>
      </c>
      <c r="P201" s="830">
        <f t="shared" si="18"/>
        <v>6.6557406509220192</v>
      </c>
      <c r="Q201" s="830">
        <f t="shared" si="19"/>
        <v>3.9165498920876778E-2</v>
      </c>
      <c r="R201" s="2773"/>
    </row>
    <row r="202" spans="1:18" x14ac:dyDescent="0.25">
      <c r="A202" s="2802"/>
      <c r="B202" s="706">
        <v>2050</v>
      </c>
      <c r="C202" s="1058">
        <f t="shared" si="20"/>
        <v>9.0850592176570188</v>
      </c>
      <c r="D202" s="1058">
        <f t="shared" si="21"/>
        <v>1.3600388050384762E-2</v>
      </c>
      <c r="E202" s="1058">
        <f t="shared" si="22"/>
        <v>0.18909979545254973</v>
      </c>
      <c r="F202" s="1058">
        <f t="shared" si="23"/>
        <v>0.85573641613020923</v>
      </c>
      <c r="G202" s="1058">
        <f t="shared" si="24"/>
        <v>5.0593443547431317E-2</v>
      </c>
      <c r="H202" s="1933">
        <v>97</v>
      </c>
      <c r="I202" s="1933">
        <f>'Emission-Waste Transport Vehicl'!N64</f>
        <v>17.644493262528005</v>
      </c>
      <c r="J202" s="1933">
        <f>'Emission-Waste Transport Vehicl'!P64</f>
        <v>9.8171020759680019</v>
      </c>
      <c r="K202" s="1933">
        <f>'Emission-Waste Transport Vehicl'!Q64</f>
        <v>7.624237522176001</v>
      </c>
      <c r="L202" s="1933">
        <f>'Emission-Waste Transport Vehicl'!R64</f>
        <v>0.75883868755200012</v>
      </c>
      <c r="M202" s="1933">
        <f t="shared" si="15"/>
        <v>0.88125074411273085</v>
      </c>
      <c r="N202" s="830">
        <f t="shared" si="16"/>
        <v>0.23997195532278032</v>
      </c>
      <c r="O202" s="830">
        <f t="shared" si="17"/>
        <v>1.8564119945023505</v>
      </c>
      <c r="P202" s="830">
        <f t="shared" si="18"/>
        <v>6.5243376929523578</v>
      </c>
      <c r="Q202" s="830">
        <f t="shared" si="19"/>
        <v>3.8392262300268994E-2</v>
      </c>
      <c r="R202" s="2773"/>
    </row>
    <row r="203" spans="1:18" x14ac:dyDescent="0.25">
      <c r="A203" s="2802"/>
      <c r="B203" s="706">
        <v>2051</v>
      </c>
      <c r="C203" s="1058">
        <f t="shared" si="20"/>
        <v>9.0850592176570188</v>
      </c>
      <c r="D203" s="1058">
        <f t="shared" si="21"/>
        <v>1.3600388050384762E-2</v>
      </c>
      <c r="E203" s="1058">
        <f t="shared" si="22"/>
        <v>0.18909979545254973</v>
      </c>
      <c r="F203" s="1058">
        <f t="shared" si="23"/>
        <v>0.85573641613020923</v>
      </c>
      <c r="G203" s="1058">
        <f t="shared" si="24"/>
        <v>5.0593443547431317E-2</v>
      </c>
      <c r="H203" s="1933">
        <v>97</v>
      </c>
      <c r="I203" s="1933">
        <f>'Emission-Waste Transport Vehicl'!N65</f>
        <v>17.298906365664003</v>
      </c>
      <c r="J203" s="1933">
        <f>'Emission-Waste Transport Vehicl'!P65</f>
        <v>9.624823284384</v>
      </c>
      <c r="K203" s="1933">
        <f>'Emission-Waste Transport Vehicl'!Q65</f>
        <v>7.4749084058879998</v>
      </c>
      <c r="L203" s="1933">
        <f>'Emission-Waste Transport Vehicl'!R65</f>
        <v>0.74397599337600007</v>
      </c>
      <c r="M203" s="1933">
        <f t="shared" ref="M203:M221" si="25">(C203/1000)*H203</f>
        <v>0.88125074411273085</v>
      </c>
      <c r="N203" s="830">
        <f t="shared" ref="N203:N221" si="26">D203*I203</f>
        <v>0.23527183942030161</v>
      </c>
      <c r="O203" s="830">
        <f t="shared" ref="O203:O221" si="27">E203*J203</f>
        <v>1.8200521143439523</v>
      </c>
      <c r="P203" s="830">
        <f t="shared" ref="P203:P221" si="28">F203*K203</f>
        <v>6.3965513301561723</v>
      </c>
      <c r="Q203" s="830">
        <f t="shared" si="19"/>
        <v>3.7640307421512795E-2</v>
      </c>
      <c r="R203" s="2773"/>
    </row>
    <row r="204" spans="1:18" x14ac:dyDescent="0.25">
      <c r="A204" s="2802"/>
      <c r="B204" s="706">
        <v>2052</v>
      </c>
      <c r="C204" s="1058">
        <f t="shared" si="20"/>
        <v>9.0850592176570188</v>
      </c>
      <c r="D204" s="1058">
        <f t="shared" si="21"/>
        <v>1.3600388050384762E-2</v>
      </c>
      <c r="E204" s="1058">
        <f t="shared" si="22"/>
        <v>0.18909979545254973</v>
      </c>
      <c r="F204" s="1058">
        <f t="shared" si="23"/>
        <v>0.85573641613020923</v>
      </c>
      <c r="G204" s="1058">
        <f t="shared" si="24"/>
        <v>5.0593443547431317E-2</v>
      </c>
      <c r="H204" s="1933">
        <v>97</v>
      </c>
      <c r="I204" s="1933">
        <f>'Emission-Waste Transport Vehicl'!N66</f>
        <v>16.959839976288002</v>
      </c>
      <c r="J204" s="1933">
        <f>'Emission-Waste Transport Vehicl'!P66</f>
        <v>9.4361723945280005</v>
      </c>
      <c r="K204" s="1933">
        <f>'Emission-Waste Transport Vehicl'!Q66</f>
        <v>7.3283968200960006</v>
      </c>
      <c r="L204" s="1933">
        <f>'Emission-Waste Transport Vehicl'!R66</f>
        <v>0.72939372739200004</v>
      </c>
      <c r="M204" s="1933">
        <f t="shared" si="25"/>
        <v>0.88125074411273085</v>
      </c>
      <c r="N204" s="830">
        <f t="shared" si="26"/>
        <v>0.23066040494994514</v>
      </c>
      <c r="O204" s="830">
        <f t="shared" si="27"/>
        <v>1.7843782696602413</v>
      </c>
      <c r="P204" s="830">
        <f t="shared" si="28"/>
        <v>6.2711760308089728</v>
      </c>
      <c r="Q204" s="830">
        <f t="shared" si="19"/>
        <v>3.6902540370657662E-2</v>
      </c>
      <c r="R204" s="2773"/>
    </row>
    <row r="205" spans="1:18" x14ac:dyDescent="0.25">
      <c r="A205" s="2802"/>
      <c r="B205" s="706">
        <v>2053</v>
      </c>
      <c r="C205" s="1058">
        <f t="shared" si="20"/>
        <v>9.0850592176570188</v>
      </c>
      <c r="D205" s="1058">
        <f t="shared" si="21"/>
        <v>1.3600388050384762E-2</v>
      </c>
      <c r="E205" s="1058">
        <f t="shared" si="22"/>
        <v>0.18909979545254973</v>
      </c>
      <c r="F205" s="1058">
        <f t="shared" si="23"/>
        <v>0.85573641613020923</v>
      </c>
      <c r="G205" s="1058">
        <f t="shared" si="24"/>
        <v>5.0593443547431317E-2</v>
      </c>
      <c r="H205" s="1933">
        <v>97</v>
      </c>
      <c r="I205" s="1933">
        <f>'Emission-Waste Transport Vehicl'!N67</f>
        <v>15.361506000000002</v>
      </c>
      <c r="J205" s="1933">
        <f>'Emission-Waste Transport Vehicl'!P67</f>
        <v>9.2511494064000015</v>
      </c>
      <c r="K205" s="1933">
        <f>'Emission-Waste Transport Vehicl'!Q67</f>
        <v>7.1847027647999999</v>
      </c>
      <c r="L205" s="1933">
        <f>'Emission-Waste Transport Vehicl'!R67</f>
        <v>0.71509188960000014</v>
      </c>
      <c r="M205" s="1933">
        <f t="shared" si="25"/>
        <v>0.88125074411273085</v>
      </c>
      <c r="N205" s="830">
        <f t="shared" si="26"/>
        <v>0.20892244263831386</v>
      </c>
      <c r="O205" s="830">
        <f t="shared" si="27"/>
        <v>1.7493904604512172</v>
      </c>
      <c r="P205" s="830">
        <f t="shared" si="28"/>
        <v>6.1482117949107575</v>
      </c>
      <c r="Q205" s="830">
        <f t="shared" si="19"/>
        <v>3.6178961147703595E-2</v>
      </c>
      <c r="R205" s="2773"/>
    </row>
    <row r="206" spans="1:18" x14ac:dyDescent="0.25">
      <c r="A206" s="2802"/>
      <c r="B206" s="706">
        <v>2054</v>
      </c>
      <c r="C206" s="1058">
        <f t="shared" si="20"/>
        <v>9.0850592176570188</v>
      </c>
      <c r="D206" s="1058">
        <f t="shared" si="21"/>
        <v>1.3600388050384762E-2</v>
      </c>
      <c r="E206" s="1058">
        <f t="shared" si="22"/>
        <v>0.18909979545254973</v>
      </c>
      <c r="F206" s="1058">
        <f t="shared" si="23"/>
        <v>0.85573641613020923</v>
      </c>
      <c r="G206" s="1058">
        <f t="shared" si="24"/>
        <v>5.0593443547431317E-2</v>
      </c>
      <c r="H206" s="1933">
        <v>97</v>
      </c>
      <c r="I206" s="1933">
        <f>'Emission-Waste Transport Vehicl'!N68</f>
        <v>16.301268720000003</v>
      </c>
      <c r="J206" s="1933">
        <f>'Emission-Waste Transport Vehicl'!P68</f>
        <v>9.0697543200000013</v>
      </c>
      <c r="K206" s="1933">
        <f>'Emission-Waste Transport Vehicl'!Q68</f>
        <v>7.0438262400000005</v>
      </c>
      <c r="L206" s="1933">
        <f>'Emission-Waste Transport Vehicl'!R68</f>
        <v>0.70107048000000005</v>
      </c>
      <c r="M206" s="1933">
        <f t="shared" si="25"/>
        <v>0.88125074411273085</v>
      </c>
      <c r="N206" s="830">
        <f t="shared" si="26"/>
        <v>0.22170358030559895</v>
      </c>
      <c r="O206" s="830">
        <f t="shared" si="27"/>
        <v>1.7150886867168795</v>
      </c>
      <c r="P206" s="830">
        <f t="shared" si="28"/>
        <v>6.0276586224615274</v>
      </c>
      <c r="Q206" s="830">
        <f t="shared" si="19"/>
        <v>3.546956975265058E-2</v>
      </c>
      <c r="R206" s="2773"/>
    </row>
    <row r="207" spans="1:18" x14ac:dyDescent="0.25">
      <c r="A207" s="2802"/>
      <c r="B207" s="706">
        <v>2055</v>
      </c>
      <c r="C207" s="1058">
        <f t="shared" si="20"/>
        <v>9.0850592176570188</v>
      </c>
      <c r="D207" s="1058">
        <f t="shared" si="21"/>
        <v>1.3600388050384762E-2</v>
      </c>
      <c r="E207" s="1058">
        <f t="shared" si="22"/>
        <v>0.18909979545254973</v>
      </c>
      <c r="F207" s="1058">
        <f t="shared" si="23"/>
        <v>0.85573641613020923</v>
      </c>
      <c r="G207" s="1058">
        <f t="shared" si="24"/>
        <v>5.0593443547431317E-2</v>
      </c>
      <c r="H207" s="1933">
        <v>97</v>
      </c>
      <c r="I207" s="1933">
        <f>'Emission-Waste Transport Vehicl'!N69</f>
        <v>15.981763853088003</v>
      </c>
      <c r="J207" s="1933">
        <f>'Emission-Waste Transport Vehicl'!P69</f>
        <v>8.8919871353280016</v>
      </c>
      <c r="K207" s="1933">
        <f>'Emission-Waste Transport Vehicl'!Q69</f>
        <v>6.9057672456960004</v>
      </c>
      <c r="L207" s="1933">
        <f>'Emission-Waste Transport Vehicl'!R69</f>
        <v>0.6873294985920001</v>
      </c>
      <c r="M207" s="1933">
        <f t="shared" si="25"/>
        <v>0.88125074411273085</v>
      </c>
      <c r="N207" s="830">
        <f t="shared" si="26"/>
        <v>0.2173581901316092</v>
      </c>
      <c r="O207" s="830">
        <f t="shared" si="27"/>
        <v>1.6814729484572288</v>
      </c>
      <c r="P207" s="830">
        <f t="shared" si="28"/>
        <v>5.9095165134612815</v>
      </c>
      <c r="Q207" s="830">
        <f t="shared" si="19"/>
        <v>3.4774366185498631E-2</v>
      </c>
      <c r="R207" s="2773"/>
    </row>
    <row r="208" spans="1:18" x14ac:dyDescent="0.25">
      <c r="A208" s="2802"/>
      <c r="B208" s="706">
        <v>2056</v>
      </c>
      <c r="C208" s="1058">
        <f t="shared" si="20"/>
        <v>9.0850592176570188</v>
      </c>
      <c r="D208" s="1058">
        <f t="shared" si="21"/>
        <v>1.3600388050384762E-2</v>
      </c>
      <c r="E208" s="1058">
        <f t="shared" si="22"/>
        <v>0.18909979545254973</v>
      </c>
      <c r="F208" s="1058">
        <f t="shared" si="23"/>
        <v>0.85573641613020923</v>
      </c>
      <c r="G208" s="1058">
        <f t="shared" si="24"/>
        <v>5.0593443547431317E-2</v>
      </c>
      <c r="H208" s="1933">
        <v>97</v>
      </c>
      <c r="I208" s="1933">
        <f>'Emission-Waste Transport Vehicl'!N70</f>
        <v>15.668779493664003</v>
      </c>
      <c r="J208" s="1933">
        <f>'Emission-Waste Transport Vehicl'!P70</f>
        <v>8.7178478523840006</v>
      </c>
      <c r="K208" s="1933">
        <f>'Emission-Waste Transport Vehicl'!Q70</f>
        <v>6.7705257818880007</v>
      </c>
      <c r="L208" s="1933">
        <f>'Emission-Waste Transport Vehicl'!R70</f>
        <v>0.67386894537600017</v>
      </c>
      <c r="M208" s="1933">
        <f t="shared" si="25"/>
        <v>0.88125074411273085</v>
      </c>
      <c r="N208" s="830">
        <f t="shared" si="26"/>
        <v>0.21310148138974169</v>
      </c>
      <c r="O208" s="830">
        <f t="shared" si="27"/>
        <v>1.6485432456722646</v>
      </c>
      <c r="P208" s="830">
        <f t="shared" si="28"/>
        <v>5.7937854679100207</v>
      </c>
      <c r="Q208" s="830">
        <f t="shared" si="19"/>
        <v>3.4093350446247742E-2</v>
      </c>
      <c r="R208" s="2773"/>
    </row>
    <row r="209" spans="1:18" x14ac:dyDescent="0.25">
      <c r="A209" s="2802"/>
      <c r="B209" s="706">
        <v>2057</v>
      </c>
      <c r="C209" s="1058">
        <f t="shared" si="20"/>
        <v>9.0850592176570188</v>
      </c>
      <c r="D209" s="1058">
        <f t="shared" si="21"/>
        <v>1.3600388050384762E-2</v>
      </c>
      <c r="E209" s="1058">
        <f t="shared" si="22"/>
        <v>0.18909979545254973</v>
      </c>
      <c r="F209" s="1058">
        <f t="shared" si="23"/>
        <v>0.85573641613020923</v>
      </c>
      <c r="G209" s="1058">
        <f t="shared" si="24"/>
        <v>5.0593443547431317E-2</v>
      </c>
      <c r="H209" s="1933">
        <v>97</v>
      </c>
      <c r="I209" s="1933">
        <f>'Emission-Waste Transport Vehicl'!N71</f>
        <v>15.362315641728001</v>
      </c>
      <c r="J209" s="1933">
        <f>'Emission-Waste Transport Vehicl'!P71</f>
        <v>8.547336471168002</v>
      </c>
      <c r="K209" s="1933">
        <f>'Emission-Waste Transport Vehicl'!Q71</f>
        <v>6.6381018485760004</v>
      </c>
      <c r="L209" s="1933">
        <f>'Emission-Waste Transport Vehicl'!R71</f>
        <v>0.66068882035200005</v>
      </c>
      <c r="M209" s="1933">
        <f t="shared" si="25"/>
        <v>0.88125074411273085</v>
      </c>
      <c r="N209" s="830">
        <f t="shared" si="26"/>
        <v>0.20893345407999642</v>
      </c>
      <c r="O209" s="830">
        <f t="shared" si="27"/>
        <v>1.6162995783619873</v>
      </c>
      <c r="P209" s="830">
        <f t="shared" si="28"/>
        <v>5.6804654858077432</v>
      </c>
      <c r="Q209" s="830">
        <f t="shared" si="19"/>
        <v>3.3426522534897904E-2</v>
      </c>
      <c r="R209" s="2773"/>
    </row>
    <row r="210" spans="1:18" x14ac:dyDescent="0.25">
      <c r="A210" s="2802"/>
      <c r="B210" s="706">
        <v>2058</v>
      </c>
      <c r="C210" s="1058">
        <f t="shared" si="20"/>
        <v>9.0850592176570188</v>
      </c>
      <c r="D210" s="1058">
        <f t="shared" si="21"/>
        <v>1.3600388050384762E-2</v>
      </c>
      <c r="E210" s="1058">
        <f t="shared" si="22"/>
        <v>0.18909979545254973</v>
      </c>
      <c r="F210" s="1058">
        <f t="shared" si="23"/>
        <v>0.85573641613020923</v>
      </c>
      <c r="G210" s="1058">
        <f t="shared" si="24"/>
        <v>5.0593443547431317E-2</v>
      </c>
      <c r="H210" s="1933">
        <v>97</v>
      </c>
      <c r="I210" s="1933">
        <f>'Emission-Waste Transport Vehicl'!N72</f>
        <v>15.059112043536</v>
      </c>
      <c r="J210" s="1933">
        <f>'Emission-Waste Transport Vehicl'!P72</f>
        <v>8.378639040816001</v>
      </c>
      <c r="K210" s="1933">
        <f>'Emission-Waste Transport Vehicl'!Q72</f>
        <v>6.5070866805119998</v>
      </c>
      <c r="L210" s="1933">
        <f>'Emission-Waste Transport Vehicl'!R72</f>
        <v>0.647648909424</v>
      </c>
      <c r="M210" s="1933">
        <f t="shared" si="25"/>
        <v>0.88125074411273085</v>
      </c>
      <c r="N210" s="830">
        <f t="shared" si="26"/>
        <v>0.20480976748631227</v>
      </c>
      <c r="O210" s="830">
        <f t="shared" si="27"/>
        <v>1.5843989287890532</v>
      </c>
      <c r="P210" s="830">
        <f t="shared" si="28"/>
        <v>5.5683510354299584</v>
      </c>
      <c r="Q210" s="830">
        <f t="shared" si="19"/>
        <v>3.2766788537498599E-2</v>
      </c>
      <c r="R210" s="2773"/>
    </row>
    <row r="211" spans="1:18" x14ac:dyDescent="0.25">
      <c r="A211" s="2802"/>
      <c r="B211" s="706">
        <v>2059</v>
      </c>
      <c r="C211" s="1058">
        <f t="shared" si="20"/>
        <v>9.0850592176570188</v>
      </c>
      <c r="D211" s="1058">
        <f t="shared" si="21"/>
        <v>1.3600388050384762E-2</v>
      </c>
      <c r="E211" s="1058">
        <f t="shared" si="22"/>
        <v>0.18909979545254973</v>
      </c>
      <c r="F211" s="1058">
        <f t="shared" si="23"/>
        <v>0.85573641613020923</v>
      </c>
      <c r="G211" s="1058">
        <f t="shared" si="24"/>
        <v>5.0593443547431317E-2</v>
      </c>
      <c r="H211" s="1933">
        <v>97</v>
      </c>
      <c r="I211" s="1933">
        <f>'Emission-Waste Transport Vehicl'!N73</f>
        <v>14.765689206576004</v>
      </c>
      <c r="J211" s="1933">
        <f>'Emission-Waste Transport Vehicl'!P73</f>
        <v>8.2153834630560016</v>
      </c>
      <c r="K211" s="1933">
        <f>'Emission-Waste Transport Vehicl'!Q73</f>
        <v>6.380297808192001</v>
      </c>
      <c r="L211" s="1933">
        <f>'Emission-Waste Transport Vehicl'!R73</f>
        <v>0.63502964078400004</v>
      </c>
      <c r="M211" s="1933">
        <f t="shared" si="25"/>
        <v>0.88125074411273085</v>
      </c>
      <c r="N211" s="830">
        <f t="shared" si="26"/>
        <v>0.20081910304081155</v>
      </c>
      <c r="O211" s="830">
        <f t="shared" si="27"/>
        <v>1.5535273324281496</v>
      </c>
      <c r="P211" s="830">
        <f t="shared" si="28"/>
        <v>5.459853180225652</v>
      </c>
      <c r="Q211" s="830">
        <f t="shared" si="19"/>
        <v>3.2128336281950894E-2</v>
      </c>
      <c r="R211" s="2773"/>
    </row>
    <row r="212" spans="1:18" x14ac:dyDescent="0.25">
      <c r="A212" s="2802"/>
      <c r="B212" s="706">
        <v>2060</v>
      </c>
      <c r="C212" s="1058">
        <f t="shared" si="20"/>
        <v>9.0850592176570188</v>
      </c>
      <c r="D212" s="1058">
        <f t="shared" si="21"/>
        <v>1.3600388050384762E-2</v>
      </c>
      <c r="E212" s="1058">
        <f t="shared" si="22"/>
        <v>0.18909979545254973</v>
      </c>
      <c r="F212" s="1058">
        <f t="shared" si="23"/>
        <v>0.85573641613020923</v>
      </c>
      <c r="G212" s="1058">
        <f t="shared" si="24"/>
        <v>5.0593443547431317E-2</v>
      </c>
      <c r="H212" s="1933">
        <v>97</v>
      </c>
      <c r="I212" s="1933">
        <f>'Emission-Waste Transport Vehicl'!N74</f>
        <v>14.475526623360002</v>
      </c>
      <c r="J212" s="1933">
        <f>'Emission-Waste Transport Vehicl'!P74</f>
        <v>8.0539418361599999</v>
      </c>
      <c r="K212" s="1933">
        <f>'Emission-Waste Transport Vehicl'!Q74</f>
        <v>6.2549177011200001</v>
      </c>
      <c r="L212" s="1933">
        <f>'Emission-Waste Transport Vehicl'!R74</f>
        <v>0.62255058624000004</v>
      </c>
      <c r="M212" s="1933">
        <f t="shared" si="25"/>
        <v>0.88125074411273085</v>
      </c>
      <c r="N212" s="830">
        <f t="shared" si="26"/>
        <v>0.19687277931137187</v>
      </c>
      <c r="O212" s="830">
        <f t="shared" si="27"/>
        <v>1.5229987538045888</v>
      </c>
      <c r="P212" s="830">
        <f t="shared" si="28"/>
        <v>5.3525608567458365</v>
      </c>
      <c r="Q212" s="830">
        <f t="shared" si="19"/>
        <v>3.1496977940353714E-2</v>
      </c>
      <c r="R212" s="2773"/>
    </row>
    <row r="213" spans="1:18" x14ac:dyDescent="0.25">
      <c r="A213" s="2802"/>
      <c r="B213" s="706">
        <v>2061</v>
      </c>
      <c r="C213" s="1058">
        <f t="shared" si="20"/>
        <v>9.0850592176570188</v>
      </c>
      <c r="D213" s="1058">
        <f t="shared" si="21"/>
        <v>1.3600388050384762E-2</v>
      </c>
      <c r="E213" s="1058">
        <f t="shared" si="22"/>
        <v>0.18909979545254973</v>
      </c>
      <c r="F213" s="1058">
        <f t="shared" si="23"/>
        <v>0.85573641613020923</v>
      </c>
      <c r="G213" s="1058">
        <f t="shared" si="24"/>
        <v>5.0593443547431317E-2</v>
      </c>
      <c r="H213" s="1933">
        <v>97</v>
      </c>
      <c r="I213" s="1933">
        <f>'Emission-Waste Transport Vehicl'!N75</f>
        <v>14.191884547632004</v>
      </c>
      <c r="J213" s="1933">
        <f>'Emission-Waste Transport Vehicl'!P75</f>
        <v>7.8961281109920014</v>
      </c>
      <c r="K213" s="1933">
        <f>'Emission-Waste Transport Vehicl'!Q75</f>
        <v>6.1323551245440004</v>
      </c>
      <c r="L213" s="1933">
        <f>'Emission-Waste Transport Vehicl'!R75</f>
        <v>0.61035195988800006</v>
      </c>
      <c r="M213" s="1933">
        <f t="shared" si="25"/>
        <v>0.88125074411273085</v>
      </c>
      <c r="N213" s="830">
        <f t="shared" si="26"/>
        <v>0.19301513701405446</v>
      </c>
      <c r="O213" s="830">
        <f t="shared" si="27"/>
        <v>1.4931562106557155</v>
      </c>
      <c r="P213" s="830">
        <f t="shared" si="28"/>
        <v>5.2476795967150061</v>
      </c>
      <c r="Q213" s="830">
        <f t="shared" si="19"/>
        <v>3.0879807426657593E-2</v>
      </c>
      <c r="R213" s="2773"/>
    </row>
    <row r="214" spans="1:18" x14ac:dyDescent="0.25">
      <c r="A214" s="2802"/>
      <c r="B214" s="706">
        <v>2062</v>
      </c>
      <c r="C214" s="1058">
        <f t="shared" si="20"/>
        <v>9.0850592176570188</v>
      </c>
      <c r="D214" s="1058">
        <f t="shared" si="21"/>
        <v>1.3600388050384762E-2</v>
      </c>
      <c r="E214" s="1058">
        <f t="shared" si="22"/>
        <v>0.18909979545254973</v>
      </c>
      <c r="F214" s="1058">
        <f t="shared" si="23"/>
        <v>0.85573641613020923</v>
      </c>
      <c r="G214" s="1058">
        <f t="shared" si="24"/>
        <v>5.0593443547431317E-2</v>
      </c>
      <c r="H214" s="1933">
        <v>97</v>
      </c>
      <c r="I214" s="1933">
        <f>'Emission-Waste Transport Vehicl'!N76</f>
        <v>13.914762979392002</v>
      </c>
      <c r="J214" s="1933">
        <f>'Emission-Waste Transport Vehicl'!P76</f>
        <v>7.7419422875520008</v>
      </c>
      <c r="K214" s="1933">
        <f>'Emission-Waste Transport Vehicl'!Q76</f>
        <v>6.0126100784640002</v>
      </c>
      <c r="L214" s="1933">
        <f>'Emission-Waste Transport Vehicl'!R76</f>
        <v>0.59843376172800011</v>
      </c>
      <c r="M214" s="1933">
        <f t="shared" si="25"/>
        <v>0.88125074411273085</v>
      </c>
      <c r="N214" s="830">
        <f t="shared" si="26"/>
        <v>0.18924617614885925</v>
      </c>
      <c r="O214" s="830">
        <f t="shared" si="27"/>
        <v>1.4639997029815284</v>
      </c>
      <c r="P214" s="830">
        <f t="shared" si="28"/>
        <v>5.1452094001331599</v>
      </c>
      <c r="Q214" s="830">
        <f t="shared" si="19"/>
        <v>3.0276824740862539E-2</v>
      </c>
      <c r="R214" s="2773"/>
    </row>
    <row r="215" spans="1:18" x14ac:dyDescent="0.25">
      <c r="A215" s="2802"/>
      <c r="B215" s="706">
        <v>2063</v>
      </c>
      <c r="C215" s="1058">
        <f t="shared" si="20"/>
        <v>9.0850592176570188</v>
      </c>
      <c r="D215" s="1058">
        <f t="shared" si="21"/>
        <v>1.3600388050384762E-2</v>
      </c>
      <c r="E215" s="1058">
        <f t="shared" si="22"/>
        <v>0.18909979545254973</v>
      </c>
      <c r="F215" s="1058">
        <f t="shared" si="23"/>
        <v>0.85573641613020923</v>
      </c>
      <c r="G215" s="1058">
        <f t="shared" si="24"/>
        <v>5.0593443547431317E-2</v>
      </c>
      <c r="H215" s="1933">
        <v>97</v>
      </c>
      <c r="I215" s="1933">
        <f>'Emission-Waste Transport Vehicl'!N77</f>
        <v>13.640901664896001</v>
      </c>
      <c r="J215" s="1933">
        <f>'Emission-Waste Transport Vehicl'!P77</f>
        <v>7.5895704149760004</v>
      </c>
      <c r="K215" s="1933">
        <f>'Emission-Waste Transport Vehicl'!Q77</f>
        <v>5.8942737976319997</v>
      </c>
      <c r="L215" s="1933">
        <f>'Emission-Waste Transport Vehicl'!R77</f>
        <v>0.58665577766400001</v>
      </c>
      <c r="M215" s="1933">
        <f t="shared" si="25"/>
        <v>0.88125074411273085</v>
      </c>
      <c r="N215" s="830">
        <f t="shared" si="26"/>
        <v>0.18552155599972517</v>
      </c>
      <c r="O215" s="830">
        <f t="shared" si="27"/>
        <v>1.4351862130446846</v>
      </c>
      <c r="P215" s="830">
        <f t="shared" si="28"/>
        <v>5.0439447352758053</v>
      </c>
      <c r="Q215" s="830">
        <f t="shared" si="19"/>
        <v>2.9680935969018003E-2</v>
      </c>
      <c r="R215" s="2773"/>
    </row>
    <row r="216" spans="1:18" x14ac:dyDescent="0.25">
      <c r="A216" s="2802"/>
      <c r="B216" s="706">
        <v>2064</v>
      </c>
      <c r="C216" s="1058">
        <f t="shared" si="20"/>
        <v>9.0850592176570188</v>
      </c>
      <c r="D216" s="1058">
        <f t="shared" si="21"/>
        <v>1.3600388050384762E-2</v>
      </c>
      <c r="E216" s="1058">
        <f t="shared" si="22"/>
        <v>0.18909979545254973</v>
      </c>
      <c r="F216" s="1058">
        <f t="shared" si="23"/>
        <v>0.85573641613020923</v>
      </c>
      <c r="G216" s="1058">
        <f t="shared" si="24"/>
        <v>5.0593443547431317E-2</v>
      </c>
      <c r="H216" s="1933">
        <v>97</v>
      </c>
      <c r="I216" s="1933">
        <f>'Emission-Waste Transport Vehicl'!N78</f>
        <v>13.373560857888002</v>
      </c>
      <c r="J216" s="1933">
        <f>'Emission-Waste Transport Vehicl'!P78</f>
        <v>7.4408264441280014</v>
      </c>
      <c r="K216" s="1933">
        <f>'Emission-Waste Transport Vehicl'!Q78</f>
        <v>5.7787550472960003</v>
      </c>
      <c r="L216" s="1933">
        <f>'Emission-Waste Transport Vehicl'!R78</f>
        <v>0.57515822179200005</v>
      </c>
      <c r="M216" s="1933">
        <f t="shared" si="25"/>
        <v>0.88125074411273085</v>
      </c>
      <c r="N216" s="830">
        <f t="shared" si="26"/>
        <v>0.18188561728271338</v>
      </c>
      <c r="O216" s="830">
        <f t="shared" si="27"/>
        <v>1.407058758582528</v>
      </c>
      <c r="P216" s="830">
        <f t="shared" si="28"/>
        <v>4.9450911338674368</v>
      </c>
      <c r="Q216" s="830">
        <f t="shared" si="19"/>
        <v>2.9099235025074534E-2</v>
      </c>
      <c r="R216" s="2773"/>
    </row>
    <row r="217" spans="1:18" x14ac:dyDescent="0.25">
      <c r="A217" s="2802"/>
      <c r="B217" s="706">
        <v>2065</v>
      </c>
      <c r="C217" s="1058">
        <f t="shared" si="20"/>
        <v>9.0850592176570188</v>
      </c>
      <c r="D217" s="1058">
        <f t="shared" si="21"/>
        <v>1.3600388050384762E-2</v>
      </c>
      <c r="E217" s="1058">
        <f t="shared" si="22"/>
        <v>0.18909979545254973</v>
      </c>
      <c r="F217" s="1058">
        <f t="shared" si="23"/>
        <v>0.85573641613020923</v>
      </c>
      <c r="G217" s="1058">
        <f t="shared" si="24"/>
        <v>5.0593443547431317E-2</v>
      </c>
      <c r="H217" s="1933">
        <v>97</v>
      </c>
      <c r="I217" s="1933">
        <f>'Emission-Waste Transport Vehicl'!N79</f>
        <v>13.112740558368001</v>
      </c>
      <c r="J217" s="1933">
        <f>'Emission-Waste Transport Vehicl'!P79</f>
        <v>7.2957103750080003</v>
      </c>
      <c r="K217" s="1933">
        <f>'Emission-Waste Transport Vehicl'!Q79</f>
        <v>5.6660538274560004</v>
      </c>
      <c r="L217" s="1933">
        <f>'Emission-Waste Transport Vehicl'!R79</f>
        <v>0.56394109411200011</v>
      </c>
      <c r="M217" s="1933">
        <f t="shared" si="25"/>
        <v>0.88125074411273085</v>
      </c>
      <c r="N217" s="830">
        <f t="shared" si="26"/>
        <v>0.17833835999782377</v>
      </c>
      <c r="O217" s="830">
        <f t="shared" si="27"/>
        <v>1.3796173395950577</v>
      </c>
      <c r="P217" s="830">
        <f t="shared" si="28"/>
        <v>4.8486485959080525</v>
      </c>
      <c r="Q217" s="830">
        <f t="shared" si="19"/>
        <v>2.853172190903213E-2</v>
      </c>
      <c r="R217" s="2773"/>
    </row>
    <row r="218" spans="1:18" x14ac:dyDescent="0.25">
      <c r="A218" s="2802"/>
      <c r="B218" s="706">
        <v>2066</v>
      </c>
      <c r="C218" s="1058">
        <f t="shared" si="20"/>
        <v>9.0850592176570188</v>
      </c>
      <c r="D218" s="1058">
        <f t="shared" si="21"/>
        <v>1.3600388050384762E-2</v>
      </c>
      <c r="E218" s="1058">
        <f t="shared" si="22"/>
        <v>0.18909979545254973</v>
      </c>
      <c r="F218" s="1058">
        <f t="shared" si="23"/>
        <v>0.85573641613020923</v>
      </c>
      <c r="G218" s="1058">
        <f t="shared" si="24"/>
        <v>5.0593443547431317E-2</v>
      </c>
      <c r="H218" s="1933">
        <v>97</v>
      </c>
      <c r="I218" s="1933">
        <f>'Emission-Waste Transport Vehicl'!N80</f>
        <v>12.855180512592</v>
      </c>
      <c r="J218" s="1933">
        <f>'Emission-Waste Transport Vehicl'!P80</f>
        <v>7.1524082567520004</v>
      </c>
      <c r="K218" s="1933">
        <f>'Emission-Waste Transport Vehicl'!Q80</f>
        <v>5.5547613728639993</v>
      </c>
      <c r="L218" s="1933">
        <f>'Emission-Waste Transport Vehicl'!R80</f>
        <v>0.55286418052800002</v>
      </c>
      <c r="M218" s="1933">
        <f t="shared" si="25"/>
        <v>0.88125074411273085</v>
      </c>
      <c r="N218" s="830">
        <f t="shared" si="26"/>
        <v>0.17483544342899529</v>
      </c>
      <c r="O218" s="830">
        <f t="shared" si="27"/>
        <v>1.3525189383449312</v>
      </c>
      <c r="P218" s="830">
        <f t="shared" si="28"/>
        <v>4.7534115896731599</v>
      </c>
      <c r="Q218" s="830">
        <f t="shared" si="19"/>
        <v>2.7971302706940246E-2</v>
      </c>
      <c r="R218" s="2773"/>
    </row>
    <row r="219" spans="1:18" x14ac:dyDescent="0.25">
      <c r="A219" s="2802"/>
      <c r="B219" s="706">
        <v>2067</v>
      </c>
      <c r="C219" s="1058">
        <f t="shared" si="20"/>
        <v>9.0850592176570188</v>
      </c>
      <c r="D219" s="1058">
        <f t="shared" si="21"/>
        <v>1.3600388050384762E-2</v>
      </c>
      <c r="E219" s="1058">
        <f t="shared" si="22"/>
        <v>0.18909979545254973</v>
      </c>
      <c r="F219" s="1058">
        <f t="shared" si="23"/>
        <v>0.85573641613020923</v>
      </c>
      <c r="G219" s="1058">
        <f t="shared" si="24"/>
        <v>5.0593443547431317E-2</v>
      </c>
      <c r="H219" s="1933">
        <v>97</v>
      </c>
      <c r="I219" s="1933">
        <f>'Emission-Waste Transport Vehicl'!N81</f>
        <v>12.600880720560001</v>
      </c>
      <c r="J219" s="1933">
        <f>'Emission-Waste Transport Vehicl'!P81</f>
        <v>7.0109200893600008</v>
      </c>
      <c r="K219" s="1933">
        <f>'Emission-Waste Transport Vehicl'!Q81</f>
        <v>5.4448776835200006</v>
      </c>
      <c r="L219" s="1933">
        <f>'Emission-Waste Transport Vehicl'!R81</f>
        <v>0.5419274810400001</v>
      </c>
      <c r="M219" s="1933">
        <f t="shared" si="25"/>
        <v>0.88125074411273085</v>
      </c>
      <c r="N219" s="830">
        <f t="shared" si="26"/>
        <v>0.17137686757622797</v>
      </c>
      <c r="O219" s="830">
        <f t="shared" si="27"/>
        <v>1.3257635548321478</v>
      </c>
      <c r="P219" s="830">
        <f t="shared" si="28"/>
        <v>4.6593801151627607</v>
      </c>
      <c r="Q219" s="830">
        <f t="shared" si="19"/>
        <v>2.7417977418798901E-2</v>
      </c>
      <c r="R219" s="2773"/>
    </row>
    <row r="220" spans="1:18" x14ac:dyDescent="0.25">
      <c r="A220" s="2802"/>
      <c r="B220" s="706">
        <v>2068</v>
      </c>
      <c r="C220" s="1058">
        <f t="shared" si="20"/>
        <v>9.0850592176570188</v>
      </c>
      <c r="D220" s="1058">
        <f t="shared" si="21"/>
        <v>1.3600388050384762E-2</v>
      </c>
      <c r="E220" s="1058">
        <f t="shared" si="22"/>
        <v>0.18909979545254973</v>
      </c>
      <c r="F220" s="1058">
        <f t="shared" si="23"/>
        <v>0.85573641613020923</v>
      </c>
      <c r="G220" s="1058">
        <f t="shared" si="24"/>
        <v>5.0593443547431317E-2</v>
      </c>
      <c r="H220" s="1933">
        <v>97</v>
      </c>
      <c r="I220" s="1933">
        <f>'Emission-Waste Transport Vehicl'!N82</f>
        <v>12.356361689760002</v>
      </c>
      <c r="J220" s="1933">
        <f>'Emission-Waste Transport Vehicl'!P82</f>
        <v>6.8748737745600002</v>
      </c>
      <c r="K220" s="1933">
        <f>'Emission-Waste Transport Vehicl'!Q82</f>
        <v>5.339220289920001</v>
      </c>
      <c r="L220" s="1933">
        <f>'Emission-Waste Transport Vehicl'!R82</f>
        <v>0.53141142384000006</v>
      </c>
      <c r="M220" s="1933">
        <f t="shared" si="25"/>
        <v>0.88125074411273085</v>
      </c>
      <c r="N220" s="830">
        <f t="shared" si="26"/>
        <v>0.16805131387164399</v>
      </c>
      <c r="O220" s="830">
        <f t="shared" si="27"/>
        <v>1.3000372245313945</v>
      </c>
      <c r="P220" s="830">
        <f t="shared" si="28"/>
        <v>4.5689652358258384</v>
      </c>
      <c r="Q220" s="830">
        <f t="shared" si="19"/>
        <v>2.6885933872509139E-2</v>
      </c>
      <c r="R220" s="2773"/>
    </row>
    <row r="221" spans="1:18" ht="15.75" thickBot="1" x14ac:dyDescent="0.3">
      <c r="A221" s="2807"/>
      <c r="B221" s="55">
        <v>2069</v>
      </c>
      <c r="C221" s="1060">
        <f t="shared" si="20"/>
        <v>9.0850592176570188</v>
      </c>
      <c r="D221" s="1060">
        <f t="shared" si="21"/>
        <v>1.3600388050384762E-2</v>
      </c>
      <c r="E221" s="1060">
        <f t="shared" si="22"/>
        <v>0.18909979545254973</v>
      </c>
      <c r="F221" s="1060">
        <f t="shared" si="23"/>
        <v>0.85573641613020923</v>
      </c>
      <c r="G221" s="1060">
        <f t="shared" si="24"/>
        <v>5.0593443547431317E-2</v>
      </c>
      <c r="H221" s="1934">
        <v>97</v>
      </c>
      <c r="I221" s="1934">
        <f>'Emission-Waste Transport Vehicl'!N83</f>
        <v>12.111842658960002</v>
      </c>
      <c r="J221" s="1934">
        <f>'Emission-Waste Transport Vehicl'!P83</f>
        <v>6.7388274597600004</v>
      </c>
      <c r="K221" s="1934">
        <f>'Emission-Waste Transport Vehicl'!Q83</f>
        <v>5.2335628963200005</v>
      </c>
      <c r="L221" s="1934">
        <f>'Emission-Waste Transport Vehicl'!R83</f>
        <v>0.52089536664000002</v>
      </c>
      <c r="M221" s="1934">
        <f t="shared" si="25"/>
        <v>0.88125074411273085</v>
      </c>
      <c r="N221" s="1063">
        <f t="shared" si="26"/>
        <v>0.16472576016706003</v>
      </c>
      <c r="O221" s="1063">
        <f t="shared" si="27"/>
        <v>1.2743108942306414</v>
      </c>
      <c r="P221" s="1063">
        <f t="shared" si="28"/>
        <v>4.4785503564889151</v>
      </c>
      <c r="Q221" s="1063">
        <f t="shared" si="19"/>
        <v>2.6353890326219379E-2</v>
      </c>
      <c r="R221" s="2774"/>
    </row>
    <row r="222" spans="1:18" ht="21.75" customHeight="1" thickBot="1" x14ac:dyDescent="0.3"/>
    <row r="223" spans="1:18" ht="75.75" customHeight="1" thickBot="1" x14ac:dyDescent="0.3">
      <c r="A223" s="2627" t="s">
        <v>1330</v>
      </c>
      <c r="B223" s="2628"/>
      <c r="C223" s="2629"/>
    </row>
    <row r="224" spans="1:18" ht="75" x14ac:dyDescent="0.25">
      <c r="A224" s="1302" t="s">
        <v>177</v>
      </c>
      <c r="B224" s="1033" t="s">
        <v>272</v>
      </c>
      <c r="C224" s="1034" t="s">
        <v>1297</v>
      </c>
    </row>
    <row r="225" spans="1:3" x14ac:dyDescent="0.25">
      <c r="A225" s="1303">
        <v>2019</v>
      </c>
      <c r="B225" s="1300">
        <v>62</v>
      </c>
      <c r="C225" s="1080">
        <f>('Emission-Solid-liquid Residual'!C41/1000)*B225</f>
        <v>21567.862439597015</v>
      </c>
    </row>
    <row r="226" spans="1:3" x14ac:dyDescent="0.25">
      <c r="A226" s="1303">
        <v>2020</v>
      </c>
      <c r="B226" s="1300">
        <v>64</v>
      </c>
      <c r="C226" s="1080">
        <f>('Emission-Solid-liquid Residual'!C41/1000)*B226</f>
        <v>22263.599937648531</v>
      </c>
    </row>
    <row r="227" spans="1:3" x14ac:dyDescent="0.25">
      <c r="A227" s="1303">
        <v>2021</v>
      </c>
      <c r="B227" s="1300">
        <v>65</v>
      </c>
      <c r="C227" s="1082">
        <f>('Emission-Solid-liquid Residual'!C41/1000)*B227</f>
        <v>22611.468686674289</v>
      </c>
    </row>
    <row r="228" spans="1:3" x14ac:dyDescent="0.25">
      <c r="A228" s="1303">
        <v>2022</v>
      </c>
      <c r="B228" s="1300">
        <v>66</v>
      </c>
      <c r="C228" s="1082">
        <f>('Emission-Solid-liquid Residual'!C41/1000)*B228</f>
        <v>22959.337435700047</v>
      </c>
    </row>
    <row r="229" spans="1:3" x14ac:dyDescent="0.25">
      <c r="A229" s="1303">
        <v>2023</v>
      </c>
      <c r="B229" s="1300">
        <v>67</v>
      </c>
      <c r="C229" s="1082">
        <f>('Emission-Solid-liquid Residual'!C41/1000)*B229</f>
        <v>23307.206184725805</v>
      </c>
    </row>
    <row r="230" spans="1:3" x14ac:dyDescent="0.25">
      <c r="A230" s="1303">
        <v>2024</v>
      </c>
      <c r="B230" s="1300">
        <v>68</v>
      </c>
      <c r="C230" s="1082">
        <f>('Emission-Solid-liquid Residual'!C41/1000)*B230</f>
        <v>23655.074933751563</v>
      </c>
    </row>
    <row r="231" spans="1:3" x14ac:dyDescent="0.25">
      <c r="A231" s="1303">
        <v>2025</v>
      </c>
      <c r="B231" s="1300">
        <v>69</v>
      </c>
      <c r="C231" s="1082">
        <f>('Emission-Solid-liquid Residual'!C41/1000)*B231</f>
        <v>24002.943682777321</v>
      </c>
    </row>
    <row r="232" spans="1:3" x14ac:dyDescent="0.25">
      <c r="A232" s="1303">
        <v>2026</v>
      </c>
      <c r="B232" s="1300">
        <v>70</v>
      </c>
      <c r="C232" s="1082">
        <f>('Emission-Solid-liquid Residual'!C41/1000)*B232</f>
        <v>24350.812431803079</v>
      </c>
    </row>
    <row r="233" spans="1:3" x14ac:dyDescent="0.25">
      <c r="A233" s="1303">
        <v>2027</v>
      </c>
      <c r="B233" s="1300">
        <v>71</v>
      </c>
      <c r="C233" s="1082">
        <f>('Emission-Solid-liquid Residual'!C41/1000)*B233</f>
        <v>24698.68118082884</v>
      </c>
    </row>
    <row r="234" spans="1:3" x14ac:dyDescent="0.25">
      <c r="A234" s="1303">
        <v>2028</v>
      </c>
      <c r="B234" s="1300">
        <v>72</v>
      </c>
      <c r="C234" s="1082">
        <f>('Emission-Solid-liquid Residual'!C41/1000)*B234</f>
        <v>25046.549929854598</v>
      </c>
    </row>
    <row r="235" spans="1:3" x14ac:dyDescent="0.25">
      <c r="A235" s="1303">
        <v>2029</v>
      </c>
      <c r="B235" s="1300">
        <v>73</v>
      </c>
      <c r="C235" s="1082">
        <f>('Emission-Solid-liquid Residual'!C41/1000)*B235</f>
        <v>25394.418678880356</v>
      </c>
    </row>
    <row r="236" spans="1:3" x14ac:dyDescent="0.25">
      <c r="A236" s="1303">
        <v>2030</v>
      </c>
      <c r="B236" s="1300">
        <v>75</v>
      </c>
      <c r="C236" s="1082">
        <f>('Emission-Solid-liquid Residual'!C41/1000)*B236</f>
        <v>26090.156176931872</v>
      </c>
    </row>
    <row r="237" spans="1:3" x14ac:dyDescent="0.25">
      <c r="A237" s="1303">
        <v>2031</v>
      </c>
      <c r="B237" s="1300">
        <v>76</v>
      </c>
      <c r="C237" s="1082">
        <f>('Emission-Solid-liquid Residual'!C41/1000)*B237</f>
        <v>26438.02492595763</v>
      </c>
    </row>
    <row r="238" spans="1:3" x14ac:dyDescent="0.25">
      <c r="A238" s="1303">
        <v>2032</v>
      </c>
      <c r="B238" s="1300">
        <v>77</v>
      </c>
      <c r="C238" s="1082">
        <f>('Emission-Solid-liquid Residual'!C41/1000)*B238</f>
        <v>26785.893674983388</v>
      </c>
    </row>
    <row r="239" spans="1:3" x14ac:dyDescent="0.25">
      <c r="A239" s="1303">
        <v>2033</v>
      </c>
      <c r="B239" s="1300">
        <v>78</v>
      </c>
      <c r="C239" s="1082">
        <f>('Emission-Solid-liquid Residual'!C41/1000)*B239</f>
        <v>27133.762424009146</v>
      </c>
    </row>
    <row r="240" spans="1:3" x14ac:dyDescent="0.25">
      <c r="A240" s="1303">
        <v>2034</v>
      </c>
      <c r="B240" s="1300">
        <v>79</v>
      </c>
      <c r="C240" s="1082">
        <f>('Emission-Solid-liquid Residual'!C41/1000)*B240</f>
        <v>27481.631173034904</v>
      </c>
    </row>
    <row r="241" spans="1:3" x14ac:dyDescent="0.25">
      <c r="A241" s="1303">
        <v>2035</v>
      </c>
      <c r="B241" s="1300">
        <v>80</v>
      </c>
      <c r="C241" s="1082">
        <f>('Emission-Solid-liquid Residual'!C41/1000)*B241</f>
        <v>27829.499922060662</v>
      </c>
    </row>
    <row r="242" spans="1:3" x14ac:dyDescent="0.25">
      <c r="A242" s="1303">
        <v>2036</v>
      </c>
      <c r="B242" s="1300">
        <v>81</v>
      </c>
      <c r="C242" s="1082">
        <f>('Emission-Solid-liquid Residual'!C41/1000)*B242</f>
        <v>28177.36867108642</v>
      </c>
    </row>
    <row r="243" spans="1:3" x14ac:dyDescent="0.25">
      <c r="A243" s="1303">
        <v>2037</v>
      </c>
      <c r="B243" s="1300">
        <v>83</v>
      </c>
      <c r="C243" s="1082">
        <f>('Emission-Solid-liquid Residual'!C41/1000)*B243</f>
        <v>28873.106169137936</v>
      </c>
    </row>
    <row r="244" spans="1:3" x14ac:dyDescent="0.25">
      <c r="A244" s="1303">
        <v>2038</v>
      </c>
      <c r="B244" s="1300">
        <v>84</v>
      </c>
      <c r="C244" s="1082">
        <f>('Emission-Solid-liquid Residual'!C41/1000)*B244</f>
        <v>29220.974918163698</v>
      </c>
    </row>
    <row r="245" spans="1:3" x14ac:dyDescent="0.25">
      <c r="A245" s="1303">
        <v>2039</v>
      </c>
      <c r="B245" s="1300">
        <v>85</v>
      </c>
      <c r="C245" s="1082">
        <f>('Emission-Solid-liquid Residual'!C41/1000)*B245</f>
        <v>29568.843667189456</v>
      </c>
    </row>
    <row r="246" spans="1:3" x14ac:dyDescent="0.25">
      <c r="A246" s="1303">
        <v>2040</v>
      </c>
      <c r="B246" s="1300">
        <v>86</v>
      </c>
      <c r="C246" s="1082">
        <f>('Emission-Solid-liquid Residual'!C41/1000)*B246</f>
        <v>29916.712416215214</v>
      </c>
    </row>
    <row r="247" spans="1:3" x14ac:dyDescent="0.25">
      <c r="A247" s="1303">
        <v>2041</v>
      </c>
      <c r="B247" s="1300">
        <v>87</v>
      </c>
      <c r="C247" s="1082">
        <f>('Emission-Solid-liquid Residual'!C41/1000)*B247</f>
        <v>30264.581165240972</v>
      </c>
    </row>
    <row r="248" spans="1:3" x14ac:dyDescent="0.25">
      <c r="A248" s="1303">
        <v>2042</v>
      </c>
      <c r="B248" s="1300">
        <v>88</v>
      </c>
      <c r="C248" s="1082">
        <f>('Emission-Solid-liquid Residual'!C41/1000)*B248</f>
        <v>30612.44991426673</v>
      </c>
    </row>
    <row r="249" spans="1:3" x14ac:dyDescent="0.25">
      <c r="A249" s="1303">
        <v>2043</v>
      </c>
      <c r="B249" s="1300">
        <v>89</v>
      </c>
      <c r="C249" s="1082">
        <f>('Emission-Solid-liquid Residual'!C41/1000)*B249</f>
        <v>30960.318663292488</v>
      </c>
    </row>
    <row r="250" spans="1:3" x14ac:dyDescent="0.25">
      <c r="A250" s="1303">
        <v>2044</v>
      </c>
      <c r="B250" s="1300">
        <v>90</v>
      </c>
      <c r="C250" s="1082">
        <f>('Emission-Solid-liquid Residual'!C41/1000)*B250</f>
        <v>31308.187412318246</v>
      </c>
    </row>
    <row r="251" spans="1:3" x14ac:dyDescent="0.25">
      <c r="A251" s="1303">
        <v>2045</v>
      </c>
      <c r="B251" s="1300">
        <v>92</v>
      </c>
      <c r="C251" s="1082">
        <f>('Emission-Solid-liquid Residual'!C41/1000)*B251</f>
        <v>32003.924910369762</v>
      </c>
    </row>
    <row r="252" spans="1:3" x14ac:dyDescent="0.25">
      <c r="A252" s="1303">
        <v>2046</v>
      </c>
      <c r="B252" s="1300">
        <v>93</v>
      </c>
      <c r="C252" s="1082">
        <f>('Emission-Solid-liquid Residual'!C41/1000)*B252</f>
        <v>32351.79365939552</v>
      </c>
    </row>
    <row r="253" spans="1:3" x14ac:dyDescent="0.25">
      <c r="A253" s="1303">
        <v>2047</v>
      </c>
      <c r="B253" s="1300">
        <v>94</v>
      </c>
      <c r="C253" s="1082">
        <f>('Emission-Solid-liquid Residual'!C41/1000)*B253</f>
        <v>32699.662408421278</v>
      </c>
    </row>
    <row r="254" spans="1:3" x14ac:dyDescent="0.25">
      <c r="A254" s="1303">
        <v>2048</v>
      </c>
      <c r="B254" s="1300">
        <v>95</v>
      </c>
      <c r="C254" s="1082">
        <f>('Emission-Solid-liquid Residual'!C41/1000)*B254</f>
        <v>33047.53115744704</v>
      </c>
    </row>
    <row r="255" spans="1:3" x14ac:dyDescent="0.25">
      <c r="A255" s="1303">
        <v>2049</v>
      </c>
      <c r="B255" s="1300">
        <v>96</v>
      </c>
      <c r="C255" s="1082">
        <f>('Emission-Solid-liquid Residual'!C41/1000)*B255</f>
        <v>33395.399906472798</v>
      </c>
    </row>
    <row r="256" spans="1:3" x14ac:dyDescent="0.25">
      <c r="A256" s="1303">
        <v>2050</v>
      </c>
      <c r="B256" s="1300">
        <v>97</v>
      </c>
      <c r="C256" s="1082">
        <f>('Emission-Solid-liquid Residual'!C41/1000)*B256</f>
        <v>33743.268655498556</v>
      </c>
    </row>
    <row r="257" spans="1:3" x14ac:dyDescent="0.25">
      <c r="A257" s="1303">
        <v>2051</v>
      </c>
      <c r="B257" s="1300">
        <v>97</v>
      </c>
      <c r="C257" s="1082">
        <f>('Emission-Solid-liquid Residual'!C41/1000)*B257</f>
        <v>33743.268655498556</v>
      </c>
    </row>
    <row r="258" spans="1:3" x14ac:dyDescent="0.25">
      <c r="A258" s="1303">
        <v>2052</v>
      </c>
      <c r="B258" s="1300">
        <v>97</v>
      </c>
      <c r="C258" s="1082">
        <f>('Emission-Solid-liquid Residual'!C41/1000)*B258</f>
        <v>33743.268655498556</v>
      </c>
    </row>
    <row r="259" spans="1:3" x14ac:dyDescent="0.25">
      <c r="A259" s="1303">
        <v>2053</v>
      </c>
      <c r="B259" s="1300">
        <v>97</v>
      </c>
      <c r="C259" s="1082">
        <f>('Emission-Solid-liquid Residual'!C41/1000)*B259</f>
        <v>33743.268655498556</v>
      </c>
    </row>
    <row r="260" spans="1:3" x14ac:dyDescent="0.25">
      <c r="A260" s="1303">
        <v>2054</v>
      </c>
      <c r="B260" s="1300">
        <v>97</v>
      </c>
      <c r="C260" s="1082">
        <f>('Emission-Solid-liquid Residual'!C41/1000)*B260</f>
        <v>33743.268655498556</v>
      </c>
    </row>
    <row r="261" spans="1:3" x14ac:dyDescent="0.25">
      <c r="A261" s="1303">
        <v>2055</v>
      </c>
      <c r="B261" s="1300">
        <v>97</v>
      </c>
      <c r="C261" s="1082">
        <f>('Emission-Solid-liquid Residual'!C41/1000)*B261</f>
        <v>33743.268655498556</v>
      </c>
    </row>
    <row r="262" spans="1:3" x14ac:dyDescent="0.25">
      <c r="A262" s="1303">
        <v>2056</v>
      </c>
      <c r="B262" s="1300">
        <v>97</v>
      </c>
      <c r="C262" s="1082">
        <f>('Emission-Solid-liquid Residual'!C41/1000)*B262</f>
        <v>33743.268655498556</v>
      </c>
    </row>
    <row r="263" spans="1:3" x14ac:dyDescent="0.25">
      <c r="A263" s="1303">
        <v>2057</v>
      </c>
      <c r="B263" s="1300">
        <v>97</v>
      </c>
      <c r="C263" s="1082">
        <f>('Emission-Solid-liquid Residual'!C41/1000)*B263</f>
        <v>33743.268655498556</v>
      </c>
    </row>
    <row r="264" spans="1:3" x14ac:dyDescent="0.25">
      <c r="A264" s="1303">
        <v>2058</v>
      </c>
      <c r="B264" s="1300">
        <v>97</v>
      </c>
      <c r="C264" s="1082">
        <f>('Emission-Solid-liquid Residual'!C41/1000)*B264</f>
        <v>33743.268655498556</v>
      </c>
    </row>
    <row r="265" spans="1:3" x14ac:dyDescent="0.25">
      <c r="A265" s="1303">
        <v>2059</v>
      </c>
      <c r="B265" s="1300">
        <v>97</v>
      </c>
      <c r="C265" s="1082">
        <f>('Emission-Solid-liquid Residual'!C41/1000)*B265</f>
        <v>33743.268655498556</v>
      </c>
    </row>
    <row r="266" spans="1:3" x14ac:dyDescent="0.25">
      <c r="A266" s="1303">
        <v>2060</v>
      </c>
      <c r="B266" s="1300">
        <v>97</v>
      </c>
      <c r="C266" s="1082">
        <f>('Emission-Solid-liquid Residual'!C41/1000)*B266</f>
        <v>33743.268655498556</v>
      </c>
    </row>
    <row r="267" spans="1:3" x14ac:dyDescent="0.25">
      <c r="A267" s="1303">
        <v>2061</v>
      </c>
      <c r="B267" s="1300">
        <v>97</v>
      </c>
      <c r="C267" s="1082">
        <f>('Emission-Solid-liquid Residual'!C41/1000)*B267</f>
        <v>33743.268655498556</v>
      </c>
    </row>
    <row r="268" spans="1:3" x14ac:dyDescent="0.25">
      <c r="A268" s="1303">
        <v>2062</v>
      </c>
      <c r="B268" s="1300">
        <v>97</v>
      </c>
      <c r="C268" s="1082">
        <f>('Emission-Solid-liquid Residual'!C41/1000)*B268</f>
        <v>33743.268655498556</v>
      </c>
    </row>
    <row r="269" spans="1:3" x14ac:dyDescent="0.25">
      <c r="A269" s="1303">
        <v>2063</v>
      </c>
      <c r="B269" s="1300">
        <v>97</v>
      </c>
      <c r="C269" s="1082">
        <f>('Emission-Solid-liquid Residual'!C41/1000)*B269</f>
        <v>33743.268655498556</v>
      </c>
    </row>
    <row r="270" spans="1:3" x14ac:dyDescent="0.25">
      <c r="A270" s="1303">
        <v>2064</v>
      </c>
      <c r="B270" s="1300">
        <v>97</v>
      </c>
      <c r="C270" s="1082">
        <f>('Emission-Solid-liquid Residual'!C41/1000)*B270</f>
        <v>33743.268655498556</v>
      </c>
    </row>
    <row r="271" spans="1:3" x14ac:dyDescent="0.25">
      <c r="A271" s="1303">
        <v>2065</v>
      </c>
      <c r="B271" s="1300">
        <v>97</v>
      </c>
      <c r="C271" s="1082">
        <f>('Emission-Solid-liquid Residual'!C41/1000)*B271</f>
        <v>33743.268655498556</v>
      </c>
    </row>
    <row r="272" spans="1:3" x14ac:dyDescent="0.25">
      <c r="A272" s="1303">
        <v>2066</v>
      </c>
      <c r="B272" s="1300">
        <v>97</v>
      </c>
      <c r="C272" s="1082">
        <f>('Emission-Solid-liquid Residual'!C41/1000)*B272</f>
        <v>33743.268655498556</v>
      </c>
    </row>
    <row r="273" spans="1:9" x14ac:dyDescent="0.25">
      <c r="A273" s="1303">
        <v>2067</v>
      </c>
      <c r="B273" s="1300">
        <v>97</v>
      </c>
      <c r="C273" s="1082">
        <f>('Emission-Solid-liquid Residual'!C41/1000)*B273</f>
        <v>33743.268655498556</v>
      </c>
    </row>
    <row r="274" spans="1:9" x14ac:dyDescent="0.25">
      <c r="A274" s="1303">
        <v>2068</v>
      </c>
      <c r="B274" s="1300">
        <v>97</v>
      </c>
      <c r="C274" s="1082">
        <f>('Emission-Solid-liquid Residual'!C41/1000)*B274</f>
        <v>33743.268655498556</v>
      </c>
    </row>
    <row r="275" spans="1:9" ht="15.75" thickBot="1" x14ac:dyDescent="0.3">
      <c r="A275" s="1020">
        <v>2069</v>
      </c>
      <c r="B275" s="1073">
        <v>97</v>
      </c>
      <c r="C275" s="1083">
        <f>('Emission-Solid-liquid Residual'!C41/1000)*B275</f>
        <v>33743.268655498556</v>
      </c>
    </row>
    <row r="276" spans="1:9" ht="45.75" customHeight="1" thickBot="1" x14ac:dyDescent="0.3">
      <c r="A276" s="2767" t="s">
        <v>1098</v>
      </c>
      <c r="B276" s="2768"/>
      <c r="C276" s="1084">
        <f>SUM(C225:C275)*1.2682</f>
        <v>1938929.6133260797</v>
      </c>
    </row>
    <row r="277" spans="1:9" ht="15.75" thickBot="1" x14ac:dyDescent="0.3"/>
    <row r="278" spans="1:9" ht="56.25" customHeight="1" thickBot="1" x14ac:dyDescent="0.3">
      <c r="A278" s="2627" t="s">
        <v>1480</v>
      </c>
      <c r="B278" s="2628"/>
      <c r="C278" s="2628"/>
      <c r="D278" s="2628"/>
      <c r="E278" s="2628"/>
      <c r="F278" s="2628"/>
      <c r="G278" s="2629"/>
      <c r="H278" s="1078"/>
      <c r="I278" s="1078"/>
    </row>
    <row r="279" spans="1:9" ht="63" x14ac:dyDescent="0.25">
      <c r="A279" s="1921" t="s">
        <v>1134</v>
      </c>
      <c r="B279" s="1918" t="s">
        <v>177</v>
      </c>
      <c r="C279" s="1922" t="s">
        <v>208</v>
      </c>
      <c r="D279" s="1922" t="s">
        <v>211</v>
      </c>
      <c r="E279" s="1922" t="s">
        <v>272</v>
      </c>
      <c r="F279" s="1922" t="s">
        <v>1339</v>
      </c>
      <c r="G279" s="1936" t="s">
        <v>316</v>
      </c>
    </row>
    <row r="280" spans="1:9" x14ac:dyDescent="0.25">
      <c r="A280" s="2862" t="s">
        <v>1479</v>
      </c>
      <c r="B280" s="1281">
        <v>2019</v>
      </c>
      <c r="C280" s="1058">
        <f>$D$45</f>
        <v>205615.27844201072</v>
      </c>
      <c r="D280" s="1212">
        <f t="shared" ref="D280:D311" si="29">(C280/1000)</f>
        <v>205.61527844201072</v>
      </c>
      <c r="E280" s="1281">
        <v>62</v>
      </c>
      <c r="F280" s="830">
        <f t="shared" ref="F280:F330" si="30">D280*E280</f>
        <v>12748.147263404664</v>
      </c>
      <c r="G280" s="2773">
        <f>(SUM(F280:F330)*1.2682)</f>
        <v>1146045.8964480951</v>
      </c>
    </row>
    <row r="281" spans="1:9" x14ac:dyDescent="0.25">
      <c r="A281" s="2862"/>
      <c r="B281" s="1281">
        <v>2020</v>
      </c>
      <c r="C281" s="1058">
        <f t="shared" ref="C281:C330" si="31">$D$45</f>
        <v>205615.27844201072</v>
      </c>
      <c r="D281" s="1212">
        <f t="shared" si="29"/>
        <v>205.61527844201072</v>
      </c>
      <c r="E281" s="1281">
        <v>64</v>
      </c>
      <c r="F281" s="830">
        <f t="shared" si="30"/>
        <v>13159.377820288686</v>
      </c>
      <c r="G281" s="2773"/>
    </row>
    <row r="282" spans="1:9" x14ac:dyDescent="0.25">
      <c r="A282" s="2862"/>
      <c r="B282" s="1281">
        <v>2021</v>
      </c>
      <c r="C282" s="1058">
        <f t="shared" si="31"/>
        <v>205615.27844201072</v>
      </c>
      <c r="D282" s="1212">
        <f t="shared" si="29"/>
        <v>205.61527844201072</v>
      </c>
      <c r="E282" s="1281">
        <v>65</v>
      </c>
      <c r="F282" s="830">
        <f t="shared" si="30"/>
        <v>13364.993098730696</v>
      </c>
      <c r="G282" s="2773"/>
    </row>
    <row r="283" spans="1:9" x14ac:dyDescent="0.25">
      <c r="A283" s="2862"/>
      <c r="B283" s="1281">
        <v>2022</v>
      </c>
      <c r="C283" s="1058">
        <f t="shared" si="31"/>
        <v>205615.27844201072</v>
      </c>
      <c r="D283" s="1212">
        <f t="shared" si="29"/>
        <v>205.61527844201072</v>
      </c>
      <c r="E283" s="1281">
        <v>66</v>
      </c>
      <c r="F283" s="830">
        <f t="shared" si="30"/>
        <v>13570.608377172708</v>
      </c>
      <c r="G283" s="2773"/>
    </row>
    <row r="284" spans="1:9" x14ac:dyDescent="0.25">
      <c r="A284" s="2862"/>
      <c r="B284" s="1281">
        <v>2023</v>
      </c>
      <c r="C284" s="1058">
        <f t="shared" si="31"/>
        <v>205615.27844201072</v>
      </c>
      <c r="D284" s="1212">
        <f t="shared" si="29"/>
        <v>205.61527844201072</v>
      </c>
      <c r="E284" s="1281">
        <v>67</v>
      </c>
      <c r="F284" s="830">
        <f t="shared" si="30"/>
        <v>13776.223655614718</v>
      </c>
      <c r="G284" s="2773"/>
    </row>
    <row r="285" spans="1:9" x14ac:dyDescent="0.25">
      <c r="A285" s="2862"/>
      <c r="B285" s="1281">
        <v>2024</v>
      </c>
      <c r="C285" s="1058">
        <f t="shared" si="31"/>
        <v>205615.27844201072</v>
      </c>
      <c r="D285" s="1212">
        <f t="shared" si="29"/>
        <v>205.61527844201072</v>
      </c>
      <c r="E285" s="1281">
        <v>68</v>
      </c>
      <c r="F285" s="830">
        <f t="shared" si="30"/>
        <v>13981.838934056728</v>
      </c>
      <c r="G285" s="2773"/>
    </row>
    <row r="286" spans="1:9" x14ac:dyDescent="0.25">
      <c r="A286" s="2862"/>
      <c r="B286" s="1281">
        <v>2025</v>
      </c>
      <c r="C286" s="1058">
        <f t="shared" si="31"/>
        <v>205615.27844201072</v>
      </c>
      <c r="D286" s="1212">
        <f t="shared" si="29"/>
        <v>205.61527844201072</v>
      </c>
      <c r="E286" s="1281">
        <v>69</v>
      </c>
      <c r="F286" s="830">
        <f t="shared" si="30"/>
        <v>14187.45421249874</v>
      </c>
      <c r="G286" s="2773"/>
    </row>
    <row r="287" spans="1:9" x14ac:dyDescent="0.25">
      <c r="A287" s="2862"/>
      <c r="B287" s="1281">
        <v>2026</v>
      </c>
      <c r="C287" s="1058">
        <f t="shared" si="31"/>
        <v>205615.27844201072</v>
      </c>
      <c r="D287" s="1212">
        <f t="shared" si="29"/>
        <v>205.61527844201072</v>
      </c>
      <c r="E287" s="1281">
        <v>70</v>
      </c>
      <c r="F287" s="830">
        <f t="shared" si="30"/>
        <v>14393.06949094075</v>
      </c>
      <c r="G287" s="2773"/>
    </row>
    <row r="288" spans="1:9" x14ac:dyDescent="0.25">
      <c r="A288" s="2862"/>
      <c r="B288" s="1281">
        <v>2027</v>
      </c>
      <c r="C288" s="1058">
        <f t="shared" si="31"/>
        <v>205615.27844201072</v>
      </c>
      <c r="D288" s="1212">
        <f t="shared" si="29"/>
        <v>205.61527844201072</v>
      </c>
      <c r="E288" s="1281">
        <v>71</v>
      </c>
      <c r="F288" s="830">
        <f t="shared" si="30"/>
        <v>14598.68476938276</v>
      </c>
      <c r="G288" s="2773"/>
    </row>
    <row r="289" spans="1:7" x14ac:dyDescent="0.25">
      <c r="A289" s="2862"/>
      <c r="B289" s="1281">
        <v>2028</v>
      </c>
      <c r="C289" s="1058">
        <f t="shared" si="31"/>
        <v>205615.27844201072</v>
      </c>
      <c r="D289" s="1212">
        <f t="shared" si="29"/>
        <v>205.61527844201072</v>
      </c>
      <c r="E289" s="1281">
        <v>72</v>
      </c>
      <c r="F289" s="830">
        <f t="shared" si="30"/>
        <v>14804.300047824772</v>
      </c>
      <c r="G289" s="2773"/>
    </row>
    <row r="290" spans="1:7" x14ac:dyDescent="0.25">
      <c r="A290" s="2862"/>
      <c r="B290" s="1281">
        <v>2029</v>
      </c>
      <c r="C290" s="1058">
        <f t="shared" si="31"/>
        <v>205615.27844201072</v>
      </c>
      <c r="D290" s="1212">
        <f t="shared" si="29"/>
        <v>205.61527844201072</v>
      </c>
      <c r="E290" s="1281">
        <v>73</v>
      </c>
      <c r="F290" s="830">
        <f t="shared" si="30"/>
        <v>15009.915326266782</v>
      </c>
      <c r="G290" s="2773"/>
    </row>
    <row r="291" spans="1:7" x14ac:dyDescent="0.25">
      <c r="A291" s="2862"/>
      <c r="B291" s="1281">
        <v>2030</v>
      </c>
      <c r="C291" s="1058">
        <f t="shared" si="31"/>
        <v>205615.27844201072</v>
      </c>
      <c r="D291" s="1212">
        <f t="shared" si="29"/>
        <v>205.61527844201072</v>
      </c>
      <c r="E291" s="1281">
        <v>75</v>
      </c>
      <c r="F291" s="830">
        <f t="shared" si="30"/>
        <v>15421.145883150804</v>
      </c>
      <c r="G291" s="2773"/>
    </row>
    <row r="292" spans="1:7" x14ac:dyDescent="0.25">
      <c r="A292" s="2862"/>
      <c r="B292" s="1281">
        <v>2031</v>
      </c>
      <c r="C292" s="1058">
        <f t="shared" si="31"/>
        <v>205615.27844201072</v>
      </c>
      <c r="D292" s="1212">
        <f t="shared" si="29"/>
        <v>205.61527844201072</v>
      </c>
      <c r="E292" s="1281">
        <v>76</v>
      </c>
      <c r="F292" s="830">
        <f t="shared" si="30"/>
        <v>15626.761161592814</v>
      </c>
      <c r="G292" s="2773"/>
    </row>
    <row r="293" spans="1:7" x14ac:dyDescent="0.25">
      <c r="A293" s="2862"/>
      <c r="B293" s="1281">
        <v>2032</v>
      </c>
      <c r="C293" s="1058">
        <f t="shared" si="31"/>
        <v>205615.27844201072</v>
      </c>
      <c r="D293" s="1212">
        <f t="shared" si="29"/>
        <v>205.61527844201072</v>
      </c>
      <c r="E293" s="1281">
        <v>77</v>
      </c>
      <c r="F293" s="830">
        <f t="shared" si="30"/>
        <v>15832.376440034825</v>
      </c>
      <c r="G293" s="2773"/>
    </row>
    <row r="294" spans="1:7" x14ac:dyDescent="0.25">
      <c r="A294" s="2862"/>
      <c r="B294" s="1281">
        <v>2033</v>
      </c>
      <c r="C294" s="1058">
        <f t="shared" si="31"/>
        <v>205615.27844201072</v>
      </c>
      <c r="D294" s="1212">
        <f t="shared" si="29"/>
        <v>205.61527844201072</v>
      </c>
      <c r="E294" s="1281">
        <v>78</v>
      </c>
      <c r="F294" s="830">
        <f t="shared" si="30"/>
        <v>16037.991718476836</v>
      </c>
      <c r="G294" s="2773"/>
    </row>
    <row r="295" spans="1:7" x14ac:dyDescent="0.25">
      <c r="A295" s="2862"/>
      <c r="B295" s="1281">
        <v>2034</v>
      </c>
      <c r="C295" s="1058">
        <f t="shared" si="31"/>
        <v>205615.27844201072</v>
      </c>
      <c r="D295" s="1212">
        <f t="shared" si="29"/>
        <v>205.61527844201072</v>
      </c>
      <c r="E295" s="1281">
        <v>79</v>
      </c>
      <c r="F295" s="830">
        <f t="shared" si="30"/>
        <v>16243.606996918847</v>
      </c>
      <c r="G295" s="2773"/>
    </row>
    <row r="296" spans="1:7" x14ac:dyDescent="0.25">
      <c r="A296" s="2862"/>
      <c r="B296" s="1281">
        <v>2035</v>
      </c>
      <c r="C296" s="1058">
        <f t="shared" si="31"/>
        <v>205615.27844201072</v>
      </c>
      <c r="D296" s="1212">
        <f t="shared" si="29"/>
        <v>205.61527844201072</v>
      </c>
      <c r="E296" s="1281">
        <v>80</v>
      </c>
      <c r="F296" s="830">
        <f t="shared" si="30"/>
        <v>16449.222275360858</v>
      </c>
      <c r="G296" s="2773"/>
    </row>
    <row r="297" spans="1:7" x14ac:dyDescent="0.25">
      <c r="A297" s="2862"/>
      <c r="B297" s="1281">
        <v>2036</v>
      </c>
      <c r="C297" s="1058">
        <f t="shared" si="31"/>
        <v>205615.27844201072</v>
      </c>
      <c r="D297" s="1212">
        <f t="shared" si="29"/>
        <v>205.61527844201072</v>
      </c>
      <c r="E297" s="1281">
        <v>81</v>
      </c>
      <c r="F297" s="830">
        <f t="shared" si="30"/>
        <v>16654.837553802867</v>
      </c>
      <c r="G297" s="2773"/>
    </row>
    <row r="298" spans="1:7" x14ac:dyDescent="0.25">
      <c r="A298" s="2862"/>
      <c r="B298" s="1281">
        <v>2037</v>
      </c>
      <c r="C298" s="1058">
        <f t="shared" si="31"/>
        <v>205615.27844201072</v>
      </c>
      <c r="D298" s="1212">
        <f t="shared" si="29"/>
        <v>205.61527844201072</v>
      </c>
      <c r="E298" s="1281">
        <v>83</v>
      </c>
      <c r="F298" s="830">
        <f t="shared" si="30"/>
        <v>17066.068110686891</v>
      </c>
      <c r="G298" s="2773"/>
    </row>
    <row r="299" spans="1:7" x14ac:dyDescent="0.25">
      <c r="A299" s="2862"/>
      <c r="B299" s="1281">
        <v>2038</v>
      </c>
      <c r="C299" s="1058">
        <f t="shared" si="31"/>
        <v>205615.27844201072</v>
      </c>
      <c r="D299" s="1212">
        <f t="shared" si="29"/>
        <v>205.61527844201072</v>
      </c>
      <c r="E299" s="1281">
        <v>84</v>
      </c>
      <c r="F299" s="830">
        <f t="shared" si="30"/>
        <v>17271.683389128899</v>
      </c>
      <c r="G299" s="2773"/>
    </row>
    <row r="300" spans="1:7" x14ac:dyDescent="0.25">
      <c r="A300" s="2862"/>
      <c r="B300" s="1281">
        <v>2039</v>
      </c>
      <c r="C300" s="1058">
        <f t="shared" si="31"/>
        <v>205615.27844201072</v>
      </c>
      <c r="D300" s="1212">
        <f t="shared" si="29"/>
        <v>205.61527844201072</v>
      </c>
      <c r="E300" s="1281">
        <v>85</v>
      </c>
      <c r="F300" s="830">
        <f t="shared" si="30"/>
        <v>17477.298667570911</v>
      </c>
      <c r="G300" s="2773"/>
    </row>
    <row r="301" spans="1:7" x14ac:dyDescent="0.25">
      <c r="A301" s="2862"/>
      <c r="B301" s="1281">
        <v>2040</v>
      </c>
      <c r="C301" s="1058">
        <f t="shared" si="31"/>
        <v>205615.27844201072</v>
      </c>
      <c r="D301" s="1212">
        <f t="shared" si="29"/>
        <v>205.61527844201072</v>
      </c>
      <c r="E301" s="1281">
        <v>86</v>
      </c>
      <c r="F301" s="830">
        <f t="shared" si="30"/>
        <v>17682.913946012923</v>
      </c>
      <c r="G301" s="2773"/>
    </row>
    <row r="302" spans="1:7" x14ac:dyDescent="0.25">
      <c r="A302" s="2862"/>
      <c r="B302" s="1281">
        <v>2041</v>
      </c>
      <c r="C302" s="1058">
        <f t="shared" si="31"/>
        <v>205615.27844201072</v>
      </c>
      <c r="D302" s="1212">
        <f t="shared" si="29"/>
        <v>205.61527844201072</v>
      </c>
      <c r="E302" s="1281">
        <v>87</v>
      </c>
      <c r="F302" s="830">
        <f t="shared" si="30"/>
        <v>17888.529224454931</v>
      </c>
      <c r="G302" s="2773"/>
    </row>
    <row r="303" spans="1:7" x14ac:dyDescent="0.25">
      <c r="A303" s="2862"/>
      <c r="B303" s="1281">
        <v>2042</v>
      </c>
      <c r="C303" s="1058">
        <f t="shared" si="31"/>
        <v>205615.27844201072</v>
      </c>
      <c r="D303" s="1212">
        <f t="shared" si="29"/>
        <v>205.61527844201072</v>
      </c>
      <c r="E303" s="1281">
        <v>88</v>
      </c>
      <c r="F303" s="830">
        <f t="shared" si="30"/>
        <v>18094.144502896943</v>
      </c>
      <c r="G303" s="2773"/>
    </row>
    <row r="304" spans="1:7" x14ac:dyDescent="0.25">
      <c r="A304" s="2862"/>
      <c r="B304" s="1281">
        <v>2043</v>
      </c>
      <c r="C304" s="1058">
        <f t="shared" si="31"/>
        <v>205615.27844201072</v>
      </c>
      <c r="D304" s="1212">
        <f t="shared" si="29"/>
        <v>205.61527844201072</v>
      </c>
      <c r="E304" s="1281">
        <v>89</v>
      </c>
      <c r="F304" s="830">
        <f t="shared" si="30"/>
        <v>18299.759781338955</v>
      </c>
      <c r="G304" s="2773"/>
    </row>
    <row r="305" spans="1:7" x14ac:dyDescent="0.25">
      <c r="A305" s="2862"/>
      <c r="B305" s="1281">
        <v>2044</v>
      </c>
      <c r="C305" s="1058">
        <f t="shared" si="31"/>
        <v>205615.27844201072</v>
      </c>
      <c r="D305" s="1212">
        <f t="shared" si="29"/>
        <v>205.61527844201072</v>
      </c>
      <c r="E305" s="1281">
        <v>90</v>
      </c>
      <c r="F305" s="830">
        <f t="shared" si="30"/>
        <v>18505.375059780963</v>
      </c>
      <c r="G305" s="2773"/>
    </row>
    <row r="306" spans="1:7" x14ac:dyDescent="0.25">
      <c r="A306" s="2862"/>
      <c r="B306" s="1281">
        <v>2045</v>
      </c>
      <c r="C306" s="1058">
        <f t="shared" si="31"/>
        <v>205615.27844201072</v>
      </c>
      <c r="D306" s="1212">
        <f t="shared" si="29"/>
        <v>205.61527844201072</v>
      </c>
      <c r="E306" s="1281">
        <v>92</v>
      </c>
      <c r="F306" s="830">
        <f t="shared" si="30"/>
        <v>18916.605616664987</v>
      </c>
      <c r="G306" s="2773"/>
    </row>
    <row r="307" spans="1:7" x14ac:dyDescent="0.25">
      <c r="A307" s="2862"/>
      <c r="B307" s="1281">
        <v>2046</v>
      </c>
      <c r="C307" s="1058">
        <f t="shared" si="31"/>
        <v>205615.27844201072</v>
      </c>
      <c r="D307" s="1212">
        <f t="shared" si="29"/>
        <v>205.61527844201072</v>
      </c>
      <c r="E307" s="1281">
        <v>93</v>
      </c>
      <c r="F307" s="830">
        <f t="shared" si="30"/>
        <v>19122.220895106995</v>
      </c>
      <c r="G307" s="2773"/>
    </row>
    <row r="308" spans="1:7" x14ac:dyDescent="0.25">
      <c r="A308" s="2862"/>
      <c r="B308" s="1281">
        <v>2047</v>
      </c>
      <c r="C308" s="1058">
        <f t="shared" si="31"/>
        <v>205615.27844201072</v>
      </c>
      <c r="D308" s="1212">
        <f t="shared" si="29"/>
        <v>205.61527844201072</v>
      </c>
      <c r="E308" s="1281">
        <v>94</v>
      </c>
      <c r="F308" s="830">
        <f t="shared" si="30"/>
        <v>19327.836173549007</v>
      </c>
      <c r="G308" s="2773"/>
    </row>
    <row r="309" spans="1:7" x14ac:dyDescent="0.25">
      <c r="A309" s="2862"/>
      <c r="B309" s="1281">
        <v>2048</v>
      </c>
      <c r="C309" s="1058">
        <f t="shared" si="31"/>
        <v>205615.27844201072</v>
      </c>
      <c r="D309" s="1212">
        <f t="shared" si="29"/>
        <v>205.61527844201072</v>
      </c>
      <c r="E309" s="1281">
        <v>95</v>
      </c>
      <c r="F309" s="830">
        <f t="shared" si="30"/>
        <v>19533.451451991019</v>
      </c>
      <c r="G309" s="2773"/>
    </row>
    <row r="310" spans="1:7" x14ac:dyDescent="0.25">
      <c r="A310" s="2862"/>
      <c r="B310" s="1281">
        <v>2049</v>
      </c>
      <c r="C310" s="1058">
        <f t="shared" si="31"/>
        <v>205615.27844201072</v>
      </c>
      <c r="D310" s="1212">
        <f t="shared" si="29"/>
        <v>205.61527844201072</v>
      </c>
      <c r="E310" s="1281">
        <v>96</v>
      </c>
      <c r="F310" s="830">
        <f t="shared" si="30"/>
        <v>19739.066730433027</v>
      </c>
      <c r="G310" s="2773"/>
    </row>
    <row r="311" spans="1:7" x14ac:dyDescent="0.25">
      <c r="A311" s="2862"/>
      <c r="B311" s="1281">
        <v>2050</v>
      </c>
      <c r="C311" s="1058">
        <f t="shared" si="31"/>
        <v>205615.27844201072</v>
      </c>
      <c r="D311" s="1212">
        <f t="shared" si="29"/>
        <v>205.61527844201072</v>
      </c>
      <c r="E311" s="1281">
        <v>97</v>
      </c>
      <c r="F311" s="830">
        <f t="shared" si="30"/>
        <v>19944.682008875039</v>
      </c>
      <c r="G311" s="2773"/>
    </row>
    <row r="312" spans="1:7" x14ac:dyDescent="0.25">
      <c r="A312" s="2862"/>
      <c r="B312" s="1281">
        <v>2051</v>
      </c>
      <c r="C312" s="1058">
        <f t="shared" si="31"/>
        <v>205615.27844201072</v>
      </c>
      <c r="D312" s="1212">
        <f t="shared" ref="D312:D330" si="32">(C312/1000)</f>
        <v>205.61527844201072</v>
      </c>
      <c r="E312" s="1281">
        <v>97</v>
      </c>
      <c r="F312" s="830">
        <f t="shared" si="30"/>
        <v>19944.682008875039</v>
      </c>
      <c r="G312" s="2773"/>
    </row>
    <row r="313" spans="1:7" x14ac:dyDescent="0.25">
      <c r="A313" s="2862"/>
      <c r="B313" s="1281">
        <v>2052</v>
      </c>
      <c r="C313" s="1058">
        <f t="shared" si="31"/>
        <v>205615.27844201072</v>
      </c>
      <c r="D313" s="1212">
        <f t="shared" si="32"/>
        <v>205.61527844201072</v>
      </c>
      <c r="E313" s="1281">
        <v>97</v>
      </c>
      <c r="F313" s="830">
        <f t="shared" si="30"/>
        <v>19944.682008875039</v>
      </c>
      <c r="G313" s="2773"/>
    </row>
    <row r="314" spans="1:7" x14ac:dyDescent="0.25">
      <c r="A314" s="2862"/>
      <c r="B314" s="1281">
        <v>2053</v>
      </c>
      <c r="C314" s="1058">
        <f t="shared" si="31"/>
        <v>205615.27844201072</v>
      </c>
      <c r="D314" s="1212">
        <f t="shared" si="32"/>
        <v>205.61527844201072</v>
      </c>
      <c r="E314" s="1281">
        <v>97</v>
      </c>
      <c r="F314" s="830">
        <f t="shared" si="30"/>
        <v>19944.682008875039</v>
      </c>
      <c r="G314" s="2773"/>
    </row>
    <row r="315" spans="1:7" x14ac:dyDescent="0.25">
      <c r="A315" s="2862"/>
      <c r="B315" s="1281">
        <v>2054</v>
      </c>
      <c r="C315" s="1058">
        <f t="shared" si="31"/>
        <v>205615.27844201072</v>
      </c>
      <c r="D315" s="1212">
        <f t="shared" si="32"/>
        <v>205.61527844201072</v>
      </c>
      <c r="E315" s="1281">
        <v>97</v>
      </c>
      <c r="F315" s="830">
        <f t="shared" si="30"/>
        <v>19944.682008875039</v>
      </c>
      <c r="G315" s="2773"/>
    </row>
    <row r="316" spans="1:7" x14ac:dyDescent="0.25">
      <c r="A316" s="2862"/>
      <c r="B316" s="1281">
        <v>2055</v>
      </c>
      <c r="C316" s="1058">
        <f t="shared" si="31"/>
        <v>205615.27844201072</v>
      </c>
      <c r="D316" s="1212">
        <f t="shared" si="32"/>
        <v>205.61527844201072</v>
      </c>
      <c r="E316" s="1281">
        <v>97</v>
      </c>
      <c r="F316" s="830">
        <f t="shared" si="30"/>
        <v>19944.682008875039</v>
      </c>
      <c r="G316" s="2773"/>
    </row>
    <row r="317" spans="1:7" x14ac:dyDescent="0.25">
      <c r="A317" s="2862"/>
      <c r="B317" s="1281">
        <v>2056</v>
      </c>
      <c r="C317" s="1058">
        <f t="shared" si="31"/>
        <v>205615.27844201072</v>
      </c>
      <c r="D317" s="1212">
        <f t="shared" si="32"/>
        <v>205.61527844201072</v>
      </c>
      <c r="E317" s="1281">
        <v>97</v>
      </c>
      <c r="F317" s="830">
        <f t="shared" si="30"/>
        <v>19944.682008875039</v>
      </c>
      <c r="G317" s="2773"/>
    </row>
    <row r="318" spans="1:7" x14ac:dyDescent="0.25">
      <c r="A318" s="2862"/>
      <c r="B318" s="1281">
        <v>2057</v>
      </c>
      <c r="C318" s="1058">
        <f t="shared" si="31"/>
        <v>205615.27844201072</v>
      </c>
      <c r="D318" s="1212">
        <f t="shared" si="32"/>
        <v>205.61527844201072</v>
      </c>
      <c r="E318" s="1281">
        <v>97</v>
      </c>
      <c r="F318" s="830">
        <f t="shared" si="30"/>
        <v>19944.682008875039</v>
      </c>
      <c r="G318" s="2773"/>
    </row>
    <row r="319" spans="1:7" x14ac:dyDescent="0.25">
      <c r="A319" s="2862"/>
      <c r="B319" s="1281">
        <v>2058</v>
      </c>
      <c r="C319" s="1058">
        <f t="shared" si="31"/>
        <v>205615.27844201072</v>
      </c>
      <c r="D319" s="1212">
        <f t="shared" si="32"/>
        <v>205.61527844201072</v>
      </c>
      <c r="E319" s="1281">
        <v>97</v>
      </c>
      <c r="F319" s="830">
        <f t="shared" si="30"/>
        <v>19944.682008875039</v>
      </c>
      <c r="G319" s="2773"/>
    </row>
    <row r="320" spans="1:7" x14ac:dyDescent="0.25">
      <c r="A320" s="2862"/>
      <c r="B320" s="1281">
        <v>2059</v>
      </c>
      <c r="C320" s="1058">
        <f t="shared" si="31"/>
        <v>205615.27844201072</v>
      </c>
      <c r="D320" s="1212">
        <f t="shared" si="32"/>
        <v>205.61527844201072</v>
      </c>
      <c r="E320" s="1281">
        <v>97</v>
      </c>
      <c r="F320" s="830">
        <f t="shared" si="30"/>
        <v>19944.682008875039</v>
      </c>
      <c r="G320" s="2773"/>
    </row>
    <row r="321" spans="1:18" x14ac:dyDescent="0.25">
      <c r="A321" s="2862"/>
      <c r="B321" s="1281">
        <v>2060</v>
      </c>
      <c r="C321" s="1058">
        <f t="shared" si="31"/>
        <v>205615.27844201072</v>
      </c>
      <c r="D321" s="1212">
        <f t="shared" si="32"/>
        <v>205.61527844201072</v>
      </c>
      <c r="E321" s="1281">
        <v>97</v>
      </c>
      <c r="F321" s="830">
        <f t="shared" si="30"/>
        <v>19944.682008875039</v>
      </c>
      <c r="G321" s="2773"/>
    </row>
    <row r="322" spans="1:18" x14ac:dyDescent="0.25">
      <c r="A322" s="2862"/>
      <c r="B322" s="1281">
        <v>2061</v>
      </c>
      <c r="C322" s="1058">
        <f t="shared" si="31"/>
        <v>205615.27844201072</v>
      </c>
      <c r="D322" s="1212">
        <f t="shared" si="32"/>
        <v>205.61527844201072</v>
      </c>
      <c r="E322" s="1281">
        <v>97</v>
      </c>
      <c r="F322" s="830">
        <f t="shared" si="30"/>
        <v>19944.682008875039</v>
      </c>
      <c r="G322" s="2773"/>
    </row>
    <row r="323" spans="1:18" x14ac:dyDescent="0.25">
      <c r="A323" s="2862"/>
      <c r="B323" s="1281">
        <v>2062</v>
      </c>
      <c r="C323" s="1058">
        <f t="shared" si="31"/>
        <v>205615.27844201072</v>
      </c>
      <c r="D323" s="1212">
        <f t="shared" si="32"/>
        <v>205.61527844201072</v>
      </c>
      <c r="E323" s="1281">
        <v>97</v>
      </c>
      <c r="F323" s="830">
        <f t="shared" si="30"/>
        <v>19944.682008875039</v>
      </c>
      <c r="G323" s="2773"/>
    </row>
    <row r="324" spans="1:18" x14ac:dyDescent="0.25">
      <c r="A324" s="2862"/>
      <c r="B324" s="1281">
        <v>2063</v>
      </c>
      <c r="C324" s="1058">
        <f t="shared" si="31"/>
        <v>205615.27844201072</v>
      </c>
      <c r="D324" s="1212">
        <f t="shared" si="32"/>
        <v>205.61527844201072</v>
      </c>
      <c r="E324" s="1281">
        <v>97</v>
      </c>
      <c r="F324" s="830">
        <f t="shared" si="30"/>
        <v>19944.682008875039</v>
      </c>
      <c r="G324" s="2773"/>
    </row>
    <row r="325" spans="1:18" x14ac:dyDescent="0.25">
      <c r="A325" s="2862"/>
      <c r="B325" s="1281">
        <v>2064</v>
      </c>
      <c r="C325" s="1058">
        <f t="shared" si="31"/>
        <v>205615.27844201072</v>
      </c>
      <c r="D325" s="1212">
        <f t="shared" si="32"/>
        <v>205.61527844201072</v>
      </c>
      <c r="E325" s="1281">
        <v>97</v>
      </c>
      <c r="F325" s="830">
        <f t="shared" si="30"/>
        <v>19944.682008875039</v>
      </c>
      <c r="G325" s="2773"/>
    </row>
    <row r="326" spans="1:18" x14ac:dyDescent="0.25">
      <c r="A326" s="2862"/>
      <c r="B326" s="1281">
        <v>2065</v>
      </c>
      <c r="C326" s="1058">
        <f t="shared" si="31"/>
        <v>205615.27844201072</v>
      </c>
      <c r="D326" s="1212">
        <f t="shared" si="32"/>
        <v>205.61527844201072</v>
      </c>
      <c r="E326" s="1281">
        <v>97</v>
      </c>
      <c r="F326" s="830">
        <f t="shared" si="30"/>
        <v>19944.682008875039</v>
      </c>
      <c r="G326" s="2773"/>
    </row>
    <row r="327" spans="1:18" x14ac:dyDescent="0.25">
      <c r="A327" s="2862"/>
      <c r="B327" s="1281">
        <v>2066</v>
      </c>
      <c r="C327" s="1058">
        <f t="shared" si="31"/>
        <v>205615.27844201072</v>
      </c>
      <c r="D327" s="1212">
        <f t="shared" si="32"/>
        <v>205.61527844201072</v>
      </c>
      <c r="E327" s="1281">
        <v>97</v>
      </c>
      <c r="F327" s="830">
        <f t="shared" si="30"/>
        <v>19944.682008875039</v>
      </c>
      <c r="G327" s="2773"/>
    </row>
    <row r="328" spans="1:18" x14ac:dyDescent="0.25">
      <c r="A328" s="2862"/>
      <c r="B328" s="1281">
        <v>2067</v>
      </c>
      <c r="C328" s="1058">
        <f t="shared" si="31"/>
        <v>205615.27844201072</v>
      </c>
      <c r="D328" s="1212">
        <f t="shared" si="32"/>
        <v>205.61527844201072</v>
      </c>
      <c r="E328" s="1281">
        <v>97</v>
      </c>
      <c r="F328" s="830">
        <f t="shared" si="30"/>
        <v>19944.682008875039</v>
      </c>
      <c r="G328" s="2773"/>
    </row>
    <row r="329" spans="1:18" x14ac:dyDescent="0.25">
      <c r="A329" s="2862"/>
      <c r="B329" s="1281">
        <v>2068</v>
      </c>
      <c r="C329" s="1058">
        <f t="shared" si="31"/>
        <v>205615.27844201072</v>
      </c>
      <c r="D329" s="1212">
        <f t="shared" si="32"/>
        <v>205.61527844201072</v>
      </c>
      <c r="E329" s="1281">
        <v>97</v>
      </c>
      <c r="F329" s="830">
        <f t="shared" si="30"/>
        <v>19944.682008875039</v>
      </c>
      <c r="G329" s="2773"/>
      <c r="J329" s="1067"/>
      <c r="K329" s="1067"/>
      <c r="L329" s="1067"/>
      <c r="M329" s="1067"/>
      <c r="N329" s="1307"/>
      <c r="O329" s="1307"/>
      <c r="P329" s="1307"/>
      <c r="Q329" s="1307"/>
      <c r="R329" s="1307"/>
    </row>
    <row r="330" spans="1:18" ht="54.75" customHeight="1" thickBot="1" x14ac:dyDescent="0.3">
      <c r="A330" s="2863"/>
      <c r="B330" s="776">
        <v>2069</v>
      </c>
      <c r="C330" s="1058">
        <f t="shared" si="31"/>
        <v>205615.27844201072</v>
      </c>
      <c r="D330" s="1214">
        <f t="shared" si="32"/>
        <v>205.61527844201072</v>
      </c>
      <c r="E330" s="776">
        <v>97</v>
      </c>
      <c r="F330" s="1063">
        <f t="shared" si="30"/>
        <v>19944.682008875039</v>
      </c>
      <c r="G330" s="2774"/>
    </row>
    <row r="331" spans="1:18" ht="15.75" thickBot="1" x14ac:dyDescent="0.3"/>
    <row r="332" spans="1:18" ht="71.25" customHeight="1" thickBot="1" x14ac:dyDescent="0.3">
      <c r="A332" s="2832" t="s">
        <v>1329</v>
      </c>
      <c r="B332" s="2833"/>
      <c r="C332" s="2833"/>
      <c r="D332" s="2833"/>
      <c r="E332" s="2833"/>
      <c r="F332" s="2833"/>
      <c r="G332" s="2833"/>
      <c r="H332" s="2833"/>
      <c r="I332" s="2833"/>
      <c r="J332" s="2833"/>
      <c r="K332" s="2833"/>
      <c r="L332" s="2833"/>
      <c r="M332" s="2833"/>
      <c r="N332" s="2833"/>
      <c r="O332" s="2833"/>
      <c r="P332" s="2833"/>
      <c r="Q332" s="2833"/>
      <c r="R332" s="2834"/>
    </row>
    <row r="333" spans="1:18" ht="78" customHeight="1" thickBot="1" x14ac:dyDescent="0.3">
      <c r="A333" s="861" t="s">
        <v>1115</v>
      </c>
      <c r="B333" s="1071" t="s">
        <v>177</v>
      </c>
      <c r="C333" s="821" t="s">
        <v>1244</v>
      </c>
      <c r="D333" s="821" t="s">
        <v>1252</v>
      </c>
      <c r="E333" s="821" t="s">
        <v>1247</v>
      </c>
      <c r="F333" s="821" t="s">
        <v>1241</v>
      </c>
      <c r="G333" s="821" t="s">
        <v>1242</v>
      </c>
      <c r="H333" s="1028" t="s">
        <v>272</v>
      </c>
      <c r="I333" s="821" t="s">
        <v>1080</v>
      </c>
      <c r="J333" s="821" t="s">
        <v>273</v>
      </c>
      <c r="K333" s="821" t="s">
        <v>455</v>
      </c>
      <c r="L333" s="821" t="s">
        <v>274</v>
      </c>
      <c r="M333" s="821" t="s">
        <v>1117</v>
      </c>
      <c r="N333" s="821" t="s">
        <v>1079</v>
      </c>
      <c r="O333" s="821" t="s">
        <v>271</v>
      </c>
      <c r="P333" s="821" t="s">
        <v>277</v>
      </c>
      <c r="Q333" s="821" t="s">
        <v>278</v>
      </c>
      <c r="R333" s="836" t="s">
        <v>316</v>
      </c>
    </row>
    <row r="334" spans="1:18" x14ac:dyDescent="0.25">
      <c r="A334" s="2806" t="s">
        <v>1293</v>
      </c>
      <c r="B334" s="888">
        <v>2019</v>
      </c>
      <c r="C334" s="1055">
        <f t="shared" ref="C334:C365" si="33">$L$15</f>
        <v>1084.683681072727</v>
      </c>
      <c r="D334" s="1055">
        <f t="shared" ref="D334:D365" si="34">$K$15</f>
        <v>0.46255167636363631</v>
      </c>
      <c r="E334" s="1055">
        <f t="shared" ref="E334:E365" si="35">$H$15</f>
        <v>2.8909479772727265</v>
      </c>
      <c r="F334" s="1055">
        <f t="shared" ref="F334:F365" si="36">$I$15</f>
        <v>3.1222238154545442E-2</v>
      </c>
      <c r="G334" s="1055">
        <f t="shared" ref="G334:G365" si="37">$J$15</f>
        <v>0.99448610418181815</v>
      </c>
      <c r="H334" s="1056">
        <v>62</v>
      </c>
      <c r="I334" s="1056">
        <f>'Emission-Waste Transport Vehicl'!N33</f>
        <v>32.602537440000006</v>
      </c>
      <c r="J334" s="1056">
        <f>'Emission-Waste Transport Vehicl'!P33</f>
        <v>18.139508640000003</v>
      </c>
      <c r="K334" s="1056">
        <f>'Emission-Waste Transport Vehicl'!Q33</f>
        <v>14.087652480000001</v>
      </c>
      <c r="L334" s="1056">
        <f>'Emission-Waste Transport Vehicl'!R33</f>
        <v>1.4021409600000001</v>
      </c>
      <c r="M334" s="1056">
        <f t="shared" ref="M334:M365" si="38">(C334/1000)*H334</f>
        <v>67.250388226509074</v>
      </c>
      <c r="N334" s="1057">
        <f>D334*I334</f>
        <v>15.080358346580219</v>
      </c>
      <c r="O334" s="1057">
        <f>E334*J334</f>
        <v>52.440375811529151</v>
      </c>
      <c r="P334" s="1057">
        <f>F334*K334</f>
        <v>0.43984804076903272</v>
      </c>
      <c r="Q334" s="1057">
        <f>G334*L334</f>
        <v>1.3944097008241547</v>
      </c>
      <c r="R334" s="2772">
        <f>(SUM(M334:M384)*1.2682)+(SUM(N334:N384))+(SUM(O334:O384))+(SUM(P334:P384))+(SUM(Q334:Q384))</f>
        <v>8293.8967588128344</v>
      </c>
    </row>
    <row r="335" spans="1:18" x14ac:dyDescent="0.25">
      <c r="A335" s="2802"/>
      <c r="B335" s="706">
        <v>2020</v>
      </c>
      <c r="C335" s="1059">
        <f t="shared" si="33"/>
        <v>1084.683681072727</v>
      </c>
      <c r="D335" s="1059">
        <f t="shared" si="34"/>
        <v>0.46255167636363631</v>
      </c>
      <c r="E335" s="1059">
        <f t="shared" si="35"/>
        <v>2.8909479772727265</v>
      </c>
      <c r="F335" s="1059">
        <f t="shared" si="36"/>
        <v>3.1222238154545442E-2</v>
      </c>
      <c r="G335" s="1059">
        <f t="shared" si="37"/>
        <v>0.99448610418181815</v>
      </c>
      <c r="H335" s="827">
        <v>64</v>
      </c>
      <c r="I335" s="827">
        <f>'Emission-Waste Transport Vehicl'!N34</f>
        <v>31.963527706176006</v>
      </c>
      <c r="J335" s="827">
        <f>'Emission-Waste Transport Vehicl'!P34</f>
        <v>17.783974270656003</v>
      </c>
      <c r="K335" s="827">
        <f>'Emission-Waste Transport Vehicl'!Q34</f>
        <v>13.811534491392001</v>
      </c>
      <c r="L335" s="827">
        <f>'Emission-Waste Transport Vehicl'!R34</f>
        <v>1.3746589971840002</v>
      </c>
      <c r="M335" s="827">
        <f t="shared" si="38"/>
        <v>69.419755588654525</v>
      </c>
      <c r="N335" s="830">
        <f t="shared" ref="N335:N366" si="39">D335*I335</f>
        <v>14.784783322987247</v>
      </c>
      <c r="O335" s="830">
        <f t="shared" ref="O335:O366" si="40">E335*J335</f>
        <v>51.412544445623183</v>
      </c>
      <c r="P335" s="830">
        <f t="shared" ref="P335:P366" si="41">F335*K335</f>
        <v>0.4312270191699597</v>
      </c>
      <c r="Q335" s="830">
        <f t="shared" ref="Q335:Q384" si="42">G335*L335</f>
        <v>1.3670792706880013</v>
      </c>
      <c r="R335" s="2773"/>
    </row>
    <row r="336" spans="1:18" x14ac:dyDescent="0.25">
      <c r="A336" s="2802"/>
      <c r="B336" s="706">
        <v>2021</v>
      </c>
      <c r="C336" s="1059">
        <f t="shared" si="33"/>
        <v>1084.683681072727</v>
      </c>
      <c r="D336" s="1059">
        <f t="shared" si="34"/>
        <v>0.46255167636363631</v>
      </c>
      <c r="E336" s="1059">
        <f t="shared" si="35"/>
        <v>2.8909479772727265</v>
      </c>
      <c r="F336" s="1059">
        <f t="shared" si="36"/>
        <v>3.1222238154545442E-2</v>
      </c>
      <c r="G336" s="1059">
        <f t="shared" si="37"/>
        <v>0.99448610418181815</v>
      </c>
      <c r="H336" s="827">
        <v>65</v>
      </c>
      <c r="I336" s="827">
        <f>'Emission-Waste Transport Vehicl'!N35</f>
        <v>31.337558987328006</v>
      </c>
      <c r="J336" s="827">
        <f>'Emission-Waste Transport Vehicl'!P35</f>
        <v>17.435695704768001</v>
      </c>
      <c r="K336" s="827">
        <f>'Emission-Waste Transport Vehicl'!Q35</f>
        <v>13.541051563776001</v>
      </c>
      <c r="L336" s="827">
        <f>'Emission-Waste Transport Vehicl'!R35</f>
        <v>1.3477378907520003</v>
      </c>
      <c r="M336" s="827">
        <f t="shared" si="38"/>
        <v>70.504439269727257</v>
      </c>
      <c r="N336" s="830">
        <f t="shared" si="39"/>
        <v>14.495240442732905</v>
      </c>
      <c r="O336" s="830">
        <f t="shared" si="40"/>
        <v>50.405689230041816</v>
      </c>
      <c r="P336" s="830">
        <f t="shared" si="41"/>
        <v>0.42278193678719428</v>
      </c>
      <c r="Q336" s="830">
        <f t="shared" si="42"/>
        <v>1.3403066044321776</v>
      </c>
      <c r="R336" s="2773"/>
    </row>
    <row r="337" spans="1:18" x14ac:dyDescent="0.25">
      <c r="A337" s="2802"/>
      <c r="B337" s="706">
        <v>2022</v>
      </c>
      <c r="C337" s="1059">
        <f t="shared" si="33"/>
        <v>1084.683681072727</v>
      </c>
      <c r="D337" s="1059">
        <f t="shared" si="34"/>
        <v>0.46255167636363631</v>
      </c>
      <c r="E337" s="1059">
        <f t="shared" si="35"/>
        <v>2.8909479772727265</v>
      </c>
      <c r="F337" s="1059">
        <f t="shared" si="36"/>
        <v>3.1222238154545442E-2</v>
      </c>
      <c r="G337" s="1059">
        <f t="shared" si="37"/>
        <v>0.99448610418181815</v>
      </c>
      <c r="H337" s="827">
        <v>66</v>
      </c>
      <c r="I337" s="827">
        <f>'Emission-Waste Transport Vehicl'!N36</f>
        <v>30.721371029712003</v>
      </c>
      <c r="J337" s="827">
        <f>'Emission-Waste Transport Vehicl'!P36</f>
        <v>17.092858991472003</v>
      </c>
      <c r="K337" s="827">
        <f>'Emission-Waste Transport Vehicl'!Q36</f>
        <v>13.274794931903999</v>
      </c>
      <c r="L337" s="827">
        <f>'Emission-Waste Transport Vehicl'!R36</f>
        <v>1.3212374266080003</v>
      </c>
      <c r="M337" s="827">
        <f t="shared" si="38"/>
        <v>71.589122950799975</v>
      </c>
      <c r="N337" s="830">
        <f t="shared" si="39"/>
        <v>14.210221669982539</v>
      </c>
      <c r="O337" s="830">
        <f t="shared" si="40"/>
        <v>49.414566127203919</v>
      </c>
      <c r="P337" s="830">
        <f t="shared" si="41"/>
        <v>0.41446880881665948</v>
      </c>
      <c r="Q337" s="830">
        <f t="shared" si="42"/>
        <v>1.313952261086601</v>
      </c>
      <c r="R337" s="2773"/>
    </row>
    <row r="338" spans="1:18" x14ac:dyDescent="0.25">
      <c r="A338" s="2802"/>
      <c r="B338" s="706">
        <v>2023</v>
      </c>
      <c r="C338" s="1059">
        <f t="shared" si="33"/>
        <v>1084.683681072727</v>
      </c>
      <c r="D338" s="1059">
        <f t="shared" si="34"/>
        <v>0.46255167636363631</v>
      </c>
      <c r="E338" s="1059">
        <f t="shared" si="35"/>
        <v>2.8909479772727265</v>
      </c>
      <c r="F338" s="1059">
        <f t="shared" si="36"/>
        <v>3.1222238154545442E-2</v>
      </c>
      <c r="G338" s="1059">
        <f t="shared" si="37"/>
        <v>0.99448610418181815</v>
      </c>
      <c r="H338" s="827">
        <v>67</v>
      </c>
      <c r="I338" s="827">
        <f>'Emission-Waste Transport Vehicl'!N37</f>
        <v>30.118224087072001</v>
      </c>
      <c r="J338" s="827">
        <f>'Emission-Waste Transport Vehicl'!P37</f>
        <v>16.757278081632002</v>
      </c>
      <c r="K338" s="827">
        <f>'Emission-Waste Transport Vehicl'!Q37</f>
        <v>13.014173361024</v>
      </c>
      <c r="L338" s="827">
        <f>'Emission-Waste Transport Vehicl'!R37</f>
        <v>1.295297818848</v>
      </c>
      <c r="M338" s="827">
        <f t="shared" si="38"/>
        <v>72.673806631872708</v>
      </c>
      <c r="N338" s="830">
        <f t="shared" si="39"/>
        <v>13.931235040570805</v>
      </c>
      <c r="O338" s="830">
        <f t="shared" si="40"/>
        <v>48.44441917469063</v>
      </c>
      <c r="P338" s="830">
        <f t="shared" si="41"/>
        <v>0.4063316200624324</v>
      </c>
      <c r="Q338" s="830">
        <f t="shared" si="42"/>
        <v>1.288155681621354</v>
      </c>
      <c r="R338" s="2773"/>
    </row>
    <row r="339" spans="1:18" x14ac:dyDescent="0.25">
      <c r="A339" s="2802"/>
      <c r="B339" s="706">
        <v>2024</v>
      </c>
      <c r="C339" s="1059">
        <f t="shared" si="33"/>
        <v>1084.683681072727</v>
      </c>
      <c r="D339" s="1059">
        <f t="shared" si="34"/>
        <v>0.46255167636363631</v>
      </c>
      <c r="E339" s="1059">
        <f t="shared" si="35"/>
        <v>2.8909479772727265</v>
      </c>
      <c r="F339" s="1059">
        <f t="shared" si="36"/>
        <v>3.1222238154545442E-2</v>
      </c>
      <c r="G339" s="1059">
        <f t="shared" si="37"/>
        <v>0.99448610418181815</v>
      </c>
      <c r="H339" s="827">
        <v>68</v>
      </c>
      <c r="I339" s="827">
        <f>'Emission-Waste Transport Vehicl'!N38</f>
        <v>29.528118159408002</v>
      </c>
      <c r="J339" s="827">
        <f>'Emission-Waste Transport Vehicl'!P38</f>
        <v>16.428952975248002</v>
      </c>
      <c r="K339" s="827">
        <f>'Emission-Waste Transport Vehicl'!Q38</f>
        <v>12.759186851135999</v>
      </c>
      <c r="L339" s="827">
        <f>'Emission-Waste Transport Vehicl'!R38</f>
        <v>1.269919067472</v>
      </c>
      <c r="M339" s="827">
        <f t="shared" si="38"/>
        <v>73.758490312945426</v>
      </c>
      <c r="N339" s="830">
        <f t="shared" si="39"/>
        <v>13.658280554497702</v>
      </c>
      <c r="O339" s="830">
        <f t="shared" si="40"/>
        <v>47.495248372501955</v>
      </c>
      <c r="P339" s="830">
        <f t="shared" si="41"/>
        <v>0.39837037052451291</v>
      </c>
      <c r="Q339" s="830">
        <f t="shared" si="42"/>
        <v>1.2629168660364367</v>
      </c>
      <c r="R339" s="2773"/>
    </row>
    <row r="340" spans="1:18" x14ac:dyDescent="0.25">
      <c r="A340" s="2802"/>
      <c r="B340" s="706">
        <v>2025</v>
      </c>
      <c r="C340" s="1059">
        <f t="shared" si="33"/>
        <v>1084.683681072727</v>
      </c>
      <c r="D340" s="1059">
        <f t="shared" si="34"/>
        <v>0.46255167636363631</v>
      </c>
      <c r="E340" s="1059">
        <f t="shared" si="35"/>
        <v>2.8909479772727265</v>
      </c>
      <c r="F340" s="1059">
        <f t="shared" si="36"/>
        <v>3.1222238154545442E-2</v>
      </c>
      <c r="G340" s="1059">
        <f t="shared" si="37"/>
        <v>0.99448610418181815</v>
      </c>
      <c r="H340" s="827">
        <v>69</v>
      </c>
      <c r="I340" s="827">
        <f>'Emission-Waste Transport Vehicl'!N39</f>
        <v>28.951053246720004</v>
      </c>
      <c r="J340" s="827">
        <f>'Emission-Waste Transport Vehicl'!P39</f>
        <v>16.10788367232</v>
      </c>
      <c r="K340" s="827">
        <f>'Emission-Waste Transport Vehicl'!Q39</f>
        <v>12.50983540224</v>
      </c>
      <c r="L340" s="827">
        <f>'Emission-Waste Transport Vehicl'!R39</f>
        <v>1.2451011724800001</v>
      </c>
      <c r="M340" s="827">
        <f t="shared" si="38"/>
        <v>74.843173994018159</v>
      </c>
      <c r="N340" s="830">
        <f t="shared" si="39"/>
        <v>13.391358211763233</v>
      </c>
      <c r="O340" s="830">
        <f t="shared" si="40"/>
        <v>46.56705372063788</v>
      </c>
      <c r="P340" s="830">
        <f t="shared" si="41"/>
        <v>0.39058506020290107</v>
      </c>
      <c r="Q340" s="830">
        <f t="shared" si="42"/>
        <v>1.2382358143318493</v>
      </c>
      <c r="R340" s="2773"/>
    </row>
    <row r="341" spans="1:18" x14ac:dyDescent="0.25">
      <c r="A341" s="2802"/>
      <c r="B341" s="706">
        <v>2026</v>
      </c>
      <c r="C341" s="1059">
        <f t="shared" si="33"/>
        <v>1084.683681072727</v>
      </c>
      <c r="D341" s="1059">
        <f t="shared" si="34"/>
        <v>0.46255167636363631</v>
      </c>
      <c r="E341" s="1059">
        <f t="shared" si="35"/>
        <v>2.8909479772727265</v>
      </c>
      <c r="F341" s="1059">
        <f t="shared" si="36"/>
        <v>3.1222238154545442E-2</v>
      </c>
      <c r="G341" s="1059">
        <f t="shared" si="37"/>
        <v>0.99448610418181815</v>
      </c>
      <c r="H341" s="827">
        <v>70</v>
      </c>
      <c r="I341" s="827">
        <f>'Emission-Waste Transport Vehicl'!N40</f>
        <v>28.383769095264007</v>
      </c>
      <c r="J341" s="827">
        <f>'Emission-Waste Transport Vehicl'!P40</f>
        <v>15.792256221984003</v>
      </c>
      <c r="K341" s="827">
        <f>'Emission-Waste Transport Vehicl'!Q40</f>
        <v>12.264710249088001</v>
      </c>
      <c r="L341" s="827">
        <f>'Emission-Waste Transport Vehicl'!R40</f>
        <v>1.2207039197760001</v>
      </c>
      <c r="M341" s="827">
        <f t="shared" si="38"/>
        <v>75.927857675090891</v>
      </c>
      <c r="N341" s="830">
        <f t="shared" si="39"/>
        <v>13.128959976532739</v>
      </c>
      <c r="O341" s="830">
        <f t="shared" si="40"/>
        <v>45.654591181517283</v>
      </c>
      <c r="P341" s="830">
        <f t="shared" si="41"/>
        <v>0.38293170429351991</v>
      </c>
      <c r="Q341" s="830">
        <f t="shared" si="42"/>
        <v>1.213973085537509</v>
      </c>
      <c r="R341" s="2773"/>
    </row>
    <row r="342" spans="1:18" x14ac:dyDescent="0.25">
      <c r="A342" s="2802"/>
      <c r="B342" s="706">
        <v>2027</v>
      </c>
      <c r="C342" s="1059">
        <f t="shared" si="33"/>
        <v>1084.683681072727</v>
      </c>
      <c r="D342" s="1059">
        <f t="shared" si="34"/>
        <v>0.46255167636363631</v>
      </c>
      <c r="E342" s="1059">
        <f t="shared" si="35"/>
        <v>2.8909479772727265</v>
      </c>
      <c r="F342" s="1059">
        <f t="shared" si="36"/>
        <v>3.1222238154545442E-2</v>
      </c>
      <c r="G342" s="1059">
        <f t="shared" si="37"/>
        <v>0.99448610418181815</v>
      </c>
      <c r="H342" s="827">
        <v>71</v>
      </c>
      <c r="I342" s="827">
        <f>'Emission-Waste Transport Vehicl'!N41</f>
        <v>27.826265705040004</v>
      </c>
      <c r="J342" s="827">
        <f>'Emission-Waste Transport Vehicl'!P41</f>
        <v>15.482070624240002</v>
      </c>
      <c r="K342" s="827">
        <f>'Emission-Waste Transport Vehicl'!Q41</f>
        <v>12.023811391680001</v>
      </c>
      <c r="L342" s="827">
        <f>'Emission-Waste Transport Vehicl'!R41</f>
        <v>1.1967273093600002</v>
      </c>
      <c r="M342" s="827">
        <f t="shared" si="38"/>
        <v>77.012541356163609</v>
      </c>
      <c r="N342" s="830">
        <f t="shared" si="39"/>
        <v>12.871085848806215</v>
      </c>
      <c r="O342" s="830">
        <f t="shared" si="40"/>
        <v>44.757860755140129</v>
      </c>
      <c r="P342" s="830">
        <f t="shared" si="41"/>
        <v>0.37541030279636944</v>
      </c>
      <c r="Q342" s="830">
        <f t="shared" si="42"/>
        <v>1.1901286796534161</v>
      </c>
      <c r="R342" s="2773"/>
    </row>
    <row r="343" spans="1:18" x14ac:dyDescent="0.25">
      <c r="A343" s="2802"/>
      <c r="B343" s="706">
        <v>2028</v>
      </c>
      <c r="C343" s="1059">
        <f t="shared" si="33"/>
        <v>1084.683681072727</v>
      </c>
      <c r="D343" s="1059">
        <f t="shared" si="34"/>
        <v>0.46255167636363631</v>
      </c>
      <c r="E343" s="1059">
        <f t="shared" si="35"/>
        <v>2.8909479772727265</v>
      </c>
      <c r="F343" s="1059">
        <f t="shared" si="36"/>
        <v>3.1222238154545442E-2</v>
      </c>
      <c r="G343" s="1059">
        <f t="shared" si="37"/>
        <v>0.99448610418181815</v>
      </c>
      <c r="H343" s="827">
        <v>72</v>
      </c>
      <c r="I343" s="827">
        <f>'Emission-Waste Transport Vehicl'!N42</f>
        <v>27.281803329792002</v>
      </c>
      <c r="J343" s="827">
        <f>'Emission-Waste Transport Vehicl'!P42</f>
        <v>15.179140829952001</v>
      </c>
      <c r="K343" s="827">
        <f>'Emission-Waste Transport Vehicl'!Q42</f>
        <v>11.788547595263999</v>
      </c>
      <c r="L343" s="827">
        <f>'Emission-Waste Transport Vehicl'!R42</f>
        <v>1.173311555328</v>
      </c>
      <c r="M343" s="827">
        <f t="shared" si="38"/>
        <v>78.097225037236342</v>
      </c>
      <c r="N343" s="830">
        <f t="shared" si="39"/>
        <v>12.619243864418326</v>
      </c>
      <c r="O343" s="830">
        <f t="shared" si="40"/>
        <v>43.882106479087589</v>
      </c>
      <c r="P343" s="830">
        <f t="shared" si="41"/>
        <v>0.36806484051552657</v>
      </c>
      <c r="Q343" s="830">
        <f t="shared" si="42"/>
        <v>1.1668420376496524</v>
      </c>
      <c r="R343" s="2773"/>
    </row>
    <row r="344" spans="1:18" x14ac:dyDescent="0.25">
      <c r="A344" s="2802"/>
      <c r="B344" s="706">
        <v>2029</v>
      </c>
      <c r="C344" s="1059">
        <f t="shared" si="33"/>
        <v>1084.683681072727</v>
      </c>
      <c r="D344" s="1059">
        <f t="shared" si="34"/>
        <v>0.46255167636363631</v>
      </c>
      <c r="E344" s="1059">
        <f t="shared" si="35"/>
        <v>2.8909479772727265</v>
      </c>
      <c r="F344" s="1059">
        <f t="shared" si="36"/>
        <v>3.1222238154545442E-2</v>
      </c>
      <c r="G344" s="1059">
        <f t="shared" si="37"/>
        <v>0.99448610418181815</v>
      </c>
      <c r="H344" s="827">
        <v>73</v>
      </c>
      <c r="I344" s="827">
        <f>'Emission-Waste Transport Vehicl'!N43</f>
        <v>26.743861462032005</v>
      </c>
      <c r="J344" s="827">
        <f>'Emission-Waste Transport Vehicl'!P43</f>
        <v>14.879838937392002</v>
      </c>
      <c r="K344" s="827">
        <f>'Emission-Waste Transport Vehicl'!Q43</f>
        <v>11.556101329344001</v>
      </c>
      <c r="L344" s="827">
        <f>'Emission-Waste Transport Vehicl'!R43</f>
        <v>1.1501762294880002</v>
      </c>
      <c r="M344" s="827">
        <f t="shared" si="38"/>
        <v>79.18190871830906</v>
      </c>
      <c r="N344" s="830">
        <f t="shared" si="39"/>
        <v>12.370417951699753</v>
      </c>
      <c r="O344" s="830">
        <f t="shared" si="40"/>
        <v>43.016840278197364</v>
      </c>
      <c r="P344" s="830">
        <f t="shared" si="41"/>
        <v>0.36080734784283758</v>
      </c>
      <c r="Q344" s="830">
        <f t="shared" si="42"/>
        <v>1.1438342775860542</v>
      </c>
      <c r="R344" s="2773"/>
    </row>
    <row r="345" spans="1:18" x14ac:dyDescent="0.25">
      <c r="A345" s="2802"/>
      <c r="B345" s="706">
        <v>2030</v>
      </c>
      <c r="C345" s="1059">
        <f t="shared" si="33"/>
        <v>1084.683681072727</v>
      </c>
      <c r="D345" s="1059">
        <f t="shared" si="34"/>
        <v>0.46255167636363631</v>
      </c>
      <c r="E345" s="1059">
        <f t="shared" si="35"/>
        <v>2.8909479772727265</v>
      </c>
      <c r="F345" s="1059">
        <f t="shared" si="36"/>
        <v>3.1222238154545442E-2</v>
      </c>
      <c r="G345" s="1059">
        <f t="shared" si="37"/>
        <v>0.99448610418181815</v>
      </c>
      <c r="H345" s="827">
        <v>75</v>
      </c>
      <c r="I345" s="827">
        <f>'Emission-Waste Transport Vehicl'!N44</f>
        <v>26.222220862992003</v>
      </c>
      <c r="J345" s="827">
        <f>'Emission-Waste Transport Vehicl'!P44</f>
        <v>14.589606799152003</v>
      </c>
      <c r="K345" s="827">
        <f>'Emission-Waste Transport Vehicl'!Q44</f>
        <v>11.330698889664001</v>
      </c>
      <c r="L345" s="827">
        <f>'Emission-Waste Transport Vehicl'!R44</f>
        <v>1.1277419741280001</v>
      </c>
      <c r="M345" s="827">
        <f t="shared" si="38"/>
        <v>81.351276080454525</v>
      </c>
      <c r="N345" s="830">
        <f t="shared" si="39"/>
        <v>12.129132218154469</v>
      </c>
      <c r="O345" s="830">
        <f t="shared" si="40"/>
        <v>42.177794265212903</v>
      </c>
      <c r="P345" s="830">
        <f t="shared" si="41"/>
        <v>0.35376977919053304</v>
      </c>
      <c r="Q345" s="830">
        <f t="shared" si="42"/>
        <v>1.1215237223728676</v>
      </c>
      <c r="R345" s="2773"/>
    </row>
    <row r="346" spans="1:18" x14ac:dyDescent="0.25">
      <c r="A346" s="2802"/>
      <c r="B346" s="706">
        <v>2031</v>
      </c>
      <c r="C346" s="1059">
        <f t="shared" si="33"/>
        <v>1084.683681072727</v>
      </c>
      <c r="D346" s="1059">
        <f t="shared" si="34"/>
        <v>0.46255167636363631</v>
      </c>
      <c r="E346" s="1059">
        <f t="shared" si="35"/>
        <v>2.8909479772727265</v>
      </c>
      <c r="F346" s="1059">
        <f t="shared" si="36"/>
        <v>3.1222238154545442E-2</v>
      </c>
      <c r="G346" s="1059">
        <f t="shared" si="37"/>
        <v>0.99448610418181815</v>
      </c>
      <c r="H346" s="827">
        <v>76</v>
      </c>
      <c r="I346" s="827">
        <f>'Emission-Waste Transport Vehicl'!N45</f>
        <v>25.70710077144</v>
      </c>
      <c r="J346" s="827">
        <f>'Emission-Waste Transport Vehicl'!P45</f>
        <v>14.303002562640001</v>
      </c>
      <c r="K346" s="827">
        <f>'Emission-Waste Transport Vehicl'!Q45</f>
        <v>11.108113980480001</v>
      </c>
      <c r="L346" s="827">
        <f>'Emission-Waste Transport Vehicl'!R45</f>
        <v>1.1055881469600002</v>
      </c>
      <c r="M346" s="827">
        <f t="shared" si="38"/>
        <v>82.435959761527243</v>
      </c>
      <c r="N346" s="830">
        <f t="shared" si="39"/>
        <v>11.890862556278501</v>
      </c>
      <c r="O346" s="830">
        <f t="shared" si="40"/>
        <v>41.349236327390734</v>
      </c>
      <c r="P346" s="830">
        <f t="shared" si="41"/>
        <v>0.34682018014638233</v>
      </c>
      <c r="Q346" s="830">
        <f t="shared" si="42"/>
        <v>1.0994920490998461</v>
      </c>
      <c r="R346" s="2773"/>
    </row>
    <row r="347" spans="1:18" x14ac:dyDescent="0.25">
      <c r="A347" s="2802"/>
      <c r="B347" s="706">
        <v>2032</v>
      </c>
      <c r="C347" s="1059">
        <f t="shared" si="33"/>
        <v>1084.683681072727</v>
      </c>
      <c r="D347" s="1059">
        <f t="shared" si="34"/>
        <v>0.46255167636363631</v>
      </c>
      <c r="E347" s="1059">
        <f t="shared" si="35"/>
        <v>2.8909479772727265</v>
      </c>
      <c r="F347" s="1059">
        <f t="shared" si="36"/>
        <v>3.1222238154545442E-2</v>
      </c>
      <c r="G347" s="1059">
        <f t="shared" si="37"/>
        <v>0.99448610418181815</v>
      </c>
      <c r="H347" s="827">
        <v>77</v>
      </c>
      <c r="I347" s="827">
        <f>'Emission-Waste Transport Vehicl'!N46</f>
        <v>25.201761441120002</v>
      </c>
      <c r="J347" s="827">
        <f>'Emission-Waste Transport Vehicl'!P46</f>
        <v>14.021840178720002</v>
      </c>
      <c r="K347" s="827">
        <f>'Emission-Waste Transport Vehicl'!Q46</f>
        <v>10.889755367040001</v>
      </c>
      <c r="L347" s="827">
        <f>'Emission-Waste Transport Vehicl'!R46</f>
        <v>1.0838549620800002</v>
      </c>
      <c r="M347" s="827">
        <f t="shared" si="38"/>
        <v>83.520643442599976</v>
      </c>
      <c r="N347" s="830">
        <f t="shared" si="39"/>
        <v>11.657117001906508</v>
      </c>
      <c r="O347" s="830">
        <f t="shared" si="40"/>
        <v>40.53641050231203</v>
      </c>
      <c r="P347" s="830">
        <f t="shared" si="41"/>
        <v>0.3400025355144623</v>
      </c>
      <c r="Q347" s="830">
        <f t="shared" si="42"/>
        <v>1.0778786987370716</v>
      </c>
      <c r="R347" s="2773"/>
    </row>
    <row r="348" spans="1:18" x14ac:dyDescent="0.25">
      <c r="A348" s="2802"/>
      <c r="B348" s="706">
        <v>2033</v>
      </c>
      <c r="C348" s="1059">
        <f t="shared" si="33"/>
        <v>1084.683681072727</v>
      </c>
      <c r="D348" s="1059">
        <f t="shared" si="34"/>
        <v>0.46255167636363631</v>
      </c>
      <c r="E348" s="1059">
        <f t="shared" si="35"/>
        <v>2.8909479772727265</v>
      </c>
      <c r="F348" s="1059">
        <f t="shared" si="36"/>
        <v>3.1222238154545442E-2</v>
      </c>
      <c r="G348" s="1059">
        <f t="shared" si="37"/>
        <v>0.99448610418181815</v>
      </c>
      <c r="H348" s="827">
        <v>78</v>
      </c>
      <c r="I348" s="827">
        <f>'Emission-Waste Transport Vehicl'!N47</f>
        <v>24.709463125776001</v>
      </c>
      <c r="J348" s="827">
        <f>'Emission-Waste Transport Vehicl'!P47</f>
        <v>13.747933598256003</v>
      </c>
      <c r="K348" s="827">
        <f>'Emission-Waste Transport Vehicl'!Q47</f>
        <v>10.677031814592</v>
      </c>
      <c r="L348" s="827">
        <f>'Emission-Waste Transport Vehicl'!R47</f>
        <v>1.0626826335840001</v>
      </c>
      <c r="M348" s="827">
        <f t="shared" si="38"/>
        <v>84.605327123672708</v>
      </c>
      <c r="N348" s="830">
        <f t="shared" si="39"/>
        <v>11.429403590873147</v>
      </c>
      <c r="O348" s="830">
        <f t="shared" si="40"/>
        <v>39.744560827557947</v>
      </c>
      <c r="P348" s="830">
        <f t="shared" si="41"/>
        <v>0.33336083009884993</v>
      </c>
      <c r="Q348" s="830">
        <f t="shared" si="42"/>
        <v>1.0568231122546268</v>
      </c>
      <c r="R348" s="2773"/>
    </row>
    <row r="349" spans="1:18" x14ac:dyDescent="0.25">
      <c r="A349" s="2802"/>
      <c r="B349" s="706">
        <v>2034</v>
      </c>
      <c r="C349" s="1059">
        <f t="shared" si="33"/>
        <v>1084.683681072727</v>
      </c>
      <c r="D349" s="1059">
        <f t="shared" si="34"/>
        <v>0.46255167636363631</v>
      </c>
      <c r="E349" s="1059">
        <f t="shared" si="35"/>
        <v>2.8909479772727265</v>
      </c>
      <c r="F349" s="1059">
        <f t="shared" si="36"/>
        <v>3.1222238154545442E-2</v>
      </c>
      <c r="G349" s="1059">
        <f t="shared" si="37"/>
        <v>0.99448610418181815</v>
      </c>
      <c r="H349" s="827">
        <v>79</v>
      </c>
      <c r="I349" s="827">
        <f>'Emission-Waste Transport Vehicl'!N48</f>
        <v>24.223685317920005</v>
      </c>
      <c r="J349" s="827">
        <f>'Emission-Waste Transport Vehicl'!P48</f>
        <v>13.477654919520001</v>
      </c>
      <c r="K349" s="827">
        <f>'Emission-Waste Transport Vehicl'!Q48</f>
        <v>10.467125792640001</v>
      </c>
      <c r="L349" s="827">
        <f>'Emission-Waste Transport Vehicl'!R48</f>
        <v>1.04179073328</v>
      </c>
      <c r="M349" s="827">
        <f t="shared" si="38"/>
        <v>85.690010804745427</v>
      </c>
      <c r="N349" s="830">
        <f t="shared" si="39"/>
        <v>11.204706251509103</v>
      </c>
      <c r="O349" s="830">
        <f t="shared" si="40"/>
        <v>38.963199227966157</v>
      </c>
      <c r="P349" s="830">
        <f t="shared" si="41"/>
        <v>0.32680709429139132</v>
      </c>
      <c r="Q349" s="830">
        <f t="shared" si="42"/>
        <v>1.0360464077123468</v>
      </c>
      <c r="R349" s="2773"/>
    </row>
    <row r="350" spans="1:18" x14ac:dyDescent="0.25">
      <c r="A350" s="2802"/>
      <c r="B350" s="706">
        <v>2035</v>
      </c>
      <c r="C350" s="1059">
        <f t="shared" si="33"/>
        <v>1084.683681072727</v>
      </c>
      <c r="D350" s="1059">
        <f t="shared" si="34"/>
        <v>0.46255167636363631</v>
      </c>
      <c r="E350" s="1059">
        <f t="shared" si="35"/>
        <v>2.8909479772727265</v>
      </c>
      <c r="F350" s="1059">
        <f t="shared" si="36"/>
        <v>3.1222238154545442E-2</v>
      </c>
      <c r="G350" s="1059">
        <f t="shared" si="37"/>
        <v>0.99448610418181815</v>
      </c>
      <c r="H350" s="827">
        <v>80</v>
      </c>
      <c r="I350" s="827">
        <f>'Emission-Waste Transport Vehicl'!N49</f>
        <v>23.747688271296006</v>
      </c>
      <c r="J350" s="827">
        <f>'Emission-Waste Transport Vehicl'!P49</f>
        <v>13.212818093376002</v>
      </c>
      <c r="K350" s="827">
        <f>'Emission-Waste Transport Vehicl'!Q49</f>
        <v>10.261446066432002</v>
      </c>
      <c r="L350" s="827">
        <f>'Emission-Waste Transport Vehicl'!R49</f>
        <v>1.0213194752640002</v>
      </c>
      <c r="M350" s="827">
        <f t="shared" si="38"/>
        <v>86.774694485818159</v>
      </c>
      <c r="N350" s="830">
        <f t="shared" si="39"/>
        <v>10.984533019649032</v>
      </c>
      <c r="O350" s="830">
        <f t="shared" si="40"/>
        <v>38.197569741117839</v>
      </c>
      <c r="P350" s="830">
        <f t="shared" si="41"/>
        <v>0.32038531289616351</v>
      </c>
      <c r="Q350" s="830">
        <f t="shared" si="42"/>
        <v>1.0156880260803145</v>
      </c>
      <c r="R350" s="2773"/>
    </row>
    <row r="351" spans="1:18" x14ac:dyDescent="0.25">
      <c r="A351" s="2802"/>
      <c r="B351" s="706">
        <v>2036</v>
      </c>
      <c r="C351" s="1059">
        <f t="shared" si="33"/>
        <v>1084.683681072727</v>
      </c>
      <c r="D351" s="1059">
        <f t="shared" si="34"/>
        <v>0.46255167636363631</v>
      </c>
      <c r="E351" s="1059">
        <f t="shared" si="35"/>
        <v>2.8909479772727265</v>
      </c>
      <c r="F351" s="1059">
        <f t="shared" si="36"/>
        <v>3.1222238154545442E-2</v>
      </c>
      <c r="G351" s="1059">
        <f t="shared" si="37"/>
        <v>0.99448610418181815</v>
      </c>
      <c r="H351" s="827">
        <v>81</v>
      </c>
      <c r="I351" s="827">
        <f>'Emission-Waste Transport Vehicl'!N50</f>
        <v>23.284732239648001</v>
      </c>
      <c r="J351" s="827">
        <f>'Emission-Waste Transport Vehicl'!P50</f>
        <v>12.955237070688</v>
      </c>
      <c r="K351" s="827">
        <f>'Emission-Waste Transport Vehicl'!Q50</f>
        <v>10.061401401215999</v>
      </c>
      <c r="L351" s="827">
        <f>'Emission-Waste Transport Vehicl'!R50</f>
        <v>1.001409073632</v>
      </c>
      <c r="M351" s="827">
        <f t="shared" si="38"/>
        <v>87.859378166890878</v>
      </c>
      <c r="N351" s="830">
        <f t="shared" si="39"/>
        <v>10.770391931127591</v>
      </c>
      <c r="O351" s="830">
        <f t="shared" si="40"/>
        <v>37.452916404594113</v>
      </c>
      <c r="P351" s="830">
        <f t="shared" si="41"/>
        <v>0.31413947071724313</v>
      </c>
      <c r="Q351" s="830">
        <f t="shared" si="42"/>
        <v>0.99588740832861122</v>
      </c>
      <c r="R351" s="2773"/>
    </row>
    <row r="352" spans="1:18" x14ac:dyDescent="0.25">
      <c r="A352" s="2802"/>
      <c r="B352" s="706">
        <v>2037</v>
      </c>
      <c r="C352" s="1059">
        <f t="shared" si="33"/>
        <v>1084.683681072727</v>
      </c>
      <c r="D352" s="1059">
        <f t="shared" si="34"/>
        <v>0.46255167636363631</v>
      </c>
      <c r="E352" s="1059">
        <f t="shared" si="35"/>
        <v>2.8909479772727265</v>
      </c>
      <c r="F352" s="1059">
        <f t="shared" si="36"/>
        <v>3.1222238154545442E-2</v>
      </c>
      <c r="G352" s="1059">
        <f t="shared" si="37"/>
        <v>0.99448610418181815</v>
      </c>
      <c r="H352" s="827">
        <v>83</v>
      </c>
      <c r="I352" s="827">
        <f>'Emission-Waste Transport Vehicl'!N51</f>
        <v>22.828296715488005</v>
      </c>
      <c r="J352" s="827">
        <f>'Emission-Waste Transport Vehicl'!P51</f>
        <v>12.701283949728003</v>
      </c>
      <c r="K352" s="827">
        <f>'Emission-Waste Transport Vehicl'!Q51</f>
        <v>9.8641742664960006</v>
      </c>
      <c r="L352" s="827">
        <f>'Emission-Waste Transport Vehicl'!R51</f>
        <v>0.9817791001920001</v>
      </c>
      <c r="M352" s="827">
        <f t="shared" si="38"/>
        <v>90.028745529036343</v>
      </c>
      <c r="N352" s="830">
        <f t="shared" si="39"/>
        <v>10.559266914275469</v>
      </c>
      <c r="O352" s="830">
        <f t="shared" si="40"/>
        <v>36.718751143232716</v>
      </c>
      <c r="P352" s="830">
        <f t="shared" si="41"/>
        <v>0.30798159814647674</v>
      </c>
      <c r="Q352" s="830">
        <f t="shared" si="42"/>
        <v>0.97636567251707307</v>
      </c>
      <c r="R352" s="2773"/>
    </row>
    <row r="353" spans="1:18" x14ac:dyDescent="0.25">
      <c r="A353" s="2802"/>
      <c r="B353" s="706">
        <v>2038</v>
      </c>
      <c r="C353" s="1059">
        <f t="shared" si="33"/>
        <v>1084.683681072727</v>
      </c>
      <c r="D353" s="1059">
        <f t="shared" si="34"/>
        <v>0.46255167636363631</v>
      </c>
      <c r="E353" s="1059">
        <f t="shared" si="35"/>
        <v>2.8909479772727265</v>
      </c>
      <c r="F353" s="1059">
        <f t="shared" si="36"/>
        <v>3.1222238154545442E-2</v>
      </c>
      <c r="G353" s="1059">
        <f t="shared" si="37"/>
        <v>0.99448610418181815</v>
      </c>
      <c r="H353" s="827">
        <v>84</v>
      </c>
      <c r="I353" s="827">
        <f>'Emission-Waste Transport Vehicl'!N52</f>
        <v>22.378381698816003</v>
      </c>
      <c r="J353" s="827">
        <f>'Emission-Waste Transport Vehicl'!P52</f>
        <v>12.450958730496001</v>
      </c>
      <c r="K353" s="827">
        <f>'Emission-Waste Transport Vehicl'!Q52</f>
        <v>9.6697646622720015</v>
      </c>
      <c r="L353" s="827">
        <f>'Emission-Waste Transport Vehicl'!R52</f>
        <v>0.96242955494400007</v>
      </c>
      <c r="M353" s="827">
        <f t="shared" si="38"/>
        <v>91.113429210109061</v>
      </c>
      <c r="N353" s="830">
        <f t="shared" si="39"/>
        <v>10.351157969092661</v>
      </c>
      <c r="O353" s="830">
        <f t="shared" si="40"/>
        <v>35.995073957033611</v>
      </c>
      <c r="P353" s="830">
        <f t="shared" si="41"/>
        <v>0.30191169518386413</v>
      </c>
      <c r="Q353" s="830">
        <f t="shared" si="42"/>
        <v>0.9571228186456997</v>
      </c>
      <c r="R353" s="2773"/>
    </row>
    <row r="354" spans="1:18" x14ac:dyDescent="0.25">
      <c r="A354" s="2802"/>
      <c r="B354" s="706">
        <v>2039</v>
      </c>
      <c r="C354" s="1059">
        <f t="shared" si="33"/>
        <v>1084.683681072727</v>
      </c>
      <c r="D354" s="1059">
        <f t="shared" si="34"/>
        <v>0.46255167636363631</v>
      </c>
      <c r="E354" s="1059">
        <f t="shared" si="35"/>
        <v>2.8909479772727265</v>
      </c>
      <c r="F354" s="1059">
        <f t="shared" si="36"/>
        <v>3.1222238154545442E-2</v>
      </c>
      <c r="G354" s="1059">
        <f t="shared" si="37"/>
        <v>0.99448610418181815</v>
      </c>
      <c r="H354" s="827">
        <v>85</v>
      </c>
      <c r="I354" s="827">
        <f>'Emission-Waste Transport Vehicl'!N53</f>
        <v>21.941507697120006</v>
      </c>
      <c r="J354" s="827">
        <f>'Emission-Waste Transport Vehicl'!P53</f>
        <v>12.207889314720003</v>
      </c>
      <c r="K354" s="827">
        <f>'Emission-Waste Transport Vehicl'!Q53</f>
        <v>9.4809901190400012</v>
      </c>
      <c r="L354" s="827">
        <f>'Emission-Waste Transport Vehicl'!R53</f>
        <v>0.9436408660800002</v>
      </c>
      <c r="M354" s="827">
        <f t="shared" si="38"/>
        <v>92.198112891181793</v>
      </c>
      <c r="N354" s="830">
        <f t="shared" si="39"/>
        <v>10.149081167248488</v>
      </c>
      <c r="O354" s="830">
        <f t="shared" si="40"/>
        <v>35.292372921159121</v>
      </c>
      <c r="P354" s="830">
        <f t="shared" si="41"/>
        <v>0.29601773143755905</v>
      </c>
      <c r="Q354" s="830">
        <f t="shared" si="42"/>
        <v>0.93843772865465613</v>
      </c>
      <c r="R354" s="2773"/>
    </row>
    <row r="355" spans="1:18" x14ac:dyDescent="0.25">
      <c r="A355" s="2802"/>
      <c r="B355" s="706">
        <v>2040</v>
      </c>
      <c r="C355" s="1059">
        <f t="shared" si="33"/>
        <v>1084.683681072727</v>
      </c>
      <c r="D355" s="1059">
        <f t="shared" si="34"/>
        <v>0.46255167636363631</v>
      </c>
      <c r="E355" s="1059">
        <f t="shared" si="35"/>
        <v>2.8909479772727265</v>
      </c>
      <c r="F355" s="1059">
        <f t="shared" si="36"/>
        <v>3.1222238154545442E-2</v>
      </c>
      <c r="G355" s="1059">
        <f t="shared" si="37"/>
        <v>0.99448610418181815</v>
      </c>
      <c r="H355" s="827">
        <v>86</v>
      </c>
      <c r="I355" s="827">
        <f>'Emission-Waste Transport Vehicl'!N54</f>
        <v>21.511154202912003</v>
      </c>
      <c r="J355" s="827">
        <f>'Emission-Waste Transport Vehicl'!P54</f>
        <v>11.968447800672001</v>
      </c>
      <c r="K355" s="827">
        <f>'Emission-Waste Transport Vehicl'!Q54</f>
        <v>9.2950331063040004</v>
      </c>
      <c r="L355" s="827">
        <f>'Emission-Waste Transport Vehicl'!R54</f>
        <v>0.92513260540800013</v>
      </c>
      <c r="M355" s="827">
        <f t="shared" si="38"/>
        <v>93.282796572254512</v>
      </c>
      <c r="N355" s="830">
        <f t="shared" si="39"/>
        <v>9.9500204370736274</v>
      </c>
      <c r="O355" s="830">
        <f t="shared" si="40"/>
        <v>34.600159960446931</v>
      </c>
      <c r="P355" s="830">
        <f t="shared" si="41"/>
        <v>0.2902117372994078</v>
      </c>
      <c r="Q355" s="830">
        <f t="shared" si="42"/>
        <v>0.92003152060377724</v>
      </c>
      <c r="R355" s="2773"/>
    </row>
    <row r="356" spans="1:18" x14ac:dyDescent="0.25">
      <c r="A356" s="2802"/>
      <c r="B356" s="706">
        <v>2041</v>
      </c>
      <c r="C356" s="1059">
        <f t="shared" si="33"/>
        <v>1084.683681072727</v>
      </c>
      <c r="D356" s="1059">
        <f t="shared" si="34"/>
        <v>0.46255167636363631</v>
      </c>
      <c r="E356" s="1059">
        <f t="shared" si="35"/>
        <v>2.8909479772727265</v>
      </c>
      <c r="F356" s="1059">
        <f t="shared" si="36"/>
        <v>3.1222238154545442E-2</v>
      </c>
      <c r="G356" s="1059">
        <f t="shared" si="37"/>
        <v>0.99448610418181815</v>
      </c>
      <c r="H356" s="827">
        <v>87</v>
      </c>
      <c r="I356" s="827">
        <f>'Emission-Waste Transport Vehicl'!N55</f>
        <v>21.087321216192002</v>
      </c>
      <c r="J356" s="827">
        <f>'Emission-Waste Transport Vehicl'!P55</f>
        <v>11.732634188352002</v>
      </c>
      <c r="K356" s="827">
        <f>'Emission-Waste Transport Vehicl'!Q55</f>
        <v>9.1118936240640007</v>
      </c>
      <c r="L356" s="827">
        <f>'Emission-Waste Transport Vehicl'!R55</f>
        <v>0.9069047729280002</v>
      </c>
      <c r="M356" s="827">
        <f t="shared" si="38"/>
        <v>94.367480253327244</v>
      </c>
      <c r="N356" s="830">
        <f t="shared" si="39"/>
        <v>9.7539757785680852</v>
      </c>
      <c r="O356" s="830">
        <f t="shared" si="40"/>
        <v>33.918435074897054</v>
      </c>
      <c r="P356" s="830">
        <f t="shared" si="41"/>
        <v>0.28449371276941038</v>
      </c>
      <c r="Q356" s="830">
        <f t="shared" si="42"/>
        <v>0.90190419449306336</v>
      </c>
      <c r="R356" s="2773"/>
    </row>
    <row r="357" spans="1:18" x14ac:dyDescent="0.25">
      <c r="A357" s="2802"/>
      <c r="B357" s="706">
        <v>2042</v>
      </c>
      <c r="C357" s="1059">
        <f t="shared" si="33"/>
        <v>1084.683681072727</v>
      </c>
      <c r="D357" s="1059">
        <f t="shared" si="34"/>
        <v>0.46255167636363631</v>
      </c>
      <c r="E357" s="1059">
        <f t="shared" si="35"/>
        <v>2.8909479772727265</v>
      </c>
      <c r="F357" s="1059">
        <f t="shared" si="36"/>
        <v>3.1222238154545442E-2</v>
      </c>
      <c r="G357" s="1059">
        <f t="shared" si="37"/>
        <v>0.99448610418181815</v>
      </c>
      <c r="H357" s="827">
        <v>88</v>
      </c>
      <c r="I357" s="827">
        <f>'Emission-Waste Transport Vehicl'!N56</f>
        <v>20.676529244448002</v>
      </c>
      <c r="J357" s="827">
        <f>'Emission-Waste Transport Vehicl'!P56</f>
        <v>11.504076379488001</v>
      </c>
      <c r="K357" s="827">
        <f>'Emission-Waste Transport Vehicl'!Q56</f>
        <v>8.9343892028159999</v>
      </c>
      <c r="L357" s="827">
        <f>'Emission-Waste Transport Vehicl'!R56</f>
        <v>0.8892377968320001</v>
      </c>
      <c r="M357" s="827">
        <f t="shared" si="38"/>
        <v>95.452163934399977</v>
      </c>
      <c r="N357" s="830">
        <f t="shared" si="39"/>
        <v>9.563963263401174</v>
      </c>
      <c r="O357" s="830">
        <f t="shared" si="40"/>
        <v>33.257686339671785</v>
      </c>
      <c r="P357" s="830">
        <f t="shared" si="41"/>
        <v>0.27895162745572055</v>
      </c>
      <c r="Q357" s="830">
        <f t="shared" si="42"/>
        <v>0.88433463226267894</v>
      </c>
      <c r="R357" s="2773"/>
    </row>
    <row r="358" spans="1:18" x14ac:dyDescent="0.25">
      <c r="A358" s="2802"/>
      <c r="B358" s="706">
        <v>2043</v>
      </c>
      <c r="C358" s="1059">
        <f t="shared" si="33"/>
        <v>1084.683681072727</v>
      </c>
      <c r="D358" s="1059">
        <f t="shared" si="34"/>
        <v>0.46255167636363631</v>
      </c>
      <c r="E358" s="1059">
        <f t="shared" si="35"/>
        <v>2.8909479772727265</v>
      </c>
      <c r="F358" s="1059">
        <f t="shared" si="36"/>
        <v>3.1222238154545442E-2</v>
      </c>
      <c r="G358" s="1059">
        <f t="shared" si="37"/>
        <v>0.99448610418181815</v>
      </c>
      <c r="H358" s="827">
        <v>89</v>
      </c>
      <c r="I358" s="827">
        <f>'Emission-Waste Transport Vehicl'!N57</f>
        <v>20.268997526448004</v>
      </c>
      <c r="J358" s="827">
        <f>'Emission-Waste Transport Vehicl'!P57</f>
        <v>11.277332521488001</v>
      </c>
      <c r="K358" s="827">
        <f>'Emission-Waste Transport Vehicl'!Q57</f>
        <v>8.7582935468160006</v>
      </c>
      <c r="L358" s="827">
        <f>'Emission-Waste Transport Vehicl'!R57</f>
        <v>0.87171103483200019</v>
      </c>
      <c r="M358" s="827">
        <f t="shared" si="38"/>
        <v>96.536847615472695</v>
      </c>
      <c r="N358" s="830">
        <f t="shared" si="39"/>
        <v>9.3754587840689219</v>
      </c>
      <c r="O358" s="830">
        <f t="shared" si="40"/>
        <v>32.602181642027674</v>
      </c>
      <c r="P358" s="830">
        <f t="shared" si="41"/>
        <v>0.27345352694610764</v>
      </c>
      <c r="Q358" s="830">
        <f t="shared" si="42"/>
        <v>0.86690451100237709</v>
      </c>
      <c r="R358" s="2773"/>
    </row>
    <row r="359" spans="1:18" x14ac:dyDescent="0.25">
      <c r="A359" s="2802"/>
      <c r="B359" s="706">
        <v>2044</v>
      </c>
      <c r="C359" s="1059">
        <f t="shared" si="33"/>
        <v>1084.683681072727</v>
      </c>
      <c r="D359" s="1059">
        <f t="shared" si="34"/>
        <v>0.46255167636363631</v>
      </c>
      <c r="E359" s="1059">
        <f t="shared" si="35"/>
        <v>2.8909479772727265</v>
      </c>
      <c r="F359" s="1059">
        <f t="shared" si="36"/>
        <v>3.1222238154545442E-2</v>
      </c>
      <c r="G359" s="1059">
        <f t="shared" si="37"/>
        <v>0.99448610418181815</v>
      </c>
      <c r="H359" s="827">
        <v>90</v>
      </c>
      <c r="I359" s="827">
        <f>'Emission-Waste Transport Vehicl'!N58</f>
        <v>19.871246569680004</v>
      </c>
      <c r="J359" s="827">
        <f>'Emission-Waste Transport Vehicl'!P58</f>
        <v>11.056030516080002</v>
      </c>
      <c r="K359" s="827">
        <f>'Emission-Waste Transport Vehicl'!Q58</f>
        <v>8.5864241865600004</v>
      </c>
      <c r="L359" s="827">
        <f>'Emission-Waste Transport Vehicl'!R58</f>
        <v>0.85460491512000014</v>
      </c>
      <c r="M359" s="827">
        <f t="shared" si="38"/>
        <v>97.621531296545427</v>
      </c>
      <c r="N359" s="830">
        <f t="shared" si="39"/>
        <v>9.1914784122406434</v>
      </c>
      <c r="O359" s="830">
        <f t="shared" si="40"/>
        <v>31.962409057127019</v>
      </c>
      <c r="P359" s="830">
        <f t="shared" si="41"/>
        <v>0.26808738084872547</v>
      </c>
      <c r="Q359" s="830">
        <f t="shared" si="42"/>
        <v>0.84989271265232236</v>
      </c>
      <c r="R359" s="2773"/>
    </row>
    <row r="360" spans="1:18" x14ac:dyDescent="0.25">
      <c r="A360" s="2802"/>
      <c r="B360" s="706">
        <v>2045</v>
      </c>
      <c r="C360" s="1059">
        <f t="shared" si="33"/>
        <v>1084.683681072727</v>
      </c>
      <c r="D360" s="1059">
        <f t="shared" si="34"/>
        <v>0.46255167636363631</v>
      </c>
      <c r="E360" s="1059">
        <f t="shared" si="35"/>
        <v>2.8909479772727265</v>
      </c>
      <c r="F360" s="1059">
        <f t="shared" si="36"/>
        <v>3.1222238154545442E-2</v>
      </c>
      <c r="G360" s="1059">
        <f t="shared" si="37"/>
        <v>0.99448610418181815</v>
      </c>
      <c r="H360" s="827">
        <v>92</v>
      </c>
      <c r="I360" s="827">
        <f>'Emission-Waste Transport Vehicl'!N59</f>
        <v>19.483276374144001</v>
      </c>
      <c r="J360" s="827">
        <f>'Emission-Waste Transport Vehicl'!P59</f>
        <v>10.840170363264003</v>
      </c>
      <c r="K360" s="827">
        <f>'Emission-Waste Transport Vehicl'!Q59</f>
        <v>8.4187811220480011</v>
      </c>
      <c r="L360" s="827">
        <f>'Emission-Waste Transport Vehicl'!R59</f>
        <v>0.83791943769600008</v>
      </c>
      <c r="M360" s="827">
        <f t="shared" si="38"/>
        <v>99.790898658690878</v>
      </c>
      <c r="N360" s="830">
        <f t="shared" si="39"/>
        <v>9.0120221479163369</v>
      </c>
      <c r="O360" s="830">
        <f t="shared" si="40"/>
        <v>31.338368584969825</v>
      </c>
      <c r="P360" s="830">
        <f t="shared" si="41"/>
        <v>0.26285318916357397</v>
      </c>
      <c r="Q360" s="830">
        <f t="shared" si="42"/>
        <v>0.83329923721251487</v>
      </c>
      <c r="R360" s="2773"/>
    </row>
    <row r="361" spans="1:18" x14ac:dyDescent="0.25">
      <c r="A361" s="2802"/>
      <c r="B361" s="706">
        <v>2046</v>
      </c>
      <c r="C361" s="1059">
        <f t="shared" si="33"/>
        <v>1084.683681072727</v>
      </c>
      <c r="D361" s="1059">
        <f t="shared" si="34"/>
        <v>0.46255167636363631</v>
      </c>
      <c r="E361" s="1059">
        <f t="shared" si="35"/>
        <v>2.8909479772727265</v>
      </c>
      <c r="F361" s="1059">
        <f t="shared" si="36"/>
        <v>3.1222238154545442E-2</v>
      </c>
      <c r="G361" s="1059">
        <f t="shared" si="37"/>
        <v>0.99448610418181815</v>
      </c>
      <c r="H361" s="827">
        <v>93</v>
      </c>
      <c r="I361" s="827">
        <f>'Emission-Waste Transport Vehicl'!N60</f>
        <v>19.101826686096</v>
      </c>
      <c r="J361" s="827">
        <f>'Emission-Waste Transport Vehicl'!P60</f>
        <v>10.627938112176002</v>
      </c>
      <c r="K361" s="827">
        <f>'Emission-Waste Transport Vehicl'!Q60</f>
        <v>8.2539555880319995</v>
      </c>
      <c r="L361" s="827">
        <f>'Emission-Waste Transport Vehicl'!R60</f>
        <v>0.82151438846400004</v>
      </c>
      <c r="M361" s="827">
        <f t="shared" si="38"/>
        <v>100.87558233976361</v>
      </c>
      <c r="N361" s="830">
        <f t="shared" si="39"/>
        <v>8.8355819552613486</v>
      </c>
      <c r="O361" s="830">
        <f t="shared" si="40"/>
        <v>30.724816187974934</v>
      </c>
      <c r="P361" s="830">
        <f t="shared" si="41"/>
        <v>0.25770696708657626</v>
      </c>
      <c r="Q361" s="830">
        <f t="shared" si="42"/>
        <v>0.81698464371287216</v>
      </c>
      <c r="R361" s="2773"/>
    </row>
    <row r="362" spans="1:18" x14ac:dyDescent="0.25">
      <c r="A362" s="2802"/>
      <c r="B362" s="706">
        <v>2047</v>
      </c>
      <c r="C362" s="1059">
        <f t="shared" si="33"/>
        <v>1084.683681072727</v>
      </c>
      <c r="D362" s="1059">
        <f t="shared" si="34"/>
        <v>0.46255167636363631</v>
      </c>
      <c r="E362" s="1059">
        <f t="shared" si="35"/>
        <v>2.8909479772727265</v>
      </c>
      <c r="F362" s="1059">
        <f t="shared" si="36"/>
        <v>3.1222238154545442E-2</v>
      </c>
      <c r="G362" s="1059">
        <f t="shared" si="37"/>
        <v>0.99448610418181815</v>
      </c>
      <c r="H362" s="827">
        <v>94</v>
      </c>
      <c r="I362" s="827">
        <f>'Emission-Waste Transport Vehicl'!N61</f>
        <v>18.726897505536005</v>
      </c>
      <c r="J362" s="827">
        <f>'Emission-Waste Transport Vehicl'!P61</f>
        <v>10.419333762816001</v>
      </c>
      <c r="K362" s="827">
        <f>'Emission-Waste Transport Vehicl'!Q61</f>
        <v>8.0919475845120008</v>
      </c>
      <c r="L362" s="827">
        <f>'Emission-Waste Transport Vehicl'!R61</f>
        <v>0.80538976742400015</v>
      </c>
      <c r="M362" s="827">
        <f t="shared" si="38"/>
        <v>101.96026602083633</v>
      </c>
      <c r="N362" s="830">
        <f t="shared" si="39"/>
        <v>8.6621578342756784</v>
      </c>
      <c r="O362" s="830">
        <f t="shared" si="40"/>
        <v>30.121751866142343</v>
      </c>
      <c r="P362" s="830">
        <f t="shared" si="41"/>
        <v>0.25264871461773242</v>
      </c>
      <c r="Q362" s="830">
        <f t="shared" si="42"/>
        <v>0.80094893215339447</v>
      </c>
      <c r="R362" s="2773"/>
    </row>
    <row r="363" spans="1:18" x14ac:dyDescent="0.25">
      <c r="A363" s="2802"/>
      <c r="B363" s="706">
        <v>2048</v>
      </c>
      <c r="C363" s="1059">
        <f t="shared" si="33"/>
        <v>1084.683681072727</v>
      </c>
      <c r="D363" s="1059">
        <f t="shared" si="34"/>
        <v>0.46255167636363631</v>
      </c>
      <c r="E363" s="1059">
        <f t="shared" si="35"/>
        <v>2.8909479772727265</v>
      </c>
      <c r="F363" s="1059">
        <f t="shared" si="36"/>
        <v>3.1222238154545442E-2</v>
      </c>
      <c r="G363" s="1059">
        <f t="shared" si="37"/>
        <v>0.99448610418181815</v>
      </c>
      <c r="H363" s="827">
        <v>95</v>
      </c>
      <c r="I363" s="827">
        <f>'Emission-Waste Transport Vehicl'!N62</f>
        <v>18.358488832464005</v>
      </c>
      <c r="J363" s="827">
        <f>'Emission-Waste Transport Vehicl'!P62</f>
        <v>10.214357315184001</v>
      </c>
      <c r="K363" s="827">
        <f>'Emission-Waste Transport Vehicl'!Q62</f>
        <v>7.9327571114880007</v>
      </c>
      <c r="L363" s="827">
        <f>'Emission-Waste Transport Vehicl'!R62</f>
        <v>0.78954557457600016</v>
      </c>
      <c r="M363" s="827">
        <f t="shared" si="38"/>
        <v>103.04494970190906</v>
      </c>
      <c r="N363" s="830">
        <f t="shared" si="39"/>
        <v>8.4917497849593211</v>
      </c>
      <c r="O363" s="830">
        <f t="shared" si="40"/>
        <v>29.529175619472067</v>
      </c>
      <c r="P363" s="830">
        <f t="shared" si="41"/>
        <v>0.24767843175704235</v>
      </c>
      <c r="Q363" s="830">
        <f t="shared" si="42"/>
        <v>0.78519210253408156</v>
      </c>
      <c r="R363" s="2773"/>
    </row>
    <row r="364" spans="1:18" x14ac:dyDescent="0.25">
      <c r="A364" s="2802"/>
      <c r="B364" s="706">
        <v>2049</v>
      </c>
      <c r="C364" s="1059">
        <f t="shared" si="33"/>
        <v>1084.683681072727</v>
      </c>
      <c r="D364" s="1059">
        <f t="shared" si="34"/>
        <v>0.46255167636363631</v>
      </c>
      <c r="E364" s="1059">
        <f t="shared" si="35"/>
        <v>2.8909479772727265</v>
      </c>
      <c r="F364" s="1059">
        <f t="shared" si="36"/>
        <v>3.1222238154545442E-2</v>
      </c>
      <c r="G364" s="1059">
        <f t="shared" si="37"/>
        <v>0.99448610418181815</v>
      </c>
      <c r="H364" s="827">
        <v>96</v>
      </c>
      <c r="I364" s="827">
        <f>'Emission-Waste Transport Vehicl'!N63</f>
        <v>17.999860920624005</v>
      </c>
      <c r="J364" s="827">
        <f>'Emission-Waste Transport Vehicl'!P63</f>
        <v>10.014822720144002</v>
      </c>
      <c r="K364" s="827">
        <f>'Emission-Waste Transport Vehicl'!Q63</f>
        <v>7.7777929342080014</v>
      </c>
      <c r="L364" s="827">
        <f>'Emission-Waste Transport Vehicl'!R63</f>
        <v>0.77412202401600017</v>
      </c>
      <c r="M364" s="827">
        <f t="shared" si="38"/>
        <v>104.12963338298178</v>
      </c>
      <c r="N364" s="830">
        <f t="shared" si="39"/>
        <v>8.3258658431469392</v>
      </c>
      <c r="O364" s="830">
        <f t="shared" si="40"/>
        <v>28.952331485545248</v>
      </c>
      <c r="P364" s="830">
        <f t="shared" si="41"/>
        <v>0.24284010330858299</v>
      </c>
      <c r="Q364" s="830">
        <f t="shared" si="42"/>
        <v>0.76985359582501589</v>
      </c>
      <c r="R364" s="2773"/>
    </row>
    <row r="365" spans="1:18" x14ac:dyDescent="0.25">
      <c r="A365" s="2802"/>
      <c r="B365" s="706">
        <v>2050</v>
      </c>
      <c r="C365" s="1059">
        <f t="shared" si="33"/>
        <v>1084.683681072727</v>
      </c>
      <c r="D365" s="1059">
        <f t="shared" si="34"/>
        <v>0.46255167636363631</v>
      </c>
      <c r="E365" s="1059">
        <f t="shared" si="35"/>
        <v>2.8909479772727265</v>
      </c>
      <c r="F365" s="1059">
        <f t="shared" si="36"/>
        <v>3.1222238154545442E-2</v>
      </c>
      <c r="G365" s="1059">
        <f t="shared" si="37"/>
        <v>0.99448610418181815</v>
      </c>
      <c r="H365" s="827">
        <v>97</v>
      </c>
      <c r="I365" s="827">
        <f>'Emission-Waste Transport Vehicl'!N64</f>
        <v>17.644493262528005</v>
      </c>
      <c r="J365" s="827">
        <f>'Emission-Waste Transport Vehicl'!P64</f>
        <v>9.8171020759680019</v>
      </c>
      <c r="K365" s="827">
        <f>'Emission-Waste Transport Vehicl'!Q64</f>
        <v>7.624237522176001</v>
      </c>
      <c r="L365" s="827">
        <f>'Emission-Waste Transport Vehicl'!R64</f>
        <v>0.75883868755200012</v>
      </c>
      <c r="M365" s="827">
        <f t="shared" si="38"/>
        <v>105.21431706405451</v>
      </c>
      <c r="N365" s="830">
        <f t="shared" si="39"/>
        <v>8.1614899371692147</v>
      </c>
      <c r="O365" s="830">
        <f t="shared" si="40"/>
        <v>28.380731389199578</v>
      </c>
      <c r="P365" s="830">
        <f t="shared" si="41"/>
        <v>0.23804575966420055</v>
      </c>
      <c r="Q365" s="830">
        <f t="shared" si="42"/>
        <v>0.75465453008603256</v>
      </c>
      <c r="R365" s="2773"/>
    </row>
    <row r="366" spans="1:18" x14ac:dyDescent="0.25">
      <c r="A366" s="2802"/>
      <c r="B366" s="706">
        <v>2051</v>
      </c>
      <c r="C366" s="1059">
        <f t="shared" ref="C366:C384" si="43">$L$15</f>
        <v>1084.683681072727</v>
      </c>
      <c r="D366" s="1059">
        <f t="shared" ref="D366:D384" si="44">$K$15</f>
        <v>0.46255167636363631</v>
      </c>
      <c r="E366" s="1059">
        <f t="shared" ref="E366:E384" si="45">$H$15</f>
        <v>2.8909479772727265</v>
      </c>
      <c r="F366" s="1059">
        <f t="shared" ref="F366:F384" si="46">$I$15</f>
        <v>3.1222238154545442E-2</v>
      </c>
      <c r="G366" s="1059">
        <f t="shared" ref="G366:G384" si="47">$J$15</f>
        <v>0.99448610418181815</v>
      </c>
      <c r="H366" s="827">
        <v>97</v>
      </c>
      <c r="I366" s="827">
        <f>'Emission-Waste Transport Vehicl'!N65</f>
        <v>17.298906365664003</v>
      </c>
      <c r="J366" s="827">
        <f>'Emission-Waste Transport Vehicl'!P65</f>
        <v>9.624823284384</v>
      </c>
      <c r="K366" s="827">
        <f>'Emission-Waste Transport Vehicl'!Q65</f>
        <v>7.4749084058879998</v>
      </c>
      <c r="L366" s="827">
        <f>'Emission-Waste Transport Vehicl'!R65</f>
        <v>0.74397599337600007</v>
      </c>
      <c r="M366" s="827">
        <f t="shared" ref="M366:M384" si="48">(C366/1000)*H366</f>
        <v>105.21431706405451</v>
      </c>
      <c r="N366" s="830">
        <f t="shared" si="39"/>
        <v>8.0016381386954638</v>
      </c>
      <c r="O366" s="830">
        <f t="shared" si="40"/>
        <v>27.824863405597366</v>
      </c>
      <c r="P366" s="830">
        <f t="shared" si="41"/>
        <v>0.23338337043204876</v>
      </c>
      <c r="Q366" s="830">
        <f t="shared" si="42"/>
        <v>0.73987378725729647</v>
      </c>
      <c r="R366" s="2773"/>
    </row>
    <row r="367" spans="1:18" x14ac:dyDescent="0.25">
      <c r="A367" s="2802"/>
      <c r="B367" s="706">
        <v>2052</v>
      </c>
      <c r="C367" s="1059">
        <f t="shared" si="43"/>
        <v>1084.683681072727</v>
      </c>
      <c r="D367" s="1059">
        <f t="shared" si="44"/>
        <v>0.46255167636363631</v>
      </c>
      <c r="E367" s="1059">
        <f t="shared" si="45"/>
        <v>2.8909479772727265</v>
      </c>
      <c r="F367" s="1059">
        <f t="shared" si="46"/>
        <v>3.1222238154545442E-2</v>
      </c>
      <c r="G367" s="1059">
        <f t="shared" si="47"/>
        <v>0.99448610418181815</v>
      </c>
      <c r="H367" s="827">
        <v>97</v>
      </c>
      <c r="I367" s="827">
        <f>'Emission-Waste Transport Vehicl'!N66</f>
        <v>16.959839976288002</v>
      </c>
      <c r="J367" s="827">
        <f>'Emission-Waste Transport Vehicl'!P66</f>
        <v>9.4361723945280005</v>
      </c>
      <c r="K367" s="827">
        <f>'Emission-Waste Transport Vehicl'!Q66</f>
        <v>7.3283968200960006</v>
      </c>
      <c r="L367" s="827">
        <f>'Emission-Waste Transport Vehicl'!R66</f>
        <v>0.72939372739200004</v>
      </c>
      <c r="M367" s="827">
        <f t="shared" si="48"/>
        <v>105.21431706405451</v>
      </c>
      <c r="N367" s="830">
        <f t="shared" ref="N367:N384" si="49">D367*I367</f>
        <v>7.8448024118910293</v>
      </c>
      <c r="O367" s="830">
        <f t="shared" ref="O367:O384" si="50">E367*J367</f>
        <v>27.279483497157464</v>
      </c>
      <c r="P367" s="830">
        <f t="shared" ref="P367:P384" si="51">F367*K367</f>
        <v>0.22880895080805083</v>
      </c>
      <c r="Q367" s="830">
        <f t="shared" si="42"/>
        <v>0.72537192636872516</v>
      </c>
      <c r="R367" s="2773"/>
    </row>
    <row r="368" spans="1:18" x14ac:dyDescent="0.25">
      <c r="A368" s="2802"/>
      <c r="B368" s="706">
        <v>2053</v>
      </c>
      <c r="C368" s="1059">
        <f t="shared" si="43"/>
        <v>1084.683681072727</v>
      </c>
      <c r="D368" s="1059">
        <f t="shared" si="44"/>
        <v>0.46255167636363631</v>
      </c>
      <c r="E368" s="1059">
        <f t="shared" si="45"/>
        <v>2.8909479772727265</v>
      </c>
      <c r="F368" s="1059">
        <f t="shared" si="46"/>
        <v>3.1222238154545442E-2</v>
      </c>
      <c r="G368" s="1059">
        <f t="shared" si="47"/>
        <v>0.99448610418181815</v>
      </c>
      <c r="H368" s="827">
        <v>97</v>
      </c>
      <c r="I368" s="827">
        <f>'Emission-Waste Transport Vehicl'!N67</f>
        <v>15.361506000000002</v>
      </c>
      <c r="J368" s="827">
        <f>'Emission-Waste Transport Vehicl'!P67</f>
        <v>9.2511494064000015</v>
      </c>
      <c r="K368" s="827">
        <f>'Emission-Waste Transport Vehicl'!Q67</f>
        <v>7.1847027647999999</v>
      </c>
      <c r="L368" s="827">
        <f>'Emission-Waste Transport Vehicl'!R67</f>
        <v>0.71509188960000014</v>
      </c>
      <c r="M368" s="827">
        <f t="shared" si="48"/>
        <v>105.21431706405451</v>
      </c>
      <c r="N368" s="830">
        <f t="shared" si="49"/>
        <v>7.1054903517700581</v>
      </c>
      <c r="O368" s="830">
        <f t="shared" si="50"/>
        <v>26.74459166387987</v>
      </c>
      <c r="P368" s="830">
        <f t="shared" si="51"/>
        <v>0.22432250079220667</v>
      </c>
      <c r="Q368" s="830">
        <f t="shared" si="42"/>
        <v>0.71114894742031898</v>
      </c>
      <c r="R368" s="2773"/>
    </row>
    <row r="369" spans="1:18" x14ac:dyDescent="0.25">
      <c r="A369" s="2802"/>
      <c r="B369" s="706">
        <v>2054</v>
      </c>
      <c r="C369" s="1059">
        <f t="shared" si="43"/>
        <v>1084.683681072727</v>
      </c>
      <c r="D369" s="1059">
        <f t="shared" si="44"/>
        <v>0.46255167636363631</v>
      </c>
      <c r="E369" s="1059">
        <f t="shared" si="45"/>
        <v>2.8909479772727265</v>
      </c>
      <c r="F369" s="1059">
        <f t="shared" si="46"/>
        <v>3.1222238154545442E-2</v>
      </c>
      <c r="G369" s="1059">
        <f t="shared" si="47"/>
        <v>0.99448610418181815</v>
      </c>
      <c r="H369" s="827">
        <v>97</v>
      </c>
      <c r="I369" s="827">
        <f>'Emission-Waste Transport Vehicl'!N68</f>
        <v>16.301268720000003</v>
      </c>
      <c r="J369" s="827">
        <f>'Emission-Waste Transport Vehicl'!P68</f>
        <v>9.0697543200000013</v>
      </c>
      <c r="K369" s="827">
        <f>'Emission-Waste Transport Vehicl'!Q68</f>
        <v>7.0438262400000005</v>
      </c>
      <c r="L369" s="827">
        <f>'Emission-Waste Transport Vehicl'!R68</f>
        <v>0.70107048000000005</v>
      </c>
      <c r="M369" s="827">
        <f t="shared" si="48"/>
        <v>105.21431706405451</v>
      </c>
      <c r="N369" s="830">
        <f t="shared" si="49"/>
        <v>7.5401791732901096</v>
      </c>
      <c r="O369" s="830">
        <f t="shared" si="50"/>
        <v>26.220187905764575</v>
      </c>
      <c r="P369" s="830">
        <f t="shared" si="51"/>
        <v>0.21992402038451636</v>
      </c>
      <c r="Q369" s="830">
        <f t="shared" si="42"/>
        <v>0.69720485041207736</v>
      </c>
      <c r="R369" s="2773"/>
    </row>
    <row r="370" spans="1:18" x14ac:dyDescent="0.25">
      <c r="A370" s="2802"/>
      <c r="B370" s="706">
        <v>2055</v>
      </c>
      <c r="C370" s="1059">
        <f t="shared" si="43"/>
        <v>1084.683681072727</v>
      </c>
      <c r="D370" s="1059">
        <f t="shared" si="44"/>
        <v>0.46255167636363631</v>
      </c>
      <c r="E370" s="1059">
        <f t="shared" si="45"/>
        <v>2.8909479772727265</v>
      </c>
      <c r="F370" s="1059">
        <f t="shared" si="46"/>
        <v>3.1222238154545442E-2</v>
      </c>
      <c r="G370" s="1059">
        <f t="shared" si="47"/>
        <v>0.99448610418181815</v>
      </c>
      <c r="H370" s="827">
        <v>97</v>
      </c>
      <c r="I370" s="827">
        <f>'Emission-Waste Transport Vehicl'!N69</f>
        <v>15.981763853088003</v>
      </c>
      <c r="J370" s="827">
        <f>'Emission-Waste Transport Vehicl'!P69</f>
        <v>8.8919871353280016</v>
      </c>
      <c r="K370" s="827">
        <f>'Emission-Waste Transport Vehicl'!Q69</f>
        <v>6.9057672456960004</v>
      </c>
      <c r="L370" s="827">
        <f>'Emission-Waste Transport Vehicl'!R69</f>
        <v>0.6873294985920001</v>
      </c>
      <c r="M370" s="827">
        <f t="shared" si="48"/>
        <v>105.21431706405451</v>
      </c>
      <c r="N370" s="830">
        <f t="shared" si="49"/>
        <v>7.3923916614936234</v>
      </c>
      <c r="O370" s="830">
        <f t="shared" si="50"/>
        <v>25.706272222811592</v>
      </c>
      <c r="P370" s="830">
        <f t="shared" si="51"/>
        <v>0.21561350958497985</v>
      </c>
      <c r="Q370" s="830">
        <f t="shared" si="42"/>
        <v>0.68353963534400064</v>
      </c>
      <c r="R370" s="2773"/>
    </row>
    <row r="371" spans="1:18" x14ac:dyDescent="0.25">
      <c r="A371" s="2802"/>
      <c r="B371" s="706">
        <v>2056</v>
      </c>
      <c r="C371" s="1059">
        <f t="shared" si="43"/>
        <v>1084.683681072727</v>
      </c>
      <c r="D371" s="1059">
        <f t="shared" si="44"/>
        <v>0.46255167636363631</v>
      </c>
      <c r="E371" s="1059">
        <f t="shared" si="45"/>
        <v>2.8909479772727265</v>
      </c>
      <c r="F371" s="1059">
        <f t="shared" si="46"/>
        <v>3.1222238154545442E-2</v>
      </c>
      <c r="G371" s="1059">
        <f t="shared" si="47"/>
        <v>0.99448610418181815</v>
      </c>
      <c r="H371" s="827">
        <v>97</v>
      </c>
      <c r="I371" s="827">
        <f>'Emission-Waste Transport Vehicl'!N70</f>
        <v>15.668779493664003</v>
      </c>
      <c r="J371" s="827">
        <f>'Emission-Waste Transport Vehicl'!P70</f>
        <v>8.7178478523840006</v>
      </c>
      <c r="K371" s="827">
        <f>'Emission-Waste Transport Vehicl'!Q70</f>
        <v>6.7705257818880007</v>
      </c>
      <c r="L371" s="827">
        <f>'Emission-Waste Transport Vehicl'!R70</f>
        <v>0.67386894537600017</v>
      </c>
      <c r="M371" s="827">
        <f t="shared" si="48"/>
        <v>105.21431706405451</v>
      </c>
      <c r="N371" s="830">
        <f t="shared" si="49"/>
        <v>7.2476202213664527</v>
      </c>
      <c r="O371" s="830">
        <f t="shared" si="50"/>
        <v>25.202844615020908</v>
      </c>
      <c r="P371" s="830">
        <f t="shared" si="51"/>
        <v>0.21139096839359714</v>
      </c>
      <c r="Q371" s="830">
        <f t="shared" si="42"/>
        <v>0.67015330221608882</v>
      </c>
      <c r="R371" s="2773"/>
    </row>
    <row r="372" spans="1:18" x14ac:dyDescent="0.25">
      <c r="A372" s="2802"/>
      <c r="B372" s="706">
        <v>2057</v>
      </c>
      <c r="C372" s="1059">
        <f t="shared" si="43"/>
        <v>1084.683681072727</v>
      </c>
      <c r="D372" s="1059">
        <f t="shared" si="44"/>
        <v>0.46255167636363631</v>
      </c>
      <c r="E372" s="1059">
        <f t="shared" si="45"/>
        <v>2.8909479772727265</v>
      </c>
      <c r="F372" s="1059">
        <f t="shared" si="46"/>
        <v>3.1222238154545442E-2</v>
      </c>
      <c r="G372" s="1059">
        <f t="shared" si="47"/>
        <v>0.99448610418181815</v>
      </c>
      <c r="H372" s="827">
        <v>97</v>
      </c>
      <c r="I372" s="827">
        <f>'Emission-Waste Transport Vehicl'!N71</f>
        <v>15.362315641728001</v>
      </c>
      <c r="J372" s="827">
        <f>'Emission-Waste Transport Vehicl'!P71</f>
        <v>8.547336471168002</v>
      </c>
      <c r="K372" s="827">
        <f>'Emission-Waste Transport Vehicl'!Q71</f>
        <v>6.6381018485760004</v>
      </c>
      <c r="L372" s="827">
        <f>'Emission-Waste Transport Vehicl'!R71</f>
        <v>0.66068882035200005</v>
      </c>
      <c r="M372" s="827">
        <f t="shared" si="48"/>
        <v>105.21431706405451</v>
      </c>
      <c r="N372" s="830">
        <f t="shared" si="49"/>
        <v>7.1058648529085984</v>
      </c>
      <c r="O372" s="830">
        <f t="shared" si="50"/>
        <v>24.709905082392538</v>
      </c>
      <c r="P372" s="830">
        <f t="shared" si="51"/>
        <v>0.20725639681036823</v>
      </c>
      <c r="Q372" s="830">
        <f t="shared" si="42"/>
        <v>0.65704585102834168</v>
      </c>
      <c r="R372" s="2773"/>
    </row>
    <row r="373" spans="1:18" x14ac:dyDescent="0.25">
      <c r="A373" s="2802"/>
      <c r="B373" s="706">
        <v>2058</v>
      </c>
      <c r="C373" s="1059">
        <f t="shared" si="43"/>
        <v>1084.683681072727</v>
      </c>
      <c r="D373" s="1059">
        <f t="shared" si="44"/>
        <v>0.46255167636363631</v>
      </c>
      <c r="E373" s="1059">
        <f t="shared" si="45"/>
        <v>2.8909479772727265</v>
      </c>
      <c r="F373" s="1059">
        <f t="shared" si="46"/>
        <v>3.1222238154545442E-2</v>
      </c>
      <c r="G373" s="1059">
        <f t="shared" si="47"/>
        <v>0.99448610418181815</v>
      </c>
      <c r="H373" s="827">
        <v>97</v>
      </c>
      <c r="I373" s="827">
        <f>'Emission-Waste Transport Vehicl'!N72</f>
        <v>15.059112043536</v>
      </c>
      <c r="J373" s="827">
        <f>'Emission-Waste Transport Vehicl'!P72</f>
        <v>8.378639040816001</v>
      </c>
      <c r="K373" s="827">
        <f>'Emission-Waste Transport Vehicl'!Q72</f>
        <v>6.5070866805119998</v>
      </c>
      <c r="L373" s="827">
        <f>'Emission-Waste Transport Vehicl'!R72</f>
        <v>0.647648909424</v>
      </c>
      <c r="M373" s="827">
        <f t="shared" si="48"/>
        <v>105.21431706405451</v>
      </c>
      <c r="N373" s="830">
        <f t="shared" si="49"/>
        <v>6.9656175202854023</v>
      </c>
      <c r="O373" s="830">
        <f t="shared" si="50"/>
        <v>24.222209587345315</v>
      </c>
      <c r="P373" s="830">
        <f t="shared" si="51"/>
        <v>0.2031658100312162</v>
      </c>
      <c r="Q373" s="830">
        <f t="shared" si="42"/>
        <v>0.64407784081067698</v>
      </c>
      <c r="R373" s="2773"/>
    </row>
    <row r="374" spans="1:18" x14ac:dyDescent="0.25">
      <c r="A374" s="2802"/>
      <c r="B374" s="706">
        <v>2059</v>
      </c>
      <c r="C374" s="1059">
        <f t="shared" si="43"/>
        <v>1084.683681072727</v>
      </c>
      <c r="D374" s="1059">
        <f t="shared" si="44"/>
        <v>0.46255167636363631</v>
      </c>
      <c r="E374" s="1059">
        <f t="shared" si="45"/>
        <v>2.8909479772727265</v>
      </c>
      <c r="F374" s="1059">
        <f t="shared" si="46"/>
        <v>3.1222238154545442E-2</v>
      </c>
      <c r="G374" s="1059">
        <f t="shared" si="47"/>
        <v>0.99448610418181815</v>
      </c>
      <c r="H374" s="827">
        <v>97</v>
      </c>
      <c r="I374" s="827">
        <f>'Emission-Waste Transport Vehicl'!N73</f>
        <v>14.765689206576004</v>
      </c>
      <c r="J374" s="827">
        <f>'Emission-Waste Transport Vehicl'!P73</f>
        <v>8.2153834630560016</v>
      </c>
      <c r="K374" s="827">
        <f>'Emission-Waste Transport Vehicl'!Q73</f>
        <v>6.380297808192001</v>
      </c>
      <c r="L374" s="827">
        <f>'Emission-Waste Transport Vehicl'!R73</f>
        <v>0.63502964078400004</v>
      </c>
      <c r="M374" s="827">
        <f t="shared" si="48"/>
        <v>105.21431706405451</v>
      </c>
      <c r="N374" s="830">
        <f t="shared" si="49"/>
        <v>6.8298942951661816</v>
      </c>
      <c r="O374" s="830">
        <f t="shared" si="50"/>
        <v>23.750246205041556</v>
      </c>
      <c r="P374" s="830">
        <f t="shared" si="51"/>
        <v>0.19920717766429494</v>
      </c>
      <c r="Q374" s="830">
        <f t="shared" si="42"/>
        <v>0.63152815350325964</v>
      </c>
      <c r="R374" s="2773"/>
    </row>
    <row r="375" spans="1:18" x14ac:dyDescent="0.25">
      <c r="A375" s="2802"/>
      <c r="B375" s="706">
        <v>2060</v>
      </c>
      <c r="C375" s="1059">
        <f t="shared" si="43"/>
        <v>1084.683681072727</v>
      </c>
      <c r="D375" s="1059">
        <f t="shared" si="44"/>
        <v>0.46255167636363631</v>
      </c>
      <c r="E375" s="1059">
        <f t="shared" si="45"/>
        <v>2.8909479772727265</v>
      </c>
      <c r="F375" s="1059">
        <f t="shared" si="46"/>
        <v>3.1222238154545442E-2</v>
      </c>
      <c r="G375" s="1059">
        <f t="shared" si="47"/>
        <v>0.99448610418181815</v>
      </c>
      <c r="H375" s="827">
        <v>97</v>
      </c>
      <c r="I375" s="827">
        <f>'Emission-Waste Transport Vehicl'!N74</f>
        <v>14.475526623360002</v>
      </c>
      <c r="J375" s="827">
        <f>'Emission-Waste Transport Vehicl'!P74</f>
        <v>8.0539418361599999</v>
      </c>
      <c r="K375" s="827">
        <f>'Emission-Waste Transport Vehicl'!Q74</f>
        <v>6.2549177011200001</v>
      </c>
      <c r="L375" s="827">
        <f>'Emission-Waste Transport Vehicl'!R74</f>
        <v>0.62255058624000004</v>
      </c>
      <c r="M375" s="827">
        <f t="shared" si="48"/>
        <v>105.21431706405451</v>
      </c>
      <c r="N375" s="830">
        <f t="shared" si="49"/>
        <v>6.6956791058816165</v>
      </c>
      <c r="O375" s="830">
        <f t="shared" si="50"/>
        <v>23.28352686031894</v>
      </c>
      <c r="P375" s="830">
        <f t="shared" si="51"/>
        <v>0.19529253010145053</v>
      </c>
      <c r="Q375" s="830">
        <f t="shared" si="42"/>
        <v>0.61911790716592463</v>
      </c>
      <c r="R375" s="2773"/>
    </row>
    <row r="376" spans="1:18" x14ac:dyDescent="0.25">
      <c r="A376" s="2802"/>
      <c r="B376" s="706">
        <v>2061</v>
      </c>
      <c r="C376" s="1059">
        <f t="shared" si="43"/>
        <v>1084.683681072727</v>
      </c>
      <c r="D376" s="1059">
        <f t="shared" si="44"/>
        <v>0.46255167636363631</v>
      </c>
      <c r="E376" s="1059">
        <f t="shared" si="45"/>
        <v>2.8909479772727265</v>
      </c>
      <c r="F376" s="1059">
        <f t="shared" si="46"/>
        <v>3.1222238154545442E-2</v>
      </c>
      <c r="G376" s="1059">
        <f t="shared" si="47"/>
        <v>0.99448610418181815</v>
      </c>
      <c r="H376" s="827">
        <v>97</v>
      </c>
      <c r="I376" s="827">
        <f>'Emission-Waste Transport Vehicl'!N75</f>
        <v>14.191884547632004</v>
      </c>
      <c r="J376" s="827">
        <f>'Emission-Waste Transport Vehicl'!P75</f>
        <v>7.8961281109920014</v>
      </c>
      <c r="K376" s="827">
        <f>'Emission-Waste Transport Vehicl'!Q75</f>
        <v>6.1323551245440004</v>
      </c>
      <c r="L376" s="827">
        <f>'Emission-Waste Transport Vehicl'!R75</f>
        <v>0.61035195988800006</v>
      </c>
      <c r="M376" s="827">
        <f t="shared" si="48"/>
        <v>105.21431706405451</v>
      </c>
      <c r="N376" s="830">
        <f t="shared" si="49"/>
        <v>6.5644799882663696</v>
      </c>
      <c r="O376" s="830">
        <f t="shared" si="50"/>
        <v>22.827295590758641</v>
      </c>
      <c r="P376" s="830">
        <f t="shared" si="51"/>
        <v>0.19146585214675996</v>
      </c>
      <c r="Q376" s="830">
        <f t="shared" si="42"/>
        <v>0.60698654276875452</v>
      </c>
      <c r="R376" s="2773"/>
    </row>
    <row r="377" spans="1:18" x14ac:dyDescent="0.25">
      <c r="A377" s="2802"/>
      <c r="B377" s="706">
        <v>2062</v>
      </c>
      <c r="C377" s="1059">
        <f t="shared" si="43"/>
        <v>1084.683681072727</v>
      </c>
      <c r="D377" s="1059">
        <f t="shared" si="44"/>
        <v>0.46255167636363631</v>
      </c>
      <c r="E377" s="1059">
        <f t="shared" si="45"/>
        <v>2.8909479772727265</v>
      </c>
      <c r="F377" s="1059">
        <f t="shared" si="46"/>
        <v>3.1222238154545442E-2</v>
      </c>
      <c r="G377" s="1059">
        <f t="shared" si="47"/>
        <v>0.99448610418181815</v>
      </c>
      <c r="H377" s="827">
        <v>97</v>
      </c>
      <c r="I377" s="827">
        <f>'Emission-Waste Transport Vehicl'!N76</f>
        <v>13.914762979392002</v>
      </c>
      <c r="J377" s="827">
        <f>'Emission-Waste Transport Vehicl'!P76</f>
        <v>7.7419422875520008</v>
      </c>
      <c r="K377" s="827">
        <f>'Emission-Waste Transport Vehicl'!Q76</f>
        <v>6.0126100784640002</v>
      </c>
      <c r="L377" s="827">
        <f>'Emission-Waste Transport Vehicl'!R76</f>
        <v>0.59843376172800011</v>
      </c>
      <c r="M377" s="827">
        <f t="shared" si="48"/>
        <v>105.21431706405451</v>
      </c>
      <c r="N377" s="830">
        <f t="shared" si="49"/>
        <v>6.4362969423204373</v>
      </c>
      <c r="O377" s="830">
        <f t="shared" si="50"/>
        <v>22.381552396360643</v>
      </c>
      <c r="P377" s="830">
        <f t="shared" si="51"/>
        <v>0.18772714380022318</v>
      </c>
      <c r="Q377" s="830">
        <f t="shared" si="42"/>
        <v>0.59513406031174931</v>
      </c>
      <c r="R377" s="2773"/>
    </row>
    <row r="378" spans="1:18" x14ac:dyDescent="0.25">
      <c r="A378" s="2802"/>
      <c r="B378" s="706">
        <v>2063</v>
      </c>
      <c r="C378" s="1059">
        <f t="shared" si="43"/>
        <v>1084.683681072727</v>
      </c>
      <c r="D378" s="1059">
        <f t="shared" si="44"/>
        <v>0.46255167636363631</v>
      </c>
      <c r="E378" s="1059">
        <f t="shared" si="45"/>
        <v>2.8909479772727265</v>
      </c>
      <c r="F378" s="1059">
        <f t="shared" si="46"/>
        <v>3.1222238154545442E-2</v>
      </c>
      <c r="G378" s="1059">
        <f t="shared" si="47"/>
        <v>0.99448610418181815</v>
      </c>
      <c r="H378" s="827">
        <v>97</v>
      </c>
      <c r="I378" s="827">
        <f>'Emission-Waste Transport Vehicl'!N77</f>
        <v>13.640901664896001</v>
      </c>
      <c r="J378" s="827">
        <f>'Emission-Waste Transport Vehicl'!P77</f>
        <v>7.5895704149760004</v>
      </c>
      <c r="K378" s="827">
        <f>'Emission-Waste Transport Vehicl'!Q77</f>
        <v>5.8942737976319997</v>
      </c>
      <c r="L378" s="827">
        <f>'Emission-Waste Transport Vehicl'!R77</f>
        <v>0.58665577766400001</v>
      </c>
      <c r="M378" s="827">
        <f t="shared" si="48"/>
        <v>105.21431706405451</v>
      </c>
      <c r="N378" s="830">
        <f t="shared" si="49"/>
        <v>6.3096219322091631</v>
      </c>
      <c r="O378" s="830">
        <f t="shared" si="50"/>
        <v>21.941053239543795</v>
      </c>
      <c r="P378" s="830">
        <f t="shared" si="51"/>
        <v>0.18403242025776329</v>
      </c>
      <c r="Q378" s="830">
        <f t="shared" si="42"/>
        <v>0.58342101882482622</v>
      </c>
      <c r="R378" s="2773"/>
    </row>
    <row r="379" spans="1:18" x14ac:dyDescent="0.25">
      <c r="A379" s="2802"/>
      <c r="B379" s="706">
        <v>2064</v>
      </c>
      <c r="C379" s="1059">
        <f t="shared" si="43"/>
        <v>1084.683681072727</v>
      </c>
      <c r="D379" s="1059">
        <f t="shared" si="44"/>
        <v>0.46255167636363631</v>
      </c>
      <c r="E379" s="1059">
        <f t="shared" si="45"/>
        <v>2.8909479772727265</v>
      </c>
      <c r="F379" s="1059">
        <f t="shared" si="46"/>
        <v>3.1222238154545442E-2</v>
      </c>
      <c r="G379" s="1059">
        <f t="shared" si="47"/>
        <v>0.99448610418181815</v>
      </c>
      <c r="H379" s="827">
        <v>97</v>
      </c>
      <c r="I379" s="827">
        <f>'Emission-Waste Transport Vehicl'!N78</f>
        <v>13.373560857888002</v>
      </c>
      <c r="J379" s="827">
        <f>'Emission-Waste Transport Vehicl'!P78</f>
        <v>7.4408264441280014</v>
      </c>
      <c r="K379" s="827">
        <f>'Emission-Waste Transport Vehicl'!Q78</f>
        <v>5.7787550472960003</v>
      </c>
      <c r="L379" s="827">
        <f>'Emission-Waste Transport Vehicl'!R78</f>
        <v>0.57515822179200005</v>
      </c>
      <c r="M379" s="827">
        <f t="shared" si="48"/>
        <v>105.21431706405451</v>
      </c>
      <c r="N379" s="830">
        <f t="shared" si="49"/>
        <v>6.1859629937672054</v>
      </c>
      <c r="O379" s="830">
        <f t="shared" si="50"/>
        <v>21.511042157889261</v>
      </c>
      <c r="P379" s="830">
        <f t="shared" si="51"/>
        <v>0.18042566632345722</v>
      </c>
      <c r="Q379" s="830">
        <f t="shared" si="42"/>
        <v>0.57198685927806825</v>
      </c>
      <c r="R379" s="2773"/>
    </row>
    <row r="380" spans="1:18" x14ac:dyDescent="0.25">
      <c r="A380" s="2802"/>
      <c r="B380" s="706">
        <v>2065</v>
      </c>
      <c r="C380" s="1059">
        <f t="shared" si="43"/>
        <v>1084.683681072727</v>
      </c>
      <c r="D380" s="1059">
        <f t="shared" si="44"/>
        <v>0.46255167636363631</v>
      </c>
      <c r="E380" s="1059">
        <f t="shared" si="45"/>
        <v>2.8909479772727265</v>
      </c>
      <c r="F380" s="1059">
        <f t="shared" si="46"/>
        <v>3.1222238154545442E-2</v>
      </c>
      <c r="G380" s="1059">
        <f t="shared" si="47"/>
        <v>0.99448610418181815</v>
      </c>
      <c r="H380" s="827">
        <v>97</v>
      </c>
      <c r="I380" s="827">
        <f>'Emission-Waste Transport Vehicl'!N79</f>
        <v>13.112740558368001</v>
      </c>
      <c r="J380" s="827">
        <f>'Emission-Waste Transport Vehicl'!P79</f>
        <v>7.2957103750080003</v>
      </c>
      <c r="K380" s="827">
        <f>'Emission-Waste Transport Vehicl'!Q79</f>
        <v>5.6660538274560004</v>
      </c>
      <c r="L380" s="827">
        <f>'Emission-Waste Transport Vehicl'!R79</f>
        <v>0.56394109411200011</v>
      </c>
      <c r="M380" s="827">
        <f t="shared" si="48"/>
        <v>105.21431706405451</v>
      </c>
      <c r="N380" s="830">
        <f t="shared" si="49"/>
        <v>6.0653201269945631</v>
      </c>
      <c r="O380" s="830">
        <f t="shared" si="50"/>
        <v>21.091519151397023</v>
      </c>
      <c r="P380" s="830">
        <f t="shared" si="51"/>
        <v>0.17690688199730498</v>
      </c>
      <c r="Q380" s="830">
        <f t="shared" si="42"/>
        <v>0.56083158167147507</v>
      </c>
      <c r="R380" s="2773"/>
    </row>
    <row r="381" spans="1:18" x14ac:dyDescent="0.25">
      <c r="A381" s="2802"/>
      <c r="B381" s="706">
        <v>2066</v>
      </c>
      <c r="C381" s="1059">
        <f t="shared" si="43"/>
        <v>1084.683681072727</v>
      </c>
      <c r="D381" s="1059">
        <f t="shared" si="44"/>
        <v>0.46255167636363631</v>
      </c>
      <c r="E381" s="1059">
        <f t="shared" si="45"/>
        <v>2.8909479772727265</v>
      </c>
      <c r="F381" s="1059">
        <f t="shared" si="46"/>
        <v>3.1222238154545442E-2</v>
      </c>
      <c r="G381" s="1059">
        <f t="shared" si="47"/>
        <v>0.99448610418181815</v>
      </c>
      <c r="H381" s="827">
        <v>97</v>
      </c>
      <c r="I381" s="827">
        <f>'Emission-Waste Transport Vehicl'!N80</f>
        <v>12.855180512592</v>
      </c>
      <c r="J381" s="827">
        <f>'Emission-Waste Transport Vehicl'!P80</f>
        <v>7.1524082567520004</v>
      </c>
      <c r="K381" s="827">
        <f>'Emission-Waste Transport Vehicl'!Q80</f>
        <v>5.5547613728639993</v>
      </c>
      <c r="L381" s="827">
        <f>'Emission-Waste Transport Vehicl'!R80</f>
        <v>0.55286418052800002</v>
      </c>
      <c r="M381" s="827">
        <f t="shared" si="48"/>
        <v>105.21431706405451</v>
      </c>
      <c r="N381" s="830">
        <f t="shared" si="49"/>
        <v>5.9461852960565791</v>
      </c>
      <c r="O381" s="830">
        <f t="shared" si="50"/>
        <v>20.677240182485942</v>
      </c>
      <c r="P381" s="830">
        <f t="shared" si="51"/>
        <v>0.17343208247522957</v>
      </c>
      <c r="Q381" s="830">
        <f t="shared" si="42"/>
        <v>0.54981574503496411</v>
      </c>
      <c r="R381" s="2773"/>
    </row>
    <row r="382" spans="1:18" x14ac:dyDescent="0.25">
      <c r="A382" s="2802"/>
      <c r="B382" s="706">
        <v>2067</v>
      </c>
      <c r="C382" s="1059">
        <f t="shared" si="43"/>
        <v>1084.683681072727</v>
      </c>
      <c r="D382" s="1059">
        <f t="shared" si="44"/>
        <v>0.46255167636363631</v>
      </c>
      <c r="E382" s="1059">
        <f t="shared" si="45"/>
        <v>2.8909479772727265</v>
      </c>
      <c r="F382" s="1059">
        <f t="shared" si="46"/>
        <v>3.1222238154545442E-2</v>
      </c>
      <c r="G382" s="1059">
        <f t="shared" si="47"/>
        <v>0.99448610418181815</v>
      </c>
      <c r="H382" s="827">
        <v>97</v>
      </c>
      <c r="I382" s="827">
        <f>'Emission-Waste Transport Vehicl'!N81</f>
        <v>12.600880720560001</v>
      </c>
      <c r="J382" s="827">
        <f>'Emission-Waste Transport Vehicl'!P81</f>
        <v>7.0109200893600008</v>
      </c>
      <c r="K382" s="827">
        <f>'Emission-Waste Transport Vehicl'!Q81</f>
        <v>5.4448776835200006</v>
      </c>
      <c r="L382" s="827">
        <f>'Emission-Waste Transport Vehicl'!R81</f>
        <v>0.5419274810400001</v>
      </c>
      <c r="M382" s="827">
        <f t="shared" si="48"/>
        <v>105.21431706405451</v>
      </c>
      <c r="N382" s="830">
        <f t="shared" si="49"/>
        <v>5.8285585009532541</v>
      </c>
      <c r="O382" s="830">
        <f t="shared" si="50"/>
        <v>20.268205251156015</v>
      </c>
      <c r="P382" s="830">
        <f t="shared" si="51"/>
        <v>0.17000126775723115</v>
      </c>
      <c r="Q382" s="830">
        <f t="shared" si="42"/>
        <v>0.53893934936853582</v>
      </c>
      <c r="R382" s="2773"/>
    </row>
    <row r="383" spans="1:18" x14ac:dyDescent="0.25">
      <c r="A383" s="2802"/>
      <c r="B383" s="706">
        <v>2068</v>
      </c>
      <c r="C383" s="1059">
        <f t="shared" si="43"/>
        <v>1084.683681072727</v>
      </c>
      <c r="D383" s="1059">
        <f t="shared" si="44"/>
        <v>0.46255167636363631</v>
      </c>
      <c r="E383" s="1059">
        <f t="shared" si="45"/>
        <v>2.8909479772727265</v>
      </c>
      <c r="F383" s="1059">
        <f t="shared" si="46"/>
        <v>3.1222238154545442E-2</v>
      </c>
      <c r="G383" s="1059">
        <f t="shared" si="47"/>
        <v>0.99448610418181815</v>
      </c>
      <c r="H383" s="827">
        <v>97</v>
      </c>
      <c r="I383" s="827">
        <f>'Emission-Waste Transport Vehicl'!N82</f>
        <v>12.356361689760002</v>
      </c>
      <c r="J383" s="827">
        <f>'Emission-Waste Transport Vehicl'!P82</f>
        <v>6.8748737745600002</v>
      </c>
      <c r="K383" s="827">
        <f>'Emission-Waste Transport Vehicl'!Q82</f>
        <v>5.339220289920001</v>
      </c>
      <c r="L383" s="827">
        <f>'Emission-Waste Transport Vehicl'!R82</f>
        <v>0.53141142384000006</v>
      </c>
      <c r="M383" s="827">
        <f t="shared" si="48"/>
        <v>105.21431706405451</v>
      </c>
      <c r="N383" s="830">
        <f t="shared" si="49"/>
        <v>5.7154558133539028</v>
      </c>
      <c r="O383" s="830">
        <f t="shared" si="50"/>
        <v>19.874902432569545</v>
      </c>
      <c r="P383" s="830">
        <f t="shared" si="51"/>
        <v>0.16670240745146342</v>
      </c>
      <c r="Q383" s="830">
        <f t="shared" si="42"/>
        <v>0.52848127661235467</v>
      </c>
      <c r="R383" s="2773"/>
    </row>
    <row r="384" spans="1:18" ht="15.75" thickBot="1" x14ac:dyDescent="0.3">
      <c r="A384" s="2807"/>
      <c r="B384" s="55">
        <v>2069</v>
      </c>
      <c r="C384" s="1061">
        <f t="shared" si="43"/>
        <v>1084.683681072727</v>
      </c>
      <c r="D384" s="1061">
        <f t="shared" si="44"/>
        <v>0.46255167636363631</v>
      </c>
      <c r="E384" s="1061">
        <f t="shared" si="45"/>
        <v>2.8909479772727265</v>
      </c>
      <c r="F384" s="1061">
        <f t="shared" si="46"/>
        <v>3.1222238154545442E-2</v>
      </c>
      <c r="G384" s="1061">
        <f t="shared" si="47"/>
        <v>0.99448610418181815</v>
      </c>
      <c r="H384" s="1062">
        <v>97</v>
      </c>
      <c r="I384" s="1062">
        <f>'Emission-Waste Transport Vehicl'!N83</f>
        <v>12.111842658960002</v>
      </c>
      <c r="J384" s="1062">
        <f>'Emission-Waste Transport Vehicl'!P83</f>
        <v>6.7388274597600004</v>
      </c>
      <c r="K384" s="1062">
        <f>'Emission-Waste Transport Vehicl'!Q83</f>
        <v>5.2335628963200005</v>
      </c>
      <c r="L384" s="1062">
        <f>'Emission-Waste Transport Vehicl'!R83</f>
        <v>0.52089536664000002</v>
      </c>
      <c r="M384" s="1062">
        <f t="shared" si="48"/>
        <v>105.21431706405451</v>
      </c>
      <c r="N384" s="1063">
        <f t="shared" si="49"/>
        <v>5.6023531257545516</v>
      </c>
      <c r="O384" s="1063">
        <f t="shared" si="50"/>
        <v>19.481599613983079</v>
      </c>
      <c r="P384" s="1063">
        <f t="shared" si="51"/>
        <v>0.16340354714569566</v>
      </c>
      <c r="Q384" s="1063">
        <f t="shared" si="42"/>
        <v>0.5180232038561734</v>
      </c>
      <c r="R384" s="2774"/>
    </row>
    <row r="385" spans="1:18" ht="15.75" thickBot="1" x14ac:dyDescent="0.3">
      <c r="A385" s="124"/>
      <c r="B385" s="124"/>
      <c r="C385" s="1331"/>
      <c r="D385" s="1331"/>
      <c r="E385" s="1331"/>
      <c r="F385" s="1331"/>
      <c r="G385" s="1331"/>
      <c r="H385" s="1067"/>
      <c r="I385" s="1067"/>
      <c r="J385" s="1067"/>
      <c r="K385" s="1067"/>
      <c r="L385" s="1067"/>
      <c r="M385" s="1067"/>
      <c r="N385" s="1307"/>
      <c r="O385" s="1307"/>
      <c r="P385" s="1307"/>
      <c r="Q385" s="1307"/>
      <c r="R385" s="1307"/>
    </row>
    <row r="386" spans="1:18" ht="73.5" customHeight="1" thickBot="1" x14ac:dyDescent="0.3">
      <c r="A386" s="2832" t="s">
        <v>1396</v>
      </c>
      <c r="B386" s="2833"/>
      <c r="C386" s="2833"/>
      <c r="D386" s="2833"/>
      <c r="E386" s="2833"/>
      <c r="F386" s="2833"/>
      <c r="G386" s="2833"/>
      <c r="H386" s="2833"/>
      <c r="I386" s="2833"/>
      <c r="J386" s="2833"/>
      <c r="K386" s="2833"/>
      <c r="L386" s="2833"/>
      <c r="M386" s="2833"/>
      <c r="N386" s="2833"/>
      <c r="O386" s="2833"/>
      <c r="P386" s="2833"/>
      <c r="Q386" s="2833"/>
      <c r="R386" s="2834"/>
    </row>
    <row r="387" spans="1:18" ht="66.75" thickBot="1" x14ac:dyDescent="0.3">
      <c r="A387" s="1041" t="s">
        <v>1115</v>
      </c>
      <c r="B387" s="1071" t="s">
        <v>177</v>
      </c>
      <c r="C387" s="1187" t="s">
        <v>1244</v>
      </c>
      <c r="D387" s="1187" t="s">
        <v>1252</v>
      </c>
      <c r="E387" s="1187" t="s">
        <v>1247</v>
      </c>
      <c r="F387" s="1187" t="s">
        <v>1241</v>
      </c>
      <c r="G387" s="1187" t="s">
        <v>1242</v>
      </c>
      <c r="H387" s="1310" t="s">
        <v>272</v>
      </c>
      <c r="I387" s="1311" t="s">
        <v>1080</v>
      </c>
      <c r="J387" s="1311" t="s">
        <v>273</v>
      </c>
      <c r="K387" s="1311" t="s">
        <v>455</v>
      </c>
      <c r="L387" s="1311" t="s">
        <v>274</v>
      </c>
      <c r="M387" s="1311" t="s">
        <v>1117</v>
      </c>
      <c r="N387" s="1311" t="s">
        <v>1079</v>
      </c>
      <c r="O387" s="1311" t="s">
        <v>271</v>
      </c>
      <c r="P387" s="1311" t="s">
        <v>277</v>
      </c>
      <c r="Q387" s="1311" t="s">
        <v>278</v>
      </c>
      <c r="R387" s="1312" t="s">
        <v>316</v>
      </c>
    </row>
    <row r="388" spans="1:18" x14ac:dyDescent="0.25">
      <c r="A388" s="2806" t="s">
        <v>1395</v>
      </c>
      <c r="B388" s="888">
        <v>2019</v>
      </c>
      <c r="C388" s="1059">
        <f>$L$20</f>
        <v>0</v>
      </c>
      <c r="D388" s="1059">
        <f>$K$20</f>
        <v>0</v>
      </c>
      <c r="E388" s="1059">
        <f>$H$20</f>
        <v>0</v>
      </c>
      <c r="F388" s="1059">
        <f>$I$20</f>
        <v>0</v>
      </c>
      <c r="G388" s="1059">
        <f>$J$20</f>
        <v>0</v>
      </c>
      <c r="H388" s="1056">
        <v>62</v>
      </c>
      <c r="I388" s="1056">
        <f>'Emission-Waste Transport Vehicl'!N33</f>
        <v>32.602537440000006</v>
      </c>
      <c r="J388" s="1056">
        <f>'Emission-Waste Transport Vehicl'!P33</f>
        <v>18.139508640000003</v>
      </c>
      <c r="K388" s="1056">
        <f>'Emission-Waste Transport Vehicl'!Q33</f>
        <v>14.087652480000001</v>
      </c>
      <c r="L388" s="1056">
        <f>'Emission-Waste Transport Vehicl'!R33</f>
        <v>1.4021409600000001</v>
      </c>
      <c r="M388" s="1056">
        <f t="shared" ref="M388:M438" si="52">(C388/1000)*H388</f>
        <v>0</v>
      </c>
      <c r="N388" s="1057">
        <f>D388*I388</f>
        <v>0</v>
      </c>
      <c r="O388" s="1057">
        <f>E388*J388</f>
        <v>0</v>
      </c>
      <c r="P388" s="1057">
        <f>F388*K388</f>
        <v>0</v>
      </c>
      <c r="Q388" s="1057">
        <f>G388*L388</f>
        <v>0</v>
      </c>
      <c r="R388" s="2772">
        <f>(SUM(M388:M438)*1.2682)+(SUM(N388:N438))+(SUM(O388:O438))+(SUM(P388:P438))+(SUM(Q388:Q438))</f>
        <v>0</v>
      </c>
    </row>
    <row r="389" spans="1:18" x14ac:dyDescent="0.25">
      <c r="A389" s="2802"/>
      <c r="B389" s="706">
        <v>2020</v>
      </c>
      <c r="C389" s="1058">
        <f t="shared" ref="C389:C438" si="53">$L$20</f>
        <v>0</v>
      </c>
      <c r="D389" s="1058">
        <f t="shared" ref="D389:D438" si="54">$K$20</f>
        <v>0</v>
      </c>
      <c r="E389" s="1058">
        <f t="shared" ref="E389:E437" si="55">$H$20</f>
        <v>0</v>
      </c>
      <c r="F389" s="1058">
        <f t="shared" ref="F389:F438" si="56">$I$20</f>
        <v>0</v>
      </c>
      <c r="G389" s="1058">
        <f t="shared" ref="G389:G438" si="57">$J$20</f>
        <v>0</v>
      </c>
      <c r="H389" s="1300">
        <v>64</v>
      </c>
      <c r="I389" s="1300">
        <f>'Emission-Waste Transport Vehicl'!N34</f>
        <v>31.963527706176006</v>
      </c>
      <c r="J389" s="1300">
        <f>'Emission-Waste Transport Vehicl'!P34</f>
        <v>17.783974270656003</v>
      </c>
      <c r="K389" s="1300">
        <f>'Emission-Waste Transport Vehicl'!Q34</f>
        <v>13.811534491392001</v>
      </c>
      <c r="L389" s="1300">
        <f>'Emission-Waste Transport Vehicl'!R34</f>
        <v>1.3746589971840002</v>
      </c>
      <c r="M389" s="1300">
        <f t="shared" si="52"/>
        <v>0</v>
      </c>
      <c r="N389" s="830">
        <f t="shared" ref="N389:N438" si="58">D389*I389</f>
        <v>0</v>
      </c>
      <c r="O389" s="830">
        <f t="shared" ref="O389:O438" si="59">E389*J389</f>
        <v>0</v>
      </c>
      <c r="P389" s="830">
        <f t="shared" ref="P389:P438" si="60">F389*K389</f>
        <v>0</v>
      </c>
      <c r="Q389" s="830">
        <f t="shared" ref="Q389:Q438" si="61">G389*L389</f>
        <v>0</v>
      </c>
      <c r="R389" s="2773"/>
    </row>
    <row r="390" spans="1:18" x14ac:dyDescent="0.25">
      <c r="A390" s="2802"/>
      <c r="B390" s="706">
        <v>2021</v>
      </c>
      <c r="C390" s="1058">
        <f t="shared" si="53"/>
        <v>0</v>
      </c>
      <c r="D390" s="1058">
        <f t="shared" si="54"/>
        <v>0</v>
      </c>
      <c r="E390" s="1058">
        <f t="shared" si="55"/>
        <v>0</v>
      </c>
      <c r="F390" s="1058">
        <f t="shared" si="56"/>
        <v>0</v>
      </c>
      <c r="G390" s="1058">
        <f t="shared" si="57"/>
        <v>0</v>
      </c>
      <c r="H390" s="1300">
        <v>65</v>
      </c>
      <c r="I390" s="1300">
        <f>'Emission-Waste Transport Vehicl'!N35</f>
        <v>31.337558987328006</v>
      </c>
      <c r="J390" s="1300">
        <f>'Emission-Waste Transport Vehicl'!P35</f>
        <v>17.435695704768001</v>
      </c>
      <c r="K390" s="1300">
        <f>'Emission-Waste Transport Vehicl'!Q35</f>
        <v>13.541051563776001</v>
      </c>
      <c r="L390" s="1300">
        <f>'Emission-Waste Transport Vehicl'!R35</f>
        <v>1.3477378907520003</v>
      </c>
      <c r="M390" s="1300">
        <f t="shared" si="52"/>
        <v>0</v>
      </c>
      <c r="N390" s="830">
        <f t="shared" si="58"/>
        <v>0</v>
      </c>
      <c r="O390" s="830">
        <f t="shared" si="59"/>
        <v>0</v>
      </c>
      <c r="P390" s="830">
        <f t="shared" si="60"/>
        <v>0</v>
      </c>
      <c r="Q390" s="830">
        <f t="shared" si="61"/>
        <v>0</v>
      </c>
      <c r="R390" s="2773"/>
    </row>
    <row r="391" spans="1:18" x14ac:dyDescent="0.25">
      <c r="A391" s="2802"/>
      <c r="B391" s="706">
        <v>2022</v>
      </c>
      <c r="C391" s="1058">
        <f t="shared" si="53"/>
        <v>0</v>
      </c>
      <c r="D391" s="1058">
        <f t="shared" si="54"/>
        <v>0</v>
      </c>
      <c r="E391" s="1058">
        <f t="shared" si="55"/>
        <v>0</v>
      </c>
      <c r="F391" s="1058">
        <f t="shared" si="56"/>
        <v>0</v>
      </c>
      <c r="G391" s="1058">
        <f t="shared" si="57"/>
        <v>0</v>
      </c>
      <c r="H391" s="1300">
        <v>66</v>
      </c>
      <c r="I391" s="1300">
        <f>'Emission-Waste Transport Vehicl'!N36</f>
        <v>30.721371029712003</v>
      </c>
      <c r="J391" s="1300">
        <f>'Emission-Waste Transport Vehicl'!P36</f>
        <v>17.092858991472003</v>
      </c>
      <c r="K391" s="1300">
        <f>'Emission-Waste Transport Vehicl'!Q36</f>
        <v>13.274794931903999</v>
      </c>
      <c r="L391" s="1300">
        <f>'Emission-Waste Transport Vehicl'!R36</f>
        <v>1.3212374266080003</v>
      </c>
      <c r="M391" s="1300">
        <f t="shared" si="52"/>
        <v>0</v>
      </c>
      <c r="N391" s="830">
        <f t="shared" si="58"/>
        <v>0</v>
      </c>
      <c r="O391" s="830">
        <f t="shared" si="59"/>
        <v>0</v>
      </c>
      <c r="P391" s="830">
        <f t="shared" si="60"/>
        <v>0</v>
      </c>
      <c r="Q391" s="830">
        <f t="shared" si="61"/>
        <v>0</v>
      </c>
      <c r="R391" s="2773"/>
    </row>
    <row r="392" spans="1:18" x14ac:dyDescent="0.25">
      <c r="A392" s="2802"/>
      <c r="B392" s="706">
        <v>2023</v>
      </c>
      <c r="C392" s="1058">
        <f t="shared" si="53"/>
        <v>0</v>
      </c>
      <c r="D392" s="1058">
        <f t="shared" si="54"/>
        <v>0</v>
      </c>
      <c r="E392" s="1058">
        <f t="shared" si="55"/>
        <v>0</v>
      </c>
      <c r="F392" s="1058">
        <f t="shared" si="56"/>
        <v>0</v>
      </c>
      <c r="G392" s="1058">
        <f t="shared" si="57"/>
        <v>0</v>
      </c>
      <c r="H392" s="1300">
        <v>67</v>
      </c>
      <c r="I392" s="1300">
        <f>'Emission-Waste Transport Vehicl'!N37</f>
        <v>30.118224087072001</v>
      </c>
      <c r="J392" s="1300">
        <f>'Emission-Waste Transport Vehicl'!P37</f>
        <v>16.757278081632002</v>
      </c>
      <c r="K392" s="1300">
        <f>'Emission-Waste Transport Vehicl'!Q37</f>
        <v>13.014173361024</v>
      </c>
      <c r="L392" s="1300">
        <f>'Emission-Waste Transport Vehicl'!R37</f>
        <v>1.295297818848</v>
      </c>
      <c r="M392" s="1300">
        <f t="shared" si="52"/>
        <v>0</v>
      </c>
      <c r="N392" s="830">
        <f t="shared" si="58"/>
        <v>0</v>
      </c>
      <c r="O392" s="830">
        <f t="shared" si="59"/>
        <v>0</v>
      </c>
      <c r="P392" s="830">
        <f t="shared" si="60"/>
        <v>0</v>
      </c>
      <c r="Q392" s="830">
        <f t="shared" si="61"/>
        <v>0</v>
      </c>
      <c r="R392" s="2773"/>
    </row>
    <row r="393" spans="1:18" x14ac:dyDescent="0.25">
      <c r="A393" s="2802"/>
      <c r="B393" s="706">
        <v>2024</v>
      </c>
      <c r="C393" s="1058">
        <f t="shared" si="53"/>
        <v>0</v>
      </c>
      <c r="D393" s="1058">
        <f t="shared" si="54"/>
        <v>0</v>
      </c>
      <c r="E393" s="1058">
        <f t="shared" si="55"/>
        <v>0</v>
      </c>
      <c r="F393" s="1058">
        <f t="shared" si="56"/>
        <v>0</v>
      </c>
      <c r="G393" s="1058">
        <f t="shared" si="57"/>
        <v>0</v>
      </c>
      <c r="H393" s="1300">
        <v>68</v>
      </c>
      <c r="I393" s="1300">
        <f>'Emission-Waste Transport Vehicl'!N38</f>
        <v>29.528118159408002</v>
      </c>
      <c r="J393" s="1300">
        <f>'Emission-Waste Transport Vehicl'!P38</f>
        <v>16.428952975248002</v>
      </c>
      <c r="K393" s="1300">
        <f>'Emission-Waste Transport Vehicl'!Q38</f>
        <v>12.759186851135999</v>
      </c>
      <c r="L393" s="1300">
        <f>'Emission-Waste Transport Vehicl'!R38</f>
        <v>1.269919067472</v>
      </c>
      <c r="M393" s="1300">
        <f t="shared" si="52"/>
        <v>0</v>
      </c>
      <c r="N393" s="830">
        <f t="shared" si="58"/>
        <v>0</v>
      </c>
      <c r="O393" s="830">
        <f t="shared" si="59"/>
        <v>0</v>
      </c>
      <c r="P393" s="830">
        <f t="shared" si="60"/>
        <v>0</v>
      </c>
      <c r="Q393" s="830">
        <f t="shared" si="61"/>
        <v>0</v>
      </c>
      <c r="R393" s="2773"/>
    </row>
    <row r="394" spans="1:18" x14ac:dyDescent="0.25">
      <c r="A394" s="2802"/>
      <c r="B394" s="706">
        <v>2025</v>
      </c>
      <c r="C394" s="1058">
        <f t="shared" si="53"/>
        <v>0</v>
      </c>
      <c r="D394" s="1058">
        <f t="shared" si="54"/>
        <v>0</v>
      </c>
      <c r="E394" s="1058">
        <f t="shared" si="55"/>
        <v>0</v>
      </c>
      <c r="F394" s="1058">
        <f t="shared" si="56"/>
        <v>0</v>
      </c>
      <c r="G394" s="1058">
        <f t="shared" si="57"/>
        <v>0</v>
      </c>
      <c r="H394" s="1300">
        <v>69</v>
      </c>
      <c r="I394" s="1300">
        <f>'Emission-Waste Transport Vehicl'!N39</f>
        <v>28.951053246720004</v>
      </c>
      <c r="J394" s="1300">
        <f>'Emission-Waste Transport Vehicl'!P39</f>
        <v>16.10788367232</v>
      </c>
      <c r="K394" s="1300">
        <f>'Emission-Waste Transport Vehicl'!Q39</f>
        <v>12.50983540224</v>
      </c>
      <c r="L394" s="1300">
        <f>'Emission-Waste Transport Vehicl'!R39</f>
        <v>1.2451011724800001</v>
      </c>
      <c r="M394" s="1300">
        <f t="shared" si="52"/>
        <v>0</v>
      </c>
      <c r="N394" s="830">
        <f t="shared" si="58"/>
        <v>0</v>
      </c>
      <c r="O394" s="830">
        <f t="shared" si="59"/>
        <v>0</v>
      </c>
      <c r="P394" s="830">
        <f t="shared" si="60"/>
        <v>0</v>
      </c>
      <c r="Q394" s="830">
        <f t="shared" si="61"/>
        <v>0</v>
      </c>
      <c r="R394" s="2773"/>
    </row>
    <row r="395" spans="1:18" x14ac:dyDescent="0.25">
      <c r="A395" s="2802"/>
      <c r="B395" s="706">
        <v>2026</v>
      </c>
      <c r="C395" s="1058">
        <f t="shared" si="53"/>
        <v>0</v>
      </c>
      <c r="D395" s="1058">
        <f t="shared" si="54"/>
        <v>0</v>
      </c>
      <c r="E395" s="1058">
        <f t="shared" si="55"/>
        <v>0</v>
      </c>
      <c r="F395" s="1058">
        <f t="shared" si="56"/>
        <v>0</v>
      </c>
      <c r="G395" s="1058">
        <f t="shared" si="57"/>
        <v>0</v>
      </c>
      <c r="H395" s="1300">
        <v>70</v>
      </c>
      <c r="I395" s="1300">
        <f>'Emission-Waste Transport Vehicl'!N40</f>
        <v>28.383769095264007</v>
      </c>
      <c r="J395" s="1300">
        <f>'Emission-Waste Transport Vehicl'!P40</f>
        <v>15.792256221984003</v>
      </c>
      <c r="K395" s="1300">
        <f>'Emission-Waste Transport Vehicl'!Q40</f>
        <v>12.264710249088001</v>
      </c>
      <c r="L395" s="1300">
        <f>'Emission-Waste Transport Vehicl'!R40</f>
        <v>1.2207039197760001</v>
      </c>
      <c r="M395" s="1300">
        <f t="shared" si="52"/>
        <v>0</v>
      </c>
      <c r="N395" s="830">
        <f t="shared" si="58"/>
        <v>0</v>
      </c>
      <c r="O395" s="830">
        <f t="shared" si="59"/>
        <v>0</v>
      </c>
      <c r="P395" s="830">
        <f t="shared" si="60"/>
        <v>0</v>
      </c>
      <c r="Q395" s="830">
        <f t="shared" si="61"/>
        <v>0</v>
      </c>
      <c r="R395" s="2773"/>
    </row>
    <row r="396" spans="1:18" x14ac:dyDescent="0.25">
      <c r="A396" s="2802"/>
      <c r="B396" s="706">
        <v>2027</v>
      </c>
      <c r="C396" s="1058">
        <f t="shared" si="53"/>
        <v>0</v>
      </c>
      <c r="D396" s="1058">
        <f t="shared" si="54"/>
        <v>0</v>
      </c>
      <c r="E396" s="1058">
        <f t="shared" si="55"/>
        <v>0</v>
      </c>
      <c r="F396" s="1058">
        <f t="shared" si="56"/>
        <v>0</v>
      </c>
      <c r="G396" s="1058">
        <f t="shared" si="57"/>
        <v>0</v>
      </c>
      <c r="H396" s="1300">
        <v>71</v>
      </c>
      <c r="I396" s="1300">
        <f>'Emission-Waste Transport Vehicl'!N41</f>
        <v>27.826265705040004</v>
      </c>
      <c r="J396" s="1300">
        <f>'Emission-Waste Transport Vehicl'!P41</f>
        <v>15.482070624240002</v>
      </c>
      <c r="K396" s="1300">
        <f>'Emission-Waste Transport Vehicl'!Q41</f>
        <v>12.023811391680001</v>
      </c>
      <c r="L396" s="1300">
        <f>'Emission-Waste Transport Vehicl'!R41</f>
        <v>1.1967273093600002</v>
      </c>
      <c r="M396" s="1300">
        <f t="shared" si="52"/>
        <v>0</v>
      </c>
      <c r="N396" s="830">
        <f t="shared" si="58"/>
        <v>0</v>
      </c>
      <c r="O396" s="830">
        <f t="shared" si="59"/>
        <v>0</v>
      </c>
      <c r="P396" s="830">
        <f t="shared" si="60"/>
        <v>0</v>
      </c>
      <c r="Q396" s="830">
        <f t="shared" si="61"/>
        <v>0</v>
      </c>
      <c r="R396" s="2773"/>
    </row>
    <row r="397" spans="1:18" x14ac:dyDescent="0.25">
      <c r="A397" s="2802"/>
      <c r="B397" s="706">
        <v>2028</v>
      </c>
      <c r="C397" s="1058">
        <f t="shared" si="53"/>
        <v>0</v>
      </c>
      <c r="D397" s="1058">
        <f t="shared" si="54"/>
        <v>0</v>
      </c>
      <c r="E397" s="1058">
        <f t="shared" si="55"/>
        <v>0</v>
      </c>
      <c r="F397" s="1058">
        <f t="shared" si="56"/>
        <v>0</v>
      </c>
      <c r="G397" s="1058">
        <f t="shared" si="57"/>
        <v>0</v>
      </c>
      <c r="H397" s="1300">
        <v>72</v>
      </c>
      <c r="I397" s="1300">
        <f>'Emission-Waste Transport Vehicl'!N42</f>
        <v>27.281803329792002</v>
      </c>
      <c r="J397" s="1300">
        <f>'Emission-Waste Transport Vehicl'!P42</f>
        <v>15.179140829952001</v>
      </c>
      <c r="K397" s="1300">
        <f>'Emission-Waste Transport Vehicl'!Q42</f>
        <v>11.788547595263999</v>
      </c>
      <c r="L397" s="1300">
        <f>'Emission-Waste Transport Vehicl'!R42</f>
        <v>1.173311555328</v>
      </c>
      <c r="M397" s="1300">
        <f t="shared" si="52"/>
        <v>0</v>
      </c>
      <c r="N397" s="830">
        <f t="shared" si="58"/>
        <v>0</v>
      </c>
      <c r="O397" s="830">
        <f t="shared" si="59"/>
        <v>0</v>
      </c>
      <c r="P397" s="830">
        <f t="shared" si="60"/>
        <v>0</v>
      </c>
      <c r="Q397" s="830">
        <f t="shared" si="61"/>
        <v>0</v>
      </c>
      <c r="R397" s="2773"/>
    </row>
    <row r="398" spans="1:18" x14ac:dyDescent="0.25">
      <c r="A398" s="2802"/>
      <c r="B398" s="706">
        <v>2029</v>
      </c>
      <c r="C398" s="1058">
        <f t="shared" si="53"/>
        <v>0</v>
      </c>
      <c r="D398" s="1058">
        <f t="shared" si="54"/>
        <v>0</v>
      </c>
      <c r="E398" s="1058">
        <f t="shared" si="55"/>
        <v>0</v>
      </c>
      <c r="F398" s="1058">
        <f t="shared" si="56"/>
        <v>0</v>
      </c>
      <c r="G398" s="1058">
        <f t="shared" si="57"/>
        <v>0</v>
      </c>
      <c r="H398" s="1300">
        <v>73</v>
      </c>
      <c r="I398" s="1300">
        <f>'Emission-Waste Transport Vehicl'!N43</f>
        <v>26.743861462032005</v>
      </c>
      <c r="J398" s="1300">
        <f>'Emission-Waste Transport Vehicl'!P43</f>
        <v>14.879838937392002</v>
      </c>
      <c r="K398" s="1300">
        <f>'Emission-Waste Transport Vehicl'!Q43</f>
        <v>11.556101329344001</v>
      </c>
      <c r="L398" s="1300">
        <f>'Emission-Waste Transport Vehicl'!R43</f>
        <v>1.1501762294880002</v>
      </c>
      <c r="M398" s="1300">
        <f t="shared" si="52"/>
        <v>0</v>
      </c>
      <c r="N398" s="830">
        <f t="shared" si="58"/>
        <v>0</v>
      </c>
      <c r="O398" s="830">
        <f t="shared" si="59"/>
        <v>0</v>
      </c>
      <c r="P398" s="830">
        <f t="shared" si="60"/>
        <v>0</v>
      </c>
      <c r="Q398" s="830">
        <f t="shared" si="61"/>
        <v>0</v>
      </c>
      <c r="R398" s="2773"/>
    </row>
    <row r="399" spans="1:18" x14ac:dyDescent="0.25">
      <c r="A399" s="2802"/>
      <c r="B399" s="706">
        <v>2030</v>
      </c>
      <c r="C399" s="1058">
        <f t="shared" si="53"/>
        <v>0</v>
      </c>
      <c r="D399" s="1058">
        <f t="shared" si="54"/>
        <v>0</v>
      </c>
      <c r="E399" s="1058">
        <f t="shared" si="55"/>
        <v>0</v>
      </c>
      <c r="F399" s="1058">
        <f t="shared" si="56"/>
        <v>0</v>
      </c>
      <c r="G399" s="1058">
        <f t="shared" si="57"/>
        <v>0</v>
      </c>
      <c r="H399" s="1300">
        <v>75</v>
      </c>
      <c r="I399" s="1300">
        <f>'Emission-Waste Transport Vehicl'!N44</f>
        <v>26.222220862992003</v>
      </c>
      <c r="J399" s="1300">
        <f>'Emission-Waste Transport Vehicl'!P44</f>
        <v>14.589606799152003</v>
      </c>
      <c r="K399" s="1300">
        <f>'Emission-Waste Transport Vehicl'!Q44</f>
        <v>11.330698889664001</v>
      </c>
      <c r="L399" s="1300">
        <f>'Emission-Waste Transport Vehicl'!R44</f>
        <v>1.1277419741280001</v>
      </c>
      <c r="M399" s="1300">
        <f t="shared" si="52"/>
        <v>0</v>
      </c>
      <c r="N399" s="830">
        <f t="shared" si="58"/>
        <v>0</v>
      </c>
      <c r="O399" s="830">
        <f t="shared" si="59"/>
        <v>0</v>
      </c>
      <c r="P399" s="830">
        <f t="shared" si="60"/>
        <v>0</v>
      </c>
      <c r="Q399" s="830">
        <f t="shared" si="61"/>
        <v>0</v>
      </c>
      <c r="R399" s="2773"/>
    </row>
    <row r="400" spans="1:18" x14ac:dyDescent="0.25">
      <c r="A400" s="2802"/>
      <c r="B400" s="706">
        <v>2031</v>
      </c>
      <c r="C400" s="1058">
        <f t="shared" si="53"/>
        <v>0</v>
      </c>
      <c r="D400" s="1058">
        <f t="shared" si="54"/>
        <v>0</v>
      </c>
      <c r="E400" s="1058">
        <f t="shared" si="55"/>
        <v>0</v>
      </c>
      <c r="F400" s="1058">
        <f t="shared" si="56"/>
        <v>0</v>
      </c>
      <c r="G400" s="1058">
        <f t="shared" si="57"/>
        <v>0</v>
      </c>
      <c r="H400" s="1300">
        <v>76</v>
      </c>
      <c r="I400" s="1300">
        <f>'Emission-Waste Transport Vehicl'!N45</f>
        <v>25.70710077144</v>
      </c>
      <c r="J400" s="1300">
        <f>'Emission-Waste Transport Vehicl'!P45</f>
        <v>14.303002562640001</v>
      </c>
      <c r="K400" s="1300">
        <f>'Emission-Waste Transport Vehicl'!Q45</f>
        <v>11.108113980480001</v>
      </c>
      <c r="L400" s="1300">
        <f>'Emission-Waste Transport Vehicl'!R45</f>
        <v>1.1055881469600002</v>
      </c>
      <c r="M400" s="1300">
        <f t="shared" si="52"/>
        <v>0</v>
      </c>
      <c r="N400" s="830">
        <f t="shared" si="58"/>
        <v>0</v>
      </c>
      <c r="O400" s="830">
        <f t="shared" si="59"/>
        <v>0</v>
      </c>
      <c r="P400" s="830">
        <f t="shared" si="60"/>
        <v>0</v>
      </c>
      <c r="Q400" s="830">
        <f t="shared" si="61"/>
        <v>0</v>
      </c>
      <c r="R400" s="2773"/>
    </row>
    <row r="401" spans="1:18" x14ac:dyDescent="0.25">
      <c r="A401" s="2802"/>
      <c r="B401" s="706">
        <v>2032</v>
      </c>
      <c r="C401" s="1058">
        <f t="shared" si="53"/>
        <v>0</v>
      </c>
      <c r="D401" s="1058">
        <f t="shared" si="54"/>
        <v>0</v>
      </c>
      <c r="E401" s="1058">
        <f t="shared" si="55"/>
        <v>0</v>
      </c>
      <c r="F401" s="1058">
        <f t="shared" si="56"/>
        <v>0</v>
      </c>
      <c r="G401" s="1058">
        <f t="shared" si="57"/>
        <v>0</v>
      </c>
      <c r="H401" s="1300">
        <v>77</v>
      </c>
      <c r="I401" s="1300">
        <f>'Emission-Waste Transport Vehicl'!N46</f>
        <v>25.201761441120002</v>
      </c>
      <c r="J401" s="1300">
        <f>'Emission-Waste Transport Vehicl'!P46</f>
        <v>14.021840178720002</v>
      </c>
      <c r="K401" s="1300">
        <f>'Emission-Waste Transport Vehicl'!Q46</f>
        <v>10.889755367040001</v>
      </c>
      <c r="L401" s="1300">
        <f>'Emission-Waste Transport Vehicl'!R46</f>
        <v>1.0838549620800002</v>
      </c>
      <c r="M401" s="1300">
        <f t="shared" si="52"/>
        <v>0</v>
      </c>
      <c r="N401" s="830">
        <f t="shared" si="58"/>
        <v>0</v>
      </c>
      <c r="O401" s="830">
        <f t="shared" si="59"/>
        <v>0</v>
      </c>
      <c r="P401" s="830">
        <f t="shared" si="60"/>
        <v>0</v>
      </c>
      <c r="Q401" s="830">
        <f t="shared" si="61"/>
        <v>0</v>
      </c>
      <c r="R401" s="2773"/>
    </row>
    <row r="402" spans="1:18" x14ac:dyDescent="0.25">
      <c r="A402" s="2802"/>
      <c r="B402" s="706">
        <v>2033</v>
      </c>
      <c r="C402" s="1058">
        <f t="shared" si="53"/>
        <v>0</v>
      </c>
      <c r="D402" s="1058">
        <f t="shared" si="54"/>
        <v>0</v>
      </c>
      <c r="E402" s="1058">
        <f t="shared" si="55"/>
        <v>0</v>
      </c>
      <c r="F402" s="1058">
        <f t="shared" si="56"/>
        <v>0</v>
      </c>
      <c r="G402" s="1058">
        <f t="shared" si="57"/>
        <v>0</v>
      </c>
      <c r="H402" s="1300">
        <v>78</v>
      </c>
      <c r="I402" s="1300">
        <f>'Emission-Waste Transport Vehicl'!N47</f>
        <v>24.709463125776001</v>
      </c>
      <c r="J402" s="1300">
        <f>'Emission-Waste Transport Vehicl'!P47</f>
        <v>13.747933598256003</v>
      </c>
      <c r="K402" s="1300">
        <f>'Emission-Waste Transport Vehicl'!Q47</f>
        <v>10.677031814592</v>
      </c>
      <c r="L402" s="1300">
        <f>'Emission-Waste Transport Vehicl'!R47</f>
        <v>1.0626826335840001</v>
      </c>
      <c r="M402" s="1300">
        <f t="shared" si="52"/>
        <v>0</v>
      </c>
      <c r="N402" s="830">
        <f t="shared" si="58"/>
        <v>0</v>
      </c>
      <c r="O402" s="830">
        <f t="shared" si="59"/>
        <v>0</v>
      </c>
      <c r="P402" s="830">
        <f t="shared" si="60"/>
        <v>0</v>
      </c>
      <c r="Q402" s="830">
        <f t="shared" si="61"/>
        <v>0</v>
      </c>
      <c r="R402" s="2773"/>
    </row>
    <row r="403" spans="1:18" x14ac:dyDescent="0.25">
      <c r="A403" s="2802"/>
      <c r="B403" s="706">
        <v>2034</v>
      </c>
      <c r="C403" s="1058">
        <f t="shared" si="53"/>
        <v>0</v>
      </c>
      <c r="D403" s="1058">
        <f t="shared" si="54"/>
        <v>0</v>
      </c>
      <c r="E403" s="1058">
        <f t="shared" si="55"/>
        <v>0</v>
      </c>
      <c r="F403" s="1058">
        <f t="shared" si="56"/>
        <v>0</v>
      </c>
      <c r="G403" s="1058">
        <f t="shared" si="57"/>
        <v>0</v>
      </c>
      <c r="H403" s="1300">
        <v>79</v>
      </c>
      <c r="I403" s="1300">
        <f>'Emission-Waste Transport Vehicl'!N48</f>
        <v>24.223685317920005</v>
      </c>
      <c r="J403" s="1300">
        <f>'Emission-Waste Transport Vehicl'!P48</f>
        <v>13.477654919520001</v>
      </c>
      <c r="K403" s="1300">
        <f>'Emission-Waste Transport Vehicl'!Q48</f>
        <v>10.467125792640001</v>
      </c>
      <c r="L403" s="1300">
        <f>'Emission-Waste Transport Vehicl'!R48</f>
        <v>1.04179073328</v>
      </c>
      <c r="M403" s="1300">
        <f t="shared" si="52"/>
        <v>0</v>
      </c>
      <c r="N403" s="830">
        <f t="shared" si="58"/>
        <v>0</v>
      </c>
      <c r="O403" s="830">
        <f t="shared" si="59"/>
        <v>0</v>
      </c>
      <c r="P403" s="830">
        <f t="shared" si="60"/>
        <v>0</v>
      </c>
      <c r="Q403" s="830">
        <f t="shared" si="61"/>
        <v>0</v>
      </c>
      <c r="R403" s="2773"/>
    </row>
    <row r="404" spans="1:18" x14ac:dyDescent="0.25">
      <c r="A404" s="2802"/>
      <c r="B404" s="706">
        <v>2035</v>
      </c>
      <c r="C404" s="1058">
        <f t="shared" si="53"/>
        <v>0</v>
      </c>
      <c r="D404" s="1058">
        <f t="shared" si="54"/>
        <v>0</v>
      </c>
      <c r="E404" s="1058">
        <f t="shared" si="55"/>
        <v>0</v>
      </c>
      <c r="F404" s="1058">
        <f t="shared" si="56"/>
        <v>0</v>
      </c>
      <c r="G404" s="1058">
        <f t="shared" si="57"/>
        <v>0</v>
      </c>
      <c r="H404" s="1300">
        <v>80</v>
      </c>
      <c r="I404" s="1300">
        <f>'Emission-Waste Transport Vehicl'!N49</f>
        <v>23.747688271296006</v>
      </c>
      <c r="J404" s="1300">
        <f>'Emission-Waste Transport Vehicl'!P49</f>
        <v>13.212818093376002</v>
      </c>
      <c r="K404" s="1300">
        <f>'Emission-Waste Transport Vehicl'!Q49</f>
        <v>10.261446066432002</v>
      </c>
      <c r="L404" s="1300">
        <f>'Emission-Waste Transport Vehicl'!R49</f>
        <v>1.0213194752640002</v>
      </c>
      <c r="M404" s="1300">
        <f t="shared" si="52"/>
        <v>0</v>
      </c>
      <c r="N404" s="830">
        <f t="shared" si="58"/>
        <v>0</v>
      </c>
      <c r="O404" s="830">
        <f t="shared" si="59"/>
        <v>0</v>
      </c>
      <c r="P404" s="830">
        <f t="shared" si="60"/>
        <v>0</v>
      </c>
      <c r="Q404" s="830">
        <f t="shared" si="61"/>
        <v>0</v>
      </c>
      <c r="R404" s="2773"/>
    </row>
    <row r="405" spans="1:18" x14ac:dyDescent="0.25">
      <c r="A405" s="2802"/>
      <c r="B405" s="706">
        <v>2036</v>
      </c>
      <c r="C405" s="1058">
        <f t="shared" si="53"/>
        <v>0</v>
      </c>
      <c r="D405" s="1058">
        <f t="shared" si="54"/>
        <v>0</v>
      </c>
      <c r="E405" s="1058">
        <f t="shared" si="55"/>
        <v>0</v>
      </c>
      <c r="F405" s="1058">
        <f t="shared" si="56"/>
        <v>0</v>
      </c>
      <c r="G405" s="1058">
        <f t="shared" si="57"/>
        <v>0</v>
      </c>
      <c r="H405" s="1300">
        <v>81</v>
      </c>
      <c r="I405" s="1300">
        <f>'Emission-Waste Transport Vehicl'!N50</f>
        <v>23.284732239648001</v>
      </c>
      <c r="J405" s="1300">
        <f>'Emission-Waste Transport Vehicl'!P50</f>
        <v>12.955237070688</v>
      </c>
      <c r="K405" s="1300">
        <f>'Emission-Waste Transport Vehicl'!Q50</f>
        <v>10.061401401215999</v>
      </c>
      <c r="L405" s="1300">
        <f>'Emission-Waste Transport Vehicl'!R50</f>
        <v>1.001409073632</v>
      </c>
      <c r="M405" s="1300">
        <f t="shared" si="52"/>
        <v>0</v>
      </c>
      <c r="N405" s="830">
        <f t="shared" si="58"/>
        <v>0</v>
      </c>
      <c r="O405" s="830">
        <f t="shared" si="59"/>
        <v>0</v>
      </c>
      <c r="P405" s="830">
        <f t="shared" si="60"/>
        <v>0</v>
      </c>
      <c r="Q405" s="830">
        <f t="shared" si="61"/>
        <v>0</v>
      </c>
      <c r="R405" s="2773"/>
    </row>
    <row r="406" spans="1:18" x14ac:dyDescent="0.25">
      <c r="A406" s="2802"/>
      <c r="B406" s="706">
        <v>2037</v>
      </c>
      <c r="C406" s="1058">
        <f t="shared" si="53"/>
        <v>0</v>
      </c>
      <c r="D406" s="1058">
        <f t="shared" si="54"/>
        <v>0</v>
      </c>
      <c r="E406" s="1058">
        <f t="shared" si="55"/>
        <v>0</v>
      </c>
      <c r="F406" s="1058">
        <f t="shared" si="56"/>
        <v>0</v>
      </c>
      <c r="G406" s="1058">
        <f t="shared" si="57"/>
        <v>0</v>
      </c>
      <c r="H406" s="1300">
        <v>83</v>
      </c>
      <c r="I406" s="1300">
        <f>'Emission-Waste Transport Vehicl'!N51</f>
        <v>22.828296715488005</v>
      </c>
      <c r="J406" s="1300">
        <f>'Emission-Waste Transport Vehicl'!P51</f>
        <v>12.701283949728003</v>
      </c>
      <c r="K406" s="1300">
        <f>'Emission-Waste Transport Vehicl'!Q51</f>
        <v>9.8641742664960006</v>
      </c>
      <c r="L406" s="1300">
        <f>'Emission-Waste Transport Vehicl'!R51</f>
        <v>0.9817791001920001</v>
      </c>
      <c r="M406" s="1300">
        <f t="shared" si="52"/>
        <v>0</v>
      </c>
      <c r="N406" s="830">
        <f t="shared" si="58"/>
        <v>0</v>
      </c>
      <c r="O406" s="830">
        <f t="shared" si="59"/>
        <v>0</v>
      </c>
      <c r="P406" s="830">
        <f t="shared" si="60"/>
        <v>0</v>
      </c>
      <c r="Q406" s="830">
        <f t="shared" si="61"/>
        <v>0</v>
      </c>
      <c r="R406" s="2773"/>
    </row>
    <row r="407" spans="1:18" x14ac:dyDescent="0.25">
      <c r="A407" s="2802"/>
      <c r="B407" s="706">
        <v>2038</v>
      </c>
      <c r="C407" s="1058">
        <f t="shared" si="53"/>
        <v>0</v>
      </c>
      <c r="D407" s="1058">
        <f t="shared" si="54"/>
        <v>0</v>
      </c>
      <c r="E407" s="1058">
        <f t="shared" si="55"/>
        <v>0</v>
      </c>
      <c r="F407" s="1058">
        <f t="shared" si="56"/>
        <v>0</v>
      </c>
      <c r="G407" s="1058">
        <f t="shared" si="57"/>
        <v>0</v>
      </c>
      <c r="H407" s="1300">
        <v>84</v>
      </c>
      <c r="I407" s="1300">
        <f>'Emission-Waste Transport Vehicl'!N52</f>
        <v>22.378381698816003</v>
      </c>
      <c r="J407" s="1300">
        <f>'Emission-Waste Transport Vehicl'!P52</f>
        <v>12.450958730496001</v>
      </c>
      <c r="K407" s="1300">
        <f>'Emission-Waste Transport Vehicl'!Q52</f>
        <v>9.6697646622720015</v>
      </c>
      <c r="L407" s="1300">
        <f>'Emission-Waste Transport Vehicl'!R52</f>
        <v>0.96242955494400007</v>
      </c>
      <c r="M407" s="1300">
        <f t="shared" si="52"/>
        <v>0</v>
      </c>
      <c r="N407" s="830">
        <f t="shared" si="58"/>
        <v>0</v>
      </c>
      <c r="O407" s="830">
        <f t="shared" si="59"/>
        <v>0</v>
      </c>
      <c r="P407" s="830">
        <f t="shared" si="60"/>
        <v>0</v>
      </c>
      <c r="Q407" s="830">
        <f t="shared" si="61"/>
        <v>0</v>
      </c>
      <c r="R407" s="2773"/>
    </row>
    <row r="408" spans="1:18" x14ac:dyDescent="0.25">
      <c r="A408" s="2802"/>
      <c r="B408" s="706">
        <v>2039</v>
      </c>
      <c r="C408" s="1058">
        <f t="shared" si="53"/>
        <v>0</v>
      </c>
      <c r="D408" s="1058">
        <f t="shared" si="54"/>
        <v>0</v>
      </c>
      <c r="E408" s="1058">
        <f t="shared" si="55"/>
        <v>0</v>
      </c>
      <c r="F408" s="1058">
        <f t="shared" si="56"/>
        <v>0</v>
      </c>
      <c r="G408" s="1058">
        <f t="shared" si="57"/>
        <v>0</v>
      </c>
      <c r="H408" s="1300">
        <v>85</v>
      </c>
      <c r="I408" s="1300">
        <f>'Emission-Waste Transport Vehicl'!N53</f>
        <v>21.941507697120006</v>
      </c>
      <c r="J408" s="1300">
        <f>'Emission-Waste Transport Vehicl'!P53</f>
        <v>12.207889314720003</v>
      </c>
      <c r="K408" s="1300">
        <f>'Emission-Waste Transport Vehicl'!Q53</f>
        <v>9.4809901190400012</v>
      </c>
      <c r="L408" s="1300">
        <f>'Emission-Waste Transport Vehicl'!R53</f>
        <v>0.9436408660800002</v>
      </c>
      <c r="M408" s="1300">
        <f t="shared" si="52"/>
        <v>0</v>
      </c>
      <c r="N408" s="830">
        <f t="shared" si="58"/>
        <v>0</v>
      </c>
      <c r="O408" s="830">
        <f t="shared" si="59"/>
        <v>0</v>
      </c>
      <c r="P408" s="830">
        <f t="shared" si="60"/>
        <v>0</v>
      </c>
      <c r="Q408" s="830">
        <f t="shared" si="61"/>
        <v>0</v>
      </c>
      <c r="R408" s="2773"/>
    </row>
    <row r="409" spans="1:18" x14ac:dyDescent="0.25">
      <c r="A409" s="2802"/>
      <c r="B409" s="706">
        <v>2040</v>
      </c>
      <c r="C409" s="1058">
        <f t="shared" si="53"/>
        <v>0</v>
      </c>
      <c r="D409" s="1058">
        <f t="shared" si="54"/>
        <v>0</v>
      </c>
      <c r="E409" s="1058">
        <f t="shared" si="55"/>
        <v>0</v>
      </c>
      <c r="F409" s="1058">
        <f t="shared" si="56"/>
        <v>0</v>
      </c>
      <c r="G409" s="1058">
        <f t="shared" si="57"/>
        <v>0</v>
      </c>
      <c r="H409" s="1300">
        <v>86</v>
      </c>
      <c r="I409" s="1300">
        <f>'Emission-Waste Transport Vehicl'!N54</f>
        <v>21.511154202912003</v>
      </c>
      <c r="J409" s="1300">
        <f>'Emission-Waste Transport Vehicl'!P54</f>
        <v>11.968447800672001</v>
      </c>
      <c r="K409" s="1300">
        <f>'Emission-Waste Transport Vehicl'!Q54</f>
        <v>9.2950331063040004</v>
      </c>
      <c r="L409" s="1300">
        <f>'Emission-Waste Transport Vehicl'!R54</f>
        <v>0.92513260540800013</v>
      </c>
      <c r="M409" s="1300">
        <f t="shared" si="52"/>
        <v>0</v>
      </c>
      <c r="N409" s="830">
        <f t="shared" si="58"/>
        <v>0</v>
      </c>
      <c r="O409" s="830">
        <f t="shared" si="59"/>
        <v>0</v>
      </c>
      <c r="P409" s="830">
        <f t="shared" si="60"/>
        <v>0</v>
      </c>
      <c r="Q409" s="830">
        <f t="shared" si="61"/>
        <v>0</v>
      </c>
      <c r="R409" s="2773"/>
    </row>
    <row r="410" spans="1:18" x14ac:dyDescent="0.25">
      <c r="A410" s="2802"/>
      <c r="B410" s="706">
        <v>2041</v>
      </c>
      <c r="C410" s="1058">
        <f t="shared" si="53"/>
        <v>0</v>
      </c>
      <c r="D410" s="1058">
        <f t="shared" si="54"/>
        <v>0</v>
      </c>
      <c r="E410" s="1058">
        <f t="shared" si="55"/>
        <v>0</v>
      </c>
      <c r="F410" s="1058">
        <f t="shared" si="56"/>
        <v>0</v>
      </c>
      <c r="G410" s="1058">
        <f t="shared" si="57"/>
        <v>0</v>
      </c>
      <c r="H410" s="1300">
        <v>87</v>
      </c>
      <c r="I410" s="1300">
        <f>'Emission-Waste Transport Vehicl'!N55</f>
        <v>21.087321216192002</v>
      </c>
      <c r="J410" s="1300">
        <f>'Emission-Waste Transport Vehicl'!P55</f>
        <v>11.732634188352002</v>
      </c>
      <c r="K410" s="1300">
        <f>'Emission-Waste Transport Vehicl'!Q55</f>
        <v>9.1118936240640007</v>
      </c>
      <c r="L410" s="1300">
        <f>'Emission-Waste Transport Vehicl'!R55</f>
        <v>0.9069047729280002</v>
      </c>
      <c r="M410" s="1300">
        <f t="shared" si="52"/>
        <v>0</v>
      </c>
      <c r="N410" s="830">
        <f t="shared" si="58"/>
        <v>0</v>
      </c>
      <c r="O410" s="830">
        <f t="shared" si="59"/>
        <v>0</v>
      </c>
      <c r="P410" s="830">
        <f t="shared" si="60"/>
        <v>0</v>
      </c>
      <c r="Q410" s="830">
        <f t="shared" si="61"/>
        <v>0</v>
      </c>
      <c r="R410" s="2773"/>
    </row>
    <row r="411" spans="1:18" x14ac:dyDescent="0.25">
      <c r="A411" s="2802"/>
      <c r="B411" s="706">
        <v>2042</v>
      </c>
      <c r="C411" s="1058">
        <f t="shared" si="53"/>
        <v>0</v>
      </c>
      <c r="D411" s="1058">
        <f t="shared" si="54"/>
        <v>0</v>
      </c>
      <c r="E411" s="1058">
        <f t="shared" si="55"/>
        <v>0</v>
      </c>
      <c r="F411" s="1058">
        <f t="shared" si="56"/>
        <v>0</v>
      </c>
      <c r="G411" s="1058">
        <f t="shared" si="57"/>
        <v>0</v>
      </c>
      <c r="H411" s="1300">
        <v>88</v>
      </c>
      <c r="I411" s="1300">
        <f>'Emission-Waste Transport Vehicl'!N56</f>
        <v>20.676529244448002</v>
      </c>
      <c r="J411" s="1300">
        <f>'Emission-Waste Transport Vehicl'!P56</f>
        <v>11.504076379488001</v>
      </c>
      <c r="K411" s="1300">
        <f>'Emission-Waste Transport Vehicl'!Q56</f>
        <v>8.9343892028159999</v>
      </c>
      <c r="L411" s="1300">
        <f>'Emission-Waste Transport Vehicl'!R56</f>
        <v>0.8892377968320001</v>
      </c>
      <c r="M411" s="1300">
        <f t="shared" si="52"/>
        <v>0</v>
      </c>
      <c r="N411" s="830">
        <f t="shared" si="58"/>
        <v>0</v>
      </c>
      <c r="O411" s="830">
        <f t="shared" si="59"/>
        <v>0</v>
      </c>
      <c r="P411" s="830">
        <f t="shared" si="60"/>
        <v>0</v>
      </c>
      <c r="Q411" s="830">
        <f t="shared" si="61"/>
        <v>0</v>
      </c>
      <c r="R411" s="2773"/>
    </row>
    <row r="412" spans="1:18" x14ac:dyDescent="0.25">
      <c r="A412" s="2802"/>
      <c r="B412" s="706">
        <v>2043</v>
      </c>
      <c r="C412" s="1058">
        <f t="shared" si="53"/>
        <v>0</v>
      </c>
      <c r="D412" s="1058">
        <f t="shared" si="54"/>
        <v>0</v>
      </c>
      <c r="E412" s="1058">
        <f t="shared" si="55"/>
        <v>0</v>
      </c>
      <c r="F412" s="1058">
        <f t="shared" si="56"/>
        <v>0</v>
      </c>
      <c r="G412" s="1058">
        <f t="shared" si="57"/>
        <v>0</v>
      </c>
      <c r="H412" s="1300">
        <v>89</v>
      </c>
      <c r="I412" s="1300">
        <f>'Emission-Waste Transport Vehicl'!N57</f>
        <v>20.268997526448004</v>
      </c>
      <c r="J412" s="1300">
        <f>'Emission-Waste Transport Vehicl'!P57</f>
        <v>11.277332521488001</v>
      </c>
      <c r="K412" s="1300">
        <f>'Emission-Waste Transport Vehicl'!Q57</f>
        <v>8.7582935468160006</v>
      </c>
      <c r="L412" s="1300">
        <f>'Emission-Waste Transport Vehicl'!R57</f>
        <v>0.87171103483200019</v>
      </c>
      <c r="M412" s="1300">
        <f t="shared" si="52"/>
        <v>0</v>
      </c>
      <c r="N412" s="830">
        <f t="shared" si="58"/>
        <v>0</v>
      </c>
      <c r="O412" s="830">
        <f t="shared" si="59"/>
        <v>0</v>
      </c>
      <c r="P412" s="830">
        <f t="shared" si="60"/>
        <v>0</v>
      </c>
      <c r="Q412" s="830">
        <f t="shared" si="61"/>
        <v>0</v>
      </c>
      <c r="R412" s="2773"/>
    </row>
    <row r="413" spans="1:18" x14ac:dyDescent="0.25">
      <c r="A413" s="2802"/>
      <c r="B413" s="706">
        <v>2044</v>
      </c>
      <c r="C413" s="1058">
        <f t="shared" si="53"/>
        <v>0</v>
      </c>
      <c r="D413" s="1058">
        <f t="shared" si="54"/>
        <v>0</v>
      </c>
      <c r="E413" s="1058">
        <f t="shared" si="55"/>
        <v>0</v>
      </c>
      <c r="F413" s="1058">
        <f t="shared" si="56"/>
        <v>0</v>
      </c>
      <c r="G413" s="1058">
        <f t="shared" si="57"/>
        <v>0</v>
      </c>
      <c r="H413" s="1300">
        <v>90</v>
      </c>
      <c r="I413" s="1300">
        <f>'Emission-Waste Transport Vehicl'!N58</f>
        <v>19.871246569680004</v>
      </c>
      <c r="J413" s="1300">
        <f>'Emission-Waste Transport Vehicl'!P58</f>
        <v>11.056030516080002</v>
      </c>
      <c r="K413" s="1300">
        <f>'Emission-Waste Transport Vehicl'!Q58</f>
        <v>8.5864241865600004</v>
      </c>
      <c r="L413" s="1300">
        <f>'Emission-Waste Transport Vehicl'!R58</f>
        <v>0.85460491512000014</v>
      </c>
      <c r="M413" s="1300">
        <f t="shared" si="52"/>
        <v>0</v>
      </c>
      <c r="N413" s="830">
        <f t="shared" si="58"/>
        <v>0</v>
      </c>
      <c r="O413" s="830">
        <f t="shared" si="59"/>
        <v>0</v>
      </c>
      <c r="P413" s="830">
        <f t="shared" si="60"/>
        <v>0</v>
      </c>
      <c r="Q413" s="830">
        <f t="shared" si="61"/>
        <v>0</v>
      </c>
      <c r="R413" s="2773"/>
    </row>
    <row r="414" spans="1:18" x14ac:dyDescent="0.25">
      <c r="A414" s="2802"/>
      <c r="B414" s="706">
        <v>2045</v>
      </c>
      <c r="C414" s="1058">
        <f t="shared" si="53"/>
        <v>0</v>
      </c>
      <c r="D414" s="1058">
        <f t="shared" si="54"/>
        <v>0</v>
      </c>
      <c r="E414" s="1058">
        <f t="shared" si="55"/>
        <v>0</v>
      </c>
      <c r="F414" s="1058">
        <f t="shared" si="56"/>
        <v>0</v>
      </c>
      <c r="G414" s="1058">
        <f t="shared" si="57"/>
        <v>0</v>
      </c>
      <c r="H414" s="1300">
        <v>92</v>
      </c>
      <c r="I414" s="1300">
        <f>'Emission-Waste Transport Vehicl'!N59</f>
        <v>19.483276374144001</v>
      </c>
      <c r="J414" s="1300">
        <f>'Emission-Waste Transport Vehicl'!P59</f>
        <v>10.840170363264003</v>
      </c>
      <c r="K414" s="1300">
        <f>'Emission-Waste Transport Vehicl'!Q59</f>
        <v>8.4187811220480011</v>
      </c>
      <c r="L414" s="1300">
        <f>'Emission-Waste Transport Vehicl'!R59</f>
        <v>0.83791943769600008</v>
      </c>
      <c r="M414" s="1300">
        <f t="shared" si="52"/>
        <v>0</v>
      </c>
      <c r="N414" s="830">
        <f t="shared" si="58"/>
        <v>0</v>
      </c>
      <c r="O414" s="830">
        <f t="shared" si="59"/>
        <v>0</v>
      </c>
      <c r="P414" s="830">
        <f t="shared" si="60"/>
        <v>0</v>
      </c>
      <c r="Q414" s="830">
        <f t="shared" si="61"/>
        <v>0</v>
      </c>
      <c r="R414" s="2773"/>
    </row>
    <row r="415" spans="1:18" x14ac:dyDescent="0.25">
      <c r="A415" s="2802"/>
      <c r="B415" s="706">
        <v>2046</v>
      </c>
      <c r="C415" s="1058">
        <f t="shared" si="53"/>
        <v>0</v>
      </c>
      <c r="D415" s="1058">
        <f t="shared" si="54"/>
        <v>0</v>
      </c>
      <c r="E415" s="1058">
        <f t="shared" si="55"/>
        <v>0</v>
      </c>
      <c r="F415" s="1058">
        <f t="shared" si="56"/>
        <v>0</v>
      </c>
      <c r="G415" s="1058">
        <f t="shared" si="57"/>
        <v>0</v>
      </c>
      <c r="H415" s="1300">
        <v>93</v>
      </c>
      <c r="I415" s="1300">
        <f>'Emission-Waste Transport Vehicl'!N60</f>
        <v>19.101826686096</v>
      </c>
      <c r="J415" s="1300">
        <f>'Emission-Waste Transport Vehicl'!P60</f>
        <v>10.627938112176002</v>
      </c>
      <c r="K415" s="1300">
        <f>'Emission-Waste Transport Vehicl'!Q60</f>
        <v>8.2539555880319995</v>
      </c>
      <c r="L415" s="1300">
        <f>'Emission-Waste Transport Vehicl'!R60</f>
        <v>0.82151438846400004</v>
      </c>
      <c r="M415" s="1300">
        <f t="shared" si="52"/>
        <v>0</v>
      </c>
      <c r="N415" s="830">
        <f t="shared" si="58"/>
        <v>0</v>
      </c>
      <c r="O415" s="830">
        <f t="shared" si="59"/>
        <v>0</v>
      </c>
      <c r="P415" s="830">
        <f t="shared" si="60"/>
        <v>0</v>
      </c>
      <c r="Q415" s="830">
        <f t="shared" si="61"/>
        <v>0</v>
      </c>
      <c r="R415" s="2773"/>
    </row>
    <row r="416" spans="1:18" x14ac:dyDescent="0.25">
      <c r="A416" s="2802"/>
      <c r="B416" s="706">
        <v>2047</v>
      </c>
      <c r="C416" s="1058">
        <f t="shared" si="53"/>
        <v>0</v>
      </c>
      <c r="D416" s="1058">
        <f t="shared" si="54"/>
        <v>0</v>
      </c>
      <c r="E416" s="1058">
        <f t="shared" si="55"/>
        <v>0</v>
      </c>
      <c r="F416" s="1058">
        <f t="shared" si="56"/>
        <v>0</v>
      </c>
      <c r="G416" s="1058">
        <f t="shared" si="57"/>
        <v>0</v>
      </c>
      <c r="H416" s="1300">
        <v>94</v>
      </c>
      <c r="I416" s="1300">
        <f>'Emission-Waste Transport Vehicl'!N61</f>
        <v>18.726897505536005</v>
      </c>
      <c r="J416" s="1300">
        <f>'Emission-Waste Transport Vehicl'!P61</f>
        <v>10.419333762816001</v>
      </c>
      <c r="K416" s="1300">
        <f>'Emission-Waste Transport Vehicl'!Q61</f>
        <v>8.0919475845120008</v>
      </c>
      <c r="L416" s="1300">
        <f>'Emission-Waste Transport Vehicl'!R61</f>
        <v>0.80538976742400015</v>
      </c>
      <c r="M416" s="1300">
        <f t="shared" si="52"/>
        <v>0</v>
      </c>
      <c r="N416" s="830">
        <f t="shared" si="58"/>
        <v>0</v>
      </c>
      <c r="O416" s="830">
        <f t="shared" si="59"/>
        <v>0</v>
      </c>
      <c r="P416" s="830">
        <f t="shared" si="60"/>
        <v>0</v>
      </c>
      <c r="Q416" s="830">
        <f t="shared" si="61"/>
        <v>0</v>
      </c>
      <c r="R416" s="2773"/>
    </row>
    <row r="417" spans="1:18" x14ac:dyDescent="0.25">
      <c r="A417" s="2802"/>
      <c r="B417" s="706">
        <v>2048</v>
      </c>
      <c r="C417" s="1058">
        <f t="shared" si="53"/>
        <v>0</v>
      </c>
      <c r="D417" s="1058">
        <f t="shared" si="54"/>
        <v>0</v>
      </c>
      <c r="E417" s="1058">
        <f t="shared" si="55"/>
        <v>0</v>
      </c>
      <c r="F417" s="1058">
        <f t="shared" si="56"/>
        <v>0</v>
      </c>
      <c r="G417" s="1058">
        <f t="shared" si="57"/>
        <v>0</v>
      </c>
      <c r="H417" s="1300">
        <v>95</v>
      </c>
      <c r="I417" s="1300">
        <f>'Emission-Waste Transport Vehicl'!N62</f>
        <v>18.358488832464005</v>
      </c>
      <c r="J417" s="1300">
        <f>'Emission-Waste Transport Vehicl'!P62</f>
        <v>10.214357315184001</v>
      </c>
      <c r="K417" s="1300">
        <f>'Emission-Waste Transport Vehicl'!Q62</f>
        <v>7.9327571114880007</v>
      </c>
      <c r="L417" s="1300">
        <f>'Emission-Waste Transport Vehicl'!R62</f>
        <v>0.78954557457600016</v>
      </c>
      <c r="M417" s="1300">
        <f t="shared" si="52"/>
        <v>0</v>
      </c>
      <c r="N417" s="830">
        <f t="shared" si="58"/>
        <v>0</v>
      </c>
      <c r="O417" s="830">
        <f t="shared" si="59"/>
        <v>0</v>
      </c>
      <c r="P417" s="830">
        <f t="shared" si="60"/>
        <v>0</v>
      </c>
      <c r="Q417" s="830">
        <f t="shared" si="61"/>
        <v>0</v>
      </c>
      <c r="R417" s="2773"/>
    </row>
    <row r="418" spans="1:18" x14ac:dyDescent="0.25">
      <c r="A418" s="2802"/>
      <c r="B418" s="706">
        <v>2049</v>
      </c>
      <c r="C418" s="1058">
        <f t="shared" si="53"/>
        <v>0</v>
      </c>
      <c r="D418" s="1058">
        <f t="shared" si="54"/>
        <v>0</v>
      </c>
      <c r="E418" s="1058">
        <f t="shared" si="55"/>
        <v>0</v>
      </c>
      <c r="F418" s="1058">
        <f t="shared" si="56"/>
        <v>0</v>
      </c>
      <c r="G418" s="1058">
        <f t="shared" si="57"/>
        <v>0</v>
      </c>
      <c r="H418" s="1300">
        <v>96</v>
      </c>
      <c r="I418" s="1300">
        <f>'Emission-Waste Transport Vehicl'!N63</f>
        <v>17.999860920624005</v>
      </c>
      <c r="J418" s="1300">
        <f>'Emission-Waste Transport Vehicl'!P63</f>
        <v>10.014822720144002</v>
      </c>
      <c r="K418" s="1300">
        <f>'Emission-Waste Transport Vehicl'!Q63</f>
        <v>7.7777929342080014</v>
      </c>
      <c r="L418" s="1300">
        <f>'Emission-Waste Transport Vehicl'!R63</f>
        <v>0.77412202401600017</v>
      </c>
      <c r="M418" s="1300">
        <f t="shared" si="52"/>
        <v>0</v>
      </c>
      <c r="N418" s="830">
        <f t="shared" si="58"/>
        <v>0</v>
      </c>
      <c r="O418" s="830">
        <f t="shared" si="59"/>
        <v>0</v>
      </c>
      <c r="P418" s="830">
        <f t="shared" si="60"/>
        <v>0</v>
      </c>
      <c r="Q418" s="830">
        <f t="shared" si="61"/>
        <v>0</v>
      </c>
      <c r="R418" s="2773"/>
    </row>
    <row r="419" spans="1:18" x14ac:dyDescent="0.25">
      <c r="A419" s="2802"/>
      <c r="B419" s="706">
        <v>2050</v>
      </c>
      <c r="C419" s="1058">
        <f t="shared" si="53"/>
        <v>0</v>
      </c>
      <c r="D419" s="1058">
        <f t="shared" si="54"/>
        <v>0</v>
      </c>
      <c r="E419" s="1058">
        <f t="shared" si="55"/>
        <v>0</v>
      </c>
      <c r="F419" s="1058">
        <f t="shared" si="56"/>
        <v>0</v>
      </c>
      <c r="G419" s="1058">
        <f t="shared" si="57"/>
        <v>0</v>
      </c>
      <c r="H419" s="1300">
        <v>97</v>
      </c>
      <c r="I419" s="1300">
        <f>'Emission-Waste Transport Vehicl'!N64</f>
        <v>17.644493262528005</v>
      </c>
      <c r="J419" s="1300">
        <f>'Emission-Waste Transport Vehicl'!P64</f>
        <v>9.8171020759680019</v>
      </c>
      <c r="K419" s="1300">
        <f>'Emission-Waste Transport Vehicl'!Q64</f>
        <v>7.624237522176001</v>
      </c>
      <c r="L419" s="1300">
        <f>'Emission-Waste Transport Vehicl'!R64</f>
        <v>0.75883868755200012</v>
      </c>
      <c r="M419" s="1300">
        <f t="shared" si="52"/>
        <v>0</v>
      </c>
      <c r="N419" s="830">
        <f t="shared" si="58"/>
        <v>0</v>
      </c>
      <c r="O419" s="830">
        <f t="shared" si="59"/>
        <v>0</v>
      </c>
      <c r="P419" s="830">
        <f t="shared" si="60"/>
        <v>0</v>
      </c>
      <c r="Q419" s="830">
        <f t="shared" si="61"/>
        <v>0</v>
      </c>
      <c r="R419" s="2773"/>
    </row>
    <row r="420" spans="1:18" x14ac:dyDescent="0.25">
      <c r="A420" s="2802"/>
      <c r="B420" s="706">
        <v>2051</v>
      </c>
      <c r="C420" s="1058">
        <f t="shared" si="53"/>
        <v>0</v>
      </c>
      <c r="D420" s="1058">
        <f t="shared" si="54"/>
        <v>0</v>
      </c>
      <c r="E420" s="1058">
        <f t="shared" si="55"/>
        <v>0</v>
      </c>
      <c r="F420" s="1058">
        <f t="shared" si="56"/>
        <v>0</v>
      </c>
      <c r="G420" s="1058">
        <f t="shared" si="57"/>
        <v>0</v>
      </c>
      <c r="H420" s="1300">
        <v>97</v>
      </c>
      <c r="I420" s="1300">
        <f>'Emission-Waste Transport Vehicl'!N65</f>
        <v>17.298906365664003</v>
      </c>
      <c r="J420" s="1300">
        <f>'Emission-Waste Transport Vehicl'!P65</f>
        <v>9.624823284384</v>
      </c>
      <c r="K420" s="1300">
        <f>'Emission-Waste Transport Vehicl'!Q65</f>
        <v>7.4749084058879998</v>
      </c>
      <c r="L420" s="1300">
        <f>'Emission-Waste Transport Vehicl'!R65</f>
        <v>0.74397599337600007</v>
      </c>
      <c r="M420" s="1300">
        <f t="shared" si="52"/>
        <v>0</v>
      </c>
      <c r="N420" s="830">
        <f t="shared" si="58"/>
        <v>0</v>
      </c>
      <c r="O420" s="830">
        <f t="shared" si="59"/>
        <v>0</v>
      </c>
      <c r="P420" s="830">
        <f t="shared" si="60"/>
        <v>0</v>
      </c>
      <c r="Q420" s="830">
        <f t="shared" si="61"/>
        <v>0</v>
      </c>
      <c r="R420" s="2773"/>
    </row>
    <row r="421" spans="1:18" x14ac:dyDescent="0.25">
      <c r="A421" s="2802"/>
      <c r="B421" s="706">
        <v>2052</v>
      </c>
      <c r="C421" s="1058">
        <f t="shared" si="53"/>
        <v>0</v>
      </c>
      <c r="D421" s="1058">
        <f t="shared" si="54"/>
        <v>0</v>
      </c>
      <c r="E421" s="1058">
        <f t="shared" si="55"/>
        <v>0</v>
      </c>
      <c r="F421" s="1058">
        <f t="shared" si="56"/>
        <v>0</v>
      </c>
      <c r="G421" s="1058">
        <f t="shared" si="57"/>
        <v>0</v>
      </c>
      <c r="H421" s="1300">
        <v>97</v>
      </c>
      <c r="I421" s="1300">
        <f>'Emission-Waste Transport Vehicl'!N66</f>
        <v>16.959839976288002</v>
      </c>
      <c r="J421" s="1300">
        <f>'Emission-Waste Transport Vehicl'!P66</f>
        <v>9.4361723945280005</v>
      </c>
      <c r="K421" s="1300">
        <f>'Emission-Waste Transport Vehicl'!Q66</f>
        <v>7.3283968200960006</v>
      </c>
      <c r="L421" s="1300">
        <f>'Emission-Waste Transport Vehicl'!R66</f>
        <v>0.72939372739200004</v>
      </c>
      <c r="M421" s="1300">
        <f t="shared" si="52"/>
        <v>0</v>
      </c>
      <c r="N421" s="830">
        <f t="shared" si="58"/>
        <v>0</v>
      </c>
      <c r="O421" s="830">
        <f t="shared" si="59"/>
        <v>0</v>
      </c>
      <c r="P421" s="830">
        <f t="shared" si="60"/>
        <v>0</v>
      </c>
      <c r="Q421" s="830">
        <f t="shared" si="61"/>
        <v>0</v>
      </c>
      <c r="R421" s="2773"/>
    </row>
    <row r="422" spans="1:18" x14ac:dyDescent="0.25">
      <c r="A422" s="2802"/>
      <c r="B422" s="706">
        <v>2053</v>
      </c>
      <c r="C422" s="1058">
        <f t="shared" si="53"/>
        <v>0</v>
      </c>
      <c r="D422" s="1058">
        <f t="shared" si="54"/>
        <v>0</v>
      </c>
      <c r="E422" s="1058">
        <f t="shared" si="55"/>
        <v>0</v>
      </c>
      <c r="F422" s="1058">
        <f t="shared" si="56"/>
        <v>0</v>
      </c>
      <c r="G422" s="1058">
        <f t="shared" si="57"/>
        <v>0</v>
      </c>
      <c r="H422" s="1300">
        <v>97</v>
      </c>
      <c r="I422" s="1300">
        <f>'Emission-Waste Transport Vehicl'!N67</f>
        <v>15.361506000000002</v>
      </c>
      <c r="J422" s="1300">
        <f>'Emission-Waste Transport Vehicl'!P67</f>
        <v>9.2511494064000015</v>
      </c>
      <c r="K422" s="1300">
        <f>'Emission-Waste Transport Vehicl'!Q67</f>
        <v>7.1847027647999999</v>
      </c>
      <c r="L422" s="1300">
        <f>'Emission-Waste Transport Vehicl'!R67</f>
        <v>0.71509188960000014</v>
      </c>
      <c r="M422" s="1300">
        <f t="shared" si="52"/>
        <v>0</v>
      </c>
      <c r="N422" s="830">
        <f t="shared" si="58"/>
        <v>0</v>
      </c>
      <c r="O422" s="830">
        <f t="shared" si="59"/>
        <v>0</v>
      </c>
      <c r="P422" s="830">
        <f t="shared" si="60"/>
        <v>0</v>
      </c>
      <c r="Q422" s="830">
        <f t="shared" si="61"/>
        <v>0</v>
      </c>
      <c r="R422" s="2773"/>
    </row>
    <row r="423" spans="1:18" x14ac:dyDescent="0.25">
      <c r="A423" s="2802"/>
      <c r="B423" s="706">
        <v>2054</v>
      </c>
      <c r="C423" s="1058">
        <f t="shared" si="53"/>
        <v>0</v>
      </c>
      <c r="D423" s="1058">
        <f t="shared" si="54"/>
        <v>0</v>
      </c>
      <c r="E423" s="1058">
        <f t="shared" si="55"/>
        <v>0</v>
      </c>
      <c r="F423" s="1058">
        <f t="shared" si="56"/>
        <v>0</v>
      </c>
      <c r="G423" s="1058">
        <f t="shared" si="57"/>
        <v>0</v>
      </c>
      <c r="H423" s="1300">
        <v>97</v>
      </c>
      <c r="I423" s="1300">
        <f>'Emission-Waste Transport Vehicl'!N68</f>
        <v>16.301268720000003</v>
      </c>
      <c r="J423" s="1300">
        <f>'Emission-Waste Transport Vehicl'!P68</f>
        <v>9.0697543200000013</v>
      </c>
      <c r="K423" s="1300">
        <f>'Emission-Waste Transport Vehicl'!Q68</f>
        <v>7.0438262400000005</v>
      </c>
      <c r="L423" s="1300">
        <f>'Emission-Waste Transport Vehicl'!R68</f>
        <v>0.70107048000000005</v>
      </c>
      <c r="M423" s="1300">
        <f t="shared" si="52"/>
        <v>0</v>
      </c>
      <c r="N423" s="830">
        <f t="shared" si="58"/>
        <v>0</v>
      </c>
      <c r="O423" s="830">
        <f t="shared" si="59"/>
        <v>0</v>
      </c>
      <c r="P423" s="830">
        <f t="shared" si="60"/>
        <v>0</v>
      </c>
      <c r="Q423" s="830">
        <f t="shared" si="61"/>
        <v>0</v>
      </c>
      <c r="R423" s="2773"/>
    </row>
    <row r="424" spans="1:18" x14ac:dyDescent="0.25">
      <c r="A424" s="2802"/>
      <c r="B424" s="706">
        <v>2055</v>
      </c>
      <c r="C424" s="1058">
        <f t="shared" si="53"/>
        <v>0</v>
      </c>
      <c r="D424" s="1058">
        <f t="shared" si="54"/>
        <v>0</v>
      </c>
      <c r="E424" s="1058">
        <f t="shared" si="55"/>
        <v>0</v>
      </c>
      <c r="F424" s="1058">
        <f t="shared" si="56"/>
        <v>0</v>
      </c>
      <c r="G424" s="1058">
        <f t="shared" si="57"/>
        <v>0</v>
      </c>
      <c r="H424" s="1300">
        <v>97</v>
      </c>
      <c r="I424" s="1300">
        <f>'Emission-Waste Transport Vehicl'!N69</f>
        <v>15.981763853088003</v>
      </c>
      <c r="J424" s="1300">
        <f>'Emission-Waste Transport Vehicl'!P69</f>
        <v>8.8919871353280016</v>
      </c>
      <c r="K424" s="1300">
        <f>'Emission-Waste Transport Vehicl'!Q69</f>
        <v>6.9057672456960004</v>
      </c>
      <c r="L424" s="1300">
        <f>'Emission-Waste Transport Vehicl'!R69</f>
        <v>0.6873294985920001</v>
      </c>
      <c r="M424" s="1300">
        <f t="shared" si="52"/>
        <v>0</v>
      </c>
      <c r="N424" s="830">
        <f t="shared" si="58"/>
        <v>0</v>
      </c>
      <c r="O424" s="830">
        <f t="shared" si="59"/>
        <v>0</v>
      </c>
      <c r="P424" s="830">
        <f t="shared" si="60"/>
        <v>0</v>
      </c>
      <c r="Q424" s="830">
        <f t="shared" si="61"/>
        <v>0</v>
      </c>
      <c r="R424" s="2773"/>
    </row>
    <row r="425" spans="1:18" x14ac:dyDescent="0.25">
      <c r="A425" s="2802"/>
      <c r="B425" s="706">
        <v>2056</v>
      </c>
      <c r="C425" s="1058">
        <f t="shared" si="53"/>
        <v>0</v>
      </c>
      <c r="D425" s="1058">
        <f t="shared" si="54"/>
        <v>0</v>
      </c>
      <c r="E425" s="1058">
        <f t="shared" si="55"/>
        <v>0</v>
      </c>
      <c r="F425" s="1058">
        <f t="shared" si="56"/>
        <v>0</v>
      </c>
      <c r="G425" s="1058">
        <f t="shared" si="57"/>
        <v>0</v>
      </c>
      <c r="H425" s="1300">
        <v>97</v>
      </c>
      <c r="I425" s="1300">
        <f>'Emission-Waste Transport Vehicl'!N70</f>
        <v>15.668779493664003</v>
      </c>
      <c r="J425" s="1300">
        <f>'Emission-Waste Transport Vehicl'!P70</f>
        <v>8.7178478523840006</v>
      </c>
      <c r="K425" s="1300">
        <f>'Emission-Waste Transport Vehicl'!Q70</f>
        <v>6.7705257818880007</v>
      </c>
      <c r="L425" s="1300">
        <f>'Emission-Waste Transport Vehicl'!R70</f>
        <v>0.67386894537600017</v>
      </c>
      <c r="M425" s="1300">
        <f t="shared" si="52"/>
        <v>0</v>
      </c>
      <c r="N425" s="830">
        <f t="shared" si="58"/>
        <v>0</v>
      </c>
      <c r="O425" s="830">
        <f t="shared" si="59"/>
        <v>0</v>
      </c>
      <c r="P425" s="830">
        <f t="shared" si="60"/>
        <v>0</v>
      </c>
      <c r="Q425" s="830">
        <f t="shared" si="61"/>
        <v>0</v>
      </c>
      <c r="R425" s="2773"/>
    </row>
    <row r="426" spans="1:18" x14ac:dyDescent="0.25">
      <c r="A426" s="2802"/>
      <c r="B426" s="706">
        <v>2057</v>
      </c>
      <c r="C426" s="1058">
        <f t="shared" si="53"/>
        <v>0</v>
      </c>
      <c r="D426" s="1058">
        <f t="shared" si="54"/>
        <v>0</v>
      </c>
      <c r="E426" s="1058">
        <f t="shared" si="55"/>
        <v>0</v>
      </c>
      <c r="F426" s="1058">
        <f t="shared" si="56"/>
        <v>0</v>
      </c>
      <c r="G426" s="1058">
        <f t="shared" si="57"/>
        <v>0</v>
      </c>
      <c r="H426" s="1300">
        <v>97</v>
      </c>
      <c r="I426" s="1300">
        <f>'Emission-Waste Transport Vehicl'!N71</f>
        <v>15.362315641728001</v>
      </c>
      <c r="J426" s="1300">
        <f>'Emission-Waste Transport Vehicl'!P71</f>
        <v>8.547336471168002</v>
      </c>
      <c r="K426" s="1300">
        <f>'Emission-Waste Transport Vehicl'!Q71</f>
        <v>6.6381018485760004</v>
      </c>
      <c r="L426" s="1300">
        <f>'Emission-Waste Transport Vehicl'!R71</f>
        <v>0.66068882035200005</v>
      </c>
      <c r="M426" s="1300">
        <f t="shared" si="52"/>
        <v>0</v>
      </c>
      <c r="N426" s="830">
        <f t="shared" si="58"/>
        <v>0</v>
      </c>
      <c r="O426" s="830">
        <f t="shared" si="59"/>
        <v>0</v>
      </c>
      <c r="P426" s="830">
        <f t="shared" si="60"/>
        <v>0</v>
      </c>
      <c r="Q426" s="830">
        <f t="shared" si="61"/>
        <v>0</v>
      </c>
      <c r="R426" s="2773"/>
    </row>
    <row r="427" spans="1:18" x14ac:dyDescent="0.25">
      <c r="A427" s="2802"/>
      <c r="B427" s="706">
        <v>2058</v>
      </c>
      <c r="C427" s="1058">
        <f t="shared" si="53"/>
        <v>0</v>
      </c>
      <c r="D427" s="1058">
        <f t="shared" si="54"/>
        <v>0</v>
      </c>
      <c r="E427" s="1058">
        <f t="shared" si="55"/>
        <v>0</v>
      </c>
      <c r="F427" s="1058">
        <f t="shared" si="56"/>
        <v>0</v>
      </c>
      <c r="G427" s="1058">
        <f t="shared" si="57"/>
        <v>0</v>
      </c>
      <c r="H427" s="1300">
        <v>97</v>
      </c>
      <c r="I427" s="1300">
        <f>'Emission-Waste Transport Vehicl'!N72</f>
        <v>15.059112043536</v>
      </c>
      <c r="J427" s="1300">
        <f>'Emission-Waste Transport Vehicl'!P72</f>
        <v>8.378639040816001</v>
      </c>
      <c r="K427" s="1300">
        <f>'Emission-Waste Transport Vehicl'!Q72</f>
        <v>6.5070866805119998</v>
      </c>
      <c r="L427" s="1300">
        <f>'Emission-Waste Transport Vehicl'!R72</f>
        <v>0.647648909424</v>
      </c>
      <c r="M427" s="1300">
        <f t="shared" si="52"/>
        <v>0</v>
      </c>
      <c r="N427" s="830">
        <f t="shared" si="58"/>
        <v>0</v>
      </c>
      <c r="O427" s="830">
        <f t="shared" si="59"/>
        <v>0</v>
      </c>
      <c r="P427" s="830">
        <f t="shared" si="60"/>
        <v>0</v>
      </c>
      <c r="Q427" s="830">
        <f t="shared" si="61"/>
        <v>0</v>
      </c>
      <c r="R427" s="2773"/>
    </row>
    <row r="428" spans="1:18" x14ac:dyDescent="0.25">
      <c r="A428" s="2802"/>
      <c r="B428" s="706">
        <v>2059</v>
      </c>
      <c r="C428" s="1058">
        <f t="shared" si="53"/>
        <v>0</v>
      </c>
      <c r="D428" s="1058">
        <f t="shared" si="54"/>
        <v>0</v>
      </c>
      <c r="E428" s="1058">
        <f t="shared" si="55"/>
        <v>0</v>
      </c>
      <c r="F428" s="1058">
        <f t="shared" si="56"/>
        <v>0</v>
      </c>
      <c r="G428" s="1058">
        <f t="shared" si="57"/>
        <v>0</v>
      </c>
      <c r="H428" s="1300">
        <v>97</v>
      </c>
      <c r="I428" s="1300">
        <f>'Emission-Waste Transport Vehicl'!N73</f>
        <v>14.765689206576004</v>
      </c>
      <c r="J428" s="1300">
        <f>'Emission-Waste Transport Vehicl'!P73</f>
        <v>8.2153834630560016</v>
      </c>
      <c r="K428" s="1300">
        <f>'Emission-Waste Transport Vehicl'!Q73</f>
        <v>6.380297808192001</v>
      </c>
      <c r="L428" s="1300">
        <f>'Emission-Waste Transport Vehicl'!R73</f>
        <v>0.63502964078400004</v>
      </c>
      <c r="M428" s="1300">
        <f t="shared" si="52"/>
        <v>0</v>
      </c>
      <c r="N428" s="830">
        <f t="shared" si="58"/>
        <v>0</v>
      </c>
      <c r="O428" s="830">
        <f t="shared" si="59"/>
        <v>0</v>
      </c>
      <c r="P428" s="830">
        <f t="shared" si="60"/>
        <v>0</v>
      </c>
      <c r="Q428" s="830">
        <f t="shared" si="61"/>
        <v>0</v>
      </c>
      <c r="R428" s="2773"/>
    </row>
    <row r="429" spans="1:18" x14ac:dyDescent="0.25">
      <c r="A429" s="2802"/>
      <c r="B429" s="706">
        <v>2060</v>
      </c>
      <c r="C429" s="1058">
        <f t="shared" si="53"/>
        <v>0</v>
      </c>
      <c r="D429" s="1058">
        <f t="shared" si="54"/>
        <v>0</v>
      </c>
      <c r="E429" s="1058">
        <f t="shared" si="55"/>
        <v>0</v>
      </c>
      <c r="F429" s="1058">
        <f t="shared" si="56"/>
        <v>0</v>
      </c>
      <c r="G429" s="1058">
        <f t="shared" si="57"/>
        <v>0</v>
      </c>
      <c r="H429" s="1300">
        <v>97</v>
      </c>
      <c r="I429" s="1300">
        <f>'Emission-Waste Transport Vehicl'!N74</f>
        <v>14.475526623360002</v>
      </c>
      <c r="J429" s="1300">
        <f>'Emission-Waste Transport Vehicl'!P74</f>
        <v>8.0539418361599999</v>
      </c>
      <c r="K429" s="1300">
        <f>'Emission-Waste Transport Vehicl'!Q74</f>
        <v>6.2549177011200001</v>
      </c>
      <c r="L429" s="1300">
        <f>'Emission-Waste Transport Vehicl'!R74</f>
        <v>0.62255058624000004</v>
      </c>
      <c r="M429" s="1300">
        <f t="shared" si="52"/>
        <v>0</v>
      </c>
      <c r="N429" s="830">
        <f t="shared" si="58"/>
        <v>0</v>
      </c>
      <c r="O429" s="830">
        <f t="shared" si="59"/>
        <v>0</v>
      </c>
      <c r="P429" s="830">
        <f t="shared" si="60"/>
        <v>0</v>
      </c>
      <c r="Q429" s="830">
        <f t="shared" si="61"/>
        <v>0</v>
      </c>
      <c r="R429" s="2773"/>
    </row>
    <row r="430" spans="1:18" x14ac:dyDescent="0.25">
      <c r="A430" s="2802"/>
      <c r="B430" s="706">
        <v>2061</v>
      </c>
      <c r="C430" s="1058">
        <f t="shared" si="53"/>
        <v>0</v>
      </c>
      <c r="D430" s="1058">
        <f t="shared" si="54"/>
        <v>0</v>
      </c>
      <c r="E430" s="1058">
        <f t="shared" si="55"/>
        <v>0</v>
      </c>
      <c r="F430" s="1058">
        <f t="shared" si="56"/>
        <v>0</v>
      </c>
      <c r="G430" s="1058">
        <f t="shared" si="57"/>
        <v>0</v>
      </c>
      <c r="H430" s="1300">
        <v>97</v>
      </c>
      <c r="I430" s="1300">
        <f>'Emission-Waste Transport Vehicl'!N75</f>
        <v>14.191884547632004</v>
      </c>
      <c r="J430" s="1300">
        <f>'Emission-Waste Transport Vehicl'!P75</f>
        <v>7.8961281109920014</v>
      </c>
      <c r="K430" s="1300">
        <f>'Emission-Waste Transport Vehicl'!Q75</f>
        <v>6.1323551245440004</v>
      </c>
      <c r="L430" s="1300">
        <f>'Emission-Waste Transport Vehicl'!R75</f>
        <v>0.61035195988800006</v>
      </c>
      <c r="M430" s="1300">
        <f t="shared" si="52"/>
        <v>0</v>
      </c>
      <c r="N430" s="830">
        <f t="shared" si="58"/>
        <v>0</v>
      </c>
      <c r="O430" s="830">
        <f t="shared" si="59"/>
        <v>0</v>
      </c>
      <c r="P430" s="830">
        <f t="shared" si="60"/>
        <v>0</v>
      </c>
      <c r="Q430" s="830">
        <f t="shared" si="61"/>
        <v>0</v>
      </c>
      <c r="R430" s="2773"/>
    </row>
    <row r="431" spans="1:18" x14ac:dyDescent="0.25">
      <c r="A431" s="2802"/>
      <c r="B431" s="706">
        <v>2062</v>
      </c>
      <c r="C431" s="1058">
        <f t="shared" si="53"/>
        <v>0</v>
      </c>
      <c r="D431" s="1058">
        <f t="shared" si="54"/>
        <v>0</v>
      </c>
      <c r="E431" s="1058">
        <f t="shared" si="55"/>
        <v>0</v>
      </c>
      <c r="F431" s="1058">
        <f t="shared" si="56"/>
        <v>0</v>
      </c>
      <c r="G431" s="1058">
        <f t="shared" si="57"/>
        <v>0</v>
      </c>
      <c r="H431" s="1300">
        <v>97</v>
      </c>
      <c r="I431" s="1300">
        <f>'Emission-Waste Transport Vehicl'!N76</f>
        <v>13.914762979392002</v>
      </c>
      <c r="J431" s="1300">
        <f>'Emission-Waste Transport Vehicl'!P76</f>
        <v>7.7419422875520008</v>
      </c>
      <c r="K431" s="1300">
        <f>'Emission-Waste Transport Vehicl'!Q76</f>
        <v>6.0126100784640002</v>
      </c>
      <c r="L431" s="1300">
        <f>'Emission-Waste Transport Vehicl'!R76</f>
        <v>0.59843376172800011</v>
      </c>
      <c r="M431" s="1300">
        <f t="shared" si="52"/>
        <v>0</v>
      </c>
      <c r="N431" s="830">
        <f t="shared" si="58"/>
        <v>0</v>
      </c>
      <c r="O431" s="830">
        <f t="shared" si="59"/>
        <v>0</v>
      </c>
      <c r="P431" s="830">
        <f t="shared" si="60"/>
        <v>0</v>
      </c>
      <c r="Q431" s="830">
        <f t="shared" si="61"/>
        <v>0</v>
      </c>
      <c r="R431" s="2773"/>
    </row>
    <row r="432" spans="1:18" x14ac:dyDescent="0.25">
      <c r="A432" s="2802"/>
      <c r="B432" s="706">
        <v>2063</v>
      </c>
      <c r="C432" s="1058">
        <f t="shared" si="53"/>
        <v>0</v>
      </c>
      <c r="D432" s="1058">
        <f t="shared" si="54"/>
        <v>0</v>
      </c>
      <c r="E432" s="1058">
        <f t="shared" si="55"/>
        <v>0</v>
      </c>
      <c r="F432" s="1058">
        <f t="shared" si="56"/>
        <v>0</v>
      </c>
      <c r="G432" s="1058">
        <f t="shared" si="57"/>
        <v>0</v>
      </c>
      <c r="H432" s="1300">
        <v>97</v>
      </c>
      <c r="I432" s="1300">
        <f>'Emission-Waste Transport Vehicl'!N77</f>
        <v>13.640901664896001</v>
      </c>
      <c r="J432" s="1300">
        <f>'Emission-Waste Transport Vehicl'!P77</f>
        <v>7.5895704149760004</v>
      </c>
      <c r="K432" s="1300">
        <f>'Emission-Waste Transport Vehicl'!Q77</f>
        <v>5.8942737976319997</v>
      </c>
      <c r="L432" s="1300">
        <f>'Emission-Waste Transport Vehicl'!R77</f>
        <v>0.58665577766400001</v>
      </c>
      <c r="M432" s="1300">
        <f t="shared" si="52"/>
        <v>0</v>
      </c>
      <c r="N432" s="830">
        <f t="shared" si="58"/>
        <v>0</v>
      </c>
      <c r="O432" s="830">
        <f t="shared" si="59"/>
        <v>0</v>
      </c>
      <c r="P432" s="830">
        <f t="shared" si="60"/>
        <v>0</v>
      </c>
      <c r="Q432" s="830">
        <f t="shared" si="61"/>
        <v>0</v>
      </c>
      <c r="R432" s="2773"/>
    </row>
    <row r="433" spans="1:18" x14ac:dyDescent="0.25">
      <c r="A433" s="2802"/>
      <c r="B433" s="706">
        <v>2064</v>
      </c>
      <c r="C433" s="1058">
        <f t="shared" si="53"/>
        <v>0</v>
      </c>
      <c r="D433" s="1058">
        <f t="shared" si="54"/>
        <v>0</v>
      </c>
      <c r="E433" s="1058">
        <f t="shared" si="55"/>
        <v>0</v>
      </c>
      <c r="F433" s="1058">
        <f t="shared" si="56"/>
        <v>0</v>
      </c>
      <c r="G433" s="1058">
        <f t="shared" si="57"/>
        <v>0</v>
      </c>
      <c r="H433" s="1300">
        <v>97</v>
      </c>
      <c r="I433" s="1300">
        <f>'Emission-Waste Transport Vehicl'!N78</f>
        <v>13.373560857888002</v>
      </c>
      <c r="J433" s="1300">
        <f>'Emission-Waste Transport Vehicl'!P78</f>
        <v>7.4408264441280014</v>
      </c>
      <c r="K433" s="1300">
        <f>'Emission-Waste Transport Vehicl'!Q78</f>
        <v>5.7787550472960003</v>
      </c>
      <c r="L433" s="1300">
        <f>'Emission-Waste Transport Vehicl'!R78</f>
        <v>0.57515822179200005</v>
      </c>
      <c r="M433" s="1300">
        <f t="shared" si="52"/>
        <v>0</v>
      </c>
      <c r="N433" s="830">
        <f t="shared" si="58"/>
        <v>0</v>
      </c>
      <c r="O433" s="830">
        <f t="shared" si="59"/>
        <v>0</v>
      </c>
      <c r="P433" s="830">
        <f t="shared" si="60"/>
        <v>0</v>
      </c>
      <c r="Q433" s="830">
        <f t="shared" si="61"/>
        <v>0</v>
      </c>
      <c r="R433" s="2773"/>
    </row>
    <row r="434" spans="1:18" x14ac:dyDescent="0.25">
      <c r="A434" s="2802"/>
      <c r="B434" s="706">
        <v>2065</v>
      </c>
      <c r="C434" s="1058">
        <f t="shared" si="53"/>
        <v>0</v>
      </c>
      <c r="D434" s="1058">
        <f t="shared" si="54"/>
        <v>0</v>
      </c>
      <c r="E434" s="1058">
        <f t="shared" si="55"/>
        <v>0</v>
      </c>
      <c r="F434" s="1058">
        <f t="shared" si="56"/>
        <v>0</v>
      </c>
      <c r="G434" s="1058">
        <f t="shared" si="57"/>
        <v>0</v>
      </c>
      <c r="H434" s="1300">
        <v>97</v>
      </c>
      <c r="I434" s="1300">
        <f>'Emission-Waste Transport Vehicl'!N79</f>
        <v>13.112740558368001</v>
      </c>
      <c r="J434" s="1300">
        <f>'Emission-Waste Transport Vehicl'!P79</f>
        <v>7.2957103750080003</v>
      </c>
      <c r="K434" s="1300">
        <f>'Emission-Waste Transport Vehicl'!Q79</f>
        <v>5.6660538274560004</v>
      </c>
      <c r="L434" s="1300">
        <f>'Emission-Waste Transport Vehicl'!R79</f>
        <v>0.56394109411200011</v>
      </c>
      <c r="M434" s="1300">
        <f t="shared" si="52"/>
        <v>0</v>
      </c>
      <c r="N434" s="830">
        <f t="shared" si="58"/>
        <v>0</v>
      </c>
      <c r="O434" s="830">
        <f t="shared" si="59"/>
        <v>0</v>
      </c>
      <c r="P434" s="830">
        <f t="shared" si="60"/>
        <v>0</v>
      </c>
      <c r="Q434" s="830">
        <f t="shared" si="61"/>
        <v>0</v>
      </c>
      <c r="R434" s="2773"/>
    </row>
    <row r="435" spans="1:18" x14ac:dyDescent="0.25">
      <c r="A435" s="2802"/>
      <c r="B435" s="706">
        <v>2066</v>
      </c>
      <c r="C435" s="1058">
        <f t="shared" si="53"/>
        <v>0</v>
      </c>
      <c r="D435" s="1058">
        <f t="shared" si="54"/>
        <v>0</v>
      </c>
      <c r="E435" s="1058">
        <f t="shared" si="55"/>
        <v>0</v>
      </c>
      <c r="F435" s="1058">
        <f t="shared" si="56"/>
        <v>0</v>
      </c>
      <c r="G435" s="1058">
        <f t="shared" si="57"/>
        <v>0</v>
      </c>
      <c r="H435" s="1300">
        <v>97</v>
      </c>
      <c r="I435" s="1300">
        <f>'Emission-Waste Transport Vehicl'!N80</f>
        <v>12.855180512592</v>
      </c>
      <c r="J435" s="1300">
        <f>'Emission-Waste Transport Vehicl'!P80</f>
        <v>7.1524082567520004</v>
      </c>
      <c r="K435" s="1300">
        <f>'Emission-Waste Transport Vehicl'!Q80</f>
        <v>5.5547613728639993</v>
      </c>
      <c r="L435" s="1300">
        <f>'Emission-Waste Transport Vehicl'!R80</f>
        <v>0.55286418052800002</v>
      </c>
      <c r="M435" s="1300">
        <f t="shared" si="52"/>
        <v>0</v>
      </c>
      <c r="N435" s="830">
        <f t="shared" si="58"/>
        <v>0</v>
      </c>
      <c r="O435" s="830">
        <f t="shared" si="59"/>
        <v>0</v>
      </c>
      <c r="P435" s="830">
        <f t="shared" si="60"/>
        <v>0</v>
      </c>
      <c r="Q435" s="830">
        <f t="shared" si="61"/>
        <v>0</v>
      </c>
      <c r="R435" s="2773"/>
    </row>
    <row r="436" spans="1:18" x14ac:dyDescent="0.25">
      <c r="A436" s="2802"/>
      <c r="B436" s="706">
        <v>2067</v>
      </c>
      <c r="C436" s="1058">
        <f t="shared" si="53"/>
        <v>0</v>
      </c>
      <c r="D436" s="1058">
        <f t="shared" si="54"/>
        <v>0</v>
      </c>
      <c r="E436" s="1058">
        <f t="shared" si="55"/>
        <v>0</v>
      </c>
      <c r="F436" s="1058">
        <f t="shared" si="56"/>
        <v>0</v>
      </c>
      <c r="G436" s="1058">
        <f t="shared" si="57"/>
        <v>0</v>
      </c>
      <c r="H436" s="1300">
        <v>97</v>
      </c>
      <c r="I436" s="1300">
        <f>'Emission-Waste Transport Vehicl'!N81</f>
        <v>12.600880720560001</v>
      </c>
      <c r="J436" s="1300">
        <f>'Emission-Waste Transport Vehicl'!P81</f>
        <v>7.0109200893600008</v>
      </c>
      <c r="K436" s="1300">
        <f>'Emission-Waste Transport Vehicl'!Q81</f>
        <v>5.4448776835200006</v>
      </c>
      <c r="L436" s="1300">
        <f>'Emission-Waste Transport Vehicl'!R81</f>
        <v>0.5419274810400001</v>
      </c>
      <c r="M436" s="1300">
        <f t="shared" si="52"/>
        <v>0</v>
      </c>
      <c r="N436" s="830">
        <f t="shared" si="58"/>
        <v>0</v>
      </c>
      <c r="O436" s="830">
        <f t="shared" si="59"/>
        <v>0</v>
      </c>
      <c r="P436" s="830">
        <f t="shared" si="60"/>
        <v>0</v>
      </c>
      <c r="Q436" s="830">
        <f t="shared" si="61"/>
        <v>0</v>
      </c>
      <c r="R436" s="2773"/>
    </row>
    <row r="437" spans="1:18" x14ac:dyDescent="0.25">
      <c r="A437" s="2802"/>
      <c r="B437" s="706">
        <v>2068</v>
      </c>
      <c r="C437" s="1058">
        <f t="shared" si="53"/>
        <v>0</v>
      </c>
      <c r="D437" s="1058">
        <f t="shared" si="54"/>
        <v>0</v>
      </c>
      <c r="E437" s="1058">
        <f t="shared" si="55"/>
        <v>0</v>
      </c>
      <c r="F437" s="1058">
        <f t="shared" si="56"/>
        <v>0</v>
      </c>
      <c r="G437" s="1058">
        <f t="shared" si="57"/>
        <v>0</v>
      </c>
      <c r="H437" s="1300">
        <v>97</v>
      </c>
      <c r="I437" s="1300">
        <f>'Emission-Waste Transport Vehicl'!N82</f>
        <v>12.356361689760002</v>
      </c>
      <c r="J437" s="1300">
        <f>'Emission-Waste Transport Vehicl'!P82</f>
        <v>6.8748737745600002</v>
      </c>
      <c r="K437" s="1300">
        <f>'Emission-Waste Transport Vehicl'!Q82</f>
        <v>5.339220289920001</v>
      </c>
      <c r="L437" s="1300">
        <f>'Emission-Waste Transport Vehicl'!R82</f>
        <v>0.53141142384000006</v>
      </c>
      <c r="M437" s="1300">
        <f t="shared" si="52"/>
        <v>0</v>
      </c>
      <c r="N437" s="830">
        <f t="shared" si="58"/>
        <v>0</v>
      </c>
      <c r="O437" s="830">
        <f t="shared" si="59"/>
        <v>0</v>
      </c>
      <c r="P437" s="830">
        <f t="shared" si="60"/>
        <v>0</v>
      </c>
      <c r="Q437" s="830">
        <f t="shared" si="61"/>
        <v>0</v>
      </c>
      <c r="R437" s="2773"/>
    </row>
    <row r="438" spans="1:18" ht="15.75" thickBot="1" x14ac:dyDescent="0.3">
      <c r="A438" s="2807"/>
      <c r="B438" s="55">
        <v>2069</v>
      </c>
      <c r="C438" s="1058">
        <f t="shared" si="53"/>
        <v>0</v>
      </c>
      <c r="D438" s="1058">
        <f t="shared" si="54"/>
        <v>0</v>
      </c>
      <c r="E438" s="1058">
        <f>$H$20</f>
        <v>0</v>
      </c>
      <c r="F438" s="1058">
        <f t="shared" si="56"/>
        <v>0</v>
      </c>
      <c r="G438" s="1058">
        <f t="shared" si="57"/>
        <v>0</v>
      </c>
      <c r="H438" s="1301">
        <v>97</v>
      </c>
      <c r="I438" s="1301">
        <f>'Emission-Waste Transport Vehicl'!N83</f>
        <v>12.111842658960002</v>
      </c>
      <c r="J438" s="1301">
        <f>'Emission-Waste Transport Vehicl'!P83</f>
        <v>6.7388274597600004</v>
      </c>
      <c r="K438" s="1301">
        <f>'Emission-Waste Transport Vehicl'!Q83</f>
        <v>5.2335628963200005</v>
      </c>
      <c r="L438" s="1301">
        <f>'Emission-Waste Transport Vehicl'!R83</f>
        <v>0.52089536664000002</v>
      </c>
      <c r="M438" s="1301">
        <f t="shared" si="52"/>
        <v>0</v>
      </c>
      <c r="N438" s="1063">
        <f t="shared" si="58"/>
        <v>0</v>
      </c>
      <c r="O438" s="1063">
        <f t="shared" si="59"/>
        <v>0</v>
      </c>
      <c r="P438" s="1063">
        <f t="shared" si="60"/>
        <v>0</v>
      </c>
      <c r="Q438" s="1063">
        <f t="shared" si="61"/>
        <v>0</v>
      </c>
      <c r="R438" s="2774"/>
    </row>
  </sheetData>
  <mergeCells count="55">
    <mergeCell ref="A4:B4"/>
    <mergeCell ref="A3:B3"/>
    <mergeCell ref="A280:A330"/>
    <mergeCell ref="G280:G330"/>
    <mergeCell ref="A276:B276"/>
    <mergeCell ref="A13:A14"/>
    <mergeCell ref="A39:C39"/>
    <mergeCell ref="H13:L13"/>
    <mergeCell ref="H35:L35"/>
    <mergeCell ref="A24:I24"/>
    <mergeCell ref="D23:I23"/>
    <mergeCell ref="A22:I22"/>
    <mergeCell ref="D29:I29"/>
    <mergeCell ref="C13:G13"/>
    <mergeCell ref="C18:G18"/>
    <mergeCell ref="H18:L18"/>
    <mergeCell ref="D25:I25"/>
    <mergeCell ref="D26:I26"/>
    <mergeCell ref="D28:I28"/>
    <mergeCell ref="R334:R384"/>
    <mergeCell ref="A334:A384"/>
    <mergeCell ref="A386:R386"/>
    <mergeCell ref="A388:A438"/>
    <mergeCell ref="R388:R438"/>
    <mergeCell ref="A332:R332"/>
    <mergeCell ref="A43:E43"/>
    <mergeCell ref="L48:N48"/>
    <mergeCell ref="L53:N54"/>
    <mergeCell ref="L55:N55"/>
    <mergeCell ref="A49:F49"/>
    <mergeCell ref="A47:F47"/>
    <mergeCell ref="A114:D114"/>
    <mergeCell ref="A169:R169"/>
    <mergeCell ref="A171:A221"/>
    <mergeCell ref="R171:R221"/>
    <mergeCell ref="R62:R112"/>
    <mergeCell ref="A62:A112"/>
    <mergeCell ref="A223:C223"/>
    <mergeCell ref="A278:G278"/>
    <mergeCell ref="A1:I1"/>
    <mergeCell ref="A60:R60"/>
    <mergeCell ref="A8:A9"/>
    <mergeCell ref="B8:F8"/>
    <mergeCell ref="G8:K8"/>
    <mergeCell ref="A27:I27"/>
    <mergeCell ref="B32:B33"/>
    <mergeCell ref="A36:A37"/>
    <mergeCell ref="B36:B37"/>
    <mergeCell ref="C35:G35"/>
    <mergeCell ref="B13:B14"/>
    <mergeCell ref="A17:L17"/>
    <mergeCell ref="A18:A19"/>
    <mergeCell ref="B18:B19"/>
    <mergeCell ref="A56:F56"/>
    <mergeCell ref="A12:L12"/>
  </mergeCells>
  <hyperlinks>
    <hyperlink ref="D25" r:id="rId1" xr:uid="{6142DC85-4AFC-4C30-B89E-53E66A1FED8B}"/>
    <hyperlink ref="D29" r:id="rId2" xr:uid="{9682A9C3-5B6B-498B-8ED5-5B13972D92E8}"/>
    <hyperlink ref="D26" r:id="rId3" xr:uid="{07DED4B5-8A1B-498C-A9DA-EF85535A265A}"/>
  </hyperlinks>
  <pageMargins left="0.7" right="0.7" top="0.75" bottom="0.75" header="0.3" footer="0.3"/>
  <pageSetup orientation="portrait"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FEDFA8-140D-4DC5-89E1-C06C073FCDB0}">
  <dimension ref="A1:R118"/>
  <sheetViews>
    <sheetView topLeftCell="D1" workbookViewId="0">
      <selection activeCell="I68" sqref="I68:L118"/>
    </sheetView>
  </sheetViews>
  <sheetFormatPr defaultRowHeight="15" x14ac:dyDescent="0.25"/>
  <cols>
    <col min="1" max="1" width="22.42578125" style="498" customWidth="1"/>
    <col min="2" max="2" width="18.140625" style="498" customWidth="1"/>
    <col min="3" max="3" width="16.7109375" style="498" customWidth="1"/>
    <col min="4" max="4" width="12.140625" style="498" customWidth="1"/>
    <col min="5" max="5" width="10.7109375" style="498" customWidth="1"/>
    <col min="6" max="6" width="12.28515625" style="498" customWidth="1"/>
    <col min="7" max="7" width="13" style="498" customWidth="1"/>
    <col min="8" max="8" width="12.5703125" style="498" customWidth="1"/>
    <col min="9" max="9" width="14.7109375" style="498" customWidth="1"/>
    <col min="10" max="10" width="11.28515625" style="498" customWidth="1"/>
    <col min="11" max="12" width="13.85546875" style="498" customWidth="1"/>
    <col min="13" max="13" width="11.7109375" style="498" customWidth="1"/>
    <col min="14" max="17" width="9.140625" style="498"/>
    <col min="18" max="18" width="13.85546875" style="498" customWidth="1"/>
    <col min="19" max="16384" width="9.140625" style="498"/>
  </cols>
  <sheetData>
    <row r="1" spans="1:18" ht="39" customHeight="1" thickBot="1" x14ac:dyDescent="0.3">
      <c r="A1" s="2627" t="s">
        <v>1333</v>
      </c>
      <c r="B1" s="2550"/>
      <c r="C1" s="2550"/>
      <c r="D1" s="2550"/>
      <c r="E1" s="2550"/>
      <c r="F1" s="2550"/>
      <c r="G1" s="2550"/>
      <c r="H1" s="2550"/>
      <c r="I1" s="2550"/>
      <c r="J1" s="2550"/>
      <c r="K1" s="2550"/>
      <c r="L1" s="2550"/>
      <c r="M1" s="2551"/>
    </row>
    <row r="2" spans="1:18" ht="30.75" customHeight="1" thickBot="1" x14ac:dyDescent="0.3">
      <c r="A2" s="2549" t="s">
        <v>1148</v>
      </c>
      <c r="B2" s="2550"/>
      <c r="C2" s="2550"/>
      <c r="D2" s="2550"/>
      <c r="E2" s="2550"/>
      <c r="F2" s="2550"/>
      <c r="G2" s="2550"/>
      <c r="H2" s="2550"/>
      <c r="I2" s="2550"/>
      <c r="J2" s="2550"/>
      <c r="K2" s="2550"/>
      <c r="L2" s="2550"/>
      <c r="M2" s="2551"/>
    </row>
    <row r="3" spans="1:18" ht="60" x14ac:dyDescent="0.25">
      <c r="A3" s="595" t="s">
        <v>1127</v>
      </c>
      <c r="B3" s="1011" t="s">
        <v>1128</v>
      </c>
      <c r="C3" s="1011" t="s">
        <v>1462</v>
      </c>
      <c r="D3" s="2612" t="s">
        <v>1484</v>
      </c>
      <c r="E3" s="2612"/>
      <c r="F3" s="2612"/>
      <c r="G3" s="2612"/>
      <c r="H3" s="2612"/>
      <c r="I3" s="2612" t="s">
        <v>1110</v>
      </c>
      <c r="J3" s="2612"/>
      <c r="K3" s="2612"/>
      <c r="L3" s="2612"/>
      <c r="M3" s="2864"/>
    </row>
    <row r="4" spans="1:18" ht="18" x14ac:dyDescent="0.25">
      <c r="A4" s="2865">
        <f>' QUICK OVERVIEW- Inputs&amp;Outputs'!$W$12</f>
        <v>30111920694.219849</v>
      </c>
      <c r="B4" s="2867">
        <f>(4.75/100)*A4</f>
        <v>1430316232.9754429</v>
      </c>
      <c r="C4" s="2869">
        <f>B4*0.000293071</f>
        <v>419184.20871434599</v>
      </c>
      <c r="D4" s="1007" t="s">
        <v>380</v>
      </c>
      <c r="E4" s="1007" t="s">
        <v>1040</v>
      </c>
      <c r="F4" s="1007" t="s">
        <v>329</v>
      </c>
      <c r="G4" s="1007" t="s">
        <v>330</v>
      </c>
      <c r="H4" s="1007" t="s">
        <v>77</v>
      </c>
      <c r="I4" s="1007" t="s">
        <v>380</v>
      </c>
      <c r="J4" s="1007" t="s">
        <v>1040</v>
      </c>
      <c r="K4" s="1007" t="s">
        <v>329</v>
      </c>
      <c r="L4" s="1007" t="s">
        <v>330</v>
      </c>
      <c r="M4" s="961" t="s">
        <v>77</v>
      </c>
    </row>
    <row r="5" spans="1:18" ht="15.75" thickBot="1" x14ac:dyDescent="0.3">
      <c r="A5" s="2866"/>
      <c r="B5" s="2868"/>
      <c r="C5" s="2870"/>
      <c r="D5" s="1482">
        <v>0.34760000000000002</v>
      </c>
      <c r="E5" s="890">
        <v>1.573</v>
      </c>
      <c r="F5" s="890">
        <v>9.2999999999999999E-2</v>
      </c>
      <c r="G5" s="890">
        <v>2.5000000000000001E-2</v>
      </c>
      <c r="H5" s="1483">
        <v>16.7</v>
      </c>
      <c r="I5" s="586">
        <f>((C4*D5)/1000)/2.2</f>
        <v>66.231104976866661</v>
      </c>
      <c r="J5" s="586">
        <f>((C4*E5)/1000)/2.2</f>
        <v>299.71670923075737</v>
      </c>
      <c r="K5" s="586">
        <f>((C4*F5)/1000)/2.2</f>
        <v>17.720059732015535</v>
      </c>
      <c r="L5" s="586">
        <f>((C4*G5)/1000)/2.2</f>
        <v>4.7634569172084777</v>
      </c>
      <c r="M5" s="587">
        <f>((C4*H5)/1000)/2.2</f>
        <v>3181.9892206952627</v>
      </c>
    </row>
    <row r="6" spans="1:18" ht="15.75" thickBot="1" x14ac:dyDescent="0.3">
      <c r="A6" s="1132"/>
      <c r="B6" s="1132"/>
      <c r="C6" s="788"/>
      <c r="D6" s="738"/>
      <c r="E6" s="738"/>
      <c r="F6" s="738"/>
      <c r="G6" s="738"/>
      <c r="H6" s="738"/>
      <c r="I6" s="787"/>
      <c r="J6" s="787"/>
      <c r="K6" s="787"/>
      <c r="L6" s="787"/>
      <c r="M6" s="787"/>
    </row>
    <row r="7" spans="1:18" ht="29.25" customHeight="1" x14ac:dyDescent="0.25">
      <c r="A7" s="2874" t="s">
        <v>1146</v>
      </c>
      <c r="B7" s="2875"/>
      <c r="C7" s="2875"/>
      <c r="D7" s="2875"/>
      <c r="E7" s="2875"/>
      <c r="F7" s="2875"/>
      <c r="G7" s="2875"/>
      <c r="H7" s="2875"/>
      <c r="I7" s="2875"/>
      <c r="J7" s="2875"/>
      <c r="K7" s="2875"/>
      <c r="L7" s="2875"/>
      <c r="M7" s="2876"/>
    </row>
    <row r="8" spans="1:18" ht="45" x14ac:dyDescent="0.25">
      <c r="A8" s="445" t="s">
        <v>1127</v>
      </c>
      <c r="B8" s="23" t="s">
        <v>1128</v>
      </c>
      <c r="C8" s="23" t="s">
        <v>331</v>
      </c>
      <c r="D8" s="2877" t="s">
        <v>1324</v>
      </c>
      <c r="E8" s="2877"/>
      <c r="F8" s="2877"/>
      <c r="G8" s="2877"/>
      <c r="H8" s="2877"/>
      <c r="I8" s="2877" t="s">
        <v>1110</v>
      </c>
      <c r="J8" s="2877"/>
      <c r="K8" s="2877"/>
      <c r="L8" s="2877"/>
      <c r="M8" s="2878"/>
    </row>
    <row r="9" spans="1:18" ht="18" x14ac:dyDescent="0.25">
      <c r="A9" s="2865">
        <f>' QUICK OVERVIEW- Inputs&amp;Outputs'!$W$12*0.5</f>
        <v>15055960347.109924</v>
      </c>
      <c r="B9" s="2867">
        <f>(4.75/100)*A9</f>
        <v>715158116.48772144</v>
      </c>
      <c r="C9" s="2869">
        <f>B9*0.000293071</f>
        <v>209592.104357173</v>
      </c>
      <c r="D9" s="1007" t="s">
        <v>380</v>
      </c>
      <c r="E9" s="1007" t="s">
        <v>1040</v>
      </c>
      <c r="F9" s="1007" t="s">
        <v>329</v>
      </c>
      <c r="G9" s="1007" t="s">
        <v>330</v>
      </c>
      <c r="H9" s="1007" t="s">
        <v>77</v>
      </c>
      <c r="I9" s="1007" t="s">
        <v>380</v>
      </c>
      <c r="J9" s="1007" t="s">
        <v>1040</v>
      </c>
      <c r="K9" s="1007" t="s">
        <v>329</v>
      </c>
      <c r="L9" s="1007" t="s">
        <v>330</v>
      </c>
      <c r="M9" s="961" t="s">
        <v>77</v>
      </c>
    </row>
    <row r="10" spans="1:18" ht="15.75" thickBot="1" x14ac:dyDescent="0.3">
      <c r="A10" s="2866"/>
      <c r="B10" s="2868"/>
      <c r="C10" s="2870"/>
      <c r="D10" s="776">
        <f>(3+2)/2</f>
        <v>2.5</v>
      </c>
      <c r="E10" s="776">
        <f>(0.024+0.03)/2</f>
        <v>2.7E-2</v>
      </c>
      <c r="F10" s="776">
        <f>(1.6+0.12)/2</f>
        <v>0.8600000000000001</v>
      </c>
      <c r="G10" s="776">
        <f>(0.5+0.3)/2</f>
        <v>0.4</v>
      </c>
      <c r="H10" s="776">
        <f>938</f>
        <v>938</v>
      </c>
      <c r="I10" s="586">
        <f>((C9*D10)/1000)/2.2</f>
        <v>238.17284586042385</v>
      </c>
      <c r="J10" s="586">
        <f>((C9*E10)/1000)/2.2</f>
        <v>2.5722667352925779</v>
      </c>
      <c r="K10" s="586">
        <f>((C9*F10)/1000)/2.2</f>
        <v>81.931458975985805</v>
      </c>
      <c r="L10" s="586">
        <f>((C9*G10)/1000)/2.2</f>
        <v>38.107655337667822</v>
      </c>
      <c r="M10" s="587">
        <f>((C9*H10)/1000)/2.2</f>
        <v>89362.451766831029</v>
      </c>
    </row>
    <row r="11" spans="1:18" ht="15.75" thickBot="1" x14ac:dyDescent="0.3"/>
    <row r="12" spans="1:18" ht="56.25" customHeight="1" thickBot="1" x14ac:dyDescent="0.3">
      <c r="A12" s="2627" t="s">
        <v>1321</v>
      </c>
      <c r="B12" s="2628"/>
      <c r="C12" s="2628"/>
      <c r="D12" s="2628"/>
      <c r="E12" s="2628"/>
      <c r="F12" s="2628"/>
      <c r="G12" s="2628"/>
      <c r="H12" s="2628"/>
      <c r="I12" s="2628"/>
      <c r="J12" s="2628"/>
      <c r="K12" s="2628"/>
      <c r="L12" s="2628"/>
      <c r="M12" s="2628"/>
      <c r="N12" s="2628"/>
      <c r="O12" s="2628"/>
      <c r="P12" s="2628"/>
      <c r="Q12" s="2628"/>
      <c r="R12" s="2629"/>
    </row>
    <row r="13" spans="1:18" ht="135.75" thickBot="1" x14ac:dyDescent="0.3">
      <c r="A13" s="1009" t="s">
        <v>1130</v>
      </c>
      <c r="B13" s="1022" t="s">
        <v>177</v>
      </c>
      <c r="C13" s="1010" t="s">
        <v>1244</v>
      </c>
      <c r="D13" s="1010" t="s">
        <v>1103</v>
      </c>
      <c r="E13" s="1010" t="s">
        <v>1104</v>
      </c>
      <c r="F13" s="1010" t="s">
        <v>1241</v>
      </c>
      <c r="G13" s="1010" t="s">
        <v>1242</v>
      </c>
      <c r="H13" s="128" t="s">
        <v>272</v>
      </c>
      <c r="I13" s="1010" t="s">
        <v>1080</v>
      </c>
      <c r="J13" s="1010" t="s">
        <v>273</v>
      </c>
      <c r="K13" s="1010" t="s">
        <v>455</v>
      </c>
      <c r="L13" s="1010" t="s">
        <v>274</v>
      </c>
      <c r="M13" s="1010" t="s">
        <v>1117</v>
      </c>
      <c r="N13" s="1010" t="s">
        <v>1079</v>
      </c>
      <c r="O13" s="1010" t="s">
        <v>271</v>
      </c>
      <c r="P13" s="1010" t="s">
        <v>277</v>
      </c>
      <c r="Q13" s="1010" t="s">
        <v>278</v>
      </c>
      <c r="R13" s="83" t="s">
        <v>316</v>
      </c>
    </row>
    <row r="14" spans="1:18" x14ac:dyDescent="0.25">
      <c r="A14" s="2806" t="s">
        <v>1824</v>
      </c>
      <c r="B14" s="888">
        <v>2019</v>
      </c>
      <c r="C14" s="1058">
        <f>$M$5</f>
        <v>3181.9892206952627</v>
      </c>
      <c r="D14" s="1058">
        <f>$L$5</f>
        <v>4.7634569172084777</v>
      </c>
      <c r="E14" s="1058">
        <f>$I$5</f>
        <v>66.231104976866661</v>
      </c>
      <c r="F14" s="1058">
        <f>$J$5</f>
        <v>299.71670923075737</v>
      </c>
      <c r="G14" s="1058">
        <f>$K$5</f>
        <v>17.720059732015535</v>
      </c>
      <c r="H14" s="881">
        <v>62</v>
      </c>
      <c r="I14" s="1056">
        <f>'Emission-Waste Transport Vehicl'!N33</f>
        <v>32.602537440000006</v>
      </c>
      <c r="J14" s="1056">
        <f>'Emission-Waste Transport Vehicl'!P33</f>
        <v>18.139508640000003</v>
      </c>
      <c r="K14" s="1056">
        <f>'Emission-Waste Transport Vehicl'!Q33</f>
        <v>14.087652480000001</v>
      </c>
      <c r="L14" s="1056">
        <f>'Emission-Waste Transport Vehicl'!R33</f>
        <v>1.4021409600000001</v>
      </c>
      <c r="M14" s="1056">
        <f>(C14/1000)*H14</f>
        <v>197.2833316831063</v>
      </c>
      <c r="N14" s="1057">
        <f t="shared" ref="N14:N45" si="0">D14*I14</f>
        <v>155.30078248711641</v>
      </c>
      <c r="O14" s="1057">
        <f t="shared" ref="O14:O45" si="1">E14*J14</f>
        <v>1201.39970096462</v>
      </c>
      <c r="P14" s="1057">
        <f t="shared" ref="P14:P45" si="2">F14*K14</f>
        <v>4222.3048420921186</v>
      </c>
      <c r="Q14" s="1057">
        <f t="shared" ref="Q14:Q45" si="3">G14*L14</f>
        <v>24.846021563905609</v>
      </c>
      <c r="R14" s="2772">
        <f>(SUM(M14:M64)*1.2682)+(SUM(N14:N64))+(SUM(O14:O64))+(SUM(P14:P64))+(SUM(Q14:Q64))</f>
        <v>199426.58242799796</v>
      </c>
    </row>
    <row r="15" spans="1:18" x14ac:dyDescent="0.25">
      <c r="A15" s="2802"/>
      <c r="B15" s="706">
        <v>2020</v>
      </c>
      <c r="C15" s="1058">
        <f t="shared" ref="C15:C64" si="4">$M$5</f>
        <v>3181.9892206952627</v>
      </c>
      <c r="D15" s="1058">
        <f t="shared" ref="D15:D64" si="5">$L$5</f>
        <v>4.7634569172084777</v>
      </c>
      <c r="E15" s="1058">
        <f t="shared" ref="E15:E64" si="6">$I$5</f>
        <v>66.231104976866661</v>
      </c>
      <c r="F15" s="1058">
        <f t="shared" ref="F15:F64" si="7">$J$5</f>
        <v>299.71670923075737</v>
      </c>
      <c r="G15" s="1058">
        <f t="shared" ref="G15:G64" si="8">$K$5</f>
        <v>17.720059732015535</v>
      </c>
      <c r="H15" s="775">
        <v>64</v>
      </c>
      <c r="I15" s="827">
        <f>'Emission-Waste Transport Vehicl'!N34</f>
        <v>31.963527706176006</v>
      </c>
      <c r="J15" s="827">
        <f>'Emission-Waste Transport Vehicl'!P34</f>
        <v>17.783974270656003</v>
      </c>
      <c r="K15" s="827">
        <f>'Emission-Waste Transport Vehicl'!Q34</f>
        <v>13.811534491392001</v>
      </c>
      <c r="L15" s="827">
        <f>'Emission-Waste Transport Vehicl'!R34</f>
        <v>1.3746589971840002</v>
      </c>
      <c r="M15" s="827">
        <f t="shared" ref="M15:M45" si="9">(C15/1000)*H15</f>
        <v>203.64731012449681</v>
      </c>
      <c r="N15" s="830">
        <f t="shared" si="0"/>
        <v>152.25688715036893</v>
      </c>
      <c r="O15" s="830">
        <f t="shared" si="1"/>
        <v>1177.8522668257135</v>
      </c>
      <c r="P15" s="830">
        <f t="shared" si="2"/>
        <v>4139.5476671871129</v>
      </c>
      <c r="Q15" s="830">
        <f t="shared" si="3"/>
        <v>24.359039541253058</v>
      </c>
      <c r="R15" s="2773"/>
    </row>
    <row r="16" spans="1:18" x14ac:dyDescent="0.25">
      <c r="A16" s="2802"/>
      <c r="B16" s="706">
        <v>2021</v>
      </c>
      <c r="C16" s="1058">
        <f t="shared" si="4"/>
        <v>3181.9892206952627</v>
      </c>
      <c r="D16" s="1058">
        <f t="shared" si="5"/>
        <v>4.7634569172084777</v>
      </c>
      <c r="E16" s="1058">
        <f t="shared" si="6"/>
        <v>66.231104976866661</v>
      </c>
      <c r="F16" s="1058">
        <f t="shared" si="7"/>
        <v>299.71670923075737</v>
      </c>
      <c r="G16" s="1058">
        <f t="shared" si="8"/>
        <v>17.720059732015535</v>
      </c>
      <c r="H16" s="775">
        <v>65</v>
      </c>
      <c r="I16" s="827">
        <f>'Emission-Waste Transport Vehicl'!N35</f>
        <v>31.337558987328006</v>
      </c>
      <c r="J16" s="827">
        <f>'Emission-Waste Transport Vehicl'!P35</f>
        <v>17.435695704768001</v>
      </c>
      <c r="K16" s="827">
        <f>'Emission-Waste Transport Vehicl'!Q35</f>
        <v>13.541051563776001</v>
      </c>
      <c r="L16" s="827">
        <f>'Emission-Waste Transport Vehicl'!R35</f>
        <v>1.3477378907520003</v>
      </c>
      <c r="M16" s="827">
        <f t="shared" si="9"/>
        <v>206.82929934519208</v>
      </c>
      <c r="N16" s="830">
        <f t="shared" si="0"/>
        <v>149.27511212661628</v>
      </c>
      <c r="O16" s="830">
        <f t="shared" si="1"/>
        <v>1154.7853925671927</v>
      </c>
      <c r="P16" s="830">
        <f t="shared" si="2"/>
        <v>4058.4794142189444</v>
      </c>
      <c r="Q16" s="830">
        <f t="shared" si="3"/>
        <v>23.881995927226075</v>
      </c>
      <c r="R16" s="2773"/>
    </row>
    <row r="17" spans="1:18" x14ac:dyDescent="0.25">
      <c r="A17" s="2802"/>
      <c r="B17" s="706">
        <v>2022</v>
      </c>
      <c r="C17" s="1058">
        <f t="shared" si="4"/>
        <v>3181.9892206952627</v>
      </c>
      <c r="D17" s="1058">
        <f t="shared" si="5"/>
        <v>4.7634569172084777</v>
      </c>
      <c r="E17" s="1058">
        <f t="shared" si="6"/>
        <v>66.231104976866661</v>
      </c>
      <c r="F17" s="1058">
        <f t="shared" si="7"/>
        <v>299.71670923075737</v>
      </c>
      <c r="G17" s="1058">
        <f t="shared" si="8"/>
        <v>17.720059732015535</v>
      </c>
      <c r="H17" s="775">
        <v>66</v>
      </c>
      <c r="I17" s="827">
        <f>'Emission-Waste Transport Vehicl'!N36</f>
        <v>30.721371029712003</v>
      </c>
      <c r="J17" s="827">
        <f>'Emission-Waste Transport Vehicl'!P36</f>
        <v>17.092858991472003</v>
      </c>
      <c r="K17" s="827">
        <f>'Emission-Waste Transport Vehicl'!Q36</f>
        <v>13.274794931903999</v>
      </c>
      <c r="L17" s="827">
        <f>'Emission-Waste Transport Vehicl'!R36</f>
        <v>1.3212374266080003</v>
      </c>
      <c r="M17" s="827">
        <f t="shared" si="9"/>
        <v>210.01128856588733</v>
      </c>
      <c r="N17" s="830">
        <f t="shared" si="0"/>
        <v>146.33992733760977</v>
      </c>
      <c r="O17" s="830">
        <f t="shared" si="1"/>
        <v>1132.0789382189614</v>
      </c>
      <c r="P17" s="830">
        <f t="shared" si="2"/>
        <v>3978.6778527034026</v>
      </c>
      <c r="Q17" s="830">
        <f t="shared" si="3"/>
        <v>23.412406119668258</v>
      </c>
      <c r="R17" s="2773"/>
    </row>
    <row r="18" spans="1:18" x14ac:dyDescent="0.25">
      <c r="A18" s="2802"/>
      <c r="B18" s="706">
        <v>2023</v>
      </c>
      <c r="C18" s="1058">
        <f t="shared" si="4"/>
        <v>3181.9892206952627</v>
      </c>
      <c r="D18" s="1058">
        <f t="shared" si="5"/>
        <v>4.7634569172084777</v>
      </c>
      <c r="E18" s="1058">
        <f t="shared" si="6"/>
        <v>66.231104976866661</v>
      </c>
      <c r="F18" s="1058">
        <f t="shared" si="7"/>
        <v>299.71670923075737</v>
      </c>
      <c r="G18" s="1058">
        <f t="shared" si="8"/>
        <v>17.720059732015535</v>
      </c>
      <c r="H18" s="775">
        <v>67</v>
      </c>
      <c r="I18" s="827">
        <f>'Emission-Waste Transport Vehicl'!N37</f>
        <v>30.118224087072001</v>
      </c>
      <c r="J18" s="827">
        <f>'Emission-Waste Transport Vehicl'!P37</f>
        <v>16.757278081632002</v>
      </c>
      <c r="K18" s="827">
        <f>'Emission-Waste Transport Vehicl'!Q37</f>
        <v>13.014173361024</v>
      </c>
      <c r="L18" s="827">
        <f>'Emission-Waste Transport Vehicl'!R37</f>
        <v>1.295297818848</v>
      </c>
      <c r="M18" s="827">
        <f t="shared" si="9"/>
        <v>213.1932777865826</v>
      </c>
      <c r="N18" s="830">
        <f t="shared" si="0"/>
        <v>143.46686286159812</v>
      </c>
      <c r="O18" s="830">
        <f t="shared" si="1"/>
        <v>1109.8530437511158</v>
      </c>
      <c r="P18" s="830">
        <f t="shared" si="2"/>
        <v>3900.5652131246984</v>
      </c>
      <c r="Q18" s="830">
        <f t="shared" si="3"/>
        <v>22.952754720735999</v>
      </c>
      <c r="R18" s="2773"/>
    </row>
    <row r="19" spans="1:18" x14ac:dyDescent="0.25">
      <c r="A19" s="2802"/>
      <c r="B19" s="706">
        <v>2024</v>
      </c>
      <c r="C19" s="1058">
        <f t="shared" si="4"/>
        <v>3181.9892206952627</v>
      </c>
      <c r="D19" s="1058">
        <f t="shared" si="5"/>
        <v>4.7634569172084777</v>
      </c>
      <c r="E19" s="1058">
        <f t="shared" si="6"/>
        <v>66.231104976866661</v>
      </c>
      <c r="F19" s="1058">
        <f t="shared" si="7"/>
        <v>299.71670923075737</v>
      </c>
      <c r="G19" s="1058">
        <f t="shared" si="8"/>
        <v>17.720059732015535</v>
      </c>
      <c r="H19" s="775">
        <v>68</v>
      </c>
      <c r="I19" s="827">
        <f>'Emission-Waste Transport Vehicl'!N38</f>
        <v>29.528118159408002</v>
      </c>
      <c r="J19" s="827">
        <f>'Emission-Waste Transport Vehicl'!P38</f>
        <v>16.428952975248002</v>
      </c>
      <c r="K19" s="827">
        <f>'Emission-Waste Transport Vehicl'!Q38</f>
        <v>12.759186851135999</v>
      </c>
      <c r="L19" s="827">
        <f>'Emission-Waste Transport Vehicl'!R38</f>
        <v>1.269919067472</v>
      </c>
      <c r="M19" s="827">
        <f t="shared" si="9"/>
        <v>216.37526700727787</v>
      </c>
      <c r="N19" s="830">
        <f t="shared" si="0"/>
        <v>140.6559186985813</v>
      </c>
      <c r="O19" s="830">
        <f t="shared" si="1"/>
        <v>1088.1077091636562</v>
      </c>
      <c r="P19" s="830">
        <f t="shared" si="2"/>
        <v>3824.141495482831</v>
      </c>
      <c r="Q19" s="830">
        <f t="shared" si="3"/>
        <v>22.503041730429306</v>
      </c>
      <c r="R19" s="2773"/>
    </row>
    <row r="20" spans="1:18" x14ac:dyDescent="0.25">
      <c r="A20" s="2802"/>
      <c r="B20" s="706">
        <v>2025</v>
      </c>
      <c r="C20" s="1058">
        <f t="shared" si="4"/>
        <v>3181.9892206952627</v>
      </c>
      <c r="D20" s="1058">
        <f t="shared" si="5"/>
        <v>4.7634569172084777</v>
      </c>
      <c r="E20" s="1058">
        <f t="shared" si="6"/>
        <v>66.231104976866661</v>
      </c>
      <c r="F20" s="1058">
        <f t="shared" si="7"/>
        <v>299.71670923075737</v>
      </c>
      <c r="G20" s="1058">
        <f t="shared" si="8"/>
        <v>17.720059732015535</v>
      </c>
      <c r="H20" s="775">
        <v>69</v>
      </c>
      <c r="I20" s="827">
        <f>'Emission-Waste Transport Vehicl'!N39</f>
        <v>28.951053246720004</v>
      </c>
      <c r="J20" s="827">
        <f>'Emission-Waste Transport Vehicl'!P39</f>
        <v>16.10788367232</v>
      </c>
      <c r="K20" s="827">
        <f>'Emission-Waste Transport Vehicl'!Q39</f>
        <v>12.50983540224</v>
      </c>
      <c r="L20" s="827">
        <f>'Emission-Waste Transport Vehicl'!R39</f>
        <v>1.2451011724800001</v>
      </c>
      <c r="M20" s="827">
        <f t="shared" si="9"/>
        <v>219.55725622797311</v>
      </c>
      <c r="N20" s="830">
        <f t="shared" si="0"/>
        <v>137.90709484855935</v>
      </c>
      <c r="O20" s="830">
        <f t="shared" si="1"/>
        <v>1066.8429344565823</v>
      </c>
      <c r="P20" s="830">
        <f t="shared" si="2"/>
        <v>3749.4066997778009</v>
      </c>
      <c r="Q20" s="830">
        <f t="shared" si="3"/>
        <v>22.063267148748178</v>
      </c>
      <c r="R20" s="2773"/>
    </row>
    <row r="21" spans="1:18" x14ac:dyDescent="0.25">
      <c r="A21" s="2802"/>
      <c r="B21" s="706">
        <v>2026</v>
      </c>
      <c r="C21" s="1058">
        <f t="shared" si="4"/>
        <v>3181.9892206952627</v>
      </c>
      <c r="D21" s="1058">
        <f t="shared" si="5"/>
        <v>4.7634569172084777</v>
      </c>
      <c r="E21" s="1058">
        <f t="shared" si="6"/>
        <v>66.231104976866661</v>
      </c>
      <c r="F21" s="1058">
        <f t="shared" si="7"/>
        <v>299.71670923075737</v>
      </c>
      <c r="G21" s="1058">
        <f t="shared" si="8"/>
        <v>17.720059732015535</v>
      </c>
      <c r="H21" s="775">
        <v>70</v>
      </c>
      <c r="I21" s="827">
        <f>'Emission-Waste Transport Vehicl'!N40</f>
        <v>28.383769095264007</v>
      </c>
      <c r="J21" s="827">
        <f>'Emission-Waste Transport Vehicl'!P40</f>
        <v>15.792256221984003</v>
      </c>
      <c r="K21" s="827">
        <f>'Emission-Waste Transport Vehicl'!Q40</f>
        <v>12.264710249088001</v>
      </c>
      <c r="L21" s="827">
        <f>'Emission-Waste Transport Vehicl'!R40</f>
        <v>1.2207039197760001</v>
      </c>
      <c r="M21" s="827">
        <f t="shared" si="9"/>
        <v>222.73924544866838</v>
      </c>
      <c r="N21" s="830">
        <f t="shared" si="0"/>
        <v>135.20486123328357</v>
      </c>
      <c r="O21" s="830">
        <f t="shared" si="1"/>
        <v>1045.9385796597983</v>
      </c>
      <c r="P21" s="830">
        <f t="shared" si="2"/>
        <v>3675.9385955253983</v>
      </c>
      <c r="Q21" s="830">
        <f t="shared" si="3"/>
        <v>21.630946373536222</v>
      </c>
      <c r="R21" s="2773"/>
    </row>
    <row r="22" spans="1:18" x14ac:dyDescent="0.25">
      <c r="A22" s="2802"/>
      <c r="B22" s="706">
        <v>2027</v>
      </c>
      <c r="C22" s="1058">
        <f t="shared" si="4"/>
        <v>3181.9892206952627</v>
      </c>
      <c r="D22" s="1058">
        <f t="shared" si="5"/>
        <v>4.7634569172084777</v>
      </c>
      <c r="E22" s="1058">
        <f t="shared" si="6"/>
        <v>66.231104976866661</v>
      </c>
      <c r="F22" s="1058">
        <f t="shared" si="7"/>
        <v>299.71670923075737</v>
      </c>
      <c r="G22" s="1058">
        <f t="shared" si="8"/>
        <v>17.720059732015535</v>
      </c>
      <c r="H22" s="775">
        <v>71</v>
      </c>
      <c r="I22" s="827">
        <f>'Emission-Waste Transport Vehicl'!N41</f>
        <v>27.826265705040004</v>
      </c>
      <c r="J22" s="827">
        <f>'Emission-Waste Transport Vehicl'!P41</f>
        <v>15.482070624240002</v>
      </c>
      <c r="K22" s="827">
        <f>'Emission-Waste Transport Vehicl'!Q41</f>
        <v>12.023811391680001</v>
      </c>
      <c r="L22" s="827">
        <f>'Emission-Waste Transport Vehicl'!R41</f>
        <v>1.1967273093600002</v>
      </c>
      <c r="M22" s="827">
        <f t="shared" si="9"/>
        <v>225.92123466936366</v>
      </c>
      <c r="N22" s="830">
        <f t="shared" si="0"/>
        <v>132.54921785275386</v>
      </c>
      <c r="O22" s="830">
        <f t="shared" si="1"/>
        <v>1025.3946447733031</v>
      </c>
      <c r="P22" s="830">
        <f t="shared" si="2"/>
        <v>3603.7371827256229</v>
      </c>
      <c r="Q22" s="830">
        <f t="shared" si="3"/>
        <v>21.206079404793439</v>
      </c>
      <c r="R22" s="2773"/>
    </row>
    <row r="23" spans="1:18" x14ac:dyDescent="0.25">
      <c r="A23" s="2802"/>
      <c r="B23" s="706">
        <v>2028</v>
      </c>
      <c r="C23" s="1058">
        <f t="shared" si="4"/>
        <v>3181.9892206952627</v>
      </c>
      <c r="D23" s="1058">
        <f t="shared" si="5"/>
        <v>4.7634569172084777</v>
      </c>
      <c r="E23" s="1058">
        <f t="shared" si="6"/>
        <v>66.231104976866661</v>
      </c>
      <c r="F23" s="1058">
        <f t="shared" si="7"/>
        <v>299.71670923075737</v>
      </c>
      <c r="G23" s="1058">
        <f t="shared" si="8"/>
        <v>17.720059732015535</v>
      </c>
      <c r="H23" s="775">
        <v>72</v>
      </c>
      <c r="I23" s="827">
        <f>'Emission-Waste Transport Vehicl'!N42</f>
        <v>27.281803329792002</v>
      </c>
      <c r="J23" s="827">
        <f>'Emission-Waste Transport Vehicl'!P42</f>
        <v>15.179140829952001</v>
      </c>
      <c r="K23" s="827">
        <f>'Emission-Waste Transport Vehicl'!Q42</f>
        <v>11.788547595263999</v>
      </c>
      <c r="L23" s="827">
        <f>'Emission-Waste Transport Vehicl'!R42</f>
        <v>1.173311555328</v>
      </c>
      <c r="M23" s="827">
        <f t="shared" si="9"/>
        <v>229.10322389005893</v>
      </c>
      <c r="N23" s="830">
        <f t="shared" si="0"/>
        <v>129.95569478521898</v>
      </c>
      <c r="O23" s="830">
        <f t="shared" si="1"/>
        <v>1005.3312697671939</v>
      </c>
      <c r="P23" s="830">
        <f t="shared" si="2"/>
        <v>3533.2246918626843</v>
      </c>
      <c r="Q23" s="830">
        <f t="shared" si="3"/>
        <v>20.79115084467621</v>
      </c>
      <c r="R23" s="2773"/>
    </row>
    <row r="24" spans="1:18" x14ac:dyDescent="0.25">
      <c r="A24" s="2802"/>
      <c r="B24" s="706">
        <v>2029</v>
      </c>
      <c r="C24" s="1058">
        <f t="shared" si="4"/>
        <v>3181.9892206952627</v>
      </c>
      <c r="D24" s="1058">
        <f t="shared" si="5"/>
        <v>4.7634569172084777</v>
      </c>
      <c r="E24" s="1058">
        <f t="shared" si="6"/>
        <v>66.231104976866661</v>
      </c>
      <c r="F24" s="1058">
        <f t="shared" si="7"/>
        <v>299.71670923075737</v>
      </c>
      <c r="G24" s="1058">
        <f t="shared" si="8"/>
        <v>17.720059732015535</v>
      </c>
      <c r="H24" s="775">
        <v>73</v>
      </c>
      <c r="I24" s="827">
        <f>'Emission-Waste Transport Vehicl'!N43</f>
        <v>26.743861462032005</v>
      </c>
      <c r="J24" s="827">
        <f>'Emission-Waste Transport Vehicl'!P43</f>
        <v>14.879838937392002</v>
      </c>
      <c r="K24" s="827">
        <f>'Emission-Waste Transport Vehicl'!Q43</f>
        <v>11.556101329344001</v>
      </c>
      <c r="L24" s="827">
        <f>'Emission-Waste Transport Vehicl'!R43</f>
        <v>1.1501762294880002</v>
      </c>
      <c r="M24" s="827">
        <f t="shared" si="9"/>
        <v>232.28521311075417</v>
      </c>
      <c r="N24" s="830">
        <f t="shared" si="0"/>
        <v>127.39323187418158</v>
      </c>
      <c r="O24" s="830">
        <f t="shared" si="1"/>
        <v>985.50817470127777</v>
      </c>
      <c r="P24" s="830">
        <f t="shared" si="2"/>
        <v>3463.5566619681645</v>
      </c>
      <c r="Q24" s="830">
        <f t="shared" si="3"/>
        <v>20.381191488871771</v>
      </c>
      <c r="R24" s="2773"/>
    </row>
    <row r="25" spans="1:18" x14ac:dyDescent="0.25">
      <c r="A25" s="2802"/>
      <c r="B25" s="706">
        <v>2030</v>
      </c>
      <c r="C25" s="1058">
        <f t="shared" si="4"/>
        <v>3181.9892206952627</v>
      </c>
      <c r="D25" s="1058">
        <f t="shared" si="5"/>
        <v>4.7634569172084777</v>
      </c>
      <c r="E25" s="1058">
        <f t="shared" si="6"/>
        <v>66.231104976866661</v>
      </c>
      <c r="F25" s="1058">
        <f t="shared" si="7"/>
        <v>299.71670923075737</v>
      </c>
      <c r="G25" s="1058">
        <f t="shared" si="8"/>
        <v>17.720059732015535</v>
      </c>
      <c r="H25" s="775">
        <v>75</v>
      </c>
      <c r="I25" s="827">
        <f>'Emission-Waste Transport Vehicl'!N44</f>
        <v>26.222220862992003</v>
      </c>
      <c r="J25" s="827">
        <f>'Emission-Waste Transport Vehicl'!P44</f>
        <v>14.589606799152003</v>
      </c>
      <c r="K25" s="827">
        <f>'Emission-Waste Transport Vehicl'!Q44</f>
        <v>11.330698889664001</v>
      </c>
      <c r="L25" s="827">
        <f>'Emission-Waste Transport Vehicl'!R44</f>
        <v>1.1277419741280001</v>
      </c>
      <c r="M25" s="827">
        <f t="shared" si="9"/>
        <v>238.64919155214471</v>
      </c>
      <c r="N25" s="830">
        <f t="shared" si="0"/>
        <v>124.90841935438772</v>
      </c>
      <c r="O25" s="830">
        <f t="shared" si="1"/>
        <v>966.28577948584393</v>
      </c>
      <c r="P25" s="830">
        <f t="shared" si="2"/>
        <v>3395.9997844946906</v>
      </c>
      <c r="Q25" s="830">
        <f t="shared" si="3"/>
        <v>19.98365514384928</v>
      </c>
      <c r="R25" s="2773"/>
    </row>
    <row r="26" spans="1:18" x14ac:dyDescent="0.25">
      <c r="A26" s="2802"/>
      <c r="B26" s="706">
        <v>2031</v>
      </c>
      <c r="C26" s="1058">
        <f t="shared" si="4"/>
        <v>3181.9892206952627</v>
      </c>
      <c r="D26" s="1058">
        <f t="shared" si="5"/>
        <v>4.7634569172084777</v>
      </c>
      <c r="E26" s="1058">
        <f t="shared" si="6"/>
        <v>66.231104976866661</v>
      </c>
      <c r="F26" s="1058">
        <f t="shared" si="7"/>
        <v>299.71670923075737</v>
      </c>
      <c r="G26" s="1058">
        <f t="shared" si="8"/>
        <v>17.720059732015535</v>
      </c>
      <c r="H26" s="775">
        <v>76</v>
      </c>
      <c r="I26" s="827">
        <f>'Emission-Waste Transport Vehicl'!N45</f>
        <v>25.70710077144</v>
      </c>
      <c r="J26" s="827">
        <f>'Emission-Waste Transport Vehicl'!P45</f>
        <v>14.303002562640001</v>
      </c>
      <c r="K26" s="827">
        <f>'Emission-Waste Transport Vehicl'!Q45</f>
        <v>11.108113980480001</v>
      </c>
      <c r="L26" s="827">
        <f>'Emission-Waste Transport Vehicl'!R45</f>
        <v>1.1055881469600002</v>
      </c>
      <c r="M26" s="827">
        <f t="shared" si="9"/>
        <v>241.83118077283996</v>
      </c>
      <c r="N26" s="830">
        <f t="shared" si="0"/>
        <v>122.45466699109126</v>
      </c>
      <c r="O26" s="830">
        <f t="shared" si="1"/>
        <v>947.30366421060285</v>
      </c>
      <c r="P26" s="830">
        <f t="shared" si="2"/>
        <v>3329.2873679896352</v>
      </c>
      <c r="Q26" s="830">
        <f t="shared" si="3"/>
        <v>19.591088003139575</v>
      </c>
      <c r="R26" s="2773"/>
    </row>
    <row r="27" spans="1:18" x14ac:dyDescent="0.25">
      <c r="A27" s="2802"/>
      <c r="B27" s="706">
        <v>2032</v>
      </c>
      <c r="C27" s="1058">
        <f t="shared" si="4"/>
        <v>3181.9892206952627</v>
      </c>
      <c r="D27" s="1058">
        <f t="shared" si="5"/>
        <v>4.7634569172084777</v>
      </c>
      <c r="E27" s="1058">
        <f t="shared" si="6"/>
        <v>66.231104976866661</v>
      </c>
      <c r="F27" s="1058">
        <f t="shared" si="7"/>
        <v>299.71670923075737</v>
      </c>
      <c r="G27" s="1058">
        <f t="shared" si="8"/>
        <v>17.720059732015535</v>
      </c>
      <c r="H27" s="775">
        <v>77</v>
      </c>
      <c r="I27" s="827">
        <f>'Emission-Waste Transport Vehicl'!N46</f>
        <v>25.201761441120002</v>
      </c>
      <c r="J27" s="827">
        <f>'Emission-Waste Transport Vehicl'!P46</f>
        <v>14.021840178720002</v>
      </c>
      <c r="K27" s="827">
        <f>'Emission-Waste Transport Vehicl'!Q46</f>
        <v>10.889755367040001</v>
      </c>
      <c r="L27" s="827">
        <f>'Emission-Waste Transport Vehicl'!R46</f>
        <v>1.0838549620800002</v>
      </c>
      <c r="M27" s="827">
        <f t="shared" si="9"/>
        <v>245.01316999353523</v>
      </c>
      <c r="N27" s="830">
        <f t="shared" si="0"/>
        <v>120.04750486254098</v>
      </c>
      <c r="O27" s="830">
        <f t="shared" si="1"/>
        <v>928.68196884565123</v>
      </c>
      <c r="P27" s="830">
        <f t="shared" si="2"/>
        <v>3263.8416429372078</v>
      </c>
      <c r="Q27" s="830">
        <f t="shared" si="3"/>
        <v>19.205974668899035</v>
      </c>
      <c r="R27" s="2773"/>
    </row>
    <row r="28" spans="1:18" x14ac:dyDescent="0.25">
      <c r="A28" s="2802"/>
      <c r="B28" s="706">
        <v>2033</v>
      </c>
      <c r="C28" s="1058">
        <f t="shared" si="4"/>
        <v>3181.9892206952627</v>
      </c>
      <c r="D28" s="1058">
        <f t="shared" si="5"/>
        <v>4.7634569172084777</v>
      </c>
      <c r="E28" s="1058">
        <f t="shared" si="6"/>
        <v>66.231104976866661</v>
      </c>
      <c r="F28" s="1058">
        <f t="shared" si="7"/>
        <v>299.71670923075737</v>
      </c>
      <c r="G28" s="1058">
        <f t="shared" si="8"/>
        <v>17.720059732015535</v>
      </c>
      <c r="H28" s="775">
        <v>78</v>
      </c>
      <c r="I28" s="827">
        <f>'Emission-Waste Transport Vehicl'!N47</f>
        <v>24.709463125776001</v>
      </c>
      <c r="J28" s="827">
        <f>'Emission-Waste Transport Vehicl'!P47</f>
        <v>13.747933598256003</v>
      </c>
      <c r="K28" s="827">
        <f>'Emission-Waste Transport Vehicl'!Q47</f>
        <v>10.677031814592</v>
      </c>
      <c r="L28" s="827">
        <f>'Emission-Waste Transport Vehicl'!R47</f>
        <v>1.0626826335840001</v>
      </c>
      <c r="M28" s="827">
        <f t="shared" si="9"/>
        <v>248.1951592142305</v>
      </c>
      <c r="N28" s="830">
        <f t="shared" si="0"/>
        <v>117.7024630469855</v>
      </c>
      <c r="O28" s="830">
        <f t="shared" si="1"/>
        <v>910.54083336108556</v>
      </c>
      <c r="P28" s="830">
        <f t="shared" si="2"/>
        <v>3200.0848398216162</v>
      </c>
      <c r="Q28" s="830">
        <f t="shared" si="3"/>
        <v>18.830799743284061</v>
      </c>
      <c r="R28" s="2773"/>
    </row>
    <row r="29" spans="1:18" x14ac:dyDescent="0.25">
      <c r="A29" s="2802"/>
      <c r="B29" s="706">
        <v>2034</v>
      </c>
      <c r="C29" s="1058">
        <f t="shared" si="4"/>
        <v>3181.9892206952627</v>
      </c>
      <c r="D29" s="1058">
        <f t="shared" si="5"/>
        <v>4.7634569172084777</v>
      </c>
      <c r="E29" s="1058">
        <f t="shared" si="6"/>
        <v>66.231104976866661</v>
      </c>
      <c r="F29" s="1058">
        <f t="shared" si="7"/>
        <v>299.71670923075737</v>
      </c>
      <c r="G29" s="1058">
        <f t="shared" si="8"/>
        <v>17.720059732015535</v>
      </c>
      <c r="H29" s="775">
        <v>79</v>
      </c>
      <c r="I29" s="827">
        <f>'Emission-Waste Transport Vehicl'!N48</f>
        <v>24.223685317920005</v>
      </c>
      <c r="J29" s="827">
        <f>'Emission-Waste Transport Vehicl'!P48</f>
        <v>13.477654919520001</v>
      </c>
      <c r="K29" s="827">
        <f>'Emission-Waste Transport Vehicl'!Q48</f>
        <v>10.467125792640001</v>
      </c>
      <c r="L29" s="827">
        <f>'Emission-Waste Transport Vehicl'!R48</f>
        <v>1.04179073328</v>
      </c>
      <c r="M29" s="827">
        <f t="shared" si="9"/>
        <v>251.37714843492574</v>
      </c>
      <c r="N29" s="830">
        <f t="shared" si="0"/>
        <v>115.38848138792748</v>
      </c>
      <c r="O29" s="830">
        <f t="shared" si="1"/>
        <v>892.63997781671253</v>
      </c>
      <c r="P29" s="830">
        <f t="shared" si="2"/>
        <v>3137.172497674444</v>
      </c>
      <c r="Q29" s="830">
        <f t="shared" si="3"/>
        <v>18.460594021981866</v>
      </c>
      <c r="R29" s="2773"/>
    </row>
    <row r="30" spans="1:18" x14ac:dyDescent="0.25">
      <c r="A30" s="2802"/>
      <c r="B30" s="706">
        <v>2035</v>
      </c>
      <c r="C30" s="1058">
        <f t="shared" si="4"/>
        <v>3181.9892206952627</v>
      </c>
      <c r="D30" s="1058">
        <f t="shared" si="5"/>
        <v>4.7634569172084777</v>
      </c>
      <c r="E30" s="1058">
        <f t="shared" si="6"/>
        <v>66.231104976866661</v>
      </c>
      <c r="F30" s="1058">
        <f t="shared" si="7"/>
        <v>299.71670923075737</v>
      </c>
      <c r="G30" s="1058">
        <f t="shared" si="8"/>
        <v>17.720059732015535</v>
      </c>
      <c r="H30" s="775">
        <v>80</v>
      </c>
      <c r="I30" s="827">
        <f>'Emission-Waste Transport Vehicl'!N49</f>
        <v>23.747688271296006</v>
      </c>
      <c r="J30" s="827">
        <f>'Emission-Waste Transport Vehicl'!P49</f>
        <v>13.212818093376002</v>
      </c>
      <c r="K30" s="827">
        <f>'Emission-Waste Transport Vehicl'!Q49</f>
        <v>10.261446066432002</v>
      </c>
      <c r="L30" s="827">
        <f>'Emission-Waste Transport Vehicl'!R49</f>
        <v>1.0213194752640002</v>
      </c>
      <c r="M30" s="827">
        <f t="shared" si="9"/>
        <v>254.55913765562102</v>
      </c>
      <c r="N30" s="830">
        <f t="shared" si="0"/>
        <v>113.1210899636156</v>
      </c>
      <c r="O30" s="830">
        <f t="shared" si="1"/>
        <v>875.09954218262919</v>
      </c>
      <c r="P30" s="830">
        <f t="shared" si="2"/>
        <v>3075.5268469798993</v>
      </c>
      <c r="Q30" s="830">
        <f t="shared" si="3"/>
        <v>18.097842107148846</v>
      </c>
      <c r="R30" s="2773"/>
    </row>
    <row r="31" spans="1:18" x14ac:dyDescent="0.25">
      <c r="A31" s="2802"/>
      <c r="B31" s="706">
        <v>2036</v>
      </c>
      <c r="C31" s="1058">
        <f t="shared" si="4"/>
        <v>3181.9892206952627</v>
      </c>
      <c r="D31" s="1058">
        <f t="shared" si="5"/>
        <v>4.7634569172084777</v>
      </c>
      <c r="E31" s="1058">
        <f t="shared" si="6"/>
        <v>66.231104976866661</v>
      </c>
      <c r="F31" s="1058">
        <f t="shared" si="7"/>
        <v>299.71670923075737</v>
      </c>
      <c r="G31" s="1058">
        <f t="shared" si="8"/>
        <v>17.720059732015535</v>
      </c>
      <c r="H31" s="775">
        <v>81</v>
      </c>
      <c r="I31" s="827">
        <f>'Emission-Waste Transport Vehicl'!N50</f>
        <v>23.284732239648001</v>
      </c>
      <c r="J31" s="827">
        <f>'Emission-Waste Transport Vehicl'!P50</f>
        <v>12.955237070688</v>
      </c>
      <c r="K31" s="827">
        <f>'Emission-Waste Transport Vehicl'!Q50</f>
        <v>10.061401401215999</v>
      </c>
      <c r="L31" s="827">
        <f>'Emission-Waste Transport Vehicl'!R50</f>
        <v>1.001409073632</v>
      </c>
      <c r="M31" s="827">
        <f t="shared" si="9"/>
        <v>257.74112687631629</v>
      </c>
      <c r="N31" s="830">
        <f t="shared" si="0"/>
        <v>110.91581885229851</v>
      </c>
      <c r="O31" s="830">
        <f t="shared" si="1"/>
        <v>858.03966642893147</v>
      </c>
      <c r="P31" s="830">
        <f t="shared" si="2"/>
        <v>3015.5701182221906</v>
      </c>
      <c r="Q31" s="830">
        <f t="shared" si="3"/>
        <v>17.745028600941385</v>
      </c>
      <c r="R31" s="2773"/>
    </row>
    <row r="32" spans="1:18" x14ac:dyDescent="0.25">
      <c r="A32" s="2802"/>
      <c r="B32" s="706">
        <v>2037</v>
      </c>
      <c r="C32" s="1058">
        <f t="shared" si="4"/>
        <v>3181.9892206952627</v>
      </c>
      <c r="D32" s="1058">
        <f t="shared" si="5"/>
        <v>4.7634569172084777</v>
      </c>
      <c r="E32" s="1058">
        <f t="shared" si="6"/>
        <v>66.231104976866661</v>
      </c>
      <c r="F32" s="1058">
        <f t="shared" si="7"/>
        <v>299.71670923075737</v>
      </c>
      <c r="G32" s="1058">
        <f t="shared" si="8"/>
        <v>17.720059732015535</v>
      </c>
      <c r="H32" s="775">
        <v>83</v>
      </c>
      <c r="I32" s="827">
        <f>'Emission-Waste Transport Vehicl'!N51</f>
        <v>22.828296715488005</v>
      </c>
      <c r="J32" s="827">
        <f>'Emission-Waste Transport Vehicl'!P51</f>
        <v>12.701283949728003</v>
      </c>
      <c r="K32" s="827">
        <f>'Emission-Waste Transport Vehicl'!Q51</f>
        <v>9.8641742664960006</v>
      </c>
      <c r="L32" s="827">
        <f>'Emission-Waste Transport Vehicl'!R51</f>
        <v>0.9817791001920001</v>
      </c>
      <c r="M32" s="827">
        <f t="shared" si="9"/>
        <v>264.10510531770683</v>
      </c>
      <c r="N32" s="830">
        <f t="shared" si="0"/>
        <v>108.74160789747891</v>
      </c>
      <c r="O32" s="830">
        <f t="shared" si="1"/>
        <v>841.22007061542695</v>
      </c>
      <c r="P32" s="830">
        <f t="shared" si="2"/>
        <v>2956.4578504329011</v>
      </c>
      <c r="Q32" s="830">
        <f t="shared" si="3"/>
        <v>17.397184299046707</v>
      </c>
      <c r="R32" s="2773"/>
    </row>
    <row r="33" spans="1:18" x14ac:dyDescent="0.25">
      <c r="A33" s="2802"/>
      <c r="B33" s="706">
        <v>2038</v>
      </c>
      <c r="C33" s="1058">
        <f t="shared" si="4"/>
        <v>3181.9892206952627</v>
      </c>
      <c r="D33" s="1058">
        <f t="shared" si="5"/>
        <v>4.7634569172084777</v>
      </c>
      <c r="E33" s="1058">
        <f t="shared" si="6"/>
        <v>66.231104976866661</v>
      </c>
      <c r="F33" s="1058">
        <f t="shared" si="7"/>
        <v>299.71670923075737</v>
      </c>
      <c r="G33" s="1058">
        <f t="shared" si="8"/>
        <v>17.720059732015535</v>
      </c>
      <c r="H33" s="775">
        <v>84</v>
      </c>
      <c r="I33" s="827">
        <f>'Emission-Waste Transport Vehicl'!N52</f>
        <v>22.378381698816003</v>
      </c>
      <c r="J33" s="827">
        <f>'Emission-Waste Transport Vehicl'!P52</f>
        <v>12.450958730496001</v>
      </c>
      <c r="K33" s="827">
        <f>'Emission-Waste Transport Vehicl'!Q52</f>
        <v>9.6697646622720015</v>
      </c>
      <c r="L33" s="827">
        <f>'Emission-Waste Transport Vehicl'!R52</f>
        <v>0.96242955494400007</v>
      </c>
      <c r="M33" s="827">
        <f t="shared" si="9"/>
        <v>267.28709453840207</v>
      </c>
      <c r="N33" s="830">
        <f t="shared" si="0"/>
        <v>106.59845709915669</v>
      </c>
      <c r="O33" s="830">
        <f t="shared" si="1"/>
        <v>824.64075474211506</v>
      </c>
      <c r="P33" s="830">
        <f t="shared" si="2"/>
        <v>2898.1900436120304</v>
      </c>
      <c r="Q33" s="830">
        <f t="shared" si="3"/>
        <v>17.054309201464807</v>
      </c>
      <c r="R33" s="2773"/>
    </row>
    <row r="34" spans="1:18" x14ac:dyDescent="0.25">
      <c r="A34" s="2802"/>
      <c r="B34" s="706">
        <v>2039</v>
      </c>
      <c r="C34" s="1058">
        <f t="shared" si="4"/>
        <v>3181.9892206952627</v>
      </c>
      <c r="D34" s="1058">
        <f t="shared" si="5"/>
        <v>4.7634569172084777</v>
      </c>
      <c r="E34" s="1058">
        <f t="shared" si="6"/>
        <v>66.231104976866661</v>
      </c>
      <c r="F34" s="1058">
        <f t="shared" si="7"/>
        <v>299.71670923075737</v>
      </c>
      <c r="G34" s="1058">
        <f t="shared" si="8"/>
        <v>17.720059732015535</v>
      </c>
      <c r="H34" s="775">
        <v>85</v>
      </c>
      <c r="I34" s="827">
        <f>'Emission-Waste Transport Vehicl'!N53</f>
        <v>21.941507697120006</v>
      </c>
      <c r="J34" s="827">
        <f>'Emission-Waste Transport Vehicl'!P53</f>
        <v>12.207889314720003</v>
      </c>
      <c r="K34" s="827">
        <f>'Emission-Waste Transport Vehicl'!Q53</f>
        <v>9.4809901190400012</v>
      </c>
      <c r="L34" s="827">
        <f>'Emission-Waste Transport Vehicl'!R53</f>
        <v>0.9436408660800002</v>
      </c>
      <c r="M34" s="827">
        <f t="shared" si="9"/>
        <v>270.46908375909732</v>
      </c>
      <c r="N34" s="830">
        <f t="shared" si="0"/>
        <v>104.51742661382934</v>
      </c>
      <c r="O34" s="830">
        <f t="shared" si="1"/>
        <v>808.54199874918925</v>
      </c>
      <c r="P34" s="830">
        <f t="shared" si="2"/>
        <v>2841.6111587279956</v>
      </c>
      <c r="Q34" s="830">
        <f t="shared" si="3"/>
        <v>16.721372512508477</v>
      </c>
      <c r="R34" s="2773"/>
    </row>
    <row r="35" spans="1:18" x14ac:dyDescent="0.25">
      <c r="A35" s="2802"/>
      <c r="B35" s="706">
        <v>2040</v>
      </c>
      <c r="C35" s="1058">
        <f t="shared" si="4"/>
        <v>3181.9892206952627</v>
      </c>
      <c r="D35" s="1058">
        <f t="shared" si="5"/>
        <v>4.7634569172084777</v>
      </c>
      <c r="E35" s="1058">
        <f t="shared" si="6"/>
        <v>66.231104976866661</v>
      </c>
      <c r="F35" s="1058">
        <f t="shared" si="7"/>
        <v>299.71670923075737</v>
      </c>
      <c r="G35" s="1058">
        <f t="shared" si="8"/>
        <v>17.720059732015535</v>
      </c>
      <c r="H35" s="775">
        <v>86</v>
      </c>
      <c r="I35" s="827">
        <f>'Emission-Waste Transport Vehicl'!N54</f>
        <v>21.511154202912003</v>
      </c>
      <c r="J35" s="827">
        <f>'Emission-Waste Transport Vehicl'!P54</f>
        <v>11.968447800672001</v>
      </c>
      <c r="K35" s="827">
        <f>'Emission-Waste Transport Vehicl'!Q54</f>
        <v>9.2950331063040004</v>
      </c>
      <c r="L35" s="827">
        <f>'Emission-Waste Transport Vehicl'!R54</f>
        <v>0.92513260540800013</v>
      </c>
      <c r="M35" s="827">
        <f t="shared" si="9"/>
        <v>273.65107297979262</v>
      </c>
      <c r="N35" s="830">
        <f t="shared" si="0"/>
        <v>102.4674562849994</v>
      </c>
      <c r="O35" s="830">
        <f t="shared" si="1"/>
        <v>792.68352269645618</v>
      </c>
      <c r="P35" s="830">
        <f t="shared" si="2"/>
        <v>2785.8767348123797</v>
      </c>
      <c r="Q35" s="830">
        <f t="shared" si="3"/>
        <v>16.393405027864922</v>
      </c>
      <c r="R35" s="2773"/>
    </row>
    <row r="36" spans="1:18" x14ac:dyDescent="0.25">
      <c r="A36" s="2802"/>
      <c r="B36" s="706">
        <v>2041</v>
      </c>
      <c r="C36" s="1058">
        <f t="shared" si="4"/>
        <v>3181.9892206952627</v>
      </c>
      <c r="D36" s="1058">
        <f t="shared" si="5"/>
        <v>4.7634569172084777</v>
      </c>
      <c r="E36" s="1058">
        <f t="shared" si="6"/>
        <v>66.231104976866661</v>
      </c>
      <c r="F36" s="1058">
        <f t="shared" si="7"/>
        <v>299.71670923075737</v>
      </c>
      <c r="G36" s="1058">
        <f t="shared" si="8"/>
        <v>17.720059732015535</v>
      </c>
      <c r="H36" s="775">
        <v>87</v>
      </c>
      <c r="I36" s="827">
        <f>'Emission-Waste Transport Vehicl'!N55</f>
        <v>21.087321216192002</v>
      </c>
      <c r="J36" s="827">
        <f>'Emission-Waste Transport Vehicl'!P55</f>
        <v>11.732634188352002</v>
      </c>
      <c r="K36" s="827">
        <f>'Emission-Waste Transport Vehicl'!Q55</f>
        <v>9.1118936240640007</v>
      </c>
      <c r="L36" s="827">
        <f>'Emission-Waste Transport Vehicl'!R55</f>
        <v>0.9069047729280002</v>
      </c>
      <c r="M36" s="827">
        <f t="shared" si="9"/>
        <v>276.83306220048786</v>
      </c>
      <c r="N36" s="830">
        <f t="shared" si="0"/>
        <v>100.44854611266689</v>
      </c>
      <c r="O36" s="830">
        <f t="shared" si="1"/>
        <v>777.0653265839162</v>
      </c>
      <c r="P36" s="830">
        <f t="shared" si="2"/>
        <v>2730.9867718651822</v>
      </c>
      <c r="Q36" s="830">
        <f t="shared" si="3"/>
        <v>16.07040674753415</v>
      </c>
      <c r="R36" s="2773"/>
    </row>
    <row r="37" spans="1:18" x14ac:dyDescent="0.25">
      <c r="A37" s="2802"/>
      <c r="B37" s="706">
        <v>2042</v>
      </c>
      <c r="C37" s="1058">
        <f t="shared" si="4"/>
        <v>3181.9892206952627</v>
      </c>
      <c r="D37" s="1058">
        <f t="shared" si="5"/>
        <v>4.7634569172084777</v>
      </c>
      <c r="E37" s="1058">
        <f t="shared" si="6"/>
        <v>66.231104976866661</v>
      </c>
      <c r="F37" s="1058">
        <f t="shared" si="7"/>
        <v>299.71670923075737</v>
      </c>
      <c r="G37" s="1058">
        <f t="shared" si="8"/>
        <v>17.720059732015535</v>
      </c>
      <c r="H37" s="775">
        <v>88</v>
      </c>
      <c r="I37" s="827">
        <f>'Emission-Waste Transport Vehicl'!N56</f>
        <v>20.676529244448002</v>
      </c>
      <c r="J37" s="827">
        <f>'Emission-Waste Transport Vehicl'!P56</f>
        <v>11.504076379488001</v>
      </c>
      <c r="K37" s="827">
        <f>'Emission-Waste Transport Vehicl'!Q56</f>
        <v>8.9343892028159999</v>
      </c>
      <c r="L37" s="827">
        <f>'Emission-Waste Transport Vehicl'!R56</f>
        <v>0.8892377968320001</v>
      </c>
      <c r="M37" s="827">
        <f t="shared" si="9"/>
        <v>280.0150514211831</v>
      </c>
      <c r="N37" s="830">
        <f t="shared" si="0"/>
        <v>98.491756253329214</v>
      </c>
      <c r="O37" s="830">
        <f t="shared" si="1"/>
        <v>761.92769035176195</v>
      </c>
      <c r="P37" s="830">
        <f t="shared" si="2"/>
        <v>2677.7857308548214</v>
      </c>
      <c r="Q37" s="830">
        <f t="shared" si="3"/>
        <v>15.757346875828937</v>
      </c>
      <c r="R37" s="2773"/>
    </row>
    <row r="38" spans="1:18" x14ac:dyDescent="0.25">
      <c r="A38" s="2802"/>
      <c r="B38" s="706">
        <v>2043</v>
      </c>
      <c r="C38" s="1058">
        <f t="shared" si="4"/>
        <v>3181.9892206952627</v>
      </c>
      <c r="D38" s="1058">
        <f t="shared" si="5"/>
        <v>4.7634569172084777</v>
      </c>
      <c r="E38" s="1058">
        <f t="shared" si="6"/>
        <v>66.231104976866661</v>
      </c>
      <c r="F38" s="1058">
        <f t="shared" si="7"/>
        <v>299.71670923075737</v>
      </c>
      <c r="G38" s="1058">
        <f t="shared" si="8"/>
        <v>17.720059732015535</v>
      </c>
      <c r="H38" s="775">
        <v>89</v>
      </c>
      <c r="I38" s="827">
        <f>'Emission-Waste Transport Vehicl'!N57</f>
        <v>20.268997526448004</v>
      </c>
      <c r="J38" s="827">
        <f>'Emission-Waste Transport Vehicl'!P57</f>
        <v>11.277332521488001</v>
      </c>
      <c r="K38" s="827">
        <f>'Emission-Waste Transport Vehicl'!Q57</f>
        <v>8.7582935468160006</v>
      </c>
      <c r="L38" s="827">
        <f>'Emission-Waste Transport Vehicl'!R57</f>
        <v>0.87171103483200019</v>
      </c>
      <c r="M38" s="827">
        <f t="shared" si="9"/>
        <v>283.1970406418784</v>
      </c>
      <c r="N38" s="830">
        <f t="shared" si="0"/>
        <v>96.550496472240269</v>
      </c>
      <c r="O38" s="830">
        <f t="shared" si="1"/>
        <v>746.91019408970419</v>
      </c>
      <c r="P38" s="830">
        <f t="shared" si="2"/>
        <v>2625.0069203286698</v>
      </c>
      <c r="Q38" s="830">
        <f t="shared" si="3"/>
        <v>15.446771606280118</v>
      </c>
      <c r="R38" s="2773"/>
    </row>
    <row r="39" spans="1:18" x14ac:dyDescent="0.25">
      <c r="A39" s="2802"/>
      <c r="B39" s="706">
        <v>2044</v>
      </c>
      <c r="C39" s="1058">
        <f t="shared" si="4"/>
        <v>3181.9892206952627</v>
      </c>
      <c r="D39" s="1058">
        <f t="shared" si="5"/>
        <v>4.7634569172084777</v>
      </c>
      <c r="E39" s="1058">
        <f t="shared" si="6"/>
        <v>66.231104976866661</v>
      </c>
      <c r="F39" s="1058">
        <f t="shared" si="7"/>
        <v>299.71670923075737</v>
      </c>
      <c r="G39" s="1058">
        <f t="shared" si="8"/>
        <v>17.720059732015535</v>
      </c>
      <c r="H39" s="775">
        <v>90</v>
      </c>
      <c r="I39" s="827">
        <f>'Emission-Waste Transport Vehicl'!N58</f>
        <v>19.871246569680004</v>
      </c>
      <c r="J39" s="827">
        <f>'Emission-Waste Transport Vehicl'!P58</f>
        <v>11.056030516080002</v>
      </c>
      <c r="K39" s="827">
        <f>'Emission-Waste Transport Vehicl'!Q58</f>
        <v>8.5864241865600004</v>
      </c>
      <c r="L39" s="827">
        <f>'Emission-Waste Transport Vehicl'!R58</f>
        <v>0.85460491512000014</v>
      </c>
      <c r="M39" s="827">
        <f t="shared" si="9"/>
        <v>286.37902986257365</v>
      </c>
      <c r="N39" s="830">
        <f t="shared" si="0"/>
        <v>94.655826925897443</v>
      </c>
      <c r="O39" s="830">
        <f t="shared" si="1"/>
        <v>732.2531177379359</v>
      </c>
      <c r="P39" s="830">
        <f t="shared" si="2"/>
        <v>2573.4948012551458</v>
      </c>
      <c r="Q39" s="830">
        <f t="shared" si="3"/>
        <v>15.143650143200469</v>
      </c>
      <c r="R39" s="2773"/>
    </row>
    <row r="40" spans="1:18" x14ac:dyDescent="0.25">
      <c r="A40" s="2802"/>
      <c r="B40" s="706">
        <v>2045</v>
      </c>
      <c r="C40" s="1058">
        <f t="shared" si="4"/>
        <v>3181.9892206952627</v>
      </c>
      <c r="D40" s="1058">
        <f t="shared" si="5"/>
        <v>4.7634569172084777</v>
      </c>
      <c r="E40" s="1058">
        <f t="shared" si="6"/>
        <v>66.231104976866661</v>
      </c>
      <c r="F40" s="1058">
        <f t="shared" si="7"/>
        <v>299.71670923075737</v>
      </c>
      <c r="G40" s="1058">
        <f t="shared" si="8"/>
        <v>17.720059732015535</v>
      </c>
      <c r="H40" s="775">
        <v>92</v>
      </c>
      <c r="I40" s="827">
        <f>'Emission-Waste Transport Vehicl'!N59</f>
        <v>19.483276374144001</v>
      </c>
      <c r="J40" s="827">
        <f>'Emission-Waste Transport Vehicl'!P59</f>
        <v>10.840170363264003</v>
      </c>
      <c r="K40" s="827">
        <f>'Emission-Waste Transport Vehicl'!Q59</f>
        <v>8.4187811220480011</v>
      </c>
      <c r="L40" s="827">
        <f>'Emission-Waste Transport Vehicl'!R59</f>
        <v>0.83791943769600008</v>
      </c>
      <c r="M40" s="827">
        <f t="shared" si="9"/>
        <v>292.74300830396419</v>
      </c>
      <c r="N40" s="830">
        <f t="shared" si="0"/>
        <v>92.807747614300752</v>
      </c>
      <c r="O40" s="830">
        <f t="shared" si="1"/>
        <v>717.95646129645695</v>
      </c>
      <c r="P40" s="830">
        <f t="shared" si="2"/>
        <v>2523.2493736342499</v>
      </c>
      <c r="Q40" s="830">
        <f t="shared" si="3"/>
        <v>14.847982486589991</v>
      </c>
      <c r="R40" s="2773"/>
    </row>
    <row r="41" spans="1:18" x14ac:dyDescent="0.25">
      <c r="A41" s="2802"/>
      <c r="B41" s="706">
        <v>2046</v>
      </c>
      <c r="C41" s="1058">
        <f t="shared" si="4"/>
        <v>3181.9892206952627</v>
      </c>
      <c r="D41" s="1058">
        <f t="shared" si="5"/>
        <v>4.7634569172084777</v>
      </c>
      <c r="E41" s="1058">
        <f t="shared" si="6"/>
        <v>66.231104976866661</v>
      </c>
      <c r="F41" s="1058">
        <f t="shared" si="7"/>
        <v>299.71670923075737</v>
      </c>
      <c r="G41" s="1058">
        <f t="shared" si="8"/>
        <v>17.720059732015535</v>
      </c>
      <c r="H41" s="775">
        <v>93</v>
      </c>
      <c r="I41" s="827">
        <f>'Emission-Waste Transport Vehicl'!N60</f>
        <v>19.101826686096</v>
      </c>
      <c r="J41" s="827">
        <f>'Emission-Waste Transport Vehicl'!P60</f>
        <v>10.627938112176002</v>
      </c>
      <c r="K41" s="827">
        <f>'Emission-Waste Transport Vehicl'!Q60</f>
        <v>8.2539555880319995</v>
      </c>
      <c r="L41" s="827">
        <f>'Emission-Waste Transport Vehicl'!R60</f>
        <v>0.82151438846400004</v>
      </c>
      <c r="M41" s="827">
        <f t="shared" si="9"/>
        <v>295.92499752465943</v>
      </c>
      <c r="N41" s="830">
        <f t="shared" si="0"/>
        <v>90.990728459201492</v>
      </c>
      <c r="O41" s="830">
        <f t="shared" si="1"/>
        <v>703.90008479517087</v>
      </c>
      <c r="P41" s="830">
        <f t="shared" si="2"/>
        <v>2473.8484069817719</v>
      </c>
      <c r="Q41" s="830">
        <f t="shared" si="3"/>
        <v>14.557284034292294</v>
      </c>
      <c r="R41" s="2773"/>
    </row>
    <row r="42" spans="1:18" x14ac:dyDescent="0.25">
      <c r="A42" s="2802"/>
      <c r="B42" s="706">
        <v>2047</v>
      </c>
      <c r="C42" s="1058">
        <f t="shared" si="4"/>
        <v>3181.9892206952627</v>
      </c>
      <c r="D42" s="1058">
        <f t="shared" si="5"/>
        <v>4.7634569172084777</v>
      </c>
      <c r="E42" s="1058">
        <f t="shared" si="6"/>
        <v>66.231104976866661</v>
      </c>
      <c r="F42" s="1058">
        <f t="shared" si="7"/>
        <v>299.71670923075737</v>
      </c>
      <c r="G42" s="1058">
        <f t="shared" si="8"/>
        <v>17.720059732015535</v>
      </c>
      <c r="H42" s="775">
        <v>94</v>
      </c>
      <c r="I42" s="827">
        <f>'Emission-Waste Transport Vehicl'!N61</f>
        <v>18.726897505536005</v>
      </c>
      <c r="J42" s="827">
        <f>'Emission-Waste Transport Vehicl'!P61</f>
        <v>10.419333762816001</v>
      </c>
      <c r="K42" s="827">
        <f>'Emission-Waste Transport Vehicl'!Q61</f>
        <v>8.0919475845120008</v>
      </c>
      <c r="L42" s="827">
        <f>'Emission-Waste Transport Vehicl'!R61</f>
        <v>0.80538976742400015</v>
      </c>
      <c r="M42" s="827">
        <f t="shared" si="9"/>
        <v>299.10698674535467</v>
      </c>
      <c r="N42" s="830">
        <f t="shared" si="0"/>
        <v>89.204769460599678</v>
      </c>
      <c r="O42" s="830">
        <f t="shared" si="1"/>
        <v>690.08398823407765</v>
      </c>
      <c r="P42" s="830">
        <f t="shared" si="2"/>
        <v>2425.2919012977127</v>
      </c>
      <c r="Q42" s="830">
        <f t="shared" si="3"/>
        <v>14.271554786307382</v>
      </c>
      <c r="R42" s="2773"/>
    </row>
    <row r="43" spans="1:18" x14ac:dyDescent="0.25">
      <c r="A43" s="2802"/>
      <c r="B43" s="706">
        <v>2048</v>
      </c>
      <c r="C43" s="1058">
        <f t="shared" si="4"/>
        <v>3181.9892206952627</v>
      </c>
      <c r="D43" s="1058">
        <f t="shared" si="5"/>
        <v>4.7634569172084777</v>
      </c>
      <c r="E43" s="1058">
        <f t="shared" si="6"/>
        <v>66.231104976866661</v>
      </c>
      <c r="F43" s="1058">
        <f t="shared" si="7"/>
        <v>299.71670923075737</v>
      </c>
      <c r="G43" s="1058">
        <f t="shared" si="8"/>
        <v>17.720059732015535</v>
      </c>
      <c r="H43" s="775">
        <v>95</v>
      </c>
      <c r="I43" s="827">
        <f>'Emission-Waste Transport Vehicl'!N62</f>
        <v>18.358488832464005</v>
      </c>
      <c r="J43" s="827">
        <f>'Emission-Waste Transport Vehicl'!P62</f>
        <v>10.214357315184001</v>
      </c>
      <c r="K43" s="827">
        <f>'Emission-Waste Transport Vehicl'!Q62</f>
        <v>7.9327571114880007</v>
      </c>
      <c r="L43" s="827">
        <f>'Emission-Waste Transport Vehicl'!R62</f>
        <v>0.78954557457600016</v>
      </c>
      <c r="M43" s="827">
        <f t="shared" si="9"/>
        <v>302.28897596604997</v>
      </c>
      <c r="N43" s="830">
        <f t="shared" si="0"/>
        <v>87.449870618495254</v>
      </c>
      <c r="O43" s="830">
        <f t="shared" si="1"/>
        <v>676.50817161317752</v>
      </c>
      <c r="P43" s="830">
        <f t="shared" si="2"/>
        <v>2377.5798565820719</v>
      </c>
      <c r="Q43" s="830">
        <f t="shared" si="3"/>
        <v>13.990794742635249</v>
      </c>
      <c r="R43" s="2773"/>
    </row>
    <row r="44" spans="1:18" x14ac:dyDescent="0.25">
      <c r="A44" s="2802"/>
      <c r="B44" s="706">
        <v>2049</v>
      </c>
      <c r="C44" s="1058">
        <f t="shared" si="4"/>
        <v>3181.9892206952627</v>
      </c>
      <c r="D44" s="1058">
        <f t="shared" si="5"/>
        <v>4.7634569172084777</v>
      </c>
      <c r="E44" s="1058">
        <f t="shared" si="6"/>
        <v>66.231104976866661</v>
      </c>
      <c r="F44" s="1058">
        <f t="shared" si="7"/>
        <v>299.71670923075737</v>
      </c>
      <c r="G44" s="1058">
        <f t="shared" si="8"/>
        <v>17.720059732015535</v>
      </c>
      <c r="H44" s="775">
        <v>96</v>
      </c>
      <c r="I44" s="827">
        <f>'Emission-Waste Transport Vehicl'!N63</f>
        <v>17.999860920624005</v>
      </c>
      <c r="J44" s="827">
        <f>'Emission-Waste Transport Vehicl'!P63</f>
        <v>10.014822720144002</v>
      </c>
      <c r="K44" s="827">
        <f>'Emission-Waste Transport Vehicl'!Q63</f>
        <v>7.7777929342080014</v>
      </c>
      <c r="L44" s="827">
        <f>'Emission-Waste Transport Vehicl'!R63</f>
        <v>0.77412202401600017</v>
      </c>
      <c r="M44" s="827">
        <f t="shared" si="9"/>
        <v>305.47096518674522</v>
      </c>
      <c r="N44" s="830">
        <f t="shared" si="0"/>
        <v>85.741562011136978</v>
      </c>
      <c r="O44" s="830">
        <f t="shared" si="1"/>
        <v>663.29277490256675</v>
      </c>
      <c r="P44" s="830">
        <f t="shared" si="2"/>
        <v>2331.1345033190587</v>
      </c>
      <c r="Q44" s="830">
        <f t="shared" si="3"/>
        <v>13.717488505432287</v>
      </c>
      <c r="R44" s="2773"/>
    </row>
    <row r="45" spans="1:18" x14ac:dyDescent="0.25">
      <c r="A45" s="2802"/>
      <c r="B45" s="706">
        <v>2050</v>
      </c>
      <c r="C45" s="1058">
        <f t="shared" si="4"/>
        <v>3181.9892206952627</v>
      </c>
      <c r="D45" s="1058">
        <f t="shared" si="5"/>
        <v>4.7634569172084777</v>
      </c>
      <c r="E45" s="1058">
        <f t="shared" si="6"/>
        <v>66.231104976866661</v>
      </c>
      <c r="F45" s="1058">
        <f t="shared" si="7"/>
        <v>299.71670923075737</v>
      </c>
      <c r="G45" s="1058">
        <f t="shared" si="8"/>
        <v>17.720059732015535</v>
      </c>
      <c r="H45" s="775">
        <v>97</v>
      </c>
      <c r="I45" s="827">
        <f>'Emission-Waste Transport Vehicl'!N64</f>
        <v>17.644493262528005</v>
      </c>
      <c r="J45" s="827">
        <f>'Emission-Waste Transport Vehicl'!P64</f>
        <v>9.8171020759680019</v>
      </c>
      <c r="K45" s="827">
        <f>'Emission-Waste Transport Vehicl'!Q64</f>
        <v>7.624237522176001</v>
      </c>
      <c r="L45" s="827">
        <f>'Emission-Waste Transport Vehicl'!R64</f>
        <v>0.75883868755200012</v>
      </c>
      <c r="M45" s="827">
        <f t="shared" si="9"/>
        <v>308.65295440744046</v>
      </c>
      <c r="N45" s="830">
        <f t="shared" si="0"/>
        <v>84.048783482027403</v>
      </c>
      <c r="O45" s="830">
        <f t="shared" si="1"/>
        <v>650.19751816205235</v>
      </c>
      <c r="P45" s="830">
        <f t="shared" si="2"/>
        <v>2285.1113805402547</v>
      </c>
      <c r="Q45" s="830">
        <f t="shared" si="3"/>
        <v>13.446666870385716</v>
      </c>
      <c r="R45" s="2773"/>
    </row>
    <row r="46" spans="1:18" x14ac:dyDescent="0.25">
      <c r="A46" s="2802"/>
      <c r="B46" s="706">
        <v>2051</v>
      </c>
      <c r="C46" s="1058">
        <f t="shared" si="4"/>
        <v>3181.9892206952627</v>
      </c>
      <c r="D46" s="1058">
        <f t="shared" si="5"/>
        <v>4.7634569172084777</v>
      </c>
      <c r="E46" s="1058">
        <f t="shared" si="6"/>
        <v>66.231104976866661</v>
      </c>
      <c r="F46" s="1058">
        <f t="shared" si="7"/>
        <v>299.71670923075737</v>
      </c>
      <c r="G46" s="1058">
        <f t="shared" si="8"/>
        <v>17.720059732015535</v>
      </c>
      <c r="H46" s="775">
        <v>97</v>
      </c>
      <c r="I46" s="827">
        <f>'Emission-Waste Transport Vehicl'!N65</f>
        <v>17.298906365664003</v>
      </c>
      <c r="J46" s="827">
        <f>'Emission-Waste Transport Vehicl'!P65</f>
        <v>9.624823284384</v>
      </c>
      <c r="K46" s="827">
        <f>'Emission-Waste Transport Vehicl'!Q65</f>
        <v>7.4749084058879998</v>
      </c>
      <c r="L46" s="827">
        <f>'Emission-Waste Transport Vehicl'!R65</f>
        <v>0.74397599337600007</v>
      </c>
      <c r="M46" s="827">
        <f t="shared" ref="M46:M64" si="10">(C46/1000)*H46</f>
        <v>308.65295440744046</v>
      </c>
      <c r="N46" s="830">
        <f t="shared" ref="N46:N64" si="11">D46*I46</f>
        <v>82.402595187663962</v>
      </c>
      <c r="O46" s="830">
        <f t="shared" ref="O46:O64" si="12">E46*J46</f>
        <v>637.4626813318273</v>
      </c>
      <c r="P46" s="830">
        <f t="shared" ref="P46:P64" si="13">F46*K46</f>
        <v>2240.3549492140778</v>
      </c>
      <c r="Q46" s="830">
        <f t="shared" ref="Q46:Q64" si="14">G46*L46</f>
        <v>13.183299041808315</v>
      </c>
      <c r="R46" s="2773"/>
    </row>
    <row r="47" spans="1:18" x14ac:dyDescent="0.25">
      <c r="A47" s="2802"/>
      <c r="B47" s="706">
        <v>2052</v>
      </c>
      <c r="C47" s="1058">
        <f t="shared" si="4"/>
        <v>3181.9892206952627</v>
      </c>
      <c r="D47" s="1058">
        <f t="shared" si="5"/>
        <v>4.7634569172084777</v>
      </c>
      <c r="E47" s="1058">
        <f t="shared" si="6"/>
        <v>66.231104976866661</v>
      </c>
      <c r="F47" s="1058">
        <f t="shared" si="7"/>
        <v>299.71670923075737</v>
      </c>
      <c r="G47" s="1058">
        <f t="shared" si="8"/>
        <v>17.720059732015535</v>
      </c>
      <c r="H47" s="775">
        <v>97</v>
      </c>
      <c r="I47" s="827">
        <f>'Emission-Waste Transport Vehicl'!N66</f>
        <v>16.959839976288002</v>
      </c>
      <c r="J47" s="827">
        <f>'Emission-Waste Transport Vehicl'!P66</f>
        <v>9.4361723945280005</v>
      </c>
      <c r="K47" s="827">
        <f>'Emission-Waste Transport Vehicl'!Q66</f>
        <v>7.3283968200960006</v>
      </c>
      <c r="L47" s="827">
        <f>'Emission-Waste Transport Vehicl'!R66</f>
        <v>0.72939372739200004</v>
      </c>
      <c r="M47" s="827">
        <f t="shared" si="10"/>
        <v>308.65295440744046</v>
      </c>
      <c r="N47" s="830">
        <f t="shared" si="11"/>
        <v>80.787467049797954</v>
      </c>
      <c r="O47" s="830">
        <f t="shared" si="12"/>
        <v>624.96812444179523</v>
      </c>
      <c r="P47" s="830">
        <f t="shared" si="13"/>
        <v>2196.4429788563198</v>
      </c>
      <c r="Q47" s="830">
        <f t="shared" si="14"/>
        <v>12.924900417543697</v>
      </c>
      <c r="R47" s="2773"/>
    </row>
    <row r="48" spans="1:18" x14ac:dyDescent="0.25">
      <c r="A48" s="2802"/>
      <c r="B48" s="706">
        <v>2053</v>
      </c>
      <c r="C48" s="1058">
        <f t="shared" si="4"/>
        <v>3181.9892206952627</v>
      </c>
      <c r="D48" s="1058">
        <f t="shared" si="5"/>
        <v>4.7634569172084777</v>
      </c>
      <c r="E48" s="1058">
        <f t="shared" si="6"/>
        <v>66.231104976866661</v>
      </c>
      <c r="F48" s="1058">
        <f t="shared" si="7"/>
        <v>299.71670923075737</v>
      </c>
      <c r="G48" s="1058">
        <f t="shared" si="8"/>
        <v>17.720059732015535</v>
      </c>
      <c r="H48" s="775">
        <v>97</v>
      </c>
      <c r="I48" s="827">
        <f>'Emission-Waste Transport Vehicl'!N67</f>
        <v>15.361506000000002</v>
      </c>
      <c r="J48" s="827">
        <f>'Emission-Waste Transport Vehicl'!P67</f>
        <v>9.2511494064000015</v>
      </c>
      <c r="K48" s="827">
        <f>'Emission-Waste Transport Vehicl'!Q67</f>
        <v>7.1847027647999999</v>
      </c>
      <c r="L48" s="827">
        <f>'Emission-Waste Transport Vehicl'!R67</f>
        <v>0.71509188960000014</v>
      </c>
      <c r="M48" s="827">
        <f t="shared" si="10"/>
        <v>308.65295440744046</v>
      </c>
      <c r="N48" s="830">
        <f t="shared" si="11"/>
        <v>73.173872014439539</v>
      </c>
      <c r="O48" s="830">
        <f t="shared" si="12"/>
        <v>612.71384749195624</v>
      </c>
      <c r="P48" s="830">
        <f t="shared" si="13"/>
        <v>2153.3754694669801</v>
      </c>
      <c r="Q48" s="830">
        <f t="shared" si="14"/>
        <v>12.671470997591861</v>
      </c>
      <c r="R48" s="2773"/>
    </row>
    <row r="49" spans="1:18" x14ac:dyDescent="0.25">
      <c r="A49" s="2802"/>
      <c r="B49" s="706">
        <v>2054</v>
      </c>
      <c r="C49" s="1058">
        <f t="shared" si="4"/>
        <v>3181.9892206952627</v>
      </c>
      <c r="D49" s="1058">
        <f t="shared" si="5"/>
        <v>4.7634569172084777</v>
      </c>
      <c r="E49" s="1058">
        <f t="shared" si="6"/>
        <v>66.231104976866661</v>
      </c>
      <c r="F49" s="1058">
        <f t="shared" si="7"/>
        <v>299.71670923075737</v>
      </c>
      <c r="G49" s="1058">
        <f t="shared" si="8"/>
        <v>17.720059732015535</v>
      </c>
      <c r="H49" s="775">
        <v>97</v>
      </c>
      <c r="I49" s="827">
        <f>'Emission-Waste Transport Vehicl'!N68</f>
        <v>16.301268720000003</v>
      </c>
      <c r="J49" s="827">
        <f>'Emission-Waste Transport Vehicl'!P68</f>
        <v>9.0697543200000013</v>
      </c>
      <c r="K49" s="827">
        <f>'Emission-Waste Transport Vehicl'!Q68</f>
        <v>7.0438262400000005</v>
      </c>
      <c r="L49" s="827">
        <f>'Emission-Waste Transport Vehicl'!R68</f>
        <v>0.70107048000000005</v>
      </c>
      <c r="M49" s="827">
        <f t="shared" si="10"/>
        <v>308.65295440744046</v>
      </c>
      <c r="N49" s="830">
        <f t="shared" si="11"/>
        <v>77.650391243558204</v>
      </c>
      <c r="O49" s="830">
        <f t="shared" si="12"/>
        <v>600.69985048231001</v>
      </c>
      <c r="P49" s="830">
        <f t="shared" si="13"/>
        <v>2111.1524210460593</v>
      </c>
      <c r="Q49" s="830">
        <f t="shared" si="14"/>
        <v>12.423010781952804</v>
      </c>
      <c r="R49" s="2773"/>
    </row>
    <row r="50" spans="1:18" x14ac:dyDescent="0.25">
      <c r="A50" s="2802"/>
      <c r="B50" s="706">
        <v>2055</v>
      </c>
      <c r="C50" s="1058">
        <f t="shared" si="4"/>
        <v>3181.9892206952627</v>
      </c>
      <c r="D50" s="1058">
        <f t="shared" si="5"/>
        <v>4.7634569172084777</v>
      </c>
      <c r="E50" s="1058">
        <f t="shared" si="6"/>
        <v>66.231104976866661</v>
      </c>
      <c r="F50" s="1058">
        <f t="shared" si="7"/>
        <v>299.71670923075737</v>
      </c>
      <c r="G50" s="1058">
        <f t="shared" si="8"/>
        <v>17.720059732015535</v>
      </c>
      <c r="H50" s="775">
        <v>97</v>
      </c>
      <c r="I50" s="827">
        <f>'Emission-Waste Transport Vehicl'!N69</f>
        <v>15.981763853088003</v>
      </c>
      <c r="J50" s="827">
        <f>'Emission-Waste Transport Vehicl'!P69</f>
        <v>8.8919871353280016</v>
      </c>
      <c r="K50" s="827">
        <f>'Emission-Waste Transport Vehicl'!Q69</f>
        <v>6.9057672456960004</v>
      </c>
      <c r="L50" s="827">
        <f>'Emission-Waste Transport Vehicl'!R69</f>
        <v>0.6873294985920001</v>
      </c>
      <c r="M50" s="827">
        <f t="shared" si="10"/>
        <v>308.65295440744046</v>
      </c>
      <c r="N50" s="830">
        <f t="shared" si="11"/>
        <v>76.128443575184463</v>
      </c>
      <c r="O50" s="830">
        <f t="shared" si="12"/>
        <v>588.92613341285676</v>
      </c>
      <c r="P50" s="830">
        <f t="shared" si="13"/>
        <v>2069.7738335935564</v>
      </c>
      <c r="Q50" s="830">
        <f t="shared" si="14"/>
        <v>12.179519770626529</v>
      </c>
      <c r="R50" s="2773"/>
    </row>
    <row r="51" spans="1:18" x14ac:dyDescent="0.25">
      <c r="A51" s="2802"/>
      <c r="B51" s="706">
        <v>2056</v>
      </c>
      <c r="C51" s="1058">
        <f t="shared" si="4"/>
        <v>3181.9892206952627</v>
      </c>
      <c r="D51" s="1058">
        <f t="shared" si="5"/>
        <v>4.7634569172084777</v>
      </c>
      <c r="E51" s="1058">
        <f t="shared" si="6"/>
        <v>66.231104976866661</v>
      </c>
      <c r="F51" s="1058">
        <f t="shared" si="7"/>
        <v>299.71670923075737</v>
      </c>
      <c r="G51" s="1058">
        <f t="shared" si="8"/>
        <v>17.720059732015535</v>
      </c>
      <c r="H51" s="775">
        <v>97</v>
      </c>
      <c r="I51" s="827">
        <f>'Emission-Waste Transport Vehicl'!N70</f>
        <v>15.668779493664003</v>
      </c>
      <c r="J51" s="827">
        <f>'Emission-Waste Transport Vehicl'!P70</f>
        <v>8.7178478523840006</v>
      </c>
      <c r="K51" s="827">
        <f>'Emission-Waste Transport Vehicl'!Q70</f>
        <v>6.7705257818880007</v>
      </c>
      <c r="L51" s="827">
        <f>'Emission-Waste Transport Vehicl'!R70</f>
        <v>0.67386894537600017</v>
      </c>
      <c r="M51" s="827">
        <f t="shared" si="10"/>
        <v>308.65295440744046</v>
      </c>
      <c r="N51" s="830">
        <f t="shared" si="11"/>
        <v>74.637556063308139</v>
      </c>
      <c r="O51" s="830">
        <f t="shared" si="12"/>
        <v>577.39269628359636</v>
      </c>
      <c r="P51" s="830">
        <f t="shared" si="13"/>
        <v>2029.2397071094722</v>
      </c>
      <c r="Q51" s="830">
        <f t="shared" si="14"/>
        <v>11.940997963613038</v>
      </c>
      <c r="R51" s="2773"/>
    </row>
    <row r="52" spans="1:18" x14ac:dyDescent="0.25">
      <c r="A52" s="2802"/>
      <c r="B52" s="706">
        <v>2057</v>
      </c>
      <c r="C52" s="1058">
        <f t="shared" si="4"/>
        <v>3181.9892206952627</v>
      </c>
      <c r="D52" s="1058">
        <f t="shared" si="5"/>
        <v>4.7634569172084777</v>
      </c>
      <c r="E52" s="1058">
        <f t="shared" si="6"/>
        <v>66.231104976866661</v>
      </c>
      <c r="F52" s="1058">
        <f t="shared" si="7"/>
        <v>299.71670923075737</v>
      </c>
      <c r="G52" s="1058">
        <f t="shared" si="8"/>
        <v>17.720059732015535</v>
      </c>
      <c r="H52" s="775">
        <v>97</v>
      </c>
      <c r="I52" s="827">
        <f>'Emission-Waste Transport Vehicl'!N71</f>
        <v>15.362315641728001</v>
      </c>
      <c r="J52" s="827">
        <f>'Emission-Waste Transport Vehicl'!P71</f>
        <v>8.547336471168002</v>
      </c>
      <c r="K52" s="827">
        <f>'Emission-Waste Transport Vehicl'!Q71</f>
        <v>6.6381018485760004</v>
      </c>
      <c r="L52" s="827">
        <f>'Emission-Waste Transport Vehicl'!R71</f>
        <v>0.66068882035200005</v>
      </c>
      <c r="M52" s="827">
        <f t="shared" si="10"/>
        <v>308.65295440744046</v>
      </c>
      <c r="N52" s="830">
        <f t="shared" si="11"/>
        <v>73.177728707929248</v>
      </c>
      <c r="O52" s="830">
        <f t="shared" si="12"/>
        <v>566.09953909452895</v>
      </c>
      <c r="P52" s="830">
        <f t="shared" si="13"/>
        <v>1989.5500415938061</v>
      </c>
      <c r="Q52" s="830">
        <f t="shared" si="14"/>
        <v>11.707445360912322</v>
      </c>
      <c r="R52" s="2773"/>
    </row>
    <row r="53" spans="1:18" x14ac:dyDescent="0.25">
      <c r="A53" s="2802"/>
      <c r="B53" s="706">
        <v>2058</v>
      </c>
      <c r="C53" s="1058">
        <f t="shared" si="4"/>
        <v>3181.9892206952627</v>
      </c>
      <c r="D53" s="1058">
        <f t="shared" si="5"/>
        <v>4.7634569172084777</v>
      </c>
      <c r="E53" s="1058">
        <f t="shared" si="6"/>
        <v>66.231104976866661</v>
      </c>
      <c r="F53" s="1058">
        <f t="shared" si="7"/>
        <v>299.71670923075737</v>
      </c>
      <c r="G53" s="1058">
        <f t="shared" si="8"/>
        <v>17.720059732015535</v>
      </c>
      <c r="H53" s="775">
        <v>97</v>
      </c>
      <c r="I53" s="827">
        <f>'Emission-Waste Transport Vehicl'!N72</f>
        <v>15.059112043536</v>
      </c>
      <c r="J53" s="827">
        <f>'Emission-Waste Transport Vehicl'!P72</f>
        <v>8.378639040816001</v>
      </c>
      <c r="K53" s="827">
        <f>'Emission-Waste Transport Vehicl'!Q72</f>
        <v>6.5070866805119998</v>
      </c>
      <c r="L53" s="827">
        <f>'Emission-Waste Transport Vehicl'!R72</f>
        <v>0.647648909424</v>
      </c>
      <c r="M53" s="827">
        <f t="shared" si="10"/>
        <v>308.65295440744046</v>
      </c>
      <c r="N53" s="830">
        <f t="shared" si="11"/>
        <v>71.733431430799058</v>
      </c>
      <c r="O53" s="830">
        <f t="shared" si="12"/>
        <v>554.92652187555791</v>
      </c>
      <c r="P53" s="830">
        <f t="shared" si="13"/>
        <v>1950.2826065623492</v>
      </c>
      <c r="Q53" s="830">
        <f t="shared" si="14"/>
        <v>11.476377360368</v>
      </c>
      <c r="R53" s="2773"/>
    </row>
    <row r="54" spans="1:18" x14ac:dyDescent="0.25">
      <c r="A54" s="2802"/>
      <c r="B54" s="706">
        <v>2059</v>
      </c>
      <c r="C54" s="1058">
        <f t="shared" si="4"/>
        <v>3181.9892206952627</v>
      </c>
      <c r="D54" s="1058">
        <f t="shared" si="5"/>
        <v>4.7634569172084777</v>
      </c>
      <c r="E54" s="1058">
        <f t="shared" si="6"/>
        <v>66.231104976866661</v>
      </c>
      <c r="F54" s="1058">
        <f t="shared" si="7"/>
        <v>299.71670923075737</v>
      </c>
      <c r="G54" s="1058">
        <f t="shared" si="8"/>
        <v>17.720059732015535</v>
      </c>
      <c r="H54" s="775">
        <v>97</v>
      </c>
      <c r="I54" s="827">
        <f>'Emission-Waste Transport Vehicl'!N73</f>
        <v>14.765689206576004</v>
      </c>
      <c r="J54" s="827">
        <f>'Emission-Waste Transport Vehicl'!P73</f>
        <v>8.2153834630560016</v>
      </c>
      <c r="K54" s="827">
        <f>'Emission-Waste Transport Vehicl'!Q73</f>
        <v>6.380297808192001</v>
      </c>
      <c r="L54" s="827">
        <f>'Emission-Waste Transport Vehicl'!R73</f>
        <v>0.63502964078400004</v>
      </c>
      <c r="M54" s="827">
        <f t="shared" si="10"/>
        <v>308.65295440744046</v>
      </c>
      <c r="N54" s="830">
        <f t="shared" si="11"/>
        <v>70.335724388415031</v>
      </c>
      <c r="O54" s="830">
        <f t="shared" si="12"/>
        <v>544.11392456687645</v>
      </c>
      <c r="P54" s="830">
        <f t="shared" si="13"/>
        <v>1912.2818629835206</v>
      </c>
      <c r="Q54" s="830">
        <f t="shared" si="14"/>
        <v>11.25276316629285</v>
      </c>
      <c r="R54" s="2773"/>
    </row>
    <row r="55" spans="1:18" x14ac:dyDescent="0.25">
      <c r="A55" s="2802"/>
      <c r="B55" s="706">
        <v>2060</v>
      </c>
      <c r="C55" s="1058">
        <f t="shared" si="4"/>
        <v>3181.9892206952627</v>
      </c>
      <c r="D55" s="1058">
        <f t="shared" si="5"/>
        <v>4.7634569172084777</v>
      </c>
      <c r="E55" s="1058">
        <f t="shared" si="6"/>
        <v>66.231104976866661</v>
      </c>
      <c r="F55" s="1058">
        <f t="shared" si="7"/>
        <v>299.71670923075737</v>
      </c>
      <c r="G55" s="1058">
        <f t="shared" si="8"/>
        <v>17.720059732015535</v>
      </c>
      <c r="H55" s="775">
        <v>97</v>
      </c>
      <c r="I55" s="827">
        <f>'Emission-Waste Transport Vehicl'!N74</f>
        <v>14.475526623360002</v>
      </c>
      <c r="J55" s="827">
        <f>'Emission-Waste Transport Vehicl'!P74</f>
        <v>8.0539418361599999</v>
      </c>
      <c r="K55" s="827">
        <f>'Emission-Waste Transport Vehicl'!Q74</f>
        <v>6.2549177011200001</v>
      </c>
      <c r="L55" s="827">
        <f>'Emission-Waste Transport Vehicl'!R74</f>
        <v>0.62255058624000004</v>
      </c>
      <c r="M55" s="827">
        <f t="shared" si="10"/>
        <v>308.65295440744046</v>
      </c>
      <c r="N55" s="830">
        <f t="shared" si="11"/>
        <v>68.953547424279677</v>
      </c>
      <c r="O55" s="830">
        <f t="shared" si="12"/>
        <v>533.42146722829114</v>
      </c>
      <c r="P55" s="830">
        <f t="shared" si="13"/>
        <v>1874.7033498889004</v>
      </c>
      <c r="Q55" s="830">
        <f t="shared" si="14"/>
        <v>11.031633574374089</v>
      </c>
      <c r="R55" s="2773"/>
    </row>
    <row r="56" spans="1:18" x14ac:dyDescent="0.25">
      <c r="A56" s="2802"/>
      <c r="B56" s="706">
        <v>2061</v>
      </c>
      <c r="C56" s="1058">
        <f t="shared" si="4"/>
        <v>3181.9892206952627</v>
      </c>
      <c r="D56" s="1058">
        <f t="shared" si="5"/>
        <v>4.7634569172084777</v>
      </c>
      <c r="E56" s="1058">
        <f t="shared" si="6"/>
        <v>66.231104976866661</v>
      </c>
      <c r="F56" s="1058">
        <f t="shared" si="7"/>
        <v>299.71670923075737</v>
      </c>
      <c r="G56" s="1058">
        <f t="shared" si="8"/>
        <v>17.720059732015535</v>
      </c>
      <c r="H56" s="775">
        <v>97</v>
      </c>
      <c r="I56" s="827">
        <f>'Emission-Waste Transport Vehicl'!N75</f>
        <v>14.191884547632004</v>
      </c>
      <c r="J56" s="827">
        <f>'Emission-Waste Transport Vehicl'!P75</f>
        <v>7.8961281109920014</v>
      </c>
      <c r="K56" s="827">
        <f>'Emission-Waste Transport Vehicl'!Q75</f>
        <v>6.1323551245440004</v>
      </c>
      <c r="L56" s="827">
        <f>'Emission-Waste Transport Vehicl'!R75</f>
        <v>0.61035195988800006</v>
      </c>
      <c r="M56" s="827">
        <f t="shared" si="10"/>
        <v>308.65295440744046</v>
      </c>
      <c r="N56" s="830">
        <f t="shared" si="11"/>
        <v>67.602430616641783</v>
      </c>
      <c r="O56" s="830">
        <f t="shared" si="12"/>
        <v>522.96928982989914</v>
      </c>
      <c r="P56" s="830">
        <f t="shared" si="13"/>
        <v>1837.9692977626992</v>
      </c>
      <c r="Q56" s="830">
        <f t="shared" si="14"/>
        <v>10.815473186768111</v>
      </c>
      <c r="R56" s="2773"/>
    </row>
    <row r="57" spans="1:18" x14ac:dyDescent="0.25">
      <c r="A57" s="2802"/>
      <c r="B57" s="706">
        <v>2062</v>
      </c>
      <c r="C57" s="1058">
        <f t="shared" si="4"/>
        <v>3181.9892206952627</v>
      </c>
      <c r="D57" s="1058">
        <f t="shared" si="5"/>
        <v>4.7634569172084777</v>
      </c>
      <c r="E57" s="1058">
        <f t="shared" si="6"/>
        <v>66.231104976866661</v>
      </c>
      <c r="F57" s="1058">
        <f t="shared" si="7"/>
        <v>299.71670923075737</v>
      </c>
      <c r="G57" s="1058">
        <f t="shared" si="8"/>
        <v>17.720059732015535</v>
      </c>
      <c r="H57" s="775">
        <v>97</v>
      </c>
      <c r="I57" s="827">
        <f>'Emission-Waste Transport Vehicl'!N76</f>
        <v>13.914762979392002</v>
      </c>
      <c r="J57" s="827">
        <f>'Emission-Waste Transport Vehicl'!P76</f>
        <v>7.7419422875520008</v>
      </c>
      <c r="K57" s="827">
        <f>'Emission-Waste Transport Vehicl'!Q76</f>
        <v>6.0126100784640002</v>
      </c>
      <c r="L57" s="827">
        <f>'Emission-Waste Transport Vehicl'!R76</f>
        <v>0.59843376172800011</v>
      </c>
      <c r="M57" s="827">
        <f t="shared" si="10"/>
        <v>308.65295440744046</v>
      </c>
      <c r="N57" s="830">
        <f t="shared" si="11"/>
        <v>66.282373965501279</v>
      </c>
      <c r="O57" s="830">
        <f t="shared" si="12"/>
        <v>512.75739237169978</v>
      </c>
      <c r="P57" s="830">
        <f t="shared" si="13"/>
        <v>1802.0797066049161</v>
      </c>
      <c r="Q57" s="830">
        <f t="shared" si="14"/>
        <v>10.604282003474914</v>
      </c>
      <c r="R57" s="2773"/>
    </row>
    <row r="58" spans="1:18" x14ac:dyDescent="0.25">
      <c r="A58" s="2802"/>
      <c r="B58" s="706">
        <v>2063</v>
      </c>
      <c r="C58" s="1058">
        <f t="shared" si="4"/>
        <v>3181.9892206952627</v>
      </c>
      <c r="D58" s="1058">
        <f t="shared" si="5"/>
        <v>4.7634569172084777</v>
      </c>
      <c r="E58" s="1058">
        <f t="shared" si="6"/>
        <v>66.231104976866661</v>
      </c>
      <c r="F58" s="1058">
        <f t="shared" si="7"/>
        <v>299.71670923075737</v>
      </c>
      <c r="G58" s="1058">
        <f t="shared" si="8"/>
        <v>17.720059732015535</v>
      </c>
      <c r="H58" s="775">
        <v>97</v>
      </c>
      <c r="I58" s="827">
        <f>'Emission-Waste Transport Vehicl'!N77</f>
        <v>13.640901664896001</v>
      </c>
      <c r="J58" s="827">
        <f>'Emission-Waste Transport Vehicl'!P77</f>
        <v>7.5895704149760004</v>
      </c>
      <c r="K58" s="827">
        <f>'Emission-Waste Transport Vehicl'!Q77</f>
        <v>5.8942737976319997</v>
      </c>
      <c r="L58" s="827">
        <f>'Emission-Waste Transport Vehicl'!R77</f>
        <v>0.58665577766400001</v>
      </c>
      <c r="M58" s="827">
        <f t="shared" si="10"/>
        <v>308.65295440744046</v>
      </c>
      <c r="N58" s="830">
        <f t="shared" si="11"/>
        <v>64.97784739260949</v>
      </c>
      <c r="O58" s="830">
        <f t="shared" si="12"/>
        <v>502.66563488359697</v>
      </c>
      <c r="P58" s="830">
        <f t="shared" si="13"/>
        <v>1766.6123459313421</v>
      </c>
      <c r="Q58" s="830">
        <f t="shared" si="14"/>
        <v>10.395575422338105</v>
      </c>
      <c r="R58" s="2773"/>
    </row>
    <row r="59" spans="1:18" x14ac:dyDescent="0.25">
      <c r="A59" s="2802"/>
      <c r="B59" s="706">
        <v>2064</v>
      </c>
      <c r="C59" s="1058">
        <f t="shared" si="4"/>
        <v>3181.9892206952627</v>
      </c>
      <c r="D59" s="1058">
        <f t="shared" si="5"/>
        <v>4.7634569172084777</v>
      </c>
      <c r="E59" s="1058">
        <f t="shared" si="6"/>
        <v>66.231104976866661</v>
      </c>
      <c r="F59" s="1058">
        <f t="shared" si="7"/>
        <v>299.71670923075737</v>
      </c>
      <c r="G59" s="1058">
        <f t="shared" si="8"/>
        <v>17.720059732015535</v>
      </c>
      <c r="H59" s="775">
        <v>97</v>
      </c>
      <c r="I59" s="827">
        <f>'Emission-Waste Transport Vehicl'!N78</f>
        <v>13.373560857888002</v>
      </c>
      <c r="J59" s="827">
        <f>'Emission-Waste Transport Vehicl'!P78</f>
        <v>7.4408264441280014</v>
      </c>
      <c r="K59" s="827">
        <f>'Emission-Waste Transport Vehicl'!Q78</f>
        <v>5.7787550472960003</v>
      </c>
      <c r="L59" s="827">
        <f>'Emission-Waste Transport Vehicl'!R78</f>
        <v>0.57515822179200005</v>
      </c>
      <c r="M59" s="827">
        <f t="shared" si="10"/>
        <v>308.65295440744046</v>
      </c>
      <c r="N59" s="830">
        <f t="shared" si="11"/>
        <v>63.704380976215148</v>
      </c>
      <c r="O59" s="830">
        <f t="shared" si="12"/>
        <v>492.81415733568713</v>
      </c>
      <c r="P59" s="830">
        <f t="shared" si="13"/>
        <v>1731.9894462261868</v>
      </c>
      <c r="Q59" s="830">
        <f t="shared" si="14"/>
        <v>10.19183804551408</v>
      </c>
      <c r="R59" s="2773"/>
    </row>
    <row r="60" spans="1:18" x14ac:dyDescent="0.25">
      <c r="A60" s="2802"/>
      <c r="B60" s="706">
        <v>2065</v>
      </c>
      <c r="C60" s="1058">
        <f t="shared" si="4"/>
        <v>3181.9892206952627</v>
      </c>
      <c r="D60" s="1058">
        <f t="shared" si="5"/>
        <v>4.7634569172084777</v>
      </c>
      <c r="E60" s="1058">
        <f t="shared" si="6"/>
        <v>66.231104976866661</v>
      </c>
      <c r="F60" s="1058">
        <f t="shared" si="7"/>
        <v>299.71670923075737</v>
      </c>
      <c r="G60" s="1058">
        <f t="shared" si="8"/>
        <v>17.720059732015535</v>
      </c>
      <c r="H60" s="775">
        <v>97</v>
      </c>
      <c r="I60" s="827">
        <f>'Emission-Waste Transport Vehicl'!N79</f>
        <v>13.112740558368001</v>
      </c>
      <c r="J60" s="827">
        <f>'Emission-Waste Transport Vehicl'!P79</f>
        <v>7.2957103750080003</v>
      </c>
      <c r="K60" s="827">
        <f>'Emission-Waste Transport Vehicl'!Q79</f>
        <v>5.6660538274560004</v>
      </c>
      <c r="L60" s="827">
        <f>'Emission-Waste Transport Vehicl'!R79</f>
        <v>0.56394109411200011</v>
      </c>
      <c r="M60" s="827">
        <f t="shared" si="10"/>
        <v>308.65295440744046</v>
      </c>
      <c r="N60" s="830">
        <f t="shared" si="11"/>
        <v>62.46197471631821</v>
      </c>
      <c r="O60" s="830">
        <f t="shared" si="12"/>
        <v>483.2029597279701</v>
      </c>
      <c r="P60" s="830">
        <f t="shared" si="13"/>
        <v>1698.2110074894499</v>
      </c>
      <c r="Q60" s="830">
        <f t="shared" si="14"/>
        <v>9.9930698730028364</v>
      </c>
      <c r="R60" s="2773"/>
    </row>
    <row r="61" spans="1:18" x14ac:dyDescent="0.25">
      <c r="A61" s="2802"/>
      <c r="B61" s="706">
        <v>2066</v>
      </c>
      <c r="C61" s="1058">
        <f t="shared" si="4"/>
        <v>3181.9892206952627</v>
      </c>
      <c r="D61" s="1058">
        <f t="shared" si="5"/>
        <v>4.7634569172084777</v>
      </c>
      <c r="E61" s="1058">
        <f t="shared" si="6"/>
        <v>66.231104976866661</v>
      </c>
      <c r="F61" s="1058">
        <f t="shared" si="7"/>
        <v>299.71670923075737</v>
      </c>
      <c r="G61" s="1058">
        <f t="shared" si="8"/>
        <v>17.720059732015535</v>
      </c>
      <c r="H61" s="775">
        <v>97</v>
      </c>
      <c r="I61" s="827">
        <f>'Emission-Waste Transport Vehicl'!N80</f>
        <v>12.855180512592</v>
      </c>
      <c r="J61" s="827">
        <f>'Emission-Waste Transport Vehicl'!P80</f>
        <v>7.1524082567520004</v>
      </c>
      <c r="K61" s="827">
        <f>'Emission-Waste Transport Vehicl'!Q80</f>
        <v>5.5547613728639993</v>
      </c>
      <c r="L61" s="827">
        <f>'Emission-Waste Transport Vehicl'!R80</f>
        <v>0.55286418052800002</v>
      </c>
      <c r="M61" s="827">
        <f t="shared" si="10"/>
        <v>308.65295440744046</v>
      </c>
      <c r="N61" s="830">
        <f t="shared" si="11"/>
        <v>61.235098534669987</v>
      </c>
      <c r="O61" s="830">
        <f t="shared" si="12"/>
        <v>473.71190209034961</v>
      </c>
      <c r="P61" s="830">
        <f t="shared" si="13"/>
        <v>1664.854799236922</v>
      </c>
      <c r="Q61" s="830">
        <f t="shared" si="14"/>
        <v>9.7967863026479804</v>
      </c>
      <c r="R61" s="2773"/>
    </row>
    <row r="62" spans="1:18" x14ac:dyDescent="0.25">
      <c r="A62" s="2802"/>
      <c r="B62" s="706">
        <v>2067</v>
      </c>
      <c r="C62" s="1058">
        <f t="shared" si="4"/>
        <v>3181.9892206952627</v>
      </c>
      <c r="D62" s="1058">
        <f t="shared" si="5"/>
        <v>4.7634569172084777</v>
      </c>
      <c r="E62" s="1058">
        <f t="shared" si="6"/>
        <v>66.231104976866661</v>
      </c>
      <c r="F62" s="1058">
        <f t="shared" si="7"/>
        <v>299.71670923075737</v>
      </c>
      <c r="G62" s="1058">
        <f t="shared" si="8"/>
        <v>17.720059732015535</v>
      </c>
      <c r="H62" s="775">
        <v>97</v>
      </c>
      <c r="I62" s="827">
        <f>'Emission-Waste Transport Vehicl'!N81</f>
        <v>12.600880720560001</v>
      </c>
      <c r="J62" s="827">
        <f>'Emission-Waste Transport Vehicl'!P81</f>
        <v>7.0109200893600008</v>
      </c>
      <c r="K62" s="827">
        <f>'Emission-Waste Transport Vehicl'!Q81</f>
        <v>5.4448776835200006</v>
      </c>
      <c r="L62" s="827">
        <f>'Emission-Waste Transport Vehicl'!R81</f>
        <v>0.5419274810400001</v>
      </c>
      <c r="M62" s="827">
        <f t="shared" si="10"/>
        <v>308.65295440744046</v>
      </c>
      <c r="N62" s="830">
        <f t="shared" si="11"/>
        <v>60.023752431270488</v>
      </c>
      <c r="O62" s="830">
        <f t="shared" si="12"/>
        <v>464.34098442282561</v>
      </c>
      <c r="P62" s="830">
        <f t="shared" si="13"/>
        <v>1631.9208214686039</v>
      </c>
      <c r="Q62" s="830">
        <f t="shared" si="14"/>
        <v>9.6029873344495176</v>
      </c>
      <c r="R62" s="2773"/>
    </row>
    <row r="63" spans="1:18" x14ac:dyDescent="0.25">
      <c r="A63" s="2802"/>
      <c r="B63" s="706">
        <v>2068</v>
      </c>
      <c r="C63" s="1058">
        <f t="shared" si="4"/>
        <v>3181.9892206952627</v>
      </c>
      <c r="D63" s="1058">
        <f t="shared" si="5"/>
        <v>4.7634569172084777</v>
      </c>
      <c r="E63" s="1058">
        <f t="shared" si="6"/>
        <v>66.231104976866661</v>
      </c>
      <c r="F63" s="1058">
        <f t="shared" si="7"/>
        <v>299.71670923075737</v>
      </c>
      <c r="G63" s="1058">
        <f t="shared" si="8"/>
        <v>17.720059732015535</v>
      </c>
      <c r="H63" s="775">
        <v>97</v>
      </c>
      <c r="I63" s="827">
        <f>'Emission-Waste Transport Vehicl'!N82</f>
        <v>12.356361689760002</v>
      </c>
      <c r="J63" s="827">
        <f>'Emission-Waste Transport Vehicl'!P82</f>
        <v>6.8748737745600002</v>
      </c>
      <c r="K63" s="827">
        <f>'Emission-Waste Transport Vehicl'!Q82</f>
        <v>5.339220289920001</v>
      </c>
      <c r="L63" s="827">
        <f>'Emission-Waste Transport Vehicl'!R82</f>
        <v>0.53141142384000006</v>
      </c>
      <c r="M63" s="827">
        <f t="shared" si="10"/>
        <v>308.65295440744046</v>
      </c>
      <c r="N63" s="830">
        <f t="shared" si="11"/>
        <v>58.858996562617115</v>
      </c>
      <c r="O63" s="830">
        <f t="shared" si="12"/>
        <v>455.33048666559091</v>
      </c>
      <c r="P63" s="830">
        <f t="shared" si="13"/>
        <v>1600.2535351529129</v>
      </c>
      <c r="Q63" s="830">
        <f t="shared" si="14"/>
        <v>9.4166421727202252</v>
      </c>
      <c r="R63" s="2773"/>
    </row>
    <row r="64" spans="1:18" ht="15.75" thickBot="1" x14ac:dyDescent="0.3">
      <c r="A64" s="2807"/>
      <c r="B64" s="55">
        <v>2069</v>
      </c>
      <c r="C64" s="1060">
        <f t="shared" si="4"/>
        <v>3181.9892206952627</v>
      </c>
      <c r="D64" s="1060">
        <f t="shared" si="5"/>
        <v>4.7634569172084777</v>
      </c>
      <c r="E64" s="1060">
        <f t="shared" si="6"/>
        <v>66.231104976866661</v>
      </c>
      <c r="F64" s="1060">
        <f t="shared" si="7"/>
        <v>299.71670923075737</v>
      </c>
      <c r="G64" s="1060">
        <f t="shared" si="8"/>
        <v>17.720059732015535</v>
      </c>
      <c r="H64" s="776">
        <v>97</v>
      </c>
      <c r="I64" s="1062">
        <f>'Emission-Waste Transport Vehicl'!N83</f>
        <v>12.111842658960002</v>
      </c>
      <c r="J64" s="1062">
        <f>'Emission-Waste Transport Vehicl'!P83</f>
        <v>6.7388274597600004</v>
      </c>
      <c r="K64" s="1062">
        <f>'Emission-Waste Transport Vehicl'!Q83</f>
        <v>5.2335628963200005</v>
      </c>
      <c r="L64" s="1062">
        <f>'Emission-Waste Transport Vehicl'!R83</f>
        <v>0.52089536664000002</v>
      </c>
      <c r="M64" s="1062">
        <f t="shared" si="10"/>
        <v>308.65295440744046</v>
      </c>
      <c r="N64" s="1063">
        <f t="shared" si="11"/>
        <v>57.694240693963742</v>
      </c>
      <c r="O64" s="1063">
        <f t="shared" si="12"/>
        <v>446.31998890835627</v>
      </c>
      <c r="P64" s="1063">
        <f t="shared" si="13"/>
        <v>1568.586248837222</v>
      </c>
      <c r="Q64" s="1063">
        <f t="shared" si="14"/>
        <v>9.2302970109909328</v>
      </c>
      <c r="R64" s="2774"/>
    </row>
    <row r="65" spans="1:18" ht="15.75" thickBot="1" x14ac:dyDescent="0.3"/>
    <row r="66" spans="1:18" ht="48.75" customHeight="1" thickBot="1" x14ac:dyDescent="0.3">
      <c r="A66" s="2871" t="s">
        <v>1334</v>
      </c>
      <c r="B66" s="2872"/>
      <c r="C66" s="2872"/>
      <c r="D66" s="2872"/>
      <c r="E66" s="2872"/>
      <c r="F66" s="2872"/>
      <c r="G66" s="2872"/>
      <c r="H66" s="2872"/>
      <c r="I66" s="2872"/>
      <c r="J66" s="2872"/>
      <c r="K66" s="2872"/>
      <c r="L66" s="2872"/>
      <c r="M66" s="2872"/>
      <c r="N66" s="2872"/>
      <c r="O66" s="2872"/>
      <c r="P66" s="2872"/>
      <c r="Q66" s="2872"/>
      <c r="R66" s="2873"/>
    </row>
    <row r="67" spans="1:18" ht="135.75" thickBot="1" x14ac:dyDescent="0.3">
      <c r="A67" s="1041" t="s">
        <v>1130</v>
      </c>
      <c r="B67" s="1868" t="s">
        <v>177</v>
      </c>
      <c r="C67" s="1869" t="s">
        <v>1244</v>
      </c>
      <c r="D67" s="1869" t="s">
        <v>1103</v>
      </c>
      <c r="E67" s="1869" t="s">
        <v>1104</v>
      </c>
      <c r="F67" s="1869" t="s">
        <v>1243</v>
      </c>
      <c r="G67" s="1869" t="s">
        <v>1242</v>
      </c>
      <c r="H67" s="1869" t="s">
        <v>272</v>
      </c>
      <c r="I67" s="1869" t="s">
        <v>1080</v>
      </c>
      <c r="J67" s="1869" t="s">
        <v>273</v>
      </c>
      <c r="K67" s="1869" t="s">
        <v>455</v>
      </c>
      <c r="L67" s="1869" t="s">
        <v>274</v>
      </c>
      <c r="M67" s="1869" t="s">
        <v>1117</v>
      </c>
      <c r="N67" s="1869" t="s">
        <v>1079</v>
      </c>
      <c r="O67" s="1869" t="s">
        <v>271</v>
      </c>
      <c r="P67" s="1869" t="s">
        <v>277</v>
      </c>
      <c r="Q67" s="1869" t="s">
        <v>278</v>
      </c>
      <c r="R67" s="1870" t="s">
        <v>316</v>
      </c>
    </row>
    <row r="68" spans="1:18" x14ac:dyDescent="0.25">
      <c r="A68" s="2801" t="s">
        <v>1129</v>
      </c>
      <c r="B68" s="1117">
        <v>2019</v>
      </c>
      <c r="C68" s="1200">
        <f t="shared" ref="C68:C99" si="15">$M$10</f>
        <v>89362.451766831029</v>
      </c>
      <c r="D68" s="1200">
        <f t="shared" ref="D68:D99" si="16">$L$10</f>
        <v>38.107655337667822</v>
      </c>
      <c r="E68" s="1200">
        <f t="shared" ref="E68:E99" si="17">$I$10</f>
        <v>238.17284586042385</v>
      </c>
      <c r="F68" s="1059">
        <f t="shared" ref="F68:F99" si="18">$J$10</f>
        <v>2.5722667352925779</v>
      </c>
      <c r="G68" s="1200">
        <f t="shared" ref="G68:G99" si="19">$K$10</f>
        <v>81.931458975985805</v>
      </c>
      <c r="H68" s="732">
        <v>62</v>
      </c>
      <c r="I68" s="1072">
        <f>'Emission-Waste Transport Vehicl'!N33</f>
        <v>32.602537440000006</v>
      </c>
      <c r="J68" s="1072">
        <f>'Emission-Waste Transport Vehicl'!P33</f>
        <v>18.139508640000003</v>
      </c>
      <c r="K68" s="1072">
        <f>'Emission-Waste Transport Vehicl'!Q33</f>
        <v>14.087652480000001</v>
      </c>
      <c r="L68" s="1072">
        <f>'Emission-Waste Transport Vehicl'!R33</f>
        <v>1.4021409600000001</v>
      </c>
      <c r="M68" s="1072">
        <f t="shared" ref="M68:M118" si="20">(C68/1000)*H68</f>
        <v>5540.4720095435241</v>
      </c>
      <c r="N68" s="1118">
        <f t="shared" ref="N68:N118" si="21">D68*I68</f>
        <v>1242.4062598969313</v>
      </c>
      <c r="O68" s="1118">
        <f t="shared" ref="O68:O118" si="22">E68*J68</f>
        <v>4320.3383952985469</v>
      </c>
      <c r="P68" s="1118">
        <f t="shared" ref="P68:P118" si="23">F68*K68</f>
        <v>36.237199852665988</v>
      </c>
      <c r="Q68" s="1118">
        <f t="shared" ref="Q68:Q118" si="24">G68*L68</f>
        <v>114.87945454278936</v>
      </c>
      <c r="R68" s="2804">
        <f>(SUM(M68:M118)*1.2682)+(SUM(N68:N118))+(SUM(O68:O118))+(SUM(P68:P118))+(SUM(Q68:Q118))</f>
        <v>683298.699889626</v>
      </c>
    </row>
    <row r="69" spans="1:18" x14ac:dyDescent="0.25">
      <c r="A69" s="2802"/>
      <c r="B69" s="706">
        <v>2020</v>
      </c>
      <c r="C69" s="1134">
        <f t="shared" si="15"/>
        <v>89362.451766831029</v>
      </c>
      <c r="D69" s="1134">
        <f t="shared" si="16"/>
        <v>38.107655337667822</v>
      </c>
      <c r="E69" s="1134">
        <f t="shared" si="17"/>
        <v>238.17284586042385</v>
      </c>
      <c r="F69" s="1058">
        <f t="shared" si="18"/>
        <v>2.5722667352925779</v>
      </c>
      <c r="G69" s="1134">
        <f t="shared" si="19"/>
        <v>81.931458975985805</v>
      </c>
      <c r="H69" s="775">
        <v>64</v>
      </c>
      <c r="I69" s="827">
        <f>'Emission-Waste Transport Vehicl'!N34</f>
        <v>31.963527706176006</v>
      </c>
      <c r="J69" s="827">
        <f>'Emission-Waste Transport Vehicl'!P34</f>
        <v>17.783974270656003</v>
      </c>
      <c r="K69" s="827">
        <f>'Emission-Waste Transport Vehicl'!Q34</f>
        <v>13.811534491392001</v>
      </c>
      <c r="L69" s="827">
        <f>'Emission-Waste Transport Vehicl'!R34</f>
        <v>1.3746589971840002</v>
      </c>
      <c r="M69" s="827">
        <f t="shared" si="20"/>
        <v>5719.1969130771859</v>
      </c>
      <c r="N69" s="830">
        <f t="shared" si="21"/>
        <v>1218.0550972029514</v>
      </c>
      <c r="O69" s="830">
        <f t="shared" si="22"/>
        <v>4235.6597627506962</v>
      </c>
      <c r="P69" s="830">
        <f t="shared" si="23"/>
        <v>35.52695073555374</v>
      </c>
      <c r="Q69" s="830">
        <f t="shared" si="24"/>
        <v>112.6278172337507</v>
      </c>
      <c r="R69" s="2773"/>
    </row>
    <row r="70" spans="1:18" x14ac:dyDescent="0.25">
      <c r="A70" s="2802"/>
      <c r="B70" s="706">
        <v>2021</v>
      </c>
      <c r="C70" s="1134">
        <f t="shared" si="15"/>
        <v>89362.451766831029</v>
      </c>
      <c r="D70" s="1134">
        <f t="shared" si="16"/>
        <v>38.107655337667822</v>
      </c>
      <c r="E70" s="1134">
        <f t="shared" si="17"/>
        <v>238.17284586042385</v>
      </c>
      <c r="F70" s="1058">
        <f t="shared" si="18"/>
        <v>2.5722667352925779</v>
      </c>
      <c r="G70" s="1134">
        <f t="shared" si="19"/>
        <v>81.931458975985805</v>
      </c>
      <c r="H70" s="775">
        <v>65</v>
      </c>
      <c r="I70" s="827">
        <f>'Emission-Waste Transport Vehicl'!N35</f>
        <v>31.337558987328006</v>
      </c>
      <c r="J70" s="827">
        <f>'Emission-Waste Transport Vehicl'!P35</f>
        <v>17.435695704768001</v>
      </c>
      <c r="K70" s="827">
        <f>'Emission-Waste Transport Vehicl'!Q35</f>
        <v>13.541051563776001</v>
      </c>
      <c r="L70" s="827">
        <f>'Emission-Waste Transport Vehicl'!R35</f>
        <v>1.3477378907520003</v>
      </c>
      <c r="M70" s="827">
        <f t="shared" si="20"/>
        <v>5808.5593648440172</v>
      </c>
      <c r="N70" s="830">
        <f t="shared" si="21"/>
        <v>1194.2008970129302</v>
      </c>
      <c r="O70" s="830">
        <f t="shared" si="22"/>
        <v>4152.7092655609631</v>
      </c>
      <c r="P70" s="830">
        <f t="shared" si="23"/>
        <v>34.831196498382553</v>
      </c>
      <c r="Q70" s="830">
        <f t="shared" si="24"/>
        <v>110.42213170652916</v>
      </c>
      <c r="R70" s="2773"/>
    </row>
    <row r="71" spans="1:18" x14ac:dyDescent="0.25">
      <c r="A71" s="2802"/>
      <c r="B71" s="706">
        <v>2022</v>
      </c>
      <c r="C71" s="1134">
        <f t="shared" si="15"/>
        <v>89362.451766831029</v>
      </c>
      <c r="D71" s="1134">
        <f t="shared" si="16"/>
        <v>38.107655337667822</v>
      </c>
      <c r="E71" s="1134">
        <f t="shared" si="17"/>
        <v>238.17284586042385</v>
      </c>
      <c r="F71" s="1058">
        <f t="shared" si="18"/>
        <v>2.5722667352925779</v>
      </c>
      <c r="G71" s="1134">
        <f t="shared" si="19"/>
        <v>81.931458975985805</v>
      </c>
      <c r="H71" s="775">
        <v>66</v>
      </c>
      <c r="I71" s="827">
        <f>'Emission-Waste Transport Vehicl'!N36</f>
        <v>30.721371029712003</v>
      </c>
      <c r="J71" s="827">
        <f>'Emission-Waste Transport Vehicl'!P36</f>
        <v>17.092858991472003</v>
      </c>
      <c r="K71" s="827">
        <f>'Emission-Waste Transport Vehicl'!Q36</f>
        <v>13.274794931903999</v>
      </c>
      <c r="L71" s="827">
        <f>'Emission-Waste Transport Vehicl'!R36</f>
        <v>1.3212374266080003</v>
      </c>
      <c r="M71" s="827">
        <f t="shared" si="20"/>
        <v>5897.9218166108476</v>
      </c>
      <c r="N71" s="830">
        <f t="shared" si="21"/>
        <v>1170.7194187008781</v>
      </c>
      <c r="O71" s="830">
        <f t="shared" si="22"/>
        <v>4071.054869889821</v>
      </c>
      <c r="P71" s="830">
        <f t="shared" si="23"/>
        <v>34.146313421167157</v>
      </c>
      <c r="Q71" s="830">
        <f t="shared" si="24"/>
        <v>108.25091001567043</v>
      </c>
      <c r="R71" s="2773"/>
    </row>
    <row r="72" spans="1:18" x14ac:dyDescent="0.25">
      <c r="A72" s="2802"/>
      <c r="B72" s="706">
        <v>2023</v>
      </c>
      <c r="C72" s="1134">
        <f t="shared" si="15"/>
        <v>89362.451766831029</v>
      </c>
      <c r="D72" s="1134">
        <f t="shared" si="16"/>
        <v>38.107655337667822</v>
      </c>
      <c r="E72" s="1134">
        <f t="shared" si="17"/>
        <v>238.17284586042385</v>
      </c>
      <c r="F72" s="1058">
        <f t="shared" si="18"/>
        <v>2.5722667352925779</v>
      </c>
      <c r="G72" s="1134">
        <f t="shared" si="19"/>
        <v>81.931458975985805</v>
      </c>
      <c r="H72" s="775">
        <v>67</v>
      </c>
      <c r="I72" s="827">
        <f>'Emission-Waste Transport Vehicl'!N37</f>
        <v>30.118224087072001</v>
      </c>
      <c r="J72" s="827">
        <f>'Emission-Waste Transport Vehicl'!P37</f>
        <v>16.757278081632002</v>
      </c>
      <c r="K72" s="827">
        <f>'Emission-Waste Transport Vehicl'!Q37</f>
        <v>13.014173361024</v>
      </c>
      <c r="L72" s="827">
        <f>'Emission-Waste Transport Vehicl'!R37</f>
        <v>1.295297818848</v>
      </c>
      <c r="M72" s="827">
        <f t="shared" si="20"/>
        <v>5987.2842683776789</v>
      </c>
      <c r="N72" s="830">
        <f t="shared" si="21"/>
        <v>1147.7349028927849</v>
      </c>
      <c r="O72" s="830">
        <f t="shared" si="22"/>
        <v>3991.1286095767978</v>
      </c>
      <c r="P72" s="830">
        <f t="shared" si="23"/>
        <v>33.475925223892837</v>
      </c>
      <c r="Q72" s="830">
        <f t="shared" si="24"/>
        <v>106.12564010662881</v>
      </c>
      <c r="R72" s="2773"/>
    </row>
    <row r="73" spans="1:18" x14ac:dyDescent="0.25">
      <c r="A73" s="2802"/>
      <c r="B73" s="706">
        <v>2024</v>
      </c>
      <c r="C73" s="1134">
        <f t="shared" si="15"/>
        <v>89362.451766831029</v>
      </c>
      <c r="D73" s="1134">
        <f t="shared" si="16"/>
        <v>38.107655337667822</v>
      </c>
      <c r="E73" s="1134">
        <f t="shared" si="17"/>
        <v>238.17284586042385</v>
      </c>
      <c r="F73" s="1058">
        <f t="shared" si="18"/>
        <v>2.5722667352925779</v>
      </c>
      <c r="G73" s="1134">
        <f t="shared" si="19"/>
        <v>81.931458975985805</v>
      </c>
      <c r="H73" s="775">
        <v>68</v>
      </c>
      <c r="I73" s="827">
        <f>'Emission-Waste Transport Vehicl'!N38</f>
        <v>29.528118159408002</v>
      </c>
      <c r="J73" s="827">
        <f>'Emission-Waste Transport Vehicl'!P38</f>
        <v>16.428952975248002</v>
      </c>
      <c r="K73" s="827">
        <f>'Emission-Waste Transport Vehicl'!Q38</f>
        <v>12.759186851135999</v>
      </c>
      <c r="L73" s="827">
        <f>'Emission-Waste Transport Vehicl'!R38</f>
        <v>1.269919067472</v>
      </c>
      <c r="M73" s="827">
        <f t="shared" si="20"/>
        <v>6076.6467201445103</v>
      </c>
      <c r="N73" s="830">
        <f t="shared" si="21"/>
        <v>1125.2473495886504</v>
      </c>
      <c r="O73" s="830">
        <f t="shared" si="22"/>
        <v>3912.9304846218943</v>
      </c>
      <c r="P73" s="830">
        <f t="shared" si="23"/>
        <v>32.820031906559585</v>
      </c>
      <c r="Q73" s="830">
        <f t="shared" si="24"/>
        <v>104.04632197940431</v>
      </c>
      <c r="R73" s="2773"/>
    </row>
    <row r="74" spans="1:18" x14ac:dyDescent="0.25">
      <c r="A74" s="2802"/>
      <c r="B74" s="706">
        <v>2025</v>
      </c>
      <c r="C74" s="1134">
        <f t="shared" si="15"/>
        <v>89362.451766831029</v>
      </c>
      <c r="D74" s="1134">
        <f t="shared" si="16"/>
        <v>38.107655337667822</v>
      </c>
      <c r="E74" s="1134">
        <f t="shared" si="17"/>
        <v>238.17284586042385</v>
      </c>
      <c r="F74" s="1058">
        <f t="shared" si="18"/>
        <v>2.5722667352925779</v>
      </c>
      <c r="G74" s="1134">
        <f t="shared" si="19"/>
        <v>81.931458975985805</v>
      </c>
      <c r="H74" s="775">
        <v>69</v>
      </c>
      <c r="I74" s="827">
        <f>'Emission-Waste Transport Vehicl'!N39</f>
        <v>28.951053246720004</v>
      </c>
      <c r="J74" s="827">
        <f>'Emission-Waste Transport Vehicl'!P39</f>
        <v>16.10788367232</v>
      </c>
      <c r="K74" s="827">
        <f>'Emission-Waste Transport Vehicl'!Q39</f>
        <v>12.50983540224</v>
      </c>
      <c r="L74" s="827">
        <f>'Emission-Waste Transport Vehicl'!R39</f>
        <v>1.2451011724800001</v>
      </c>
      <c r="M74" s="827">
        <f t="shared" si="20"/>
        <v>6166.0091719113407</v>
      </c>
      <c r="N74" s="830">
        <f t="shared" si="21"/>
        <v>1103.2567587884748</v>
      </c>
      <c r="O74" s="830">
        <f t="shared" si="22"/>
        <v>3836.4604950251096</v>
      </c>
      <c r="P74" s="830">
        <f t="shared" si="23"/>
        <v>32.178633469167401</v>
      </c>
      <c r="Q74" s="830">
        <f t="shared" si="24"/>
        <v>102.01295563399695</v>
      </c>
      <c r="R74" s="2773"/>
    </row>
    <row r="75" spans="1:18" x14ac:dyDescent="0.25">
      <c r="A75" s="2802"/>
      <c r="B75" s="706">
        <v>2026</v>
      </c>
      <c r="C75" s="1134">
        <f t="shared" si="15"/>
        <v>89362.451766831029</v>
      </c>
      <c r="D75" s="1134">
        <f t="shared" si="16"/>
        <v>38.107655337667822</v>
      </c>
      <c r="E75" s="1134">
        <f t="shared" si="17"/>
        <v>238.17284586042385</v>
      </c>
      <c r="F75" s="1058">
        <f t="shared" si="18"/>
        <v>2.5722667352925779</v>
      </c>
      <c r="G75" s="1134">
        <f t="shared" si="19"/>
        <v>81.931458975985805</v>
      </c>
      <c r="H75" s="775">
        <v>70</v>
      </c>
      <c r="I75" s="827">
        <f>'Emission-Waste Transport Vehicl'!N40</f>
        <v>28.383769095264007</v>
      </c>
      <c r="J75" s="827">
        <f>'Emission-Waste Transport Vehicl'!P40</f>
        <v>15.792256221984003</v>
      </c>
      <c r="K75" s="827">
        <f>'Emission-Waste Transport Vehicl'!Q40</f>
        <v>12.264710249088001</v>
      </c>
      <c r="L75" s="827">
        <f>'Emission-Waste Transport Vehicl'!R40</f>
        <v>1.2207039197760001</v>
      </c>
      <c r="M75" s="827">
        <f t="shared" si="20"/>
        <v>6255.371623678172</v>
      </c>
      <c r="N75" s="830">
        <f t="shared" si="21"/>
        <v>1081.6388898662685</v>
      </c>
      <c r="O75" s="830">
        <f t="shared" si="22"/>
        <v>3761.2866069469155</v>
      </c>
      <c r="P75" s="830">
        <f t="shared" si="23"/>
        <v>31.548106191731012</v>
      </c>
      <c r="Q75" s="830">
        <f t="shared" si="24"/>
        <v>100.01405312495243</v>
      </c>
      <c r="R75" s="2773"/>
    </row>
    <row r="76" spans="1:18" x14ac:dyDescent="0.25">
      <c r="A76" s="2802"/>
      <c r="B76" s="706">
        <v>2027</v>
      </c>
      <c r="C76" s="1134">
        <f t="shared" si="15"/>
        <v>89362.451766831029</v>
      </c>
      <c r="D76" s="1134">
        <f t="shared" si="16"/>
        <v>38.107655337667822</v>
      </c>
      <c r="E76" s="1134">
        <f t="shared" si="17"/>
        <v>238.17284586042385</v>
      </c>
      <c r="F76" s="1058">
        <f t="shared" si="18"/>
        <v>2.5722667352925779</v>
      </c>
      <c r="G76" s="1134">
        <f t="shared" si="19"/>
        <v>81.931458975985805</v>
      </c>
      <c r="H76" s="775">
        <v>71</v>
      </c>
      <c r="I76" s="827">
        <f>'Emission-Waste Transport Vehicl'!N41</f>
        <v>27.826265705040004</v>
      </c>
      <c r="J76" s="827">
        <f>'Emission-Waste Transport Vehicl'!P41</f>
        <v>15.482070624240002</v>
      </c>
      <c r="K76" s="827">
        <f>'Emission-Waste Transport Vehicl'!Q41</f>
        <v>12.023811391680001</v>
      </c>
      <c r="L76" s="827">
        <f>'Emission-Waste Transport Vehicl'!R41</f>
        <v>1.1967273093600002</v>
      </c>
      <c r="M76" s="827">
        <f t="shared" si="20"/>
        <v>6344.7340754450033</v>
      </c>
      <c r="N76" s="830">
        <f t="shared" si="21"/>
        <v>1060.3937428220308</v>
      </c>
      <c r="O76" s="830">
        <f t="shared" si="22"/>
        <v>3687.4088203873102</v>
      </c>
      <c r="P76" s="830">
        <f t="shared" si="23"/>
        <v>30.928450074250424</v>
      </c>
      <c r="Q76" s="830">
        <f t="shared" si="24"/>
        <v>98.049614452270731</v>
      </c>
      <c r="R76" s="2773"/>
    </row>
    <row r="77" spans="1:18" x14ac:dyDescent="0.25">
      <c r="A77" s="2802"/>
      <c r="B77" s="706">
        <v>2028</v>
      </c>
      <c r="C77" s="1134">
        <f t="shared" si="15"/>
        <v>89362.451766831029</v>
      </c>
      <c r="D77" s="1134">
        <f t="shared" si="16"/>
        <v>38.107655337667822</v>
      </c>
      <c r="E77" s="1134">
        <f t="shared" si="17"/>
        <v>238.17284586042385</v>
      </c>
      <c r="F77" s="1058">
        <f t="shared" si="18"/>
        <v>2.5722667352925779</v>
      </c>
      <c r="G77" s="1134">
        <f t="shared" si="19"/>
        <v>81.931458975985805</v>
      </c>
      <c r="H77" s="775">
        <v>72</v>
      </c>
      <c r="I77" s="827">
        <f>'Emission-Waste Transport Vehicl'!N42</f>
        <v>27.281803329792002</v>
      </c>
      <c r="J77" s="827">
        <f>'Emission-Waste Transport Vehicl'!P42</f>
        <v>15.179140829952001</v>
      </c>
      <c r="K77" s="827">
        <f>'Emission-Waste Transport Vehicl'!Q42</f>
        <v>11.788547595263999</v>
      </c>
      <c r="L77" s="827">
        <f>'Emission-Waste Transport Vehicl'!R42</f>
        <v>1.173311555328</v>
      </c>
      <c r="M77" s="827">
        <f t="shared" si="20"/>
        <v>6434.0965272118337</v>
      </c>
      <c r="N77" s="830">
        <f t="shared" si="21"/>
        <v>1039.6455582817518</v>
      </c>
      <c r="O77" s="830">
        <f t="shared" si="22"/>
        <v>3615.2591691858238</v>
      </c>
      <c r="P77" s="830">
        <f t="shared" si="23"/>
        <v>30.323288836710898</v>
      </c>
      <c r="Q77" s="830">
        <f t="shared" si="24"/>
        <v>96.131127561406132</v>
      </c>
      <c r="R77" s="2773"/>
    </row>
    <row r="78" spans="1:18" x14ac:dyDescent="0.25">
      <c r="A78" s="2802"/>
      <c r="B78" s="706">
        <v>2029</v>
      </c>
      <c r="C78" s="1134">
        <f t="shared" si="15"/>
        <v>89362.451766831029</v>
      </c>
      <c r="D78" s="1134">
        <f t="shared" si="16"/>
        <v>38.107655337667822</v>
      </c>
      <c r="E78" s="1134">
        <f t="shared" si="17"/>
        <v>238.17284586042385</v>
      </c>
      <c r="F78" s="1058">
        <f t="shared" si="18"/>
        <v>2.5722667352925779</v>
      </c>
      <c r="G78" s="1134">
        <f t="shared" si="19"/>
        <v>81.931458975985805</v>
      </c>
      <c r="H78" s="775">
        <v>73</v>
      </c>
      <c r="I78" s="827">
        <f>'Emission-Waste Transport Vehicl'!N43</f>
        <v>26.743861462032005</v>
      </c>
      <c r="J78" s="827">
        <f>'Emission-Waste Transport Vehicl'!P43</f>
        <v>14.879838937392002</v>
      </c>
      <c r="K78" s="827">
        <f>'Emission-Waste Transport Vehicl'!Q43</f>
        <v>11.556101329344001</v>
      </c>
      <c r="L78" s="827">
        <f>'Emission-Waste Transport Vehicl'!R43</f>
        <v>1.1501762294880002</v>
      </c>
      <c r="M78" s="827">
        <f t="shared" si="20"/>
        <v>6523.4589789786651</v>
      </c>
      <c r="N78" s="830">
        <f t="shared" si="21"/>
        <v>1019.1458549934526</v>
      </c>
      <c r="O78" s="830">
        <f t="shared" si="22"/>
        <v>3543.9735856633984</v>
      </c>
      <c r="P78" s="830">
        <f t="shared" si="23"/>
        <v>29.725375039141912</v>
      </c>
      <c r="Q78" s="830">
        <f t="shared" si="24"/>
        <v>94.235616561450129</v>
      </c>
      <c r="R78" s="2773"/>
    </row>
    <row r="79" spans="1:18" x14ac:dyDescent="0.25">
      <c r="A79" s="2802"/>
      <c r="B79" s="706">
        <v>2030</v>
      </c>
      <c r="C79" s="1134">
        <f t="shared" si="15"/>
        <v>89362.451766831029</v>
      </c>
      <c r="D79" s="1134">
        <f t="shared" si="16"/>
        <v>38.107655337667822</v>
      </c>
      <c r="E79" s="1134">
        <f t="shared" si="17"/>
        <v>238.17284586042385</v>
      </c>
      <c r="F79" s="1058">
        <f t="shared" si="18"/>
        <v>2.5722667352925779</v>
      </c>
      <c r="G79" s="1134">
        <f t="shared" si="19"/>
        <v>81.931458975985805</v>
      </c>
      <c r="H79" s="775">
        <v>75</v>
      </c>
      <c r="I79" s="827">
        <f>'Emission-Waste Transport Vehicl'!N44</f>
        <v>26.222220862992003</v>
      </c>
      <c r="J79" s="827">
        <f>'Emission-Waste Transport Vehicl'!P44</f>
        <v>14.589606799152003</v>
      </c>
      <c r="K79" s="827">
        <f>'Emission-Waste Transport Vehicl'!Q44</f>
        <v>11.330698889664001</v>
      </c>
      <c r="L79" s="827">
        <f>'Emission-Waste Transport Vehicl'!R44</f>
        <v>1.1277419741280001</v>
      </c>
      <c r="M79" s="827">
        <f t="shared" si="20"/>
        <v>6702.1838825123268</v>
      </c>
      <c r="N79" s="830">
        <f t="shared" si="21"/>
        <v>999.26735483510174</v>
      </c>
      <c r="O79" s="830">
        <f t="shared" si="22"/>
        <v>3474.8481713386218</v>
      </c>
      <c r="P79" s="830">
        <f t="shared" si="23"/>
        <v>29.145579841499256</v>
      </c>
      <c r="Q79" s="830">
        <f t="shared" si="24"/>
        <v>92.397545288765485</v>
      </c>
      <c r="R79" s="2773"/>
    </row>
    <row r="80" spans="1:18" x14ac:dyDescent="0.25">
      <c r="A80" s="2802"/>
      <c r="B80" s="706">
        <v>2031</v>
      </c>
      <c r="C80" s="1134">
        <f t="shared" si="15"/>
        <v>89362.451766831029</v>
      </c>
      <c r="D80" s="1134">
        <f t="shared" si="16"/>
        <v>38.107655337667822</v>
      </c>
      <c r="E80" s="1134">
        <f t="shared" si="17"/>
        <v>238.17284586042385</v>
      </c>
      <c r="F80" s="1058">
        <f t="shared" si="18"/>
        <v>2.5722667352925779</v>
      </c>
      <c r="G80" s="1134">
        <f t="shared" si="19"/>
        <v>81.931458975985805</v>
      </c>
      <c r="H80" s="775">
        <v>76</v>
      </c>
      <c r="I80" s="827">
        <f>'Emission-Waste Transport Vehicl'!N45</f>
        <v>25.70710077144</v>
      </c>
      <c r="J80" s="827">
        <f>'Emission-Waste Transport Vehicl'!P45</f>
        <v>14.303002562640001</v>
      </c>
      <c r="K80" s="827">
        <f>'Emission-Waste Transport Vehicl'!Q45</f>
        <v>11.108113980480001</v>
      </c>
      <c r="L80" s="827">
        <f>'Emission-Waste Transport Vehicl'!R45</f>
        <v>1.1055881469600002</v>
      </c>
      <c r="M80" s="827">
        <f t="shared" si="20"/>
        <v>6791.5463342791581</v>
      </c>
      <c r="N80" s="830">
        <f t="shared" si="21"/>
        <v>979.63733592873007</v>
      </c>
      <c r="O80" s="830">
        <f t="shared" si="22"/>
        <v>3406.5868246929044</v>
      </c>
      <c r="P80" s="830">
        <f t="shared" si="23"/>
        <v>28.573032083827133</v>
      </c>
      <c r="Q80" s="830">
        <f t="shared" si="24"/>
        <v>90.582449906989424</v>
      </c>
      <c r="R80" s="2773"/>
    </row>
    <row r="81" spans="1:18" x14ac:dyDescent="0.25">
      <c r="A81" s="2802"/>
      <c r="B81" s="706">
        <v>2032</v>
      </c>
      <c r="C81" s="1134">
        <f t="shared" si="15"/>
        <v>89362.451766831029</v>
      </c>
      <c r="D81" s="1134">
        <f t="shared" si="16"/>
        <v>38.107655337667822</v>
      </c>
      <c r="E81" s="1134">
        <f t="shared" si="17"/>
        <v>238.17284586042385</v>
      </c>
      <c r="F81" s="1058">
        <f t="shared" si="18"/>
        <v>2.5722667352925779</v>
      </c>
      <c r="G81" s="1134">
        <f t="shared" si="19"/>
        <v>81.931458975985805</v>
      </c>
      <c r="H81" s="775">
        <v>77</v>
      </c>
      <c r="I81" s="827">
        <f>'Emission-Waste Transport Vehicl'!N46</f>
        <v>25.201761441120002</v>
      </c>
      <c r="J81" s="827">
        <f>'Emission-Waste Transport Vehicl'!P46</f>
        <v>14.021840178720002</v>
      </c>
      <c r="K81" s="827">
        <f>'Emission-Waste Transport Vehicl'!Q46</f>
        <v>10.889755367040001</v>
      </c>
      <c r="L81" s="827">
        <f>'Emission-Waste Transport Vehicl'!R46</f>
        <v>1.0838549620800002</v>
      </c>
      <c r="M81" s="827">
        <f t="shared" si="20"/>
        <v>6880.9087860459895</v>
      </c>
      <c r="N81" s="830">
        <f t="shared" si="21"/>
        <v>960.3800389003278</v>
      </c>
      <c r="O81" s="830">
        <f t="shared" si="22"/>
        <v>3339.6215795657768</v>
      </c>
      <c r="P81" s="830">
        <f t="shared" si="23"/>
        <v>28.011355486110812</v>
      </c>
      <c r="Q81" s="830">
        <f t="shared" si="24"/>
        <v>88.801818361576181</v>
      </c>
      <c r="R81" s="2773"/>
    </row>
    <row r="82" spans="1:18" x14ac:dyDescent="0.25">
      <c r="A82" s="2802"/>
      <c r="B82" s="706">
        <v>2033</v>
      </c>
      <c r="C82" s="1134">
        <f t="shared" si="15"/>
        <v>89362.451766831029</v>
      </c>
      <c r="D82" s="1134">
        <f t="shared" si="16"/>
        <v>38.107655337667822</v>
      </c>
      <c r="E82" s="1134">
        <f t="shared" si="17"/>
        <v>238.17284586042385</v>
      </c>
      <c r="F82" s="1058">
        <f t="shared" si="18"/>
        <v>2.5722667352925779</v>
      </c>
      <c r="G82" s="1134">
        <f t="shared" si="19"/>
        <v>81.931458975985805</v>
      </c>
      <c r="H82" s="775">
        <v>78</v>
      </c>
      <c r="I82" s="827">
        <f>'Emission-Waste Transport Vehicl'!N47</f>
        <v>24.709463125776001</v>
      </c>
      <c r="J82" s="827">
        <f>'Emission-Waste Transport Vehicl'!P47</f>
        <v>13.747933598256003</v>
      </c>
      <c r="K82" s="827">
        <f>'Emission-Waste Transport Vehicl'!Q47</f>
        <v>10.677031814592</v>
      </c>
      <c r="L82" s="827">
        <f>'Emission-Waste Transport Vehicl'!R47</f>
        <v>1.0626826335840001</v>
      </c>
      <c r="M82" s="827">
        <f t="shared" si="20"/>
        <v>6970.2712378128199</v>
      </c>
      <c r="N82" s="830">
        <f t="shared" si="21"/>
        <v>941.619704375884</v>
      </c>
      <c r="O82" s="830">
        <f t="shared" si="22"/>
        <v>3274.3844697967693</v>
      </c>
      <c r="P82" s="830">
        <f t="shared" si="23"/>
        <v>27.464173768335552</v>
      </c>
      <c r="Q82" s="830">
        <f t="shared" si="24"/>
        <v>87.067138597980062</v>
      </c>
      <c r="R82" s="2773"/>
    </row>
    <row r="83" spans="1:18" x14ac:dyDescent="0.25">
      <c r="A83" s="2802"/>
      <c r="B83" s="706">
        <v>2034</v>
      </c>
      <c r="C83" s="1134">
        <f t="shared" si="15"/>
        <v>89362.451766831029</v>
      </c>
      <c r="D83" s="1134">
        <f t="shared" si="16"/>
        <v>38.107655337667822</v>
      </c>
      <c r="E83" s="1134">
        <f t="shared" si="17"/>
        <v>238.17284586042385</v>
      </c>
      <c r="F83" s="1058">
        <f t="shared" si="18"/>
        <v>2.5722667352925779</v>
      </c>
      <c r="G83" s="1134">
        <f t="shared" si="19"/>
        <v>81.931458975985805</v>
      </c>
      <c r="H83" s="775">
        <v>79</v>
      </c>
      <c r="I83" s="827">
        <f>'Emission-Waste Transport Vehicl'!N48</f>
        <v>24.223685317920005</v>
      </c>
      <c r="J83" s="827">
        <f>'Emission-Waste Transport Vehicl'!P48</f>
        <v>13.477654919520001</v>
      </c>
      <c r="K83" s="827">
        <f>'Emission-Waste Transport Vehicl'!Q48</f>
        <v>10.467125792640001</v>
      </c>
      <c r="L83" s="827">
        <f>'Emission-Waste Transport Vehicl'!R48</f>
        <v>1.04179073328</v>
      </c>
      <c r="M83" s="827">
        <f t="shared" si="20"/>
        <v>7059.6336895796512</v>
      </c>
      <c r="N83" s="830">
        <f t="shared" si="21"/>
        <v>923.10785110341988</v>
      </c>
      <c r="O83" s="830">
        <f t="shared" si="22"/>
        <v>3210.0114277068205</v>
      </c>
      <c r="P83" s="830">
        <f t="shared" si="23"/>
        <v>26.92423949053083</v>
      </c>
      <c r="Q83" s="830">
        <f t="shared" si="24"/>
        <v>85.355434725292497</v>
      </c>
      <c r="R83" s="2773"/>
    </row>
    <row r="84" spans="1:18" x14ac:dyDescent="0.25">
      <c r="A84" s="2802"/>
      <c r="B84" s="706">
        <v>2035</v>
      </c>
      <c r="C84" s="1134">
        <f t="shared" si="15"/>
        <v>89362.451766831029</v>
      </c>
      <c r="D84" s="1134">
        <f t="shared" si="16"/>
        <v>38.107655337667822</v>
      </c>
      <c r="E84" s="1134">
        <f t="shared" si="17"/>
        <v>238.17284586042385</v>
      </c>
      <c r="F84" s="1058">
        <f t="shared" si="18"/>
        <v>2.5722667352925779</v>
      </c>
      <c r="G84" s="1134">
        <f t="shared" si="19"/>
        <v>81.931458975985805</v>
      </c>
      <c r="H84" s="775">
        <v>80</v>
      </c>
      <c r="I84" s="827">
        <f>'Emission-Waste Transport Vehicl'!N49</f>
        <v>23.747688271296006</v>
      </c>
      <c r="J84" s="827">
        <f>'Emission-Waste Transport Vehicl'!P49</f>
        <v>13.212818093376002</v>
      </c>
      <c r="K84" s="827">
        <f>'Emission-Waste Transport Vehicl'!Q49</f>
        <v>10.261446066432002</v>
      </c>
      <c r="L84" s="827">
        <f>'Emission-Waste Transport Vehicl'!R49</f>
        <v>1.0213194752640002</v>
      </c>
      <c r="M84" s="827">
        <f t="shared" si="20"/>
        <v>7148.9961413464825</v>
      </c>
      <c r="N84" s="830">
        <f t="shared" si="21"/>
        <v>904.96871970892482</v>
      </c>
      <c r="O84" s="830">
        <f t="shared" si="22"/>
        <v>3146.9344871354619</v>
      </c>
      <c r="P84" s="830">
        <f t="shared" si="23"/>
        <v>26.395176372681913</v>
      </c>
      <c r="Q84" s="830">
        <f t="shared" si="24"/>
        <v>83.678194688967778</v>
      </c>
      <c r="R84" s="2773"/>
    </row>
    <row r="85" spans="1:18" x14ac:dyDescent="0.25">
      <c r="A85" s="2802"/>
      <c r="B85" s="706">
        <v>2036</v>
      </c>
      <c r="C85" s="1134">
        <f t="shared" si="15"/>
        <v>89362.451766831029</v>
      </c>
      <c r="D85" s="1134">
        <f t="shared" si="16"/>
        <v>38.107655337667822</v>
      </c>
      <c r="E85" s="1134">
        <f t="shared" si="17"/>
        <v>238.17284586042385</v>
      </c>
      <c r="F85" s="1058">
        <f t="shared" si="18"/>
        <v>2.5722667352925779</v>
      </c>
      <c r="G85" s="1134">
        <f t="shared" si="19"/>
        <v>81.931458975985805</v>
      </c>
      <c r="H85" s="775">
        <v>81</v>
      </c>
      <c r="I85" s="827">
        <f>'Emission-Waste Transport Vehicl'!N50</f>
        <v>23.284732239648001</v>
      </c>
      <c r="J85" s="827">
        <f>'Emission-Waste Transport Vehicl'!P50</f>
        <v>12.955237070688</v>
      </c>
      <c r="K85" s="827">
        <f>'Emission-Waste Transport Vehicl'!Q50</f>
        <v>10.061401401215999</v>
      </c>
      <c r="L85" s="827">
        <f>'Emission-Waste Transport Vehicl'!R50</f>
        <v>1.001409073632</v>
      </c>
      <c r="M85" s="827">
        <f t="shared" si="20"/>
        <v>7238.358593113313</v>
      </c>
      <c r="N85" s="830">
        <f t="shared" si="21"/>
        <v>887.32655081838811</v>
      </c>
      <c r="O85" s="830">
        <f t="shared" si="22"/>
        <v>3085.5856819222217</v>
      </c>
      <c r="P85" s="830">
        <f t="shared" si="23"/>
        <v>25.880608134774047</v>
      </c>
      <c r="Q85" s="830">
        <f t="shared" si="24"/>
        <v>82.046906434460155</v>
      </c>
      <c r="R85" s="2773"/>
    </row>
    <row r="86" spans="1:18" x14ac:dyDescent="0.25">
      <c r="A86" s="2802"/>
      <c r="B86" s="706">
        <v>2037</v>
      </c>
      <c r="C86" s="1134">
        <f t="shared" si="15"/>
        <v>89362.451766831029</v>
      </c>
      <c r="D86" s="1134">
        <f t="shared" si="16"/>
        <v>38.107655337667822</v>
      </c>
      <c r="E86" s="1134">
        <f t="shared" si="17"/>
        <v>238.17284586042385</v>
      </c>
      <c r="F86" s="1058">
        <f t="shared" si="18"/>
        <v>2.5722667352925779</v>
      </c>
      <c r="G86" s="1134">
        <f t="shared" si="19"/>
        <v>81.931458975985805</v>
      </c>
      <c r="H86" s="775">
        <v>83</v>
      </c>
      <c r="I86" s="827">
        <f>'Emission-Waste Transport Vehicl'!N51</f>
        <v>22.828296715488005</v>
      </c>
      <c r="J86" s="827">
        <f>'Emission-Waste Transport Vehicl'!P51</f>
        <v>12.701283949728003</v>
      </c>
      <c r="K86" s="827">
        <f>'Emission-Waste Transport Vehicl'!Q51</f>
        <v>9.8641742664960006</v>
      </c>
      <c r="L86" s="827">
        <f>'Emission-Waste Transport Vehicl'!R51</f>
        <v>0.9817791001920001</v>
      </c>
      <c r="M86" s="827">
        <f t="shared" si="20"/>
        <v>7417.0834966469756</v>
      </c>
      <c r="N86" s="830">
        <f t="shared" si="21"/>
        <v>869.93286317983132</v>
      </c>
      <c r="O86" s="830">
        <f t="shared" si="22"/>
        <v>3025.100944388043</v>
      </c>
      <c r="P86" s="830">
        <f t="shared" si="23"/>
        <v>25.373287336836725</v>
      </c>
      <c r="Q86" s="830">
        <f t="shared" si="24"/>
        <v>80.438594070861114</v>
      </c>
      <c r="R86" s="2773"/>
    </row>
    <row r="87" spans="1:18" x14ac:dyDescent="0.25">
      <c r="A87" s="2802"/>
      <c r="B87" s="706">
        <v>2038</v>
      </c>
      <c r="C87" s="1134">
        <f t="shared" si="15"/>
        <v>89362.451766831029</v>
      </c>
      <c r="D87" s="1134">
        <f t="shared" si="16"/>
        <v>38.107655337667822</v>
      </c>
      <c r="E87" s="1134">
        <f t="shared" si="17"/>
        <v>238.17284586042385</v>
      </c>
      <c r="F87" s="1058">
        <f t="shared" si="18"/>
        <v>2.5722667352925779</v>
      </c>
      <c r="G87" s="1134">
        <f t="shared" si="19"/>
        <v>81.931458975985805</v>
      </c>
      <c r="H87" s="775">
        <v>84</v>
      </c>
      <c r="I87" s="827">
        <f>'Emission-Waste Transport Vehicl'!N52</f>
        <v>22.378381698816003</v>
      </c>
      <c r="J87" s="827">
        <f>'Emission-Waste Transport Vehicl'!P52</f>
        <v>12.450958730496001</v>
      </c>
      <c r="K87" s="827">
        <f>'Emission-Waste Transport Vehicl'!Q52</f>
        <v>9.6697646622720015</v>
      </c>
      <c r="L87" s="827">
        <f>'Emission-Waste Transport Vehicl'!R52</f>
        <v>0.96242955494400007</v>
      </c>
      <c r="M87" s="827">
        <f t="shared" si="20"/>
        <v>7506.445948413806</v>
      </c>
      <c r="N87" s="830">
        <f t="shared" si="21"/>
        <v>852.78765679325352</v>
      </c>
      <c r="O87" s="830">
        <f t="shared" si="22"/>
        <v>2965.480274532923</v>
      </c>
      <c r="P87" s="830">
        <f t="shared" si="23"/>
        <v>24.873213978869938</v>
      </c>
      <c r="Q87" s="830">
        <f t="shared" si="24"/>
        <v>78.853257598170615</v>
      </c>
      <c r="R87" s="2773"/>
    </row>
    <row r="88" spans="1:18" x14ac:dyDescent="0.25">
      <c r="A88" s="2802"/>
      <c r="B88" s="706">
        <v>2039</v>
      </c>
      <c r="C88" s="1134">
        <f t="shared" si="15"/>
        <v>89362.451766831029</v>
      </c>
      <c r="D88" s="1134">
        <f t="shared" si="16"/>
        <v>38.107655337667822</v>
      </c>
      <c r="E88" s="1134">
        <f t="shared" si="17"/>
        <v>238.17284586042385</v>
      </c>
      <c r="F88" s="1058">
        <f t="shared" si="18"/>
        <v>2.5722667352925779</v>
      </c>
      <c r="G88" s="1134">
        <f t="shared" si="19"/>
        <v>81.931458975985805</v>
      </c>
      <c r="H88" s="775">
        <v>85</v>
      </c>
      <c r="I88" s="827">
        <f>'Emission-Waste Transport Vehicl'!N53</f>
        <v>21.941507697120006</v>
      </c>
      <c r="J88" s="827">
        <f>'Emission-Waste Transport Vehicl'!P53</f>
        <v>12.207889314720003</v>
      </c>
      <c r="K88" s="827">
        <f>'Emission-Waste Transport Vehicl'!Q53</f>
        <v>9.4809901190400012</v>
      </c>
      <c r="L88" s="827">
        <f>'Emission-Waste Transport Vehicl'!R53</f>
        <v>0.9436408660800002</v>
      </c>
      <c r="M88" s="827">
        <f t="shared" si="20"/>
        <v>7595.8084001806374</v>
      </c>
      <c r="N88" s="830">
        <f t="shared" si="21"/>
        <v>836.13941291063475</v>
      </c>
      <c r="O88" s="830">
        <f t="shared" si="22"/>
        <v>2907.5877400359227</v>
      </c>
      <c r="P88" s="830">
        <f t="shared" si="23"/>
        <v>24.387635500844212</v>
      </c>
      <c r="Q88" s="830">
        <f t="shared" si="24"/>
        <v>77.313872907297252</v>
      </c>
      <c r="R88" s="2773"/>
    </row>
    <row r="89" spans="1:18" x14ac:dyDescent="0.25">
      <c r="A89" s="2802"/>
      <c r="B89" s="706">
        <v>2040</v>
      </c>
      <c r="C89" s="1134">
        <f t="shared" si="15"/>
        <v>89362.451766831029</v>
      </c>
      <c r="D89" s="1134">
        <f t="shared" si="16"/>
        <v>38.107655337667822</v>
      </c>
      <c r="E89" s="1134">
        <f t="shared" si="17"/>
        <v>238.17284586042385</v>
      </c>
      <c r="F89" s="1058">
        <f t="shared" si="18"/>
        <v>2.5722667352925779</v>
      </c>
      <c r="G89" s="1134">
        <f t="shared" si="19"/>
        <v>81.931458975985805</v>
      </c>
      <c r="H89" s="775">
        <v>86</v>
      </c>
      <c r="I89" s="827">
        <f>'Emission-Waste Transport Vehicl'!N54</f>
        <v>21.511154202912003</v>
      </c>
      <c r="J89" s="827">
        <f>'Emission-Waste Transport Vehicl'!P54</f>
        <v>11.968447800672001</v>
      </c>
      <c r="K89" s="827">
        <f>'Emission-Waste Transport Vehicl'!Q54</f>
        <v>9.2950331063040004</v>
      </c>
      <c r="L89" s="827">
        <f>'Emission-Waste Transport Vehicl'!R54</f>
        <v>0.92513260540800013</v>
      </c>
      <c r="M89" s="827">
        <f t="shared" si="20"/>
        <v>7685.1708519474687</v>
      </c>
      <c r="N89" s="830">
        <f t="shared" si="21"/>
        <v>819.7396502799952</v>
      </c>
      <c r="O89" s="830">
        <f t="shared" si="22"/>
        <v>2850.5592732179812</v>
      </c>
      <c r="P89" s="830">
        <f t="shared" si="23"/>
        <v>23.90930446278902</v>
      </c>
      <c r="Q89" s="830">
        <f t="shared" si="24"/>
        <v>75.797464107332431</v>
      </c>
      <c r="R89" s="2773"/>
    </row>
    <row r="90" spans="1:18" x14ac:dyDescent="0.25">
      <c r="A90" s="2802"/>
      <c r="B90" s="706">
        <v>2041</v>
      </c>
      <c r="C90" s="1134">
        <f t="shared" si="15"/>
        <v>89362.451766831029</v>
      </c>
      <c r="D90" s="1134">
        <f t="shared" si="16"/>
        <v>38.107655337667822</v>
      </c>
      <c r="E90" s="1134">
        <f t="shared" si="17"/>
        <v>238.17284586042385</v>
      </c>
      <c r="F90" s="1058">
        <f t="shared" si="18"/>
        <v>2.5722667352925779</v>
      </c>
      <c r="G90" s="1134">
        <f t="shared" si="19"/>
        <v>81.931458975985805</v>
      </c>
      <c r="H90" s="775">
        <v>87</v>
      </c>
      <c r="I90" s="827">
        <f>'Emission-Waste Transport Vehicl'!N55</f>
        <v>21.087321216192002</v>
      </c>
      <c r="J90" s="827">
        <f>'Emission-Waste Transport Vehicl'!P55</f>
        <v>11.732634188352002</v>
      </c>
      <c r="K90" s="827">
        <f>'Emission-Waste Transport Vehicl'!Q55</f>
        <v>9.1118936240640007</v>
      </c>
      <c r="L90" s="827">
        <f>'Emission-Waste Transport Vehicl'!R55</f>
        <v>0.9069047729280002</v>
      </c>
      <c r="M90" s="827">
        <f t="shared" si="20"/>
        <v>7774.5333037142991</v>
      </c>
      <c r="N90" s="830">
        <f t="shared" si="21"/>
        <v>803.58836890133512</v>
      </c>
      <c r="O90" s="830">
        <f t="shared" si="22"/>
        <v>2794.3948740791002</v>
      </c>
      <c r="P90" s="830">
        <f t="shared" si="23"/>
        <v>23.438220864704363</v>
      </c>
      <c r="Q90" s="830">
        <f t="shared" si="24"/>
        <v>74.304031198276164</v>
      </c>
      <c r="R90" s="2773"/>
    </row>
    <row r="91" spans="1:18" x14ac:dyDescent="0.25">
      <c r="A91" s="2802"/>
      <c r="B91" s="706">
        <v>2042</v>
      </c>
      <c r="C91" s="1134">
        <f t="shared" si="15"/>
        <v>89362.451766831029</v>
      </c>
      <c r="D91" s="1134">
        <f t="shared" si="16"/>
        <v>38.107655337667822</v>
      </c>
      <c r="E91" s="1134">
        <f t="shared" si="17"/>
        <v>238.17284586042385</v>
      </c>
      <c r="F91" s="1058">
        <f t="shared" si="18"/>
        <v>2.5722667352925779</v>
      </c>
      <c r="G91" s="1134">
        <f t="shared" si="19"/>
        <v>81.931458975985805</v>
      </c>
      <c r="H91" s="775">
        <v>88</v>
      </c>
      <c r="I91" s="827">
        <f>'Emission-Waste Transport Vehicl'!N56</f>
        <v>20.676529244448002</v>
      </c>
      <c r="J91" s="827">
        <f>'Emission-Waste Transport Vehicl'!P56</f>
        <v>11.504076379488001</v>
      </c>
      <c r="K91" s="827">
        <f>'Emission-Waste Transport Vehicl'!Q56</f>
        <v>8.9343892028159999</v>
      </c>
      <c r="L91" s="827">
        <f>'Emission-Waste Transport Vehicl'!R56</f>
        <v>0.8892377968320001</v>
      </c>
      <c r="M91" s="827">
        <f t="shared" si="20"/>
        <v>7863.8957554811304</v>
      </c>
      <c r="N91" s="830">
        <f t="shared" si="21"/>
        <v>787.93405002663371</v>
      </c>
      <c r="O91" s="830">
        <f t="shared" si="22"/>
        <v>2739.9586102983385</v>
      </c>
      <c r="P91" s="830">
        <f t="shared" si="23"/>
        <v>22.98163214656077</v>
      </c>
      <c r="Q91" s="830">
        <f t="shared" si="24"/>
        <v>72.85655007103702</v>
      </c>
      <c r="R91" s="2773"/>
    </row>
    <row r="92" spans="1:18" x14ac:dyDescent="0.25">
      <c r="A92" s="2802"/>
      <c r="B92" s="706">
        <v>2043</v>
      </c>
      <c r="C92" s="1134">
        <f t="shared" si="15"/>
        <v>89362.451766831029</v>
      </c>
      <c r="D92" s="1134">
        <f t="shared" si="16"/>
        <v>38.107655337667822</v>
      </c>
      <c r="E92" s="1134">
        <f t="shared" si="17"/>
        <v>238.17284586042385</v>
      </c>
      <c r="F92" s="1058">
        <f t="shared" si="18"/>
        <v>2.5722667352925779</v>
      </c>
      <c r="G92" s="1134">
        <f t="shared" si="19"/>
        <v>81.931458975985805</v>
      </c>
      <c r="H92" s="775">
        <v>89</v>
      </c>
      <c r="I92" s="827">
        <f>'Emission-Waste Transport Vehicl'!N57</f>
        <v>20.268997526448004</v>
      </c>
      <c r="J92" s="827">
        <f>'Emission-Waste Transport Vehicl'!P57</f>
        <v>11.277332521488001</v>
      </c>
      <c r="K92" s="827">
        <f>'Emission-Waste Transport Vehicl'!Q57</f>
        <v>8.7582935468160006</v>
      </c>
      <c r="L92" s="827">
        <f>'Emission-Waste Transport Vehicl'!R57</f>
        <v>0.87171103483200019</v>
      </c>
      <c r="M92" s="827">
        <f t="shared" si="20"/>
        <v>7953.2582072479618</v>
      </c>
      <c r="N92" s="830">
        <f t="shared" si="21"/>
        <v>772.40397177792215</v>
      </c>
      <c r="O92" s="830">
        <f t="shared" si="22"/>
        <v>2685.9543803571064</v>
      </c>
      <c r="P92" s="830">
        <f t="shared" si="23"/>
        <v>22.528667148402448</v>
      </c>
      <c r="Q92" s="830">
        <f t="shared" si="24"/>
        <v>71.420556889252154</v>
      </c>
      <c r="R92" s="2773"/>
    </row>
    <row r="93" spans="1:18" x14ac:dyDescent="0.25">
      <c r="A93" s="2802"/>
      <c r="B93" s="706">
        <v>2044</v>
      </c>
      <c r="C93" s="1134">
        <f t="shared" si="15"/>
        <v>89362.451766831029</v>
      </c>
      <c r="D93" s="1134">
        <f t="shared" si="16"/>
        <v>38.107655337667822</v>
      </c>
      <c r="E93" s="1134">
        <f t="shared" si="17"/>
        <v>238.17284586042385</v>
      </c>
      <c r="F93" s="1058">
        <f t="shared" si="18"/>
        <v>2.5722667352925779</v>
      </c>
      <c r="G93" s="1134">
        <f t="shared" si="19"/>
        <v>81.931458975985805</v>
      </c>
      <c r="H93" s="775">
        <v>90</v>
      </c>
      <c r="I93" s="827">
        <f>'Emission-Waste Transport Vehicl'!N58</f>
        <v>19.871246569680004</v>
      </c>
      <c r="J93" s="827">
        <f>'Emission-Waste Transport Vehicl'!P58</f>
        <v>11.056030516080002</v>
      </c>
      <c r="K93" s="827">
        <f>'Emission-Waste Transport Vehicl'!Q58</f>
        <v>8.5864241865600004</v>
      </c>
      <c r="L93" s="827">
        <f>'Emission-Waste Transport Vehicl'!R58</f>
        <v>0.85460491512000014</v>
      </c>
      <c r="M93" s="827">
        <f t="shared" si="20"/>
        <v>8042.6206590147922</v>
      </c>
      <c r="N93" s="830">
        <f t="shared" si="21"/>
        <v>757.24661540717955</v>
      </c>
      <c r="O93" s="830">
        <f t="shared" si="22"/>
        <v>2633.2462519344645</v>
      </c>
      <c r="P93" s="830">
        <f t="shared" si="23"/>
        <v>22.08657331019992</v>
      </c>
      <c r="Q93" s="830">
        <f t="shared" si="24"/>
        <v>70.01902754383012</v>
      </c>
      <c r="R93" s="2773"/>
    </row>
    <row r="94" spans="1:18" x14ac:dyDescent="0.25">
      <c r="A94" s="2802"/>
      <c r="B94" s="706">
        <v>2045</v>
      </c>
      <c r="C94" s="1134">
        <f t="shared" si="15"/>
        <v>89362.451766831029</v>
      </c>
      <c r="D94" s="1134">
        <f t="shared" si="16"/>
        <v>38.107655337667822</v>
      </c>
      <c r="E94" s="1134">
        <f t="shared" si="17"/>
        <v>238.17284586042385</v>
      </c>
      <c r="F94" s="1058">
        <f t="shared" si="18"/>
        <v>2.5722667352925779</v>
      </c>
      <c r="G94" s="1134">
        <f t="shared" si="19"/>
        <v>81.931458975985805</v>
      </c>
      <c r="H94" s="775">
        <v>92</v>
      </c>
      <c r="I94" s="827">
        <f>'Emission-Waste Transport Vehicl'!N59</f>
        <v>19.483276374144001</v>
      </c>
      <c r="J94" s="827">
        <f>'Emission-Waste Transport Vehicl'!P59</f>
        <v>10.840170363264003</v>
      </c>
      <c r="K94" s="827">
        <f>'Emission-Waste Transport Vehicl'!Q59</f>
        <v>8.4187811220480011</v>
      </c>
      <c r="L94" s="827">
        <f>'Emission-Waste Transport Vehicl'!R59</f>
        <v>0.83791943769600008</v>
      </c>
      <c r="M94" s="827">
        <f t="shared" si="20"/>
        <v>8221.3455625484548</v>
      </c>
      <c r="N94" s="830">
        <f t="shared" si="21"/>
        <v>742.46198091440601</v>
      </c>
      <c r="O94" s="830">
        <f t="shared" si="22"/>
        <v>2581.8342250304122</v>
      </c>
      <c r="P94" s="830">
        <f t="shared" si="23"/>
        <v>21.655350631953198</v>
      </c>
      <c r="Q94" s="830">
        <f t="shared" si="24"/>
        <v>68.651962034770918</v>
      </c>
      <c r="R94" s="2773"/>
    </row>
    <row r="95" spans="1:18" x14ac:dyDescent="0.25">
      <c r="A95" s="2802"/>
      <c r="B95" s="706">
        <v>2046</v>
      </c>
      <c r="C95" s="1134">
        <f t="shared" si="15"/>
        <v>89362.451766831029</v>
      </c>
      <c r="D95" s="1134">
        <f t="shared" si="16"/>
        <v>38.107655337667822</v>
      </c>
      <c r="E95" s="1134">
        <f t="shared" si="17"/>
        <v>238.17284586042385</v>
      </c>
      <c r="F95" s="1058">
        <f t="shared" si="18"/>
        <v>2.5722667352925779</v>
      </c>
      <c r="G95" s="1134">
        <f t="shared" si="19"/>
        <v>81.931458975985805</v>
      </c>
      <c r="H95" s="775">
        <v>93</v>
      </c>
      <c r="I95" s="827">
        <f>'Emission-Waste Transport Vehicl'!N60</f>
        <v>19.101826686096</v>
      </c>
      <c r="J95" s="827">
        <f>'Emission-Waste Transport Vehicl'!P60</f>
        <v>10.627938112176002</v>
      </c>
      <c r="K95" s="827">
        <f>'Emission-Waste Transport Vehicl'!Q60</f>
        <v>8.2539555880319995</v>
      </c>
      <c r="L95" s="827">
        <f>'Emission-Waste Transport Vehicl'!R60</f>
        <v>0.82151438846400004</v>
      </c>
      <c r="M95" s="827">
        <f t="shared" si="20"/>
        <v>8310.7080143152853</v>
      </c>
      <c r="N95" s="830">
        <f t="shared" si="21"/>
        <v>727.92582767361193</v>
      </c>
      <c r="O95" s="830">
        <f t="shared" si="22"/>
        <v>2531.2862658054191</v>
      </c>
      <c r="P95" s="830">
        <f t="shared" si="23"/>
        <v>21.231375393677002</v>
      </c>
      <c r="Q95" s="830">
        <f t="shared" si="24"/>
        <v>67.307872416620285</v>
      </c>
      <c r="R95" s="2773"/>
    </row>
    <row r="96" spans="1:18" x14ac:dyDescent="0.25">
      <c r="A96" s="2802"/>
      <c r="B96" s="706">
        <v>2047</v>
      </c>
      <c r="C96" s="1134">
        <f t="shared" si="15"/>
        <v>89362.451766831029</v>
      </c>
      <c r="D96" s="1134">
        <f t="shared" si="16"/>
        <v>38.107655337667822</v>
      </c>
      <c r="E96" s="1134">
        <f t="shared" si="17"/>
        <v>238.17284586042385</v>
      </c>
      <c r="F96" s="1058">
        <f t="shared" si="18"/>
        <v>2.5722667352925779</v>
      </c>
      <c r="G96" s="1134">
        <f t="shared" si="19"/>
        <v>81.931458975985805</v>
      </c>
      <c r="H96" s="775">
        <v>94</v>
      </c>
      <c r="I96" s="827">
        <f>'Emission-Waste Transport Vehicl'!N61</f>
        <v>18.726897505536005</v>
      </c>
      <c r="J96" s="827">
        <f>'Emission-Waste Transport Vehicl'!P61</f>
        <v>10.419333762816001</v>
      </c>
      <c r="K96" s="827">
        <f>'Emission-Waste Transport Vehicl'!Q61</f>
        <v>8.0919475845120008</v>
      </c>
      <c r="L96" s="827">
        <f>'Emission-Waste Transport Vehicl'!R61</f>
        <v>0.80538976742400015</v>
      </c>
      <c r="M96" s="827">
        <f t="shared" si="20"/>
        <v>8400.0704660821175</v>
      </c>
      <c r="N96" s="830">
        <f t="shared" si="21"/>
        <v>713.63815568479743</v>
      </c>
      <c r="O96" s="830">
        <f t="shared" si="22"/>
        <v>2481.6023742594853</v>
      </c>
      <c r="P96" s="830">
        <f t="shared" si="23"/>
        <v>20.814647595371344</v>
      </c>
      <c r="Q96" s="830">
        <f t="shared" si="24"/>
        <v>65.98675868937822</v>
      </c>
      <c r="R96" s="2773"/>
    </row>
    <row r="97" spans="1:18" x14ac:dyDescent="0.25">
      <c r="A97" s="2802"/>
      <c r="B97" s="706">
        <v>2048</v>
      </c>
      <c r="C97" s="1134">
        <f t="shared" si="15"/>
        <v>89362.451766831029</v>
      </c>
      <c r="D97" s="1134">
        <f t="shared" si="16"/>
        <v>38.107655337667822</v>
      </c>
      <c r="E97" s="1134">
        <f t="shared" si="17"/>
        <v>238.17284586042385</v>
      </c>
      <c r="F97" s="1058">
        <f t="shared" si="18"/>
        <v>2.5722667352925779</v>
      </c>
      <c r="G97" s="1134">
        <f t="shared" si="19"/>
        <v>81.931458975985805</v>
      </c>
      <c r="H97" s="775">
        <v>95</v>
      </c>
      <c r="I97" s="827">
        <f>'Emission-Waste Transport Vehicl'!N62</f>
        <v>18.358488832464005</v>
      </c>
      <c r="J97" s="827">
        <f>'Emission-Waste Transport Vehicl'!P62</f>
        <v>10.214357315184001</v>
      </c>
      <c r="K97" s="827">
        <f>'Emission-Waste Transport Vehicl'!Q62</f>
        <v>7.9327571114880007</v>
      </c>
      <c r="L97" s="827">
        <f>'Emission-Waste Transport Vehicl'!R62</f>
        <v>0.78954557457600016</v>
      </c>
      <c r="M97" s="827">
        <f t="shared" si="20"/>
        <v>8489.4329178489479</v>
      </c>
      <c r="N97" s="830">
        <f t="shared" si="21"/>
        <v>699.59896494796203</v>
      </c>
      <c r="O97" s="830">
        <f t="shared" si="22"/>
        <v>2432.7825503926119</v>
      </c>
      <c r="P97" s="830">
        <f t="shared" si="23"/>
        <v>20.40516723703622</v>
      </c>
      <c r="Q97" s="830">
        <f t="shared" si="24"/>
        <v>64.688620853044696</v>
      </c>
      <c r="R97" s="2773"/>
    </row>
    <row r="98" spans="1:18" x14ac:dyDescent="0.25">
      <c r="A98" s="2802"/>
      <c r="B98" s="706">
        <v>2049</v>
      </c>
      <c r="C98" s="1134">
        <f t="shared" si="15"/>
        <v>89362.451766831029</v>
      </c>
      <c r="D98" s="1134">
        <f t="shared" si="16"/>
        <v>38.107655337667822</v>
      </c>
      <c r="E98" s="1134">
        <f t="shared" si="17"/>
        <v>238.17284586042385</v>
      </c>
      <c r="F98" s="1058">
        <f t="shared" si="18"/>
        <v>2.5722667352925779</v>
      </c>
      <c r="G98" s="1134">
        <f t="shared" si="19"/>
        <v>81.931458975985805</v>
      </c>
      <c r="H98" s="775">
        <v>96</v>
      </c>
      <c r="I98" s="827">
        <f>'Emission-Waste Transport Vehicl'!N63</f>
        <v>17.999860920624005</v>
      </c>
      <c r="J98" s="827">
        <f>'Emission-Waste Transport Vehicl'!P63</f>
        <v>10.014822720144002</v>
      </c>
      <c r="K98" s="827">
        <f>'Emission-Waste Transport Vehicl'!Q63</f>
        <v>7.7777929342080014</v>
      </c>
      <c r="L98" s="827">
        <f>'Emission-Waste Transport Vehicl'!R63</f>
        <v>0.77412202401600017</v>
      </c>
      <c r="M98" s="827">
        <f t="shared" si="20"/>
        <v>8578.7953696157783</v>
      </c>
      <c r="N98" s="830">
        <f t="shared" si="21"/>
        <v>685.93249608909582</v>
      </c>
      <c r="O98" s="830">
        <f t="shared" si="22"/>
        <v>2385.2588280443279</v>
      </c>
      <c r="P98" s="830">
        <f t="shared" si="23"/>
        <v>20.006558038656895</v>
      </c>
      <c r="Q98" s="830">
        <f t="shared" si="24"/>
        <v>63.424946853074019</v>
      </c>
      <c r="R98" s="2773"/>
    </row>
    <row r="99" spans="1:18" x14ac:dyDescent="0.25">
      <c r="A99" s="2802"/>
      <c r="B99" s="706">
        <v>2050</v>
      </c>
      <c r="C99" s="1134">
        <f t="shared" si="15"/>
        <v>89362.451766831029</v>
      </c>
      <c r="D99" s="1134">
        <f t="shared" si="16"/>
        <v>38.107655337667822</v>
      </c>
      <c r="E99" s="1134">
        <f t="shared" si="17"/>
        <v>238.17284586042385</v>
      </c>
      <c r="F99" s="1058">
        <f t="shared" si="18"/>
        <v>2.5722667352925779</v>
      </c>
      <c r="G99" s="1134">
        <f t="shared" si="19"/>
        <v>81.931458975985805</v>
      </c>
      <c r="H99" s="775">
        <v>97</v>
      </c>
      <c r="I99" s="827">
        <f>'Emission-Waste Transport Vehicl'!N64</f>
        <v>17.644493262528005</v>
      </c>
      <c r="J99" s="827">
        <f>'Emission-Waste Transport Vehicl'!P64</f>
        <v>9.8171020759680019</v>
      </c>
      <c r="K99" s="827">
        <f>'Emission-Waste Transport Vehicl'!Q64</f>
        <v>7.624237522176001</v>
      </c>
      <c r="L99" s="827">
        <f>'Emission-Waste Transport Vehicl'!R64</f>
        <v>0.75883868755200012</v>
      </c>
      <c r="M99" s="827">
        <f t="shared" si="20"/>
        <v>8668.1578213826106</v>
      </c>
      <c r="N99" s="830">
        <f t="shared" si="21"/>
        <v>672.39026785621922</v>
      </c>
      <c r="O99" s="830">
        <f t="shared" si="22"/>
        <v>2338.1671395355738</v>
      </c>
      <c r="P99" s="830">
        <f t="shared" si="23"/>
        <v>19.611572560262836</v>
      </c>
      <c r="Q99" s="830">
        <f t="shared" si="24"/>
        <v>62.172760798557611</v>
      </c>
      <c r="R99" s="2773"/>
    </row>
    <row r="100" spans="1:18" x14ac:dyDescent="0.25">
      <c r="A100" s="2802"/>
      <c r="B100" s="706">
        <v>2051</v>
      </c>
      <c r="C100" s="1134">
        <f t="shared" ref="C100:C118" si="25">$M$10</f>
        <v>89362.451766831029</v>
      </c>
      <c r="D100" s="1134">
        <f t="shared" ref="D100:D118" si="26">$L$10</f>
        <v>38.107655337667822</v>
      </c>
      <c r="E100" s="1134">
        <f t="shared" ref="E100:E118" si="27">$I$10</f>
        <v>238.17284586042385</v>
      </c>
      <c r="F100" s="1058">
        <f t="shared" ref="F100:F118" si="28">$J$10</f>
        <v>2.5722667352925779</v>
      </c>
      <c r="G100" s="1134">
        <f t="shared" ref="G100:G118" si="29">$K$10</f>
        <v>81.931458975985805</v>
      </c>
      <c r="H100" s="775">
        <v>97</v>
      </c>
      <c r="I100" s="827">
        <f>'Emission-Waste Transport Vehicl'!N65</f>
        <v>17.298906365664003</v>
      </c>
      <c r="J100" s="827">
        <f>'Emission-Waste Transport Vehicl'!P65</f>
        <v>9.624823284384</v>
      </c>
      <c r="K100" s="827">
        <f>'Emission-Waste Transport Vehicl'!Q65</f>
        <v>7.4749084058879998</v>
      </c>
      <c r="L100" s="827">
        <f>'Emission-Waste Transport Vehicl'!R65</f>
        <v>0.74397599337600007</v>
      </c>
      <c r="M100" s="827">
        <f t="shared" si="20"/>
        <v>8668.1578213826106</v>
      </c>
      <c r="N100" s="830">
        <f t="shared" si="21"/>
        <v>659.2207615013117</v>
      </c>
      <c r="O100" s="830">
        <f t="shared" si="22"/>
        <v>2292.371552545409</v>
      </c>
      <c r="P100" s="830">
        <f t="shared" si="23"/>
        <v>19.227458241824571</v>
      </c>
      <c r="Q100" s="830">
        <f t="shared" si="24"/>
        <v>60.955038580404036</v>
      </c>
      <c r="R100" s="2773"/>
    </row>
    <row r="101" spans="1:18" x14ac:dyDescent="0.25">
      <c r="A101" s="2802"/>
      <c r="B101" s="706">
        <v>2052</v>
      </c>
      <c r="C101" s="1134">
        <f t="shared" si="25"/>
        <v>89362.451766831029</v>
      </c>
      <c r="D101" s="1134">
        <f t="shared" si="26"/>
        <v>38.107655337667822</v>
      </c>
      <c r="E101" s="1134">
        <f t="shared" si="27"/>
        <v>238.17284586042385</v>
      </c>
      <c r="F101" s="1058">
        <f t="shared" si="28"/>
        <v>2.5722667352925779</v>
      </c>
      <c r="G101" s="1134">
        <f t="shared" si="29"/>
        <v>81.931458975985805</v>
      </c>
      <c r="H101" s="775">
        <v>97</v>
      </c>
      <c r="I101" s="827">
        <f>'Emission-Waste Transport Vehicl'!N66</f>
        <v>16.959839976288002</v>
      </c>
      <c r="J101" s="827">
        <f>'Emission-Waste Transport Vehicl'!P66</f>
        <v>9.4361723945280005</v>
      </c>
      <c r="K101" s="827">
        <f>'Emission-Waste Transport Vehicl'!Q66</f>
        <v>7.3283968200960006</v>
      </c>
      <c r="L101" s="827">
        <f>'Emission-Waste Transport Vehicl'!R66</f>
        <v>0.72939372739200004</v>
      </c>
      <c r="M101" s="827">
        <f t="shared" si="20"/>
        <v>8668.1578213826106</v>
      </c>
      <c r="N101" s="830">
        <f t="shared" si="21"/>
        <v>646.29973639838363</v>
      </c>
      <c r="O101" s="830">
        <f t="shared" si="22"/>
        <v>2247.4400332343039</v>
      </c>
      <c r="P101" s="830">
        <f t="shared" si="23"/>
        <v>18.850591363356848</v>
      </c>
      <c r="Q101" s="830">
        <f t="shared" si="24"/>
        <v>59.760292253159022</v>
      </c>
      <c r="R101" s="2773"/>
    </row>
    <row r="102" spans="1:18" x14ac:dyDescent="0.25">
      <c r="A102" s="2802"/>
      <c r="B102" s="706">
        <v>2053</v>
      </c>
      <c r="C102" s="1134">
        <f t="shared" si="25"/>
        <v>89362.451766831029</v>
      </c>
      <c r="D102" s="1134">
        <f t="shared" si="26"/>
        <v>38.107655337667822</v>
      </c>
      <c r="E102" s="1134">
        <f t="shared" si="27"/>
        <v>238.17284586042385</v>
      </c>
      <c r="F102" s="1058">
        <f t="shared" si="28"/>
        <v>2.5722667352925779</v>
      </c>
      <c r="G102" s="1134">
        <f t="shared" si="29"/>
        <v>81.931458975985805</v>
      </c>
      <c r="H102" s="775">
        <v>97</v>
      </c>
      <c r="I102" s="827">
        <f>'Emission-Waste Transport Vehicl'!N67</f>
        <v>15.361506000000002</v>
      </c>
      <c r="J102" s="827">
        <f>'Emission-Waste Transport Vehicl'!P67</f>
        <v>9.2511494064000015</v>
      </c>
      <c r="K102" s="827">
        <f>'Emission-Waste Transport Vehicl'!Q67</f>
        <v>7.1847027647999999</v>
      </c>
      <c r="L102" s="827">
        <f>'Emission-Waste Transport Vehicl'!R67</f>
        <v>0.71509188960000014</v>
      </c>
      <c r="M102" s="827">
        <f t="shared" si="20"/>
        <v>8668.1578213826106</v>
      </c>
      <c r="N102" s="830">
        <f t="shared" si="21"/>
        <v>585.39097611551631</v>
      </c>
      <c r="O102" s="830">
        <f t="shared" si="22"/>
        <v>2203.3725816022593</v>
      </c>
      <c r="P102" s="830">
        <f t="shared" si="23"/>
        <v>18.480971924859652</v>
      </c>
      <c r="Q102" s="830">
        <f t="shared" si="24"/>
        <v>58.588521816822585</v>
      </c>
      <c r="R102" s="2773"/>
    </row>
    <row r="103" spans="1:18" x14ac:dyDescent="0.25">
      <c r="A103" s="2802"/>
      <c r="B103" s="706">
        <v>2054</v>
      </c>
      <c r="C103" s="1134">
        <f t="shared" si="25"/>
        <v>89362.451766831029</v>
      </c>
      <c r="D103" s="1134">
        <f t="shared" si="26"/>
        <v>38.107655337667822</v>
      </c>
      <c r="E103" s="1134">
        <f t="shared" si="27"/>
        <v>238.17284586042385</v>
      </c>
      <c r="F103" s="1058">
        <f t="shared" si="28"/>
        <v>2.5722667352925779</v>
      </c>
      <c r="G103" s="1134">
        <f t="shared" si="29"/>
        <v>81.931458975985805</v>
      </c>
      <c r="H103" s="775">
        <v>97</v>
      </c>
      <c r="I103" s="827">
        <f>'Emission-Waste Transport Vehicl'!N68</f>
        <v>16.301268720000003</v>
      </c>
      <c r="J103" s="827">
        <f>'Emission-Waste Transport Vehicl'!P68</f>
        <v>9.0697543200000013</v>
      </c>
      <c r="K103" s="827">
        <f>'Emission-Waste Transport Vehicl'!Q68</f>
        <v>7.0438262400000005</v>
      </c>
      <c r="L103" s="827">
        <f>'Emission-Waste Transport Vehicl'!R68</f>
        <v>0.70107048000000005</v>
      </c>
      <c r="M103" s="827">
        <f t="shared" si="20"/>
        <v>8668.1578213826106</v>
      </c>
      <c r="N103" s="830">
        <f t="shared" si="21"/>
        <v>621.20312994846563</v>
      </c>
      <c r="O103" s="830">
        <f t="shared" si="22"/>
        <v>2160.1691976492734</v>
      </c>
      <c r="P103" s="830">
        <f t="shared" si="23"/>
        <v>18.118599926332994</v>
      </c>
      <c r="Q103" s="830">
        <f t="shared" si="24"/>
        <v>57.43972727139468</v>
      </c>
      <c r="R103" s="2773"/>
    </row>
    <row r="104" spans="1:18" x14ac:dyDescent="0.25">
      <c r="A104" s="2802"/>
      <c r="B104" s="706">
        <v>2055</v>
      </c>
      <c r="C104" s="1134">
        <f t="shared" si="25"/>
        <v>89362.451766831029</v>
      </c>
      <c r="D104" s="1134">
        <f t="shared" si="26"/>
        <v>38.107655337667822</v>
      </c>
      <c r="E104" s="1134">
        <f t="shared" si="27"/>
        <v>238.17284586042385</v>
      </c>
      <c r="F104" s="1058">
        <f t="shared" si="28"/>
        <v>2.5722667352925779</v>
      </c>
      <c r="G104" s="1134">
        <f t="shared" si="29"/>
        <v>81.931458975985805</v>
      </c>
      <c r="H104" s="775">
        <v>97</v>
      </c>
      <c r="I104" s="827">
        <f>'Emission-Waste Transport Vehicl'!N69</f>
        <v>15.981763853088003</v>
      </c>
      <c r="J104" s="827">
        <f>'Emission-Waste Transport Vehicl'!P69</f>
        <v>8.8919871353280016</v>
      </c>
      <c r="K104" s="827">
        <f>'Emission-Waste Transport Vehicl'!Q69</f>
        <v>6.9057672456960004</v>
      </c>
      <c r="L104" s="827">
        <f>'Emission-Waste Transport Vehicl'!R69</f>
        <v>0.6873294985920001</v>
      </c>
      <c r="M104" s="827">
        <f t="shared" si="20"/>
        <v>8668.1578213826106</v>
      </c>
      <c r="N104" s="830">
        <f t="shared" si="21"/>
        <v>609.0275486014757</v>
      </c>
      <c r="O104" s="830">
        <f t="shared" si="22"/>
        <v>2117.8298813753481</v>
      </c>
      <c r="P104" s="830">
        <f t="shared" si="23"/>
        <v>17.76347536777687</v>
      </c>
      <c r="Q104" s="830">
        <f t="shared" si="24"/>
        <v>56.313908616875352</v>
      </c>
      <c r="R104" s="2773"/>
    </row>
    <row r="105" spans="1:18" x14ac:dyDescent="0.25">
      <c r="A105" s="2802"/>
      <c r="B105" s="706">
        <v>2056</v>
      </c>
      <c r="C105" s="1134">
        <f t="shared" si="25"/>
        <v>89362.451766831029</v>
      </c>
      <c r="D105" s="1134">
        <f t="shared" si="26"/>
        <v>38.107655337667822</v>
      </c>
      <c r="E105" s="1134">
        <f t="shared" si="27"/>
        <v>238.17284586042385</v>
      </c>
      <c r="F105" s="1058">
        <f t="shared" si="28"/>
        <v>2.5722667352925779</v>
      </c>
      <c r="G105" s="1134">
        <f t="shared" si="29"/>
        <v>81.931458975985805</v>
      </c>
      <c r="H105" s="775">
        <v>97</v>
      </c>
      <c r="I105" s="827">
        <f>'Emission-Waste Transport Vehicl'!N70</f>
        <v>15.668779493664003</v>
      </c>
      <c r="J105" s="827">
        <f>'Emission-Waste Transport Vehicl'!P70</f>
        <v>8.7178478523840006</v>
      </c>
      <c r="K105" s="827">
        <f>'Emission-Waste Transport Vehicl'!Q70</f>
        <v>6.7705257818880007</v>
      </c>
      <c r="L105" s="827">
        <f>'Emission-Waste Transport Vehicl'!R70</f>
        <v>0.67386894537600017</v>
      </c>
      <c r="M105" s="827">
        <f t="shared" si="20"/>
        <v>8668.1578213826106</v>
      </c>
      <c r="N105" s="830">
        <f t="shared" si="21"/>
        <v>597.10044850646511</v>
      </c>
      <c r="O105" s="830">
        <f t="shared" si="22"/>
        <v>2076.3546327804816</v>
      </c>
      <c r="P105" s="830">
        <f t="shared" si="23"/>
        <v>17.415598249191277</v>
      </c>
      <c r="Q105" s="830">
        <f t="shared" si="24"/>
        <v>55.211065853264579</v>
      </c>
      <c r="R105" s="2773"/>
    </row>
    <row r="106" spans="1:18" x14ac:dyDescent="0.25">
      <c r="A106" s="2802"/>
      <c r="B106" s="706">
        <v>2057</v>
      </c>
      <c r="C106" s="1134">
        <f t="shared" si="25"/>
        <v>89362.451766831029</v>
      </c>
      <c r="D106" s="1134">
        <f t="shared" si="26"/>
        <v>38.107655337667822</v>
      </c>
      <c r="E106" s="1134">
        <f t="shared" si="27"/>
        <v>238.17284586042385</v>
      </c>
      <c r="F106" s="1058">
        <f t="shared" si="28"/>
        <v>2.5722667352925779</v>
      </c>
      <c r="G106" s="1134">
        <f t="shared" si="29"/>
        <v>81.931458975985805</v>
      </c>
      <c r="H106" s="775">
        <v>97</v>
      </c>
      <c r="I106" s="827">
        <f>'Emission-Waste Transport Vehicl'!N71</f>
        <v>15.362315641728001</v>
      </c>
      <c r="J106" s="827">
        <f>'Emission-Waste Transport Vehicl'!P71</f>
        <v>8.547336471168002</v>
      </c>
      <c r="K106" s="827">
        <f>'Emission-Waste Transport Vehicl'!Q71</f>
        <v>6.6381018485760004</v>
      </c>
      <c r="L106" s="827">
        <f>'Emission-Waste Transport Vehicl'!R71</f>
        <v>0.66068882035200005</v>
      </c>
      <c r="M106" s="827">
        <f t="shared" si="20"/>
        <v>8668.1578213826106</v>
      </c>
      <c r="N106" s="830">
        <f t="shared" si="21"/>
        <v>585.42182966343398</v>
      </c>
      <c r="O106" s="830">
        <f t="shared" si="22"/>
        <v>2035.7434518646755</v>
      </c>
      <c r="P106" s="830">
        <f t="shared" si="23"/>
        <v>17.074968570576214</v>
      </c>
      <c r="Q106" s="830">
        <f t="shared" si="24"/>
        <v>54.131198980562345</v>
      </c>
      <c r="R106" s="2773"/>
    </row>
    <row r="107" spans="1:18" x14ac:dyDescent="0.25">
      <c r="A107" s="2802"/>
      <c r="B107" s="706">
        <v>2058</v>
      </c>
      <c r="C107" s="1134">
        <f t="shared" si="25"/>
        <v>89362.451766831029</v>
      </c>
      <c r="D107" s="1134">
        <f t="shared" si="26"/>
        <v>38.107655337667822</v>
      </c>
      <c r="E107" s="1134">
        <f t="shared" si="27"/>
        <v>238.17284586042385</v>
      </c>
      <c r="F107" s="1058">
        <f t="shared" si="28"/>
        <v>2.5722667352925779</v>
      </c>
      <c r="G107" s="1134">
        <f t="shared" si="29"/>
        <v>81.931458975985805</v>
      </c>
      <c r="H107" s="775">
        <v>97</v>
      </c>
      <c r="I107" s="827">
        <f>'Emission-Waste Transport Vehicl'!N72</f>
        <v>15.059112043536</v>
      </c>
      <c r="J107" s="827">
        <f>'Emission-Waste Transport Vehicl'!P72</f>
        <v>8.378639040816001</v>
      </c>
      <c r="K107" s="827">
        <f>'Emission-Waste Transport Vehicl'!Q72</f>
        <v>6.5070866805119998</v>
      </c>
      <c r="L107" s="827">
        <f>'Emission-Waste Transport Vehicl'!R72</f>
        <v>0.647648909424</v>
      </c>
      <c r="M107" s="827">
        <f t="shared" si="20"/>
        <v>8668.1578213826106</v>
      </c>
      <c r="N107" s="830">
        <f t="shared" si="21"/>
        <v>573.86745144639247</v>
      </c>
      <c r="O107" s="830">
        <f t="shared" si="22"/>
        <v>1995.5643047883989</v>
      </c>
      <c r="P107" s="830">
        <f t="shared" si="23"/>
        <v>16.737962611946418</v>
      </c>
      <c r="Q107" s="830">
        <f t="shared" si="24"/>
        <v>53.062820053314404</v>
      </c>
      <c r="R107" s="2773"/>
    </row>
    <row r="108" spans="1:18" x14ac:dyDescent="0.25">
      <c r="A108" s="2802"/>
      <c r="B108" s="706">
        <v>2059</v>
      </c>
      <c r="C108" s="1134">
        <f t="shared" si="25"/>
        <v>89362.451766831029</v>
      </c>
      <c r="D108" s="1134">
        <f t="shared" si="26"/>
        <v>38.107655337667822</v>
      </c>
      <c r="E108" s="1134">
        <f t="shared" si="27"/>
        <v>238.17284586042385</v>
      </c>
      <c r="F108" s="1058">
        <f t="shared" si="28"/>
        <v>2.5722667352925779</v>
      </c>
      <c r="G108" s="1134">
        <f t="shared" si="29"/>
        <v>81.931458975985805</v>
      </c>
      <c r="H108" s="775">
        <v>97</v>
      </c>
      <c r="I108" s="827">
        <f>'Emission-Waste Transport Vehicl'!N73</f>
        <v>14.765689206576004</v>
      </c>
      <c r="J108" s="827">
        <f>'Emission-Waste Transport Vehicl'!P73</f>
        <v>8.2153834630560016</v>
      </c>
      <c r="K108" s="827">
        <f>'Emission-Waste Transport Vehicl'!Q73</f>
        <v>6.380297808192001</v>
      </c>
      <c r="L108" s="827">
        <f>'Emission-Waste Transport Vehicl'!R73</f>
        <v>0.63502964078400004</v>
      </c>
      <c r="M108" s="827">
        <f t="shared" si="20"/>
        <v>8668.1578213826106</v>
      </c>
      <c r="N108" s="830">
        <f t="shared" si="21"/>
        <v>562.68579510732025</v>
      </c>
      <c r="O108" s="830">
        <f t="shared" si="22"/>
        <v>1956.6812592307122</v>
      </c>
      <c r="P108" s="830">
        <f t="shared" si="23"/>
        <v>16.411827813272428</v>
      </c>
      <c r="Q108" s="830">
        <f t="shared" si="24"/>
        <v>52.028904962429301</v>
      </c>
      <c r="R108" s="2773"/>
    </row>
    <row r="109" spans="1:18" x14ac:dyDescent="0.25">
      <c r="A109" s="2802"/>
      <c r="B109" s="706">
        <v>2060</v>
      </c>
      <c r="C109" s="1134">
        <f t="shared" si="25"/>
        <v>89362.451766831029</v>
      </c>
      <c r="D109" s="1134">
        <f t="shared" si="26"/>
        <v>38.107655337667822</v>
      </c>
      <c r="E109" s="1134">
        <f t="shared" si="27"/>
        <v>238.17284586042385</v>
      </c>
      <c r="F109" s="1058">
        <f t="shared" si="28"/>
        <v>2.5722667352925779</v>
      </c>
      <c r="G109" s="1134">
        <f t="shared" si="29"/>
        <v>81.931458975985805</v>
      </c>
      <c r="H109" s="775">
        <v>97</v>
      </c>
      <c r="I109" s="827">
        <f>'Emission-Waste Transport Vehicl'!N74</f>
        <v>14.475526623360002</v>
      </c>
      <c r="J109" s="827">
        <f>'Emission-Waste Transport Vehicl'!P74</f>
        <v>8.0539418361599999</v>
      </c>
      <c r="K109" s="827">
        <f>'Emission-Waste Transport Vehicl'!Q74</f>
        <v>6.2549177011200001</v>
      </c>
      <c r="L109" s="827">
        <f>'Emission-Waste Transport Vehicl'!R74</f>
        <v>0.62255058624000004</v>
      </c>
      <c r="M109" s="827">
        <f t="shared" si="20"/>
        <v>8668.1578213826106</v>
      </c>
      <c r="N109" s="830">
        <f t="shared" si="21"/>
        <v>551.62837939423741</v>
      </c>
      <c r="O109" s="830">
        <f t="shared" si="22"/>
        <v>1918.2302475125548</v>
      </c>
      <c r="P109" s="830">
        <f t="shared" si="23"/>
        <v>16.089316734583701</v>
      </c>
      <c r="Q109" s="830">
        <f t="shared" si="24"/>
        <v>51.006477816998476</v>
      </c>
      <c r="R109" s="2773"/>
    </row>
    <row r="110" spans="1:18" x14ac:dyDescent="0.25">
      <c r="A110" s="2802"/>
      <c r="B110" s="706">
        <v>2061</v>
      </c>
      <c r="C110" s="1134">
        <f t="shared" si="25"/>
        <v>89362.451766831029</v>
      </c>
      <c r="D110" s="1134">
        <f t="shared" si="26"/>
        <v>38.107655337667822</v>
      </c>
      <c r="E110" s="1134">
        <f t="shared" si="27"/>
        <v>238.17284586042385</v>
      </c>
      <c r="F110" s="1058">
        <f t="shared" si="28"/>
        <v>2.5722667352925779</v>
      </c>
      <c r="G110" s="1134">
        <f t="shared" si="29"/>
        <v>81.931458975985805</v>
      </c>
      <c r="H110" s="775">
        <v>97</v>
      </c>
      <c r="I110" s="827">
        <f>'Emission-Waste Transport Vehicl'!N75</f>
        <v>14.191884547632004</v>
      </c>
      <c r="J110" s="827">
        <f>'Emission-Waste Transport Vehicl'!P75</f>
        <v>7.8961281109920014</v>
      </c>
      <c r="K110" s="827">
        <f>'Emission-Waste Transport Vehicl'!Q75</f>
        <v>6.1323551245440004</v>
      </c>
      <c r="L110" s="827">
        <f>'Emission-Waste Transport Vehicl'!R75</f>
        <v>0.61035195988800006</v>
      </c>
      <c r="M110" s="827">
        <f t="shared" si="20"/>
        <v>8668.1578213826106</v>
      </c>
      <c r="N110" s="830">
        <f t="shared" si="21"/>
        <v>540.81944493313426</v>
      </c>
      <c r="O110" s="830">
        <f t="shared" si="22"/>
        <v>1880.6433034734578</v>
      </c>
      <c r="P110" s="830">
        <f t="shared" si="23"/>
        <v>15.774053095865506</v>
      </c>
      <c r="Q110" s="830">
        <f t="shared" si="24"/>
        <v>50.007026562476213</v>
      </c>
      <c r="R110" s="2773"/>
    </row>
    <row r="111" spans="1:18" x14ac:dyDescent="0.25">
      <c r="A111" s="2802"/>
      <c r="B111" s="706">
        <v>2062</v>
      </c>
      <c r="C111" s="1134">
        <f t="shared" si="25"/>
        <v>89362.451766831029</v>
      </c>
      <c r="D111" s="1134">
        <f t="shared" si="26"/>
        <v>38.107655337667822</v>
      </c>
      <c r="E111" s="1134">
        <f t="shared" si="27"/>
        <v>238.17284586042385</v>
      </c>
      <c r="F111" s="1058">
        <f t="shared" si="28"/>
        <v>2.5722667352925779</v>
      </c>
      <c r="G111" s="1134">
        <f t="shared" si="29"/>
        <v>81.931458975985805</v>
      </c>
      <c r="H111" s="775">
        <v>97</v>
      </c>
      <c r="I111" s="827">
        <f>'Emission-Waste Transport Vehicl'!N76</f>
        <v>13.914762979392002</v>
      </c>
      <c r="J111" s="827">
        <f>'Emission-Waste Transport Vehicl'!P76</f>
        <v>7.7419422875520008</v>
      </c>
      <c r="K111" s="827">
        <f>'Emission-Waste Transport Vehicl'!Q76</f>
        <v>6.0126100784640002</v>
      </c>
      <c r="L111" s="827">
        <f>'Emission-Waste Transport Vehicl'!R76</f>
        <v>0.59843376172800011</v>
      </c>
      <c r="M111" s="827">
        <f t="shared" si="20"/>
        <v>8668.1578213826106</v>
      </c>
      <c r="N111" s="830">
        <f t="shared" si="21"/>
        <v>530.25899172401023</v>
      </c>
      <c r="O111" s="830">
        <f t="shared" si="22"/>
        <v>1843.9204271134199</v>
      </c>
      <c r="P111" s="830">
        <f t="shared" si="23"/>
        <v>15.466036897117844</v>
      </c>
      <c r="Q111" s="830">
        <f t="shared" si="24"/>
        <v>49.030551198862504</v>
      </c>
      <c r="R111" s="2773"/>
    </row>
    <row r="112" spans="1:18" x14ac:dyDescent="0.25">
      <c r="A112" s="2802"/>
      <c r="B112" s="706">
        <v>2063</v>
      </c>
      <c r="C112" s="1134">
        <f t="shared" si="25"/>
        <v>89362.451766831029</v>
      </c>
      <c r="D112" s="1134">
        <f t="shared" si="26"/>
        <v>38.107655337667822</v>
      </c>
      <c r="E112" s="1134">
        <f t="shared" si="27"/>
        <v>238.17284586042385</v>
      </c>
      <c r="F112" s="1058">
        <f t="shared" si="28"/>
        <v>2.5722667352925779</v>
      </c>
      <c r="G112" s="1134">
        <f t="shared" si="29"/>
        <v>81.931458975985805</v>
      </c>
      <c r="H112" s="775">
        <v>97</v>
      </c>
      <c r="I112" s="827">
        <f>'Emission-Waste Transport Vehicl'!N77</f>
        <v>13.640901664896001</v>
      </c>
      <c r="J112" s="827">
        <f>'Emission-Waste Transport Vehicl'!P77</f>
        <v>7.5895704149760004</v>
      </c>
      <c r="K112" s="827">
        <f>'Emission-Waste Transport Vehicl'!Q77</f>
        <v>5.8942737976319997</v>
      </c>
      <c r="L112" s="827">
        <f>'Emission-Waste Transport Vehicl'!R77</f>
        <v>0.58665577766400001</v>
      </c>
      <c r="M112" s="827">
        <f t="shared" si="20"/>
        <v>8668.1578213826106</v>
      </c>
      <c r="N112" s="830">
        <f t="shared" si="21"/>
        <v>519.82277914087592</v>
      </c>
      <c r="O112" s="830">
        <f t="shared" si="22"/>
        <v>1807.6295845929119</v>
      </c>
      <c r="P112" s="830">
        <f t="shared" si="23"/>
        <v>15.161644418355449</v>
      </c>
      <c r="Q112" s="830">
        <f t="shared" si="24"/>
        <v>48.065563780703066</v>
      </c>
      <c r="R112" s="2773"/>
    </row>
    <row r="113" spans="1:18" x14ac:dyDescent="0.25">
      <c r="A113" s="2802"/>
      <c r="B113" s="706">
        <v>2064</v>
      </c>
      <c r="C113" s="1134">
        <f t="shared" si="25"/>
        <v>89362.451766831029</v>
      </c>
      <c r="D113" s="1134">
        <f t="shared" si="26"/>
        <v>38.107655337667822</v>
      </c>
      <c r="E113" s="1134">
        <f t="shared" si="27"/>
        <v>238.17284586042385</v>
      </c>
      <c r="F113" s="1058">
        <f t="shared" si="28"/>
        <v>2.5722667352925779</v>
      </c>
      <c r="G113" s="1134">
        <f t="shared" si="29"/>
        <v>81.931458975985805</v>
      </c>
      <c r="H113" s="775">
        <v>97</v>
      </c>
      <c r="I113" s="827">
        <f>'Emission-Waste Transport Vehicl'!N78</f>
        <v>13.373560857888002</v>
      </c>
      <c r="J113" s="827">
        <f>'Emission-Waste Transport Vehicl'!P78</f>
        <v>7.4408264441280014</v>
      </c>
      <c r="K113" s="827">
        <f>'Emission-Waste Transport Vehicl'!Q78</f>
        <v>5.7787550472960003</v>
      </c>
      <c r="L113" s="827">
        <f>'Emission-Waste Transport Vehicl'!R78</f>
        <v>0.57515822179200005</v>
      </c>
      <c r="M113" s="827">
        <f t="shared" si="20"/>
        <v>8668.1578213826106</v>
      </c>
      <c r="N113" s="830">
        <f t="shared" si="21"/>
        <v>509.63504780972119</v>
      </c>
      <c r="O113" s="830">
        <f t="shared" si="22"/>
        <v>1772.2028097514642</v>
      </c>
      <c r="P113" s="830">
        <f t="shared" si="23"/>
        <v>14.86449937956359</v>
      </c>
      <c r="Q113" s="830">
        <f t="shared" si="24"/>
        <v>47.123552253452196</v>
      </c>
      <c r="R113" s="2773"/>
    </row>
    <row r="114" spans="1:18" x14ac:dyDescent="0.25">
      <c r="A114" s="2802"/>
      <c r="B114" s="706">
        <v>2065</v>
      </c>
      <c r="C114" s="1134">
        <f t="shared" si="25"/>
        <v>89362.451766831029</v>
      </c>
      <c r="D114" s="1134">
        <f t="shared" si="26"/>
        <v>38.107655337667822</v>
      </c>
      <c r="E114" s="1134">
        <f t="shared" si="27"/>
        <v>238.17284586042385</v>
      </c>
      <c r="F114" s="1058">
        <f t="shared" si="28"/>
        <v>2.5722667352925779</v>
      </c>
      <c r="G114" s="1134">
        <f t="shared" si="29"/>
        <v>81.931458975985805</v>
      </c>
      <c r="H114" s="775">
        <v>97</v>
      </c>
      <c r="I114" s="827">
        <f>'Emission-Waste Transport Vehicl'!N79</f>
        <v>13.112740558368001</v>
      </c>
      <c r="J114" s="827">
        <f>'Emission-Waste Transport Vehicl'!P79</f>
        <v>7.2957103750080003</v>
      </c>
      <c r="K114" s="827">
        <f>'Emission-Waste Transport Vehicl'!Q79</f>
        <v>5.6660538274560004</v>
      </c>
      <c r="L114" s="827">
        <f>'Emission-Waste Transport Vehicl'!R79</f>
        <v>0.56394109411200011</v>
      </c>
      <c r="M114" s="827">
        <f t="shared" si="20"/>
        <v>8668.1578213826106</v>
      </c>
      <c r="N114" s="830">
        <f t="shared" si="21"/>
        <v>499.69579773054568</v>
      </c>
      <c r="O114" s="830">
        <f t="shared" si="22"/>
        <v>1737.6401025890755</v>
      </c>
      <c r="P114" s="830">
        <f t="shared" si="23"/>
        <v>14.574601780742261</v>
      </c>
      <c r="Q114" s="830">
        <f t="shared" si="24"/>
        <v>46.204516617109888</v>
      </c>
      <c r="R114" s="2773"/>
    </row>
    <row r="115" spans="1:18" x14ac:dyDescent="0.25">
      <c r="A115" s="2802"/>
      <c r="B115" s="706">
        <v>2066</v>
      </c>
      <c r="C115" s="1134">
        <f t="shared" si="25"/>
        <v>89362.451766831029</v>
      </c>
      <c r="D115" s="1134">
        <f t="shared" si="26"/>
        <v>38.107655337667822</v>
      </c>
      <c r="E115" s="1134">
        <f t="shared" si="27"/>
        <v>238.17284586042385</v>
      </c>
      <c r="F115" s="1058">
        <f t="shared" si="28"/>
        <v>2.5722667352925779</v>
      </c>
      <c r="G115" s="1134">
        <f t="shared" si="29"/>
        <v>81.931458975985805</v>
      </c>
      <c r="H115" s="775">
        <v>97</v>
      </c>
      <c r="I115" s="827">
        <f>'Emission-Waste Transport Vehicl'!N80</f>
        <v>12.855180512592</v>
      </c>
      <c r="J115" s="827">
        <f>'Emission-Waste Transport Vehicl'!P80</f>
        <v>7.1524082567520004</v>
      </c>
      <c r="K115" s="827">
        <f>'Emission-Waste Transport Vehicl'!Q80</f>
        <v>5.5547613728639993</v>
      </c>
      <c r="L115" s="827">
        <f>'Emission-Waste Transport Vehicl'!R80</f>
        <v>0.55286418052800002</v>
      </c>
      <c r="M115" s="827">
        <f t="shared" si="20"/>
        <v>8668.1578213826106</v>
      </c>
      <c r="N115" s="830">
        <f t="shared" si="21"/>
        <v>489.8807882773599</v>
      </c>
      <c r="O115" s="830">
        <f t="shared" si="22"/>
        <v>1703.509429266217</v>
      </c>
      <c r="P115" s="830">
        <f t="shared" si="23"/>
        <v>14.288327901906197</v>
      </c>
      <c r="Q115" s="830">
        <f t="shared" si="24"/>
        <v>45.296968926221844</v>
      </c>
      <c r="R115" s="2773"/>
    </row>
    <row r="116" spans="1:18" x14ac:dyDescent="0.25">
      <c r="A116" s="2802"/>
      <c r="B116" s="706">
        <v>2067</v>
      </c>
      <c r="C116" s="1134">
        <f t="shared" si="25"/>
        <v>89362.451766831029</v>
      </c>
      <c r="D116" s="1134">
        <f t="shared" si="26"/>
        <v>38.107655337667822</v>
      </c>
      <c r="E116" s="1134">
        <f t="shared" si="27"/>
        <v>238.17284586042385</v>
      </c>
      <c r="F116" s="1058">
        <f t="shared" si="28"/>
        <v>2.5722667352925779</v>
      </c>
      <c r="G116" s="1134">
        <f t="shared" si="29"/>
        <v>81.931458975985805</v>
      </c>
      <c r="H116" s="775">
        <v>97</v>
      </c>
      <c r="I116" s="827">
        <f>'Emission-Waste Transport Vehicl'!N81</f>
        <v>12.600880720560001</v>
      </c>
      <c r="J116" s="827">
        <f>'Emission-Waste Transport Vehicl'!P81</f>
        <v>7.0109200893600008</v>
      </c>
      <c r="K116" s="827">
        <f>'Emission-Waste Transport Vehicl'!Q81</f>
        <v>5.4448776835200006</v>
      </c>
      <c r="L116" s="827">
        <f>'Emission-Waste Transport Vehicl'!R81</f>
        <v>0.5419274810400001</v>
      </c>
      <c r="M116" s="827">
        <f t="shared" si="20"/>
        <v>8668.1578213826106</v>
      </c>
      <c r="N116" s="830">
        <f t="shared" si="21"/>
        <v>480.1900194501639</v>
      </c>
      <c r="O116" s="830">
        <f t="shared" si="22"/>
        <v>1669.8107897828884</v>
      </c>
      <c r="P116" s="830">
        <f t="shared" si="23"/>
        <v>14.005677743055406</v>
      </c>
      <c r="Q116" s="830">
        <f t="shared" si="24"/>
        <v>44.400909180788091</v>
      </c>
      <c r="R116" s="2773"/>
    </row>
    <row r="117" spans="1:18" x14ac:dyDescent="0.25">
      <c r="A117" s="2802"/>
      <c r="B117" s="706">
        <v>2068</v>
      </c>
      <c r="C117" s="1134">
        <f t="shared" si="25"/>
        <v>89362.451766831029</v>
      </c>
      <c r="D117" s="1134">
        <f t="shared" si="26"/>
        <v>38.107655337667822</v>
      </c>
      <c r="E117" s="1134">
        <f t="shared" si="27"/>
        <v>238.17284586042385</v>
      </c>
      <c r="F117" s="1058">
        <f t="shared" si="28"/>
        <v>2.5722667352925779</v>
      </c>
      <c r="G117" s="1134">
        <f t="shared" si="29"/>
        <v>81.931458975985805</v>
      </c>
      <c r="H117" s="775">
        <v>97</v>
      </c>
      <c r="I117" s="827">
        <f>'Emission-Waste Transport Vehicl'!N82</f>
        <v>12.356361689760002</v>
      </c>
      <c r="J117" s="827">
        <f>'Emission-Waste Transport Vehicl'!P82</f>
        <v>6.8748737745600002</v>
      </c>
      <c r="K117" s="827">
        <f>'Emission-Waste Transport Vehicl'!Q82</f>
        <v>5.339220289920001</v>
      </c>
      <c r="L117" s="827">
        <f>'Emission-Waste Transport Vehicl'!R82</f>
        <v>0.53141142384000006</v>
      </c>
      <c r="M117" s="827">
        <f t="shared" si="20"/>
        <v>8668.1578213826106</v>
      </c>
      <c r="N117" s="830">
        <f t="shared" si="21"/>
        <v>470.87197250093692</v>
      </c>
      <c r="O117" s="830">
        <f t="shared" si="22"/>
        <v>1637.4082518181492</v>
      </c>
      <c r="P117" s="830">
        <f t="shared" si="23"/>
        <v>13.733898744160411</v>
      </c>
      <c r="Q117" s="830">
        <f t="shared" si="24"/>
        <v>43.53931327171717</v>
      </c>
      <c r="R117" s="2773"/>
    </row>
    <row r="118" spans="1:18" ht="15.75" thickBot="1" x14ac:dyDescent="0.3">
      <c r="A118" s="2807"/>
      <c r="B118" s="55">
        <v>2069</v>
      </c>
      <c r="C118" s="1135">
        <f t="shared" si="25"/>
        <v>89362.451766831029</v>
      </c>
      <c r="D118" s="1135">
        <f t="shared" si="26"/>
        <v>38.107655337667822</v>
      </c>
      <c r="E118" s="1135">
        <f t="shared" si="27"/>
        <v>238.17284586042385</v>
      </c>
      <c r="F118" s="1060">
        <f t="shared" si="28"/>
        <v>2.5722667352925779</v>
      </c>
      <c r="G118" s="1135">
        <f t="shared" si="29"/>
        <v>81.931458975985805</v>
      </c>
      <c r="H118" s="776">
        <v>97</v>
      </c>
      <c r="I118" s="1062">
        <f>'Emission-Waste Transport Vehicl'!N83</f>
        <v>12.111842658960002</v>
      </c>
      <c r="J118" s="1062">
        <f>'Emission-Waste Transport Vehicl'!P83</f>
        <v>6.7388274597600004</v>
      </c>
      <c r="K118" s="1062">
        <f>'Emission-Waste Transport Vehicl'!Q83</f>
        <v>5.2335628963200005</v>
      </c>
      <c r="L118" s="1062">
        <f>'Emission-Waste Transport Vehicl'!R83</f>
        <v>0.52089536664000002</v>
      </c>
      <c r="M118" s="1062">
        <f t="shared" si="20"/>
        <v>8668.1578213826106</v>
      </c>
      <c r="N118" s="1063">
        <f t="shared" si="21"/>
        <v>461.55392555170994</v>
      </c>
      <c r="O118" s="1063">
        <f t="shared" si="22"/>
        <v>1605.0057138534103</v>
      </c>
      <c r="P118" s="1063">
        <f t="shared" si="23"/>
        <v>13.462119745265415</v>
      </c>
      <c r="Q118" s="1063">
        <f t="shared" si="24"/>
        <v>42.677717362646248</v>
      </c>
      <c r="R118" s="2774"/>
    </row>
  </sheetData>
  <mergeCells count="19">
    <mergeCell ref="A66:R66"/>
    <mergeCell ref="A68:A118"/>
    <mergeCell ref="R68:R118"/>
    <mergeCell ref="A7:M7"/>
    <mergeCell ref="D8:H8"/>
    <mergeCell ref="I8:M8"/>
    <mergeCell ref="A9:A10"/>
    <mergeCell ref="B9:B10"/>
    <mergeCell ref="C9:C10"/>
    <mergeCell ref="A1:M1"/>
    <mergeCell ref="A2:M2"/>
    <mergeCell ref="A12:R12"/>
    <mergeCell ref="A14:A64"/>
    <mergeCell ref="R14:R64"/>
    <mergeCell ref="D3:H3"/>
    <mergeCell ref="I3:M3"/>
    <mergeCell ref="A4:A5"/>
    <mergeCell ref="B4:B5"/>
    <mergeCell ref="C4:C5"/>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R34"/>
  <sheetViews>
    <sheetView zoomScaleNormal="100" workbookViewId="0">
      <selection activeCell="B2" sqref="B2:M2"/>
    </sheetView>
  </sheetViews>
  <sheetFormatPr defaultRowHeight="15" x14ac:dyDescent="0.25"/>
  <cols>
    <col min="1" max="1" width="44.42578125" customWidth="1"/>
    <col min="2" max="2" width="11.85546875" customWidth="1"/>
    <col min="13" max="13" width="46.85546875" customWidth="1"/>
  </cols>
  <sheetData>
    <row r="1" spans="1:18" ht="18.75" x14ac:dyDescent="0.25">
      <c r="A1" s="1725" t="s">
        <v>1571</v>
      </c>
      <c r="B1" s="2229" t="s">
        <v>1572</v>
      </c>
      <c r="C1" s="2229"/>
      <c r="D1" s="2229"/>
      <c r="E1" s="2229"/>
      <c r="F1" s="2229"/>
      <c r="G1" s="2229"/>
      <c r="H1" s="2229"/>
      <c r="I1" s="2229"/>
      <c r="J1" s="2229"/>
      <c r="K1" s="2229"/>
      <c r="L1" s="2229"/>
      <c r="M1" s="2229"/>
    </row>
    <row r="2" spans="1:18" ht="15.75" x14ac:dyDescent="0.25">
      <c r="A2" s="1724" t="s">
        <v>1573</v>
      </c>
      <c r="B2" s="2226" t="s">
        <v>1649</v>
      </c>
      <c r="C2" s="2226"/>
      <c r="D2" s="2226"/>
      <c r="E2" s="2226"/>
      <c r="F2" s="2226"/>
      <c r="G2" s="2226"/>
      <c r="H2" s="2226"/>
      <c r="I2" s="2226"/>
      <c r="J2" s="2226"/>
      <c r="K2" s="2226"/>
      <c r="L2" s="2226"/>
      <c r="M2" s="2226"/>
    </row>
    <row r="3" spans="1:18" ht="15.75" x14ac:dyDescent="0.25">
      <c r="A3" s="1724" t="s">
        <v>1574</v>
      </c>
      <c r="B3" s="2226" t="s">
        <v>1650</v>
      </c>
      <c r="C3" s="2226"/>
      <c r="D3" s="2226"/>
      <c r="E3" s="2226"/>
      <c r="F3" s="2226"/>
      <c r="G3" s="2226"/>
      <c r="H3" s="2226"/>
      <c r="I3" s="2226"/>
      <c r="J3" s="2226"/>
      <c r="K3" s="2226"/>
      <c r="L3" s="2226"/>
      <c r="M3" s="2226"/>
    </row>
    <row r="4" spans="1:18" ht="15.75" x14ac:dyDescent="0.25">
      <c r="A4" s="1724" t="s">
        <v>1575</v>
      </c>
      <c r="B4" s="2226" t="s">
        <v>1585</v>
      </c>
      <c r="C4" s="2226"/>
      <c r="D4" s="2226"/>
      <c r="E4" s="2226"/>
      <c r="F4" s="2226"/>
      <c r="G4" s="2226"/>
      <c r="H4" s="2226"/>
      <c r="I4" s="2226"/>
      <c r="J4" s="2226"/>
      <c r="K4" s="2226"/>
      <c r="L4" s="2226"/>
      <c r="M4" s="2226"/>
    </row>
    <row r="5" spans="1:18" ht="15.75" x14ac:dyDescent="0.25">
      <c r="A5" s="1724" t="s">
        <v>1576</v>
      </c>
      <c r="B5" s="2226" t="s">
        <v>1577</v>
      </c>
      <c r="C5" s="2226"/>
      <c r="D5" s="2226"/>
      <c r="E5" s="2226"/>
      <c r="F5" s="2226"/>
      <c r="G5" s="2226"/>
      <c r="H5" s="2226"/>
      <c r="I5" s="2226"/>
      <c r="J5" s="2226"/>
      <c r="K5" s="2226"/>
      <c r="L5" s="2226"/>
      <c r="M5" s="2226"/>
    </row>
    <row r="6" spans="1:18" ht="49.5" customHeight="1" x14ac:dyDescent="0.25">
      <c r="A6" s="1724" t="s">
        <v>1578</v>
      </c>
      <c r="B6" s="2227" t="s">
        <v>1651</v>
      </c>
      <c r="C6" s="2226"/>
      <c r="D6" s="2226"/>
      <c r="E6" s="2226"/>
      <c r="F6" s="2226"/>
      <c r="G6" s="2226"/>
      <c r="H6" s="2226"/>
      <c r="I6" s="2226"/>
      <c r="J6" s="2226"/>
      <c r="K6" s="2226"/>
      <c r="L6" s="2226"/>
      <c r="M6" s="2226"/>
    </row>
    <row r="7" spans="1:18" ht="32.25" customHeight="1" x14ac:dyDescent="0.25">
      <c r="A7" s="1724" t="s">
        <v>1579</v>
      </c>
      <c r="B7" s="2227" t="s">
        <v>1694</v>
      </c>
      <c r="C7" s="2226"/>
      <c r="D7" s="2226"/>
      <c r="E7" s="2226"/>
      <c r="F7" s="2226"/>
      <c r="G7" s="2226"/>
      <c r="H7" s="2226"/>
      <c r="I7" s="2226"/>
      <c r="J7" s="2226"/>
      <c r="K7" s="2226"/>
      <c r="L7" s="2226"/>
      <c r="M7" s="2226"/>
    </row>
    <row r="8" spans="1:18" ht="15.75" x14ac:dyDescent="0.25">
      <c r="A8" s="1724" t="s">
        <v>156</v>
      </c>
      <c r="B8" s="2226" t="s">
        <v>1586</v>
      </c>
      <c r="C8" s="2226"/>
      <c r="D8" s="2226"/>
      <c r="E8" s="2226"/>
      <c r="F8" s="2226"/>
      <c r="G8" s="2226"/>
      <c r="H8" s="2226"/>
      <c r="I8" s="2226"/>
      <c r="J8" s="2226"/>
      <c r="K8" s="2226"/>
      <c r="L8" s="2226"/>
      <c r="M8" s="2226"/>
    </row>
    <row r="9" spans="1:18" ht="15.75" x14ac:dyDescent="0.25">
      <c r="A9" s="1724" t="s">
        <v>1580</v>
      </c>
      <c r="B9" s="2226" t="s">
        <v>1587</v>
      </c>
      <c r="C9" s="2226"/>
      <c r="D9" s="2226"/>
      <c r="E9" s="2226"/>
      <c r="F9" s="2226"/>
      <c r="G9" s="2226"/>
      <c r="H9" s="2226"/>
      <c r="I9" s="2226"/>
      <c r="J9" s="2226"/>
      <c r="K9" s="2226"/>
      <c r="L9" s="2226"/>
      <c r="M9" s="2226"/>
    </row>
    <row r="10" spans="1:18" ht="55.5" customHeight="1" x14ac:dyDescent="0.25">
      <c r="A10" s="1724" t="s">
        <v>1652</v>
      </c>
      <c r="B10" s="2227" t="s">
        <v>1654</v>
      </c>
      <c r="C10" s="2226"/>
      <c r="D10" s="2226"/>
      <c r="E10" s="2226"/>
      <c r="F10" s="2226"/>
      <c r="G10" s="2226"/>
      <c r="H10" s="2226"/>
      <c r="I10" s="2226"/>
      <c r="J10" s="2226"/>
      <c r="K10" s="2226"/>
      <c r="L10" s="2226"/>
      <c r="M10" s="2226"/>
      <c r="R10" s="1625"/>
    </row>
    <row r="11" spans="1:18" s="230" customFormat="1" ht="57" customHeight="1" x14ac:dyDescent="0.25">
      <c r="A11" s="1724" t="s">
        <v>1653</v>
      </c>
      <c r="B11" s="2227" t="s">
        <v>1655</v>
      </c>
      <c r="C11" s="2226"/>
      <c r="D11" s="2226"/>
      <c r="E11" s="2226"/>
      <c r="F11" s="2226"/>
      <c r="G11" s="2226"/>
      <c r="H11" s="2226"/>
      <c r="I11" s="2226"/>
      <c r="J11" s="2226"/>
      <c r="K11" s="2226"/>
      <c r="L11" s="2226"/>
      <c r="M11" s="2226"/>
      <c r="R11" s="1625"/>
    </row>
    <row r="12" spans="1:18" ht="15.75" x14ac:dyDescent="0.25">
      <c r="A12" s="1806" t="s">
        <v>1656</v>
      </c>
      <c r="B12" s="2228" t="s">
        <v>1660</v>
      </c>
      <c r="C12" s="2228"/>
      <c r="D12" s="2228"/>
      <c r="E12" s="2228"/>
      <c r="F12" s="2228"/>
      <c r="G12" s="2228"/>
      <c r="H12" s="2228"/>
      <c r="I12" s="2228"/>
      <c r="J12" s="2228"/>
      <c r="K12" s="2228"/>
      <c r="L12" s="2228"/>
      <c r="M12" s="2228"/>
    </row>
    <row r="13" spans="1:18" ht="15.75" x14ac:dyDescent="0.25">
      <c r="A13" s="1806" t="s">
        <v>1657</v>
      </c>
      <c r="B13" s="2228" t="s">
        <v>1659</v>
      </c>
      <c r="C13" s="2228"/>
      <c r="D13" s="2228"/>
      <c r="E13" s="2228"/>
      <c r="F13" s="2228"/>
      <c r="G13" s="2228"/>
      <c r="H13" s="2228"/>
      <c r="I13" s="2228"/>
      <c r="J13" s="2228"/>
      <c r="K13" s="2228"/>
      <c r="L13" s="2228"/>
      <c r="M13" s="2228"/>
    </row>
    <row r="14" spans="1:18" ht="15.75" x14ac:dyDescent="0.25">
      <c r="A14" s="1806" t="s">
        <v>1658</v>
      </c>
      <c r="B14" s="2228" t="s">
        <v>1661</v>
      </c>
      <c r="C14" s="2228"/>
      <c r="D14" s="2228"/>
      <c r="E14" s="2228"/>
      <c r="F14" s="2228"/>
      <c r="G14" s="2228"/>
      <c r="H14" s="2228"/>
      <c r="I14" s="2228"/>
      <c r="J14" s="2228"/>
      <c r="K14" s="2228"/>
      <c r="L14" s="2228"/>
      <c r="M14" s="2228"/>
    </row>
    <row r="15" spans="1:18" ht="15.75" x14ac:dyDescent="0.25">
      <c r="A15" s="1806" t="s">
        <v>1662</v>
      </c>
      <c r="B15" s="2228" t="s">
        <v>1663</v>
      </c>
      <c r="C15" s="2228"/>
      <c r="D15" s="2228"/>
      <c r="E15" s="2228"/>
      <c r="F15" s="2228"/>
      <c r="G15" s="2228"/>
      <c r="H15" s="2228"/>
      <c r="I15" s="2228"/>
      <c r="J15" s="2228"/>
      <c r="K15" s="2228"/>
      <c r="L15" s="2228"/>
      <c r="M15" s="2228"/>
    </row>
    <row r="16" spans="1:18" ht="15.75" x14ac:dyDescent="0.25">
      <c r="A16" s="1806" t="s">
        <v>1664</v>
      </c>
      <c r="B16" s="2228" t="s">
        <v>1680</v>
      </c>
      <c r="C16" s="2228"/>
      <c r="D16" s="2228"/>
      <c r="E16" s="2228"/>
      <c r="F16" s="2228"/>
      <c r="G16" s="2228"/>
      <c r="H16" s="2228"/>
      <c r="I16" s="2228"/>
      <c r="J16" s="2228"/>
      <c r="K16" s="2228"/>
      <c r="L16" s="2228"/>
      <c r="M16" s="2228"/>
    </row>
    <row r="17" spans="1:13" ht="15.75" x14ac:dyDescent="0.25">
      <c r="A17" s="1806" t="s">
        <v>1665</v>
      </c>
      <c r="B17" s="2228" t="s">
        <v>1681</v>
      </c>
      <c r="C17" s="2228"/>
      <c r="D17" s="2228"/>
      <c r="E17" s="2228"/>
      <c r="F17" s="2228"/>
      <c r="G17" s="2228"/>
      <c r="H17" s="2228"/>
      <c r="I17" s="2228"/>
      <c r="J17" s="2228"/>
      <c r="K17" s="2228"/>
      <c r="L17" s="2228"/>
      <c r="M17" s="2228"/>
    </row>
    <row r="18" spans="1:13" ht="15.75" x14ac:dyDescent="0.25">
      <c r="A18" s="1806" t="s">
        <v>1666</v>
      </c>
      <c r="B18" s="2228" t="s">
        <v>1682</v>
      </c>
      <c r="C18" s="2228"/>
      <c r="D18" s="2228"/>
      <c r="E18" s="2228"/>
      <c r="F18" s="2228"/>
      <c r="G18" s="2228"/>
      <c r="H18" s="2228"/>
      <c r="I18" s="2228"/>
      <c r="J18" s="2228"/>
      <c r="K18" s="2228"/>
      <c r="L18" s="2228"/>
      <c r="M18" s="2228"/>
    </row>
    <row r="19" spans="1:13" s="230" customFormat="1" ht="15.75" x14ac:dyDescent="0.25">
      <c r="A19" s="1806" t="s">
        <v>1679</v>
      </c>
      <c r="B19" s="2228" t="s">
        <v>1683</v>
      </c>
      <c r="C19" s="2228"/>
      <c r="D19" s="2228"/>
      <c r="E19" s="2228"/>
      <c r="F19" s="2228"/>
      <c r="G19" s="2228"/>
      <c r="H19" s="2228"/>
      <c r="I19" s="2228"/>
      <c r="J19" s="2228"/>
      <c r="K19" s="2228"/>
      <c r="L19" s="2228"/>
      <c r="M19" s="2228"/>
    </row>
    <row r="20" spans="1:13" s="230" customFormat="1" ht="15.75" x14ac:dyDescent="0.25">
      <c r="A20" s="1806" t="s">
        <v>1667</v>
      </c>
      <c r="B20" s="2228" t="s">
        <v>1684</v>
      </c>
      <c r="C20" s="2228"/>
      <c r="D20" s="2228"/>
      <c r="E20" s="2228"/>
      <c r="F20" s="2228"/>
      <c r="G20" s="2228"/>
      <c r="H20" s="2228"/>
      <c r="I20" s="2228"/>
      <c r="J20" s="2228"/>
      <c r="K20" s="2228"/>
      <c r="L20" s="2228"/>
      <c r="M20" s="2228"/>
    </row>
    <row r="21" spans="1:13" s="230" customFormat="1" ht="15.75" x14ac:dyDescent="0.25">
      <c r="A21" s="1806" t="s">
        <v>1668</v>
      </c>
      <c r="B21" s="2228" t="s">
        <v>1685</v>
      </c>
      <c r="C21" s="2228"/>
      <c r="D21" s="2228"/>
      <c r="E21" s="2228"/>
      <c r="F21" s="2228"/>
      <c r="G21" s="2228"/>
      <c r="H21" s="2228"/>
      <c r="I21" s="2228"/>
      <c r="J21" s="2228"/>
      <c r="K21" s="2228"/>
      <c r="L21" s="2228"/>
      <c r="M21" s="2228"/>
    </row>
    <row r="22" spans="1:13" s="230" customFormat="1" ht="15.75" x14ac:dyDescent="0.25">
      <c r="A22" s="1806" t="s">
        <v>1669</v>
      </c>
      <c r="B22" s="2228" t="s">
        <v>1686</v>
      </c>
      <c r="C22" s="2228"/>
      <c r="D22" s="2228"/>
      <c r="E22" s="2228"/>
      <c r="F22" s="2228"/>
      <c r="G22" s="2228"/>
      <c r="H22" s="2228"/>
      <c r="I22" s="2228"/>
      <c r="J22" s="2228"/>
      <c r="K22" s="2228"/>
      <c r="L22" s="2228"/>
      <c r="M22" s="2228"/>
    </row>
    <row r="23" spans="1:13" s="230" customFormat="1" ht="15.75" x14ac:dyDescent="0.25">
      <c r="A23" s="1806" t="s">
        <v>1670</v>
      </c>
      <c r="B23" s="2228" t="s">
        <v>1687</v>
      </c>
      <c r="C23" s="2228"/>
      <c r="D23" s="2228"/>
      <c r="E23" s="2228"/>
      <c r="F23" s="2228"/>
      <c r="G23" s="2228"/>
      <c r="H23" s="2228"/>
      <c r="I23" s="2228"/>
      <c r="J23" s="2228"/>
      <c r="K23" s="2228"/>
      <c r="L23" s="2228"/>
      <c r="M23" s="2228"/>
    </row>
    <row r="24" spans="1:13" s="230" customFormat="1" ht="15.75" x14ac:dyDescent="0.25">
      <c r="A24" s="1806" t="s">
        <v>1671</v>
      </c>
      <c r="B24" s="2228" t="s">
        <v>1688</v>
      </c>
      <c r="C24" s="2228"/>
      <c r="D24" s="2228"/>
      <c r="E24" s="2228"/>
      <c r="F24" s="2228"/>
      <c r="G24" s="2228"/>
      <c r="H24" s="2228"/>
      <c r="I24" s="2228"/>
      <c r="J24" s="2228"/>
      <c r="K24" s="2228"/>
      <c r="L24" s="2228"/>
      <c r="M24" s="2228"/>
    </row>
    <row r="25" spans="1:13" s="230" customFormat="1" ht="15.75" x14ac:dyDescent="0.25">
      <c r="A25" s="1806" t="s">
        <v>1672</v>
      </c>
      <c r="B25" s="2228" t="s">
        <v>1689</v>
      </c>
      <c r="C25" s="2228"/>
      <c r="D25" s="2228"/>
      <c r="E25" s="2228"/>
      <c r="F25" s="2228"/>
      <c r="G25" s="2228"/>
      <c r="H25" s="2228"/>
      <c r="I25" s="2228"/>
      <c r="J25" s="2228"/>
      <c r="K25" s="2228"/>
      <c r="L25" s="2228"/>
      <c r="M25" s="2228"/>
    </row>
    <row r="26" spans="1:13" ht="15.75" x14ac:dyDescent="0.25">
      <c r="A26" s="1806" t="s">
        <v>1673</v>
      </c>
      <c r="B26" s="2228" t="s">
        <v>1690</v>
      </c>
      <c r="C26" s="2228"/>
      <c r="D26" s="2228"/>
      <c r="E26" s="2228"/>
      <c r="F26" s="2228"/>
      <c r="G26" s="2228"/>
      <c r="H26" s="2228"/>
      <c r="I26" s="2228"/>
      <c r="J26" s="2228"/>
      <c r="K26" s="2228"/>
      <c r="L26" s="2228"/>
      <c r="M26" s="2228"/>
    </row>
    <row r="27" spans="1:13" ht="15.75" x14ac:dyDescent="0.25">
      <c r="A27" s="1806" t="s">
        <v>1674</v>
      </c>
      <c r="B27" s="2228" t="s">
        <v>1691</v>
      </c>
      <c r="C27" s="2228"/>
      <c r="D27" s="2228"/>
      <c r="E27" s="2228"/>
      <c r="F27" s="2228"/>
      <c r="G27" s="2228"/>
      <c r="H27" s="2228"/>
      <c r="I27" s="2228"/>
      <c r="J27" s="2228"/>
      <c r="K27" s="2228"/>
      <c r="L27" s="2228"/>
      <c r="M27" s="2228"/>
    </row>
    <row r="28" spans="1:13" ht="15.75" x14ac:dyDescent="0.25">
      <c r="A28" s="1806" t="s">
        <v>1675</v>
      </c>
      <c r="B28" s="2228" t="s">
        <v>1692</v>
      </c>
      <c r="C28" s="2228"/>
      <c r="D28" s="2228"/>
      <c r="E28" s="2228"/>
      <c r="F28" s="2228"/>
      <c r="G28" s="2228"/>
      <c r="H28" s="2228"/>
      <c r="I28" s="2228"/>
      <c r="J28" s="2228"/>
      <c r="K28" s="2228"/>
      <c r="L28" s="2228"/>
      <c r="M28" s="2228"/>
    </row>
    <row r="29" spans="1:13" ht="15.75" x14ac:dyDescent="0.25">
      <c r="A29" s="1806" t="s">
        <v>1676</v>
      </c>
      <c r="B29" s="2228" t="s">
        <v>1693</v>
      </c>
      <c r="C29" s="2228"/>
      <c r="D29" s="2228"/>
      <c r="E29" s="2228"/>
      <c r="F29" s="2228"/>
      <c r="G29" s="2228"/>
      <c r="H29" s="2228"/>
      <c r="I29" s="2228"/>
      <c r="J29" s="2228"/>
      <c r="K29" s="2228"/>
      <c r="L29" s="2228"/>
      <c r="M29" s="2228"/>
    </row>
    <row r="30" spans="1:13" ht="15.75" x14ac:dyDescent="0.25">
      <c r="A30" s="1806" t="s">
        <v>1677</v>
      </c>
      <c r="B30" s="2228" t="s">
        <v>1695</v>
      </c>
      <c r="C30" s="2228"/>
      <c r="D30" s="2228"/>
      <c r="E30" s="2228"/>
      <c r="F30" s="2228"/>
      <c r="G30" s="2228"/>
      <c r="H30" s="2228"/>
      <c r="I30" s="2228"/>
      <c r="J30" s="2228"/>
      <c r="K30" s="2228"/>
      <c r="L30" s="2228"/>
      <c r="M30" s="2228"/>
    </row>
    <row r="31" spans="1:13" ht="15.75" x14ac:dyDescent="0.25">
      <c r="A31" s="1806" t="s">
        <v>1678</v>
      </c>
      <c r="B31" s="2228" t="s">
        <v>1696</v>
      </c>
      <c r="C31" s="2228"/>
      <c r="D31" s="2228"/>
      <c r="E31" s="2228"/>
      <c r="F31" s="2228"/>
      <c r="G31" s="2228"/>
      <c r="H31" s="2228"/>
      <c r="I31" s="2228"/>
      <c r="J31" s="2228"/>
      <c r="K31" s="2228"/>
      <c r="L31" s="2228"/>
      <c r="M31" s="2228"/>
    </row>
    <row r="32" spans="1:13" ht="15.75" x14ac:dyDescent="0.25">
      <c r="A32" s="1724" t="s">
        <v>53</v>
      </c>
      <c r="B32" s="2226" t="s">
        <v>1581</v>
      </c>
      <c r="C32" s="2226"/>
      <c r="D32" s="2226"/>
      <c r="E32" s="2226"/>
      <c r="F32" s="2226"/>
      <c r="G32" s="2226"/>
      <c r="H32" s="2226"/>
      <c r="I32" s="2226"/>
      <c r="J32" s="2226"/>
      <c r="K32" s="2226"/>
      <c r="L32" s="2226"/>
      <c r="M32" s="2226"/>
    </row>
    <row r="33" spans="1:13" ht="15.75" x14ac:dyDescent="0.25">
      <c r="A33" s="1724" t="s">
        <v>1582</v>
      </c>
      <c r="B33" s="2226" t="s">
        <v>1583</v>
      </c>
      <c r="C33" s="2226"/>
      <c r="D33" s="2226"/>
      <c r="E33" s="2226"/>
      <c r="F33" s="2226"/>
      <c r="G33" s="2226"/>
      <c r="H33" s="2226"/>
      <c r="I33" s="2226"/>
      <c r="J33" s="2226"/>
      <c r="K33" s="2226"/>
      <c r="L33" s="2226"/>
      <c r="M33" s="2226"/>
    </row>
    <row r="34" spans="1:13" ht="15.75" x14ac:dyDescent="0.25">
      <c r="A34" s="1724" t="s">
        <v>1584</v>
      </c>
      <c r="B34" s="2226" t="s">
        <v>1648</v>
      </c>
      <c r="C34" s="2226"/>
      <c r="D34" s="2226"/>
      <c r="E34" s="2226"/>
      <c r="F34" s="2226"/>
      <c r="G34" s="2226"/>
      <c r="H34" s="2226"/>
      <c r="I34" s="2226"/>
      <c r="J34" s="2226"/>
      <c r="K34" s="2226"/>
      <c r="L34" s="2226"/>
      <c r="M34" s="2226"/>
    </row>
  </sheetData>
  <mergeCells count="34">
    <mergeCell ref="B2:M2"/>
    <mergeCell ref="B1:M1"/>
    <mergeCell ref="B3:M3"/>
    <mergeCell ref="B4:M4"/>
    <mergeCell ref="B5:M5"/>
    <mergeCell ref="B6:M6"/>
    <mergeCell ref="B7:M7"/>
    <mergeCell ref="B8:M8"/>
    <mergeCell ref="B33:M33"/>
    <mergeCell ref="B29:M29"/>
    <mergeCell ref="B28:M28"/>
    <mergeCell ref="B27:M27"/>
    <mergeCell ref="B26:M26"/>
    <mergeCell ref="B25:M25"/>
    <mergeCell ref="B24:M24"/>
    <mergeCell ref="B23:M23"/>
    <mergeCell ref="B22:M22"/>
    <mergeCell ref="B19:M19"/>
    <mergeCell ref="B34:M34"/>
    <mergeCell ref="B9:M9"/>
    <mergeCell ref="B10:M10"/>
    <mergeCell ref="B12:M12"/>
    <mergeCell ref="B20:M20"/>
    <mergeCell ref="B21:M21"/>
    <mergeCell ref="B32:M32"/>
    <mergeCell ref="B11:M11"/>
    <mergeCell ref="B13:M13"/>
    <mergeCell ref="B14:M14"/>
    <mergeCell ref="B15:M15"/>
    <mergeCell ref="B16:M16"/>
    <mergeCell ref="B17:M17"/>
    <mergeCell ref="B18:M18"/>
    <mergeCell ref="B31:M31"/>
    <mergeCell ref="B30:M30"/>
  </mergeCells>
  <pageMargins left="0.7" right="0.7" top="0.75" bottom="0.75" header="0.3" footer="0.3"/>
  <pageSetup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4B982A-54D4-440D-80E3-E9893D21E032}">
  <sheetPr codeName="Sheet14"/>
  <dimension ref="A1:AB642"/>
  <sheetViews>
    <sheetView topLeftCell="B569" zoomScale="86" zoomScaleNormal="86" workbookViewId="0">
      <selection activeCell="I591" sqref="I591"/>
    </sheetView>
  </sheetViews>
  <sheetFormatPr defaultRowHeight="15" x14ac:dyDescent="0.25"/>
  <cols>
    <col min="1" max="1" width="55.7109375" customWidth="1"/>
    <col min="2" max="2" width="18.28515625" customWidth="1"/>
    <col min="3" max="3" width="22.140625" customWidth="1"/>
    <col min="4" max="4" width="20.28515625" customWidth="1"/>
    <col min="5" max="5" width="16.42578125" bestFit="1" customWidth="1"/>
    <col min="6" max="6" width="18.5703125" customWidth="1"/>
    <col min="7" max="7" width="14.28515625" customWidth="1"/>
    <col min="8" max="8" width="18.28515625" customWidth="1"/>
    <col min="9" max="9" width="20.28515625" customWidth="1"/>
    <col min="10" max="10" width="22" customWidth="1"/>
    <col min="11" max="11" width="18.7109375" customWidth="1"/>
    <col min="12" max="12" width="16.42578125" customWidth="1"/>
    <col min="13" max="13" width="15.42578125" customWidth="1"/>
    <col min="14" max="15" width="14" customWidth="1"/>
    <col min="16" max="16" width="13.28515625" customWidth="1"/>
    <col min="17" max="17" width="12.140625" customWidth="1"/>
    <col min="18" max="18" width="20" customWidth="1"/>
    <col min="19" max="19" width="19.28515625" customWidth="1"/>
    <col min="20" max="20" width="13.42578125" customWidth="1"/>
    <col min="21" max="21" width="24.42578125" customWidth="1"/>
    <col min="22" max="22" width="19.140625" customWidth="1"/>
    <col min="23" max="23" width="11.42578125" customWidth="1"/>
    <col min="24" max="24" width="14.7109375" customWidth="1"/>
    <col min="26" max="26" width="13.42578125" customWidth="1"/>
  </cols>
  <sheetData>
    <row r="1" spans="1:28" s="230" customFormat="1" ht="61.5" customHeight="1" thickBot="1" x14ac:dyDescent="0.3">
      <c r="A1" s="2627" t="s">
        <v>1911</v>
      </c>
      <c r="B1" s="2628"/>
      <c r="C1" s="2628"/>
      <c r="D1" s="2628"/>
      <c r="E1" s="2628"/>
      <c r="F1" s="2628"/>
      <c r="G1" s="2628"/>
      <c r="H1" s="2628"/>
      <c r="I1" s="2628"/>
      <c r="J1" s="2628"/>
      <c r="K1" s="2628"/>
      <c r="L1" s="2629"/>
      <c r="M1" s="498"/>
      <c r="N1" s="498"/>
      <c r="O1" s="498"/>
      <c r="P1" s="498"/>
      <c r="Q1" s="498"/>
      <c r="R1" s="498"/>
    </row>
    <row r="2" spans="1:28" s="230" customFormat="1" ht="15.75" thickBot="1" x14ac:dyDescent="0.3">
      <c r="A2" s="498"/>
      <c r="B2" s="498"/>
      <c r="C2" s="498"/>
      <c r="D2" s="498"/>
      <c r="E2" s="498"/>
      <c r="F2" s="498"/>
      <c r="G2" s="498"/>
      <c r="H2" s="498"/>
      <c r="I2" s="498"/>
      <c r="J2" s="498"/>
      <c r="K2" s="498"/>
      <c r="L2" s="498"/>
      <c r="M2" s="498"/>
      <c r="N2" s="498"/>
      <c r="O2" s="498"/>
      <c r="P2" s="498"/>
      <c r="Q2" s="498"/>
      <c r="R2" s="498"/>
    </row>
    <row r="3" spans="1:28" s="230" customFormat="1" x14ac:dyDescent="0.25">
      <c r="A3" s="2881" t="s">
        <v>1376</v>
      </c>
      <c r="B3" s="2882"/>
      <c r="C3" s="2882"/>
      <c r="D3" s="2882"/>
      <c r="E3" s="2882"/>
      <c r="F3" s="2882"/>
      <c r="G3" s="2882"/>
      <c r="H3" s="2882"/>
      <c r="I3" s="2882"/>
      <c r="J3" s="2882"/>
      <c r="K3" s="2882"/>
      <c r="L3" s="2882"/>
      <c r="M3" s="2882"/>
      <c r="N3" s="2882"/>
      <c r="O3" s="2882"/>
      <c r="P3" s="2882"/>
      <c r="Q3" s="2882"/>
      <c r="R3" s="2882"/>
      <c r="S3" s="2882"/>
      <c r="T3" s="2882"/>
      <c r="U3" s="2882"/>
      <c r="V3" s="2883"/>
      <c r="W3" s="251"/>
      <c r="X3" s="251"/>
      <c r="Y3" s="251"/>
      <c r="Z3" s="251"/>
      <c r="AA3" s="251"/>
    </row>
    <row r="4" spans="1:28" s="230" customFormat="1" ht="15.75" thickBot="1" x14ac:dyDescent="0.3">
      <c r="A4" s="2884"/>
      <c r="B4" s="2885"/>
      <c r="C4" s="2885"/>
      <c r="D4" s="2885"/>
      <c r="E4" s="2885"/>
      <c r="F4" s="2885"/>
      <c r="G4" s="2885"/>
      <c r="H4" s="2885"/>
      <c r="I4" s="2885"/>
      <c r="J4" s="2885"/>
      <c r="K4" s="2885"/>
      <c r="L4" s="2885"/>
      <c r="M4" s="2885"/>
      <c r="N4" s="2885"/>
      <c r="O4" s="2885"/>
      <c r="P4" s="2885"/>
      <c r="Q4" s="2885"/>
      <c r="R4" s="2885"/>
      <c r="S4" s="2885"/>
      <c r="T4" s="2885"/>
      <c r="U4" s="2885"/>
      <c r="V4" s="2886"/>
      <c r="W4" s="251"/>
      <c r="X4" s="251"/>
      <c r="Y4" s="251"/>
      <c r="Z4" s="251"/>
      <c r="AA4" s="251"/>
    </row>
    <row r="5" spans="1:28" s="230" customFormat="1" ht="57" customHeight="1" thickBot="1" x14ac:dyDescent="0.3">
      <c r="A5" s="2891" t="s">
        <v>1031</v>
      </c>
      <c r="B5" s="2775" t="s">
        <v>1038</v>
      </c>
      <c r="C5" s="2889" t="s">
        <v>1463</v>
      </c>
      <c r="D5" s="2468"/>
      <c r="E5" s="2468"/>
      <c r="F5" s="2468"/>
      <c r="G5" s="2888"/>
      <c r="H5" s="2889" t="s">
        <v>1532</v>
      </c>
      <c r="I5" s="2468"/>
      <c r="J5" s="2468"/>
      <c r="K5" s="2468"/>
      <c r="L5" s="2888"/>
      <c r="M5" s="2890" t="s">
        <v>1437</v>
      </c>
      <c r="N5" s="2468"/>
      <c r="O5" s="2468"/>
      <c r="P5" s="2468"/>
      <c r="Q5" s="2888"/>
      <c r="R5" s="2887" t="s">
        <v>1400</v>
      </c>
      <c r="S5" s="2468"/>
      <c r="T5" s="2468"/>
      <c r="U5" s="2468"/>
      <c r="V5" s="2888"/>
      <c r="W5" s="2372"/>
      <c r="X5" s="2372"/>
      <c r="Y5" s="2372"/>
      <c r="Z5" s="2372"/>
      <c r="AA5" s="2372"/>
    </row>
    <row r="6" spans="1:28" ht="39.75" customHeight="1" thickBot="1" x14ac:dyDescent="0.3">
      <c r="A6" s="2892"/>
      <c r="B6" s="2892"/>
      <c r="C6" s="1242" t="s">
        <v>1032</v>
      </c>
      <c r="D6" s="1362" t="s">
        <v>394</v>
      </c>
      <c r="E6" s="1362" t="s">
        <v>330</v>
      </c>
      <c r="F6" s="1362" t="s">
        <v>329</v>
      </c>
      <c r="G6" s="1363" t="s">
        <v>1033</v>
      </c>
      <c r="H6" s="1364" t="s">
        <v>1032</v>
      </c>
      <c r="I6" s="1365" t="s">
        <v>1192</v>
      </c>
      <c r="J6" s="1365" t="s">
        <v>330</v>
      </c>
      <c r="K6" s="1365" t="s">
        <v>329</v>
      </c>
      <c r="L6" s="1366" t="s">
        <v>1033</v>
      </c>
      <c r="M6" s="1364" t="s">
        <v>1032</v>
      </c>
      <c r="N6" s="1365" t="s">
        <v>1192</v>
      </c>
      <c r="O6" s="1365" t="s">
        <v>330</v>
      </c>
      <c r="P6" s="1365" t="s">
        <v>329</v>
      </c>
      <c r="Q6" s="1366" t="s">
        <v>1033</v>
      </c>
      <c r="R6" s="1242" t="s">
        <v>1032</v>
      </c>
      <c r="S6" s="1362" t="s">
        <v>394</v>
      </c>
      <c r="T6" s="1362" t="s">
        <v>330</v>
      </c>
      <c r="U6" s="1362" t="s">
        <v>329</v>
      </c>
      <c r="V6" s="1363" t="s">
        <v>1033</v>
      </c>
      <c r="W6" s="98"/>
      <c r="X6" s="98"/>
      <c r="Y6" s="98"/>
      <c r="Z6" s="98"/>
      <c r="AA6" s="98"/>
    </row>
    <row r="7" spans="1:28" x14ac:dyDescent="0.25">
      <c r="A7" s="1270" t="s">
        <v>1037</v>
      </c>
      <c r="B7" s="2902">
        <f>(' QUICK OVERVIEW- Inputs&amp;Outputs'!$W$14)/1000</f>
        <v>2581.4000008966314</v>
      </c>
      <c r="C7" s="1271">
        <f>((0.3394*((B7)*1000)/(365*24))^-0.089)</f>
        <v>0.66373449601385426</v>
      </c>
      <c r="D7" s="1272">
        <f>0.3606*(((B7)*1000)/(365*24))^-0.089</f>
        <v>0.21739695941744741</v>
      </c>
      <c r="E7" s="1272">
        <f>0.0212*(((B7)*1000)/(365*24))^-0.089</f>
        <v>1.2780963781613659E-2</v>
      </c>
      <c r="F7" s="1272">
        <f>0.1697*(((B7)*1000)/(365*24))^-0.089-(0.093)</f>
        <v>9.3079978179168715E-3</v>
      </c>
      <c r="G7" s="1273">
        <f>1.4213*(((B7)*1000)/(365*24))^-0.089-(1.576)</f>
        <v>-0.71913283854681642</v>
      </c>
      <c r="H7" s="1261">
        <f t="shared" ref="H7:L12" si="0">M7</f>
        <v>899.18076187778388</v>
      </c>
      <c r="I7" s="756">
        <f t="shared" si="0"/>
        <v>43194.822675015057</v>
      </c>
      <c r="J7" s="756">
        <f t="shared" si="0"/>
        <v>63.682485603875961</v>
      </c>
      <c r="K7" s="756">
        <f t="shared" si="0"/>
        <v>240.73003941411557</v>
      </c>
      <c r="L7" s="1266">
        <f t="shared" si="0"/>
        <v>4069.0774983709844</v>
      </c>
      <c r="M7" s="1261">
        <f>((158*1000)/(453592))*B7</f>
        <v>899.18076187778388</v>
      </c>
      <c r="N7" s="756">
        <f>((7590*1000)/(453592))*B7</f>
        <v>43194.822675015057</v>
      </c>
      <c r="O7" s="756">
        <f>((11.19*1000)/(453592))*B7</f>
        <v>63.682485603875961</v>
      </c>
      <c r="P7" s="756">
        <f>((42.3*1000)/(453592))*B7</f>
        <v>240.73003941411557</v>
      </c>
      <c r="Q7" s="1264">
        <f>((715*1000)/(453592))*B7</f>
        <v>4069.0774983709844</v>
      </c>
      <c r="R7" s="1326">
        <f>(C7+0.024*H7-M7)*B7/(2.2)</f>
        <v>-1028965.6227365993</v>
      </c>
      <c r="S7" s="1327">
        <f>(B7*D7+0.024)/(2.2)</f>
        <v>255.09659601596528</v>
      </c>
      <c r="T7" s="1327">
        <f>(E7+0.024+J7-O7)*B7/(2.2)</f>
        <v>43.15744542674723</v>
      </c>
      <c r="U7" s="1327">
        <f>(F7+0.024+K7-P7)*B7/2.2</f>
        <v>39.082393453211623</v>
      </c>
      <c r="V7" s="1328">
        <f>(G7+0.024+L7-Q7)*B7/2.2</f>
        <v>-815.64359547620472</v>
      </c>
      <c r="W7" s="1332"/>
      <c r="X7" s="1332"/>
      <c r="Y7" s="1332"/>
      <c r="Z7" s="1332"/>
      <c r="AA7" s="1332"/>
    </row>
    <row r="8" spans="1:28" x14ac:dyDescent="0.25">
      <c r="A8" s="1097" t="s">
        <v>1036</v>
      </c>
      <c r="B8" s="2902"/>
      <c r="C8" s="1136">
        <f>0.5117*((B7)/(365*24))^-0.195</f>
        <v>0.64936956949961899</v>
      </c>
      <c r="D8" s="1137">
        <f>0.066*((B7)/(365*24))^-0.195</f>
        <v>8.3756872360709111E-2</v>
      </c>
      <c r="E8" s="1137">
        <f>0.1981*((B7)/(365*24))^-0.195</f>
        <v>0.25139752143418903</v>
      </c>
      <c r="F8" s="1137">
        <f>0.1155*((B7)/(365*24))^-0.195-(0.093)</f>
        <v>5.357452663124096E-2</v>
      </c>
      <c r="G8" s="1138">
        <f>1.0399*((B7)/(365*24))^-0.196-(1.576)</f>
        <v>-0.25470818990245037</v>
      </c>
      <c r="H8" s="1262">
        <f t="shared" si="0"/>
        <v>899.18076187778388</v>
      </c>
      <c r="I8" s="862">
        <f t="shared" si="0"/>
        <v>43194.822675015057</v>
      </c>
      <c r="J8" s="862">
        <f t="shared" si="0"/>
        <v>63.682485603875961</v>
      </c>
      <c r="K8" s="862">
        <f t="shared" si="0"/>
        <v>240.73003941411557</v>
      </c>
      <c r="L8" s="1267">
        <f t="shared" si="0"/>
        <v>4069.0774983709844</v>
      </c>
      <c r="M8" s="1262">
        <f>((158*1000)/(453592))*B7</f>
        <v>899.18076187778388</v>
      </c>
      <c r="N8" s="862">
        <f>((7590*1000)/(453592))*B7</f>
        <v>43194.822675015057</v>
      </c>
      <c r="O8" s="862">
        <f>((11.19*1000)/(453592))*B7</f>
        <v>63.682485603875961</v>
      </c>
      <c r="P8" s="862">
        <f>((42.3*1000)/(453592))*B7</f>
        <v>240.73003941411557</v>
      </c>
      <c r="Q8" s="1290">
        <f>((715*1000)/(453592))*B7</f>
        <v>4069.0774983709844</v>
      </c>
      <c r="R8" s="1323">
        <f>(C8+0.024+H8-M8)*B7/(2.2)</f>
        <v>790.10736695915375</v>
      </c>
      <c r="S8" s="1324">
        <f>(B7*D8+0.024)/(2.2)</f>
        <v>98.288177448651609</v>
      </c>
      <c r="T8" s="1324">
        <f>(E8+0.024+J8-O8)*B7/(2.2)</f>
        <v>323.14143730779034</v>
      </c>
      <c r="U8" s="1324">
        <f>(F8+0.024+K8-P8)*B7/2.2</f>
        <v>91.023128688850591</v>
      </c>
      <c r="V8" s="1325">
        <f>(G8+0.024+L8-Q8)*B7/2.2</f>
        <v>-270.70460073694801</v>
      </c>
      <c r="W8" s="1332"/>
      <c r="X8" s="1332"/>
      <c r="Y8" s="1332"/>
      <c r="Z8" s="1332"/>
      <c r="AA8" s="1332"/>
    </row>
    <row r="9" spans="1:28" x14ac:dyDescent="0.25">
      <c r="A9" s="1097" t="s">
        <v>1035</v>
      </c>
      <c r="B9" s="2902"/>
      <c r="C9" s="1139">
        <f xml:space="preserve"> -0.064*((LN(B7)*1000)/(365*24))+ 0.8937</f>
        <v>0.83630392937535403</v>
      </c>
      <c r="D9" s="1140">
        <f xml:space="preserve"> (-0.226)*((LN(B7)*1000)/(365*24)) + 3.1384</f>
        <v>2.9357201256067182</v>
      </c>
      <c r="E9" s="1260">
        <f xml:space="preserve"> -0.021*(((LN(B7))*1000)/(365*24))+ 0.291</f>
        <v>0.27216691432628798</v>
      </c>
      <c r="F9" s="1140">
        <f xml:space="preserve"> -0.024*((LN(B7))*1000)/(365*24) + 0.3325-(0.093)</f>
        <v>0.21797647351575775</v>
      </c>
      <c r="G9" s="1141">
        <f xml:space="preserve"> -0.004*((LN(B7))*1000)/(365*24)+ 0.0624-(1.576)</f>
        <v>-1.5171872544140403</v>
      </c>
      <c r="H9" s="1262">
        <f t="shared" si="0"/>
        <v>899.18076187778388</v>
      </c>
      <c r="I9" s="862">
        <f t="shared" si="0"/>
        <v>43194.822675015057</v>
      </c>
      <c r="J9" s="862">
        <f t="shared" si="0"/>
        <v>63.682485603875961</v>
      </c>
      <c r="K9" s="862">
        <f t="shared" si="0"/>
        <v>240.73003941411557</v>
      </c>
      <c r="L9" s="1267">
        <f t="shared" si="0"/>
        <v>4069.0774983709844</v>
      </c>
      <c r="M9" s="1262">
        <f>((158*1000)/(453592))*B7</f>
        <v>899.18076187778388</v>
      </c>
      <c r="N9" s="862">
        <f>((7590*1000)/(453592))*B7</f>
        <v>43194.822675015057</v>
      </c>
      <c r="O9" s="862">
        <f>((11.19*1000)/(453592))*B7</f>
        <v>63.682485603875961</v>
      </c>
      <c r="P9" s="862">
        <f>((42.3*1000)/(453592))*B7</f>
        <v>240.73003941411557</v>
      </c>
      <c r="Q9" s="1290">
        <f>((715*1000)/(453592))*B7</f>
        <v>4069.0774983709844</v>
      </c>
      <c r="R9" s="1323">
        <f>(C9+0.044+H9-M9)*B7/(2.2)</f>
        <v>1032.9166200358613</v>
      </c>
      <c r="S9" s="1324">
        <f>(B7*D9+0.044)/(2.2)</f>
        <v>3444.6872431242909</v>
      </c>
      <c r="T9" s="1324">
        <f>(E9+0.044+J9-O9)*B7/(2.2)</f>
        <v>370.97876042062092</v>
      </c>
      <c r="U9" s="1324">
        <f>(F9+0.044+K9-P9)*B7/2.2</f>
        <v>307.39366771292697</v>
      </c>
      <c r="V9" s="1325">
        <f>(G9+0.044+L9-Q9)*B7/2.2</f>
        <v>-1728.5843544840845</v>
      </c>
      <c r="W9" s="1332"/>
      <c r="X9" s="1332"/>
      <c r="Y9" s="1332"/>
      <c r="Z9" s="1332"/>
      <c r="AA9" s="1332"/>
    </row>
    <row r="10" spans="1:28" ht="15.75" thickBot="1" x14ac:dyDescent="0.3">
      <c r="A10" s="1142" t="s">
        <v>1034</v>
      </c>
      <c r="B10" s="2902"/>
      <c r="C10" s="1143">
        <f>0.02</f>
        <v>0.02</v>
      </c>
      <c r="D10" s="1144">
        <v>7.0000000000000007E-2</v>
      </c>
      <c r="E10" s="1144">
        <f>0.01</f>
        <v>0.01</v>
      </c>
      <c r="F10" s="1144">
        <f>0.06-0.093</f>
        <v>-3.3000000000000002E-2</v>
      </c>
      <c r="G10" s="1145">
        <f>0.001-(1.576)</f>
        <v>-1.5750000000000002</v>
      </c>
      <c r="H10" s="1263">
        <f t="shared" si="0"/>
        <v>899.18076187778388</v>
      </c>
      <c r="I10" s="773">
        <f t="shared" si="0"/>
        <v>43194.822675015057</v>
      </c>
      <c r="J10" s="773">
        <f t="shared" si="0"/>
        <v>63.682485603875961</v>
      </c>
      <c r="K10" s="773">
        <f t="shared" si="0"/>
        <v>240.73003941411557</v>
      </c>
      <c r="L10" s="1268">
        <f t="shared" si="0"/>
        <v>4069.0774983709844</v>
      </c>
      <c r="M10" s="1263">
        <f>((158*1000))/(453592)*B7</f>
        <v>899.18076187778388</v>
      </c>
      <c r="N10" s="773">
        <f>((7590*1000)/(453592))*B7</f>
        <v>43194.822675015057</v>
      </c>
      <c r="O10" s="773">
        <f>((11.19*1000)/(453592))*B7</f>
        <v>63.682485603875961</v>
      </c>
      <c r="P10" s="773">
        <f>((42.3*1000)/(453592))*B7</f>
        <v>240.73003941411557</v>
      </c>
      <c r="Q10" s="1291">
        <f>((715*1000)/(453592))*B7</f>
        <v>4069.0774983709844</v>
      </c>
      <c r="R10" s="1996">
        <f>(C10+0.02+H10-M10)*B7/(2.2)</f>
        <v>46.934545470805148</v>
      </c>
      <c r="S10" s="1937">
        <f>(B7*D10+0.02)/(2.2)</f>
        <v>82.144545483074637</v>
      </c>
      <c r="T10" s="1937">
        <f>(E10+0.02+J10-O10)*B7/(2.2)</f>
        <v>35.200909103137214</v>
      </c>
      <c r="U10" s="1937">
        <f>(F10+0.02+K10-P10)*B7/2.2</f>
        <v>-15.253727278031683</v>
      </c>
      <c r="V10" s="1938">
        <f>(G10+0.02+L10-Q10)*B7/2.2</f>
        <v>-1824.5804551790177</v>
      </c>
      <c r="W10" s="1332"/>
      <c r="X10" s="1332"/>
      <c r="Y10" s="1332"/>
      <c r="Z10" s="1332"/>
      <c r="AA10" s="1332"/>
    </row>
    <row r="11" spans="1:28" s="230" customFormat="1" x14ac:dyDescent="0.25">
      <c r="A11" s="1903" t="s">
        <v>1826</v>
      </c>
      <c r="B11" s="2879">
        <f>' QUICK OVERVIEW- Inputs&amp;Outputs'!W12/1000000</f>
        <v>30111.920694219847</v>
      </c>
      <c r="C11" s="1147">
        <v>5.1000000000000004E-3</v>
      </c>
      <c r="D11" s="1147">
        <v>4.1999999999999997E-3</v>
      </c>
      <c r="E11" s="1147">
        <v>1.1000000000000001E-3</v>
      </c>
      <c r="F11" s="1147">
        <v>5.9999999999999995E-4</v>
      </c>
      <c r="G11" s="1147">
        <v>3.5999999999999999E-3</v>
      </c>
      <c r="H11" s="756">
        <f t="shared" si="0"/>
        <v>11268.214610873494</v>
      </c>
      <c r="I11" s="756">
        <f t="shared" si="0"/>
        <v>12064957.058106974</v>
      </c>
      <c r="J11" s="756">
        <f t="shared" si="0"/>
        <v>886.66052342125784</v>
      </c>
      <c r="K11" s="756">
        <f t="shared" si="0"/>
        <v>101.86921289628057</v>
      </c>
      <c r="L11" s="1997">
        <f t="shared" si="0"/>
        <v>108698.43387256755</v>
      </c>
      <c r="M11" s="756">
        <f>((1980*1000))/(453592)*B7</f>
        <v>11268.214610873494</v>
      </c>
      <c r="N11" s="756">
        <f>((2120000*1000)/(453592))*B7</f>
        <v>12064957.058106974</v>
      </c>
      <c r="O11" s="756">
        <f>((155.8*1000)/(453592))*B7</f>
        <v>886.66052342125784</v>
      </c>
      <c r="P11" s="756">
        <f>((17.9*1000)/(453592))*B7</f>
        <v>101.86921289628057</v>
      </c>
      <c r="Q11" s="756">
        <f>((19100*1000)/(453592))*B7</f>
        <v>108698.43387256755</v>
      </c>
      <c r="R11" s="1882">
        <f>(C11+0.025*H11-M11)*B11/(2.2)</f>
        <v>-150374882.5177612</v>
      </c>
      <c r="S11" s="1882">
        <f>(D11+0.025*I11-N11)*B11/(2.2)</f>
        <v>-161007524651.63318</v>
      </c>
      <c r="T11" s="1882">
        <f>(E11+0.025*J11-O11)*B11/(2.2)</f>
        <v>-11832519.071247591</v>
      </c>
      <c r="U11" s="1882">
        <f>(F11+0.025*K11-P11)*B11/(2.2)</f>
        <v>-1359442.1142114073</v>
      </c>
      <c r="V11" s="1998">
        <f>(G11+0.025*L11-Q11)*B11/(2.2)</f>
        <v>-1450586612.0203741</v>
      </c>
      <c r="W11" s="1332"/>
      <c r="X11" s="1332"/>
      <c r="Y11" s="1332"/>
      <c r="Z11" s="1332"/>
      <c r="AA11" s="1332"/>
    </row>
    <row r="12" spans="1:28" ht="15.75" thickBot="1" x14ac:dyDescent="0.3">
      <c r="A12" s="1574" t="s">
        <v>1827</v>
      </c>
      <c r="B12" s="2880"/>
      <c r="C12" s="1149">
        <v>5.1000000000000004E-3</v>
      </c>
      <c r="D12" s="1149">
        <v>4.1999999999999997E-3</v>
      </c>
      <c r="E12" s="1149">
        <v>1.1000000000000001E-3</v>
      </c>
      <c r="F12" s="1149">
        <v>5.9999999999999995E-4</v>
      </c>
      <c r="G12" s="1149">
        <v>3.5999999999999999E-3</v>
      </c>
      <c r="H12" s="524">
        <f t="shared" si="0"/>
        <v>11268.214610873494</v>
      </c>
      <c r="I12" s="524">
        <f t="shared" si="0"/>
        <v>12064957.058106974</v>
      </c>
      <c r="J12" s="524">
        <f t="shared" si="0"/>
        <v>886.66052342125784</v>
      </c>
      <c r="K12" s="524">
        <f t="shared" si="0"/>
        <v>101.86921289628057</v>
      </c>
      <c r="L12" s="1316">
        <f t="shared" si="0"/>
        <v>108698.43387256755</v>
      </c>
      <c r="M12" s="524">
        <f>((1980*1000))/(453592)*B7</f>
        <v>11268.214610873494</v>
      </c>
      <c r="N12" s="524">
        <f>((2120000*1000)/(453592))*B7</f>
        <v>12064957.058106974</v>
      </c>
      <c r="O12" s="524">
        <f>((155.8*1000)/(453592))*B7</f>
        <v>886.66052342125784</v>
      </c>
      <c r="P12" s="524">
        <f>((17.9*1000)/(453592))*B7</f>
        <v>101.86921289628057</v>
      </c>
      <c r="Q12" s="524">
        <f>((19100*1000)/(453592))*B7</f>
        <v>108698.43387256755</v>
      </c>
      <c r="R12" s="1942">
        <f>(C12+0.025*H12-M12)*B11/(2.2)</f>
        <v>-150374882.5177612</v>
      </c>
      <c r="S12" s="1942">
        <f>(D12+0.025*I12-N12)*B11/(2.2)</f>
        <v>-161007524651.63318</v>
      </c>
      <c r="T12" s="1942">
        <f>(E12+0.025*J12-O12)*B11/(2.2)</f>
        <v>-11832519.071247591</v>
      </c>
      <c r="U12" s="1942">
        <f>(F12+0.025*K12-P12)*B11/(2.2)</f>
        <v>-1359442.1142114073</v>
      </c>
      <c r="V12" s="1250">
        <f>(G12+0.025*L12-Q12)*B11/(2.2)</f>
        <v>-1450586612.0203741</v>
      </c>
      <c r="W12" s="1332"/>
      <c r="X12" s="1332"/>
      <c r="Y12" s="1332"/>
      <c r="Z12" s="1332"/>
      <c r="AA12" s="1332"/>
    </row>
    <row r="13" spans="1:28" s="230" customFormat="1" ht="15.75" thickBot="1" x14ac:dyDescent="0.3">
      <c r="A13" s="115"/>
      <c r="B13" s="994"/>
      <c r="C13" s="1150"/>
      <c r="D13" s="1150"/>
      <c r="E13" s="1150"/>
      <c r="F13" s="1150"/>
      <c r="G13" s="1150"/>
      <c r="H13" s="995"/>
      <c r="I13" s="995"/>
      <c r="J13" s="995"/>
      <c r="K13" s="995"/>
      <c r="L13" s="995"/>
      <c r="M13" s="498"/>
      <c r="N13" s="498"/>
      <c r="O13" s="498"/>
      <c r="P13" s="498"/>
      <c r="Q13" s="498"/>
      <c r="R13" s="498"/>
      <c r="W13" s="3"/>
      <c r="X13" s="3"/>
      <c r="Y13" s="3"/>
      <c r="Z13" s="3"/>
      <c r="AA13" s="3"/>
      <c r="AB13" s="3"/>
    </row>
    <row r="14" spans="1:28" s="230" customFormat="1" x14ac:dyDescent="0.25">
      <c r="A14" s="2893" t="s">
        <v>1377</v>
      </c>
      <c r="B14" s="2894"/>
      <c r="C14" s="2894"/>
      <c r="D14" s="2894"/>
      <c r="E14" s="2894"/>
      <c r="F14" s="2894"/>
      <c r="G14" s="2894"/>
      <c r="H14" s="2894"/>
      <c r="I14" s="2894"/>
      <c r="J14" s="2894"/>
      <c r="K14" s="2894"/>
      <c r="L14" s="2894"/>
      <c r="M14" s="2894"/>
      <c r="N14" s="2894"/>
      <c r="O14" s="2894"/>
      <c r="P14" s="2894"/>
      <c r="Q14" s="2894"/>
      <c r="R14" s="2894"/>
      <c r="S14" s="2894"/>
      <c r="T14" s="2894"/>
      <c r="U14" s="2894"/>
      <c r="V14" s="2895"/>
      <c r="W14" s="251"/>
      <c r="X14" s="251"/>
      <c r="Y14" s="251"/>
      <c r="Z14" s="251"/>
      <c r="AA14" s="251"/>
      <c r="AB14" s="3"/>
    </row>
    <row r="15" spans="1:28" s="230" customFormat="1" ht="15.75" thickBot="1" x14ac:dyDescent="0.3">
      <c r="A15" s="2896"/>
      <c r="B15" s="2897"/>
      <c r="C15" s="2897"/>
      <c r="D15" s="2897"/>
      <c r="E15" s="2897"/>
      <c r="F15" s="2897"/>
      <c r="G15" s="2897"/>
      <c r="H15" s="2897"/>
      <c r="I15" s="2897"/>
      <c r="J15" s="2897"/>
      <c r="K15" s="2897"/>
      <c r="L15" s="2897"/>
      <c r="M15" s="2897"/>
      <c r="N15" s="2897"/>
      <c r="O15" s="2897"/>
      <c r="P15" s="2897"/>
      <c r="Q15" s="2897"/>
      <c r="R15" s="2897"/>
      <c r="S15" s="2897"/>
      <c r="T15" s="2897"/>
      <c r="U15" s="2897"/>
      <c r="V15" s="2898"/>
      <c r="W15" s="251"/>
      <c r="X15" s="251"/>
      <c r="Y15" s="251"/>
      <c r="Z15" s="251"/>
      <c r="AA15" s="251"/>
      <c r="AB15" s="3"/>
    </row>
    <row r="16" spans="1:28" s="230" customFormat="1" ht="39.75" customHeight="1" thickBot="1" x14ac:dyDescent="0.3">
      <c r="A16" s="2891" t="s">
        <v>1031</v>
      </c>
      <c r="B16" s="2775" t="s">
        <v>1038</v>
      </c>
      <c r="C16" s="2889" t="s">
        <v>1382</v>
      </c>
      <c r="D16" s="2468"/>
      <c r="E16" s="2468"/>
      <c r="F16" s="2468"/>
      <c r="G16" s="2888"/>
      <c r="H16" s="2889" t="s">
        <v>1378</v>
      </c>
      <c r="I16" s="2468"/>
      <c r="J16" s="2468"/>
      <c r="K16" s="2468"/>
      <c r="L16" s="2888"/>
      <c r="M16" s="2890" t="s">
        <v>1437</v>
      </c>
      <c r="N16" s="2468"/>
      <c r="O16" s="2468"/>
      <c r="P16" s="2468"/>
      <c r="Q16" s="2888"/>
      <c r="R16" s="2899" t="s">
        <v>1401</v>
      </c>
      <c r="S16" s="2900"/>
      <c r="T16" s="2900"/>
      <c r="U16" s="2900"/>
      <c r="V16" s="2901"/>
      <c r="W16" s="2372"/>
      <c r="X16" s="2372"/>
      <c r="Y16" s="2372"/>
      <c r="Z16" s="2372"/>
      <c r="AA16" s="2372"/>
      <c r="AB16" s="3"/>
    </row>
    <row r="17" spans="1:28" s="230" customFormat="1" ht="29.25" customHeight="1" thickBot="1" x14ac:dyDescent="0.3">
      <c r="A17" s="2892"/>
      <c r="B17" s="2892"/>
      <c r="C17" s="1242" t="s">
        <v>1032</v>
      </c>
      <c r="D17" s="1362" t="s">
        <v>1192</v>
      </c>
      <c r="E17" s="1362" t="s">
        <v>330</v>
      </c>
      <c r="F17" s="1362" t="s">
        <v>329</v>
      </c>
      <c r="G17" s="1363" t="s">
        <v>1033</v>
      </c>
      <c r="H17" s="1242" t="s">
        <v>1032</v>
      </c>
      <c r="I17" s="1362" t="s">
        <v>1192</v>
      </c>
      <c r="J17" s="1362" t="s">
        <v>330</v>
      </c>
      <c r="K17" s="1362" t="s">
        <v>329</v>
      </c>
      <c r="L17" s="1363" t="s">
        <v>1033</v>
      </c>
      <c r="M17" s="1364" t="s">
        <v>1032</v>
      </c>
      <c r="N17" s="1365" t="s">
        <v>1192</v>
      </c>
      <c r="O17" s="1365" t="s">
        <v>330</v>
      </c>
      <c r="P17" s="1365" t="s">
        <v>329</v>
      </c>
      <c r="Q17" s="1366" t="s">
        <v>1033</v>
      </c>
      <c r="R17" s="1242" t="s">
        <v>1032</v>
      </c>
      <c r="S17" s="1362" t="s">
        <v>1192</v>
      </c>
      <c r="T17" s="1362" t="s">
        <v>330</v>
      </c>
      <c r="U17" s="1362" t="s">
        <v>329</v>
      </c>
      <c r="V17" s="1363" t="s">
        <v>1033</v>
      </c>
      <c r="W17" s="98"/>
      <c r="X17" s="98"/>
      <c r="Y17" s="98"/>
      <c r="Z17" s="98"/>
      <c r="AA17" s="98"/>
    </row>
    <row r="18" spans="1:28" s="230" customFormat="1" x14ac:dyDescent="0.25">
      <c r="A18" s="1367" t="s">
        <v>1037</v>
      </c>
      <c r="B18" s="2915">
        <f>((' QUICK OVERVIEW- Inputs&amp;Outputs'!$W$14)/1000)*0.5</f>
        <v>1290.7000004483157</v>
      </c>
      <c r="C18" s="1368">
        <f>2.5*B18</f>
        <v>3226.7500011207894</v>
      </c>
      <c r="D18" s="1369">
        <f>938*B18</f>
        <v>1210676.6004205202</v>
      </c>
      <c r="E18" s="1369">
        <f>0.4*B18</f>
        <v>516.28000017932629</v>
      </c>
      <c r="F18" s="1369">
        <f>0.86*B18</f>
        <v>1110.0020003855514</v>
      </c>
      <c r="G18" s="1370">
        <f>0.027*B18</f>
        <v>34.848900012104522</v>
      </c>
      <c r="H18" s="1368">
        <f>2.5*((2.4+4.75)/100)*B18</f>
        <v>230.71262508013646</v>
      </c>
      <c r="I18" s="1369">
        <f>938*(2.4+4.75/100)*B18</f>
        <v>2963130.9795292225</v>
      </c>
      <c r="J18" s="1369">
        <f>0.4*(2.4+4.75/100)*B18</f>
        <v>1263.5953004389009</v>
      </c>
      <c r="K18" s="1369">
        <f>0.86*(2.4+4.75/100)*B18</f>
        <v>2716.7298959436371</v>
      </c>
      <c r="L18" s="1370">
        <f>0.027*(2.4+4.75/100)*B18</f>
        <v>85.292682779625807</v>
      </c>
      <c r="M18" s="1371">
        <f>((158*1000)/(453592))*B18</f>
        <v>449.59038093889194</v>
      </c>
      <c r="N18" s="1372">
        <f>((7590*1000)/(453592))*B18</f>
        <v>21597.411337507529</v>
      </c>
      <c r="O18" s="1373">
        <f>((11.19*1000)/(453592))*B18</f>
        <v>31.84124280193798</v>
      </c>
      <c r="P18" s="1372">
        <f>((42.3*1000)/(453592))*B18</f>
        <v>120.36501970705778</v>
      </c>
      <c r="Q18" s="1374">
        <f>((715*1000)/(453592))*B18</f>
        <v>2034.5387491854922</v>
      </c>
      <c r="R18" s="1368">
        <f>((C18+H18)-M18)/(2.2)</f>
        <v>1367.2146569372881</v>
      </c>
      <c r="S18" s="1369">
        <f>((D18+I18)-(N18))/(2.2)</f>
        <v>1887368.2584601068</v>
      </c>
      <c r="T18" s="1369">
        <f>((E18+J18)-(O18))/(2.2)</f>
        <v>794.5609353710405</v>
      </c>
      <c r="U18" s="1375">
        <f>((F18+K18)-(P18))/(2.2)</f>
        <v>1684.7122166464228</v>
      </c>
      <c r="V18" s="1370">
        <f>((G18+L18)-(Q18))/(2.2)</f>
        <v>-870.18053017898262</v>
      </c>
      <c r="W18" s="1332"/>
      <c r="X18" s="1332"/>
      <c r="Y18" s="1332"/>
      <c r="Z18" s="1332"/>
      <c r="AA18" s="1332"/>
    </row>
    <row r="19" spans="1:28" s="230" customFormat="1" x14ac:dyDescent="0.25">
      <c r="A19" s="1376" t="s">
        <v>1036</v>
      </c>
      <c r="B19" s="2916"/>
      <c r="C19" s="1377">
        <f>2.5*B18</f>
        <v>3226.7500011207894</v>
      </c>
      <c r="D19" s="1369">
        <f>938*B18</f>
        <v>1210676.6004205202</v>
      </c>
      <c r="E19" s="1343">
        <f>0.4*B18</f>
        <v>516.28000017932629</v>
      </c>
      <c r="F19" s="1343">
        <f>0.86*B18</f>
        <v>1110.0020003855514</v>
      </c>
      <c r="G19" s="691">
        <f>0.027*B18</f>
        <v>34.848900012104522</v>
      </c>
      <c r="H19" s="1377">
        <f>2.5*(2.4+4.75/100)*B18</f>
        <v>7897.4706277431305</v>
      </c>
      <c r="I19" s="1343">
        <f>938*(2.4+4.75/100)*B18</f>
        <v>2963130.9795292225</v>
      </c>
      <c r="J19" s="1343">
        <f>0.4*(2.4+4.75/100)*B18</f>
        <v>1263.5953004389009</v>
      </c>
      <c r="K19" s="1343">
        <f>0.86*(2.4+4.75/100)*B18</f>
        <v>2716.7298959436371</v>
      </c>
      <c r="L19" s="691">
        <f>0.027*(2.4+4.75/100)*B18</f>
        <v>85.292682779625807</v>
      </c>
      <c r="M19" s="1378">
        <f>((158*1000)/(453592))*B18</f>
        <v>449.59038093889194</v>
      </c>
      <c r="N19" s="674">
        <f>((7590*1000)/(453592))*B18</f>
        <v>21597.411337507529</v>
      </c>
      <c r="O19" s="1379">
        <f>((11.19*1000)/(453592))*B18</f>
        <v>31.84124280193798</v>
      </c>
      <c r="P19" s="674">
        <f>((42.3*1000)/(453592))*B18</f>
        <v>120.36501970705778</v>
      </c>
      <c r="Q19" s="461">
        <f>((715*1000)/(453592))*B18</f>
        <v>2034.5387491854922</v>
      </c>
      <c r="R19" s="1377">
        <f>((C19+H19)-M19)/(2.2)</f>
        <v>4852.1046581477403</v>
      </c>
      <c r="S19" s="1343">
        <f>((D19+I19)-(N19))/(2.2)</f>
        <v>1887368.2584601068</v>
      </c>
      <c r="T19" s="1343">
        <f>(E19+J19)-O19/(2.2)</f>
        <v>1765.4020084355284</v>
      </c>
      <c r="U19" s="1380">
        <f>((F19+K19)-(P19))/(2.2)</f>
        <v>1684.7122166464228</v>
      </c>
      <c r="V19" s="691">
        <f>((G19+L19)-(Q19))/(2.2)</f>
        <v>-870.18053017898262</v>
      </c>
      <c r="W19" s="1332"/>
      <c r="X19" s="1332"/>
      <c r="Y19" s="1332"/>
      <c r="Z19" s="1332"/>
      <c r="AA19" s="1332"/>
    </row>
    <row r="20" spans="1:28" s="230" customFormat="1" x14ac:dyDescent="0.25">
      <c r="A20" s="1376" t="s">
        <v>1035</v>
      </c>
      <c r="B20" s="2916"/>
      <c r="C20" s="1377">
        <f>2.5*B18</f>
        <v>3226.7500011207894</v>
      </c>
      <c r="D20" s="1369">
        <f>938*B18</f>
        <v>1210676.6004205202</v>
      </c>
      <c r="E20" s="1343">
        <f>0.4*B18</f>
        <v>516.28000017932629</v>
      </c>
      <c r="F20" s="1343">
        <f>0.86*B18</f>
        <v>1110.0020003855514</v>
      </c>
      <c r="G20" s="691">
        <f>0.027*B18</f>
        <v>34.848900012104522</v>
      </c>
      <c r="H20" s="1377">
        <f>2.5*(4.4+4.75/100)*B18</f>
        <v>14350.970629984713</v>
      </c>
      <c r="I20" s="1343">
        <f>938*(4.4+4.75/100)*B18</f>
        <v>5384484.1803702647</v>
      </c>
      <c r="J20" s="1343">
        <f>0.4*(4.4+4.75/100)*B18</f>
        <v>2296.155300797554</v>
      </c>
      <c r="K20" s="1343">
        <f>0.86*(4.4+4.75/100)*B18</f>
        <v>4936.7338967147407</v>
      </c>
      <c r="L20" s="691">
        <f>0.027*(4.4+4.75/100)*B18</f>
        <v>154.99048280383491</v>
      </c>
      <c r="M20" s="1378">
        <f>((158*1000)/(453592))*B18</f>
        <v>449.59038093889194</v>
      </c>
      <c r="N20" s="674">
        <f>((7590*1000)/(453592))*B18</f>
        <v>21597.411337507529</v>
      </c>
      <c r="O20" s="1379">
        <f>((11.19*1000)/(453592))*B18</f>
        <v>31.84124280193798</v>
      </c>
      <c r="P20" s="674">
        <f>((42.3*1000)/(453592))*B18</f>
        <v>120.36501970705778</v>
      </c>
      <c r="Q20" s="461">
        <f>((715*1000)/(453592))*B18</f>
        <v>2034.5387491854922</v>
      </c>
      <c r="R20" s="1377">
        <f>(C20+H20)-(M20)/(2.2)</f>
        <v>17373.361367042369</v>
      </c>
      <c r="S20" s="1343">
        <f>((D20+I20)-(N20))/(2.2)</f>
        <v>2987983.3497514897</v>
      </c>
      <c r="T20" s="1343">
        <f>((E20+J20)-(O20))/(2.2)</f>
        <v>1263.906390079519</v>
      </c>
      <c r="U20" s="1380">
        <f>((F20+J20)-(P20))/(2.2)</f>
        <v>1493.541946125476</v>
      </c>
      <c r="V20" s="691">
        <f>((G20+L20)-(Q20))/(2.2)</f>
        <v>-838.49971198616026</v>
      </c>
      <c r="W20" s="1332"/>
      <c r="X20" s="1332"/>
      <c r="Y20" s="1332"/>
      <c r="Z20" s="1332"/>
      <c r="AA20" s="1332"/>
    </row>
    <row r="21" spans="1:28" s="230" customFormat="1" ht="15.75" thickBot="1" x14ac:dyDescent="0.3">
      <c r="A21" s="1381" t="s">
        <v>1034</v>
      </c>
      <c r="B21" s="2917"/>
      <c r="C21" s="1382">
        <f>2.5*B18</f>
        <v>3226.7500011207894</v>
      </c>
      <c r="D21" s="1369">
        <f>938*B18</f>
        <v>1210676.6004205202</v>
      </c>
      <c r="E21" s="1383">
        <f>0.4*B18</f>
        <v>516.28000017932629</v>
      </c>
      <c r="F21" s="1383">
        <f>0.86*B18</f>
        <v>1110.0020003855514</v>
      </c>
      <c r="G21" s="1384">
        <f>0.027*B18</f>
        <v>34.848900012104522</v>
      </c>
      <c r="H21" s="1385">
        <f>2.5*(2+4.75/100)*B18</f>
        <v>6606.7706272948153</v>
      </c>
      <c r="I21" s="1089">
        <f>938*(2+4.75/100)*B18</f>
        <v>2478860.3393610148</v>
      </c>
      <c r="J21" s="1089">
        <f>0.4*(2+4.75/100)*B18</f>
        <v>1057.0833003671705</v>
      </c>
      <c r="K21" s="1089">
        <f>0.86*(2+4.75/100)*B18</f>
        <v>2272.7290957894165</v>
      </c>
      <c r="L21" s="1090">
        <f>0.027*(2+4.75/100)*B18</f>
        <v>71.353122774784012</v>
      </c>
      <c r="M21" s="1386">
        <f>((158*1000)/(453592))*B18</f>
        <v>449.59038093889194</v>
      </c>
      <c r="N21" s="1387">
        <f>((7590*1000)/(453592))*B18</f>
        <v>21597.411337507529</v>
      </c>
      <c r="O21" s="1388">
        <f>((11.19*1000)/(453592))*B18</f>
        <v>31.84124280193798</v>
      </c>
      <c r="P21" s="1387">
        <f>((42.3*1000)/(453592))*B18</f>
        <v>120.36501970705778</v>
      </c>
      <c r="Q21" s="1389">
        <f>((715*1000)/(453592))*B18</f>
        <v>2034.5387491854922</v>
      </c>
      <c r="R21" s="1382">
        <f>((C21+H21)-(M21))/(2.2)</f>
        <v>4265.4228397621418</v>
      </c>
      <c r="S21" s="1383">
        <f>((D21+I21)-(N21))/(2.2)</f>
        <v>1667245.2402018306</v>
      </c>
      <c r="T21" s="1383">
        <f>((E21+J21)-(O21))/(2.2)</f>
        <v>700.69184442934477</v>
      </c>
      <c r="U21" s="1390">
        <f>((F21+K21)-(P21))/(2.2)</f>
        <v>1482.8936711217773</v>
      </c>
      <c r="V21" s="1384">
        <f>((G21+L21)-(Q21))/(2.2)</f>
        <v>-876.51669381754698</v>
      </c>
      <c r="W21" s="1332"/>
      <c r="X21" s="1332"/>
      <c r="Y21" s="1332"/>
      <c r="Z21" s="1333"/>
      <c r="AA21" s="1332"/>
    </row>
    <row r="22" spans="1:28" s="230" customFormat="1" x14ac:dyDescent="0.25">
      <c r="A22" s="1903" t="s">
        <v>1826</v>
      </c>
      <c r="B22" s="2918">
        <f>(' QUICK OVERVIEW- Inputs&amp;Outputs'!W12/1000000)*0.5</f>
        <v>15055.960347109924</v>
      </c>
      <c r="C22" s="1391">
        <f>2.5*B22</f>
        <v>37639.900867774806</v>
      </c>
      <c r="D22" s="1392">
        <f>938*B22</f>
        <v>14122490.805589108</v>
      </c>
      <c r="E22" s="1392">
        <f>0.4*B22</f>
        <v>6022.3841388439696</v>
      </c>
      <c r="F22" s="1392">
        <f>0.86*B22</f>
        <v>12948.125898514534</v>
      </c>
      <c r="G22" s="1393">
        <f>0.027*B22</f>
        <v>406.5109293719679</v>
      </c>
      <c r="H22" s="1391">
        <f>2.5*(2+4.75/100)*B22</f>
        <v>77067.697026768918</v>
      </c>
      <c r="I22" s="1392">
        <f>938*(2+4.75/100)*B22</f>
        <v>28915799.924443696</v>
      </c>
      <c r="J22" s="1392">
        <f>0.4*(2+4.75/100)*B22</f>
        <v>12330.831524283027</v>
      </c>
      <c r="K22" s="1392">
        <f>0.86*(2+4.75/100)*B22</f>
        <v>26511.287777208505</v>
      </c>
      <c r="L22" s="1393">
        <f>0.027*(2+4.75/100)*B22</f>
        <v>832.33112788910432</v>
      </c>
      <c r="M22" s="1371" t="s">
        <v>897</v>
      </c>
      <c r="N22" s="1372" t="s">
        <v>897</v>
      </c>
      <c r="O22" s="1372" t="s">
        <v>897</v>
      </c>
      <c r="P22" s="1372" t="s">
        <v>897</v>
      </c>
      <c r="Q22" s="1374" t="s">
        <v>897</v>
      </c>
      <c r="R22" s="1391">
        <f t="shared" ref="R22:V23" si="1">(C22+H22)/(2.2)</f>
        <v>52139.817224792598</v>
      </c>
      <c r="S22" s="1392">
        <f t="shared" si="1"/>
        <v>19562859.422742181</v>
      </c>
      <c r="T22" s="1392">
        <f t="shared" si="1"/>
        <v>8342.3707559668164</v>
      </c>
      <c r="U22" s="1394">
        <f t="shared" si="1"/>
        <v>17936.097125328652</v>
      </c>
      <c r="V22" s="1393">
        <f t="shared" si="1"/>
        <v>563.11002602776</v>
      </c>
      <c r="W22" s="1332"/>
      <c r="X22" s="1332"/>
      <c r="Y22" s="1332"/>
      <c r="Z22" s="1333"/>
      <c r="AA22" s="1332"/>
    </row>
    <row r="23" spans="1:28" s="230" customFormat="1" ht="15.75" thickBot="1" x14ac:dyDescent="0.3">
      <c r="A23" s="1574" t="s">
        <v>1827</v>
      </c>
      <c r="B23" s="2919"/>
      <c r="C23" s="1385">
        <f>2.5*B22</f>
        <v>37639.900867774806</v>
      </c>
      <c r="D23" s="1089">
        <f>938*B22</f>
        <v>14122490.805589108</v>
      </c>
      <c r="E23" s="1089">
        <f>0.4*B22</f>
        <v>6022.3841388439696</v>
      </c>
      <c r="F23" s="1089">
        <f>0.86*B22</f>
        <v>12948.125898514534</v>
      </c>
      <c r="G23" s="1090">
        <f>0.027*B22</f>
        <v>406.5109293719679</v>
      </c>
      <c r="H23" s="1385">
        <f>2.5*(2.5+4.75/100)*B22</f>
        <v>95887.647460656313</v>
      </c>
      <c r="I23" s="1089">
        <f>938*B22*(2.5+4.75/100)</f>
        <v>35977045.327238247</v>
      </c>
      <c r="J23" s="1089">
        <f>0.4*B22*(2.5+4.75/100)</f>
        <v>15342.023593705011</v>
      </c>
      <c r="K23" s="1089">
        <f>0.86*B22*(2.5+4.75/100)</f>
        <v>32985.350726465775</v>
      </c>
      <c r="L23" s="1090">
        <f>0.027*B22*(2.5+4.75/100)</f>
        <v>1035.5865925750882</v>
      </c>
      <c r="M23" s="1395" t="s">
        <v>897</v>
      </c>
      <c r="N23" s="699" t="s">
        <v>897</v>
      </c>
      <c r="O23" s="699" t="s">
        <v>897</v>
      </c>
      <c r="P23" s="699" t="s">
        <v>897</v>
      </c>
      <c r="Q23" s="465" t="s">
        <v>897</v>
      </c>
      <c r="R23" s="1385">
        <f t="shared" si="1"/>
        <v>60694.340149286865</v>
      </c>
      <c r="S23" s="1089">
        <f t="shared" si="1"/>
        <v>22772516.424012434</v>
      </c>
      <c r="T23" s="1089">
        <f t="shared" si="1"/>
        <v>9711.0944238858992</v>
      </c>
      <c r="U23" s="1396">
        <f t="shared" si="1"/>
        <v>20878.853011354684</v>
      </c>
      <c r="V23" s="1090">
        <f t="shared" si="1"/>
        <v>655.49887361229821</v>
      </c>
      <c r="W23" s="1332"/>
      <c r="X23" s="1332"/>
      <c r="Y23" s="1332"/>
      <c r="Z23" s="1332"/>
      <c r="AA23" s="1332"/>
    </row>
    <row r="24" spans="1:28" s="230" customFormat="1" ht="15.75" thickBot="1" x14ac:dyDescent="0.3">
      <c r="A24" s="115"/>
      <c r="B24" s="994"/>
      <c r="C24" s="1244"/>
      <c r="D24" s="995"/>
      <c r="E24" s="1244"/>
      <c r="F24" s="1244"/>
      <c r="G24" s="1244"/>
      <c r="H24" s="995"/>
      <c r="I24" s="995"/>
      <c r="J24" s="995"/>
      <c r="K24" s="995"/>
      <c r="L24" s="995"/>
      <c r="M24" s="498"/>
      <c r="N24" s="498"/>
      <c r="O24" s="498"/>
      <c r="P24" s="498"/>
      <c r="Q24" s="498"/>
      <c r="R24" s="498"/>
    </row>
    <row r="25" spans="1:28" ht="53.25" customHeight="1" thickBot="1" x14ac:dyDescent="0.35">
      <c r="A25" s="2788" t="s">
        <v>1402</v>
      </c>
      <c r="B25" s="2910"/>
      <c r="C25" s="2910"/>
      <c r="D25" s="2910"/>
      <c r="E25" s="2910"/>
      <c r="F25" s="2910"/>
      <c r="G25" s="2910"/>
      <c r="H25" s="2910"/>
      <c r="I25" s="2910"/>
      <c r="J25" s="2910"/>
      <c r="K25" s="2910"/>
      <c r="L25" s="2910"/>
      <c r="M25" s="2910"/>
      <c r="N25" s="2910"/>
      <c r="O25" s="2910"/>
      <c r="P25" s="2910"/>
      <c r="Q25" s="2910"/>
      <c r="R25" s="2911"/>
      <c r="S25" s="151"/>
      <c r="T25" s="151"/>
      <c r="U25" s="151"/>
      <c r="V25" s="151"/>
      <c r="W25" s="151"/>
      <c r="X25" s="151"/>
      <c r="Y25" s="151"/>
      <c r="Z25" s="151"/>
      <c r="AA25" s="151"/>
      <c r="AB25" s="56"/>
    </row>
    <row r="26" spans="1:28" ht="105.75" thickBot="1" x14ac:dyDescent="0.3">
      <c r="A26" s="1009" t="s">
        <v>28</v>
      </c>
      <c r="B26" s="1102" t="s">
        <v>177</v>
      </c>
      <c r="C26" s="1010" t="s">
        <v>1102</v>
      </c>
      <c r="D26" s="1010" t="s">
        <v>1103</v>
      </c>
      <c r="E26" s="1010" t="s">
        <v>1104</v>
      </c>
      <c r="F26" s="1010" t="s">
        <v>1105</v>
      </c>
      <c r="G26" s="1010" t="s">
        <v>1106</v>
      </c>
      <c r="H26" s="1010" t="s">
        <v>288</v>
      </c>
      <c r="I26" s="1010" t="s">
        <v>1080</v>
      </c>
      <c r="J26" s="1010" t="s">
        <v>273</v>
      </c>
      <c r="K26" s="1010" t="s">
        <v>455</v>
      </c>
      <c r="L26" s="1010" t="s">
        <v>274</v>
      </c>
      <c r="M26" s="1010" t="s">
        <v>1335</v>
      </c>
      <c r="N26" s="1010" t="s">
        <v>1079</v>
      </c>
      <c r="O26" s="1010" t="s">
        <v>271</v>
      </c>
      <c r="P26" s="1010" t="s">
        <v>277</v>
      </c>
      <c r="Q26" s="1010" t="s">
        <v>278</v>
      </c>
      <c r="R26" s="83" t="s">
        <v>316</v>
      </c>
      <c r="S26" s="520"/>
      <c r="T26" s="3"/>
      <c r="U26" s="3"/>
      <c r="V26" s="520"/>
      <c r="W26" s="3"/>
      <c r="X26" s="3"/>
      <c r="Y26" s="3"/>
      <c r="Z26" s="520"/>
      <c r="AA26" s="3"/>
      <c r="AB26" s="3"/>
    </row>
    <row r="27" spans="1:28" ht="19.5" thickBot="1" x14ac:dyDescent="0.35">
      <c r="A27" s="2912" t="s">
        <v>1078</v>
      </c>
      <c r="B27" s="881">
        <v>2019</v>
      </c>
      <c r="C27" s="1133">
        <f t="shared" ref="C27:C58" si="2">$S$7</f>
        <v>255.09659601596528</v>
      </c>
      <c r="D27" s="1153">
        <f t="shared" ref="D27:D58" si="3">$T$7</f>
        <v>43.15744542674723</v>
      </c>
      <c r="E27" s="1153">
        <f t="shared" ref="E27:E58" si="4">$R$7</f>
        <v>-1028965.6227365993</v>
      </c>
      <c r="F27" s="1153">
        <f t="shared" ref="F27:F58" si="5">$V$7</f>
        <v>-815.64359547620472</v>
      </c>
      <c r="G27" s="1153">
        <f t="shared" ref="G27:G58" si="6">$U$7</f>
        <v>39.082393453211623</v>
      </c>
      <c r="H27" s="1056">
        <f>0.0584*1.02</f>
        <v>5.9568000000000003E-2</v>
      </c>
      <c r="I27" s="1154">
        <f>'Emission-Waste Transport Vehicl'!N33</f>
        <v>32.602537440000006</v>
      </c>
      <c r="J27" s="1154">
        <f>'Emission-Waste Transport Vehicl'!P33</f>
        <v>18.139508640000003</v>
      </c>
      <c r="K27" s="1154">
        <f>'Emission-Waste Transport Vehicl'!Q33</f>
        <v>14.087652480000001</v>
      </c>
      <c r="L27" s="1154">
        <f>'Emission-Waste Transport Vehicl'!R33</f>
        <v>1.4021409600000001</v>
      </c>
      <c r="M27" s="1155">
        <f t="shared" ref="M27:Q29" si="7">C27*H27</f>
        <v>15.19559403147902</v>
      </c>
      <c r="N27" s="1155">
        <f t="shared" si="7"/>
        <v>1407.0422303402836</v>
      </c>
      <c r="O27" s="1155">
        <f t="shared" si="7"/>
        <v>-18664930.803893525</v>
      </c>
      <c r="P27" s="1155">
        <f t="shared" si="7"/>
        <v>-11490.503520606473</v>
      </c>
      <c r="Q27" s="1155">
        <f t="shared" si="7"/>
        <v>54.799024675583865</v>
      </c>
      <c r="R27" s="2772">
        <f>(SUM(M27:M77))+(SUM(N27:N77))+(SUM(O27:O77))+(SUM(P27:P77))+(SUM(Q27:Q77))</f>
        <v>-605508977.67927468</v>
      </c>
      <c r="S27" s="396"/>
      <c r="T27" s="3"/>
      <c r="U27" s="3"/>
      <c r="V27" s="618"/>
      <c r="W27" s="3"/>
      <c r="X27" s="3"/>
      <c r="Y27" s="3"/>
      <c r="Z27" s="618"/>
      <c r="AA27" s="3"/>
      <c r="AB27" s="3"/>
    </row>
    <row r="28" spans="1:28" ht="18.75" x14ac:dyDescent="0.3">
      <c r="A28" s="2913"/>
      <c r="B28" s="775">
        <v>2020</v>
      </c>
      <c r="C28" s="1134">
        <f t="shared" si="2"/>
        <v>255.09659601596528</v>
      </c>
      <c r="D28" s="1156">
        <f t="shared" si="3"/>
        <v>43.15744542674723</v>
      </c>
      <c r="E28" s="1156">
        <f t="shared" si="4"/>
        <v>-1028965.6227365993</v>
      </c>
      <c r="F28" s="1156">
        <f t="shared" si="5"/>
        <v>-815.64359547620472</v>
      </c>
      <c r="G28" s="1156">
        <f t="shared" si="6"/>
        <v>39.082393453211623</v>
      </c>
      <c r="H28" s="827">
        <f>(0.0584*1.02)*0.9804</f>
        <v>5.8400467200000007E-2</v>
      </c>
      <c r="I28" s="1157">
        <f>'Emission-Waste Transport Vehicl'!N34</f>
        <v>31.963527706176006</v>
      </c>
      <c r="J28" s="1157">
        <f>'Emission-Waste Transport Vehicl'!P34</f>
        <v>17.783974270656003</v>
      </c>
      <c r="K28" s="1157">
        <f>'Emission-Waste Transport Vehicl'!Q34</f>
        <v>13.811534491392001</v>
      </c>
      <c r="L28" s="1157">
        <f>'Emission-Waste Transport Vehicl'!R34</f>
        <v>1.3746589971840002</v>
      </c>
      <c r="M28" s="1158">
        <f t="shared" si="7"/>
        <v>14.897760388462032</v>
      </c>
      <c r="N28" s="1159">
        <f t="shared" si="7"/>
        <v>1379.464202625614</v>
      </c>
      <c r="O28" s="1159">
        <f t="shared" si="7"/>
        <v>-18299098.160137214</v>
      </c>
      <c r="P28" s="1159">
        <f t="shared" si="7"/>
        <v>-11265.289651602587</v>
      </c>
      <c r="Q28" s="1159">
        <f t="shared" si="7"/>
        <v>53.724963791942422</v>
      </c>
      <c r="R28" s="2773"/>
      <c r="S28" s="396"/>
      <c r="T28" s="3"/>
      <c r="U28" s="3"/>
      <c r="V28" s="618"/>
      <c r="W28" s="3"/>
      <c r="X28" s="3"/>
      <c r="Y28" s="3"/>
      <c r="Z28" s="618"/>
      <c r="AA28" s="3"/>
      <c r="AB28" s="3"/>
    </row>
    <row r="29" spans="1:28" ht="18.75" x14ac:dyDescent="0.3">
      <c r="A29" s="2913"/>
      <c r="B29" s="775">
        <v>2021</v>
      </c>
      <c r="C29" s="1134">
        <f t="shared" si="2"/>
        <v>255.09659601596528</v>
      </c>
      <c r="D29" s="1156">
        <f t="shared" si="3"/>
        <v>43.15744542674723</v>
      </c>
      <c r="E29" s="1156">
        <f t="shared" si="4"/>
        <v>-1028965.6227365993</v>
      </c>
      <c r="F29" s="1156">
        <f t="shared" si="5"/>
        <v>-815.64359547620472</v>
      </c>
      <c r="G29" s="1156">
        <f t="shared" si="6"/>
        <v>39.082393453211623</v>
      </c>
      <c r="H29" s="827">
        <f>(0.0584*1.02)*0.9612</f>
        <v>5.7256761600000004E-2</v>
      </c>
      <c r="I29" s="1157">
        <f>'Emission-Waste Transport Vehicl'!N35</f>
        <v>31.337558987328006</v>
      </c>
      <c r="J29" s="1157">
        <f>'Emission-Waste Transport Vehicl'!P35</f>
        <v>17.435695704768001</v>
      </c>
      <c r="K29" s="1157">
        <f>'Emission-Waste Transport Vehicl'!Q35</f>
        <v>13.541051563776001</v>
      </c>
      <c r="L29" s="1157">
        <f>'Emission-Waste Transport Vehicl'!R35</f>
        <v>1.3477378907520003</v>
      </c>
      <c r="M29" s="1158">
        <f t="shared" si="7"/>
        <v>14.606004983057634</v>
      </c>
      <c r="N29" s="1159">
        <f t="shared" si="7"/>
        <v>1352.4489918030806</v>
      </c>
      <c r="O29" s="1159">
        <f t="shared" si="7"/>
        <v>-17940731.488702457</v>
      </c>
      <c r="P29" s="1159">
        <f t="shared" si="7"/>
        <v>-11044.671984006942</v>
      </c>
      <c r="Q29" s="1159">
        <f t="shared" si="7"/>
        <v>52.672822518171216</v>
      </c>
      <c r="R29" s="2773"/>
      <c r="S29" s="396"/>
      <c r="T29" s="3"/>
      <c r="U29" s="3"/>
      <c r="V29" s="618"/>
      <c r="W29" s="3"/>
      <c r="X29" s="3"/>
      <c r="Y29" s="3"/>
      <c r="Z29" s="618"/>
      <c r="AA29" s="3"/>
      <c r="AB29" s="3"/>
    </row>
    <row r="30" spans="1:28" ht="18.75" x14ac:dyDescent="0.3">
      <c r="A30" s="2913"/>
      <c r="B30" s="775">
        <v>2022</v>
      </c>
      <c r="C30" s="1134">
        <f t="shared" si="2"/>
        <v>255.09659601596528</v>
      </c>
      <c r="D30" s="1156">
        <f t="shared" si="3"/>
        <v>43.15744542674723</v>
      </c>
      <c r="E30" s="1156">
        <f t="shared" si="4"/>
        <v>-1028965.6227365993</v>
      </c>
      <c r="F30" s="1156">
        <f t="shared" si="5"/>
        <v>-815.64359547620472</v>
      </c>
      <c r="G30" s="1156">
        <f t="shared" si="6"/>
        <v>39.082393453211623</v>
      </c>
      <c r="H30" s="827">
        <f>(0.0584*1.02)*0.9423</f>
        <v>5.6130926400000003E-2</v>
      </c>
      <c r="I30" s="1157">
        <f>'Emission-Waste Transport Vehicl'!N36</f>
        <v>30.721371029712003</v>
      </c>
      <c r="J30" s="1157">
        <f>'Emission-Waste Transport Vehicl'!P36</f>
        <v>17.092858991472003</v>
      </c>
      <c r="K30" s="1157">
        <f>'Emission-Waste Transport Vehicl'!Q36</f>
        <v>13.274794931903999</v>
      </c>
      <c r="L30" s="1157">
        <f>'Emission-Waste Transport Vehicl'!R36</f>
        <v>1.3212374266080003</v>
      </c>
      <c r="M30" s="1158">
        <f t="shared" ref="M30:M91" si="8">C30*H30</f>
        <v>14.318808255862681</v>
      </c>
      <c r="N30" s="1159">
        <f t="shared" ref="N30:N93" si="9">D30*I30</f>
        <v>1325.855893649649</v>
      </c>
      <c r="O30" s="1159">
        <f t="shared" ref="O30:O93" si="10">E30*J30</f>
        <v>-17587964.296508871</v>
      </c>
      <c r="P30" s="1159">
        <f t="shared" ref="P30:P93" si="11">F30*K30</f>
        <v>-10827.501467467479</v>
      </c>
      <c r="Q30" s="1159">
        <f t="shared" ref="Q30:Q93" si="12">G30*L30</f>
        <v>51.637120951802679</v>
      </c>
      <c r="R30" s="2773"/>
      <c r="S30" s="396"/>
      <c r="T30" s="3"/>
      <c r="U30" s="3"/>
      <c r="V30" s="618"/>
      <c r="W30" s="3"/>
      <c r="X30" s="3"/>
      <c r="Y30" s="3"/>
      <c r="Z30" s="618"/>
      <c r="AA30" s="3"/>
      <c r="AB30" s="3"/>
    </row>
    <row r="31" spans="1:28" ht="18.75" x14ac:dyDescent="0.3">
      <c r="A31" s="2913"/>
      <c r="B31" s="775">
        <v>2023</v>
      </c>
      <c r="C31" s="1134">
        <f t="shared" si="2"/>
        <v>255.09659601596528</v>
      </c>
      <c r="D31" s="1156">
        <f t="shared" si="3"/>
        <v>43.15744542674723</v>
      </c>
      <c r="E31" s="1156">
        <f t="shared" si="4"/>
        <v>-1028965.6227365993</v>
      </c>
      <c r="F31" s="1156">
        <f t="shared" si="5"/>
        <v>-815.64359547620472</v>
      </c>
      <c r="G31" s="1156">
        <f t="shared" si="6"/>
        <v>39.082393453211623</v>
      </c>
      <c r="H31" s="827">
        <f>(0.0584*1.02)*0.9238</f>
        <v>5.5028918400000001E-2</v>
      </c>
      <c r="I31" s="1157">
        <f>'Emission-Waste Transport Vehicl'!N37</f>
        <v>30.118224087072001</v>
      </c>
      <c r="J31" s="1157">
        <f>'Emission-Waste Transport Vehicl'!P37</f>
        <v>16.757278081632002</v>
      </c>
      <c r="K31" s="1157">
        <f>'Emission-Waste Transport Vehicl'!Q37</f>
        <v>13.014173361024</v>
      </c>
      <c r="L31" s="1157">
        <f>'Emission-Waste Transport Vehicl'!R37</f>
        <v>1.295297818848</v>
      </c>
      <c r="M31" s="1158">
        <f t="shared" si="8"/>
        <v>14.037689766280318</v>
      </c>
      <c r="N31" s="1159">
        <f t="shared" si="9"/>
        <v>1299.8256123883539</v>
      </c>
      <c r="O31" s="1159">
        <f t="shared" si="10"/>
        <v>-17242663.07663684</v>
      </c>
      <c r="P31" s="1159">
        <f t="shared" si="11"/>
        <v>-10614.927152336259</v>
      </c>
      <c r="Q31" s="1159">
        <f t="shared" si="12"/>
        <v>50.623338995304373</v>
      </c>
      <c r="R31" s="2773"/>
      <c r="S31" s="396"/>
      <c r="T31" s="3"/>
      <c r="U31" s="3"/>
      <c r="V31" s="618"/>
      <c r="W31" s="3"/>
      <c r="X31" s="3"/>
      <c r="Y31" s="3"/>
      <c r="Z31" s="618"/>
      <c r="AA31" s="3"/>
      <c r="AB31" s="3"/>
    </row>
    <row r="32" spans="1:28" ht="18.75" x14ac:dyDescent="0.3">
      <c r="A32" s="2913"/>
      <c r="B32" s="775">
        <v>2024</v>
      </c>
      <c r="C32" s="1134">
        <f t="shared" si="2"/>
        <v>255.09659601596528</v>
      </c>
      <c r="D32" s="1156">
        <f t="shared" si="3"/>
        <v>43.15744542674723</v>
      </c>
      <c r="E32" s="1156">
        <f t="shared" si="4"/>
        <v>-1028965.6227365993</v>
      </c>
      <c r="F32" s="1156">
        <f t="shared" si="5"/>
        <v>-815.64359547620472</v>
      </c>
      <c r="G32" s="1156">
        <f t="shared" si="6"/>
        <v>39.082393453211623</v>
      </c>
      <c r="H32" s="827">
        <f>(0.0584*1.02)*0.9057</f>
        <v>5.39507376E-2</v>
      </c>
      <c r="I32" s="1157">
        <f>'Emission-Waste Transport Vehicl'!N38</f>
        <v>29.528118159408002</v>
      </c>
      <c r="J32" s="1157">
        <f>'Emission-Waste Transport Vehicl'!P38</f>
        <v>16.428952975248002</v>
      </c>
      <c r="K32" s="1157">
        <f>'Emission-Waste Transport Vehicl'!Q38</f>
        <v>12.759186851135999</v>
      </c>
      <c r="L32" s="1157">
        <f>'Emission-Waste Transport Vehicl'!R38</f>
        <v>1.269919067472</v>
      </c>
      <c r="M32" s="1158">
        <f t="shared" si="8"/>
        <v>13.762649514310548</v>
      </c>
      <c r="N32" s="1159">
        <f t="shared" si="9"/>
        <v>1274.3581480191947</v>
      </c>
      <c r="O32" s="1159">
        <f t="shared" si="10"/>
        <v>-16904827.829086367</v>
      </c>
      <c r="P32" s="1159">
        <f t="shared" si="11"/>
        <v>-10406.94903861328</v>
      </c>
      <c r="Q32" s="1159">
        <f t="shared" si="12"/>
        <v>49.631476648676305</v>
      </c>
      <c r="R32" s="2773"/>
      <c r="S32" s="396"/>
      <c r="T32" s="3"/>
      <c r="U32" s="3"/>
      <c r="V32" s="618"/>
      <c r="W32" s="3"/>
      <c r="X32" s="3"/>
      <c r="Y32" s="3"/>
      <c r="Z32" s="618"/>
      <c r="AA32" s="3"/>
      <c r="AB32" s="3"/>
    </row>
    <row r="33" spans="1:28" ht="18.75" x14ac:dyDescent="0.3">
      <c r="A33" s="2913"/>
      <c r="B33" s="775">
        <v>2025</v>
      </c>
      <c r="C33" s="1134">
        <f t="shared" si="2"/>
        <v>255.09659601596528</v>
      </c>
      <c r="D33" s="1156">
        <f t="shared" si="3"/>
        <v>43.15744542674723</v>
      </c>
      <c r="E33" s="1156">
        <f t="shared" si="4"/>
        <v>-1028965.6227365993</v>
      </c>
      <c r="F33" s="1156">
        <f t="shared" si="5"/>
        <v>-815.64359547620472</v>
      </c>
      <c r="G33" s="1156">
        <f t="shared" si="6"/>
        <v>39.082393453211623</v>
      </c>
      <c r="H33" s="827">
        <f>(0.0584*1.02)*0.888</f>
        <v>5.2896384000000005E-2</v>
      </c>
      <c r="I33" s="1157">
        <f>'Emission-Waste Transport Vehicl'!N39</f>
        <v>28.951053246720004</v>
      </c>
      <c r="J33" s="1157">
        <f>'Emission-Waste Transport Vehicl'!P39</f>
        <v>16.10788367232</v>
      </c>
      <c r="K33" s="1157">
        <f>'Emission-Waste Transport Vehicl'!Q39</f>
        <v>12.50983540224</v>
      </c>
      <c r="L33" s="1157">
        <f>'Emission-Waste Transport Vehicl'!R39</f>
        <v>1.2451011724800001</v>
      </c>
      <c r="M33" s="1158">
        <f t="shared" si="8"/>
        <v>13.493687499953371</v>
      </c>
      <c r="N33" s="1159">
        <f t="shared" si="9"/>
        <v>1249.4535005421719</v>
      </c>
      <c r="O33" s="1159">
        <f t="shared" si="10"/>
        <v>-16574458.553857449</v>
      </c>
      <c r="P33" s="1159">
        <f t="shared" si="11"/>
        <v>-10203.567126298547</v>
      </c>
      <c r="Q33" s="1159">
        <f t="shared" si="12"/>
        <v>48.661533911918468</v>
      </c>
      <c r="R33" s="2773"/>
      <c r="S33" s="396"/>
      <c r="T33" s="3"/>
      <c r="U33" s="3"/>
      <c r="V33" s="618"/>
      <c r="W33" s="3"/>
      <c r="X33" s="3"/>
      <c r="Y33" s="3"/>
      <c r="Z33" s="618"/>
      <c r="AA33" s="3"/>
      <c r="AB33" s="3"/>
    </row>
    <row r="34" spans="1:28" ht="18.75" x14ac:dyDescent="0.3">
      <c r="A34" s="2913"/>
      <c r="B34" s="775">
        <v>2026</v>
      </c>
      <c r="C34" s="1134">
        <f t="shared" si="2"/>
        <v>255.09659601596528</v>
      </c>
      <c r="D34" s="1156">
        <f t="shared" si="3"/>
        <v>43.15744542674723</v>
      </c>
      <c r="E34" s="1156">
        <f t="shared" si="4"/>
        <v>-1028965.6227365993</v>
      </c>
      <c r="F34" s="1156">
        <f t="shared" si="5"/>
        <v>-815.64359547620472</v>
      </c>
      <c r="G34" s="1156">
        <f t="shared" si="6"/>
        <v>39.082393453211623</v>
      </c>
      <c r="H34" s="827">
        <f>(0.0584*1.02)*0.8706</f>
        <v>5.1859900800000004E-2</v>
      </c>
      <c r="I34" s="1157">
        <f>'Emission-Waste Transport Vehicl'!N40</f>
        <v>28.383769095264007</v>
      </c>
      <c r="J34" s="1157">
        <f>'Emission-Waste Transport Vehicl'!P40</f>
        <v>15.792256221984003</v>
      </c>
      <c r="K34" s="1157">
        <f>'Emission-Waste Transport Vehicl'!Q40</f>
        <v>12.264710249088001</v>
      </c>
      <c r="L34" s="1157">
        <f>'Emission-Waste Transport Vehicl'!R40</f>
        <v>1.2207039197760001</v>
      </c>
      <c r="M34" s="1158">
        <f t="shared" si="8"/>
        <v>13.229284163805636</v>
      </c>
      <c r="N34" s="1159">
        <f t="shared" si="9"/>
        <v>1224.970965734251</v>
      </c>
      <c r="O34" s="1159">
        <f t="shared" si="10"/>
        <v>-16249688.757869704</v>
      </c>
      <c r="P34" s="1159">
        <f t="shared" si="11"/>
        <v>-10003.632365039995</v>
      </c>
      <c r="Q34" s="1159">
        <f t="shared" si="12"/>
        <v>47.708030882563314</v>
      </c>
      <c r="R34" s="2773"/>
      <c r="S34" s="396"/>
      <c r="T34" s="3"/>
      <c r="U34" s="3"/>
      <c r="V34" s="618"/>
      <c r="W34" s="3"/>
      <c r="X34" s="3"/>
      <c r="Y34" s="3"/>
      <c r="Z34" s="618"/>
      <c r="AA34" s="3"/>
      <c r="AB34" s="3"/>
    </row>
    <row r="35" spans="1:28" ht="18.75" x14ac:dyDescent="0.3">
      <c r="A35" s="2913"/>
      <c r="B35" s="775">
        <v>2027</v>
      </c>
      <c r="C35" s="1134">
        <f t="shared" si="2"/>
        <v>255.09659601596528</v>
      </c>
      <c r="D35" s="1156">
        <f t="shared" si="3"/>
        <v>43.15744542674723</v>
      </c>
      <c r="E35" s="1156">
        <f t="shared" si="4"/>
        <v>-1028965.6227365993</v>
      </c>
      <c r="F35" s="1156">
        <f t="shared" si="5"/>
        <v>-815.64359547620472</v>
      </c>
      <c r="G35" s="1156">
        <f t="shared" si="6"/>
        <v>39.082393453211623</v>
      </c>
      <c r="H35" s="827">
        <f>(0.0584*1.02)*0.8535</f>
        <v>5.0841288000000005E-2</v>
      </c>
      <c r="I35" s="1157">
        <f>'Emission-Waste Transport Vehicl'!N41</f>
        <v>27.826265705040004</v>
      </c>
      <c r="J35" s="1157">
        <f>'Emission-Waste Transport Vehicl'!P41</f>
        <v>15.482070624240002</v>
      </c>
      <c r="K35" s="1157">
        <f>'Emission-Waste Transport Vehicl'!Q41</f>
        <v>12.023811391680001</v>
      </c>
      <c r="L35" s="1157">
        <f>'Emission-Waste Transport Vehicl'!R41</f>
        <v>1.1967273093600002</v>
      </c>
      <c r="M35" s="1158">
        <f t="shared" si="8"/>
        <v>12.969439505867344</v>
      </c>
      <c r="N35" s="1159">
        <f t="shared" si="9"/>
        <v>1200.910543595432</v>
      </c>
      <c r="O35" s="1159">
        <f t="shared" si="10"/>
        <v>-15930518.441123124</v>
      </c>
      <c r="P35" s="1159">
        <f t="shared" si="11"/>
        <v>-9807.1447548376254</v>
      </c>
      <c r="Q35" s="1159">
        <f t="shared" si="12"/>
        <v>46.770967560610828</v>
      </c>
      <c r="R35" s="2773"/>
      <c r="S35" s="396"/>
      <c r="T35" s="3"/>
      <c r="U35" s="3"/>
      <c r="V35" s="618"/>
      <c r="W35" s="3"/>
      <c r="X35" s="3"/>
      <c r="Y35" s="3"/>
      <c r="Z35" s="618"/>
      <c r="AA35" s="3"/>
      <c r="AB35" s="3"/>
    </row>
    <row r="36" spans="1:28" ht="18.75" x14ac:dyDescent="0.3">
      <c r="A36" s="2913"/>
      <c r="B36" s="775">
        <v>2028</v>
      </c>
      <c r="C36" s="1134">
        <f t="shared" si="2"/>
        <v>255.09659601596528</v>
      </c>
      <c r="D36" s="1156">
        <f t="shared" si="3"/>
        <v>43.15744542674723</v>
      </c>
      <c r="E36" s="1156">
        <f t="shared" si="4"/>
        <v>-1028965.6227365993</v>
      </c>
      <c r="F36" s="1156">
        <f t="shared" si="5"/>
        <v>-815.64359547620472</v>
      </c>
      <c r="G36" s="1156">
        <f t="shared" si="6"/>
        <v>39.082393453211623</v>
      </c>
      <c r="H36" s="827">
        <f>(0.0584*1.02)*0.8368</f>
        <v>4.9846502399999999E-2</v>
      </c>
      <c r="I36" s="1157">
        <f>'Emission-Waste Transport Vehicl'!N42</f>
        <v>27.281803329792002</v>
      </c>
      <c r="J36" s="1157">
        <f>'Emission-Waste Transport Vehicl'!P42</f>
        <v>15.179140829952001</v>
      </c>
      <c r="K36" s="1157">
        <f>'Emission-Waste Transport Vehicl'!Q42</f>
        <v>11.788547595263999</v>
      </c>
      <c r="L36" s="1157">
        <f>'Emission-Waste Transport Vehicl'!R42</f>
        <v>1.173311555328</v>
      </c>
      <c r="M36" s="1158">
        <f t="shared" si="8"/>
        <v>12.715673085541644</v>
      </c>
      <c r="N36" s="1159">
        <f t="shared" si="9"/>
        <v>1177.4129383487491</v>
      </c>
      <c r="O36" s="1159">
        <f t="shared" si="10"/>
        <v>-15618814.096698102</v>
      </c>
      <c r="P36" s="1159">
        <f t="shared" si="11"/>
        <v>-9615.2533460434952</v>
      </c>
      <c r="Q36" s="1159">
        <f t="shared" si="12"/>
        <v>45.855823848528573</v>
      </c>
      <c r="R36" s="2773"/>
      <c r="S36" s="396"/>
      <c r="T36" s="3"/>
      <c r="U36" s="3"/>
      <c r="V36" s="618"/>
      <c r="W36" s="3"/>
      <c r="X36" s="3"/>
      <c r="Y36" s="3"/>
      <c r="Z36" s="618"/>
      <c r="AA36" s="3"/>
      <c r="AB36" s="3"/>
    </row>
    <row r="37" spans="1:28" ht="18.75" x14ac:dyDescent="0.3">
      <c r="A37" s="2913"/>
      <c r="B37" s="775">
        <v>2029</v>
      </c>
      <c r="C37" s="1134">
        <f t="shared" si="2"/>
        <v>255.09659601596528</v>
      </c>
      <c r="D37" s="1156">
        <f t="shared" si="3"/>
        <v>43.15744542674723</v>
      </c>
      <c r="E37" s="1156">
        <f t="shared" si="4"/>
        <v>-1028965.6227365993</v>
      </c>
      <c r="F37" s="1156">
        <f t="shared" si="5"/>
        <v>-815.64359547620472</v>
      </c>
      <c r="G37" s="1156">
        <f t="shared" si="6"/>
        <v>39.082393453211623</v>
      </c>
      <c r="H37" s="827">
        <f>(0.0584*1.02)*0.8203</f>
        <v>4.8863630400000004E-2</v>
      </c>
      <c r="I37" s="1157">
        <f>'Emission-Waste Transport Vehicl'!N43</f>
        <v>26.743861462032005</v>
      </c>
      <c r="J37" s="1157">
        <f>'Emission-Waste Transport Vehicl'!P43</f>
        <v>14.879838937392002</v>
      </c>
      <c r="K37" s="1157">
        <f>'Emission-Waste Transport Vehicl'!Q43</f>
        <v>11.556101329344001</v>
      </c>
      <c r="L37" s="1157">
        <f>'Emission-Waste Transport Vehicl'!R43</f>
        <v>1.1501762294880002</v>
      </c>
      <c r="M37" s="1158">
        <f t="shared" si="8"/>
        <v>12.464945784022241</v>
      </c>
      <c r="N37" s="1159">
        <f t="shared" si="9"/>
        <v>1154.1967415481347</v>
      </c>
      <c r="O37" s="1159">
        <f t="shared" si="10"/>
        <v>-15310842.738433858</v>
      </c>
      <c r="P37" s="1159">
        <f t="shared" si="11"/>
        <v>-9425.6600379534902</v>
      </c>
      <c r="Q37" s="1159">
        <f t="shared" si="12"/>
        <v>44.951639941381451</v>
      </c>
      <c r="R37" s="2773"/>
      <c r="S37" s="396"/>
      <c r="T37" s="3"/>
      <c r="U37" s="3"/>
      <c r="V37" s="618"/>
      <c r="W37" s="3"/>
      <c r="X37" s="3"/>
      <c r="Y37" s="3"/>
      <c r="Z37" s="618"/>
      <c r="AA37" s="3"/>
      <c r="AB37" s="3"/>
    </row>
    <row r="38" spans="1:28" ht="18.75" x14ac:dyDescent="0.3">
      <c r="A38" s="2913"/>
      <c r="B38" s="775">
        <v>2030</v>
      </c>
      <c r="C38" s="1134">
        <f t="shared" si="2"/>
        <v>255.09659601596528</v>
      </c>
      <c r="D38" s="1156">
        <f t="shared" si="3"/>
        <v>43.15744542674723</v>
      </c>
      <c r="E38" s="1156">
        <f t="shared" si="4"/>
        <v>-1028965.6227365993</v>
      </c>
      <c r="F38" s="1156">
        <f t="shared" si="5"/>
        <v>-815.64359547620472</v>
      </c>
      <c r="G38" s="1156">
        <f t="shared" si="6"/>
        <v>39.082393453211623</v>
      </c>
      <c r="H38" s="827">
        <f>(0.0584*1.02)*0.8043</f>
        <v>4.7910542400000006E-2</v>
      </c>
      <c r="I38" s="1157">
        <f>'Emission-Waste Transport Vehicl'!N44</f>
        <v>26.222220862992003</v>
      </c>
      <c r="J38" s="1157">
        <f>'Emission-Waste Transport Vehicl'!P44</f>
        <v>14.589606799152003</v>
      </c>
      <c r="K38" s="1157">
        <f>'Emission-Waste Transport Vehicl'!Q44</f>
        <v>11.330698889664001</v>
      </c>
      <c r="L38" s="1157">
        <f>'Emission-Waste Transport Vehicl'!R44</f>
        <v>1.1277419741280001</v>
      </c>
      <c r="M38" s="1158">
        <f t="shared" si="8"/>
        <v>12.221816279518578</v>
      </c>
      <c r="N38" s="1159">
        <f t="shared" si="9"/>
        <v>1131.68406586269</v>
      </c>
      <c r="O38" s="1159">
        <f t="shared" si="10"/>
        <v>-15012203.845571565</v>
      </c>
      <c r="P38" s="1159">
        <f t="shared" si="11"/>
        <v>-9241.8119816237868</v>
      </c>
      <c r="Q38" s="1159">
        <f t="shared" si="12"/>
        <v>44.074855546572103</v>
      </c>
      <c r="R38" s="2773"/>
      <c r="S38" s="396"/>
      <c r="T38" s="3"/>
      <c r="U38" s="3"/>
      <c r="V38" s="618"/>
      <c r="W38" s="3"/>
      <c r="X38" s="3"/>
      <c r="Y38" s="3"/>
      <c r="Z38" s="618"/>
      <c r="AA38" s="3"/>
      <c r="AB38" s="3"/>
    </row>
    <row r="39" spans="1:28" ht="18.75" x14ac:dyDescent="0.3">
      <c r="A39" s="2913"/>
      <c r="B39" s="775">
        <v>2031</v>
      </c>
      <c r="C39" s="1134">
        <f t="shared" si="2"/>
        <v>255.09659601596528</v>
      </c>
      <c r="D39" s="1156">
        <f t="shared" si="3"/>
        <v>43.15744542674723</v>
      </c>
      <c r="E39" s="1156">
        <f t="shared" si="4"/>
        <v>-1028965.6227365993</v>
      </c>
      <c r="F39" s="1156">
        <f t="shared" si="5"/>
        <v>-815.64359547620472</v>
      </c>
      <c r="G39" s="1156">
        <f t="shared" si="6"/>
        <v>39.082393453211623</v>
      </c>
      <c r="H39" s="827">
        <f>(0.0584*1.02)*0.7885</f>
        <v>4.6969368000000004E-2</v>
      </c>
      <c r="I39" s="1157">
        <f>'Emission-Waste Transport Vehicl'!N45</f>
        <v>25.70710077144</v>
      </c>
      <c r="J39" s="1157">
        <f>'Emission-Waste Transport Vehicl'!P45</f>
        <v>14.303002562640001</v>
      </c>
      <c r="K39" s="1157">
        <f>'Emission-Waste Transport Vehicl'!Q45</f>
        <v>11.108113980480001</v>
      </c>
      <c r="L39" s="1157">
        <f>'Emission-Waste Transport Vehicl'!R45</f>
        <v>1.1055881469600002</v>
      </c>
      <c r="M39" s="1158">
        <f t="shared" si="8"/>
        <v>11.981725893821208</v>
      </c>
      <c r="N39" s="1159">
        <f t="shared" si="9"/>
        <v>1109.4527986233134</v>
      </c>
      <c r="O39" s="1159">
        <f t="shared" si="10"/>
        <v>-14717297.938870044</v>
      </c>
      <c r="P39" s="1159">
        <f t="shared" si="11"/>
        <v>-9060.2620259982032</v>
      </c>
      <c r="Q39" s="1159">
        <f t="shared" si="12"/>
        <v>43.20903095669788</v>
      </c>
      <c r="R39" s="2773"/>
      <c r="S39" s="396"/>
      <c r="T39" s="3"/>
      <c r="U39" s="3"/>
      <c r="V39" s="618"/>
      <c r="W39" s="3"/>
      <c r="X39" s="3"/>
      <c r="Y39" s="3"/>
      <c r="Z39" s="618"/>
      <c r="AA39" s="3"/>
      <c r="AB39" s="3"/>
    </row>
    <row r="40" spans="1:28" ht="18.75" x14ac:dyDescent="0.3">
      <c r="A40" s="2913"/>
      <c r="B40" s="775">
        <v>2032</v>
      </c>
      <c r="C40" s="1134">
        <f t="shared" si="2"/>
        <v>255.09659601596528</v>
      </c>
      <c r="D40" s="1156">
        <f t="shared" si="3"/>
        <v>43.15744542674723</v>
      </c>
      <c r="E40" s="1156">
        <f t="shared" si="4"/>
        <v>-1028965.6227365993</v>
      </c>
      <c r="F40" s="1156">
        <f t="shared" si="5"/>
        <v>-815.64359547620472</v>
      </c>
      <c r="G40" s="1156">
        <f t="shared" si="6"/>
        <v>39.082393453211623</v>
      </c>
      <c r="H40" s="827">
        <f>(0.0584*1.02)*0.773</f>
        <v>4.6046064000000005E-2</v>
      </c>
      <c r="I40" s="1157">
        <f>'Emission-Waste Transport Vehicl'!N46</f>
        <v>25.201761441120002</v>
      </c>
      <c r="J40" s="1157">
        <f>'Emission-Waste Transport Vehicl'!P46</f>
        <v>14.021840178720002</v>
      </c>
      <c r="K40" s="1157">
        <f>'Emission-Waste Transport Vehicl'!Q46</f>
        <v>10.889755367040001</v>
      </c>
      <c r="L40" s="1157">
        <f>'Emission-Waste Transport Vehicl'!R46</f>
        <v>1.0838549620800002</v>
      </c>
      <c r="M40" s="1158">
        <f t="shared" si="8"/>
        <v>11.746194186333284</v>
      </c>
      <c r="N40" s="1159">
        <f t="shared" si="9"/>
        <v>1087.6436440530392</v>
      </c>
      <c r="O40" s="1159">
        <f t="shared" si="10"/>
        <v>-14427991.511409694</v>
      </c>
      <c r="P40" s="1159">
        <f t="shared" si="11"/>
        <v>-8882.1592214288048</v>
      </c>
      <c r="Q40" s="1159">
        <f t="shared" si="12"/>
        <v>42.359646074226333</v>
      </c>
      <c r="R40" s="2773"/>
      <c r="S40" s="396"/>
      <c r="T40" s="3"/>
      <c r="U40" s="3"/>
      <c r="V40" s="618"/>
      <c r="W40" s="3"/>
      <c r="X40" s="3"/>
      <c r="Y40" s="3"/>
      <c r="Z40" s="618"/>
      <c r="AA40" s="3"/>
      <c r="AB40" s="3"/>
    </row>
    <row r="41" spans="1:28" ht="18.75" x14ac:dyDescent="0.3">
      <c r="A41" s="2913"/>
      <c r="B41" s="775">
        <v>2033</v>
      </c>
      <c r="C41" s="1134">
        <f t="shared" si="2"/>
        <v>255.09659601596528</v>
      </c>
      <c r="D41" s="1156">
        <f t="shared" si="3"/>
        <v>43.15744542674723</v>
      </c>
      <c r="E41" s="1156">
        <f t="shared" si="4"/>
        <v>-1028965.6227365993</v>
      </c>
      <c r="F41" s="1156">
        <f t="shared" si="5"/>
        <v>-815.64359547620472</v>
      </c>
      <c r="G41" s="1156">
        <f t="shared" si="6"/>
        <v>39.082393453211623</v>
      </c>
      <c r="H41" s="827">
        <f>(0.0584*1.02)*0.7579</f>
        <v>4.5146587200000005E-2</v>
      </c>
      <c r="I41" s="1157">
        <f>'Emission-Waste Transport Vehicl'!N47</f>
        <v>24.709463125776001</v>
      </c>
      <c r="J41" s="1157">
        <f>'Emission-Waste Transport Vehicl'!P47</f>
        <v>13.747933598256003</v>
      </c>
      <c r="K41" s="1157">
        <f>'Emission-Waste Transport Vehicl'!Q47</f>
        <v>10.677031814592</v>
      </c>
      <c r="L41" s="1157">
        <f>'Emission-Waste Transport Vehicl'!R47</f>
        <v>1.0626826335840001</v>
      </c>
      <c r="M41" s="1158">
        <f t="shared" si="8"/>
        <v>11.516740716457949</v>
      </c>
      <c r="N41" s="1159">
        <f t="shared" si="9"/>
        <v>1066.3973063749008</v>
      </c>
      <c r="O41" s="1159">
        <f t="shared" si="10"/>
        <v>-14146151.056270905</v>
      </c>
      <c r="P41" s="1159">
        <f t="shared" si="11"/>
        <v>-8708.6526182676462</v>
      </c>
      <c r="Q41" s="1159">
        <f t="shared" si="12"/>
        <v>41.53218080162501</v>
      </c>
      <c r="R41" s="2773"/>
      <c r="S41" s="396"/>
      <c r="T41" s="3"/>
      <c r="U41" s="3"/>
      <c r="V41" s="618"/>
      <c r="W41" s="3"/>
      <c r="X41" s="3"/>
      <c r="Y41" s="3"/>
      <c r="Z41" s="618"/>
      <c r="AA41" s="3"/>
      <c r="AB41" s="3"/>
    </row>
    <row r="42" spans="1:28" ht="18.75" x14ac:dyDescent="0.3">
      <c r="A42" s="2913"/>
      <c r="B42" s="775">
        <v>2034</v>
      </c>
      <c r="C42" s="1134">
        <f t="shared" si="2"/>
        <v>255.09659601596528</v>
      </c>
      <c r="D42" s="1156">
        <f t="shared" si="3"/>
        <v>43.15744542674723</v>
      </c>
      <c r="E42" s="1156">
        <f t="shared" si="4"/>
        <v>-1028965.6227365993</v>
      </c>
      <c r="F42" s="1156">
        <f t="shared" si="5"/>
        <v>-815.64359547620472</v>
      </c>
      <c r="G42" s="1156">
        <f t="shared" si="6"/>
        <v>39.082393453211623</v>
      </c>
      <c r="H42" s="827">
        <f>(0.0584*1.02)*0.743</f>
        <v>4.4259024000000001E-2</v>
      </c>
      <c r="I42" s="1157">
        <f>'Emission-Waste Transport Vehicl'!N48</f>
        <v>24.223685317920005</v>
      </c>
      <c r="J42" s="1157">
        <f>'Emission-Waste Transport Vehicl'!P48</f>
        <v>13.477654919520001</v>
      </c>
      <c r="K42" s="1157">
        <f>'Emission-Waste Transport Vehicl'!Q48</f>
        <v>10.467125792640001</v>
      </c>
      <c r="L42" s="1157">
        <f>'Emission-Waste Transport Vehicl'!R48</f>
        <v>1.04179073328</v>
      </c>
      <c r="M42" s="1158">
        <f t="shared" si="8"/>
        <v>11.290326365388912</v>
      </c>
      <c r="N42" s="1159">
        <f t="shared" si="9"/>
        <v>1045.4323771428308</v>
      </c>
      <c r="O42" s="1159">
        <f t="shared" si="10"/>
        <v>-13868043.587292889</v>
      </c>
      <c r="P42" s="1159">
        <f t="shared" si="11"/>
        <v>-8537.4441158106092</v>
      </c>
      <c r="Q42" s="1159">
        <f t="shared" si="12"/>
        <v>40.715675333958806</v>
      </c>
      <c r="R42" s="2773"/>
      <c r="S42" s="396"/>
      <c r="T42" s="3"/>
      <c r="U42" s="3"/>
      <c r="V42" s="618"/>
      <c r="W42" s="3"/>
      <c r="X42" s="3"/>
      <c r="Y42" s="3"/>
      <c r="Z42" s="618"/>
      <c r="AA42" s="3"/>
      <c r="AB42" s="3"/>
    </row>
    <row r="43" spans="1:28" ht="18.75" x14ac:dyDescent="0.3">
      <c r="A43" s="2913"/>
      <c r="B43" s="775">
        <v>2035</v>
      </c>
      <c r="C43" s="1134">
        <f t="shared" si="2"/>
        <v>255.09659601596528</v>
      </c>
      <c r="D43" s="1156">
        <f t="shared" si="3"/>
        <v>43.15744542674723</v>
      </c>
      <c r="E43" s="1156">
        <f t="shared" si="4"/>
        <v>-1028965.6227365993</v>
      </c>
      <c r="F43" s="1156">
        <f t="shared" si="5"/>
        <v>-815.64359547620472</v>
      </c>
      <c r="G43" s="1156">
        <f t="shared" si="6"/>
        <v>39.082393453211623</v>
      </c>
      <c r="H43" s="827">
        <f>(0.0584*1.02)*0.7284</f>
        <v>4.3389331200000006E-2</v>
      </c>
      <c r="I43" s="1157">
        <f>'Emission-Waste Transport Vehicl'!N49</f>
        <v>23.747688271296006</v>
      </c>
      <c r="J43" s="1157">
        <f>'Emission-Waste Transport Vehicl'!P49</f>
        <v>13.212818093376002</v>
      </c>
      <c r="K43" s="1157">
        <f>'Emission-Waste Transport Vehicl'!Q49</f>
        <v>10.261446066432002</v>
      </c>
      <c r="L43" s="1157">
        <f>'Emission-Waste Transport Vehicl'!R49</f>
        <v>1.0213194752640002</v>
      </c>
      <c r="M43" s="1158">
        <f t="shared" si="8"/>
        <v>11.068470692529319</v>
      </c>
      <c r="N43" s="1159">
        <f t="shared" si="9"/>
        <v>1024.8895605798627</v>
      </c>
      <c r="O43" s="1159">
        <f t="shared" si="10"/>
        <v>-13595535.597556045</v>
      </c>
      <c r="P43" s="1159">
        <f t="shared" si="11"/>
        <v>-8369.6827644097557</v>
      </c>
      <c r="Q43" s="1159">
        <f t="shared" si="12"/>
        <v>39.915609573695292</v>
      </c>
      <c r="R43" s="2773"/>
      <c r="S43" s="396"/>
      <c r="T43" s="3"/>
      <c r="U43" s="3"/>
      <c r="V43" s="618"/>
      <c r="W43" s="3"/>
      <c r="X43" s="3"/>
      <c r="Y43" s="3"/>
      <c r="Z43" s="618"/>
      <c r="AA43" s="3"/>
      <c r="AB43" s="3"/>
    </row>
    <row r="44" spans="1:28" ht="18.75" x14ac:dyDescent="0.3">
      <c r="A44" s="2913"/>
      <c r="B44" s="775">
        <v>2036</v>
      </c>
      <c r="C44" s="1134">
        <f t="shared" si="2"/>
        <v>255.09659601596528</v>
      </c>
      <c r="D44" s="1156">
        <f t="shared" si="3"/>
        <v>43.15744542674723</v>
      </c>
      <c r="E44" s="1156">
        <f t="shared" si="4"/>
        <v>-1028965.6227365993</v>
      </c>
      <c r="F44" s="1156">
        <f t="shared" si="5"/>
        <v>-815.64359547620472</v>
      </c>
      <c r="G44" s="1156">
        <f t="shared" si="6"/>
        <v>39.082393453211623</v>
      </c>
      <c r="H44" s="827">
        <f>(0.0584*1.02)*0.7142</f>
        <v>4.2543465599999997E-2</v>
      </c>
      <c r="I44" s="1157">
        <f>'Emission-Waste Transport Vehicl'!N50</f>
        <v>23.284732239648001</v>
      </c>
      <c r="J44" s="1157">
        <f>'Emission-Waste Transport Vehicl'!P50</f>
        <v>12.955237070688</v>
      </c>
      <c r="K44" s="1157">
        <f>'Emission-Waste Transport Vehicl'!Q50</f>
        <v>10.061401401215999</v>
      </c>
      <c r="L44" s="1157">
        <f>'Emission-Waste Transport Vehicl'!R50</f>
        <v>1.001409073632</v>
      </c>
      <c r="M44" s="1158">
        <f t="shared" si="8"/>
        <v>10.852693257282315</v>
      </c>
      <c r="N44" s="1159">
        <f t="shared" si="9"/>
        <v>1004.9095609090305</v>
      </c>
      <c r="O44" s="1159">
        <f t="shared" si="10"/>
        <v>-13330493.580140755</v>
      </c>
      <c r="P44" s="1159">
        <f t="shared" si="11"/>
        <v>-8206.5176144171419</v>
      </c>
      <c r="Q44" s="1159">
        <f t="shared" si="12"/>
        <v>39.137463423301995</v>
      </c>
      <c r="R44" s="2773"/>
      <c r="S44" s="396"/>
      <c r="T44" s="3"/>
      <c r="U44" s="3"/>
      <c r="V44" s="618"/>
      <c r="W44" s="3"/>
      <c r="X44" s="3"/>
      <c r="Y44" s="3"/>
      <c r="Z44" s="618"/>
      <c r="AA44" s="3"/>
      <c r="AB44" s="3"/>
    </row>
    <row r="45" spans="1:28" ht="18.75" x14ac:dyDescent="0.3">
      <c r="A45" s="2913"/>
      <c r="B45" s="775">
        <v>2037</v>
      </c>
      <c r="C45" s="1134">
        <f t="shared" si="2"/>
        <v>255.09659601596528</v>
      </c>
      <c r="D45" s="1156">
        <f t="shared" si="3"/>
        <v>43.15744542674723</v>
      </c>
      <c r="E45" s="1156">
        <f t="shared" si="4"/>
        <v>-1028965.6227365993</v>
      </c>
      <c r="F45" s="1156">
        <f t="shared" si="5"/>
        <v>-815.64359547620472</v>
      </c>
      <c r="G45" s="1156">
        <f t="shared" si="6"/>
        <v>39.082393453211623</v>
      </c>
      <c r="H45" s="827">
        <f>(0.0584*1.02)*0.7002</f>
        <v>4.1709513600000005E-2</v>
      </c>
      <c r="I45" s="1157">
        <f>'Emission-Waste Transport Vehicl'!N51</f>
        <v>22.828296715488005</v>
      </c>
      <c r="J45" s="1157">
        <f>'Emission-Waste Transport Vehicl'!P51</f>
        <v>12.701283949728003</v>
      </c>
      <c r="K45" s="1157">
        <f>'Emission-Waste Transport Vehicl'!Q51</f>
        <v>9.8641742664960006</v>
      </c>
      <c r="L45" s="1157">
        <f>'Emission-Waste Transport Vehicl'!R51</f>
        <v>0.9817791001920001</v>
      </c>
      <c r="M45" s="1158">
        <f t="shared" si="8"/>
        <v>10.63995494084161</v>
      </c>
      <c r="N45" s="1159">
        <f t="shared" si="9"/>
        <v>985.21096968426662</v>
      </c>
      <c r="O45" s="1159">
        <f t="shared" si="10"/>
        <v>-13069184.548886249</v>
      </c>
      <c r="P45" s="1159">
        <f t="shared" si="11"/>
        <v>-8045.6505651286525</v>
      </c>
      <c r="Q45" s="1159">
        <f t="shared" si="12"/>
        <v>38.370277077843824</v>
      </c>
      <c r="R45" s="2773"/>
      <c r="S45" s="396"/>
      <c r="T45" s="3"/>
      <c r="U45" s="3"/>
      <c r="V45" s="618"/>
      <c r="W45" s="3"/>
      <c r="X45" s="3"/>
      <c r="Y45" s="3"/>
      <c r="Z45" s="618"/>
      <c r="AA45" s="3"/>
      <c r="AB45" s="3"/>
    </row>
    <row r="46" spans="1:28" ht="18.75" x14ac:dyDescent="0.3">
      <c r="A46" s="2913"/>
      <c r="B46" s="775">
        <v>2038</v>
      </c>
      <c r="C46" s="1134">
        <f t="shared" si="2"/>
        <v>255.09659601596528</v>
      </c>
      <c r="D46" s="1156">
        <f t="shared" si="3"/>
        <v>43.15744542674723</v>
      </c>
      <c r="E46" s="1156">
        <f t="shared" si="4"/>
        <v>-1028965.6227365993</v>
      </c>
      <c r="F46" s="1156">
        <f t="shared" si="5"/>
        <v>-815.64359547620472</v>
      </c>
      <c r="G46" s="1156">
        <f t="shared" si="6"/>
        <v>39.082393453211623</v>
      </c>
      <c r="H46" s="827">
        <f>(0.0584*1.02)*0.6864</f>
        <v>4.0887475200000002E-2</v>
      </c>
      <c r="I46" s="1157">
        <f>'Emission-Waste Transport Vehicl'!N52</f>
        <v>22.378381698816003</v>
      </c>
      <c r="J46" s="1157">
        <f>'Emission-Waste Transport Vehicl'!P52</f>
        <v>12.450958730496001</v>
      </c>
      <c r="K46" s="1157">
        <f>'Emission-Waste Transport Vehicl'!Q52</f>
        <v>9.6697646622720015</v>
      </c>
      <c r="L46" s="1157">
        <f>'Emission-Waste Transport Vehicl'!R52</f>
        <v>0.96242955494400007</v>
      </c>
      <c r="M46" s="1158">
        <f t="shared" si="8"/>
        <v>10.4302557432072</v>
      </c>
      <c r="N46" s="1159">
        <f t="shared" si="9"/>
        <v>965.79378690557064</v>
      </c>
      <c r="O46" s="1159">
        <f t="shared" si="10"/>
        <v>-12811608.503792515</v>
      </c>
      <c r="P46" s="1159">
        <f t="shared" si="11"/>
        <v>-7887.0816165442839</v>
      </c>
      <c r="Q46" s="1159">
        <f t="shared" si="12"/>
        <v>37.614050537320765</v>
      </c>
      <c r="R46" s="2773"/>
      <c r="S46" s="396"/>
      <c r="T46" s="3"/>
      <c r="U46" s="3"/>
      <c r="V46" s="618"/>
      <c r="W46" s="3"/>
      <c r="X46" s="3"/>
      <c r="Y46" s="3"/>
      <c r="Z46" s="618"/>
      <c r="AA46" s="3"/>
      <c r="AB46" s="3"/>
    </row>
    <row r="47" spans="1:28" ht="18.75" x14ac:dyDescent="0.3">
      <c r="A47" s="2913"/>
      <c r="B47" s="775">
        <v>2039</v>
      </c>
      <c r="C47" s="1134">
        <f t="shared" si="2"/>
        <v>255.09659601596528</v>
      </c>
      <c r="D47" s="1156">
        <f t="shared" si="3"/>
        <v>43.15744542674723</v>
      </c>
      <c r="E47" s="1156">
        <f t="shared" si="4"/>
        <v>-1028965.6227365993</v>
      </c>
      <c r="F47" s="1156">
        <f t="shared" si="5"/>
        <v>-815.64359547620472</v>
      </c>
      <c r="G47" s="1156">
        <f t="shared" si="6"/>
        <v>39.082393453211623</v>
      </c>
      <c r="H47" s="827">
        <f>(0.0584*1.02)*0.673</f>
        <v>4.0089264000000006E-2</v>
      </c>
      <c r="I47" s="1157">
        <f>'Emission-Waste Transport Vehicl'!N53</f>
        <v>21.941507697120006</v>
      </c>
      <c r="J47" s="1157">
        <f>'Emission-Waste Transport Vehicl'!P53</f>
        <v>12.207889314720003</v>
      </c>
      <c r="K47" s="1157">
        <f>'Emission-Waste Transport Vehicl'!Q53</f>
        <v>9.4809901190400012</v>
      </c>
      <c r="L47" s="1157">
        <f>'Emission-Waste Transport Vehicl'!R53</f>
        <v>0.9436408660800002</v>
      </c>
      <c r="M47" s="1158">
        <f t="shared" si="8"/>
        <v>10.226634783185382</v>
      </c>
      <c r="N47" s="1159">
        <f t="shared" si="9"/>
        <v>946.93942101901098</v>
      </c>
      <c r="O47" s="1159">
        <f t="shared" si="10"/>
        <v>-12561498.431020344</v>
      </c>
      <c r="P47" s="1159">
        <f t="shared" si="11"/>
        <v>-7733.1088693681568</v>
      </c>
      <c r="Q47" s="1159">
        <f t="shared" si="12"/>
        <v>36.879743606667944</v>
      </c>
      <c r="R47" s="2773"/>
      <c r="S47" s="396"/>
      <c r="T47" s="3"/>
      <c r="U47" s="3"/>
      <c r="V47" s="618"/>
      <c r="W47" s="3"/>
      <c r="X47" s="3"/>
      <c r="Y47" s="3"/>
      <c r="Z47" s="618"/>
      <c r="AA47" s="3"/>
      <c r="AB47" s="3"/>
    </row>
    <row r="48" spans="1:28" ht="18.75" x14ac:dyDescent="0.3">
      <c r="A48" s="2913"/>
      <c r="B48" s="775">
        <v>2040</v>
      </c>
      <c r="C48" s="1134">
        <f t="shared" si="2"/>
        <v>255.09659601596528</v>
      </c>
      <c r="D48" s="1156">
        <f t="shared" si="3"/>
        <v>43.15744542674723</v>
      </c>
      <c r="E48" s="1156">
        <f t="shared" si="4"/>
        <v>-1028965.6227365993</v>
      </c>
      <c r="F48" s="1156">
        <f t="shared" si="5"/>
        <v>-815.64359547620472</v>
      </c>
      <c r="G48" s="1156">
        <f t="shared" si="6"/>
        <v>39.082393453211623</v>
      </c>
      <c r="H48" s="827">
        <f>(0.0584*1.02)*0.6598</f>
        <v>3.9302966400000007E-2</v>
      </c>
      <c r="I48" s="1157">
        <f>'Emission-Waste Transport Vehicl'!N54</f>
        <v>21.511154202912003</v>
      </c>
      <c r="J48" s="1157">
        <f>'Emission-Waste Transport Vehicl'!P54</f>
        <v>11.968447800672001</v>
      </c>
      <c r="K48" s="1157">
        <f>'Emission-Waste Transport Vehicl'!Q54</f>
        <v>9.2950331063040004</v>
      </c>
      <c r="L48" s="1157">
        <f>'Emission-Waste Transport Vehicl'!R54</f>
        <v>0.92513260540800013</v>
      </c>
      <c r="M48" s="1158">
        <f t="shared" si="8"/>
        <v>10.026052941969859</v>
      </c>
      <c r="N48" s="1159">
        <f t="shared" si="9"/>
        <v>928.36646357851907</v>
      </c>
      <c r="O48" s="1159">
        <f t="shared" si="10"/>
        <v>-12315121.344408948</v>
      </c>
      <c r="P48" s="1159">
        <f t="shared" si="11"/>
        <v>-7581.4342228961505</v>
      </c>
      <c r="Q48" s="1159">
        <f t="shared" si="12"/>
        <v>36.156396480950235</v>
      </c>
      <c r="R48" s="2773"/>
      <c r="S48" s="396"/>
      <c r="T48" s="3"/>
      <c r="U48" s="3"/>
      <c r="V48" s="618"/>
      <c r="W48" s="3"/>
      <c r="X48" s="3"/>
      <c r="Y48" s="3"/>
      <c r="Z48" s="618"/>
      <c r="AA48" s="3"/>
      <c r="AB48" s="3"/>
    </row>
    <row r="49" spans="1:28" ht="18.75" x14ac:dyDescent="0.3">
      <c r="A49" s="2913"/>
      <c r="B49" s="775">
        <v>2041</v>
      </c>
      <c r="C49" s="1134">
        <f t="shared" si="2"/>
        <v>255.09659601596528</v>
      </c>
      <c r="D49" s="1156">
        <f t="shared" si="3"/>
        <v>43.15744542674723</v>
      </c>
      <c r="E49" s="1156">
        <f t="shared" si="4"/>
        <v>-1028965.6227365993</v>
      </c>
      <c r="F49" s="1156">
        <f t="shared" si="5"/>
        <v>-815.64359547620472</v>
      </c>
      <c r="G49" s="1156">
        <f t="shared" si="6"/>
        <v>39.082393453211623</v>
      </c>
      <c r="H49" s="827">
        <f>(0.0584*1.02)*0.6468</f>
        <v>3.8528582400000004E-2</v>
      </c>
      <c r="I49" s="1157">
        <f>'Emission-Waste Transport Vehicl'!N55</f>
        <v>21.087321216192002</v>
      </c>
      <c r="J49" s="1157">
        <f>'Emission-Waste Transport Vehicl'!P55</f>
        <v>11.732634188352002</v>
      </c>
      <c r="K49" s="1157">
        <f>'Emission-Waste Transport Vehicl'!Q55</f>
        <v>9.1118936240640007</v>
      </c>
      <c r="L49" s="1157">
        <f>'Emission-Waste Transport Vehicl'!R55</f>
        <v>0.9069047729280002</v>
      </c>
      <c r="M49" s="1158">
        <f t="shared" si="8"/>
        <v>9.8285102195606306</v>
      </c>
      <c r="N49" s="1159">
        <f t="shared" si="9"/>
        <v>910.07491458409538</v>
      </c>
      <c r="O49" s="1159">
        <f t="shared" si="10"/>
        <v>-12072477.243958332</v>
      </c>
      <c r="P49" s="1159">
        <f t="shared" si="11"/>
        <v>-7432.0576771282667</v>
      </c>
      <c r="Q49" s="1159">
        <f t="shared" si="12"/>
        <v>35.444009160167646</v>
      </c>
      <c r="R49" s="2773"/>
      <c r="S49" s="396"/>
      <c r="T49" s="3"/>
      <c r="U49" s="3"/>
      <c r="V49" s="618"/>
      <c r="W49" s="3"/>
      <c r="X49" s="3"/>
      <c r="Y49" s="3"/>
      <c r="Z49" s="618"/>
      <c r="AA49" s="3"/>
      <c r="AB49" s="3"/>
    </row>
    <row r="50" spans="1:28" ht="18.75" x14ac:dyDescent="0.3">
      <c r="A50" s="2913"/>
      <c r="B50" s="775">
        <v>2042</v>
      </c>
      <c r="C50" s="1134">
        <f t="shared" si="2"/>
        <v>255.09659601596528</v>
      </c>
      <c r="D50" s="1156">
        <f t="shared" si="3"/>
        <v>43.15744542674723</v>
      </c>
      <c r="E50" s="1156">
        <f t="shared" si="4"/>
        <v>-1028965.6227365993</v>
      </c>
      <c r="F50" s="1156">
        <f t="shared" si="5"/>
        <v>-815.64359547620472</v>
      </c>
      <c r="G50" s="1156">
        <f t="shared" si="6"/>
        <v>39.082393453211623</v>
      </c>
      <c r="H50" s="827">
        <f>(0.0584*1.02)*0.6342</f>
        <v>3.7778025600000001E-2</v>
      </c>
      <c r="I50" s="1157">
        <f>'Emission-Waste Transport Vehicl'!N56</f>
        <v>20.676529244448002</v>
      </c>
      <c r="J50" s="1157">
        <f>'Emission-Waste Transport Vehicl'!P56</f>
        <v>11.504076379488001</v>
      </c>
      <c r="K50" s="1157">
        <f>'Emission-Waste Transport Vehicl'!Q56</f>
        <v>8.9343892028159999</v>
      </c>
      <c r="L50" s="1157">
        <f>'Emission-Waste Transport Vehicl'!R56</f>
        <v>0.8892377968320001</v>
      </c>
      <c r="M50" s="1158">
        <f t="shared" si="8"/>
        <v>9.6370457347639942</v>
      </c>
      <c r="N50" s="1159">
        <f t="shared" si="9"/>
        <v>892.34618248180777</v>
      </c>
      <c r="O50" s="1159">
        <f t="shared" si="10"/>
        <v>-11837299.115829274</v>
      </c>
      <c r="P50" s="1159">
        <f t="shared" si="11"/>
        <v>-7287.2773327686245</v>
      </c>
      <c r="Q50" s="1159">
        <f t="shared" si="12"/>
        <v>34.753541449255287</v>
      </c>
      <c r="R50" s="2773"/>
      <c r="S50" s="396"/>
      <c r="T50" s="3"/>
      <c r="U50" s="3"/>
      <c r="V50" s="618"/>
      <c r="W50" s="3"/>
      <c r="X50" s="3"/>
      <c r="Y50" s="3"/>
      <c r="Z50" s="618"/>
      <c r="AA50" s="3"/>
      <c r="AB50" s="3"/>
    </row>
    <row r="51" spans="1:28" ht="18.75" x14ac:dyDescent="0.3">
      <c r="A51" s="2913"/>
      <c r="B51" s="775">
        <v>2043</v>
      </c>
      <c r="C51" s="1134">
        <f t="shared" si="2"/>
        <v>255.09659601596528</v>
      </c>
      <c r="D51" s="1156">
        <f t="shared" si="3"/>
        <v>43.15744542674723</v>
      </c>
      <c r="E51" s="1156">
        <f t="shared" si="4"/>
        <v>-1028965.6227365993</v>
      </c>
      <c r="F51" s="1156">
        <f t="shared" si="5"/>
        <v>-815.64359547620472</v>
      </c>
      <c r="G51" s="1156">
        <f t="shared" si="6"/>
        <v>39.082393453211623</v>
      </c>
      <c r="H51" s="827">
        <f>(0.0584*1.02)*0.6217</f>
        <v>3.7033425600000003E-2</v>
      </c>
      <c r="I51" s="1157">
        <f>'Emission-Waste Transport Vehicl'!N57</f>
        <v>20.268997526448004</v>
      </c>
      <c r="J51" s="1157">
        <f>'Emission-Waste Transport Vehicl'!P57</f>
        <v>11.277332521488001</v>
      </c>
      <c r="K51" s="1157">
        <f>'Emission-Waste Transport Vehicl'!Q57</f>
        <v>8.7582935468160006</v>
      </c>
      <c r="L51" s="1157">
        <f>'Emission-Waste Transport Vehicl'!R57</f>
        <v>0.87171103483200019</v>
      </c>
      <c r="M51" s="1158">
        <f t="shared" si="8"/>
        <v>9.4471008093705073</v>
      </c>
      <c r="N51" s="1159">
        <f t="shared" si="9"/>
        <v>874.75815460255433</v>
      </c>
      <c r="O51" s="1159">
        <f t="shared" si="10"/>
        <v>-11603987.480780603</v>
      </c>
      <c r="P51" s="1159">
        <f t="shared" si="11"/>
        <v>-7143.6460387610441</v>
      </c>
      <c r="Q51" s="1159">
        <f t="shared" si="12"/>
        <v>34.068553640810492</v>
      </c>
      <c r="R51" s="2773"/>
      <c r="S51" s="396"/>
      <c r="T51" s="3"/>
      <c r="U51" s="3"/>
      <c r="V51" s="618"/>
      <c r="W51" s="3"/>
      <c r="X51" s="3"/>
      <c r="Y51" s="3"/>
      <c r="Z51" s="618"/>
      <c r="AA51" s="3"/>
      <c r="AB51" s="3"/>
    </row>
    <row r="52" spans="1:28" ht="18.75" x14ac:dyDescent="0.3">
      <c r="A52" s="2913"/>
      <c r="B52" s="775">
        <v>2044</v>
      </c>
      <c r="C52" s="1134">
        <f t="shared" si="2"/>
        <v>255.09659601596528</v>
      </c>
      <c r="D52" s="1156">
        <f t="shared" si="3"/>
        <v>43.15744542674723</v>
      </c>
      <c r="E52" s="1156">
        <f t="shared" si="4"/>
        <v>-1028965.6227365993</v>
      </c>
      <c r="F52" s="1156">
        <f t="shared" si="5"/>
        <v>-815.64359547620472</v>
      </c>
      <c r="G52" s="1156">
        <f t="shared" si="6"/>
        <v>39.082393453211623</v>
      </c>
      <c r="H52" s="827">
        <f>(0.0584*1.02)*0.6095</f>
        <v>3.6306696000000006E-2</v>
      </c>
      <c r="I52" s="1157">
        <f>'Emission-Waste Transport Vehicl'!N58</f>
        <v>19.871246569680004</v>
      </c>
      <c r="J52" s="1157">
        <f>'Emission-Waste Transport Vehicl'!P58</f>
        <v>11.056030516080002</v>
      </c>
      <c r="K52" s="1157">
        <f>'Emission-Waste Transport Vehicl'!Q58</f>
        <v>8.5864241865600004</v>
      </c>
      <c r="L52" s="1157">
        <f>'Emission-Waste Transport Vehicl'!R58</f>
        <v>0.85460491512000014</v>
      </c>
      <c r="M52" s="1158">
        <f t="shared" si="8"/>
        <v>9.2617145621864641</v>
      </c>
      <c r="N52" s="1159">
        <f t="shared" si="9"/>
        <v>857.59223939240292</v>
      </c>
      <c r="O52" s="1159">
        <f t="shared" si="10"/>
        <v>-11376275.324973105</v>
      </c>
      <c r="P52" s="1159">
        <f t="shared" si="11"/>
        <v>-7003.4618958096453</v>
      </c>
      <c r="Q52" s="1159">
        <f t="shared" si="12"/>
        <v>33.400005539768365</v>
      </c>
      <c r="R52" s="2773"/>
      <c r="S52" s="396"/>
      <c r="T52" s="3"/>
      <c r="U52" s="3"/>
      <c r="V52" s="618"/>
      <c r="W52" s="3"/>
      <c r="X52" s="3"/>
      <c r="Y52" s="3"/>
      <c r="Z52" s="618"/>
      <c r="AA52" s="3"/>
      <c r="AB52" s="3"/>
    </row>
    <row r="53" spans="1:28" ht="18.75" x14ac:dyDescent="0.3">
      <c r="A53" s="2913"/>
      <c r="B53" s="775">
        <v>2045</v>
      </c>
      <c r="C53" s="1134">
        <f t="shared" si="2"/>
        <v>255.09659601596528</v>
      </c>
      <c r="D53" s="1156">
        <f t="shared" si="3"/>
        <v>43.15744542674723</v>
      </c>
      <c r="E53" s="1156">
        <f t="shared" si="4"/>
        <v>-1028965.6227365993</v>
      </c>
      <c r="F53" s="1156">
        <f t="shared" si="5"/>
        <v>-815.64359547620472</v>
      </c>
      <c r="G53" s="1156">
        <f t="shared" si="6"/>
        <v>39.082393453211623</v>
      </c>
      <c r="H53" s="827">
        <f>(0.0584*1.02)*0.5976</f>
        <v>3.5597836800000004E-2</v>
      </c>
      <c r="I53" s="1157">
        <f>'Emission-Waste Transport Vehicl'!N59</f>
        <v>19.483276374144001</v>
      </c>
      <c r="J53" s="1157">
        <f>'Emission-Waste Transport Vehicl'!P59</f>
        <v>10.840170363264003</v>
      </c>
      <c r="K53" s="1157">
        <f>'Emission-Waste Transport Vehicl'!Q59</f>
        <v>8.4187811220480011</v>
      </c>
      <c r="L53" s="1157">
        <f>'Emission-Waste Transport Vehicl'!R59</f>
        <v>0.83791943769600008</v>
      </c>
      <c r="M53" s="1158">
        <f t="shared" si="8"/>
        <v>9.0808869932118625</v>
      </c>
      <c r="N53" s="1159">
        <f t="shared" si="9"/>
        <v>840.84843685135343</v>
      </c>
      <c r="O53" s="1159">
        <f t="shared" si="10"/>
        <v>-11154162.648406772</v>
      </c>
      <c r="P53" s="1159">
        <f t="shared" si="11"/>
        <v>-6866.724903914429</v>
      </c>
      <c r="Q53" s="1159">
        <f t="shared" si="12"/>
        <v>32.747897146128921</v>
      </c>
      <c r="R53" s="2773"/>
      <c r="S53" s="396"/>
      <c r="T53" s="3"/>
      <c r="U53" s="3"/>
      <c r="V53" s="618"/>
      <c r="W53" s="3"/>
      <c r="X53" s="3"/>
      <c r="Y53" s="3"/>
      <c r="Z53" s="618"/>
      <c r="AA53" s="3"/>
      <c r="AB53" s="3"/>
    </row>
    <row r="54" spans="1:28" ht="18.75" x14ac:dyDescent="0.3">
      <c r="A54" s="2913"/>
      <c r="B54" s="775">
        <v>2046</v>
      </c>
      <c r="C54" s="1134">
        <f t="shared" si="2"/>
        <v>255.09659601596528</v>
      </c>
      <c r="D54" s="1156">
        <f t="shared" si="3"/>
        <v>43.15744542674723</v>
      </c>
      <c r="E54" s="1156">
        <f t="shared" si="4"/>
        <v>-1028965.6227365993</v>
      </c>
      <c r="F54" s="1156">
        <f t="shared" si="5"/>
        <v>-815.64359547620472</v>
      </c>
      <c r="G54" s="1156">
        <f t="shared" si="6"/>
        <v>39.082393453211623</v>
      </c>
      <c r="H54" s="827">
        <f>(0.0584*1.02)*0.5859</f>
        <v>3.4900891199999999E-2</v>
      </c>
      <c r="I54" s="1157">
        <f>'Emission-Waste Transport Vehicl'!N60</f>
        <v>19.101826686096</v>
      </c>
      <c r="J54" s="1157">
        <f>'Emission-Waste Transport Vehicl'!P60</f>
        <v>10.627938112176002</v>
      </c>
      <c r="K54" s="1157">
        <f>'Emission-Waste Transport Vehicl'!Q60</f>
        <v>8.2539555880319995</v>
      </c>
      <c r="L54" s="1157">
        <f>'Emission-Waste Transport Vehicl'!R60</f>
        <v>0.82151438846400004</v>
      </c>
      <c r="M54" s="1158">
        <f t="shared" si="8"/>
        <v>8.9030985430435567</v>
      </c>
      <c r="N54" s="1159">
        <f t="shared" si="9"/>
        <v>824.38604275637204</v>
      </c>
      <c r="O54" s="1159">
        <f t="shared" si="10"/>
        <v>-10935782.958001217</v>
      </c>
      <c r="P54" s="1159">
        <f t="shared" si="11"/>
        <v>-6732.2860127233316</v>
      </c>
      <c r="Q54" s="1159">
        <f t="shared" si="12"/>
        <v>32.106748557424588</v>
      </c>
      <c r="R54" s="2773"/>
      <c r="S54" s="396"/>
      <c r="T54" s="3"/>
      <c r="U54" s="3"/>
      <c r="V54" s="618"/>
      <c r="W54" s="3"/>
      <c r="X54" s="3"/>
      <c r="Y54" s="3"/>
      <c r="Z54" s="618"/>
      <c r="AA54" s="3"/>
      <c r="AB54" s="3"/>
    </row>
    <row r="55" spans="1:28" ht="18.75" x14ac:dyDescent="0.3">
      <c r="A55" s="2913"/>
      <c r="B55" s="775">
        <v>2047</v>
      </c>
      <c r="C55" s="1134">
        <f t="shared" si="2"/>
        <v>255.09659601596528</v>
      </c>
      <c r="D55" s="1156">
        <f t="shared" si="3"/>
        <v>43.15744542674723</v>
      </c>
      <c r="E55" s="1156">
        <f t="shared" si="4"/>
        <v>-1028965.6227365993</v>
      </c>
      <c r="F55" s="1156">
        <f t="shared" si="5"/>
        <v>-815.64359547620472</v>
      </c>
      <c r="G55" s="1156">
        <f t="shared" si="6"/>
        <v>39.082393453211623</v>
      </c>
      <c r="H55" s="827">
        <f>(0.0584*1.02)*0.5744</f>
        <v>3.4215859200000004E-2</v>
      </c>
      <c r="I55" s="1157">
        <f>'Emission-Waste Transport Vehicl'!N61</f>
        <v>18.726897505536005</v>
      </c>
      <c r="J55" s="1157">
        <f>'Emission-Waste Transport Vehicl'!P61</f>
        <v>10.419333762816001</v>
      </c>
      <c r="K55" s="1157">
        <f>'Emission-Waste Transport Vehicl'!Q61</f>
        <v>8.0919475845120008</v>
      </c>
      <c r="L55" s="1157">
        <f>'Emission-Waste Transport Vehicl'!R61</f>
        <v>0.80538976742400015</v>
      </c>
      <c r="M55" s="1158">
        <f t="shared" si="8"/>
        <v>8.7283492116815502</v>
      </c>
      <c r="N55" s="1159">
        <f t="shared" si="9"/>
        <v>808.20505710745897</v>
      </c>
      <c r="O55" s="1159">
        <f t="shared" si="10"/>
        <v>-10721136.253756441</v>
      </c>
      <c r="P55" s="1159">
        <f t="shared" si="11"/>
        <v>-6600.1452222363587</v>
      </c>
      <c r="Q55" s="1159">
        <f t="shared" si="12"/>
        <v>31.476559773655374</v>
      </c>
      <c r="R55" s="2773"/>
      <c r="S55" s="396"/>
      <c r="T55" s="3"/>
      <c r="U55" s="3"/>
      <c r="V55" s="618"/>
      <c r="W55" s="3"/>
      <c r="X55" s="3"/>
      <c r="Y55" s="3"/>
      <c r="Z55" s="618"/>
      <c r="AA55" s="3"/>
      <c r="AB55" s="3"/>
    </row>
    <row r="56" spans="1:28" ht="18.75" x14ac:dyDescent="0.3">
      <c r="A56" s="2913"/>
      <c r="B56" s="775">
        <v>2048</v>
      </c>
      <c r="C56" s="1134">
        <f t="shared" si="2"/>
        <v>255.09659601596528</v>
      </c>
      <c r="D56" s="1156">
        <f t="shared" si="3"/>
        <v>43.15744542674723</v>
      </c>
      <c r="E56" s="1156">
        <f t="shared" si="4"/>
        <v>-1028965.6227365993</v>
      </c>
      <c r="F56" s="1156">
        <f t="shared" si="5"/>
        <v>-815.64359547620472</v>
      </c>
      <c r="G56" s="1156">
        <f t="shared" si="6"/>
        <v>39.082393453211623</v>
      </c>
      <c r="H56" s="827">
        <f>(0.0584*1.02)*0.5631</f>
        <v>3.3542740800000005E-2</v>
      </c>
      <c r="I56" s="1157">
        <f>'Emission-Waste Transport Vehicl'!N62</f>
        <v>18.358488832464005</v>
      </c>
      <c r="J56" s="1157">
        <f>'Emission-Waste Transport Vehicl'!P62</f>
        <v>10.214357315184001</v>
      </c>
      <c r="K56" s="1157">
        <f>'Emission-Waste Transport Vehicl'!Q62</f>
        <v>7.9327571114880007</v>
      </c>
      <c r="L56" s="1157">
        <f>'Emission-Waste Transport Vehicl'!R62</f>
        <v>0.78954557457600016</v>
      </c>
      <c r="M56" s="1158">
        <f t="shared" si="8"/>
        <v>8.5566389991258376</v>
      </c>
      <c r="N56" s="1159">
        <f t="shared" si="9"/>
        <v>792.30547990461378</v>
      </c>
      <c r="O56" s="1159">
        <f t="shared" si="10"/>
        <v>-10510222.535672445</v>
      </c>
      <c r="P56" s="1159">
        <f t="shared" si="11"/>
        <v>-6470.3025324535047</v>
      </c>
      <c r="Q56" s="1159">
        <f t="shared" si="12"/>
        <v>30.857330794821276</v>
      </c>
      <c r="R56" s="2773"/>
      <c r="S56" s="396"/>
      <c r="T56" s="3"/>
      <c r="U56" s="3"/>
      <c r="V56" s="618"/>
      <c r="W56" s="3"/>
      <c r="X56" s="3"/>
      <c r="Y56" s="3"/>
      <c r="Z56" s="618"/>
      <c r="AA56" s="3"/>
      <c r="AB56" s="3"/>
    </row>
    <row r="57" spans="1:28" ht="18.75" x14ac:dyDescent="0.3">
      <c r="A57" s="2913"/>
      <c r="B57" s="775">
        <v>2049</v>
      </c>
      <c r="C57" s="1134">
        <f t="shared" si="2"/>
        <v>255.09659601596528</v>
      </c>
      <c r="D57" s="1156">
        <f t="shared" si="3"/>
        <v>43.15744542674723</v>
      </c>
      <c r="E57" s="1156">
        <f t="shared" si="4"/>
        <v>-1028965.6227365993</v>
      </c>
      <c r="F57" s="1156">
        <f t="shared" si="5"/>
        <v>-815.64359547620472</v>
      </c>
      <c r="G57" s="1156">
        <f t="shared" si="6"/>
        <v>39.082393453211623</v>
      </c>
      <c r="H57" s="827">
        <f>(0.0584*1.02)*0.5521</f>
        <v>3.2887492800000001E-2</v>
      </c>
      <c r="I57" s="1157">
        <f>'Emission-Waste Transport Vehicl'!N63</f>
        <v>17.999860920624005</v>
      </c>
      <c r="J57" s="1157">
        <f>'Emission-Waste Transport Vehicl'!P63</f>
        <v>10.014822720144002</v>
      </c>
      <c r="K57" s="1157">
        <f>'Emission-Waste Transport Vehicl'!Q63</f>
        <v>7.7777929342080014</v>
      </c>
      <c r="L57" s="1157">
        <f>'Emission-Waste Transport Vehicl'!R63</f>
        <v>0.77412202401600017</v>
      </c>
      <c r="M57" s="1158">
        <f t="shared" si="8"/>
        <v>8.3894874647795667</v>
      </c>
      <c r="N57" s="1159">
        <f t="shared" si="9"/>
        <v>776.82801537087073</v>
      </c>
      <c r="O57" s="1159">
        <f t="shared" si="10"/>
        <v>-10304908.296829617</v>
      </c>
      <c r="P57" s="1159">
        <f t="shared" si="11"/>
        <v>-6343.9069937268341</v>
      </c>
      <c r="Q57" s="1159">
        <f t="shared" si="12"/>
        <v>30.254541523389854</v>
      </c>
      <c r="R57" s="2773"/>
      <c r="S57" s="396"/>
      <c r="T57" s="3"/>
      <c r="U57" s="3"/>
      <c r="V57" s="618"/>
      <c r="W57" s="3"/>
      <c r="X57" s="3"/>
      <c r="Y57" s="3"/>
      <c r="Z57" s="618"/>
      <c r="AA57" s="3"/>
      <c r="AB57" s="3"/>
    </row>
    <row r="58" spans="1:28" ht="18.75" x14ac:dyDescent="0.3">
      <c r="A58" s="2913"/>
      <c r="B58" s="775">
        <v>2050</v>
      </c>
      <c r="C58" s="1134">
        <f t="shared" si="2"/>
        <v>255.09659601596528</v>
      </c>
      <c r="D58" s="1156">
        <f t="shared" si="3"/>
        <v>43.15744542674723</v>
      </c>
      <c r="E58" s="1156">
        <f t="shared" si="4"/>
        <v>-1028965.6227365993</v>
      </c>
      <c r="F58" s="1156">
        <f t="shared" si="5"/>
        <v>-815.64359547620472</v>
      </c>
      <c r="G58" s="1156">
        <f t="shared" si="6"/>
        <v>39.082393453211623</v>
      </c>
      <c r="H58" s="827">
        <f>(0.0584*1.02)*0.5412</f>
        <v>3.2238201600000002E-2</v>
      </c>
      <c r="I58" s="1157">
        <f>'Emission-Waste Transport Vehicl'!N64</f>
        <v>17.644493262528005</v>
      </c>
      <c r="J58" s="1157">
        <f>'Emission-Waste Transport Vehicl'!P64</f>
        <v>9.8171020759680019</v>
      </c>
      <c r="K58" s="1157">
        <f>'Emission-Waste Transport Vehicl'!Q64</f>
        <v>7.624237522176001</v>
      </c>
      <c r="L58" s="1157">
        <f>'Emission-Waste Transport Vehicl'!R64</f>
        <v>0.75883868755200012</v>
      </c>
      <c r="M58" s="1158">
        <f t="shared" si="8"/>
        <v>8.2238554898364455</v>
      </c>
      <c r="N58" s="1159">
        <f t="shared" si="9"/>
        <v>761.49125506016162</v>
      </c>
      <c r="O58" s="1159">
        <f t="shared" si="10"/>
        <v>-10101460.551067177</v>
      </c>
      <c r="P58" s="1159">
        <f t="shared" si="11"/>
        <v>-6218.6605053522235</v>
      </c>
      <c r="Q58" s="1159">
        <f t="shared" si="12"/>
        <v>29.657232154425991</v>
      </c>
      <c r="R58" s="2773"/>
      <c r="S58" s="396"/>
      <c r="T58" s="3"/>
      <c r="U58" s="3"/>
      <c r="V58" s="618"/>
      <c r="W58" s="3"/>
      <c r="X58" s="3"/>
      <c r="Y58" s="3"/>
      <c r="Z58" s="618"/>
      <c r="AA58" s="3"/>
      <c r="AB58" s="3"/>
    </row>
    <row r="59" spans="1:28" ht="18.75" x14ac:dyDescent="0.3">
      <c r="A59" s="2913"/>
      <c r="B59" s="775">
        <v>2051</v>
      </c>
      <c r="C59" s="1134">
        <f t="shared" ref="C59:C77" si="13">$S$7</f>
        <v>255.09659601596528</v>
      </c>
      <c r="D59" s="1156">
        <f t="shared" ref="D59:D77" si="14">$T$7</f>
        <v>43.15744542674723</v>
      </c>
      <c r="E59" s="1156">
        <f t="shared" ref="E59:E77" si="15">$R$7</f>
        <v>-1028965.6227365993</v>
      </c>
      <c r="F59" s="1156">
        <f t="shared" ref="F59:F77" si="16">$V$7</f>
        <v>-815.64359547620472</v>
      </c>
      <c r="G59" s="1156">
        <f t="shared" ref="G59:G77" si="17">$U$7</f>
        <v>39.082393453211623</v>
      </c>
      <c r="H59" s="827">
        <f>(0.0584*1.02)*0.5306</f>
        <v>3.1606780799999998E-2</v>
      </c>
      <c r="I59" s="1157">
        <f>'Emission-Waste Transport Vehicl'!N65</f>
        <v>17.298906365664003</v>
      </c>
      <c r="J59" s="1157">
        <f>'Emission-Waste Transport Vehicl'!P65</f>
        <v>9.624823284384</v>
      </c>
      <c r="K59" s="1157">
        <f>'Emission-Waste Transport Vehicl'!Q65</f>
        <v>7.4749084058879998</v>
      </c>
      <c r="L59" s="1157">
        <f>'Emission-Waste Transport Vehicl'!R65</f>
        <v>0.74397599337600007</v>
      </c>
      <c r="M59" s="1158">
        <f t="shared" si="8"/>
        <v>8.0627821931027679</v>
      </c>
      <c r="N59" s="1159">
        <f t="shared" si="9"/>
        <v>746.57660741855443</v>
      </c>
      <c r="O59" s="1159">
        <f t="shared" si="10"/>
        <v>-9903612.284545904</v>
      </c>
      <c r="P59" s="1159">
        <f t="shared" si="11"/>
        <v>-6096.8611680337935</v>
      </c>
      <c r="Q59" s="1159">
        <f t="shared" si="12"/>
        <v>29.076362492864799</v>
      </c>
      <c r="R59" s="2773"/>
      <c r="S59" s="396"/>
      <c r="T59" s="3"/>
      <c r="U59" s="3"/>
      <c r="V59" s="618"/>
      <c r="W59" s="3"/>
      <c r="X59" s="3"/>
      <c r="Y59" s="3"/>
      <c r="Z59" s="618"/>
      <c r="AA59" s="3"/>
      <c r="AB59" s="3"/>
    </row>
    <row r="60" spans="1:28" ht="18.75" x14ac:dyDescent="0.3">
      <c r="A60" s="2913"/>
      <c r="B60" s="775">
        <v>2052</v>
      </c>
      <c r="C60" s="1134">
        <f t="shared" si="13"/>
        <v>255.09659601596528</v>
      </c>
      <c r="D60" s="1156">
        <f t="shared" si="14"/>
        <v>43.15744542674723</v>
      </c>
      <c r="E60" s="1156">
        <f t="shared" si="15"/>
        <v>-1028965.6227365993</v>
      </c>
      <c r="F60" s="1156">
        <f t="shared" si="16"/>
        <v>-815.64359547620472</v>
      </c>
      <c r="G60" s="1156">
        <f t="shared" si="17"/>
        <v>39.082393453211623</v>
      </c>
      <c r="H60" s="827">
        <f>(0.0584*1.02)*0.5202</f>
        <v>3.09872736E-2</v>
      </c>
      <c r="I60" s="1157">
        <f>'Emission-Waste Transport Vehicl'!N66</f>
        <v>16.959839976288002</v>
      </c>
      <c r="J60" s="1157">
        <f>'Emission-Waste Transport Vehicl'!P66</f>
        <v>9.4361723945280005</v>
      </c>
      <c r="K60" s="1157">
        <f>'Emission-Waste Transport Vehicl'!Q66</f>
        <v>7.3283968200960006</v>
      </c>
      <c r="L60" s="1157">
        <f>'Emission-Waste Transport Vehicl'!R66</f>
        <v>0.72939372739200004</v>
      </c>
      <c r="M60" s="1158">
        <f t="shared" si="8"/>
        <v>7.9047480151753859</v>
      </c>
      <c r="N60" s="1159">
        <f t="shared" si="9"/>
        <v>731.94336822301545</v>
      </c>
      <c r="O60" s="1159">
        <f t="shared" si="10"/>
        <v>-9709497.0041854121</v>
      </c>
      <c r="P60" s="1159">
        <f t="shared" si="11"/>
        <v>-5977.3599314194871</v>
      </c>
      <c r="Q60" s="1159">
        <f t="shared" si="12"/>
        <v>28.506452636238723</v>
      </c>
      <c r="R60" s="2773"/>
      <c r="S60" s="396"/>
      <c r="T60" s="3"/>
      <c r="U60" s="3"/>
      <c r="V60" s="618"/>
      <c r="W60" s="3"/>
      <c r="X60" s="3"/>
      <c r="Y60" s="3"/>
      <c r="Z60" s="618"/>
      <c r="AA60" s="3"/>
      <c r="AB60" s="3"/>
    </row>
    <row r="61" spans="1:28" ht="18.75" x14ac:dyDescent="0.3">
      <c r="A61" s="2913"/>
      <c r="B61" s="775">
        <v>2053</v>
      </c>
      <c r="C61" s="1134">
        <f t="shared" si="13"/>
        <v>255.09659601596528</v>
      </c>
      <c r="D61" s="1156">
        <f t="shared" si="14"/>
        <v>43.15744542674723</v>
      </c>
      <c r="E61" s="1156">
        <f t="shared" si="15"/>
        <v>-1028965.6227365993</v>
      </c>
      <c r="F61" s="1156">
        <f t="shared" si="16"/>
        <v>-815.64359547620472</v>
      </c>
      <c r="G61" s="1156">
        <f t="shared" si="17"/>
        <v>39.082393453211623</v>
      </c>
      <c r="H61" s="827">
        <f>(0.0584*1.02)*0.51</f>
        <v>3.0379680000000003E-2</v>
      </c>
      <c r="I61" s="1157">
        <f>'Emission-Waste Transport Vehicl'!N67</f>
        <v>15.361506000000002</v>
      </c>
      <c r="J61" s="1157">
        <f>'Emission-Waste Transport Vehicl'!P67</f>
        <v>9.2511494064000015</v>
      </c>
      <c r="K61" s="1157">
        <f>'Emission-Waste Transport Vehicl'!Q67</f>
        <v>7.1847027647999999</v>
      </c>
      <c r="L61" s="1157">
        <f>'Emission-Waste Transport Vehicl'!R67</f>
        <v>0.71509188960000014</v>
      </c>
      <c r="M61" s="1158">
        <f t="shared" si="8"/>
        <v>7.7497529560543006</v>
      </c>
      <c r="N61" s="1159">
        <f t="shared" si="9"/>
        <v>662.96335686765019</v>
      </c>
      <c r="O61" s="1159">
        <f t="shared" si="10"/>
        <v>-9519114.7099856976</v>
      </c>
      <c r="P61" s="1159">
        <f t="shared" si="11"/>
        <v>-5860.1567955093005</v>
      </c>
      <c r="Q61" s="1159">
        <f t="shared" si="12"/>
        <v>27.947502584547774</v>
      </c>
      <c r="R61" s="2773"/>
      <c r="S61" s="396"/>
      <c r="T61" s="3"/>
      <c r="U61" s="3"/>
      <c r="V61" s="618"/>
      <c r="W61" s="3"/>
      <c r="X61" s="3"/>
      <c r="Y61" s="3"/>
      <c r="Z61" s="618"/>
      <c r="AA61" s="3"/>
      <c r="AB61" s="3"/>
    </row>
    <row r="62" spans="1:28" ht="18.75" x14ac:dyDescent="0.3">
      <c r="A62" s="2913"/>
      <c r="B62" s="775">
        <v>2054</v>
      </c>
      <c r="C62" s="1134">
        <f t="shared" si="13"/>
        <v>255.09659601596528</v>
      </c>
      <c r="D62" s="1156">
        <f t="shared" si="14"/>
        <v>43.15744542674723</v>
      </c>
      <c r="E62" s="1156">
        <f t="shared" si="15"/>
        <v>-1028965.6227365993</v>
      </c>
      <c r="F62" s="1156">
        <f t="shared" si="16"/>
        <v>-815.64359547620472</v>
      </c>
      <c r="G62" s="1156">
        <f t="shared" si="17"/>
        <v>39.082393453211623</v>
      </c>
      <c r="H62" s="827">
        <f>(0.0584*1.02)*0.5</f>
        <v>2.9784000000000001E-2</v>
      </c>
      <c r="I62" s="1157">
        <f>'Emission-Waste Transport Vehicl'!N68</f>
        <v>16.301268720000003</v>
      </c>
      <c r="J62" s="1157">
        <f>'Emission-Waste Transport Vehicl'!P68</f>
        <v>9.0697543200000013</v>
      </c>
      <c r="K62" s="1157">
        <f>'Emission-Waste Transport Vehicl'!Q68</f>
        <v>7.0438262400000005</v>
      </c>
      <c r="L62" s="1157">
        <f>'Emission-Waste Transport Vehicl'!R68</f>
        <v>0.70107048000000005</v>
      </c>
      <c r="M62" s="1158">
        <f t="shared" si="8"/>
        <v>7.5977970157395101</v>
      </c>
      <c r="N62" s="1159">
        <f t="shared" si="9"/>
        <v>703.5211151701418</v>
      </c>
      <c r="O62" s="1159">
        <f t="shared" si="10"/>
        <v>-9332465.4019467626</v>
      </c>
      <c r="P62" s="1159">
        <f t="shared" si="11"/>
        <v>-5745.2517603032366</v>
      </c>
      <c r="Q62" s="1159">
        <f t="shared" si="12"/>
        <v>27.399512337791933</v>
      </c>
      <c r="R62" s="2773"/>
      <c r="S62" s="396"/>
      <c r="T62" s="3"/>
      <c r="U62" s="3"/>
      <c r="V62" s="618"/>
      <c r="W62" s="3"/>
      <c r="X62" s="3"/>
      <c r="Y62" s="3"/>
      <c r="Z62" s="618"/>
      <c r="AA62" s="3"/>
      <c r="AB62" s="3"/>
    </row>
    <row r="63" spans="1:28" ht="18.75" x14ac:dyDescent="0.3">
      <c r="A63" s="2913"/>
      <c r="B63" s="775">
        <v>2055</v>
      </c>
      <c r="C63" s="1134">
        <f t="shared" si="13"/>
        <v>255.09659601596528</v>
      </c>
      <c r="D63" s="1156">
        <f t="shared" si="14"/>
        <v>43.15744542674723</v>
      </c>
      <c r="E63" s="1156">
        <f t="shared" si="15"/>
        <v>-1028965.6227365993</v>
      </c>
      <c r="F63" s="1156">
        <f t="shared" si="16"/>
        <v>-815.64359547620472</v>
      </c>
      <c r="G63" s="1156">
        <f t="shared" si="17"/>
        <v>39.082393453211623</v>
      </c>
      <c r="H63" s="827">
        <f>(0.0584*1.02)*0.4902</f>
        <v>2.9200233600000004E-2</v>
      </c>
      <c r="I63" s="1157">
        <f>'Emission-Waste Transport Vehicl'!N69</f>
        <v>15.981763853088003</v>
      </c>
      <c r="J63" s="1157">
        <f>'Emission-Waste Transport Vehicl'!P69</f>
        <v>8.8919871353280016</v>
      </c>
      <c r="K63" s="1157">
        <f>'Emission-Waste Transport Vehicl'!Q69</f>
        <v>6.9057672456960004</v>
      </c>
      <c r="L63" s="1157">
        <f>'Emission-Waste Transport Vehicl'!R69</f>
        <v>0.6873294985920001</v>
      </c>
      <c r="M63" s="1158">
        <f t="shared" si="8"/>
        <v>7.4488801942310161</v>
      </c>
      <c r="N63" s="1159">
        <f t="shared" si="9"/>
        <v>689.732101312807</v>
      </c>
      <c r="O63" s="1159">
        <f t="shared" si="10"/>
        <v>-9149549.0800686069</v>
      </c>
      <c r="P63" s="1159">
        <f t="shared" si="11"/>
        <v>-5632.6448258012933</v>
      </c>
      <c r="Q63" s="1159">
        <f t="shared" si="12"/>
        <v>26.862481895971211</v>
      </c>
      <c r="R63" s="2773"/>
      <c r="S63" s="396"/>
      <c r="T63" s="3"/>
      <c r="U63" s="3"/>
      <c r="V63" s="618"/>
      <c r="W63" s="3"/>
      <c r="X63" s="3"/>
      <c r="Y63" s="3"/>
      <c r="Z63" s="618"/>
      <c r="AA63" s="3"/>
      <c r="AB63" s="3"/>
    </row>
    <row r="64" spans="1:28" ht="18.75" x14ac:dyDescent="0.3">
      <c r="A64" s="2913"/>
      <c r="B64" s="775">
        <v>2056</v>
      </c>
      <c r="C64" s="1134">
        <f t="shared" si="13"/>
        <v>255.09659601596528</v>
      </c>
      <c r="D64" s="1156">
        <f t="shared" si="14"/>
        <v>43.15744542674723</v>
      </c>
      <c r="E64" s="1156">
        <f t="shared" si="15"/>
        <v>-1028965.6227365993</v>
      </c>
      <c r="F64" s="1156">
        <f t="shared" si="16"/>
        <v>-815.64359547620472</v>
      </c>
      <c r="G64" s="1156">
        <f t="shared" si="17"/>
        <v>39.082393453211623</v>
      </c>
      <c r="H64" s="827">
        <f>(0.0584*1.02)*0.4806</f>
        <v>2.8628380800000002E-2</v>
      </c>
      <c r="I64" s="1157">
        <f>'Emission-Waste Transport Vehicl'!N70</f>
        <v>15.668779493664003</v>
      </c>
      <c r="J64" s="1157">
        <f>'Emission-Waste Transport Vehicl'!P70</f>
        <v>8.7178478523840006</v>
      </c>
      <c r="K64" s="1157">
        <f>'Emission-Waste Transport Vehicl'!Q70</f>
        <v>6.7705257818880007</v>
      </c>
      <c r="L64" s="1157">
        <f>'Emission-Waste Transport Vehicl'!R70</f>
        <v>0.67386894537600017</v>
      </c>
      <c r="M64" s="1158">
        <f t="shared" si="8"/>
        <v>7.303002491528817</v>
      </c>
      <c r="N64" s="1159">
        <f t="shared" si="9"/>
        <v>676.22449590154031</v>
      </c>
      <c r="O64" s="1159">
        <f t="shared" si="10"/>
        <v>-8970365.7443512287</v>
      </c>
      <c r="P64" s="1159">
        <f t="shared" si="11"/>
        <v>-5522.3359920034709</v>
      </c>
      <c r="Q64" s="1159">
        <f t="shared" si="12"/>
        <v>26.336411259085608</v>
      </c>
      <c r="R64" s="2773"/>
      <c r="S64" s="396"/>
      <c r="T64" s="3"/>
      <c r="U64" s="3"/>
      <c r="V64" s="618"/>
      <c r="W64" s="3"/>
      <c r="X64" s="3"/>
      <c r="Y64" s="3"/>
      <c r="Z64" s="618"/>
      <c r="AA64" s="3"/>
      <c r="AB64" s="3"/>
    </row>
    <row r="65" spans="1:28" ht="18.75" x14ac:dyDescent="0.3">
      <c r="A65" s="2913"/>
      <c r="B65" s="775">
        <v>2057</v>
      </c>
      <c r="C65" s="1134">
        <f t="shared" si="13"/>
        <v>255.09659601596528</v>
      </c>
      <c r="D65" s="1156">
        <f t="shared" si="14"/>
        <v>43.15744542674723</v>
      </c>
      <c r="E65" s="1156">
        <f t="shared" si="15"/>
        <v>-1028965.6227365993</v>
      </c>
      <c r="F65" s="1156">
        <f t="shared" si="16"/>
        <v>-815.64359547620472</v>
      </c>
      <c r="G65" s="1156">
        <f t="shared" si="17"/>
        <v>39.082393453211623</v>
      </c>
      <c r="H65" s="827">
        <f>(0.0584*1.02)*0.4712</f>
        <v>2.8068441600000001E-2</v>
      </c>
      <c r="I65" s="1157">
        <f>'Emission-Waste Transport Vehicl'!N71</f>
        <v>15.362315641728001</v>
      </c>
      <c r="J65" s="1157">
        <f>'Emission-Waste Transport Vehicl'!P71</f>
        <v>8.547336471168002</v>
      </c>
      <c r="K65" s="1157">
        <f>'Emission-Waste Transport Vehicl'!Q71</f>
        <v>6.6381018485760004</v>
      </c>
      <c r="L65" s="1157">
        <f>'Emission-Waste Transport Vehicl'!R71</f>
        <v>0.66068882035200005</v>
      </c>
      <c r="M65" s="1158">
        <f t="shared" si="8"/>
        <v>7.1601639076329144</v>
      </c>
      <c r="N65" s="1159">
        <f t="shared" si="9"/>
        <v>662.9982989363416</v>
      </c>
      <c r="O65" s="1159">
        <f t="shared" si="10"/>
        <v>-8794915.3947946299</v>
      </c>
      <c r="P65" s="1159">
        <f t="shared" si="11"/>
        <v>-5414.3252589097701</v>
      </c>
      <c r="Q65" s="1159">
        <f t="shared" si="12"/>
        <v>25.821300427135117</v>
      </c>
      <c r="R65" s="2773"/>
      <c r="S65" s="396"/>
      <c r="T65" s="3"/>
      <c r="U65" s="3"/>
      <c r="V65" s="618"/>
      <c r="W65" s="3"/>
      <c r="X65" s="3"/>
      <c r="Y65" s="3"/>
      <c r="Z65" s="618"/>
      <c r="AA65" s="3"/>
      <c r="AB65" s="3"/>
    </row>
    <row r="66" spans="1:28" ht="18.75" x14ac:dyDescent="0.3">
      <c r="A66" s="2913"/>
      <c r="B66" s="775">
        <v>2058</v>
      </c>
      <c r="C66" s="1134">
        <f t="shared" si="13"/>
        <v>255.09659601596528</v>
      </c>
      <c r="D66" s="1156">
        <f t="shared" si="14"/>
        <v>43.15744542674723</v>
      </c>
      <c r="E66" s="1156">
        <f t="shared" si="15"/>
        <v>-1028965.6227365993</v>
      </c>
      <c r="F66" s="1156">
        <f t="shared" si="16"/>
        <v>-815.64359547620472</v>
      </c>
      <c r="G66" s="1156">
        <f t="shared" si="17"/>
        <v>39.082393453211623</v>
      </c>
      <c r="H66" s="827">
        <f>(0.0584*1.02)*0.4619</f>
        <v>2.7514459200000001E-2</v>
      </c>
      <c r="I66" s="1157">
        <f>'Emission-Waste Transport Vehicl'!N72</f>
        <v>15.059112043536</v>
      </c>
      <c r="J66" s="1157">
        <f>'Emission-Waste Transport Vehicl'!P72</f>
        <v>8.378639040816001</v>
      </c>
      <c r="K66" s="1157">
        <f>'Emission-Waste Transport Vehicl'!Q72</f>
        <v>6.5070866805119998</v>
      </c>
      <c r="L66" s="1157">
        <f>'Emission-Waste Transport Vehicl'!R72</f>
        <v>0.647648909424</v>
      </c>
      <c r="M66" s="1158">
        <f t="shared" si="8"/>
        <v>7.0188448831401589</v>
      </c>
      <c r="N66" s="1159">
        <f t="shared" si="9"/>
        <v>649.91280619417694</v>
      </c>
      <c r="O66" s="1159">
        <f t="shared" si="10"/>
        <v>-8621331.5383184198</v>
      </c>
      <c r="P66" s="1159">
        <f t="shared" si="11"/>
        <v>-5307.4635761681293</v>
      </c>
      <c r="Q66" s="1159">
        <f t="shared" si="12"/>
        <v>25.311669497652186</v>
      </c>
      <c r="R66" s="2773"/>
      <c r="S66" s="396"/>
      <c r="T66" s="3"/>
      <c r="U66" s="3"/>
      <c r="V66" s="618"/>
      <c r="W66" s="3"/>
      <c r="X66" s="3"/>
      <c r="Y66" s="3"/>
      <c r="Z66" s="618"/>
      <c r="AA66" s="3"/>
      <c r="AB66" s="3"/>
    </row>
    <row r="67" spans="1:28" ht="18.75" x14ac:dyDescent="0.3">
      <c r="A67" s="2913"/>
      <c r="B67" s="775">
        <v>2059</v>
      </c>
      <c r="C67" s="1134">
        <f t="shared" si="13"/>
        <v>255.09659601596528</v>
      </c>
      <c r="D67" s="1156">
        <f t="shared" si="14"/>
        <v>43.15744542674723</v>
      </c>
      <c r="E67" s="1156">
        <f t="shared" si="15"/>
        <v>-1028965.6227365993</v>
      </c>
      <c r="F67" s="1156">
        <f t="shared" si="16"/>
        <v>-815.64359547620472</v>
      </c>
      <c r="G67" s="1156">
        <f t="shared" si="17"/>
        <v>39.082393453211623</v>
      </c>
      <c r="H67" s="827">
        <f>(0.0584*1.02)*0.4529</f>
        <v>2.6978347200000002E-2</v>
      </c>
      <c r="I67" s="1157">
        <f>'Emission-Waste Transport Vehicl'!N73</f>
        <v>14.765689206576004</v>
      </c>
      <c r="J67" s="1157">
        <f>'Emission-Waste Transport Vehicl'!P73</f>
        <v>8.2153834630560016</v>
      </c>
      <c r="K67" s="1157">
        <f>'Emission-Waste Transport Vehicl'!Q73</f>
        <v>6.380297808192001</v>
      </c>
      <c r="L67" s="1157">
        <f>'Emission-Waste Transport Vehicl'!R73</f>
        <v>0.63502964078400004</v>
      </c>
      <c r="M67" s="1158">
        <f t="shared" si="8"/>
        <v>6.8820845368568486</v>
      </c>
      <c r="N67" s="1159">
        <f t="shared" si="9"/>
        <v>637.24942612111454</v>
      </c>
      <c r="O67" s="1159">
        <f t="shared" si="10"/>
        <v>-8453347.1610833779</v>
      </c>
      <c r="P67" s="1159">
        <f t="shared" si="11"/>
        <v>-5204.0490444826719</v>
      </c>
      <c r="Q67" s="1159">
        <f t="shared" si="12"/>
        <v>24.81847827557193</v>
      </c>
      <c r="R67" s="2773"/>
      <c r="S67" s="396"/>
      <c r="T67" s="3"/>
      <c r="U67" s="3"/>
      <c r="V67" s="618"/>
      <c r="W67" s="3"/>
      <c r="X67" s="3"/>
      <c r="Y67" s="3"/>
      <c r="Z67" s="618"/>
      <c r="AA67" s="3"/>
      <c r="AB67" s="3"/>
    </row>
    <row r="68" spans="1:28" ht="18.75" x14ac:dyDescent="0.3">
      <c r="A68" s="2913"/>
      <c r="B68" s="775">
        <v>2060</v>
      </c>
      <c r="C68" s="1134">
        <f t="shared" si="13"/>
        <v>255.09659601596528</v>
      </c>
      <c r="D68" s="1156">
        <f t="shared" si="14"/>
        <v>43.15744542674723</v>
      </c>
      <c r="E68" s="1156">
        <f t="shared" si="15"/>
        <v>-1028965.6227365993</v>
      </c>
      <c r="F68" s="1156">
        <f t="shared" si="16"/>
        <v>-815.64359547620472</v>
      </c>
      <c r="G68" s="1156">
        <f t="shared" si="17"/>
        <v>39.082393453211623</v>
      </c>
      <c r="H68" s="827">
        <f>(0.0584*1.02)*0.444</f>
        <v>2.6448192000000002E-2</v>
      </c>
      <c r="I68" s="1157">
        <f>'Emission-Waste Transport Vehicl'!N74</f>
        <v>14.475526623360002</v>
      </c>
      <c r="J68" s="1157">
        <f>'Emission-Waste Transport Vehicl'!P74</f>
        <v>8.0539418361599999</v>
      </c>
      <c r="K68" s="1157">
        <f>'Emission-Waste Transport Vehicl'!Q74</f>
        <v>6.2549177011200001</v>
      </c>
      <c r="L68" s="1157">
        <f>'Emission-Waste Transport Vehicl'!R74</f>
        <v>0.62255058624000004</v>
      </c>
      <c r="M68" s="1158">
        <f t="shared" si="8"/>
        <v>6.7468437499766853</v>
      </c>
      <c r="N68" s="1159">
        <f t="shared" si="9"/>
        <v>624.72675027108596</v>
      </c>
      <c r="O68" s="1159">
        <f t="shared" si="10"/>
        <v>-8287229.2769287247</v>
      </c>
      <c r="P68" s="1159">
        <f t="shared" si="11"/>
        <v>-5101.7835631492735</v>
      </c>
      <c r="Q68" s="1159">
        <f t="shared" si="12"/>
        <v>24.330766955959234</v>
      </c>
      <c r="R68" s="2773"/>
      <c r="S68" s="396"/>
      <c r="T68" s="3"/>
      <c r="U68" s="3"/>
      <c r="V68" s="618"/>
      <c r="W68" s="3"/>
      <c r="X68" s="3"/>
      <c r="Y68" s="3"/>
      <c r="Z68" s="618"/>
      <c r="AA68" s="3"/>
      <c r="AB68" s="3"/>
    </row>
    <row r="69" spans="1:28" ht="18.75" x14ac:dyDescent="0.3">
      <c r="A69" s="2913"/>
      <c r="B69" s="775">
        <v>2061</v>
      </c>
      <c r="C69" s="1134">
        <f t="shared" si="13"/>
        <v>255.09659601596528</v>
      </c>
      <c r="D69" s="1156">
        <f t="shared" si="14"/>
        <v>43.15744542674723</v>
      </c>
      <c r="E69" s="1156">
        <f t="shared" si="15"/>
        <v>-1028965.6227365993</v>
      </c>
      <c r="F69" s="1156">
        <f t="shared" si="16"/>
        <v>-815.64359547620472</v>
      </c>
      <c r="G69" s="1156">
        <f t="shared" si="17"/>
        <v>39.082393453211623</v>
      </c>
      <c r="H69" s="827">
        <f>(0.0584*1.02)*0.4353</f>
        <v>2.5929950400000002E-2</v>
      </c>
      <c r="I69" s="1157">
        <f>'Emission-Waste Transport Vehicl'!N75</f>
        <v>14.191884547632004</v>
      </c>
      <c r="J69" s="1157">
        <f>'Emission-Waste Transport Vehicl'!P75</f>
        <v>7.8961281109920014</v>
      </c>
      <c r="K69" s="1157">
        <f>'Emission-Waste Transport Vehicl'!Q75</f>
        <v>6.1323551245440004</v>
      </c>
      <c r="L69" s="1157">
        <f>'Emission-Waste Transport Vehicl'!R75</f>
        <v>0.61035195988800006</v>
      </c>
      <c r="M69" s="1158">
        <f t="shared" si="8"/>
        <v>6.6146420819028178</v>
      </c>
      <c r="N69" s="1159">
        <f t="shared" si="9"/>
        <v>612.48548286712548</v>
      </c>
      <c r="O69" s="1159">
        <f t="shared" si="10"/>
        <v>-8124844.3789348518</v>
      </c>
      <c r="P69" s="1159">
        <f t="shared" si="11"/>
        <v>-5001.8161825199977</v>
      </c>
      <c r="Q69" s="1159">
        <f t="shared" si="12"/>
        <v>23.854015441281657</v>
      </c>
      <c r="R69" s="2773"/>
      <c r="S69" s="396"/>
      <c r="T69" s="3"/>
      <c r="U69" s="3"/>
      <c r="V69" s="618"/>
      <c r="W69" s="3"/>
      <c r="X69" s="3"/>
      <c r="Y69" s="3"/>
      <c r="Z69" s="618"/>
      <c r="AA69" s="3"/>
      <c r="AB69" s="3"/>
    </row>
    <row r="70" spans="1:28" ht="18.75" x14ac:dyDescent="0.3">
      <c r="A70" s="2913"/>
      <c r="B70" s="775">
        <v>2062</v>
      </c>
      <c r="C70" s="1134">
        <f t="shared" si="13"/>
        <v>255.09659601596528</v>
      </c>
      <c r="D70" s="1156">
        <f t="shared" si="14"/>
        <v>43.15744542674723</v>
      </c>
      <c r="E70" s="1156">
        <f t="shared" si="15"/>
        <v>-1028965.6227365993</v>
      </c>
      <c r="F70" s="1156">
        <f t="shared" si="16"/>
        <v>-815.64359547620472</v>
      </c>
      <c r="G70" s="1156">
        <f t="shared" si="17"/>
        <v>39.082393453211623</v>
      </c>
      <c r="H70" s="827">
        <f>(0.0584*1.02)*0.4268</f>
        <v>2.5423622400000002E-2</v>
      </c>
      <c r="I70" s="1157">
        <f>'Emission-Waste Transport Vehicl'!N76</f>
        <v>13.914762979392002</v>
      </c>
      <c r="J70" s="1157">
        <f>'Emission-Waste Transport Vehicl'!P76</f>
        <v>7.7419422875520008</v>
      </c>
      <c r="K70" s="1157">
        <f>'Emission-Waste Transport Vehicl'!Q76</f>
        <v>6.0126100784640002</v>
      </c>
      <c r="L70" s="1157">
        <f>'Emission-Waste Transport Vehicl'!R76</f>
        <v>0.59843376172800011</v>
      </c>
      <c r="M70" s="1158">
        <f t="shared" si="8"/>
        <v>6.4854795326352459</v>
      </c>
      <c r="N70" s="1159">
        <f t="shared" si="9"/>
        <v>600.52562390923299</v>
      </c>
      <c r="O70" s="1159">
        <f t="shared" si="10"/>
        <v>-7966192.4671017565</v>
      </c>
      <c r="P70" s="1159">
        <f t="shared" si="11"/>
        <v>-4904.1469025948427</v>
      </c>
      <c r="Q70" s="1159">
        <f t="shared" si="12"/>
        <v>23.388223731539195</v>
      </c>
      <c r="R70" s="2773"/>
      <c r="S70" s="396"/>
      <c r="T70" s="3"/>
      <c r="U70" s="3"/>
      <c r="V70" s="618"/>
      <c r="W70" s="3"/>
      <c r="X70" s="3"/>
      <c r="Y70" s="3"/>
      <c r="Z70" s="618"/>
      <c r="AA70" s="3"/>
      <c r="AB70" s="3"/>
    </row>
    <row r="71" spans="1:28" ht="18.75" x14ac:dyDescent="0.3">
      <c r="A71" s="2913"/>
      <c r="B71" s="775">
        <v>2063</v>
      </c>
      <c r="C71" s="1134">
        <f t="shared" si="13"/>
        <v>255.09659601596528</v>
      </c>
      <c r="D71" s="1156">
        <f t="shared" si="14"/>
        <v>43.15744542674723</v>
      </c>
      <c r="E71" s="1156">
        <f t="shared" si="15"/>
        <v>-1028965.6227365993</v>
      </c>
      <c r="F71" s="1156">
        <f t="shared" si="16"/>
        <v>-815.64359547620472</v>
      </c>
      <c r="G71" s="1156">
        <f t="shared" si="17"/>
        <v>39.082393453211623</v>
      </c>
      <c r="H71" s="827">
        <f>(0.0584*1.02)*0.4184</f>
        <v>2.49232512E-2</v>
      </c>
      <c r="I71" s="1157">
        <f>'Emission-Waste Transport Vehicl'!N77</f>
        <v>13.640901664896001</v>
      </c>
      <c r="J71" s="1157">
        <f>'Emission-Waste Transport Vehicl'!P77</f>
        <v>7.5895704149760004</v>
      </c>
      <c r="K71" s="1157">
        <f>'Emission-Waste Transport Vehicl'!Q77</f>
        <v>5.8942737976319997</v>
      </c>
      <c r="L71" s="1157">
        <f>'Emission-Waste Transport Vehicl'!R77</f>
        <v>0.58665577766400001</v>
      </c>
      <c r="M71" s="1158">
        <f t="shared" si="8"/>
        <v>6.3578365427708219</v>
      </c>
      <c r="N71" s="1159">
        <f t="shared" si="9"/>
        <v>588.70646917437455</v>
      </c>
      <c r="O71" s="1159">
        <f t="shared" si="10"/>
        <v>-7809407.0483490508</v>
      </c>
      <c r="P71" s="1159">
        <f t="shared" si="11"/>
        <v>-4807.6266730217476</v>
      </c>
      <c r="Q71" s="1159">
        <f t="shared" si="12"/>
        <v>22.927911924264286</v>
      </c>
      <c r="R71" s="2773"/>
      <c r="S71" s="396"/>
      <c r="T71" s="3"/>
      <c r="U71" s="3"/>
      <c r="V71" s="618"/>
      <c r="W71" s="3"/>
      <c r="X71" s="3"/>
      <c r="Y71" s="3"/>
      <c r="Z71" s="618"/>
      <c r="AA71" s="3"/>
      <c r="AB71" s="3"/>
    </row>
    <row r="72" spans="1:28" ht="18.75" x14ac:dyDescent="0.3">
      <c r="A72" s="2913"/>
      <c r="B72" s="775">
        <v>2064</v>
      </c>
      <c r="C72" s="1134">
        <f t="shared" si="13"/>
        <v>255.09659601596528</v>
      </c>
      <c r="D72" s="1156">
        <f t="shared" si="14"/>
        <v>43.15744542674723</v>
      </c>
      <c r="E72" s="1156">
        <f t="shared" si="15"/>
        <v>-1028965.6227365993</v>
      </c>
      <c r="F72" s="1156">
        <f t="shared" si="16"/>
        <v>-815.64359547620472</v>
      </c>
      <c r="G72" s="1156">
        <f t="shared" si="17"/>
        <v>39.082393453211623</v>
      </c>
      <c r="H72" s="827">
        <f>(0.0584*1.02)*0.4102</f>
        <v>2.4434793600000001E-2</v>
      </c>
      <c r="I72" s="1157">
        <f>'Emission-Waste Transport Vehicl'!N78</f>
        <v>13.373560857888002</v>
      </c>
      <c r="J72" s="1157">
        <f>'Emission-Waste Transport Vehicl'!P78</f>
        <v>7.4408264441280014</v>
      </c>
      <c r="K72" s="1157">
        <f>'Emission-Waste Transport Vehicl'!Q78</f>
        <v>5.7787550472960003</v>
      </c>
      <c r="L72" s="1157">
        <f>'Emission-Waste Transport Vehicl'!R78</f>
        <v>0.57515822179200005</v>
      </c>
      <c r="M72" s="1158">
        <f t="shared" si="8"/>
        <v>6.2332326717126945</v>
      </c>
      <c r="N72" s="1159">
        <f t="shared" si="9"/>
        <v>577.16872288558432</v>
      </c>
      <c r="O72" s="1159">
        <f t="shared" si="10"/>
        <v>-7656354.6157571245</v>
      </c>
      <c r="P72" s="1159">
        <f t="shared" si="11"/>
        <v>-4713.4045441527751</v>
      </c>
      <c r="Q72" s="1159">
        <f t="shared" si="12"/>
        <v>22.4785599219245</v>
      </c>
      <c r="R72" s="2773"/>
      <c r="S72" s="396"/>
      <c r="T72" s="3"/>
      <c r="U72" s="3"/>
      <c r="V72" s="618"/>
      <c r="W72" s="3"/>
      <c r="X72" s="3"/>
      <c r="Y72" s="3"/>
      <c r="Z72" s="618"/>
      <c r="AA72" s="3"/>
      <c r="AB72" s="3"/>
    </row>
    <row r="73" spans="1:28" ht="18.75" x14ac:dyDescent="0.3">
      <c r="A73" s="2913"/>
      <c r="B73" s="775">
        <v>2065</v>
      </c>
      <c r="C73" s="1134">
        <f t="shared" si="13"/>
        <v>255.09659601596528</v>
      </c>
      <c r="D73" s="1156">
        <f t="shared" si="14"/>
        <v>43.15744542674723</v>
      </c>
      <c r="E73" s="1156">
        <f t="shared" si="15"/>
        <v>-1028965.6227365993</v>
      </c>
      <c r="F73" s="1156">
        <f t="shared" si="16"/>
        <v>-815.64359547620472</v>
      </c>
      <c r="G73" s="1156">
        <f t="shared" si="17"/>
        <v>39.082393453211623</v>
      </c>
      <c r="H73" s="827">
        <f>(0.0584*1.02)*0.4022</f>
        <v>2.3958249600000002E-2</v>
      </c>
      <c r="I73" s="1157">
        <f>'Emission-Waste Transport Vehicl'!N79</f>
        <v>13.112740558368001</v>
      </c>
      <c r="J73" s="1157">
        <f>'Emission-Waste Transport Vehicl'!P79</f>
        <v>7.2957103750080003</v>
      </c>
      <c r="K73" s="1157">
        <f>'Emission-Waste Transport Vehicl'!Q79</f>
        <v>5.6660538274560004</v>
      </c>
      <c r="L73" s="1157">
        <f>'Emission-Waste Transport Vehicl'!R79</f>
        <v>0.56394109411200011</v>
      </c>
      <c r="M73" s="1158">
        <f t="shared" si="8"/>
        <v>6.1116679194608619</v>
      </c>
      <c r="N73" s="1159">
        <f t="shared" si="9"/>
        <v>565.91238504286207</v>
      </c>
      <c r="O73" s="1159">
        <f t="shared" si="10"/>
        <v>-7507035.1693259757</v>
      </c>
      <c r="P73" s="1159">
        <f t="shared" si="11"/>
        <v>-4621.4805159879234</v>
      </c>
      <c r="Q73" s="1159">
        <f t="shared" si="12"/>
        <v>22.040167724519833</v>
      </c>
      <c r="R73" s="2773"/>
      <c r="S73" s="396"/>
      <c r="T73" s="3"/>
      <c r="U73" s="3"/>
      <c r="V73" s="618"/>
      <c r="W73" s="3"/>
      <c r="X73" s="3"/>
      <c r="Y73" s="3"/>
      <c r="Z73" s="618"/>
      <c r="AA73" s="3"/>
      <c r="AB73" s="3"/>
    </row>
    <row r="74" spans="1:28" ht="18.75" x14ac:dyDescent="0.3">
      <c r="A74" s="2913"/>
      <c r="B74" s="775">
        <v>2066</v>
      </c>
      <c r="C74" s="1134">
        <f t="shared" si="13"/>
        <v>255.09659601596528</v>
      </c>
      <c r="D74" s="1156">
        <f t="shared" si="14"/>
        <v>43.15744542674723</v>
      </c>
      <c r="E74" s="1156">
        <f t="shared" si="15"/>
        <v>-1028965.6227365993</v>
      </c>
      <c r="F74" s="1156">
        <f t="shared" si="16"/>
        <v>-815.64359547620472</v>
      </c>
      <c r="G74" s="1156">
        <f t="shared" si="17"/>
        <v>39.082393453211623</v>
      </c>
      <c r="H74" s="827">
        <f>(0.0584*1.02)*0.3943</f>
        <v>2.3487662400000001E-2</v>
      </c>
      <c r="I74" s="1157">
        <f>'Emission-Waste Transport Vehicl'!N80</f>
        <v>12.855180512592</v>
      </c>
      <c r="J74" s="1157">
        <f>'Emission-Waste Transport Vehicl'!P80</f>
        <v>7.1524082567520004</v>
      </c>
      <c r="K74" s="1157">
        <f>'Emission-Waste Transport Vehicl'!Q80</f>
        <v>5.5547613728639993</v>
      </c>
      <c r="L74" s="1157">
        <f>'Emission-Waste Transport Vehicl'!R80</f>
        <v>0.55286418052800002</v>
      </c>
      <c r="M74" s="1158">
        <f t="shared" si="8"/>
        <v>5.991622726612178</v>
      </c>
      <c r="N74" s="1159">
        <f t="shared" si="9"/>
        <v>554.79675142317376</v>
      </c>
      <c r="O74" s="1159">
        <f t="shared" si="10"/>
        <v>-7359582.2159752166</v>
      </c>
      <c r="P74" s="1159">
        <f t="shared" si="11"/>
        <v>-4530.7055381751316</v>
      </c>
      <c r="Q74" s="1159">
        <f t="shared" si="12"/>
        <v>21.607255429582718</v>
      </c>
      <c r="R74" s="2773"/>
      <c r="S74" s="396"/>
      <c r="T74" s="3"/>
      <c r="U74" s="3"/>
      <c r="V74" s="618"/>
      <c r="W74" s="3"/>
      <c r="X74" s="3"/>
      <c r="Y74" s="3"/>
      <c r="Z74" s="618"/>
      <c r="AA74" s="3"/>
      <c r="AB74" s="3"/>
    </row>
    <row r="75" spans="1:28" ht="18.75" x14ac:dyDescent="0.3">
      <c r="A75" s="2913"/>
      <c r="B75" s="775">
        <v>2067</v>
      </c>
      <c r="C75" s="1134">
        <f t="shared" si="13"/>
        <v>255.09659601596528</v>
      </c>
      <c r="D75" s="1156">
        <f t="shared" si="14"/>
        <v>43.15744542674723</v>
      </c>
      <c r="E75" s="1156">
        <f t="shared" si="15"/>
        <v>-1028965.6227365993</v>
      </c>
      <c r="F75" s="1156">
        <f t="shared" si="16"/>
        <v>-815.64359547620472</v>
      </c>
      <c r="G75" s="1156">
        <f t="shared" si="17"/>
        <v>39.082393453211623</v>
      </c>
      <c r="H75" s="827">
        <f>(0.0584*1.02)*0.3865</f>
        <v>2.3023032000000002E-2</v>
      </c>
      <c r="I75" s="1157">
        <f>'Emission-Waste Transport Vehicl'!N81</f>
        <v>12.600880720560001</v>
      </c>
      <c r="J75" s="1157">
        <f>'Emission-Waste Transport Vehicl'!P81</f>
        <v>7.0109200893600008</v>
      </c>
      <c r="K75" s="1157">
        <f>'Emission-Waste Transport Vehicl'!Q81</f>
        <v>5.4448776835200006</v>
      </c>
      <c r="L75" s="1157">
        <f>'Emission-Waste Transport Vehicl'!R81</f>
        <v>0.5419274810400001</v>
      </c>
      <c r="M75" s="1158">
        <f t="shared" si="8"/>
        <v>5.873097093166642</v>
      </c>
      <c r="N75" s="1159">
        <f t="shared" si="9"/>
        <v>543.82182202651961</v>
      </c>
      <c r="O75" s="1159">
        <f t="shared" si="10"/>
        <v>-7213995.7557048472</v>
      </c>
      <c r="P75" s="1159">
        <f t="shared" si="11"/>
        <v>-4441.0796107144024</v>
      </c>
      <c r="Q75" s="1159">
        <f t="shared" si="12"/>
        <v>21.179823037113167</v>
      </c>
      <c r="R75" s="2773"/>
      <c r="S75" s="396"/>
      <c r="T75" s="3"/>
      <c r="U75" s="3"/>
      <c r="V75" s="618"/>
      <c r="W75" s="3"/>
      <c r="X75" s="3"/>
      <c r="Y75" s="3"/>
      <c r="Z75" s="618"/>
      <c r="AA75" s="3"/>
      <c r="AB75" s="3"/>
    </row>
    <row r="76" spans="1:28" ht="18.75" x14ac:dyDescent="0.3">
      <c r="A76" s="2913"/>
      <c r="B76" s="775">
        <v>2068</v>
      </c>
      <c r="C76" s="1134">
        <f t="shared" si="13"/>
        <v>255.09659601596528</v>
      </c>
      <c r="D76" s="1156">
        <f t="shared" si="14"/>
        <v>43.15744542674723</v>
      </c>
      <c r="E76" s="1156">
        <f t="shared" si="15"/>
        <v>-1028965.6227365993</v>
      </c>
      <c r="F76" s="1156">
        <f t="shared" si="16"/>
        <v>-815.64359547620472</v>
      </c>
      <c r="G76" s="1156">
        <f t="shared" si="17"/>
        <v>39.082393453211623</v>
      </c>
      <c r="H76" s="827">
        <f>(0.0584*1.02)*0.379</f>
        <v>2.2576272000000001E-2</v>
      </c>
      <c r="I76" s="1157">
        <f>'Emission-Waste Transport Vehicl'!N82</f>
        <v>12.356361689760002</v>
      </c>
      <c r="J76" s="1157">
        <f>'Emission-Waste Transport Vehicl'!P82</f>
        <v>6.8748737745600002</v>
      </c>
      <c r="K76" s="1157">
        <f>'Emission-Waste Transport Vehicl'!Q82</f>
        <v>5.339220289920001</v>
      </c>
      <c r="L76" s="1157">
        <f>'Emission-Waste Transport Vehicl'!R82</f>
        <v>0.53141142384000006</v>
      </c>
      <c r="M76" s="1158">
        <f t="shared" si="8"/>
        <v>5.7591301379305486</v>
      </c>
      <c r="N76" s="1159">
        <f t="shared" si="9"/>
        <v>533.2690052989675</v>
      </c>
      <c r="O76" s="1159">
        <f t="shared" si="10"/>
        <v>-7074008.7746756459</v>
      </c>
      <c r="P76" s="1159">
        <f t="shared" si="11"/>
        <v>-4354.900834309854</v>
      </c>
      <c r="Q76" s="1159">
        <f t="shared" si="12"/>
        <v>20.768830352046287</v>
      </c>
      <c r="R76" s="2773"/>
      <c r="S76" s="396"/>
      <c r="T76" s="3"/>
      <c r="U76" s="3"/>
      <c r="V76" s="618"/>
      <c r="W76" s="3"/>
      <c r="X76" s="3"/>
      <c r="Y76" s="3"/>
      <c r="Z76" s="618"/>
      <c r="AA76" s="3"/>
      <c r="AB76" s="3"/>
    </row>
    <row r="77" spans="1:28" ht="19.5" thickBot="1" x14ac:dyDescent="0.35">
      <c r="A77" s="2914"/>
      <c r="B77" s="776">
        <v>2069</v>
      </c>
      <c r="C77" s="1135">
        <f t="shared" si="13"/>
        <v>255.09659601596528</v>
      </c>
      <c r="D77" s="1160">
        <f t="shared" si="14"/>
        <v>43.15744542674723</v>
      </c>
      <c r="E77" s="1160">
        <f t="shared" si="15"/>
        <v>-1028965.6227365993</v>
      </c>
      <c r="F77" s="1160">
        <f t="shared" si="16"/>
        <v>-815.64359547620472</v>
      </c>
      <c r="G77" s="1160">
        <f t="shared" si="17"/>
        <v>39.082393453211623</v>
      </c>
      <c r="H77" s="1062">
        <f>(0.0584*1.02)*0.3715</f>
        <v>2.2129512E-2</v>
      </c>
      <c r="I77" s="1161">
        <f>'Emission-Waste Transport Vehicl'!N83</f>
        <v>12.111842658960002</v>
      </c>
      <c r="J77" s="1161">
        <f>'Emission-Waste Transport Vehicl'!P83</f>
        <v>6.7388274597600004</v>
      </c>
      <c r="K77" s="1161">
        <f>'Emission-Waste Transport Vehicl'!Q83</f>
        <v>5.2335628963200005</v>
      </c>
      <c r="L77" s="1161">
        <f>'Emission-Waste Transport Vehicl'!R83</f>
        <v>0.52089536664000002</v>
      </c>
      <c r="M77" s="1162">
        <f t="shared" si="8"/>
        <v>5.6451631826944562</v>
      </c>
      <c r="N77" s="1163">
        <f t="shared" si="9"/>
        <v>522.71618857141539</v>
      </c>
      <c r="O77" s="1163">
        <f t="shared" si="10"/>
        <v>-6934021.7936464446</v>
      </c>
      <c r="P77" s="1163">
        <f t="shared" si="11"/>
        <v>-4268.7220579053046</v>
      </c>
      <c r="Q77" s="1163">
        <f t="shared" si="12"/>
        <v>20.357837666979403</v>
      </c>
      <c r="R77" s="2774"/>
      <c r="S77" s="396"/>
      <c r="T77" s="3"/>
      <c r="U77" s="3"/>
      <c r="V77" s="618"/>
      <c r="W77" s="3"/>
      <c r="X77" s="3"/>
      <c r="Y77" s="3"/>
      <c r="Z77" s="618"/>
      <c r="AA77" s="3"/>
      <c r="AB77" s="3"/>
    </row>
    <row r="78" spans="1:28" ht="18.75" x14ac:dyDescent="0.3">
      <c r="A78" s="2903" t="s">
        <v>1077</v>
      </c>
      <c r="B78" s="888">
        <v>2019</v>
      </c>
      <c r="C78" s="1153">
        <f t="shared" ref="C78:C109" si="18">$S$8</f>
        <v>98.288177448651609</v>
      </c>
      <c r="D78" s="1153">
        <f t="shared" ref="D78:D109" si="19">$T$8</f>
        <v>323.14143730779034</v>
      </c>
      <c r="E78" s="1153">
        <f t="shared" ref="E78:E109" si="20">$R$8</f>
        <v>790.10736695915375</v>
      </c>
      <c r="F78" s="1153">
        <f t="shared" ref="F78:F109" si="21">$V$8</f>
        <v>-270.70460073694801</v>
      </c>
      <c r="G78" s="1153">
        <f t="shared" ref="G78:G109" si="22">$U$8</f>
        <v>91.023128688850591</v>
      </c>
      <c r="H78" s="1056">
        <f>0.0584*1.02</f>
        <v>5.9568000000000003E-2</v>
      </c>
      <c r="I78" s="1154">
        <f>'Emission-Waste Transport Vehicl'!N33</f>
        <v>32.602537440000006</v>
      </c>
      <c r="J78" s="1154">
        <f>'Emission-Waste Transport Vehicl'!P33</f>
        <v>18.139508640000003</v>
      </c>
      <c r="K78" s="1154">
        <f>'Emission-Waste Transport Vehicl'!Q33</f>
        <v>14.087652480000001</v>
      </c>
      <c r="L78" s="1154">
        <f>'Emission-Waste Transport Vehicl'!R33</f>
        <v>1.4021409600000001</v>
      </c>
      <c r="M78" s="1155">
        <f t="shared" si="8"/>
        <v>5.8548301542612791</v>
      </c>
      <c r="N78" s="1155">
        <f t="shared" si="9"/>
        <v>10535.23080824265</v>
      </c>
      <c r="O78" s="1155">
        <f t="shared" si="10"/>
        <v>14332.159409483222</v>
      </c>
      <c r="P78" s="1155">
        <f t="shared" si="11"/>
        <v>-3813.5923399192757</v>
      </c>
      <c r="Q78" s="1155">
        <f t="shared" si="12"/>
        <v>127.62725704198851</v>
      </c>
      <c r="R78" s="2772">
        <f>(SUM(M78:M128))+(SUM(N78:N128))+(SUM(O78:O128))+(SUM(P78:P128))+(SUM(Q78:Q128))</f>
        <v>686558.86208911496</v>
      </c>
      <c r="S78" s="396"/>
      <c r="T78" s="3"/>
      <c r="U78" s="3"/>
      <c r="V78" s="618"/>
      <c r="W78" s="3"/>
      <c r="X78" s="3"/>
      <c r="Y78" s="3"/>
      <c r="Z78" s="618"/>
      <c r="AA78" s="3"/>
      <c r="AB78" s="3"/>
    </row>
    <row r="79" spans="1:28" ht="18.75" x14ac:dyDescent="0.3">
      <c r="A79" s="2862"/>
      <c r="B79" s="706">
        <v>2020</v>
      </c>
      <c r="C79" s="1164">
        <f t="shared" si="18"/>
        <v>98.288177448651609</v>
      </c>
      <c r="D79" s="1164">
        <f t="shared" si="19"/>
        <v>323.14143730779034</v>
      </c>
      <c r="E79" s="1164">
        <f t="shared" si="20"/>
        <v>790.10736695915375</v>
      </c>
      <c r="F79" s="1164">
        <f t="shared" si="21"/>
        <v>-270.70460073694801</v>
      </c>
      <c r="G79" s="1164">
        <f t="shared" si="22"/>
        <v>91.023128688850591</v>
      </c>
      <c r="H79" s="827">
        <f>(0.0584*1.02)*0.9804</f>
        <v>5.8400467200000007E-2</v>
      </c>
      <c r="I79" s="1157">
        <f>'Emission-Waste Transport Vehicl'!N34</f>
        <v>31.963527706176006</v>
      </c>
      <c r="J79" s="1157">
        <f>'Emission-Waste Transport Vehicl'!P34</f>
        <v>17.783974270656003</v>
      </c>
      <c r="K79" s="1157">
        <f>'Emission-Waste Transport Vehicl'!Q34</f>
        <v>13.811534491392001</v>
      </c>
      <c r="L79" s="1157">
        <f>'Emission-Waste Transport Vehicl'!R34</f>
        <v>1.3746589971840002</v>
      </c>
      <c r="M79" s="1158">
        <f t="shared" si="8"/>
        <v>5.7400754832377583</v>
      </c>
      <c r="N79" s="1159">
        <f t="shared" si="9"/>
        <v>10328.740284401094</v>
      </c>
      <c r="O79" s="1159">
        <f t="shared" si="10"/>
        <v>14051.249085057352</v>
      </c>
      <c r="P79" s="1159">
        <f t="shared" si="11"/>
        <v>-3738.8459300568579</v>
      </c>
      <c r="Q79" s="1159">
        <f t="shared" si="12"/>
        <v>125.12576280396556</v>
      </c>
      <c r="R79" s="2773"/>
      <c r="S79" s="396"/>
      <c r="T79" s="3"/>
      <c r="U79" s="3"/>
      <c r="V79" s="618"/>
      <c r="W79" s="3"/>
      <c r="X79" s="3"/>
      <c r="Y79" s="3"/>
      <c r="Z79" s="618"/>
      <c r="AA79" s="3"/>
      <c r="AB79" s="3"/>
    </row>
    <row r="80" spans="1:28" ht="18.75" x14ac:dyDescent="0.3">
      <c r="A80" s="2862"/>
      <c r="B80" s="706">
        <v>2021</v>
      </c>
      <c r="C80" s="1164">
        <f t="shared" si="18"/>
        <v>98.288177448651609</v>
      </c>
      <c r="D80" s="1164">
        <f t="shared" si="19"/>
        <v>323.14143730779034</v>
      </c>
      <c r="E80" s="1164">
        <f t="shared" si="20"/>
        <v>790.10736695915375</v>
      </c>
      <c r="F80" s="1164">
        <f t="shared" si="21"/>
        <v>-270.70460073694801</v>
      </c>
      <c r="G80" s="1164">
        <f t="shared" si="22"/>
        <v>91.023128688850591</v>
      </c>
      <c r="H80" s="827">
        <f>(0.0584*1.02)*0.9612</f>
        <v>5.7256761600000004E-2</v>
      </c>
      <c r="I80" s="1157">
        <f>'Emission-Waste Transport Vehicl'!N35</f>
        <v>31.337558987328006</v>
      </c>
      <c r="J80" s="1157">
        <f>'Emission-Waste Transport Vehicl'!P35</f>
        <v>17.435695704768001</v>
      </c>
      <c r="K80" s="1157">
        <f>'Emission-Waste Transport Vehicl'!Q35</f>
        <v>13.541051563776001</v>
      </c>
      <c r="L80" s="1157">
        <f>'Emission-Waste Transport Vehicl'!R35</f>
        <v>1.3477378907520003</v>
      </c>
      <c r="M80" s="1158">
        <f t="shared" si="8"/>
        <v>5.6276627442759422</v>
      </c>
      <c r="N80" s="1159">
        <f t="shared" si="9"/>
        <v>10126.463852882835</v>
      </c>
      <c r="O80" s="1159">
        <f t="shared" si="10"/>
        <v>13776.071624395272</v>
      </c>
      <c r="P80" s="1159">
        <f t="shared" si="11"/>
        <v>-3665.6249571304079</v>
      </c>
      <c r="Q80" s="1159">
        <f t="shared" si="12"/>
        <v>122.67531946875938</v>
      </c>
      <c r="R80" s="2773"/>
      <c r="S80" s="396"/>
      <c r="T80" s="3"/>
      <c r="U80" s="3"/>
      <c r="V80" s="618"/>
      <c r="W80" s="3"/>
      <c r="X80" s="3"/>
      <c r="Y80" s="3"/>
      <c r="Z80" s="618"/>
      <c r="AA80" s="3"/>
      <c r="AB80" s="3"/>
    </row>
    <row r="81" spans="1:28" ht="18.75" x14ac:dyDescent="0.3">
      <c r="A81" s="2862"/>
      <c r="B81" s="706">
        <v>2022</v>
      </c>
      <c r="C81" s="1164">
        <f t="shared" si="18"/>
        <v>98.288177448651609</v>
      </c>
      <c r="D81" s="1164">
        <f t="shared" si="19"/>
        <v>323.14143730779034</v>
      </c>
      <c r="E81" s="1164">
        <f t="shared" si="20"/>
        <v>790.10736695915375</v>
      </c>
      <c r="F81" s="1164">
        <f t="shared" si="21"/>
        <v>-270.70460073694801</v>
      </c>
      <c r="G81" s="1164">
        <f t="shared" si="22"/>
        <v>91.023128688850591</v>
      </c>
      <c r="H81" s="827">
        <f>(0.0584*1.02)*0.9423</f>
        <v>5.6130926400000003E-2</v>
      </c>
      <c r="I81" s="1157">
        <f>'Emission-Waste Transport Vehicl'!N36</f>
        <v>30.721371029712003</v>
      </c>
      <c r="J81" s="1157">
        <f>'Emission-Waste Transport Vehicl'!P36</f>
        <v>17.092858991472003</v>
      </c>
      <c r="K81" s="1157">
        <f>'Emission-Waste Transport Vehicl'!Q36</f>
        <v>13.274794931903999</v>
      </c>
      <c r="L81" s="1157">
        <f>'Emission-Waste Transport Vehicl'!R36</f>
        <v>1.3212374266080003</v>
      </c>
      <c r="M81" s="1158">
        <f t="shared" si="8"/>
        <v>5.5170064543604038</v>
      </c>
      <c r="N81" s="1159">
        <f t="shared" si="9"/>
        <v>9927.3479906070479</v>
      </c>
      <c r="O81" s="1159">
        <f t="shared" si="10"/>
        <v>13505.193811556041</v>
      </c>
      <c r="P81" s="1159">
        <f t="shared" si="11"/>
        <v>-3593.5480619059331</v>
      </c>
      <c r="Q81" s="1159">
        <f t="shared" si="12"/>
        <v>120.2631643106658</v>
      </c>
      <c r="R81" s="2773"/>
      <c r="S81" s="396"/>
      <c r="T81" s="3"/>
      <c r="U81" s="3"/>
      <c r="V81" s="618"/>
      <c r="W81" s="3"/>
      <c r="X81" s="3"/>
      <c r="Y81" s="3"/>
      <c r="Z81" s="618"/>
      <c r="AA81" s="3"/>
      <c r="AB81" s="3"/>
    </row>
    <row r="82" spans="1:28" ht="18.75" x14ac:dyDescent="0.3">
      <c r="A82" s="2862"/>
      <c r="B82" s="706">
        <v>2023</v>
      </c>
      <c r="C82" s="1164">
        <f t="shared" si="18"/>
        <v>98.288177448651609</v>
      </c>
      <c r="D82" s="1164">
        <f t="shared" si="19"/>
        <v>323.14143730779034</v>
      </c>
      <c r="E82" s="1164">
        <f t="shared" si="20"/>
        <v>790.10736695915375</v>
      </c>
      <c r="F82" s="1164">
        <f t="shared" si="21"/>
        <v>-270.70460073694801</v>
      </c>
      <c r="G82" s="1164">
        <f t="shared" si="22"/>
        <v>91.023128688850591</v>
      </c>
      <c r="H82" s="827">
        <f>(0.0584*1.02)*0.9238</f>
        <v>5.5028918400000001E-2</v>
      </c>
      <c r="I82" s="1157">
        <f>'Emission-Waste Transport Vehicl'!N37</f>
        <v>30.118224087072001</v>
      </c>
      <c r="J82" s="1157">
        <f>'Emission-Waste Transport Vehicl'!P37</f>
        <v>16.757278081632002</v>
      </c>
      <c r="K82" s="1157">
        <f>'Emission-Waste Transport Vehicl'!Q37</f>
        <v>13.014173361024</v>
      </c>
      <c r="L82" s="1157">
        <f>'Emission-Waste Transport Vehicl'!R37</f>
        <v>1.295297818848</v>
      </c>
      <c r="M82" s="1158">
        <f t="shared" si="8"/>
        <v>5.4086920965065701</v>
      </c>
      <c r="N82" s="1159">
        <f t="shared" si="9"/>
        <v>9732.4462206545577</v>
      </c>
      <c r="O82" s="1159">
        <f t="shared" si="10"/>
        <v>13240.0488624806</v>
      </c>
      <c r="P82" s="1159">
        <f t="shared" si="11"/>
        <v>-3522.9966036174264</v>
      </c>
      <c r="Q82" s="1159">
        <f t="shared" si="12"/>
        <v>117.90206005538899</v>
      </c>
      <c r="R82" s="2773"/>
      <c r="S82" s="396"/>
      <c r="T82" s="3"/>
      <c r="U82" s="3"/>
      <c r="V82" s="618"/>
      <c r="W82" s="3"/>
      <c r="X82" s="3"/>
      <c r="Y82" s="3"/>
      <c r="Z82" s="618"/>
      <c r="AA82" s="3"/>
      <c r="AB82" s="3"/>
    </row>
    <row r="83" spans="1:28" ht="18.75" x14ac:dyDescent="0.3">
      <c r="A83" s="2862"/>
      <c r="B83" s="706">
        <v>2024</v>
      </c>
      <c r="C83" s="1164">
        <f t="shared" si="18"/>
        <v>98.288177448651609</v>
      </c>
      <c r="D83" s="1164">
        <f t="shared" si="19"/>
        <v>323.14143730779034</v>
      </c>
      <c r="E83" s="1164">
        <f t="shared" si="20"/>
        <v>790.10736695915375</v>
      </c>
      <c r="F83" s="1164">
        <f t="shared" si="21"/>
        <v>-270.70460073694801</v>
      </c>
      <c r="G83" s="1164">
        <f t="shared" si="22"/>
        <v>91.023128688850591</v>
      </c>
      <c r="H83" s="827">
        <f>(0.0584*1.02)*0.9057</f>
        <v>5.39507376E-2</v>
      </c>
      <c r="I83" s="1157">
        <f>'Emission-Waste Transport Vehicl'!N38</f>
        <v>29.528118159408002</v>
      </c>
      <c r="J83" s="1157">
        <f>'Emission-Waste Transport Vehicl'!P38</f>
        <v>16.428952975248002</v>
      </c>
      <c r="K83" s="1157">
        <f>'Emission-Waste Transport Vehicl'!Q38</f>
        <v>12.759186851135999</v>
      </c>
      <c r="L83" s="1157">
        <f>'Emission-Waste Transport Vehicl'!R38</f>
        <v>1.269919067472</v>
      </c>
      <c r="M83" s="1158">
        <f t="shared" si="8"/>
        <v>5.3027196707144402</v>
      </c>
      <c r="N83" s="1159">
        <f t="shared" si="9"/>
        <v>9541.7585430253657</v>
      </c>
      <c r="O83" s="1159">
        <f t="shared" si="10"/>
        <v>12980.636777168955</v>
      </c>
      <c r="P83" s="1159">
        <f t="shared" si="11"/>
        <v>-3453.9705822648875</v>
      </c>
      <c r="Q83" s="1159">
        <f t="shared" si="12"/>
        <v>115.592006702929</v>
      </c>
      <c r="R83" s="2773"/>
      <c r="S83" s="396"/>
      <c r="T83" s="3"/>
      <c r="U83" s="3"/>
      <c r="V83" s="618"/>
      <c r="W83" s="3"/>
      <c r="X83" s="3"/>
      <c r="Y83" s="3"/>
      <c r="Z83" s="618"/>
      <c r="AA83" s="3"/>
      <c r="AB83" s="3"/>
    </row>
    <row r="84" spans="1:28" ht="18.75" x14ac:dyDescent="0.3">
      <c r="A84" s="2862"/>
      <c r="B84" s="706">
        <v>2025</v>
      </c>
      <c r="C84" s="1164">
        <f t="shared" si="18"/>
        <v>98.288177448651609</v>
      </c>
      <c r="D84" s="1164">
        <f t="shared" si="19"/>
        <v>323.14143730779034</v>
      </c>
      <c r="E84" s="1164">
        <f t="shared" si="20"/>
        <v>790.10736695915375</v>
      </c>
      <c r="F84" s="1164">
        <f t="shared" si="21"/>
        <v>-270.70460073694801</v>
      </c>
      <c r="G84" s="1164">
        <f t="shared" si="22"/>
        <v>91.023128688850591</v>
      </c>
      <c r="H84" s="827">
        <f>(0.0584*1.02)*0.888</f>
        <v>5.2896384000000005E-2</v>
      </c>
      <c r="I84" s="1157">
        <f>'Emission-Waste Transport Vehicl'!N39</f>
        <v>28.951053246720004</v>
      </c>
      <c r="J84" s="1157">
        <f>'Emission-Waste Transport Vehicl'!P39</f>
        <v>16.10788367232</v>
      </c>
      <c r="K84" s="1157">
        <f>'Emission-Waste Transport Vehicl'!Q39</f>
        <v>12.50983540224</v>
      </c>
      <c r="L84" s="1157">
        <f>'Emission-Waste Transport Vehicl'!R39</f>
        <v>1.2451011724800001</v>
      </c>
      <c r="M84" s="1158">
        <f t="shared" si="8"/>
        <v>5.1990891769840166</v>
      </c>
      <c r="N84" s="1159">
        <f t="shared" si="9"/>
        <v>9355.284957719472</v>
      </c>
      <c r="O84" s="1159">
        <f t="shared" si="10"/>
        <v>12726.957555621098</v>
      </c>
      <c r="P84" s="1159">
        <f t="shared" si="11"/>
        <v>-3386.4699978483168</v>
      </c>
      <c r="Q84" s="1159">
        <f t="shared" si="12"/>
        <v>113.33300425328581</v>
      </c>
      <c r="R84" s="2773"/>
      <c r="S84" s="396"/>
      <c r="T84" s="3"/>
      <c r="U84" s="3"/>
      <c r="V84" s="618"/>
      <c r="W84" s="3"/>
      <c r="X84" s="3"/>
      <c r="Y84" s="3"/>
      <c r="Z84" s="618"/>
      <c r="AA84" s="3"/>
      <c r="AB84" s="3"/>
    </row>
    <row r="85" spans="1:28" ht="18.75" x14ac:dyDescent="0.3">
      <c r="A85" s="2862"/>
      <c r="B85" s="706">
        <v>2026</v>
      </c>
      <c r="C85" s="1164">
        <f t="shared" si="18"/>
        <v>98.288177448651609</v>
      </c>
      <c r="D85" s="1164">
        <f t="shared" si="19"/>
        <v>323.14143730779034</v>
      </c>
      <c r="E85" s="1164">
        <f t="shared" si="20"/>
        <v>790.10736695915375</v>
      </c>
      <c r="F85" s="1164">
        <f t="shared" si="21"/>
        <v>-270.70460073694801</v>
      </c>
      <c r="G85" s="1164">
        <f t="shared" si="22"/>
        <v>91.023128688850591</v>
      </c>
      <c r="H85" s="827">
        <f>(0.0584*1.02)*0.8706</f>
        <v>5.1859900800000004E-2</v>
      </c>
      <c r="I85" s="1157">
        <f>'Emission-Waste Transport Vehicl'!N40</f>
        <v>28.383769095264007</v>
      </c>
      <c r="J85" s="1157">
        <f>'Emission-Waste Transport Vehicl'!P40</f>
        <v>15.792256221984003</v>
      </c>
      <c r="K85" s="1157">
        <f>'Emission-Waste Transport Vehicl'!Q40</f>
        <v>12.264710249088001</v>
      </c>
      <c r="L85" s="1157">
        <f>'Emission-Waste Transport Vehicl'!R40</f>
        <v>1.2207039197760001</v>
      </c>
      <c r="M85" s="1158">
        <f t="shared" si="8"/>
        <v>5.09721513229987</v>
      </c>
      <c r="N85" s="1159">
        <f t="shared" si="9"/>
        <v>9171.9719416560511</v>
      </c>
      <c r="O85" s="1159">
        <f t="shared" si="10"/>
        <v>12477.577981896093</v>
      </c>
      <c r="P85" s="1159">
        <f t="shared" si="11"/>
        <v>-3320.1134911337213</v>
      </c>
      <c r="Q85" s="1159">
        <f t="shared" si="12"/>
        <v>111.11228998075521</v>
      </c>
      <c r="R85" s="2773"/>
      <c r="S85" s="396"/>
      <c r="T85" s="3"/>
      <c r="U85" s="3"/>
      <c r="V85" s="618"/>
      <c r="W85" s="3"/>
      <c r="X85" s="3"/>
      <c r="Y85" s="3"/>
      <c r="Z85" s="618"/>
      <c r="AA85" s="3"/>
      <c r="AB85" s="3"/>
    </row>
    <row r="86" spans="1:28" ht="18.75" x14ac:dyDescent="0.3">
      <c r="A86" s="2862"/>
      <c r="B86" s="706">
        <v>2027</v>
      </c>
      <c r="C86" s="1164">
        <f t="shared" si="18"/>
        <v>98.288177448651609</v>
      </c>
      <c r="D86" s="1164">
        <f t="shared" si="19"/>
        <v>323.14143730779034</v>
      </c>
      <c r="E86" s="1164">
        <f t="shared" si="20"/>
        <v>790.10736695915375</v>
      </c>
      <c r="F86" s="1164">
        <f t="shared" si="21"/>
        <v>-270.70460073694801</v>
      </c>
      <c r="G86" s="1164">
        <f t="shared" si="22"/>
        <v>91.023128688850591</v>
      </c>
      <c r="H86" s="827">
        <f>(0.0584*1.02)*0.8535</f>
        <v>5.0841288000000005E-2</v>
      </c>
      <c r="I86" s="1157">
        <f>'Emission-Waste Transport Vehicl'!N41</f>
        <v>27.826265705040004</v>
      </c>
      <c r="J86" s="1157">
        <f>'Emission-Waste Transport Vehicl'!P41</f>
        <v>15.482070624240002</v>
      </c>
      <c r="K86" s="1157">
        <f>'Emission-Waste Transport Vehicl'!Q41</f>
        <v>12.023811391680001</v>
      </c>
      <c r="L86" s="1157">
        <f>'Emission-Waste Transport Vehicl'!R41</f>
        <v>1.1967273093600002</v>
      </c>
      <c r="M86" s="1158">
        <f t="shared" si="8"/>
        <v>4.9970975366620021</v>
      </c>
      <c r="N86" s="1159">
        <f t="shared" si="9"/>
        <v>8991.8194948351011</v>
      </c>
      <c r="O86" s="1159">
        <f t="shared" si="10"/>
        <v>12232.49805599393</v>
      </c>
      <c r="P86" s="1159">
        <f t="shared" si="11"/>
        <v>-3254.9010621211019</v>
      </c>
      <c r="Q86" s="1159">
        <f t="shared" si="12"/>
        <v>108.92986388533721</v>
      </c>
      <c r="R86" s="2773"/>
      <c r="S86" s="396"/>
      <c r="T86" s="3"/>
      <c r="U86" s="3"/>
      <c r="V86" s="618"/>
      <c r="W86" s="3"/>
      <c r="X86" s="3"/>
      <c r="Y86" s="3"/>
      <c r="Z86" s="618"/>
      <c r="AA86" s="3"/>
      <c r="AB86" s="3"/>
    </row>
    <row r="87" spans="1:28" ht="18.75" x14ac:dyDescent="0.3">
      <c r="A87" s="2862"/>
      <c r="B87" s="706">
        <v>2028</v>
      </c>
      <c r="C87" s="1164">
        <f t="shared" si="18"/>
        <v>98.288177448651609</v>
      </c>
      <c r="D87" s="1164">
        <f t="shared" si="19"/>
        <v>323.14143730779034</v>
      </c>
      <c r="E87" s="1164">
        <f t="shared" si="20"/>
        <v>790.10736695915375</v>
      </c>
      <c r="F87" s="1164">
        <f t="shared" si="21"/>
        <v>-270.70460073694801</v>
      </c>
      <c r="G87" s="1164">
        <f t="shared" si="22"/>
        <v>91.023128688850591</v>
      </c>
      <c r="H87" s="827">
        <f>(0.0584*1.02)*0.8368</f>
        <v>4.9846502399999999E-2</v>
      </c>
      <c r="I87" s="1157">
        <f>'Emission-Waste Transport Vehicl'!N42</f>
        <v>27.281803329792002</v>
      </c>
      <c r="J87" s="1157">
        <f>'Emission-Waste Transport Vehicl'!P42</f>
        <v>15.179140829952001</v>
      </c>
      <c r="K87" s="1157">
        <f>'Emission-Waste Transport Vehicl'!Q42</f>
        <v>11.788547595263999</v>
      </c>
      <c r="L87" s="1157">
        <f>'Emission-Waste Transport Vehicl'!R42</f>
        <v>1.173311555328</v>
      </c>
      <c r="M87" s="1158">
        <f t="shared" si="8"/>
        <v>4.8993218730858379</v>
      </c>
      <c r="N87" s="1159">
        <f t="shared" si="9"/>
        <v>8815.8811403374475</v>
      </c>
      <c r="O87" s="1159">
        <f t="shared" si="10"/>
        <v>11993.150993855559</v>
      </c>
      <c r="P87" s="1159">
        <f t="shared" si="11"/>
        <v>-3191.2140700444497</v>
      </c>
      <c r="Q87" s="1159">
        <f t="shared" si="12"/>
        <v>106.79848869273599</v>
      </c>
      <c r="R87" s="2773"/>
      <c r="S87" s="396"/>
      <c r="T87" s="3"/>
      <c r="U87" s="3"/>
      <c r="V87" s="618"/>
      <c r="W87" s="3"/>
      <c r="X87" s="3"/>
      <c r="Y87" s="3"/>
      <c r="Z87" s="618"/>
      <c r="AA87" s="3"/>
      <c r="AB87" s="3"/>
    </row>
    <row r="88" spans="1:28" ht="18.75" x14ac:dyDescent="0.3">
      <c r="A88" s="2862"/>
      <c r="B88" s="706">
        <v>2029</v>
      </c>
      <c r="C88" s="1164">
        <f t="shared" si="18"/>
        <v>98.288177448651609</v>
      </c>
      <c r="D88" s="1164">
        <f t="shared" si="19"/>
        <v>323.14143730779034</v>
      </c>
      <c r="E88" s="1164">
        <f t="shared" si="20"/>
        <v>790.10736695915375</v>
      </c>
      <c r="F88" s="1164">
        <f t="shared" si="21"/>
        <v>-270.70460073694801</v>
      </c>
      <c r="G88" s="1164">
        <f t="shared" si="22"/>
        <v>91.023128688850591</v>
      </c>
      <c r="H88" s="827">
        <f>(0.0584*1.02)*0.8203</f>
        <v>4.8863630400000004E-2</v>
      </c>
      <c r="I88" s="1157">
        <f>'Emission-Waste Transport Vehicl'!N43</f>
        <v>26.743861462032005</v>
      </c>
      <c r="J88" s="1157">
        <f>'Emission-Waste Transport Vehicl'!P43</f>
        <v>14.879838937392002</v>
      </c>
      <c r="K88" s="1157">
        <f>'Emission-Waste Transport Vehicl'!Q43</f>
        <v>11.556101329344001</v>
      </c>
      <c r="L88" s="1157">
        <f>'Emission-Waste Transport Vehicl'!R43</f>
        <v>1.1501762294880002</v>
      </c>
      <c r="M88" s="1158">
        <f t="shared" si="8"/>
        <v>4.8027171755405274</v>
      </c>
      <c r="N88" s="1159">
        <f t="shared" si="9"/>
        <v>8642.0498320014449</v>
      </c>
      <c r="O88" s="1159">
        <f t="shared" si="10"/>
        <v>11756.670363599087</v>
      </c>
      <c r="P88" s="1159">
        <f t="shared" si="11"/>
        <v>-3128.2897964357817</v>
      </c>
      <c r="Q88" s="1159">
        <f t="shared" si="12"/>
        <v>104.6926389515432</v>
      </c>
      <c r="R88" s="2773"/>
      <c r="S88" s="396"/>
      <c r="T88" s="3"/>
      <c r="U88" s="3"/>
      <c r="V88" s="618"/>
      <c r="W88" s="3"/>
      <c r="X88" s="3"/>
      <c r="Y88" s="3"/>
      <c r="Z88" s="618"/>
      <c r="AA88" s="3"/>
      <c r="AB88" s="3"/>
    </row>
    <row r="89" spans="1:28" ht="18.75" x14ac:dyDescent="0.3">
      <c r="A89" s="2862"/>
      <c r="B89" s="706">
        <v>2030</v>
      </c>
      <c r="C89" s="1164">
        <f t="shared" si="18"/>
        <v>98.288177448651609</v>
      </c>
      <c r="D89" s="1164">
        <f t="shared" si="19"/>
        <v>323.14143730779034</v>
      </c>
      <c r="E89" s="1164">
        <f t="shared" si="20"/>
        <v>790.10736695915375</v>
      </c>
      <c r="F89" s="1164">
        <f t="shared" si="21"/>
        <v>-270.70460073694801</v>
      </c>
      <c r="G89" s="1164">
        <f t="shared" si="22"/>
        <v>91.023128688850591</v>
      </c>
      <c r="H89" s="827">
        <f>(0.0584*1.02)*0.8043</f>
        <v>4.7910542400000006E-2</v>
      </c>
      <c r="I89" s="1157">
        <f>'Emission-Waste Transport Vehicl'!N44</f>
        <v>26.222220862992003</v>
      </c>
      <c r="J89" s="1157">
        <f>'Emission-Waste Transport Vehicl'!P44</f>
        <v>14.589606799152003</v>
      </c>
      <c r="K89" s="1157">
        <f>'Emission-Waste Transport Vehicl'!Q44</f>
        <v>11.330698889664001</v>
      </c>
      <c r="L89" s="1157">
        <f>'Emission-Waste Transport Vehicl'!R44</f>
        <v>1.1277419741280001</v>
      </c>
      <c r="M89" s="1158">
        <f t="shared" si="8"/>
        <v>4.7090398930723474</v>
      </c>
      <c r="N89" s="1159">
        <f t="shared" si="9"/>
        <v>8473.4861390695623</v>
      </c>
      <c r="O89" s="1159">
        <f t="shared" si="10"/>
        <v>11527.355813047356</v>
      </c>
      <c r="P89" s="1159">
        <f t="shared" si="11"/>
        <v>-3067.2723189970734</v>
      </c>
      <c r="Q89" s="1159">
        <f t="shared" si="12"/>
        <v>102.65060283887136</v>
      </c>
      <c r="R89" s="2773"/>
      <c r="S89" s="396"/>
      <c r="T89" s="3"/>
      <c r="U89" s="3"/>
      <c r="V89" s="618"/>
      <c r="W89" s="3"/>
      <c r="X89" s="3"/>
      <c r="Y89" s="3"/>
      <c r="Z89" s="618"/>
      <c r="AA89" s="3"/>
      <c r="AB89" s="3"/>
    </row>
    <row r="90" spans="1:28" ht="18.75" x14ac:dyDescent="0.3">
      <c r="A90" s="2862"/>
      <c r="B90" s="706">
        <v>2031</v>
      </c>
      <c r="C90" s="1164">
        <f t="shared" si="18"/>
        <v>98.288177448651609</v>
      </c>
      <c r="D90" s="1164">
        <f t="shared" si="19"/>
        <v>323.14143730779034</v>
      </c>
      <c r="E90" s="1164">
        <f t="shared" si="20"/>
        <v>790.10736695915375</v>
      </c>
      <c r="F90" s="1164">
        <f t="shared" si="21"/>
        <v>-270.70460073694801</v>
      </c>
      <c r="G90" s="1164">
        <f t="shared" si="22"/>
        <v>91.023128688850591</v>
      </c>
      <c r="H90" s="827">
        <f>(0.0584*1.02)*0.7885</f>
        <v>4.6969368000000004E-2</v>
      </c>
      <c r="I90" s="1157">
        <f>'Emission-Waste Transport Vehicl'!N45</f>
        <v>25.70710077144</v>
      </c>
      <c r="J90" s="1157">
        <f>'Emission-Waste Transport Vehicl'!P45</f>
        <v>14.303002562640001</v>
      </c>
      <c r="K90" s="1157">
        <f>'Emission-Waste Transport Vehicl'!Q45</f>
        <v>11.108113980480001</v>
      </c>
      <c r="L90" s="1157">
        <f>'Emission-Waste Transport Vehicl'!R45</f>
        <v>1.1055881469600002</v>
      </c>
      <c r="M90" s="1158">
        <f t="shared" si="8"/>
        <v>4.6165335766350193</v>
      </c>
      <c r="N90" s="1159">
        <f t="shared" si="9"/>
        <v>8307.0294922993271</v>
      </c>
      <c r="O90" s="1159">
        <f t="shared" si="10"/>
        <v>11300.90769437752</v>
      </c>
      <c r="P90" s="1159">
        <f t="shared" si="11"/>
        <v>-3007.0175600263487</v>
      </c>
      <c r="Q90" s="1159">
        <f t="shared" si="12"/>
        <v>100.63409217760795</v>
      </c>
      <c r="R90" s="2773"/>
      <c r="S90" s="396"/>
      <c r="T90" s="3"/>
      <c r="U90" s="3"/>
      <c r="V90" s="618"/>
      <c r="W90" s="3"/>
      <c r="X90" s="3"/>
      <c r="Y90" s="3"/>
      <c r="Z90" s="618"/>
      <c r="AA90" s="3"/>
      <c r="AB90" s="3"/>
    </row>
    <row r="91" spans="1:28" ht="18.75" x14ac:dyDescent="0.3">
      <c r="A91" s="2862"/>
      <c r="B91" s="706">
        <v>2032</v>
      </c>
      <c r="C91" s="1164">
        <f t="shared" si="18"/>
        <v>98.288177448651609</v>
      </c>
      <c r="D91" s="1164">
        <f t="shared" si="19"/>
        <v>323.14143730779034</v>
      </c>
      <c r="E91" s="1164">
        <f t="shared" si="20"/>
        <v>790.10736695915375</v>
      </c>
      <c r="F91" s="1164">
        <f t="shared" si="21"/>
        <v>-270.70460073694801</v>
      </c>
      <c r="G91" s="1164">
        <f t="shared" si="22"/>
        <v>91.023128688850591</v>
      </c>
      <c r="H91" s="827">
        <f>(0.0584*1.02)*0.773</f>
        <v>4.6046064000000005E-2</v>
      </c>
      <c r="I91" s="1157">
        <f>'Emission-Waste Transport Vehicl'!N46</f>
        <v>25.201761441120002</v>
      </c>
      <c r="J91" s="1157">
        <f>'Emission-Waste Transport Vehicl'!P46</f>
        <v>14.021840178720002</v>
      </c>
      <c r="K91" s="1157">
        <f>'Emission-Waste Transport Vehicl'!Q46</f>
        <v>10.889755367040001</v>
      </c>
      <c r="L91" s="1157">
        <f>'Emission-Waste Transport Vehicl'!R46</f>
        <v>1.0838549620800002</v>
      </c>
      <c r="M91" s="1158">
        <f t="shared" si="8"/>
        <v>4.525783709243969</v>
      </c>
      <c r="N91" s="1159">
        <f t="shared" si="9"/>
        <v>8143.7334147715674</v>
      </c>
      <c r="O91" s="1159">
        <f t="shared" si="10"/>
        <v>11078.759223530531</v>
      </c>
      <c r="P91" s="1159">
        <f t="shared" si="11"/>
        <v>-2947.9068787576002</v>
      </c>
      <c r="Q91" s="1159">
        <f t="shared" si="12"/>
        <v>98.655869693457134</v>
      </c>
      <c r="R91" s="2773"/>
      <c r="S91" s="396"/>
      <c r="T91" s="3"/>
      <c r="U91" s="3"/>
      <c r="V91" s="618"/>
      <c r="W91" s="3"/>
      <c r="X91" s="3"/>
      <c r="Y91" s="3"/>
      <c r="Z91" s="618"/>
      <c r="AA91" s="3"/>
      <c r="AB91" s="3"/>
    </row>
    <row r="92" spans="1:28" ht="18.75" x14ac:dyDescent="0.3">
      <c r="A92" s="2862"/>
      <c r="B92" s="706">
        <v>2033</v>
      </c>
      <c r="C92" s="1164">
        <f t="shared" si="18"/>
        <v>98.288177448651609</v>
      </c>
      <c r="D92" s="1164">
        <f t="shared" si="19"/>
        <v>323.14143730779034</v>
      </c>
      <c r="E92" s="1164">
        <f t="shared" si="20"/>
        <v>790.10736695915375</v>
      </c>
      <c r="F92" s="1164">
        <f t="shared" si="21"/>
        <v>-270.70460073694801</v>
      </c>
      <c r="G92" s="1164">
        <f t="shared" si="22"/>
        <v>91.023128688850591</v>
      </c>
      <c r="H92" s="827">
        <f>(0.0584*1.02)*0.7579</f>
        <v>4.5146587200000005E-2</v>
      </c>
      <c r="I92" s="1157">
        <f>'Emission-Waste Transport Vehicl'!N47</f>
        <v>24.709463125776001</v>
      </c>
      <c r="J92" s="1157">
        <f>'Emission-Waste Transport Vehicl'!P47</f>
        <v>13.747933598256003</v>
      </c>
      <c r="K92" s="1157">
        <f>'Emission-Waste Transport Vehicl'!Q47</f>
        <v>10.677031814592</v>
      </c>
      <c r="L92" s="1157">
        <f>'Emission-Waste Transport Vehicl'!R47</f>
        <v>1.0626826335840001</v>
      </c>
      <c r="M92" s="1158">
        <f t="shared" ref="M92:M155" si="23">C92*H92</f>
        <v>4.4373757739146242</v>
      </c>
      <c r="N92" s="1159">
        <f t="shared" si="9"/>
        <v>7984.6514295671022</v>
      </c>
      <c r="O92" s="1159">
        <f t="shared" si="10"/>
        <v>10862.343616447335</v>
      </c>
      <c r="P92" s="1159">
        <f t="shared" si="11"/>
        <v>-2890.321634424819</v>
      </c>
      <c r="Q92" s="1159">
        <f t="shared" si="12"/>
        <v>96.728698112123098</v>
      </c>
      <c r="R92" s="2773"/>
      <c r="S92" s="396"/>
      <c r="T92" s="3"/>
      <c r="U92" s="3"/>
      <c r="V92" s="618"/>
      <c r="W92" s="3"/>
      <c r="X92" s="3"/>
      <c r="Y92" s="3"/>
      <c r="Z92" s="618"/>
      <c r="AA92" s="3"/>
      <c r="AB92" s="3"/>
    </row>
    <row r="93" spans="1:28" ht="18.75" x14ac:dyDescent="0.3">
      <c r="A93" s="2862"/>
      <c r="B93" s="706">
        <v>2034</v>
      </c>
      <c r="C93" s="1164">
        <f t="shared" si="18"/>
        <v>98.288177448651609</v>
      </c>
      <c r="D93" s="1164">
        <f t="shared" si="19"/>
        <v>323.14143730779034</v>
      </c>
      <c r="E93" s="1164">
        <f t="shared" si="20"/>
        <v>790.10736695915375</v>
      </c>
      <c r="F93" s="1164">
        <f t="shared" si="21"/>
        <v>-270.70460073694801</v>
      </c>
      <c r="G93" s="1164">
        <f t="shared" si="22"/>
        <v>91.023128688850591</v>
      </c>
      <c r="H93" s="827">
        <f>(0.0584*1.02)*0.743</f>
        <v>4.4259024000000001E-2</v>
      </c>
      <c r="I93" s="1157">
        <f>'Emission-Waste Transport Vehicl'!N48</f>
        <v>24.223685317920005</v>
      </c>
      <c r="J93" s="1157">
        <f>'Emission-Waste Transport Vehicl'!P48</f>
        <v>13.477654919520001</v>
      </c>
      <c r="K93" s="1157">
        <f>'Emission-Waste Transport Vehicl'!Q48</f>
        <v>10.467125792640001</v>
      </c>
      <c r="L93" s="1157">
        <f>'Emission-Waste Transport Vehicl'!R48</f>
        <v>1.04179073328</v>
      </c>
      <c r="M93" s="1158">
        <f t="shared" si="23"/>
        <v>4.3501388046161305</v>
      </c>
      <c r="N93" s="1159">
        <f t="shared" si="9"/>
        <v>7827.676490524289</v>
      </c>
      <c r="O93" s="1159">
        <f t="shared" si="10"/>
        <v>10648.794441246033</v>
      </c>
      <c r="P93" s="1159">
        <f t="shared" si="11"/>
        <v>-2833.4991085600218</v>
      </c>
      <c r="Q93" s="1159">
        <f t="shared" si="12"/>
        <v>94.82705198219746</v>
      </c>
      <c r="R93" s="2773"/>
      <c r="S93" s="396"/>
      <c r="T93" s="3"/>
      <c r="U93" s="3"/>
      <c r="V93" s="618"/>
      <c r="W93" s="3"/>
      <c r="X93" s="3"/>
      <c r="Y93" s="3"/>
      <c r="Z93" s="618"/>
      <c r="AA93" s="3"/>
      <c r="AB93" s="3"/>
    </row>
    <row r="94" spans="1:28" ht="18.75" x14ac:dyDescent="0.3">
      <c r="A94" s="2862"/>
      <c r="B94" s="706">
        <v>2035</v>
      </c>
      <c r="C94" s="1164">
        <f t="shared" si="18"/>
        <v>98.288177448651609</v>
      </c>
      <c r="D94" s="1164">
        <f t="shared" si="19"/>
        <v>323.14143730779034</v>
      </c>
      <c r="E94" s="1164">
        <f t="shared" si="20"/>
        <v>790.10736695915375</v>
      </c>
      <c r="F94" s="1164">
        <f t="shared" si="21"/>
        <v>-270.70460073694801</v>
      </c>
      <c r="G94" s="1164">
        <f t="shared" si="22"/>
        <v>91.023128688850591</v>
      </c>
      <c r="H94" s="827">
        <f>(0.0584*1.02)*0.7284</f>
        <v>4.3389331200000006E-2</v>
      </c>
      <c r="I94" s="1157">
        <f>'Emission-Waste Transport Vehicl'!N49</f>
        <v>23.747688271296006</v>
      </c>
      <c r="J94" s="1157">
        <f>'Emission-Waste Transport Vehicl'!P49</f>
        <v>13.212818093376002</v>
      </c>
      <c r="K94" s="1157">
        <f>'Emission-Waste Transport Vehicl'!Q49</f>
        <v>10.261446066432002</v>
      </c>
      <c r="L94" s="1157">
        <f>'Emission-Waste Transport Vehicl'!R49</f>
        <v>1.0213194752640002</v>
      </c>
      <c r="M94" s="1158">
        <f t="shared" si="23"/>
        <v>4.2646582843639163</v>
      </c>
      <c r="N94" s="1159">
        <f t="shared" ref="N94:N157" si="24">D94*I94</f>
        <v>7673.8621207239466</v>
      </c>
      <c r="O94" s="1159">
        <f t="shared" ref="O94:O157" si="25">E94*J94</f>
        <v>10439.544913867579</v>
      </c>
      <c r="P94" s="1159">
        <f t="shared" ref="P94:P157" si="26">F94*K94</f>
        <v>-2777.8206603972008</v>
      </c>
      <c r="Q94" s="1159">
        <f t="shared" ref="Q94:Q157" si="27">G94*L94</f>
        <v>92.963694029384456</v>
      </c>
      <c r="R94" s="2773"/>
      <c r="S94" s="396"/>
      <c r="T94" s="3"/>
      <c r="U94" s="3"/>
      <c r="V94" s="618"/>
      <c r="W94" s="3"/>
      <c r="X94" s="3"/>
      <c r="Y94" s="3"/>
      <c r="Z94" s="618"/>
      <c r="AA94" s="3"/>
      <c r="AB94" s="3"/>
    </row>
    <row r="95" spans="1:28" ht="18.75" x14ac:dyDescent="0.3">
      <c r="A95" s="2862"/>
      <c r="B95" s="706">
        <v>2036</v>
      </c>
      <c r="C95" s="1164">
        <f t="shared" si="18"/>
        <v>98.288177448651609</v>
      </c>
      <c r="D95" s="1164">
        <f t="shared" si="19"/>
        <v>323.14143730779034</v>
      </c>
      <c r="E95" s="1164">
        <f t="shared" si="20"/>
        <v>790.10736695915375</v>
      </c>
      <c r="F95" s="1164">
        <f t="shared" si="21"/>
        <v>-270.70460073694801</v>
      </c>
      <c r="G95" s="1164">
        <f t="shared" si="22"/>
        <v>91.023128688850591</v>
      </c>
      <c r="H95" s="827">
        <f>(0.0584*1.02)*0.7142</f>
        <v>4.2543465599999997E-2</v>
      </c>
      <c r="I95" s="1157">
        <f>'Emission-Waste Transport Vehicl'!N50</f>
        <v>23.284732239648001</v>
      </c>
      <c r="J95" s="1157">
        <f>'Emission-Waste Transport Vehicl'!P50</f>
        <v>12.955237070688</v>
      </c>
      <c r="K95" s="1157">
        <f>'Emission-Waste Transport Vehicl'!Q50</f>
        <v>10.061401401215999</v>
      </c>
      <c r="L95" s="1157">
        <f>'Emission-Waste Transport Vehicl'!R50</f>
        <v>1.001409073632</v>
      </c>
      <c r="M95" s="1158">
        <f t="shared" si="23"/>
        <v>4.1815196961734049</v>
      </c>
      <c r="N95" s="1159">
        <f t="shared" si="24"/>
        <v>7524.2618432468989</v>
      </c>
      <c r="O95" s="1159">
        <f t="shared" si="25"/>
        <v>10236.028250252915</v>
      </c>
      <c r="P95" s="1159">
        <f t="shared" si="26"/>
        <v>-2723.6676491703461</v>
      </c>
      <c r="Q95" s="1159">
        <f t="shared" si="27"/>
        <v>91.151386979388192</v>
      </c>
      <c r="R95" s="2773"/>
      <c r="S95" s="396"/>
      <c r="T95" s="3"/>
      <c r="U95" s="3"/>
      <c r="V95" s="618"/>
      <c r="W95" s="3"/>
      <c r="X95" s="3"/>
      <c r="Y95" s="3"/>
      <c r="Z95" s="618"/>
      <c r="AA95" s="3"/>
      <c r="AB95" s="3"/>
    </row>
    <row r="96" spans="1:28" ht="18.75" x14ac:dyDescent="0.3">
      <c r="A96" s="2862"/>
      <c r="B96" s="706">
        <v>2037</v>
      </c>
      <c r="C96" s="1164">
        <f t="shared" si="18"/>
        <v>98.288177448651609</v>
      </c>
      <c r="D96" s="1164">
        <f t="shared" si="19"/>
        <v>323.14143730779034</v>
      </c>
      <c r="E96" s="1164">
        <f t="shared" si="20"/>
        <v>790.10736695915375</v>
      </c>
      <c r="F96" s="1164">
        <f t="shared" si="21"/>
        <v>-270.70460073694801</v>
      </c>
      <c r="G96" s="1164">
        <f t="shared" si="22"/>
        <v>91.023128688850591</v>
      </c>
      <c r="H96" s="827">
        <f>(0.0584*1.02)*0.7002</f>
        <v>4.1709513600000005E-2</v>
      </c>
      <c r="I96" s="1157">
        <f>'Emission-Waste Transport Vehicl'!N51</f>
        <v>22.828296715488005</v>
      </c>
      <c r="J96" s="1157">
        <f>'Emission-Waste Transport Vehicl'!P51</f>
        <v>12.701283949728003</v>
      </c>
      <c r="K96" s="1157">
        <f>'Emission-Waste Transport Vehicl'!Q51</f>
        <v>9.8641742664960006</v>
      </c>
      <c r="L96" s="1157">
        <f>'Emission-Waste Transport Vehicl'!R51</f>
        <v>0.9817791001920001</v>
      </c>
      <c r="M96" s="1158">
        <f t="shared" si="23"/>
        <v>4.0995520740137481</v>
      </c>
      <c r="N96" s="1159">
        <f t="shared" si="24"/>
        <v>7376.7686119315031</v>
      </c>
      <c r="O96" s="1159">
        <f t="shared" si="25"/>
        <v>10035.378018520152</v>
      </c>
      <c r="P96" s="1159">
        <f t="shared" si="26"/>
        <v>-2670.2773564114768</v>
      </c>
      <c r="Q96" s="1159">
        <f t="shared" si="27"/>
        <v>89.364605380800356</v>
      </c>
      <c r="R96" s="2773"/>
      <c r="S96" s="396"/>
      <c r="T96" s="3"/>
      <c r="U96" s="3"/>
      <c r="V96" s="618"/>
      <c r="W96" s="3"/>
      <c r="X96" s="3"/>
      <c r="Y96" s="3"/>
      <c r="Z96" s="618"/>
      <c r="AA96" s="3"/>
      <c r="AB96" s="3"/>
    </row>
    <row r="97" spans="1:28" ht="18.75" x14ac:dyDescent="0.3">
      <c r="A97" s="2862"/>
      <c r="B97" s="706">
        <v>2038</v>
      </c>
      <c r="C97" s="1164">
        <f t="shared" si="18"/>
        <v>98.288177448651609</v>
      </c>
      <c r="D97" s="1164">
        <f t="shared" si="19"/>
        <v>323.14143730779034</v>
      </c>
      <c r="E97" s="1164">
        <f t="shared" si="20"/>
        <v>790.10736695915375</v>
      </c>
      <c r="F97" s="1164">
        <f t="shared" si="21"/>
        <v>-270.70460073694801</v>
      </c>
      <c r="G97" s="1164">
        <f t="shared" si="22"/>
        <v>91.023128688850591</v>
      </c>
      <c r="H97" s="827">
        <f>(0.0584*1.02)*0.6864</f>
        <v>4.0887475200000002E-2</v>
      </c>
      <c r="I97" s="1157">
        <f>'Emission-Waste Transport Vehicl'!N52</f>
        <v>22.378381698816003</v>
      </c>
      <c r="J97" s="1157">
        <f>'Emission-Waste Transport Vehicl'!P52</f>
        <v>12.450958730496001</v>
      </c>
      <c r="K97" s="1157">
        <f>'Emission-Waste Transport Vehicl'!Q52</f>
        <v>9.6697646622720015</v>
      </c>
      <c r="L97" s="1157">
        <f>'Emission-Waste Transport Vehicl'!R52</f>
        <v>0.96242955494400007</v>
      </c>
      <c r="M97" s="1158">
        <f t="shared" si="23"/>
        <v>4.0187554178849423</v>
      </c>
      <c r="N97" s="1159">
        <f t="shared" si="24"/>
        <v>7231.3824267777545</v>
      </c>
      <c r="O97" s="1159">
        <f t="shared" si="25"/>
        <v>9837.5942186692828</v>
      </c>
      <c r="P97" s="1159">
        <f t="shared" si="26"/>
        <v>-2617.6497821205912</v>
      </c>
      <c r="Q97" s="1159">
        <f t="shared" si="27"/>
        <v>87.603349233620918</v>
      </c>
      <c r="R97" s="2773"/>
      <c r="S97" s="396"/>
      <c r="T97" s="3"/>
      <c r="U97" s="3"/>
      <c r="V97" s="618"/>
      <c r="W97" s="3"/>
      <c r="X97" s="3"/>
      <c r="Y97" s="3"/>
      <c r="Z97" s="618"/>
      <c r="AA97" s="3"/>
      <c r="AB97" s="3"/>
    </row>
    <row r="98" spans="1:28" ht="18.75" x14ac:dyDescent="0.3">
      <c r="A98" s="2862"/>
      <c r="B98" s="706">
        <v>2039</v>
      </c>
      <c r="C98" s="1164">
        <f t="shared" si="18"/>
        <v>98.288177448651609</v>
      </c>
      <c r="D98" s="1164">
        <f t="shared" si="19"/>
        <v>323.14143730779034</v>
      </c>
      <c r="E98" s="1164">
        <f t="shared" si="20"/>
        <v>790.10736695915375</v>
      </c>
      <c r="F98" s="1164">
        <f t="shared" si="21"/>
        <v>-270.70460073694801</v>
      </c>
      <c r="G98" s="1164">
        <f t="shared" si="22"/>
        <v>91.023128688850591</v>
      </c>
      <c r="H98" s="827">
        <f>(0.0584*1.02)*0.673</f>
        <v>4.0089264000000006E-2</v>
      </c>
      <c r="I98" s="1157">
        <f>'Emission-Waste Transport Vehicl'!N53</f>
        <v>21.941507697120006</v>
      </c>
      <c r="J98" s="1157">
        <f>'Emission-Waste Transport Vehicl'!P53</f>
        <v>12.207889314720003</v>
      </c>
      <c r="K98" s="1157">
        <f>'Emission-Waste Transport Vehicl'!Q53</f>
        <v>9.4809901190400012</v>
      </c>
      <c r="L98" s="1157">
        <f>'Emission-Waste Transport Vehicl'!R53</f>
        <v>0.9436408660800002</v>
      </c>
      <c r="M98" s="1158">
        <f t="shared" si="23"/>
        <v>3.9403006938178415</v>
      </c>
      <c r="N98" s="1159">
        <f t="shared" si="24"/>
        <v>7090.2103339473033</v>
      </c>
      <c r="O98" s="1159">
        <f t="shared" si="25"/>
        <v>9645.5432825822099</v>
      </c>
      <c r="P98" s="1159">
        <f t="shared" si="26"/>
        <v>-2566.5476447656729</v>
      </c>
      <c r="Q98" s="1159">
        <f t="shared" si="27"/>
        <v>85.893143989258277</v>
      </c>
      <c r="R98" s="2773"/>
      <c r="S98" s="396"/>
      <c r="T98" s="3"/>
      <c r="U98" s="3"/>
      <c r="V98" s="618"/>
      <c r="W98" s="3"/>
      <c r="X98" s="3"/>
      <c r="Y98" s="3"/>
      <c r="Z98" s="618"/>
      <c r="AA98" s="3"/>
      <c r="AB98" s="3"/>
    </row>
    <row r="99" spans="1:28" ht="18.75" x14ac:dyDescent="0.3">
      <c r="A99" s="2862"/>
      <c r="B99" s="706">
        <v>2040</v>
      </c>
      <c r="C99" s="1164">
        <f t="shared" si="18"/>
        <v>98.288177448651609</v>
      </c>
      <c r="D99" s="1164">
        <f t="shared" si="19"/>
        <v>323.14143730779034</v>
      </c>
      <c r="E99" s="1164">
        <f t="shared" si="20"/>
        <v>790.10736695915375</v>
      </c>
      <c r="F99" s="1164">
        <f t="shared" si="21"/>
        <v>-270.70460073694801</v>
      </c>
      <c r="G99" s="1164">
        <f t="shared" si="22"/>
        <v>91.023128688850591</v>
      </c>
      <c r="H99" s="827">
        <f>(0.0584*1.02)*0.6598</f>
        <v>3.9302966400000007E-2</v>
      </c>
      <c r="I99" s="1157">
        <f>'Emission-Waste Transport Vehicl'!N54</f>
        <v>21.511154202912003</v>
      </c>
      <c r="J99" s="1157">
        <f>'Emission-Waste Transport Vehicl'!P54</f>
        <v>11.968447800672001</v>
      </c>
      <c r="K99" s="1157">
        <f>'Emission-Waste Transport Vehicl'!Q54</f>
        <v>9.2950331063040004</v>
      </c>
      <c r="L99" s="1157">
        <f>'Emission-Waste Transport Vehicl'!R54</f>
        <v>0.92513260540800013</v>
      </c>
      <c r="M99" s="1158">
        <f t="shared" si="23"/>
        <v>3.8630169357815927</v>
      </c>
      <c r="N99" s="1159">
        <f t="shared" si="24"/>
        <v>6951.1452872784994</v>
      </c>
      <c r="O99" s="1159">
        <f t="shared" si="25"/>
        <v>9456.358778377029</v>
      </c>
      <c r="P99" s="1159">
        <f t="shared" si="26"/>
        <v>-2516.2082258787382</v>
      </c>
      <c r="Q99" s="1159">
        <f t="shared" si="27"/>
        <v>84.208464196304035</v>
      </c>
      <c r="R99" s="2773"/>
      <c r="S99" s="396"/>
      <c r="T99" s="3"/>
      <c r="U99" s="3"/>
      <c r="V99" s="618"/>
      <c r="W99" s="3"/>
      <c r="X99" s="3"/>
      <c r="Y99" s="3"/>
      <c r="Z99" s="618"/>
      <c r="AA99" s="3"/>
      <c r="AB99" s="3"/>
    </row>
    <row r="100" spans="1:28" ht="18.75" x14ac:dyDescent="0.3">
      <c r="A100" s="2862"/>
      <c r="B100" s="706">
        <v>2041</v>
      </c>
      <c r="C100" s="1164">
        <f t="shared" si="18"/>
        <v>98.288177448651609</v>
      </c>
      <c r="D100" s="1164">
        <f t="shared" si="19"/>
        <v>323.14143730779034</v>
      </c>
      <c r="E100" s="1164">
        <f t="shared" si="20"/>
        <v>790.10736695915375</v>
      </c>
      <c r="F100" s="1164">
        <f t="shared" si="21"/>
        <v>-270.70460073694801</v>
      </c>
      <c r="G100" s="1164">
        <f t="shared" si="22"/>
        <v>91.023128688850591</v>
      </c>
      <c r="H100" s="827">
        <f>(0.0584*1.02)*0.6468</f>
        <v>3.8528582400000004E-2</v>
      </c>
      <c r="I100" s="1157">
        <f>'Emission-Waste Transport Vehicl'!N55</f>
        <v>21.087321216192002</v>
      </c>
      <c r="J100" s="1157">
        <f>'Emission-Waste Transport Vehicl'!P55</f>
        <v>11.732634188352002</v>
      </c>
      <c r="K100" s="1157">
        <f>'Emission-Waste Transport Vehicl'!Q55</f>
        <v>9.1118936240640007</v>
      </c>
      <c r="L100" s="1157">
        <f>'Emission-Waste Transport Vehicl'!R55</f>
        <v>0.9069047729280002</v>
      </c>
      <c r="M100" s="1158">
        <f t="shared" si="23"/>
        <v>3.7869041437761957</v>
      </c>
      <c r="N100" s="1159">
        <f t="shared" si="24"/>
        <v>6814.1872867713455</v>
      </c>
      <c r="O100" s="1159">
        <f t="shared" si="25"/>
        <v>9270.0407060537473</v>
      </c>
      <c r="P100" s="1159">
        <f t="shared" si="26"/>
        <v>-2466.6315254597876</v>
      </c>
      <c r="Q100" s="1159">
        <f t="shared" si="27"/>
        <v>82.549309854758192</v>
      </c>
      <c r="R100" s="2773"/>
      <c r="S100" s="396"/>
      <c r="T100" s="3"/>
      <c r="U100" s="3"/>
      <c r="V100" s="618"/>
      <c r="W100" s="3"/>
      <c r="X100" s="3"/>
      <c r="Y100" s="3"/>
      <c r="Z100" s="618"/>
      <c r="AA100" s="3"/>
      <c r="AB100" s="3"/>
    </row>
    <row r="101" spans="1:28" ht="18.75" x14ac:dyDescent="0.3">
      <c r="A101" s="2862"/>
      <c r="B101" s="706">
        <v>2042</v>
      </c>
      <c r="C101" s="1164">
        <f t="shared" si="18"/>
        <v>98.288177448651609</v>
      </c>
      <c r="D101" s="1164">
        <f t="shared" si="19"/>
        <v>323.14143730779034</v>
      </c>
      <c r="E101" s="1164">
        <f t="shared" si="20"/>
        <v>790.10736695915375</v>
      </c>
      <c r="F101" s="1164">
        <f t="shared" si="21"/>
        <v>-270.70460073694801</v>
      </c>
      <c r="G101" s="1164">
        <f t="shared" si="22"/>
        <v>91.023128688850591</v>
      </c>
      <c r="H101" s="827">
        <f>(0.0584*1.02)*0.6342</f>
        <v>3.7778025600000001E-2</v>
      </c>
      <c r="I101" s="1157">
        <f>'Emission-Waste Transport Vehicl'!N56</f>
        <v>20.676529244448002</v>
      </c>
      <c r="J101" s="1157">
        <f>'Emission-Waste Transport Vehicl'!P56</f>
        <v>11.504076379488001</v>
      </c>
      <c r="K101" s="1157">
        <f>'Emission-Waste Transport Vehicl'!Q56</f>
        <v>8.9343892028159999</v>
      </c>
      <c r="L101" s="1157">
        <f>'Emission-Waste Transport Vehicl'!R56</f>
        <v>0.8892377968320001</v>
      </c>
      <c r="M101" s="1158">
        <f t="shared" si="23"/>
        <v>3.7131332838325033</v>
      </c>
      <c r="N101" s="1159">
        <f t="shared" si="24"/>
        <v>6681.4433785874871</v>
      </c>
      <c r="O101" s="1159">
        <f t="shared" si="25"/>
        <v>9089.4554974942585</v>
      </c>
      <c r="P101" s="1159">
        <f t="shared" si="26"/>
        <v>-2418.5802619768046</v>
      </c>
      <c r="Q101" s="1159">
        <f t="shared" si="27"/>
        <v>80.941206416029118</v>
      </c>
      <c r="R101" s="2773"/>
      <c r="S101" s="396"/>
      <c r="T101" s="3"/>
      <c r="U101" s="3"/>
      <c r="V101" s="618"/>
      <c r="W101" s="3"/>
      <c r="X101" s="3"/>
      <c r="Y101" s="3"/>
      <c r="Z101" s="618"/>
      <c r="AA101" s="3"/>
      <c r="AB101" s="3"/>
    </row>
    <row r="102" spans="1:28" ht="18.75" x14ac:dyDescent="0.3">
      <c r="A102" s="2862"/>
      <c r="B102" s="706">
        <v>2043</v>
      </c>
      <c r="C102" s="1164">
        <f t="shared" si="18"/>
        <v>98.288177448651609</v>
      </c>
      <c r="D102" s="1164">
        <f t="shared" si="19"/>
        <v>323.14143730779034</v>
      </c>
      <c r="E102" s="1164">
        <f t="shared" si="20"/>
        <v>790.10736695915375</v>
      </c>
      <c r="F102" s="1164">
        <f t="shared" si="21"/>
        <v>-270.70460073694801</v>
      </c>
      <c r="G102" s="1164">
        <f t="shared" si="22"/>
        <v>91.023128688850591</v>
      </c>
      <c r="H102" s="827">
        <f>(0.0584*1.02)*0.6217</f>
        <v>3.7033425600000003E-2</v>
      </c>
      <c r="I102" s="1157">
        <f>'Emission-Waste Transport Vehicl'!N57</f>
        <v>20.268997526448004</v>
      </c>
      <c r="J102" s="1157">
        <f>'Emission-Waste Transport Vehicl'!P57</f>
        <v>11.277332521488001</v>
      </c>
      <c r="K102" s="1157">
        <f>'Emission-Waste Transport Vehicl'!Q57</f>
        <v>8.7582935468160006</v>
      </c>
      <c r="L102" s="1157">
        <f>'Emission-Waste Transport Vehicl'!R57</f>
        <v>0.87171103483200019</v>
      </c>
      <c r="M102" s="1158">
        <f t="shared" si="23"/>
        <v>3.6399479069042373</v>
      </c>
      <c r="N102" s="1159">
        <f t="shared" si="24"/>
        <v>6549.7529934844551</v>
      </c>
      <c r="O102" s="1159">
        <f t="shared" si="25"/>
        <v>8910.3035048757192</v>
      </c>
      <c r="P102" s="1159">
        <f t="shared" si="26"/>
        <v>-2370.9103577278138</v>
      </c>
      <c r="Q102" s="1159">
        <f t="shared" si="27"/>
        <v>79.345865703004279</v>
      </c>
      <c r="R102" s="2773"/>
      <c r="S102" s="396"/>
      <c r="T102" s="3"/>
      <c r="U102" s="3"/>
      <c r="V102" s="618"/>
      <c r="W102" s="3"/>
      <c r="X102" s="3"/>
      <c r="Y102" s="3"/>
      <c r="Z102" s="618"/>
      <c r="AA102" s="3"/>
      <c r="AB102" s="3"/>
    </row>
    <row r="103" spans="1:28" ht="18.75" x14ac:dyDescent="0.3">
      <c r="A103" s="2862"/>
      <c r="B103" s="706">
        <v>2044</v>
      </c>
      <c r="C103" s="1164">
        <f t="shared" si="18"/>
        <v>98.288177448651609</v>
      </c>
      <c r="D103" s="1164">
        <f t="shared" si="19"/>
        <v>323.14143730779034</v>
      </c>
      <c r="E103" s="1164">
        <f t="shared" si="20"/>
        <v>790.10736695915375</v>
      </c>
      <c r="F103" s="1164">
        <f t="shared" si="21"/>
        <v>-270.70460073694801</v>
      </c>
      <c r="G103" s="1164">
        <f t="shared" si="22"/>
        <v>91.023128688850591</v>
      </c>
      <c r="H103" s="827">
        <f>(0.0584*1.02)*0.6095</f>
        <v>3.6306696000000006E-2</v>
      </c>
      <c r="I103" s="1157">
        <f>'Emission-Waste Transport Vehicl'!N58</f>
        <v>19.871246569680004</v>
      </c>
      <c r="J103" s="1157">
        <f>'Emission-Waste Transport Vehicl'!P58</f>
        <v>11.056030516080002</v>
      </c>
      <c r="K103" s="1157">
        <f>'Emission-Waste Transport Vehicl'!Q58</f>
        <v>8.5864241865600004</v>
      </c>
      <c r="L103" s="1157">
        <f>'Emission-Waste Transport Vehicl'!R58</f>
        <v>0.85460491512000014</v>
      </c>
      <c r="M103" s="1158">
        <f t="shared" si="23"/>
        <v>3.56851897902225</v>
      </c>
      <c r="N103" s="1159">
        <f t="shared" si="24"/>
        <v>6421.223177623895</v>
      </c>
      <c r="O103" s="1159">
        <f t="shared" si="25"/>
        <v>8735.4511600800233</v>
      </c>
      <c r="P103" s="1159">
        <f t="shared" si="26"/>
        <v>-2324.3845311807986</v>
      </c>
      <c r="Q103" s="1159">
        <f t="shared" si="27"/>
        <v>77.788813167092002</v>
      </c>
      <c r="R103" s="2773"/>
      <c r="S103" s="396"/>
      <c r="T103" s="3"/>
      <c r="U103" s="3"/>
      <c r="V103" s="618"/>
      <c r="W103" s="3"/>
      <c r="X103" s="3"/>
      <c r="Y103" s="3"/>
      <c r="Z103" s="618"/>
      <c r="AA103" s="3"/>
      <c r="AB103" s="3"/>
    </row>
    <row r="104" spans="1:28" ht="18.75" x14ac:dyDescent="0.3">
      <c r="A104" s="2862"/>
      <c r="B104" s="706">
        <v>2045</v>
      </c>
      <c r="C104" s="1164">
        <f t="shared" si="18"/>
        <v>98.288177448651609</v>
      </c>
      <c r="D104" s="1164">
        <f t="shared" si="19"/>
        <v>323.14143730779034</v>
      </c>
      <c r="E104" s="1164">
        <f t="shared" si="20"/>
        <v>790.10736695915375</v>
      </c>
      <c r="F104" s="1164">
        <f t="shared" si="21"/>
        <v>-270.70460073694801</v>
      </c>
      <c r="G104" s="1164">
        <f t="shared" si="22"/>
        <v>91.023128688850591</v>
      </c>
      <c r="H104" s="827">
        <f>(0.0584*1.02)*0.5976</f>
        <v>3.5597836800000004E-2</v>
      </c>
      <c r="I104" s="1157">
        <f>'Emission-Waste Transport Vehicl'!N59</f>
        <v>19.483276374144001</v>
      </c>
      <c r="J104" s="1157">
        <f>'Emission-Waste Transport Vehicl'!P59</f>
        <v>10.840170363264003</v>
      </c>
      <c r="K104" s="1157">
        <f>'Emission-Waste Transport Vehicl'!Q59</f>
        <v>8.4187811220480011</v>
      </c>
      <c r="L104" s="1157">
        <f>'Emission-Waste Transport Vehicl'!R59</f>
        <v>0.83791943769600008</v>
      </c>
      <c r="M104" s="1158">
        <f t="shared" si="23"/>
        <v>3.498846500186541</v>
      </c>
      <c r="N104" s="1159">
        <f t="shared" si="24"/>
        <v>6295.8539310058068</v>
      </c>
      <c r="O104" s="1159">
        <f t="shared" si="25"/>
        <v>8564.8984631071744</v>
      </c>
      <c r="P104" s="1159">
        <f t="shared" si="26"/>
        <v>-2279.0027823357591</v>
      </c>
      <c r="Q104" s="1159">
        <f t="shared" si="27"/>
        <v>76.270048808292344</v>
      </c>
      <c r="R104" s="2773"/>
      <c r="S104" s="396"/>
      <c r="T104" s="3"/>
      <c r="U104" s="3"/>
      <c r="V104" s="618"/>
      <c r="W104" s="3"/>
      <c r="X104" s="3"/>
      <c r="Y104" s="3"/>
      <c r="Z104" s="618"/>
      <c r="AA104" s="3"/>
      <c r="AB104" s="3"/>
    </row>
    <row r="105" spans="1:28" ht="18.75" x14ac:dyDescent="0.3">
      <c r="A105" s="2862"/>
      <c r="B105" s="706">
        <v>2046</v>
      </c>
      <c r="C105" s="1164">
        <f t="shared" si="18"/>
        <v>98.288177448651609</v>
      </c>
      <c r="D105" s="1164">
        <f t="shared" si="19"/>
        <v>323.14143730779034</v>
      </c>
      <c r="E105" s="1164">
        <f t="shared" si="20"/>
        <v>790.10736695915375</v>
      </c>
      <c r="F105" s="1164">
        <f t="shared" si="21"/>
        <v>-270.70460073694801</v>
      </c>
      <c r="G105" s="1164">
        <f t="shared" si="22"/>
        <v>91.023128688850591</v>
      </c>
      <c r="H105" s="827">
        <f>(0.0584*1.02)*0.5859</f>
        <v>3.4900891199999999E-2</v>
      </c>
      <c r="I105" s="1157">
        <f>'Emission-Waste Transport Vehicl'!N60</f>
        <v>19.101826686096</v>
      </c>
      <c r="J105" s="1157">
        <f>'Emission-Waste Transport Vehicl'!P60</f>
        <v>10.627938112176002</v>
      </c>
      <c r="K105" s="1157">
        <f>'Emission-Waste Transport Vehicl'!Q60</f>
        <v>8.2539555880319995</v>
      </c>
      <c r="L105" s="1157">
        <f>'Emission-Waste Transport Vehicl'!R60</f>
        <v>0.82151438846400004</v>
      </c>
      <c r="M105" s="1158">
        <f t="shared" si="23"/>
        <v>3.4303449873816834</v>
      </c>
      <c r="N105" s="1159">
        <f t="shared" si="24"/>
        <v>6172.5917305493676</v>
      </c>
      <c r="O105" s="1159">
        <f t="shared" si="25"/>
        <v>8397.212198016221</v>
      </c>
      <c r="P105" s="1159">
        <f t="shared" si="26"/>
        <v>-2234.3837519587032</v>
      </c>
      <c r="Q105" s="1159">
        <f t="shared" si="27"/>
        <v>74.776809900901071</v>
      </c>
      <c r="R105" s="2773"/>
      <c r="S105" s="396"/>
      <c r="T105" s="3"/>
      <c r="U105" s="3"/>
      <c r="V105" s="618"/>
      <c r="W105" s="3"/>
      <c r="X105" s="3"/>
      <c r="Y105" s="3"/>
      <c r="Z105" s="618"/>
      <c r="AA105" s="3"/>
      <c r="AB105" s="3"/>
    </row>
    <row r="106" spans="1:28" ht="18.75" x14ac:dyDescent="0.3">
      <c r="A106" s="2862"/>
      <c r="B106" s="706">
        <v>2047</v>
      </c>
      <c r="C106" s="1164">
        <f t="shared" si="18"/>
        <v>98.288177448651609</v>
      </c>
      <c r="D106" s="1164">
        <f t="shared" si="19"/>
        <v>323.14143730779034</v>
      </c>
      <c r="E106" s="1164">
        <f t="shared" si="20"/>
        <v>790.10736695915375</v>
      </c>
      <c r="F106" s="1164">
        <f t="shared" si="21"/>
        <v>-270.70460073694801</v>
      </c>
      <c r="G106" s="1164">
        <f t="shared" si="22"/>
        <v>91.023128688850591</v>
      </c>
      <c r="H106" s="827">
        <f>(0.0584*1.02)*0.5744</f>
        <v>3.4215859200000004E-2</v>
      </c>
      <c r="I106" s="1157">
        <f>'Emission-Waste Transport Vehicl'!N61</f>
        <v>18.726897505536005</v>
      </c>
      <c r="J106" s="1157">
        <f>'Emission-Waste Transport Vehicl'!P61</f>
        <v>10.419333762816001</v>
      </c>
      <c r="K106" s="1157">
        <f>'Emission-Waste Transport Vehicl'!Q61</f>
        <v>8.0919475845120008</v>
      </c>
      <c r="L106" s="1157">
        <f>'Emission-Waste Transport Vehicl'!R61</f>
        <v>0.80538976742400015</v>
      </c>
      <c r="M106" s="1158">
        <f t="shared" si="23"/>
        <v>3.363014440607679</v>
      </c>
      <c r="N106" s="1159">
        <f t="shared" si="24"/>
        <v>6051.4365762545785</v>
      </c>
      <c r="O106" s="1159">
        <f t="shared" si="25"/>
        <v>8232.3923648071614</v>
      </c>
      <c r="P106" s="1159">
        <f t="shared" si="26"/>
        <v>-2190.5274400496319</v>
      </c>
      <c r="Q106" s="1159">
        <f t="shared" si="27"/>
        <v>73.309096444918211</v>
      </c>
      <c r="R106" s="2773"/>
      <c r="S106" s="396"/>
      <c r="T106" s="3"/>
      <c r="U106" s="3"/>
      <c r="V106" s="618"/>
      <c r="W106" s="3"/>
      <c r="X106" s="3"/>
      <c r="Y106" s="3"/>
      <c r="Z106" s="618"/>
      <c r="AA106" s="3"/>
      <c r="AB106" s="3"/>
    </row>
    <row r="107" spans="1:28" ht="18.75" x14ac:dyDescent="0.3">
      <c r="A107" s="2862"/>
      <c r="B107" s="706">
        <v>2048</v>
      </c>
      <c r="C107" s="1164">
        <f t="shared" si="18"/>
        <v>98.288177448651609</v>
      </c>
      <c r="D107" s="1164">
        <f t="shared" si="19"/>
        <v>323.14143730779034</v>
      </c>
      <c r="E107" s="1164">
        <f t="shared" si="20"/>
        <v>790.10736695915375</v>
      </c>
      <c r="F107" s="1164">
        <f t="shared" si="21"/>
        <v>-270.70460073694801</v>
      </c>
      <c r="G107" s="1164">
        <f t="shared" si="22"/>
        <v>91.023128688850591</v>
      </c>
      <c r="H107" s="827">
        <f>(0.0584*1.02)*0.5631</f>
        <v>3.3542740800000005E-2</v>
      </c>
      <c r="I107" s="1157">
        <f>'Emission-Waste Transport Vehicl'!N62</f>
        <v>18.358488832464005</v>
      </c>
      <c r="J107" s="1157">
        <f>'Emission-Waste Transport Vehicl'!P62</f>
        <v>10.214357315184001</v>
      </c>
      <c r="K107" s="1157">
        <f>'Emission-Waste Transport Vehicl'!Q62</f>
        <v>7.9327571114880007</v>
      </c>
      <c r="L107" s="1157">
        <f>'Emission-Waste Transport Vehicl'!R62</f>
        <v>0.78954557457600016</v>
      </c>
      <c r="M107" s="1158">
        <f t="shared" si="23"/>
        <v>3.2968548598645269</v>
      </c>
      <c r="N107" s="1159">
        <f t="shared" si="24"/>
        <v>5932.3884681214358</v>
      </c>
      <c r="O107" s="1159">
        <f t="shared" si="25"/>
        <v>8070.4389634800018</v>
      </c>
      <c r="P107" s="1159">
        <f t="shared" si="26"/>
        <v>-2147.4338466085442</v>
      </c>
      <c r="Q107" s="1159">
        <f t="shared" si="27"/>
        <v>71.866908440343749</v>
      </c>
      <c r="R107" s="2773"/>
      <c r="S107" s="396"/>
      <c r="T107" s="3"/>
      <c r="U107" s="3"/>
      <c r="V107" s="618"/>
      <c r="W107" s="3"/>
      <c r="X107" s="3"/>
      <c r="Y107" s="3"/>
      <c r="Z107" s="618"/>
      <c r="AA107" s="3"/>
      <c r="AB107" s="3"/>
    </row>
    <row r="108" spans="1:28" ht="18.75" x14ac:dyDescent="0.3">
      <c r="A108" s="2862"/>
      <c r="B108" s="706">
        <v>2049</v>
      </c>
      <c r="C108" s="1164">
        <f t="shared" si="18"/>
        <v>98.288177448651609</v>
      </c>
      <c r="D108" s="1164">
        <f t="shared" si="19"/>
        <v>323.14143730779034</v>
      </c>
      <c r="E108" s="1164">
        <f t="shared" si="20"/>
        <v>790.10736695915375</v>
      </c>
      <c r="F108" s="1164">
        <f t="shared" si="21"/>
        <v>-270.70460073694801</v>
      </c>
      <c r="G108" s="1164">
        <f t="shared" si="22"/>
        <v>91.023128688850591</v>
      </c>
      <c r="H108" s="827">
        <f>(0.0584*1.02)*0.5521</f>
        <v>3.2887492800000001E-2</v>
      </c>
      <c r="I108" s="1157">
        <f>'Emission-Waste Transport Vehicl'!N63</f>
        <v>17.999860920624005</v>
      </c>
      <c r="J108" s="1157">
        <f>'Emission-Waste Transport Vehicl'!P63</f>
        <v>10.014822720144002</v>
      </c>
      <c r="K108" s="1157">
        <f>'Emission-Waste Transport Vehicl'!Q63</f>
        <v>7.7777929342080014</v>
      </c>
      <c r="L108" s="1157">
        <f>'Emission-Waste Transport Vehicl'!R63</f>
        <v>0.77412202401600017</v>
      </c>
      <c r="M108" s="1158">
        <f t="shared" si="23"/>
        <v>3.2324517281676521</v>
      </c>
      <c r="N108" s="1159">
        <f t="shared" si="24"/>
        <v>5816.5009292307677</v>
      </c>
      <c r="O108" s="1159">
        <f t="shared" si="25"/>
        <v>7912.7852099756874</v>
      </c>
      <c r="P108" s="1159">
        <f t="shared" si="26"/>
        <v>-2105.4843308694321</v>
      </c>
      <c r="Q108" s="1159">
        <f t="shared" si="27"/>
        <v>70.463008612881865</v>
      </c>
      <c r="R108" s="2773"/>
      <c r="S108" s="396"/>
      <c r="T108" s="3"/>
      <c r="U108" s="3"/>
      <c r="V108" s="618"/>
      <c r="W108" s="3"/>
      <c r="X108" s="3"/>
      <c r="Y108" s="3"/>
      <c r="Z108" s="618"/>
      <c r="AA108" s="3"/>
      <c r="AB108" s="3"/>
    </row>
    <row r="109" spans="1:28" ht="18.75" x14ac:dyDescent="0.3">
      <c r="A109" s="2862"/>
      <c r="B109" s="706">
        <v>2050</v>
      </c>
      <c r="C109" s="1164">
        <f t="shared" si="18"/>
        <v>98.288177448651609</v>
      </c>
      <c r="D109" s="1164">
        <f t="shared" si="19"/>
        <v>323.14143730779034</v>
      </c>
      <c r="E109" s="1164">
        <f t="shared" si="20"/>
        <v>790.10736695915375</v>
      </c>
      <c r="F109" s="1164">
        <f t="shared" si="21"/>
        <v>-270.70460073694801</v>
      </c>
      <c r="G109" s="1164">
        <f t="shared" si="22"/>
        <v>91.023128688850591</v>
      </c>
      <c r="H109" s="827">
        <f>(0.0584*1.02)*0.5412</f>
        <v>3.2238201600000002E-2</v>
      </c>
      <c r="I109" s="1157">
        <f>'Emission-Waste Transport Vehicl'!N64</f>
        <v>17.644493262528005</v>
      </c>
      <c r="J109" s="1157">
        <f>'Emission-Waste Transport Vehicl'!P64</f>
        <v>9.8171020759680019</v>
      </c>
      <c r="K109" s="1157">
        <f>'Emission-Waste Transport Vehicl'!Q64</f>
        <v>7.624237522176001</v>
      </c>
      <c r="L109" s="1157">
        <f>'Emission-Waste Transport Vehicl'!R64</f>
        <v>0.75883868755200012</v>
      </c>
      <c r="M109" s="1158">
        <f t="shared" si="23"/>
        <v>3.1686340794862042</v>
      </c>
      <c r="N109" s="1159">
        <f t="shared" si="24"/>
        <v>5701.6669134209224</v>
      </c>
      <c r="O109" s="1159">
        <f t="shared" si="25"/>
        <v>7756.5646724123199</v>
      </c>
      <c r="P109" s="1159">
        <f t="shared" si="26"/>
        <v>-2063.9161743643122</v>
      </c>
      <c r="Q109" s="1159">
        <f t="shared" si="27"/>
        <v>69.071871511124186</v>
      </c>
      <c r="R109" s="2773"/>
      <c r="S109" s="396"/>
      <c r="T109" s="3"/>
      <c r="U109" s="3"/>
      <c r="V109" s="618"/>
      <c r="W109" s="3"/>
      <c r="X109" s="3"/>
      <c r="Y109" s="3"/>
      <c r="Z109" s="618"/>
      <c r="AA109" s="3"/>
      <c r="AB109" s="3"/>
    </row>
    <row r="110" spans="1:28" ht="18.75" x14ac:dyDescent="0.3">
      <c r="A110" s="2862"/>
      <c r="B110" s="706">
        <v>2051</v>
      </c>
      <c r="C110" s="1164">
        <f t="shared" ref="C110:C128" si="28">$S$8</f>
        <v>98.288177448651609</v>
      </c>
      <c r="D110" s="1164">
        <f t="shared" ref="D110:D128" si="29">$T$8</f>
        <v>323.14143730779034</v>
      </c>
      <c r="E110" s="1164">
        <f t="shared" ref="E110:E128" si="30">$R$8</f>
        <v>790.10736695915375</v>
      </c>
      <c r="F110" s="1164">
        <f t="shared" ref="F110:F128" si="31">$V$8</f>
        <v>-270.70460073694801</v>
      </c>
      <c r="G110" s="1164">
        <f t="shared" ref="G110:G128" si="32">$U$8</f>
        <v>91.023128688850591</v>
      </c>
      <c r="H110" s="827">
        <f>(0.0584*1.02)*0.5306</f>
        <v>3.1606780799999998E-2</v>
      </c>
      <c r="I110" s="1157">
        <f>'Emission-Waste Transport Vehicl'!N65</f>
        <v>17.298906365664003</v>
      </c>
      <c r="J110" s="1157">
        <f>'Emission-Waste Transport Vehicl'!P65</f>
        <v>9.624823284384</v>
      </c>
      <c r="K110" s="1157">
        <f>'Emission-Waste Transport Vehicl'!Q65</f>
        <v>7.4749084058879998</v>
      </c>
      <c r="L110" s="1157">
        <f>'Emission-Waste Transport Vehicl'!R65</f>
        <v>0.74397599337600007</v>
      </c>
      <c r="M110" s="1158">
        <f t="shared" si="23"/>
        <v>3.1065728798510346</v>
      </c>
      <c r="N110" s="1159">
        <f t="shared" si="24"/>
        <v>5589.9934668535498</v>
      </c>
      <c r="O110" s="1159">
        <f t="shared" si="25"/>
        <v>7604.6437826717965</v>
      </c>
      <c r="P110" s="1159">
        <f t="shared" si="26"/>
        <v>-2023.4920955611674</v>
      </c>
      <c r="Q110" s="1159">
        <f t="shared" si="27"/>
        <v>67.719022586479113</v>
      </c>
      <c r="R110" s="2773"/>
      <c r="S110" s="396"/>
      <c r="T110" s="3"/>
      <c r="U110" s="3"/>
      <c r="V110" s="618"/>
      <c r="W110" s="3"/>
      <c r="X110" s="3"/>
      <c r="Y110" s="3"/>
      <c r="Z110" s="618"/>
      <c r="AA110" s="3"/>
      <c r="AB110" s="3"/>
    </row>
    <row r="111" spans="1:28" ht="18.75" x14ac:dyDescent="0.3">
      <c r="A111" s="2862"/>
      <c r="B111" s="706">
        <v>2052</v>
      </c>
      <c r="C111" s="1164">
        <f t="shared" si="28"/>
        <v>98.288177448651609</v>
      </c>
      <c r="D111" s="1164">
        <f t="shared" si="29"/>
        <v>323.14143730779034</v>
      </c>
      <c r="E111" s="1164">
        <f t="shared" si="30"/>
        <v>790.10736695915375</v>
      </c>
      <c r="F111" s="1164">
        <f t="shared" si="31"/>
        <v>-270.70460073694801</v>
      </c>
      <c r="G111" s="1164">
        <f t="shared" si="32"/>
        <v>91.023128688850591</v>
      </c>
      <c r="H111" s="827">
        <f>(0.0584*1.02)*0.5202</f>
        <v>3.09872736E-2</v>
      </c>
      <c r="I111" s="1157">
        <f>'Emission-Waste Transport Vehicl'!N66</f>
        <v>16.959839976288002</v>
      </c>
      <c r="J111" s="1157">
        <f>'Emission-Waste Transport Vehicl'!P66</f>
        <v>9.4361723945280005</v>
      </c>
      <c r="K111" s="1157">
        <f>'Emission-Waste Transport Vehicl'!Q66</f>
        <v>7.3283968200960006</v>
      </c>
      <c r="L111" s="1157">
        <f>'Emission-Waste Transport Vehicl'!R66</f>
        <v>0.72939372739200004</v>
      </c>
      <c r="M111" s="1158">
        <f t="shared" si="23"/>
        <v>3.0456826462467173</v>
      </c>
      <c r="N111" s="1159">
        <f t="shared" si="24"/>
        <v>5480.4270664478263</v>
      </c>
      <c r="O111" s="1159">
        <f t="shared" si="25"/>
        <v>7455.5893248131715</v>
      </c>
      <c r="P111" s="1159">
        <f t="shared" si="26"/>
        <v>-1983.8307352260072</v>
      </c>
      <c r="Q111" s="1159">
        <f t="shared" si="27"/>
        <v>66.391699113242424</v>
      </c>
      <c r="R111" s="2773"/>
      <c r="S111" s="396"/>
      <c r="T111" s="3"/>
      <c r="U111" s="3"/>
      <c r="V111" s="618"/>
      <c r="W111" s="3"/>
      <c r="X111" s="3"/>
      <c r="Y111" s="3"/>
      <c r="Z111" s="618"/>
      <c r="AA111" s="3"/>
      <c r="AB111" s="3"/>
    </row>
    <row r="112" spans="1:28" ht="18.75" x14ac:dyDescent="0.3">
      <c r="A112" s="2862"/>
      <c r="B112" s="706">
        <v>2053</v>
      </c>
      <c r="C112" s="1164">
        <f t="shared" si="28"/>
        <v>98.288177448651609</v>
      </c>
      <c r="D112" s="1164">
        <f t="shared" si="29"/>
        <v>323.14143730779034</v>
      </c>
      <c r="E112" s="1164">
        <f t="shared" si="30"/>
        <v>790.10736695915375</v>
      </c>
      <c r="F112" s="1164">
        <f t="shared" si="31"/>
        <v>-270.70460073694801</v>
      </c>
      <c r="G112" s="1164">
        <f t="shared" si="32"/>
        <v>91.023128688850591</v>
      </c>
      <c r="H112" s="827">
        <f>(0.0584*1.02)*0.51</f>
        <v>3.0379680000000003E-2</v>
      </c>
      <c r="I112" s="1157">
        <f>'Emission-Waste Transport Vehicl'!N67</f>
        <v>15.361506000000002</v>
      </c>
      <c r="J112" s="1157">
        <f>'Emission-Waste Transport Vehicl'!P67</f>
        <v>9.2511494064000015</v>
      </c>
      <c r="K112" s="1157">
        <f>'Emission-Waste Transport Vehicl'!Q67</f>
        <v>7.1847027647999999</v>
      </c>
      <c r="L112" s="1157">
        <f>'Emission-Waste Transport Vehicl'!R67</f>
        <v>0.71509188960000014</v>
      </c>
      <c r="M112" s="1158">
        <f t="shared" si="23"/>
        <v>2.9859633786732527</v>
      </c>
      <c r="N112" s="1159">
        <f t="shared" si="24"/>
        <v>4963.9391280522459</v>
      </c>
      <c r="O112" s="1159">
        <f t="shared" si="25"/>
        <v>7309.4012988364429</v>
      </c>
      <c r="P112" s="1159">
        <f t="shared" si="26"/>
        <v>-1944.9320933588306</v>
      </c>
      <c r="Q112" s="1159">
        <f t="shared" si="27"/>
        <v>65.089901091414148</v>
      </c>
      <c r="R112" s="2773"/>
      <c r="S112" s="396"/>
      <c r="T112" s="3"/>
      <c r="U112" s="3"/>
      <c r="V112" s="618"/>
      <c r="W112" s="3"/>
      <c r="X112" s="3"/>
      <c r="Y112" s="3"/>
      <c r="Z112" s="618"/>
      <c r="AA112" s="3"/>
      <c r="AB112" s="3"/>
    </row>
    <row r="113" spans="1:28" ht="18.75" x14ac:dyDescent="0.3">
      <c r="A113" s="2862"/>
      <c r="B113" s="706">
        <v>2054</v>
      </c>
      <c r="C113" s="1164">
        <f t="shared" si="28"/>
        <v>98.288177448651609</v>
      </c>
      <c r="D113" s="1164">
        <f t="shared" si="29"/>
        <v>323.14143730779034</v>
      </c>
      <c r="E113" s="1164">
        <f t="shared" si="30"/>
        <v>790.10736695915375</v>
      </c>
      <c r="F113" s="1164">
        <f t="shared" si="31"/>
        <v>-270.70460073694801</v>
      </c>
      <c r="G113" s="1164">
        <f t="shared" si="32"/>
        <v>91.023128688850591</v>
      </c>
      <c r="H113" s="827">
        <f>(0.0584*1.02)*0.5</f>
        <v>2.9784000000000001E-2</v>
      </c>
      <c r="I113" s="1157">
        <f>'Emission-Waste Transport Vehicl'!N68</f>
        <v>16.301268720000003</v>
      </c>
      <c r="J113" s="1157">
        <f>'Emission-Waste Transport Vehicl'!P68</f>
        <v>9.0697543200000013</v>
      </c>
      <c r="K113" s="1157">
        <f>'Emission-Waste Transport Vehicl'!Q68</f>
        <v>7.0438262400000005</v>
      </c>
      <c r="L113" s="1157">
        <f>'Emission-Waste Transport Vehicl'!R68</f>
        <v>0.70107048000000005</v>
      </c>
      <c r="M113" s="1158">
        <f t="shared" si="23"/>
        <v>2.9274150771306395</v>
      </c>
      <c r="N113" s="1159">
        <f t="shared" si="24"/>
        <v>5267.6154041213249</v>
      </c>
      <c r="O113" s="1159">
        <f t="shared" si="25"/>
        <v>7166.0797047416108</v>
      </c>
      <c r="P113" s="1159">
        <f t="shared" si="26"/>
        <v>-1906.7961699596378</v>
      </c>
      <c r="Q113" s="1159">
        <f t="shared" si="27"/>
        <v>63.813628520994257</v>
      </c>
      <c r="R113" s="2773"/>
      <c r="S113" s="396"/>
      <c r="T113" s="3"/>
      <c r="U113" s="3"/>
      <c r="V113" s="618"/>
      <c r="W113" s="3"/>
      <c r="X113" s="3"/>
      <c r="Y113" s="3"/>
      <c r="Z113" s="618"/>
      <c r="AA113" s="3"/>
      <c r="AB113" s="3"/>
    </row>
    <row r="114" spans="1:28" ht="18.75" x14ac:dyDescent="0.3">
      <c r="A114" s="2862"/>
      <c r="B114" s="706">
        <v>2055</v>
      </c>
      <c r="C114" s="1164">
        <f t="shared" si="28"/>
        <v>98.288177448651609</v>
      </c>
      <c r="D114" s="1164">
        <f t="shared" si="29"/>
        <v>323.14143730779034</v>
      </c>
      <c r="E114" s="1164">
        <f t="shared" si="30"/>
        <v>790.10736695915375</v>
      </c>
      <c r="F114" s="1164">
        <f t="shared" si="31"/>
        <v>-270.70460073694801</v>
      </c>
      <c r="G114" s="1164">
        <f t="shared" si="32"/>
        <v>91.023128688850591</v>
      </c>
      <c r="H114" s="827">
        <f>(0.0584*1.02)*0.4902</f>
        <v>2.9200233600000004E-2</v>
      </c>
      <c r="I114" s="1157">
        <f>'Emission-Waste Transport Vehicl'!N69</f>
        <v>15.981763853088003</v>
      </c>
      <c r="J114" s="1157">
        <f>'Emission-Waste Transport Vehicl'!P69</f>
        <v>8.8919871353280016</v>
      </c>
      <c r="K114" s="1157">
        <f>'Emission-Waste Transport Vehicl'!Q69</f>
        <v>6.9057672456960004</v>
      </c>
      <c r="L114" s="1157">
        <f>'Emission-Waste Transport Vehicl'!R69</f>
        <v>0.6873294985920001</v>
      </c>
      <c r="M114" s="1158">
        <f t="shared" si="23"/>
        <v>2.8700377416188791</v>
      </c>
      <c r="N114" s="1159">
        <f t="shared" si="24"/>
        <v>5164.370142200547</v>
      </c>
      <c r="O114" s="1159">
        <f t="shared" si="25"/>
        <v>7025.6245425286761</v>
      </c>
      <c r="P114" s="1159">
        <f t="shared" si="26"/>
        <v>-1869.422965028429</v>
      </c>
      <c r="Q114" s="1159">
        <f t="shared" si="27"/>
        <v>62.562881401982779</v>
      </c>
      <c r="R114" s="2773"/>
      <c r="S114" s="396"/>
      <c r="T114" s="3"/>
      <c r="U114" s="3"/>
      <c r="V114" s="618"/>
      <c r="W114" s="3"/>
      <c r="X114" s="3"/>
      <c r="Y114" s="3"/>
      <c r="Z114" s="618"/>
      <c r="AA114" s="3"/>
      <c r="AB114" s="3"/>
    </row>
    <row r="115" spans="1:28" ht="18.75" x14ac:dyDescent="0.3">
      <c r="A115" s="2862"/>
      <c r="B115" s="706">
        <v>2056</v>
      </c>
      <c r="C115" s="1164">
        <f t="shared" si="28"/>
        <v>98.288177448651609</v>
      </c>
      <c r="D115" s="1164">
        <f t="shared" si="29"/>
        <v>323.14143730779034</v>
      </c>
      <c r="E115" s="1164">
        <f t="shared" si="30"/>
        <v>790.10736695915375</v>
      </c>
      <c r="F115" s="1164">
        <f t="shared" si="31"/>
        <v>-270.70460073694801</v>
      </c>
      <c r="G115" s="1164">
        <f t="shared" si="32"/>
        <v>91.023128688850591</v>
      </c>
      <c r="H115" s="827">
        <f>(0.0584*1.02)*0.4806</f>
        <v>2.8628380800000002E-2</v>
      </c>
      <c r="I115" s="1157">
        <f>'Emission-Waste Transport Vehicl'!N70</f>
        <v>15.668779493664003</v>
      </c>
      <c r="J115" s="1157">
        <f>'Emission-Waste Transport Vehicl'!P70</f>
        <v>8.7178478523840006</v>
      </c>
      <c r="K115" s="1157">
        <f>'Emission-Waste Transport Vehicl'!Q70</f>
        <v>6.7705257818880007</v>
      </c>
      <c r="L115" s="1157">
        <f>'Emission-Waste Transport Vehicl'!R70</f>
        <v>0.67386894537600017</v>
      </c>
      <c r="M115" s="1158">
        <f t="shared" si="23"/>
        <v>2.8138313721379711</v>
      </c>
      <c r="N115" s="1159">
        <f t="shared" si="24"/>
        <v>5063.2319264414173</v>
      </c>
      <c r="O115" s="1159">
        <f t="shared" si="25"/>
        <v>6888.035812197636</v>
      </c>
      <c r="P115" s="1159">
        <f t="shared" si="26"/>
        <v>-1832.8124785652039</v>
      </c>
      <c r="Q115" s="1159">
        <f t="shared" si="27"/>
        <v>61.337659734379692</v>
      </c>
      <c r="R115" s="2773"/>
      <c r="S115" s="396"/>
      <c r="T115" s="3"/>
      <c r="U115" s="3"/>
      <c r="V115" s="618"/>
      <c r="W115" s="3"/>
      <c r="X115" s="3"/>
      <c r="Y115" s="3"/>
      <c r="Z115" s="618"/>
      <c r="AA115" s="3"/>
      <c r="AB115" s="3"/>
    </row>
    <row r="116" spans="1:28" ht="18.75" x14ac:dyDescent="0.3">
      <c r="A116" s="2862"/>
      <c r="B116" s="706">
        <v>2057</v>
      </c>
      <c r="C116" s="1164">
        <f t="shared" si="28"/>
        <v>98.288177448651609</v>
      </c>
      <c r="D116" s="1164">
        <f t="shared" si="29"/>
        <v>323.14143730779034</v>
      </c>
      <c r="E116" s="1164">
        <f t="shared" si="30"/>
        <v>790.10736695915375</v>
      </c>
      <c r="F116" s="1164">
        <f t="shared" si="31"/>
        <v>-270.70460073694801</v>
      </c>
      <c r="G116" s="1164">
        <f t="shared" si="32"/>
        <v>91.023128688850591</v>
      </c>
      <c r="H116" s="827">
        <f>(0.0584*1.02)*0.4712</f>
        <v>2.8068441600000001E-2</v>
      </c>
      <c r="I116" s="1157">
        <f>'Emission-Waste Transport Vehicl'!N71</f>
        <v>15.362315641728001</v>
      </c>
      <c r="J116" s="1157">
        <f>'Emission-Waste Transport Vehicl'!P71</f>
        <v>8.547336471168002</v>
      </c>
      <c r="K116" s="1157">
        <f>'Emission-Waste Transport Vehicl'!Q71</f>
        <v>6.6381018485760004</v>
      </c>
      <c r="L116" s="1157">
        <f>'Emission-Waste Transport Vehicl'!R71</f>
        <v>0.66068882035200005</v>
      </c>
      <c r="M116" s="1158">
        <f t="shared" si="23"/>
        <v>2.7587959686879149</v>
      </c>
      <c r="N116" s="1159">
        <f t="shared" si="24"/>
        <v>4964.2007568439358</v>
      </c>
      <c r="O116" s="1159">
        <f t="shared" si="25"/>
        <v>6753.3135137484951</v>
      </c>
      <c r="P116" s="1159">
        <f t="shared" si="26"/>
        <v>-1796.9647105699628</v>
      </c>
      <c r="Q116" s="1159">
        <f t="shared" si="27"/>
        <v>60.137963518184989</v>
      </c>
      <c r="R116" s="2773"/>
      <c r="S116" s="396"/>
      <c r="T116" s="3"/>
      <c r="U116" s="3"/>
      <c r="V116" s="618"/>
      <c r="W116" s="3"/>
      <c r="X116" s="3"/>
      <c r="Y116" s="3"/>
      <c r="Z116" s="618"/>
      <c r="AA116" s="3"/>
      <c r="AB116" s="3"/>
    </row>
    <row r="117" spans="1:28" ht="18.75" x14ac:dyDescent="0.3">
      <c r="A117" s="2862"/>
      <c r="B117" s="706">
        <v>2058</v>
      </c>
      <c r="C117" s="1164">
        <f t="shared" si="28"/>
        <v>98.288177448651609</v>
      </c>
      <c r="D117" s="1164">
        <f t="shared" si="29"/>
        <v>323.14143730779034</v>
      </c>
      <c r="E117" s="1164">
        <f t="shared" si="30"/>
        <v>790.10736695915375</v>
      </c>
      <c r="F117" s="1164">
        <f t="shared" si="31"/>
        <v>-270.70460073694801</v>
      </c>
      <c r="G117" s="1164">
        <f t="shared" si="32"/>
        <v>91.023128688850591</v>
      </c>
      <c r="H117" s="827">
        <f>(0.0584*1.02)*0.4619</f>
        <v>2.7514459200000001E-2</v>
      </c>
      <c r="I117" s="1157">
        <f>'Emission-Waste Transport Vehicl'!N72</f>
        <v>15.059112043536</v>
      </c>
      <c r="J117" s="1157">
        <f>'Emission-Waste Transport Vehicl'!P72</f>
        <v>8.378639040816001</v>
      </c>
      <c r="K117" s="1157">
        <f>'Emission-Waste Transport Vehicl'!Q72</f>
        <v>6.5070866805119998</v>
      </c>
      <c r="L117" s="1157">
        <f>'Emission-Waste Transport Vehicl'!R72</f>
        <v>0.647648909424</v>
      </c>
      <c r="M117" s="1158">
        <f t="shared" si="23"/>
        <v>2.7043460482532851</v>
      </c>
      <c r="N117" s="1159">
        <f t="shared" si="24"/>
        <v>4866.2231103272788</v>
      </c>
      <c r="O117" s="1159">
        <f t="shared" si="25"/>
        <v>6620.0244312403001</v>
      </c>
      <c r="P117" s="1159">
        <f t="shared" si="26"/>
        <v>-1761.4983018087132</v>
      </c>
      <c r="Q117" s="1159">
        <f t="shared" si="27"/>
        <v>58.951030027694493</v>
      </c>
      <c r="R117" s="2773"/>
      <c r="S117" s="396"/>
      <c r="T117" s="3"/>
      <c r="U117" s="3"/>
      <c r="V117" s="618"/>
      <c r="W117" s="3"/>
      <c r="X117" s="3"/>
      <c r="Y117" s="3"/>
      <c r="Z117" s="618"/>
      <c r="AA117" s="3"/>
      <c r="AB117" s="3"/>
    </row>
    <row r="118" spans="1:28" ht="18.75" x14ac:dyDescent="0.3">
      <c r="A118" s="2862"/>
      <c r="B118" s="706">
        <v>2059</v>
      </c>
      <c r="C118" s="1164">
        <f t="shared" si="28"/>
        <v>98.288177448651609</v>
      </c>
      <c r="D118" s="1164">
        <f t="shared" si="29"/>
        <v>323.14143730779034</v>
      </c>
      <c r="E118" s="1164">
        <f t="shared" si="30"/>
        <v>790.10736695915375</v>
      </c>
      <c r="F118" s="1164">
        <f t="shared" si="31"/>
        <v>-270.70460073694801</v>
      </c>
      <c r="G118" s="1164">
        <f t="shared" si="32"/>
        <v>91.023128688850591</v>
      </c>
      <c r="H118" s="827">
        <f>(0.0584*1.02)*0.4529</f>
        <v>2.6978347200000002E-2</v>
      </c>
      <c r="I118" s="1157">
        <f>'Emission-Waste Transport Vehicl'!N73</f>
        <v>14.765689206576004</v>
      </c>
      <c r="J118" s="1157">
        <f>'Emission-Waste Transport Vehicl'!P73</f>
        <v>8.2153834630560016</v>
      </c>
      <c r="K118" s="1157">
        <f>'Emission-Waste Transport Vehicl'!Q73</f>
        <v>6.380297808192001</v>
      </c>
      <c r="L118" s="1157">
        <f>'Emission-Waste Transport Vehicl'!R73</f>
        <v>0.63502964078400004</v>
      </c>
      <c r="M118" s="1158">
        <f t="shared" si="23"/>
        <v>2.6516525768649335</v>
      </c>
      <c r="N118" s="1159">
        <f t="shared" si="24"/>
        <v>4771.4060330530965</v>
      </c>
      <c r="O118" s="1159">
        <f t="shared" si="25"/>
        <v>6491.0349965549512</v>
      </c>
      <c r="P118" s="1159">
        <f t="shared" si="26"/>
        <v>-1727.17597074944</v>
      </c>
      <c r="Q118" s="1159">
        <f t="shared" si="27"/>
        <v>57.802384714316602</v>
      </c>
      <c r="R118" s="2773"/>
      <c r="S118" s="396"/>
      <c r="T118" s="3"/>
      <c r="U118" s="3"/>
      <c r="V118" s="618"/>
      <c r="W118" s="3"/>
      <c r="X118" s="3"/>
      <c r="Y118" s="3"/>
      <c r="Z118" s="618"/>
      <c r="AA118" s="3"/>
      <c r="AB118" s="3"/>
    </row>
    <row r="119" spans="1:28" ht="18.75" x14ac:dyDescent="0.3">
      <c r="A119" s="2862"/>
      <c r="B119" s="706">
        <v>2060</v>
      </c>
      <c r="C119" s="1164">
        <f t="shared" si="28"/>
        <v>98.288177448651609</v>
      </c>
      <c r="D119" s="1164">
        <f t="shared" si="29"/>
        <v>323.14143730779034</v>
      </c>
      <c r="E119" s="1164">
        <f t="shared" si="30"/>
        <v>790.10736695915375</v>
      </c>
      <c r="F119" s="1164">
        <f t="shared" si="31"/>
        <v>-270.70460073694801</v>
      </c>
      <c r="G119" s="1164">
        <f t="shared" si="32"/>
        <v>91.023128688850591</v>
      </c>
      <c r="H119" s="827">
        <f>(0.0584*1.02)*0.444</f>
        <v>2.6448192000000002E-2</v>
      </c>
      <c r="I119" s="1157">
        <f>'Emission-Waste Transport Vehicl'!N74</f>
        <v>14.475526623360002</v>
      </c>
      <c r="J119" s="1157">
        <f>'Emission-Waste Transport Vehicl'!P74</f>
        <v>8.0539418361599999</v>
      </c>
      <c r="K119" s="1157">
        <f>'Emission-Waste Transport Vehicl'!Q74</f>
        <v>6.2549177011200001</v>
      </c>
      <c r="L119" s="1157">
        <f>'Emission-Waste Transport Vehicl'!R74</f>
        <v>0.62255058624000004</v>
      </c>
      <c r="M119" s="1158">
        <f t="shared" si="23"/>
        <v>2.5995445884920083</v>
      </c>
      <c r="N119" s="1159">
        <f t="shared" si="24"/>
        <v>4677.642478859736</v>
      </c>
      <c r="O119" s="1159">
        <f t="shared" si="25"/>
        <v>6363.4787778105492</v>
      </c>
      <c r="P119" s="1159">
        <f t="shared" si="26"/>
        <v>-1693.2349989241584</v>
      </c>
      <c r="Q119" s="1159">
        <f t="shared" si="27"/>
        <v>56.666502126642904</v>
      </c>
      <c r="R119" s="2773"/>
      <c r="S119" s="396"/>
      <c r="T119" s="3"/>
      <c r="U119" s="3"/>
      <c r="V119" s="618"/>
      <c r="W119" s="3"/>
      <c r="X119" s="3"/>
      <c r="Y119" s="3"/>
      <c r="Z119" s="618"/>
      <c r="AA119" s="3"/>
      <c r="AB119" s="3"/>
    </row>
    <row r="120" spans="1:28" ht="18.75" x14ac:dyDescent="0.3">
      <c r="A120" s="2862"/>
      <c r="B120" s="706">
        <v>2061</v>
      </c>
      <c r="C120" s="1164">
        <f t="shared" si="28"/>
        <v>98.288177448651609</v>
      </c>
      <c r="D120" s="1164">
        <f t="shared" si="29"/>
        <v>323.14143730779034</v>
      </c>
      <c r="E120" s="1164">
        <f t="shared" si="30"/>
        <v>790.10736695915375</v>
      </c>
      <c r="F120" s="1164">
        <f t="shared" si="31"/>
        <v>-270.70460073694801</v>
      </c>
      <c r="G120" s="1164">
        <f t="shared" si="32"/>
        <v>91.023128688850591</v>
      </c>
      <c r="H120" s="827">
        <f>(0.0584*1.02)*0.4353</f>
        <v>2.5929950400000002E-2</v>
      </c>
      <c r="I120" s="1157">
        <f>'Emission-Waste Transport Vehicl'!N75</f>
        <v>14.191884547632004</v>
      </c>
      <c r="J120" s="1157">
        <f>'Emission-Waste Transport Vehicl'!P75</f>
        <v>7.8961281109920014</v>
      </c>
      <c r="K120" s="1157">
        <f>'Emission-Waste Transport Vehicl'!Q75</f>
        <v>6.1323551245440004</v>
      </c>
      <c r="L120" s="1157">
        <f>'Emission-Waste Transport Vehicl'!R75</f>
        <v>0.61035195988800006</v>
      </c>
      <c r="M120" s="1158">
        <f t="shared" si="23"/>
        <v>2.548607566149935</v>
      </c>
      <c r="N120" s="1159">
        <f t="shared" si="24"/>
        <v>4585.9859708280255</v>
      </c>
      <c r="O120" s="1159">
        <f t="shared" si="25"/>
        <v>6238.7889909480464</v>
      </c>
      <c r="P120" s="1159">
        <f t="shared" si="26"/>
        <v>-1660.0567455668606</v>
      </c>
      <c r="Q120" s="1159">
        <f t="shared" si="27"/>
        <v>55.556144990377604</v>
      </c>
      <c r="R120" s="2773"/>
      <c r="S120" s="396"/>
      <c r="T120" s="3"/>
      <c r="U120" s="3"/>
      <c r="V120" s="618"/>
      <c r="W120" s="3"/>
      <c r="X120" s="3"/>
      <c r="Y120" s="3"/>
      <c r="Z120" s="618"/>
      <c r="AA120" s="3"/>
      <c r="AB120" s="3"/>
    </row>
    <row r="121" spans="1:28" ht="18.75" x14ac:dyDescent="0.3">
      <c r="A121" s="2862"/>
      <c r="B121" s="706">
        <v>2062</v>
      </c>
      <c r="C121" s="1164">
        <f t="shared" si="28"/>
        <v>98.288177448651609</v>
      </c>
      <c r="D121" s="1164">
        <f t="shared" si="29"/>
        <v>323.14143730779034</v>
      </c>
      <c r="E121" s="1164">
        <f t="shared" si="30"/>
        <v>790.10736695915375</v>
      </c>
      <c r="F121" s="1164">
        <f t="shared" si="31"/>
        <v>-270.70460073694801</v>
      </c>
      <c r="G121" s="1164">
        <f t="shared" si="32"/>
        <v>91.023128688850591</v>
      </c>
      <c r="H121" s="827">
        <f>(0.0584*1.02)*0.4268</f>
        <v>2.5423622400000002E-2</v>
      </c>
      <c r="I121" s="1157">
        <f>'Emission-Waste Transport Vehicl'!N76</f>
        <v>13.914762979392002</v>
      </c>
      <c r="J121" s="1157">
        <f>'Emission-Waste Transport Vehicl'!P76</f>
        <v>7.7419422875520008</v>
      </c>
      <c r="K121" s="1157">
        <f>'Emission-Waste Transport Vehicl'!Q76</f>
        <v>6.0126100784640002</v>
      </c>
      <c r="L121" s="1157">
        <f>'Emission-Waste Transport Vehicl'!R76</f>
        <v>0.59843376172800011</v>
      </c>
      <c r="M121" s="1158">
        <f t="shared" si="23"/>
        <v>2.498841509838714</v>
      </c>
      <c r="N121" s="1159">
        <f t="shared" si="24"/>
        <v>4496.4365089579624</v>
      </c>
      <c r="O121" s="1159">
        <f t="shared" si="25"/>
        <v>6116.9656359674391</v>
      </c>
      <c r="P121" s="1159">
        <f t="shared" si="26"/>
        <v>-1627.6412106775467</v>
      </c>
      <c r="Q121" s="1159">
        <f t="shared" si="27"/>
        <v>54.471313305520702</v>
      </c>
      <c r="R121" s="2773"/>
      <c r="S121" s="396"/>
      <c r="T121" s="3"/>
      <c r="U121" s="3"/>
      <c r="V121" s="618"/>
      <c r="W121" s="3"/>
      <c r="X121" s="3"/>
      <c r="Y121" s="3"/>
      <c r="Z121" s="618"/>
      <c r="AA121" s="3"/>
      <c r="AB121" s="3"/>
    </row>
    <row r="122" spans="1:28" ht="18.75" x14ac:dyDescent="0.3">
      <c r="A122" s="2862"/>
      <c r="B122" s="706">
        <v>2063</v>
      </c>
      <c r="C122" s="1164">
        <f t="shared" si="28"/>
        <v>98.288177448651609</v>
      </c>
      <c r="D122" s="1164">
        <f t="shared" si="29"/>
        <v>323.14143730779034</v>
      </c>
      <c r="E122" s="1164">
        <f t="shared" si="30"/>
        <v>790.10736695915375</v>
      </c>
      <c r="F122" s="1164">
        <f t="shared" si="31"/>
        <v>-270.70460073694801</v>
      </c>
      <c r="G122" s="1164">
        <f t="shared" si="32"/>
        <v>91.023128688850591</v>
      </c>
      <c r="H122" s="827">
        <f>(0.0584*1.02)*0.4184</f>
        <v>2.49232512E-2</v>
      </c>
      <c r="I122" s="1157">
        <f>'Emission-Waste Transport Vehicl'!N77</f>
        <v>13.640901664896001</v>
      </c>
      <c r="J122" s="1157">
        <f>'Emission-Waste Transport Vehicl'!P77</f>
        <v>7.5895704149760004</v>
      </c>
      <c r="K122" s="1157">
        <f>'Emission-Waste Transport Vehicl'!Q77</f>
        <v>5.8942737976319997</v>
      </c>
      <c r="L122" s="1157">
        <f>'Emission-Waste Transport Vehicl'!R77</f>
        <v>0.58665577766400001</v>
      </c>
      <c r="M122" s="1158">
        <f t="shared" si="23"/>
        <v>2.4496609365429189</v>
      </c>
      <c r="N122" s="1159">
        <f t="shared" si="24"/>
        <v>4407.9405701687238</v>
      </c>
      <c r="O122" s="1159">
        <f t="shared" si="25"/>
        <v>5996.5754969277796</v>
      </c>
      <c r="P122" s="1159">
        <f t="shared" si="26"/>
        <v>-1595.6070350222249</v>
      </c>
      <c r="Q122" s="1159">
        <f t="shared" si="27"/>
        <v>53.399244346367993</v>
      </c>
      <c r="R122" s="2773"/>
      <c r="S122" s="396"/>
      <c r="T122" s="3"/>
      <c r="U122" s="3"/>
      <c r="V122" s="618"/>
      <c r="W122" s="3"/>
      <c r="X122" s="3"/>
      <c r="Y122" s="3"/>
      <c r="Z122" s="618"/>
      <c r="AA122" s="3"/>
      <c r="AB122" s="3"/>
    </row>
    <row r="123" spans="1:28" ht="18.75" x14ac:dyDescent="0.3">
      <c r="A123" s="2862"/>
      <c r="B123" s="706">
        <v>2064</v>
      </c>
      <c r="C123" s="1164">
        <f t="shared" si="28"/>
        <v>98.288177448651609</v>
      </c>
      <c r="D123" s="1164">
        <f t="shared" si="29"/>
        <v>323.14143730779034</v>
      </c>
      <c r="E123" s="1164">
        <f t="shared" si="30"/>
        <v>790.10736695915375</v>
      </c>
      <c r="F123" s="1164">
        <f t="shared" si="31"/>
        <v>-270.70460073694801</v>
      </c>
      <c r="G123" s="1164">
        <f t="shared" si="32"/>
        <v>91.023128688850591</v>
      </c>
      <c r="H123" s="827">
        <f>(0.0584*1.02)*0.4102</f>
        <v>2.4434793600000001E-2</v>
      </c>
      <c r="I123" s="1157">
        <f>'Emission-Waste Transport Vehicl'!N78</f>
        <v>13.373560857888002</v>
      </c>
      <c r="J123" s="1157">
        <f>'Emission-Waste Transport Vehicl'!P78</f>
        <v>7.4408264441280014</v>
      </c>
      <c r="K123" s="1157">
        <f>'Emission-Waste Transport Vehicl'!Q78</f>
        <v>5.7787550472960003</v>
      </c>
      <c r="L123" s="1157">
        <f>'Emission-Waste Transport Vehicl'!R78</f>
        <v>0.57515822179200005</v>
      </c>
      <c r="M123" s="1158">
        <f t="shared" si="23"/>
        <v>2.4016513292779766</v>
      </c>
      <c r="N123" s="1159">
        <f t="shared" si="24"/>
        <v>4321.5516775411343</v>
      </c>
      <c r="O123" s="1159">
        <f t="shared" si="25"/>
        <v>5879.0517897700183</v>
      </c>
      <c r="P123" s="1159">
        <f t="shared" si="26"/>
        <v>-1564.3355778348869</v>
      </c>
      <c r="Q123" s="1159">
        <f t="shared" si="27"/>
        <v>52.35270083862369</v>
      </c>
      <c r="R123" s="2773"/>
      <c r="S123" s="396"/>
      <c r="T123" s="3"/>
      <c r="U123" s="3"/>
      <c r="V123" s="618"/>
      <c r="W123" s="3"/>
      <c r="X123" s="3"/>
      <c r="Y123" s="3"/>
      <c r="Z123" s="618"/>
      <c r="AA123" s="3"/>
      <c r="AB123" s="3"/>
    </row>
    <row r="124" spans="1:28" ht="18.75" x14ac:dyDescent="0.3">
      <c r="A124" s="2862"/>
      <c r="B124" s="706">
        <v>2065</v>
      </c>
      <c r="C124" s="1164">
        <f t="shared" si="28"/>
        <v>98.288177448651609</v>
      </c>
      <c r="D124" s="1164">
        <f t="shared" si="29"/>
        <v>323.14143730779034</v>
      </c>
      <c r="E124" s="1164">
        <f t="shared" si="30"/>
        <v>790.10736695915375</v>
      </c>
      <c r="F124" s="1164">
        <f t="shared" si="31"/>
        <v>-270.70460073694801</v>
      </c>
      <c r="G124" s="1164">
        <f t="shared" si="32"/>
        <v>91.023128688850591</v>
      </c>
      <c r="H124" s="827">
        <f>(0.0584*1.02)*0.4022</f>
        <v>2.3958249600000002E-2</v>
      </c>
      <c r="I124" s="1157">
        <f>'Emission-Waste Transport Vehicl'!N79</f>
        <v>13.112740558368001</v>
      </c>
      <c r="J124" s="1157">
        <f>'Emission-Waste Transport Vehicl'!P79</f>
        <v>7.2957103750080003</v>
      </c>
      <c r="K124" s="1157">
        <f>'Emission-Waste Transport Vehicl'!Q79</f>
        <v>5.6660538274560004</v>
      </c>
      <c r="L124" s="1157">
        <f>'Emission-Waste Transport Vehicl'!R79</f>
        <v>0.56394109411200011</v>
      </c>
      <c r="M124" s="1158">
        <f t="shared" si="23"/>
        <v>2.3548126880438867</v>
      </c>
      <c r="N124" s="1159">
        <f t="shared" si="24"/>
        <v>4237.269831075193</v>
      </c>
      <c r="O124" s="1159">
        <f t="shared" si="25"/>
        <v>5764.3945144941517</v>
      </c>
      <c r="P124" s="1159">
        <f t="shared" si="26"/>
        <v>-1533.8268391155327</v>
      </c>
      <c r="Q124" s="1159">
        <f t="shared" si="27"/>
        <v>51.331682782287785</v>
      </c>
      <c r="R124" s="2773"/>
      <c r="S124" s="396"/>
      <c r="T124" s="3"/>
      <c r="U124" s="3"/>
      <c r="V124" s="618"/>
      <c r="W124" s="3"/>
      <c r="X124" s="3"/>
      <c r="Y124" s="3"/>
      <c r="Z124" s="618"/>
      <c r="AA124" s="3"/>
      <c r="AB124" s="3"/>
    </row>
    <row r="125" spans="1:28" ht="18.75" x14ac:dyDescent="0.3">
      <c r="A125" s="2862"/>
      <c r="B125" s="706">
        <v>2066</v>
      </c>
      <c r="C125" s="1164">
        <f t="shared" si="28"/>
        <v>98.288177448651609</v>
      </c>
      <c r="D125" s="1164">
        <f t="shared" si="29"/>
        <v>323.14143730779034</v>
      </c>
      <c r="E125" s="1164">
        <f t="shared" si="30"/>
        <v>790.10736695915375</v>
      </c>
      <c r="F125" s="1164">
        <f t="shared" si="31"/>
        <v>-270.70460073694801</v>
      </c>
      <c r="G125" s="1164">
        <f t="shared" si="32"/>
        <v>91.023128688850591</v>
      </c>
      <c r="H125" s="827">
        <f>(0.0584*1.02)*0.3943</f>
        <v>2.3487662400000001E-2</v>
      </c>
      <c r="I125" s="1157">
        <f>'Emission-Waste Transport Vehicl'!N80</f>
        <v>12.855180512592</v>
      </c>
      <c r="J125" s="1157">
        <f>'Emission-Waste Transport Vehicl'!P80</f>
        <v>7.1524082567520004</v>
      </c>
      <c r="K125" s="1157">
        <f>'Emission-Waste Transport Vehicl'!Q80</f>
        <v>5.5547613728639993</v>
      </c>
      <c r="L125" s="1157">
        <f>'Emission-Waste Transport Vehicl'!R80</f>
        <v>0.55286418052800002</v>
      </c>
      <c r="M125" s="1158">
        <f t="shared" si="23"/>
        <v>2.3085595298252226</v>
      </c>
      <c r="N125" s="1159">
        <f t="shared" si="24"/>
        <v>4154.0415076900754</v>
      </c>
      <c r="O125" s="1159">
        <f t="shared" si="25"/>
        <v>5651.1704551592338</v>
      </c>
      <c r="P125" s="1159">
        <f t="shared" si="26"/>
        <v>-1503.6994596301702</v>
      </c>
      <c r="Q125" s="1159">
        <f t="shared" si="27"/>
        <v>50.323427451656073</v>
      </c>
      <c r="R125" s="2773"/>
      <c r="S125" s="396"/>
      <c r="T125" s="3"/>
      <c r="U125" s="3"/>
      <c r="V125" s="618"/>
      <c r="W125" s="3"/>
      <c r="X125" s="3"/>
      <c r="Y125" s="3"/>
      <c r="Z125" s="618"/>
      <c r="AA125" s="3"/>
      <c r="AB125" s="3"/>
    </row>
    <row r="126" spans="1:28" ht="18.75" x14ac:dyDescent="0.3">
      <c r="A126" s="2862"/>
      <c r="B126" s="706">
        <v>2067</v>
      </c>
      <c r="C126" s="1164">
        <f t="shared" si="28"/>
        <v>98.288177448651609</v>
      </c>
      <c r="D126" s="1164">
        <f t="shared" si="29"/>
        <v>323.14143730779034</v>
      </c>
      <c r="E126" s="1164">
        <f t="shared" si="30"/>
        <v>790.10736695915375</v>
      </c>
      <c r="F126" s="1164">
        <f t="shared" si="31"/>
        <v>-270.70460073694801</v>
      </c>
      <c r="G126" s="1164">
        <f t="shared" si="32"/>
        <v>91.023128688850591</v>
      </c>
      <c r="H126" s="827">
        <f>(0.0584*1.02)*0.3865</f>
        <v>2.3023032000000002E-2</v>
      </c>
      <c r="I126" s="1157">
        <f>'Emission-Waste Transport Vehicl'!N81</f>
        <v>12.600880720560001</v>
      </c>
      <c r="J126" s="1157">
        <f>'Emission-Waste Transport Vehicl'!P81</f>
        <v>7.0109200893600008</v>
      </c>
      <c r="K126" s="1157">
        <f>'Emission-Waste Transport Vehicl'!Q81</f>
        <v>5.4448776835200006</v>
      </c>
      <c r="L126" s="1157">
        <f>'Emission-Waste Transport Vehicl'!R81</f>
        <v>0.5419274810400001</v>
      </c>
      <c r="M126" s="1158">
        <f t="shared" si="23"/>
        <v>2.2628918546219845</v>
      </c>
      <c r="N126" s="1159">
        <f t="shared" si="24"/>
        <v>4071.8667073857837</v>
      </c>
      <c r="O126" s="1159">
        <f t="shared" si="25"/>
        <v>5539.3796117652655</v>
      </c>
      <c r="P126" s="1159">
        <f t="shared" si="26"/>
        <v>-1473.9534393788001</v>
      </c>
      <c r="Q126" s="1159">
        <f t="shared" si="27"/>
        <v>49.327934846728567</v>
      </c>
      <c r="R126" s="2773"/>
      <c r="S126" s="396"/>
      <c r="T126" s="3"/>
      <c r="U126" s="3"/>
      <c r="V126" s="618"/>
      <c r="W126" s="3"/>
      <c r="X126" s="3"/>
      <c r="Y126" s="3"/>
      <c r="Z126" s="618"/>
      <c r="AA126" s="3"/>
      <c r="AB126" s="3"/>
    </row>
    <row r="127" spans="1:28" ht="18.75" x14ac:dyDescent="0.3">
      <c r="A127" s="2862"/>
      <c r="B127" s="706">
        <v>2068</v>
      </c>
      <c r="C127" s="1164">
        <f t="shared" si="28"/>
        <v>98.288177448651609</v>
      </c>
      <c r="D127" s="1164">
        <f t="shared" si="29"/>
        <v>323.14143730779034</v>
      </c>
      <c r="E127" s="1164">
        <f t="shared" si="30"/>
        <v>790.10736695915375</v>
      </c>
      <c r="F127" s="1164">
        <f t="shared" si="31"/>
        <v>-270.70460073694801</v>
      </c>
      <c r="G127" s="1164">
        <f t="shared" si="32"/>
        <v>91.023128688850591</v>
      </c>
      <c r="H127" s="827">
        <f>(0.0584*1.02)*0.379</f>
        <v>2.2576272000000001E-2</v>
      </c>
      <c r="I127" s="1157">
        <f>'Emission-Waste Transport Vehicl'!N82</f>
        <v>12.356361689760002</v>
      </c>
      <c r="J127" s="1157">
        <f>'Emission-Waste Transport Vehicl'!P82</f>
        <v>6.8748737745600002</v>
      </c>
      <c r="K127" s="1157">
        <f>'Emission-Waste Transport Vehicl'!Q82</f>
        <v>5.339220289920001</v>
      </c>
      <c r="L127" s="1157">
        <f>'Emission-Waste Transport Vehicl'!R82</f>
        <v>0.53141142384000006</v>
      </c>
      <c r="M127" s="1158">
        <f t="shared" si="23"/>
        <v>2.2189806284650251</v>
      </c>
      <c r="N127" s="1159">
        <f t="shared" si="24"/>
        <v>3992.8524763239639</v>
      </c>
      <c r="O127" s="1159">
        <f t="shared" si="25"/>
        <v>5431.8884161941405</v>
      </c>
      <c r="P127" s="1159">
        <f t="shared" si="26"/>
        <v>-1445.3514968294057</v>
      </c>
      <c r="Q127" s="1159">
        <f t="shared" si="27"/>
        <v>48.370730418913652</v>
      </c>
      <c r="R127" s="2773"/>
      <c r="S127" s="396"/>
      <c r="T127" s="3"/>
      <c r="U127" s="3"/>
      <c r="V127" s="618"/>
      <c r="W127" s="3"/>
      <c r="X127" s="3"/>
      <c r="Y127" s="3"/>
      <c r="Z127" s="618"/>
      <c r="AA127" s="3"/>
      <c r="AB127" s="3"/>
    </row>
    <row r="128" spans="1:28" ht="19.5" thickBot="1" x14ac:dyDescent="0.35">
      <c r="A128" s="2863"/>
      <c r="B128" s="55">
        <v>2069</v>
      </c>
      <c r="C128" s="1165">
        <f t="shared" si="28"/>
        <v>98.288177448651609</v>
      </c>
      <c r="D128" s="1165">
        <f t="shared" si="29"/>
        <v>323.14143730779034</v>
      </c>
      <c r="E128" s="1165">
        <f t="shared" si="30"/>
        <v>790.10736695915375</v>
      </c>
      <c r="F128" s="1165">
        <f t="shared" si="31"/>
        <v>-270.70460073694801</v>
      </c>
      <c r="G128" s="1165">
        <f t="shared" si="32"/>
        <v>91.023128688850591</v>
      </c>
      <c r="H128" s="1062">
        <f>(0.0584*1.02)*0.3715</f>
        <v>2.2129512E-2</v>
      </c>
      <c r="I128" s="1161">
        <f>'Emission-Waste Transport Vehicl'!N83</f>
        <v>12.111842658960002</v>
      </c>
      <c r="J128" s="1161">
        <f>'Emission-Waste Transport Vehicl'!P83</f>
        <v>6.7388274597600004</v>
      </c>
      <c r="K128" s="1161">
        <f>'Emission-Waste Transport Vehicl'!Q83</f>
        <v>5.2335628963200005</v>
      </c>
      <c r="L128" s="1161">
        <f>'Emission-Waste Transport Vehicl'!R83</f>
        <v>0.52089536664000002</v>
      </c>
      <c r="M128" s="1162">
        <f t="shared" si="23"/>
        <v>2.1750694023080652</v>
      </c>
      <c r="N128" s="1163">
        <f t="shared" si="24"/>
        <v>3913.8382452621445</v>
      </c>
      <c r="O128" s="1163">
        <f t="shared" si="25"/>
        <v>5324.3972206230164</v>
      </c>
      <c r="P128" s="1163">
        <f t="shared" si="26"/>
        <v>-1416.7495542800109</v>
      </c>
      <c r="Q128" s="1163">
        <f t="shared" si="27"/>
        <v>47.41352599109873</v>
      </c>
      <c r="R128" s="2774"/>
      <c r="S128" s="396"/>
      <c r="T128" s="3"/>
      <c r="U128" s="3"/>
      <c r="V128" s="618"/>
      <c r="W128" s="3"/>
      <c r="X128" s="3"/>
      <c r="Y128" s="3"/>
      <c r="Z128" s="618"/>
      <c r="AA128" s="3"/>
      <c r="AB128" s="3"/>
    </row>
    <row r="129" spans="1:28" ht="18.75" x14ac:dyDescent="0.3">
      <c r="A129" s="2903" t="s">
        <v>704</v>
      </c>
      <c r="B129" s="888">
        <v>2019</v>
      </c>
      <c r="C129" s="1166">
        <f t="shared" ref="C129:C160" si="33">$S$9</f>
        <v>3444.6872431242909</v>
      </c>
      <c r="D129" s="1153">
        <f t="shared" ref="D129:D160" si="34">$T$9</f>
        <v>370.97876042062092</v>
      </c>
      <c r="E129" s="1153">
        <f t="shared" ref="E129:E160" si="35">$R$9</f>
        <v>1032.9166200358613</v>
      </c>
      <c r="F129" s="1153">
        <f t="shared" ref="F129:F160" si="36">$V$9</f>
        <v>-1728.5843544840845</v>
      </c>
      <c r="G129" s="1153">
        <f t="shared" ref="G129:G160" si="37">$U$9</f>
        <v>307.39366771292697</v>
      </c>
      <c r="H129" s="1056">
        <f>0.0584*1.02</f>
        <v>5.9568000000000003E-2</v>
      </c>
      <c r="I129" s="1154">
        <f>'Emission-Waste Transport Vehicl'!N33</f>
        <v>32.602537440000006</v>
      </c>
      <c r="J129" s="1154">
        <f>'Emission-Waste Transport Vehicl'!P33</f>
        <v>18.139508640000003</v>
      </c>
      <c r="K129" s="1154">
        <f>'Emission-Waste Transport Vehicl'!Q33</f>
        <v>14.087652480000001</v>
      </c>
      <c r="L129" s="1154">
        <f>'Emission-Waste Transport Vehicl'!R33</f>
        <v>1.4021409600000001</v>
      </c>
      <c r="M129" s="1155">
        <f>C129*H129</f>
        <v>205.19312969842778</v>
      </c>
      <c r="N129" s="1155">
        <f t="shared" si="24"/>
        <v>12094.848926058086</v>
      </c>
      <c r="O129" s="1155">
        <f t="shared" si="25"/>
        <v>18736.599953540106</v>
      </c>
      <c r="P129" s="1155">
        <f t="shared" si="26"/>
        <v>-24351.695668336914</v>
      </c>
      <c r="Q129" s="1155">
        <f t="shared" si="27"/>
        <v>431.00925234492445</v>
      </c>
      <c r="R129" s="2772">
        <f>(SUM(M129:M179))+(SUM(N129:N179))+(SUM(O129:O179))+(SUM(P129:P179))+(SUM(Q129:Q179))</f>
        <v>230255.31727685643</v>
      </c>
      <c r="S129" s="396"/>
      <c r="T129" s="3"/>
      <c r="U129" s="3"/>
      <c r="V129" s="618"/>
      <c r="W129" s="3"/>
      <c r="X129" s="3"/>
      <c r="Y129" s="3"/>
      <c r="Z129" s="618"/>
      <c r="AA129" s="3"/>
      <c r="AB129" s="3"/>
    </row>
    <row r="130" spans="1:28" ht="18.75" x14ac:dyDescent="0.3">
      <c r="A130" s="2862"/>
      <c r="B130" s="706">
        <v>2020</v>
      </c>
      <c r="C130" s="1167">
        <f t="shared" si="33"/>
        <v>3444.6872431242909</v>
      </c>
      <c r="D130" s="1156">
        <f t="shared" si="34"/>
        <v>370.97876042062092</v>
      </c>
      <c r="E130" s="1156">
        <f t="shared" si="35"/>
        <v>1032.9166200358613</v>
      </c>
      <c r="F130" s="1156">
        <f t="shared" si="36"/>
        <v>-1728.5843544840845</v>
      </c>
      <c r="G130" s="1156">
        <f t="shared" si="37"/>
        <v>307.39366771292697</v>
      </c>
      <c r="H130" s="827">
        <f>(0.0584*1.02)*0.9804</f>
        <v>5.8400467200000007E-2</v>
      </c>
      <c r="I130" s="1157">
        <f>'Emission-Waste Transport Vehicl'!N34</f>
        <v>31.963527706176006</v>
      </c>
      <c r="J130" s="1157">
        <f>'Emission-Waste Transport Vehicl'!P34</f>
        <v>17.783974270656003</v>
      </c>
      <c r="K130" s="1157">
        <f>'Emission-Waste Transport Vehicl'!Q34</f>
        <v>13.811534491392001</v>
      </c>
      <c r="L130" s="1157">
        <f>'Emission-Waste Transport Vehicl'!R34</f>
        <v>1.3746589971840002</v>
      </c>
      <c r="M130" s="1158">
        <f t="shared" si="23"/>
        <v>201.17134435633861</v>
      </c>
      <c r="N130" s="1159">
        <f t="shared" si="24"/>
        <v>11857.789887107347</v>
      </c>
      <c r="O130" s="1159">
        <f t="shared" si="25"/>
        <v>18369.362594450722</v>
      </c>
      <c r="P130" s="1159">
        <f t="shared" si="26"/>
        <v>-23874.402433237512</v>
      </c>
      <c r="Q130" s="1159">
        <f t="shared" si="27"/>
        <v>422.56147099896396</v>
      </c>
      <c r="R130" s="2773"/>
      <c r="S130" s="396"/>
      <c r="T130" s="3"/>
      <c r="U130" s="3"/>
      <c r="V130" s="618"/>
      <c r="W130" s="3"/>
      <c r="X130" s="3"/>
      <c r="Y130" s="3"/>
      <c r="Z130" s="618"/>
      <c r="AA130" s="3"/>
      <c r="AB130" s="3"/>
    </row>
    <row r="131" spans="1:28" ht="18.75" x14ac:dyDescent="0.3">
      <c r="A131" s="2862"/>
      <c r="B131" s="706">
        <v>2021</v>
      </c>
      <c r="C131" s="1167">
        <f t="shared" si="33"/>
        <v>3444.6872431242909</v>
      </c>
      <c r="D131" s="1156">
        <f t="shared" si="34"/>
        <v>370.97876042062092</v>
      </c>
      <c r="E131" s="1156">
        <f t="shared" si="35"/>
        <v>1032.9166200358613</v>
      </c>
      <c r="F131" s="1156">
        <f t="shared" si="36"/>
        <v>-1728.5843544840845</v>
      </c>
      <c r="G131" s="1156">
        <f t="shared" si="37"/>
        <v>307.39366771292697</v>
      </c>
      <c r="H131" s="827">
        <f>(0.0584*1.02)*0.9612</f>
        <v>5.7256761600000004E-2</v>
      </c>
      <c r="I131" s="1157">
        <f>'Emission-Waste Transport Vehicl'!N35</f>
        <v>31.337558987328006</v>
      </c>
      <c r="J131" s="1157">
        <f>'Emission-Waste Transport Vehicl'!P35</f>
        <v>17.435695704768001</v>
      </c>
      <c r="K131" s="1157">
        <f>'Emission-Waste Transport Vehicl'!Q35</f>
        <v>13.541051563776001</v>
      </c>
      <c r="L131" s="1157">
        <f>'Emission-Waste Transport Vehicl'!R35</f>
        <v>1.3477378907520003</v>
      </c>
      <c r="M131" s="1158">
        <f t="shared" si="23"/>
        <v>197.23163626612879</v>
      </c>
      <c r="N131" s="1159">
        <f t="shared" si="24"/>
        <v>11625.568787727032</v>
      </c>
      <c r="O131" s="1159">
        <f t="shared" si="25"/>
        <v>18009.619875342749</v>
      </c>
      <c r="P131" s="1159">
        <f t="shared" si="26"/>
        <v>-23406.849876405442</v>
      </c>
      <c r="Q131" s="1159">
        <f t="shared" si="27"/>
        <v>414.28609335394145</v>
      </c>
      <c r="R131" s="2773"/>
      <c r="S131" s="396"/>
      <c r="T131" s="3"/>
      <c r="U131" s="3"/>
      <c r="V131" s="618"/>
      <c r="W131" s="3"/>
      <c r="X131" s="3"/>
      <c r="Y131" s="3"/>
      <c r="Z131" s="618"/>
      <c r="AA131" s="3"/>
      <c r="AB131" s="3"/>
    </row>
    <row r="132" spans="1:28" ht="18.75" x14ac:dyDescent="0.3">
      <c r="A132" s="2862"/>
      <c r="B132" s="706">
        <v>2022</v>
      </c>
      <c r="C132" s="1167">
        <f t="shared" si="33"/>
        <v>3444.6872431242909</v>
      </c>
      <c r="D132" s="1156">
        <f t="shared" si="34"/>
        <v>370.97876042062092</v>
      </c>
      <c r="E132" s="1156">
        <f t="shared" si="35"/>
        <v>1032.9166200358613</v>
      </c>
      <c r="F132" s="1156">
        <f t="shared" si="36"/>
        <v>-1728.5843544840845</v>
      </c>
      <c r="G132" s="1156">
        <f t="shared" si="37"/>
        <v>307.39366771292697</v>
      </c>
      <c r="H132" s="827">
        <f>(0.0584*1.02)*0.9423</f>
        <v>5.6130926400000003E-2</v>
      </c>
      <c r="I132" s="1157">
        <f>'Emission-Waste Transport Vehicl'!N36</f>
        <v>30.721371029712003</v>
      </c>
      <c r="J132" s="1157">
        <f>'Emission-Waste Transport Vehicl'!P36</f>
        <v>17.092858991472003</v>
      </c>
      <c r="K132" s="1157">
        <f>'Emission-Waste Transport Vehicl'!Q36</f>
        <v>13.274794931903999</v>
      </c>
      <c r="L132" s="1157">
        <f>'Emission-Waste Transport Vehicl'!R36</f>
        <v>1.3212374266080003</v>
      </c>
      <c r="M132" s="1158">
        <f t="shared" si="23"/>
        <v>193.35348611482848</v>
      </c>
      <c r="N132" s="1159">
        <f t="shared" si="24"/>
        <v>11396.976143024533</v>
      </c>
      <c r="O132" s="1159">
        <f t="shared" si="25"/>
        <v>17655.498136220842</v>
      </c>
      <c r="P132" s="1159">
        <f t="shared" si="26"/>
        <v>-22946.60282827387</v>
      </c>
      <c r="Q132" s="1159">
        <f t="shared" si="27"/>
        <v>406.14001848462237</v>
      </c>
      <c r="R132" s="2773"/>
      <c r="S132" s="396"/>
      <c r="T132" s="3"/>
      <c r="U132" s="3"/>
      <c r="V132" s="618"/>
      <c r="W132" s="3"/>
      <c r="X132" s="3"/>
      <c r="Y132" s="3"/>
      <c r="Z132" s="618"/>
      <c r="AA132" s="3"/>
      <c r="AB132" s="3"/>
    </row>
    <row r="133" spans="1:28" ht="18.75" x14ac:dyDescent="0.3">
      <c r="A133" s="2862"/>
      <c r="B133" s="706">
        <v>2023</v>
      </c>
      <c r="C133" s="1167">
        <f t="shared" si="33"/>
        <v>3444.6872431242909</v>
      </c>
      <c r="D133" s="1156">
        <f t="shared" si="34"/>
        <v>370.97876042062092</v>
      </c>
      <c r="E133" s="1156">
        <f t="shared" si="35"/>
        <v>1032.9166200358613</v>
      </c>
      <c r="F133" s="1156">
        <f t="shared" si="36"/>
        <v>-1728.5843544840845</v>
      </c>
      <c r="G133" s="1156">
        <f t="shared" si="37"/>
        <v>307.39366771292697</v>
      </c>
      <c r="H133" s="827">
        <f>(0.0584*1.02)*0.9238</f>
        <v>5.5028918400000001E-2</v>
      </c>
      <c r="I133" s="1157">
        <f>'Emission-Waste Transport Vehicl'!N37</f>
        <v>30.118224087072001</v>
      </c>
      <c r="J133" s="1157">
        <f>'Emission-Waste Transport Vehicl'!P37</f>
        <v>16.757278081632002</v>
      </c>
      <c r="K133" s="1157">
        <f>'Emission-Waste Transport Vehicl'!Q37</f>
        <v>13.014173361024</v>
      </c>
      <c r="L133" s="1157">
        <f>'Emission-Waste Transport Vehicl'!R37</f>
        <v>1.295297818848</v>
      </c>
      <c r="M133" s="1158">
        <f t="shared" si="23"/>
        <v>189.55741321540756</v>
      </c>
      <c r="N133" s="1159">
        <f t="shared" si="24"/>
        <v>11173.221437892458</v>
      </c>
      <c r="O133" s="1159">
        <f t="shared" si="25"/>
        <v>17308.871037080349</v>
      </c>
      <c r="P133" s="1159">
        <f t="shared" si="26"/>
        <v>-22496.09645840964</v>
      </c>
      <c r="Q133" s="1159">
        <f t="shared" si="27"/>
        <v>398.16634731624117</v>
      </c>
      <c r="R133" s="2773"/>
      <c r="S133" s="396"/>
      <c r="T133" s="3"/>
      <c r="U133" s="3"/>
      <c r="V133" s="618"/>
      <c r="W133" s="3"/>
      <c r="X133" s="3"/>
      <c r="Y133" s="3"/>
      <c r="Z133" s="618"/>
      <c r="AA133" s="3"/>
      <c r="AB133" s="3"/>
    </row>
    <row r="134" spans="1:28" ht="18.75" x14ac:dyDescent="0.3">
      <c r="A134" s="2862"/>
      <c r="B134" s="706">
        <v>2024</v>
      </c>
      <c r="C134" s="1167">
        <f t="shared" si="33"/>
        <v>3444.6872431242909</v>
      </c>
      <c r="D134" s="1156">
        <f t="shared" si="34"/>
        <v>370.97876042062092</v>
      </c>
      <c r="E134" s="1156">
        <f t="shared" si="35"/>
        <v>1032.9166200358613</v>
      </c>
      <c r="F134" s="1156">
        <f t="shared" si="36"/>
        <v>-1728.5843544840845</v>
      </c>
      <c r="G134" s="1156">
        <f t="shared" si="37"/>
        <v>307.39366771292697</v>
      </c>
      <c r="H134" s="827">
        <f>(0.0584*1.02)*0.9057</f>
        <v>5.39507376E-2</v>
      </c>
      <c r="I134" s="1157">
        <f>'Emission-Waste Transport Vehicl'!N38</f>
        <v>29.528118159408002</v>
      </c>
      <c r="J134" s="1157">
        <f>'Emission-Waste Transport Vehicl'!P38</f>
        <v>16.428952975248002</v>
      </c>
      <c r="K134" s="1157">
        <f>'Emission-Waste Transport Vehicl'!Q38</f>
        <v>12.759186851135999</v>
      </c>
      <c r="L134" s="1157">
        <f>'Emission-Waste Transport Vehicl'!R38</f>
        <v>1.269919067472</v>
      </c>
      <c r="M134" s="1158">
        <f t="shared" si="23"/>
        <v>185.84341756786603</v>
      </c>
      <c r="N134" s="1159">
        <f t="shared" si="24"/>
        <v>10954.304672330807</v>
      </c>
      <c r="O134" s="1159">
        <f t="shared" si="25"/>
        <v>16969.738577921275</v>
      </c>
      <c r="P134" s="1159">
        <f t="shared" si="26"/>
        <v>-22055.330766812738</v>
      </c>
      <c r="Q134" s="1159">
        <f t="shared" si="27"/>
        <v>390.36507984879808</v>
      </c>
      <c r="R134" s="2773"/>
      <c r="S134" s="396"/>
      <c r="T134" s="3"/>
      <c r="U134" s="3"/>
      <c r="V134" s="618"/>
      <c r="W134" s="3"/>
      <c r="X134" s="3"/>
      <c r="Y134" s="3"/>
      <c r="Z134" s="618"/>
      <c r="AA134" s="3"/>
      <c r="AB134" s="3"/>
    </row>
    <row r="135" spans="1:28" ht="18.75" x14ac:dyDescent="0.3">
      <c r="A135" s="2862"/>
      <c r="B135" s="706">
        <v>2025</v>
      </c>
      <c r="C135" s="1167">
        <f t="shared" si="33"/>
        <v>3444.6872431242909</v>
      </c>
      <c r="D135" s="1156">
        <f t="shared" si="34"/>
        <v>370.97876042062092</v>
      </c>
      <c r="E135" s="1156">
        <f t="shared" si="35"/>
        <v>1032.9166200358613</v>
      </c>
      <c r="F135" s="1156">
        <f t="shared" si="36"/>
        <v>-1728.5843544840845</v>
      </c>
      <c r="G135" s="1156">
        <f t="shared" si="37"/>
        <v>307.39366771292697</v>
      </c>
      <c r="H135" s="827">
        <f>(0.0584*1.02)*0.888</f>
        <v>5.2896384000000005E-2</v>
      </c>
      <c r="I135" s="1157">
        <f>'Emission-Waste Transport Vehicl'!N39</f>
        <v>28.951053246720004</v>
      </c>
      <c r="J135" s="1157">
        <f>'Emission-Waste Transport Vehicl'!P39</f>
        <v>16.10788367232</v>
      </c>
      <c r="K135" s="1157">
        <f>'Emission-Waste Transport Vehicl'!Q39</f>
        <v>12.50983540224</v>
      </c>
      <c r="L135" s="1157">
        <f>'Emission-Waste Transport Vehicl'!R39</f>
        <v>1.2451011724800001</v>
      </c>
      <c r="M135" s="1158">
        <f t="shared" si="23"/>
        <v>182.21149917220387</v>
      </c>
      <c r="N135" s="1159">
        <f t="shared" si="24"/>
        <v>10740.225846339579</v>
      </c>
      <c r="O135" s="1159">
        <f t="shared" si="25"/>
        <v>16638.100758743611</v>
      </c>
      <c r="P135" s="1159">
        <f t="shared" si="26"/>
        <v>-21624.305753483179</v>
      </c>
      <c r="Q135" s="1159">
        <f t="shared" si="27"/>
        <v>382.73621608229291</v>
      </c>
      <c r="R135" s="2773"/>
      <c r="S135" s="396"/>
      <c r="T135" s="3"/>
      <c r="U135" s="3"/>
      <c r="V135" s="618"/>
      <c r="W135" s="3"/>
      <c r="X135" s="3"/>
      <c r="Y135" s="3"/>
      <c r="Z135" s="618"/>
      <c r="AA135" s="3"/>
      <c r="AB135" s="3"/>
    </row>
    <row r="136" spans="1:28" ht="18.75" x14ac:dyDescent="0.3">
      <c r="A136" s="2862"/>
      <c r="B136" s="706">
        <v>2026</v>
      </c>
      <c r="C136" s="1167">
        <f t="shared" si="33"/>
        <v>3444.6872431242909</v>
      </c>
      <c r="D136" s="1156">
        <f t="shared" si="34"/>
        <v>370.97876042062092</v>
      </c>
      <c r="E136" s="1156">
        <f t="shared" si="35"/>
        <v>1032.9166200358613</v>
      </c>
      <c r="F136" s="1156">
        <f t="shared" si="36"/>
        <v>-1728.5843544840845</v>
      </c>
      <c r="G136" s="1156">
        <f t="shared" si="37"/>
        <v>307.39366771292697</v>
      </c>
      <c r="H136" s="827">
        <f>(0.0584*1.02)*0.8706</f>
        <v>5.1859900800000004E-2</v>
      </c>
      <c r="I136" s="1157">
        <f>'Emission-Waste Transport Vehicl'!N40</f>
        <v>28.383769095264007</v>
      </c>
      <c r="J136" s="1157">
        <f>'Emission-Waste Transport Vehicl'!P40</f>
        <v>15.792256221984003</v>
      </c>
      <c r="K136" s="1157">
        <f>'Emission-Waste Transport Vehicl'!Q40</f>
        <v>12.264710249088001</v>
      </c>
      <c r="L136" s="1157">
        <f>'Emission-Waste Transport Vehicl'!R40</f>
        <v>1.2207039197760001</v>
      </c>
      <c r="M136" s="1158">
        <f t="shared" si="23"/>
        <v>178.64113871545123</v>
      </c>
      <c r="N136" s="1159">
        <f t="shared" si="24"/>
        <v>10529.77547502617</v>
      </c>
      <c r="O136" s="1159">
        <f t="shared" si="25"/>
        <v>16312.083919552017</v>
      </c>
      <c r="P136" s="1159">
        <f t="shared" si="26"/>
        <v>-21200.586248854117</v>
      </c>
      <c r="Q136" s="1159">
        <f t="shared" si="27"/>
        <v>375.23665509149123</v>
      </c>
      <c r="R136" s="2773"/>
      <c r="S136" s="396"/>
      <c r="T136" s="3"/>
      <c r="U136" s="3"/>
      <c r="V136" s="618"/>
      <c r="W136" s="3"/>
      <c r="X136" s="3"/>
      <c r="Y136" s="3"/>
      <c r="Z136" s="618"/>
      <c r="AA136" s="3"/>
      <c r="AB136" s="3"/>
    </row>
    <row r="137" spans="1:28" ht="18.75" x14ac:dyDescent="0.3">
      <c r="A137" s="2862"/>
      <c r="B137" s="706">
        <v>2027</v>
      </c>
      <c r="C137" s="1167">
        <f t="shared" si="33"/>
        <v>3444.6872431242909</v>
      </c>
      <c r="D137" s="1156">
        <f t="shared" si="34"/>
        <v>370.97876042062092</v>
      </c>
      <c r="E137" s="1156">
        <f t="shared" si="35"/>
        <v>1032.9166200358613</v>
      </c>
      <c r="F137" s="1156">
        <f t="shared" si="36"/>
        <v>-1728.5843544840845</v>
      </c>
      <c r="G137" s="1156">
        <f t="shared" si="37"/>
        <v>307.39366771292697</v>
      </c>
      <c r="H137" s="827">
        <f>(0.0584*1.02)*0.8535</f>
        <v>5.0841288000000005E-2</v>
      </c>
      <c r="I137" s="1157">
        <f>'Emission-Waste Transport Vehicl'!N41</f>
        <v>27.826265705040004</v>
      </c>
      <c r="J137" s="1157">
        <f>'Emission-Waste Transport Vehicl'!P41</f>
        <v>15.482070624240002</v>
      </c>
      <c r="K137" s="1157">
        <f>'Emission-Waste Transport Vehicl'!Q41</f>
        <v>12.023811391680001</v>
      </c>
      <c r="L137" s="1157">
        <f>'Emission-Waste Transport Vehicl'!R41</f>
        <v>1.1967273093600002</v>
      </c>
      <c r="M137" s="1158">
        <f t="shared" si="23"/>
        <v>175.13233619760811</v>
      </c>
      <c r="N137" s="1159">
        <f t="shared" si="24"/>
        <v>10322.953558390576</v>
      </c>
      <c r="O137" s="1159">
        <f t="shared" si="25"/>
        <v>15991.688060346482</v>
      </c>
      <c r="P137" s="1159">
        <f t="shared" si="26"/>
        <v>-20784.172252925557</v>
      </c>
      <c r="Q137" s="1159">
        <f t="shared" si="27"/>
        <v>367.86639687639303</v>
      </c>
      <c r="R137" s="2773"/>
      <c r="S137" s="396"/>
      <c r="T137" s="3"/>
      <c r="U137" s="3"/>
      <c r="V137" s="618"/>
      <c r="W137" s="3"/>
      <c r="X137" s="3"/>
      <c r="Y137" s="3"/>
      <c r="Z137" s="618"/>
      <c r="AA137" s="3"/>
      <c r="AB137" s="3"/>
    </row>
    <row r="138" spans="1:28" ht="18.75" x14ac:dyDescent="0.3">
      <c r="A138" s="2862"/>
      <c r="B138" s="706">
        <v>2028</v>
      </c>
      <c r="C138" s="1167">
        <f t="shared" si="33"/>
        <v>3444.6872431242909</v>
      </c>
      <c r="D138" s="1156">
        <f t="shared" si="34"/>
        <v>370.97876042062092</v>
      </c>
      <c r="E138" s="1156">
        <f t="shared" si="35"/>
        <v>1032.9166200358613</v>
      </c>
      <c r="F138" s="1156">
        <f t="shared" si="36"/>
        <v>-1728.5843544840845</v>
      </c>
      <c r="G138" s="1156">
        <f t="shared" si="37"/>
        <v>307.39366771292697</v>
      </c>
      <c r="H138" s="827">
        <f>(0.0584*1.02)*0.8368</f>
        <v>4.9846502399999999E-2</v>
      </c>
      <c r="I138" s="1157">
        <f>'Emission-Waste Transport Vehicl'!N42</f>
        <v>27.281803329792002</v>
      </c>
      <c r="J138" s="1157">
        <f>'Emission-Waste Transport Vehicl'!P42</f>
        <v>15.179140829952001</v>
      </c>
      <c r="K138" s="1157">
        <f>'Emission-Waste Transport Vehicl'!Q42</f>
        <v>11.788547595263999</v>
      </c>
      <c r="L138" s="1157">
        <f>'Emission-Waste Transport Vehicl'!R42</f>
        <v>1.173311555328</v>
      </c>
      <c r="M138" s="1158">
        <f t="shared" si="23"/>
        <v>171.70561093164434</v>
      </c>
      <c r="N138" s="1159">
        <f t="shared" si="24"/>
        <v>10120.969581325406</v>
      </c>
      <c r="O138" s="1159">
        <f t="shared" si="25"/>
        <v>15678.786841122359</v>
      </c>
      <c r="P138" s="1159">
        <f t="shared" si="26"/>
        <v>-20377.498935264328</v>
      </c>
      <c r="Q138" s="1159">
        <f t="shared" si="27"/>
        <v>360.66854236223276</v>
      </c>
      <c r="R138" s="2773"/>
      <c r="S138" s="396"/>
      <c r="T138" s="3"/>
      <c r="U138" s="3"/>
      <c r="V138" s="618"/>
      <c r="W138" s="3"/>
      <c r="X138" s="3"/>
      <c r="Y138" s="3"/>
      <c r="Z138" s="618"/>
      <c r="AA138" s="3"/>
      <c r="AB138" s="3"/>
    </row>
    <row r="139" spans="1:28" ht="18.75" x14ac:dyDescent="0.3">
      <c r="A139" s="2862"/>
      <c r="B139" s="706">
        <v>2029</v>
      </c>
      <c r="C139" s="1167">
        <f t="shared" si="33"/>
        <v>3444.6872431242909</v>
      </c>
      <c r="D139" s="1156">
        <f t="shared" si="34"/>
        <v>370.97876042062092</v>
      </c>
      <c r="E139" s="1156">
        <f t="shared" si="35"/>
        <v>1032.9166200358613</v>
      </c>
      <c r="F139" s="1156">
        <f t="shared" si="36"/>
        <v>-1728.5843544840845</v>
      </c>
      <c r="G139" s="1156">
        <f t="shared" si="37"/>
        <v>307.39366771292697</v>
      </c>
      <c r="H139" s="827">
        <f>(0.0584*1.02)*0.8203</f>
        <v>4.8863630400000004E-2</v>
      </c>
      <c r="I139" s="1157">
        <f>'Emission-Waste Transport Vehicl'!N43</f>
        <v>26.743861462032005</v>
      </c>
      <c r="J139" s="1157">
        <f>'Emission-Waste Transport Vehicl'!P43</f>
        <v>14.879838937392002</v>
      </c>
      <c r="K139" s="1157">
        <f>'Emission-Waste Transport Vehicl'!Q43</f>
        <v>11.556101329344001</v>
      </c>
      <c r="L139" s="1157">
        <f>'Emission-Waste Transport Vehicl'!R43</f>
        <v>1.1501762294880002</v>
      </c>
      <c r="M139" s="1158">
        <f t="shared" si="23"/>
        <v>168.31992429162031</v>
      </c>
      <c r="N139" s="1159">
        <f t="shared" si="24"/>
        <v>9921.4045740454476</v>
      </c>
      <c r="O139" s="1159">
        <f t="shared" si="25"/>
        <v>15369.632941888949</v>
      </c>
      <c r="P139" s="1159">
        <f t="shared" si="26"/>
        <v>-19975.69595673677</v>
      </c>
      <c r="Q139" s="1159">
        <f t="shared" si="27"/>
        <v>353.55688969854157</v>
      </c>
      <c r="R139" s="2773"/>
      <c r="S139" s="396"/>
      <c r="T139" s="3"/>
      <c r="U139" s="3"/>
      <c r="V139" s="618"/>
      <c r="W139" s="3"/>
      <c r="X139" s="3"/>
      <c r="Y139" s="3"/>
      <c r="Z139" s="618"/>
      <c r="AA139" s="3"/>
      <c r="AB139" s="3"/>
    </row>
    <row r="140" spans="1:28" ht="18.75" x14ac:dyDescent="0.3">
      <c r="A140" s="2862"/>
      <c r="B140" s="706">
        <v>2030</v>
      </c>
      <c r="C140" s="1167">
        <f t="shared" si="33"/>
        <v>3444.6872431242909</v>
      </c>
      <c r="D140" s="1156">
        <f t="shared" si="34"/>
        <v>370.97876042062092</v>
      </c>
      <c r="E140" s="1156">
        <f t="shared" si="35"/>
        <v>1032.9166200358613</v>
      </c>
      <c r="F140" s="1156">
        <f t="shared" si="36"/>
        <v>-1728.5843544840845</v>
      </c>
      <c r="G140" s="1156">
        <f t="shared" si="37"/>
        <v>307.39366771292697</v>
      </c>
      <c r="H140" s="827">
        <f>(0.0584*1.02)*0.8043</f>
        <v>4.7910542400000006E-2</v>
      </c>
      <c r="I140" s="1157">
        <f>'Emission-Waste Transport Vehicl'!N44</f>
        <v>26.222220862992003</v>
      </c>
      <c r="J140" s="1157">
        <f>'Emission-Waste Transport Vehicl'!P44</f>
        <v>14.589606799152003</v>
      </c>
      <c r="K140" s="1157">
        <f>'Emission-Waste Transport Vehicl'!Q44</f>
        <v>11.330698889664001</v>
      </c>
      <c r="L140" s="1157">
        <f>'Emission-Waste Transport Vehicl'!R44</f>
        <v>1.1277419741280001</v>
      </c>
      <c r="M140" s="1158">
        <f t="shared" si="23"/>
        <v>165.03683421644547</v>
      </c>
      <c r="N140" s="1159">
        <f t="shared" si="24"/>
        <v>9727.8869912285172</v>
      </c>
      <c r="O140" s="1159">
        <f t="shared" si="25"/>
        <v>15069.847342632309</v>
      </c>
      <c r="P140" s="1159">
        <f t="shared" si="26"/>
        <v>-19586.068826043382</v>
      </c>
      <c r="Q140" s="1159">
        <f t="shared" si="27"/>
        <v>346.66074166102277</v>
      </c>
      <c r="R140" s="2773"/>
      <c r="S140" s="396"/>
      <c r="T140" s="3"/>
      <c r="U140" s="3"/>
      <c r="V140" s="618"/>
      <c r="W140" s="3"/>
      <c r="X140" s="3"/>
      <c r="Y140" s="3"/>
      <c r="Z140" s="618"/>
      <c r="AA140" s="3"/>
      <c r="AB140" s="3"/>
    </row>
    <row r="141" spans="1:28" ht="18.75" x14ac:dyDescent="0.3">
      <c r="A141" s="2862"/>
      <c r="B141" s="706">
        <v>2031</v>
      </c>
      <c r="C141" s="1167">
        <f t="shared" si="33"/>
        <v>3444.6872431242909</v>
      </c>
      <c r="D141" s="1156">
        <f t="shared" si="34"/>
        <v>370.97876042062092</v>
      </c>
      <c r="E141" s="1156">
        <f t="shared" si="35"/>
        <v>1032.9166200358613</v>
      </c>
      <c r="F141" s="1156">
        <f t="shared" si="36"/>
        <v>-1728.5843544840845</v>
      </c>
      <c r="G141" s="1156">
        <f t="shared" si="37"/>
        <v>307.39366771292697</v>
      </c>
      <c r="H141" s="827">
        <f>(0.0584*1.02)*0.7885</f>
        <v>4.6969368000000004E-2</v>
      </c>
      <c r="I141" s="1157">
        <f>'Emission-Waste Transport Vehicl'!N45</f>
        <v>25.70710077144</v>
      </c>
      <c r="J141" s="1157">
        <f>'Emission-Waste Transport Vehicl'!P45</f>
        <v>14.303002562640001</v>
      </c>
      <c r="K141" s="1157">
        <f>'Emission-Waste Transport Vehicl'!Q45</f>
        <v>11.108113980480001</v>
      </c>
      <c r="L141" s="1157">
        <f>'Emission-Waste Transport Vehicl'!R45</f>
        <v>1.1055881469600002</v>
      </c>
      <c r="M141" s="1158">
        <f t="shared" si="23"/>
        <v>161.79478276721031</v>
      </c>
      <c r="N141" s="1159">
        <f t="shared" si="24"/>
        <v>9536.7883781967994</v>
      </c>
      <c r="O141" s="1159">
        <f t="shared" si="25"/>
        <v>14773.809063366374</v>
      </c>
      <c r="P141" s="1159">
        <f t="shared" si="26"/>
        <v>-19201.312034483657</v>
      </c>
      <c r="Q141" s="1159">
        <f t="shared" si="27"/>
        <v>339.85079547397299</v>
      </c>
      <c r="R141" s="2773"/>
      <c r="S141" s="396"/>
      <c r="T141" s="3"/>
      <c r="U141" s="3"/>
      <c r="V141" s="618"/>
      <c r="W141" s="3"/>
      <c r="X141" s="3"/>
      <c r="Y141" s="3"/>
      <c r="Z141" s="618"/>
      <c r="AA141" s="3"/>
      <c r="AB141" s="3"/>
    </row>
    <row r="142" spans="1:28" ht="18.75" x14ac:dyDescent="0.3">
      <c r="A142" s="2862"/>
      <c r="B142" s="706">
        <v>2032</v>
      </c>
      <c r="C142" s="1167">
        <f t="shared" si="33"/>
        <v>3444.6872431242909</v>
      </c>
      <c r="D142" s="1156">
        <f t="shared" si="34"/>
        <v>370.97876042062092</v>
      </c>
      <c r="E142" s="1156">
        <f t="shared" si="35"/>
        <v>1032.9166200358613</v>
      </c>
      <c r="F142" s="1156">
        <f t="shared" si="36"/>
        <v>-1728.5843544840845</v>
      </c>
      <c r="G142" s="1156">
        <f t="shared" si="37"/>
        <v>307.39366771292697</v>
      </c>
      <c r="H142" s="827">
        <f>(0.0584*1.02)*0.773</f>
        <v>4.6046064000000005E-2</v>
      </c>
      <c r="I142" s="1157">
        <f>'Emission-Waste Transport Vehicl'!N46</f>
        <v>25.201761441120002</v>
      </c>
      <c r="J142" s="1157">
        <f>'Emission-Waste Transport Vehicl'!P46</f>
        <v>14.021840178720002</v>
      </c>
      <c r="K142" s="1157">
        <f>'Emission-Waste Transport Vehicl'!Q46</f>
        <v>10.889755367040001</v>
      </c>
      <c r="L142" s="1157">
        <f>'Emission-Waste Transport Vehicl'!R46</f>
        <v>1.0838549620800002</v>
      </c>
      <c r="M142" s="1158">
        <f t="shared" si="23"/>
        <v>158.61428925688469</v>
      </c>
      <c r="N142" s="1159">
        <f t="shared" si="24"/>
        <v>9349.3182198428985</v>
      </c>
      <c r="O142" s="1159">
        <f t="shared" si="25"/>
        <v>14483.391764086502</v>
      </c>
      <c r="P142" s="1159">
        <f t="shared" si="26"/>
        <v>-18823.860751624434</v>
      </c>
      <c r="Q142" s="1159">
        <f t="shared" si="27"/>
        <v>333.17015206262664</v>
      </c>
      <c r="R142" s="2773"/>
      <c r="S142" s="396"/>
      <c r="T142" s="3"/>
      <c r="U142" s="3"/>
      <c r="V142" s="618"/>
      <c r="W142" s="3"/>
      <c r="X142" s="3"/>
      <c r="Y142" s="3"/>
      <c r="Z142" s="618"/>
      <c r="AA142" s="3"/>
      <c r="AB142" s="3"/>
    </row>
    <row r="143" spans="1:28" ht="18.75" x14ac:dyDescent="0.3">
      <c r="A143" s="2862"/>
      <c r="B143" s="706">
        <v>2033</v>
      </c>
      <c r="C143" s="1167">
        <f t="shared" si="33"/>
        <v>3444.6872431242909</v>
      </c>
      <c r="D143" s="1156">
        <f t="shared" si="34"/>
        <v>370.97876042062092</v>
      </c>
      <c r="E143" s="1156">
        <f t="shared" si="35"/>
        <v>1032.9166200358613</v>
      </c>
      <c r="F143" s="1156">
        <f t="shared" si="36"/>
        <v>-1728.5843544840845</v>
      </c>
      <c r="G143" s="1156">
        <f t="shared" si="37"/>
        <v>307.39366771292697</v>
      </c>
      <c r="H143" s="827">
        <f>(0.0584*1.02)*0.7579</f>
        <v>4.5146587200000005E-2</v>
      </c>
      <c r="I143" s="1157">
        <f>'Emission-Waste Transport Vehicl'!N47</f>
        <v>24.709463125776001</v>
      </c>
      <c r="J143" s="1157">
        <f>'Emission-Waste Transport Vehicl'!P47</f>
        <v>13.747933598256003</v>
      </c>
      <c r="K143" s="1157">
        <f>'Emission-Waste Transport Vehicl'!Q47</f>
        <v>10.677031814592</v>
      </c>
      <c r="L143" s="1157">
        <f>'Emission-Waste Transport Vehicl'!R47</f>
        <v>1.0626826335840001</v>
      </c>
      <c r="M143" s="1158">
        <f t="shared" si="23"/>
        <v>155.51587299843843</v>
      </c>
      <c r="N143" s="1159">
        <f t="shared" si="24"/>
        <v>9166.686001059421</v>
      </c>
      <c r="O143" s="1159">
        <f t="shared" si="25"/>
        <v>14200.469104788048</v>
      </c>
      <c r="P143" s="1159">
        <f t="shared" si="26"/>
        <v>-18456.150147032546</v>
      </c>
      <c r="Q143" s="1159">
        <f t="shared" si="27"/>
        <v>326.66191235221822</v>
      </c>
      <c r="R143" s="2773"/>
      <c r="S143" s="396"/>
      <c r="T143" s="3"/>
      <c r="U143" s="3"/>
      <c r="V143" s="618"/>
      <c r="W143" s="3"/>
      <c r="X143" s="3"/>
      <c r="Y143" s="3"/>
      <c r="Z143" s="618"/>
      <c r="AA143" s="3"/>
      <c r="AB143" s="3"/>
    </row>
    <row r="144" spans="1:28" ht="18.75" x14ac:dyDescent="0.3">
      <c r="A144" s="2862"/>
      <c r="B144" s="706">
        <v>2034</v>
      </c>
      <c r="C144" s="1167">
        <f t="shared" si="33"/>
        <v>3444.6872431242909</v>
      </c>
      <c r="D144" s="1156">
        <f t="shared" si="34"/>
        <v>370.97876042062092</v>
      </c>
      <c r="E144" s="1156">
        <f t="shared" si="35"/>
        <v>1032.9166200358613</v>
      </c>
      <c r="F144" s="1156">
        <f t="shared" si="36"/>
        <v>-1728.5843544840845</v>
      </c>
      <c r="G144" s="1156">
        <f t="shared" si="37"/>
        <v>307.39366771292697</v>
      </c>
      <c r="H144" s="827">
        <f>(0.0584*1.02)*0.743</f>
        <v>4.4259024000000001E-2</v>
      </c>
      <c r="I144" s="1157">
        <f>'Emission-Waste Transport Vehicl'!N48</f>
        <v>24.223685317920005</v>
      </c>
      <c r="J144" s="1157">
        <f>'Emission-Waste Transport Vehicl'!P48</f>
        <v>13.477654919520001</v>
      </c>
      <c r="K144" s="1157">
        <f>'Emission-Waste Transport Vehicl'!Q48</f>
        <v>10.467125792640001</v>
      </c>
      <c r="L144" s="1157">
        <f>'Emission-Waste Transport Vehicl'!R48</f>
        <v>1.04179073328</v>
      </c>
      <c r="M144" s="1158">
        <f t="shared" si="23"/>
        <v>152.45849536593184</v>
      </c>
      <c r="N144" s="1159">
        <f t="shared" si="24"/>
        <v>8986.4727520611577</v>
      </c>
      <c r="O144" s="1159">
        <f t="shared" si="25"/>
        <v>13921.293765480297</v>
      </c>
      <c r="P144" s="1159">
        <f t="shared" si="26"/>
        <v>-18093.309881574329</v>
      </c>
      <c r="Q144" s="1159">
        <f t="shared" si="27"/>
        <v>320.23987449227889</v>
      </c>
      <c r="R144" s="2773"/>
      <c r="S144" s="396"/>
      <c r="T144" s="3"/>
      <c r="U144" s="3"/>
      <c r="V144" s="618"/>
      <c r="W144" s="3"/>
      <c r="X144" s="3"/>
      <c r="Y144" s="3"/>
      <c r="Z144" s="618"/>
      <c r="AA144" s="3"/>
      <c r="AB144" s="3"/>
    </row>
    <row r="145" spans="1:28" ht="18.75" x14ac:dyDescent="0.3">
      <c r="A145" s="2862"/>
      <c r="B145" s="706">
        <v>2035</v>
      </c>
      <c r="C145" s="1167">
        <f t="shared" si="33"/>
        <v>3444.6872431242909</v>
      </c>
      <c r="D145" s="1156">
        <f t="shared" si="34"/>
        <v>370.97876042062092</v>
      </c>
      <c r="E145" s="1156">
        <f t="shared" si="35"/>
        <v>1032.9166200358613</v>
      </c>
      <c r="F145" s="1156">
        <f t="shared" si="36"/>
        <v>-1728.5843544840845</v>
      </c>
      <c r="G145" s="1156">
        <f t="shared" si="37"/>
        <v>307.39366771292697</v>
      </c>
      <c r="H145" s="827">
        <f>(0.0584*1.02)*0.7284</f>
        <v>4.3389331200000006E-2</v>
      </c>
      <c r="I145" s="1157">
        <f>'Emission-Waste Transport Vehicl'!N49</f>
        <v>23.747688271296006</v>
      </c>
      <c r="J145" s="1157">
        <f>'Emission-Waste Transport Vehicl'!P49</f>
        <v>13.212818093376002</v>
      </c>
      <c r="K145" s="1157">
        <f>'Emission-Waste Transport Vehicl'!Q49</f>
        <v>10.261446066432002</v>
      </c>
      <c r="L145" s="1157">
        <f>'Emission-Waste Transport Vehicl'!R49</f>
        <v>1.0213194752640002</v>
      </c>
      <c r="M145" s="1158">
        <f t="shared" si="23"/>
        <v>149.4626756723348</v>
      </c>
      <c r="N145" s="1159">
        <f t="shared" si="24"/>
        <v>8809.8879577407097</v>
      </c>
      <c r="O145" s="1159">
        <f t="shared" si="25"/>
        <v>13647.739406158615</v>
      </c>
      <c r="P145" s="1159">
        <f t="shared" si="26"/>
        <v>-17737.77512481661</v>
      </c>
      <c r="Q145" s="1159">
        <f t="shared" si="27"/>
        <v>313.94713940804303</v>
      </c>
      <c r="R145" s="2773"/>
      <c r="S145" s="396"/>
      <c r="T145" s="3"/>
      <c r="U145" s="3"/>
      <c r="V145" s="618"/>
      <c r="W145" s="3"/>
      <c r="X145" s="3"/>
      <c r="Y145" s="3"/>
      <c r="Z145" s="618"/>
      <c r="AA145" s="3"/>
      <c r="AB145" s="3"/>
    </row>
    <row r="146" spans="1:28" ht="18.75" x14ac:dyDescent="0.3">
      <c r="A146" s="2862"/>
      <c r="B146" s="706">
        <v>2036</v>
      </c>
      <c r="C146" s="1167">
        <f t="shared" si="33"/>
        <v>3444.6872431242909</v>
      </c>
      <c r="D146" s="1156">
        <f t="shared" si="34"/>
        <v>370.97876042062092</v>
      </c>
      <c r="E146" s="1156">
        <f t="shared" si="35"/>
        <v>1032.9166200358613</v>
      </c>
      <c r="F146" s="1156">
        <f t="shared" si="36"/>
        <v>-1728.5843544840845</v>
      </c>
      <c r="G146" s="1156">
        <f t="shared" si="37"/>
        <v>307.39366771292697</v>
      </c>
      <c r="H146" s="827">
        <f>(0.0584*1.02)*0.7142</f>
        <v>4.2543465599999997E-2</v>
      </c>
      <c r="I146" s="1157">
        <f>'Emission-Waste Transport Vehicl'!N50</f>
        <v>23.284732239648001</v>
      </c>
      <c r="J146" s="1157">
        <f>'Emission-Waste Transport Vehicl'!P50</f>
        <v>12.955237070688</v>
      </c>
      <c r="K146" s="1157">
        <f>'Emission-Waste Transport Vehicl'!Q50</f>
        <v>10.061401401215999</v>
      </c>
      <c r="L146" s="1157">
        <f>'Emission-Waste Transport Vehicl'!R50</f>
        <v>1.001409073632</v>
      </c>
      <c r="M146" s="1158">
        <f t="shared" si="23"/>
        <v>146.54893323061711</v>
      </c>
      <c r="N146" s="1159">
        <f t="shared" si="24"/>
        <v>8638.1411029906831</v>
      </c>
      <c r="O146" s="1159">
        <f t="shared" si="25"/>
        <v>13381.679686818343</v>
      </c>
      <c r="P146" s="1159">
        <f t="shared" si="26"/>
        <v>-17391.981046326222</v>
      </c>
      <c r="Q146" s="1159">
        <f t="shared" si="27"/>
        <v>307.82680802474505</v>
      </c>
      <c r="R146" s="2773"/>
      <c r="S146" s="396"/>
      <c r="T146" s="3"/>
      <c r="U146" s="3"/>
      <c r="V146" s="618"/>
      <c r="W146" s="3"/>
      <c r="X146" s="3"/>
      <c r="Y146" s="3"/>
      <c r="Z146" s="618"/>
      <c r="AA146" s="3"/>
      <c r="AB146" s="3"/>
    </row>
    <row r="147" spans="1:28" ht="18.75" x14ac:dyDescent="0.3">
      <c r="A147" s="2862"/>
      <c r="B147" s="706">
        <v>2037</v>
      </c>
      <c r="C147" s="1167">
        <f t="shared" si="33"/>
        <v>3444.6872431242909</v>
      </c>
      <c r="D147" s="1156">
        <f t="shared" si="34"/>
        <v>370.97876042062092</v>
      </c>
      <c r="E147" s="1156">
        <f t="shared" si="35"/>
        <v>1032.9166200358613</v>
      </c>
      <c r="F147" s="1156">
        <f t="shared" si="36"/>
        <v>-1728.5843544840845</v>
      </c>
      <c r="G147" s="1156">
        <f t="shared" si="37"/>
        <v>307.39366771292697</v>
      </c>
      <c r="H147" s="827">
        <f>(0.0584*1.02)*0.7002</f>
        <v>4.1709513600000005E-2</v>
      </c>
      <c r="I147" s="1157">
        <f>'Emission-Waste Transport Vehicl'!N51</f>
        <v>22.828296715488005</v>
      </c>
      <c r="J147" s="1157">
        <f>'Emission-Waste Transport Vehicl'!P51</f>
        <v>12.701283949728003</v>
      </c>
      <c r="K147" s="1157">
        <f>'Emission-Waste Transport Vehicl'!Q51</f>
        <v>9.8641742664960006</v>
      </c>
      <c r="L147" s="1157">
        <f>'Emission-Waste Transport Vehicl'!R51</f>
        <v>0.9817791001920001</v>
      </c>
      <c r="M147" s="1158">
        <f t="shared" si="23"/>
        <v>143.67622941483913</v>
      </c>
      <c r="N147" s="1159">
        <f t="shared" si="24"/>
        <v>8468.8132180258726</v>
      </c>
      <c r="O147" s="1159">
        <f t="shared" si="25"/>
        <v>13119.367287468784</v>
      </c>
      <c r="P147" s="1159">
        <f t="shared" si="26"/>
        <v>-17051.057306969506</v>
      </c>
      <c r="Q147" s="1159">
        <f t="shared" si="27"/>
        <v>301.79267849191609</v>
      </c>
      <c r="R147" s="2773"/>
      <c r="S147" s="396"/>
      <c r="T147" s="3"/>
      <c r="U147" s="3"/>
      <c r="V147" s="618"/>
      <c r="W147" s="3"/>
      <c r="X147" s="3"/>
      <c r="Y147" s="3"/>
      <c r="Z147" s="618"/>
      <c r="AA147" s="3"/>
      <c r="AB147" s="3"/>
    </row>
    <row r="148" spans="1:28" ht="18.75" x14ac:dyDescent="0.3">
      <c r="A148" s="2862"/>
      <c r="B148" s="706">
        <v>2038</v>
      </c>
      <c r="C148" s="1167">
        <f t="shared" si="33"/>
        <v>3444.6872431242909</v>
      </c>
      <c r="D148" s="1156">
        <f t="shared" si="34"/>
        <v>370.97876042062092</v>
      </c>
      <c r="E148" s="1156">
        <f t="shared" si="35"/>
        <v>1032.9166200358613</v>
      </c>
      <c r="F148" s="1156">
        <f t="shared" si="36"/>
        <v>-1728.5843544840845</v>
      </c>
      <c r="G148" s="1156">
        <f t="shared" si="37"/>
        <v>307.39366771292697</v>
      </c>
      <c r="H148" s="827">
        <f>(0.0584*1.02)*0.6864</f>
        <v>4.0887475200000002E-2</v>
      </c>
      <c r="I148" s="1157">
        <f>'Emission-Waste Transport Vehicl'!N52</f>
        <v>22.378381698816003</v>
      </c>
      <c r="J148" s="1157">
        <f>'Emission-Waste Transport Vehicl'!P52</f>
        <v>12.450958730496001</v>
      </c>
      <c r="K148" s="1157">
        <f>'Emission-Waste Transport Vehicl'!Q52</f>
        <v>9.6697646622720015</v>
      </c>
      <c r="L148" s="1157">
        <f>'Emission-Waste Transport Vehicl'!R52</f>
        <v>0.96242955494400007</v>
      </c>
      <c r="M148" s="1158">
        <f t="shared" si="23"/>
        <v>140.84456422500082</v>
      </c>
      <c r="N148" s="1159">
        <f t="shared" si="24"/>
        <v>8301.9043028462693</v>
      </c>
      <c r="O148" s="1159">
        <f t="shared" si="25"/>
        <v>12860.802208109928</v>
      </c>
      <c r="P148" s="1159">
        <f t="shared" si="26"/>
        <v>-16715.00390674646</v>
      </c>
      <c r="Q148" s="1159">
        <f t="shared" si="27"/>
        <v>295.84475080955616</v>
      </c>
      <c r="R148" s="2773"/>
      <c r="S148" s="396"/>
      <c r="T148" s="3"/>
      <c r="U148" s="3"/>
      <c r="V148" s="618"/>
      <c r="W148" s="3"/>
      <c r="X148" s="3"/>
      <c r="Y148" s="3"/>
      <c r="Z148" s="618"/>
      <c r="AA148" s="3"/>
      <c r="AB148" s="3"/>
    </row>
    <row r="149" spans="1:28" ht="18.75" x14ac:dyDescent="0.3">
      <c r="A149" s="2862"/>
      <c r="B149" s="706">
        <v>2039</v>
      </c>
      <c r="C149" s="1167">
        <f t="shared" si="33"/>
        <v>3444.6872431242909</v>
      </c>
      <c r="D149" s="1156">
        <f t="shared" si="34"/>
        <v>370.97876042062092</v>
      </c>
      <c r="E149" s="1156">
        <f t="shared" si="35"/>
        <v>1032.9166200358613</v>
      </c>
      <c r="F149" s="1156">
        <f t="shared" si="36"/>
        <v>-1728.5843544840845</v>
      </c>
      <c r="G149" s="1156">
        <f t="shared" si="37"/>
        <v>307.39366771292697</v>
      </c>
      <c r="H149" s="827">
        <f>(0.0584*1.02)*0.673</f>
        <v>4.0089264000000006E-2</v>
      </c>
      <c r="I149" s="1157">
        <f>'Emission-Waste Transport Vehicl'!N53</f>
        <v>21.941507697120006</v>
      </c>
      <c r="J149" s="1157">
        <f>'Emission-Waste Transport Vehicl'!P53</f>
        <v>12.207889314720003</v>
      </c>
      <c r="K149" s="1157">
        <f>'Emission-Waste Transport Vehicl'!Q53</f>
        <v>9.4809901190400012</v>
      </c>
      <c r="L149" s="1157">
        <f>'Emission-Waste Transport Vehicl'!R53</f>
        <v>0.9436408660800002</v>
      </c>
      <c r="M149" s="1158">
        <f t="shared" si="23"/>
        <v>138.0949762870419</v>
      </c>
      <c r="N149" s="1159">
        <f t="shared" si="24"/>
        <v>8139.8333272370928</v>
      </c>
      <c r="O149" s="1159">
        <f t="shared" si="25"/>
        <v>12609.731768732492</v>
      </c>
      <c r="P149" s="1159">
        <f t="shared" si="26"/>
        <v>-16388.691184790743</v>
      </c>
      <c r="Q149" s="1159">
        <f t="shared" si="27"/>
        <v>290.06922682813422</v>
      </c>
      <c r="R149" s="2773"/>
      <c r="S149" s="396"/>
      <c r="T149" s="3"/>
      <c r="U149" s="3"/>
      <c r="V149" s="618"/>
      <c r="W149" s="3"/>
      <c r="X149" s="3"/>
      <c r="Y149" s="3"/>
      <c r="Z149" s="618"/>
      <c r="AA149" s="3"/>
      <c r="AB149" s="3"/>
    </row>
    <row r="150" spans="1:28" ht="18.75" x14ac:dyDescent="0.3">
      <c r="A150" s="2862"/>
      <c r="B150" s="706">
        <v>2040</v>
      </c>
      <c r="C150" s="1167">
        <f t="shared" si="33"/>
        <v>3444.6872431242909</v>
      </c>
      <c r="D150" s="1156">
        <f t="shared" si="34"/>
        <v>370.97876042062092</v>
      </c>
      <c r="E150" s="1156">
        <f t="shared" si="35"/>
        <v>1032.9166200358613</v>
      </c>
      <c r="F150" s="1156">
        <f t="shared" si="36"/>
        <v>-1728.5843544840845</v>
      </c>
      <c r="G150" s="1156">
        <f t="shared" si="37"/>
        <v>307.39366771292697</v>
      </c>
      <c r="H150" s="827">
        <f>(0.0584*1.02)*0.6598</f>
        <v>3.9302966400000007E-2</v>
      </c>
      <c r="I150" s="1157">
        <f>'Emission-Waste Transport Vehicl'!N54</f>
        <v>21.511154202912003</v>
      </c>
      <c r="J150" s="1157">
        <f>'Emission-Waste Transport Vehicl'!P54</f>
        <v>11.968447800672001</v>
      </c>
      <c r="K150" s="1157">
        <f>'Emission-Waste Transport Vehicl'!Q54</f>
        <v>9.2950331063040004</v>
      </c>
      <c r="L150" s="1157">
        <f>'Emission-Waste Transport Vehicl'!R54</f>
        <v>0.92513260540800013</v>
      </c>
      <c r="M150" s="1158">
        <f t="shared" si="23"/>
        <v>135.38642697502266</v>
      </c>
      <c r="N150" s="1159">
        <f t="shared" si="24"/>
        <v>7980.1813214131244</v>
      </c>
      <c r="O150" s="1159">
        <f t="shared" si="25"/>
        <v>12362.408649345762</v>
      </c>
      <c r="P150" s="1159">
        <f t="shared" si="26"/>
        <v>-16067.248801968695</v>
      </c>
      <c r="Q150" s="1159">
        <f t="shared" si="27"/>
        <v>284.37990469718119</v>
      </c>
      <c r="R150" s="2773"/>
      <c r="S150" s="396"/>
      <c r="T150" s="3"/>
      <c r="U150" s="3"/>
      <c r="V150" s="618"/>
      <c r="W150" s="3"/>
      <c r="X150" s="3"/>
      <c r="Y150" s="3"/>
      <c r="Z150" s="618"/>
      <c r="AA150" s="3"/>
      <c r="AB150" s="3"/>
    </row>
    <row r="151" spans="1:28" ht="18.75" x14ac:dyDescent="0.3">
      <c r="A151" s="2862"/>
      <c r="B151" s="706">
        <v>2041</v>
      </c>
      <c r="C151" s="1167">
        <f t="shared" si="33"/>
        <v>3444.6872431242909</v>
      </c>
      <c r="D151" s="1156">
        <f t="shared" si="34"/>
        <v>370.97876042062092</v>
      </c>
      <c r="E151" s="1156">
        <f t="shared" si="35"/>
        <v>1032.9166200358613</v>
      </c>
      <c r="F151" s="1156">
        <f t="shared" si="36"/>
        <v>-1728.5843544840845</v>
      </c>
      <c r="G151" s="1156">
        <f t="shared" si="37"/>
        <v>307.39366771292697</v>
      </c>
      <c r="H151" s="827">
        <f>(0.0584*1.02)*0.6468</f>
        <v>3.8528582400000004E-2</v>
      </c>
      <c r="I151" s="1157">
        <f>'Emission-Waste Transport Vehicl'!N55</f>
        <v>21.087321216192002</v>
      </c>
      <c r="J151" s="1157">
        <f>'Emission-Waste Transport Vehicl'!P55</f>
        <v>11.732634188352002</v>
      </c>
      <c r="K151" s="1157">
        <f>'Emission-Waste Transport Vehicl'!Q55</f>
        <v>9.1118936240640007</v>
      </c>
      <c r="L151" s="1157">
        <f>'Emission-Waste Transport Vehicl'!R55</f>
        <v>0.9069047729280002</v>
      </c>
      <c r="M151" s="1158">
        <f t="shared" si="23"/>
        <v>132.71891628894309</v>
      </c>
      <c r="N151" s="1159">
        <f t="shared" si="24"/>
        <v>7822.9482853743693</v>
      </c>
      <c r="O151" s="1159">
        <f t="shared" si="25"/>
        <v>12118.83284994974</v>
      </c>
      <c r="P151" s="1159">
        <f t="shared" si="26"/>
        <v>-15750.676758280317</v>
      </c>
      <c r="Q151" s="1159">
        <f t="shared" si="27"/>
        <v>278.77678441669718</v>
      </c>
      <c r="R151" s="2773"/>
      <c r="S151" s="396"/>
      <c r="T151" s="3"/>
      <c r="U151" s="3"/>
      <c r="V151" s="618"/>
      <c r="W151" s="3"/>
      <c r="X151" s="3"/>
      <c r="Y151" s="3"/>
      <c r="Z151" s="618"/>
      <c r="AA151" s="3"/>
      <c r="AB151" s="3"/>
    </row>
    <row r="152" spans="1:28" ht="18.75" x14ac:dyDescent="0.3">
      <c r="A152" s="2862"/>
      <c r="B152" s="706">
        <v>2042</v>
      </c>
      <c r="C152" s="1167">
        <f t="shared" si="33"/>
        <v>3444.6872431242909</v>
      </c>
      <c r="D152" s="1156">
        <f t="shared" si="34"/>
        <v>370.97876042062092</v>
      </c>
      <c r="E152" s="1156">
        <f t="shared" si="35"/>
        <v>1032.9166200358613</v>
      </c>
      <c r="F152" s="1156">
        <f t="shared" si="36"/>
        <v>-1728.5843544840845</v>
      </c>
      <c r="G152" s="1156">
        <f t="shared" si="37"/>
        <v>307.39366771292697</v>
      </c>
      <c r="H152" s="827">
        <f>(0.0584*1.02)*0.6342</f>
        <v>3.7778025600000001E-2</v>
      </c>
      <c r="I152" s="1157">
        <f>'Emission-Waste Transport Vehicl'!N56</f>
        <v>20.676529244448002</v>
      </c>
      <c r="J152" s="1157">
        <f>'Emission-Waste Transport Vehicl'!P56</f>
        <v>11.504076379488001</v>
      </c>
      <c r="K152" s="1157">
        <f>'Emission-Waste Transport Vehicl'!Q56</f>
        <v>8.9343892028159999</v>
      </c>
      <c r="L152" s="1157">
        <f>'Emission-Waste Transport Vehicl'!R56</f>
        <v>0.8892377968320001</v>
      </c>
      <c r="M152" s="1158">
        <f t="shared" si="23"/>
        <v>130.13348285474288</v>
      </c>
      <c r="N152" s="1159">
        <f t="shared" si="24"/>
        <v>7670.5531889060376</v>
      </c>
      <c r="O152" s="1159">
        <f t="shared" si="25"/>
        <v>11882.751690535135</v>
      </c>
      <c r="P152" s="1159">
        <f t="shared" si="26"/>
        <v>-15443.84539285927</v>
      </c>
      <c r="Q152" s="1159">
        <f t="shared" si="27"/>
        <v>273.34606783715111</v>
      </c>
      <c r="R152" s="2773"/>
      <c r="S152" s="396"/>
      <c r="T152" s="3"/>
      <c r="U152" s="3"/>
      <c r="V152" s="618"/>
      <c r="W152" s="3"/>
      <c r="X152" s="3"/>
      <c r="Y152" s="3"/>
      <c r="Z152" s="618"/>
      <c r="AA152" s="3"/>
      <c r="AB152" s="3"/>
    </row>
    <row r="153" spans="1:28" ht="18.75" x14ac:dyDescent="0.3">
      <c r="A153" s="2862"/>
      <c r="B153" s="706">
        <v>2043</v>
      </c>
      <c r="C153" s="1167">
        <f t="shared" si="33"/>
        <v>3444.6872431242909</v>
      </c>
      <c r="D153" s="1156">
        <f t="shared" si="34"/>
        <v>370.97876042062092</v>
      </c>
      <c r="E153" s="1156">
        <f t="shared" si="35"/>
        <v>1032.9166200358613</v>
      </c>
      <c r="F153" s="1156">
        <f t="shared" si="36"/>
        <v>-1728.5843544840845</v>
      </c>
      <c r="G153" s="1156">
        <f t="shared" si="37"/>
        <v>307.39366771292697</v>
      </c>
      <c r="H153" s="827">
        <f>(0.0584*1.02)*0.6217</f>
        <v>3.7033425600000003E-2</v>
      </c>
      <c r="I153" s="1157">
        <f>'Emission-Waste Transport Vehicl'!N57</f>
        <v>20.268997526448004</v>
      </c>
      <c r="J153" s="1157">
        <f>'Emission-Waste Transport Vehicl'!P57</f>
        <v>11.277332521488001</v>
      </c>
      <c r="K153" s="1157">
        <f>'Emission-Waste Transport Vehicl'!Q57</f>
        <v>8.7582935468160006</v>
      </c>
      <c r="L153" s="1157">
        <f>'Emission-Waste Transport Vehicl'!R57</f>
        <v>0.87171103483200019</v>
      </c>
      <c r="M153" s="1158">
        <f t="shared" si="23"/>
        <v>127.56856873351255</v>
      </c>
      <c r="N153" s="1159">
        <f t="shared" si="24"/>
        <v>7519.3675773303121</v>
      </c>
      <c r="O153" s="1159">
        <f t="shared" si="25"/>
        <v>11648.544191115883</v>
      </c>
      <c r="P153" s="1159">
        <f t="shared" si="26"/>
        <v>-15139.44919700506</v>
      </c>
      <c r="Q153" s="1159">
        <f t="shared" si="27"/>
        <v>267.95845218283955</v>
      </c>
      <c r="R153" s="2773"/>
      <c r="S153" s="396"/>
      <c r="T153" s="3"/>
      <c r="U153" s="3"/>
      <c r="V153" s="618"/>
      <c r="W153" s="3"/>
      <c r="X153" s="3"/>
      <c r="Y153" s="3"/>
      <c r="Z153" s="618"/>
      <c r="AA153" s="3"/>
      <c r="AB153" s="3"/>
    </row>
    <row r="154" spans="1:28" ht="18.75" x14ac:dyDescent="0.3">
      <c r="A154" s="2862"/>
      <c r="B154" s="706">
        <v>2044</v>
      </c>
      <c r="C154" s="1167">
        <f t="shared" si="33"/>
        <v>3444.6872431242909</v>
      </c>
      <c r="D154" s="1156">
        <f t="shared" si="34"/>
        <v>370.97876042062092</v>
      </c>
      <c r="E154" s="1156">
        <f t="shared" si="35"/>
        <v>1032.9166200358613</v>
      </c>
      <c r="F154" s="1156">
        <f t="shared" si="36"/>
        <v>-1728.5843544840845</v>
      </c>
      <c r="G154" s="1156">
        <f t="shared" si="37"/>
        <v>307.39366771292697</v>
      </c>
      <c r="H154" s="827">
        <f>(0.0584*1.02)*0.6095</f>
        <v>3.6306696000000006E-2</v>
      </c>
      <c r="I154" s="1157">
        <f>'Emission-Waste Transport Vehicl'!N58</f>
        <v>19.871246569680004</v>
      </c>
      <c r="J154" s="1157">
        <f>'Emission-Waste Transport Vehicl'!P58</f>
        <v>11.056030516080002</v>
      </c>
      <c r="K154" s="1157">
        <f>'Emission-Waste Transport Vehicl'!Q58</f>
        <v>8.5864241865600004</v>
      </c>
      <c r="L154" s="1157">
        <f>'Emission-Waste Transport Vehicl'!R58</f>
        <v>0.85460491512000014</v>
      </c>
      <c r="M154" s="1158">
        <f t="shared" si="23"/>
        <v>125.06521255119175</v>
      </c>
      <c r="N154" s="1159">
        <f t="shared" si="24"/>
        <v>7371.8104204324036</v>
      </c>
      <c r="O154" s="1159">
        <f t="shared" si="25"/>
        <v>11419.957671682696</v>
      </c>
      <c r="P154" s="1159">
        <f t="shared" si="26"/>
        <v>-14842.358509851349</v>
      </c>
      <c r="Q154" s="1159">
        <f t="shared" si="27"/>
        <v>262.70013930423147</v>
      </c>
      <c r="R154" s="2773"/>
      <c r="S154" s="396"/>
      <c r="T154" s="3"/>
      <c r="U154" s="3"/>
      <c r="V154" s="618"/>
      <c r="W154" s="3"/>
      <c r="X154" s="3"/>
      <c r="Y154" s="3"/>
      <c r="Z154" s="618"/>
      <c r="AA154" s="3"/>
      <c r="AB154" s="3"/>
    </row>
    <row r="155" spans="1:28" ht="18.75" x14ac:dyDescent="0.3">
      <c r="A155" s="2862"/>
      <c r="B155" s="706">
        <v>2045</v>
      </c>
      <c r="C155" s="1167">
        <f t="shared" si="33"/>
        <v>3444.6872431242909</v>
      </c>
      <c r="D155" s="1156">
        <f t="shared" si="34"/>
        <v>370.97876042062092</v>
      </c>
      <c r="E155" s="1156">
        <f t="shared" si="35"/>
        <v>1032.9166200358613</v>
      </c>
      <c r="F155" s="1156">
        <f t="shared" si="36"/>
        <v>-1728.5843544840845</v>
      </c>
      <c r="G155" s="1156">
        <f t="shared" si="37"/>
        <v>307.39366771292697</v>
      </c>
      <c r="H155" s="827">
        <f>(0.0584*1.02)*0.5976</f>
        <v>3.5597836800000004E-2</v>
      </c>
      <c r="I155" s="1157">
        <f>'Emission-Waste Transport Vehicl'!N59</f>
        <v>19.483276374144001</v>
      </c>
      <c r="J155" s="1157">
        <f>'Emission-Waste Transport Vehicl'!P59</f>
        <v>10.840170363264003</v>
      </c>
      <c r="K155" s="1157">
        <f>'Emission-Waste Transport Vehicl'!Q59</f>
        <v>8.4187811220480011</v>
      </c>
      <c r="L155" s="1157">
        <f>'Emission-Waste Transport Vehicl'!R59</f>
        <v>0.83791943769600008</v>
      </c>
      <c r="M155" s="1158">
        <f t="shared" si="23"/>
        <v>122.62341430778045</v>
      </c>
      <c r="N155" s="1159">
        <f t="shared" si="24"/>
        <v>7227.8817182123112</v>
      </c>
      <c r="O155" s="1159">
        <f t="shared" si="25"/>
        <v>11196.992132235569</v>
      </c>
      <c r="P155" s="1159">
        <f t="shared" si="26"/>
        <v>-14552.573331398142</v>
      </c>
      <c r="Q155" s="1159">
        <f t="shared" si="27"/>
        <v>257.57112920132687</v>
      </c>
      <c r="R155" s="2773"/>
      <c r="S155" s="396"/>
      <c r="T155" s="3"/>
      <c r="U155" s="3"/>
      <c r="V155" s="618"/>
      <c r="W155" s="3"/>
      <c r="X155" s="3"/>
      <c r="Y155" s="3"/>
      <c r="Z155" s="618"/>
      <c r="AA155" s="3"/>
      <c r="AB155" s="3"/>
    </row>
    <row r="156" spans="1:28" ht="18.75" x14ac:dyDescent="0.3">
      <c r="A156" s="2862"/>
      <c r="B156" s="706">
        <v>2046</v>
      </c>
      <c r="C156" s="1167">
        <f t="shared" si="33"/>
        <v>3444.6872431242909</v>
      </c>
      <c r="D156" s="1156">
        <f t="shared" si="34"/>
        <v>370.97876042062092</v>
      </c>
      <c r="E156" s="1156">
        <f t="shared" si="35"/>
        <v>1032.9166200358613</v>
      </c>
      <c r="F156" s="1156">
        <f t="shared" si="36"/>
        <v>-1728.5843544840845</v>
      </c>
      <c r="G156" s="1156">
        <f t="shared" si="37"/>
        <v>307.39366771292697</v>
      </c>
      <c r="H156" s="827">
        <f>(0.0584*1.02)*0.5859</f>
        <v>3.4900891199999999E-2</v>
      </c>
      <c r="I156" s="1157">
        <f>'Emission-Waste Transport Vehicl'!N60</f>
        <v>19.101826686096</v>
      </c>
      <c r="J156" s="1157">
        <f>'Emission-Waste Transport Vehicl'!P60</f>
        <v>10.627938112176002</v>
      </c>
      <c r="K156" s="1157">
        <f>'Emission-Waste Transport Vehicl'!Q60</f>
        <v>8.2539555880319995</v>
      </c>
      <c r="L156" s="1157">
        <f>'Emission-Waste Transport Vehicl'!R60</f>
        <v>0.82151438846400004</v>
      </c>
      <c r="M156" s="1158">
        <f t="shared" ref="M156:M219" si="38">C156*H156</f>
        <v>120.22265469030883</v>
      </c>
      <c r="N156" s="1159">
        <f t="shared" si="24"/>
        <v>7086.3719857774313</v>
      </c>
      <c r="O156" s="1159">
        <f t="shared" si="25"/>
        <v>10977.773912779148</v>
      </c>
      <c r="P156" s="1159">
        <f t="shared" si="26"/>
        <v>-14267.658492078595</v>
      </c>
      <c r="Q156" s="1159">
        <f t="shared" si="27"/>
        <v>252.52832094889123</v>
      </c>
      <c r="R156" s="2773"/>
      <c r="S156" s="396"/>
      <c r="T156" s="3"/>
      <c r="U156" s="3"/>
      <c r="V156" s="618"/>
      <c r="W156" s="3"/>
      <c r="X156" s="3"/>
      <c r="Y156" s="3"/>
      <c r="Z156" s="618"/>
      <c r="AA156" s="3"/>
      <c r="AB156" s="3"/>
    </row>
    <row r="157" spans="1:28" ht="18.75" x14ac:dyDescent="0.3">
      <c r="A157" s="2862"/>
      <c r="B157" s="706">
        <v>2047</v>
      </c>
      <c r="C157" s="1167">
        <f t="shared" si="33"/>
        <v>3444.6872431242909</v>
      </c>
      <c r="D157" s="1156">
        <f t="shared" si="34"/>
        <v>370.97876042062092</v>
      </c>
      <c r="E157" s="1156">
        <f t="shared" si="35"/>
        <v>1032.9166200358613</v>
      </c>
      <c r="F157" s="1156">
        <f t="shared" si="36"/>
        <v>-1728.5843544840845</v>
      </c>
      <c r="G157" s="1156">
        <f t="shared" si="37"/>
        <v>307.39366771292697</v>
      </c>
      <c r="H157" s="827">
        <f>(0.0584*1.02)*0.5744</f>
        <v>3.4215859200000004E-2</v>
      </c>
      <c r="I157" s="1157">
        <f>'Emission-Waste Transport Vehicl'!N61</f>
        <v>18.726897505536005</v>
      </c>
      <c r="J157" s="1157">
        <f>'Emission-Waste Transport Vehicl'!P61</f>
        <v>10.419333762816001</v>
      </c>
      <c r="K157" s="1157">
        <f>'Emission-Waste Transport Vehicl'!Q61</f>
        <v>8.0919475845120008</v>
      </c>
      <c r="L157" s="1157">
        <f>'Emission-Waste Transport Vehicl'!R61</f>
        <v>0.80538976742400015</v>
      </c>
      <c r="M157" s="1158">
        <f t="shared" si="38"/>
        <v>117.86293369877691</v>
      </c>
      <c r="N157" s="1159">
        <f t="shared" si="24"/>
        <v>6947.2812231277649</v>
      </c>
      <c r="O157" s="1159">
        <f t="shared" si="25"/>
        <v>10762.303013313436</v>
      </c>
      <c r="P157" s="1159">
        <f t="shared" si="26"/>
        <v>-13987.613991892724</v>
      </c>
      <c r="Q157" s="1159">
        <f t="shared" si="27"/>
        <v>247.57171454692462</v>
      </c>
      <c r="R157" s="2773"/>
      <c r="S157" s="396"/>
      <c r="T157" s="3"/>
      <c r="U157" s="3"/>
      <c r="V157" s="618"/>
      <c r="W157" s="3"/>
      <c r="X157" s="3"/>
      <c r="Y157" s="3"/>
      <c r="Z157" s="618"/>
      <c r="AA157" s="3"/>
      <c r="AB157" s="3"/>
    </row>
    <row r="158" spans="1:28" ht="18.75" x14ac:dyDescent="0.3">
      <c r="A158" s="2862"/>
      <c r="B158" s="706">
        <v>2048</v>
      </c>
      <c r="C158" s="1167">
        <f t="shared" si="33"/>
        <v>3444.6872431242909</v>
      </c>
      <c r="D158" s="1156">
        <f t="shared" si="34"/>
        <v>370.97876042062092</v>
      </c>
      <c r="E158" s="1156">
        <f t="shared" si="35"/>
        <v>1032.9166200358613</v>
      </c>
      <c r="F158" s="1156">
        <f t="shared" si="36"/>
        <v>-1728.5843544840845</v>
      </c>
      <c r="G158" s="1156">
        <f t="shared" si="37"/>
        <v>307.39366771292697</v>
      </c>
      <c r="H158" s="827">
        <f>(0.0584*1.02)*0.5631</f>
        <v>3.3542740800000005E-2</v>
      </c>
      <c r="I158" s="1157">
        <f>'Emission-Waste Transport Vehicl'!N62</f>
        <v>18.358488832464005</v>
      </c>
      <c r="J158" s="1157">
        <f>'Emission-Waste Transport Vehicl'!P62</f>
        <v>10.214357315184001</v>
      </c>
      <c r="K158" s="1157">
        <f>'Emission-Waste Transport Vehicl'!Q62</f>
        <v>7.9327571114880007</v>
      </c>
      <c r="L158" s="1157">
        <f>'Emission-Waste Transport Vehicl'!R62</f>
        <v>0.78954557457600016</v>
      </c>
      <c r="M158" s="1158">
        <f t="shared" si="38"/>
        <v>115.54425133318469</v>
      </c>
      <c r="N158" s="1159">
        <f t="shared" ref="N158:N221" si="39">D158*I158</f>
        <v>6810.6094302633082</v>
      </c>
      <c r="O158" s="1159">
        <f t="shared" ref="O158:O221" si="40">E158*J158</f>
        <v>10550.579433838433</v>
      </c>
      <c r="P158" s="1159">
        <f t="shared" ref="P158:P221" si="41">F158*K158</f>
        <v>-13712.439830840516</v>
      </c>
      <c r="Q158" s="1159">
        <f t="shared" ref="Q158:Q221" si="42">G158*L158</f>
        <v>242.70130999542698</v>
      </c>
      <c r="R158" s="2773"/>
      <c r="S158" s="396"/>
      <c r="T158" s="3"/>
      <c r="U158" s="3"/>
      <c r="V158" s="618"/>
      <c r="W158" s="3"/>
      <c r="X158" s="3"/>
      <c r="Y158" s="3"/>
      <c r="Z158" s="618"/>
      <c r="AA158" s="3"/>
      <c r="AB158" s="3"/>
    </row>
    <row r="159" spans="1:28" ht="18.75" x14ac:dyDescent="0.3">
      <c r="A159" s="2862"/>
      <c r="B159" s="706">
        <v>2049</v>
      </c>
      <c r="C159" s="1167">
        <f t="shared" si="33"/>
        <v>3444.6872431242909</v>
      </c>
      <c r="D159" s="1156">
        <f t="shared" si="34"/>
        <v>370.97876042062092</v>
      </c>
      <c r="E159" s="1156">
        <f t="shared" si="35"/>
        <v>1032.9166200358613</v>
      </c>
      <c r="F159" s="1156">
        <f t="shared" si="36"/>
        <v>-1728.5843544840845</v>
      </c>
      <c r="G159" s="1156">
        <f t="shared" si="37"/>
        <v>307.39366771292697</v>
      </c>
      <c r="H159" s="827">
        <f>(0.0584*1.02)*0.5521</f>
        <v>3.2887492800000001E-2</v>
      </c>
      <c r="I159" s="1157">
        <f>'Emission-Waste Transport Vehicl'!N63</f>
        <v>17.999860920624005</v>
      </c>
      <c r="J159" s="1157">
        <f>'Emission-Waste Transport Vehicl'!P63</f>
        <v>10.014822720144002</v>
      </c>
      <c r="K159" s="1157">
        <f>'Emission-Waste Transport Vehicl'!Q63</f>
        <v>7.7777929342080014</v>
      </c>
      <c r="L159" s="1157">
        <f>'Emission-Waste Transport Vehicl'!R63</f>
        <v>0.77412202401600017</v>
      </c>
      <c r="M159" s="1158">
        <f t="shared" si="38"/>
        <v>113.28712690650197</v>
      </c>
      <c r="N159" s="1159">
        <f t="shared" si="39"/>
        <v>6677.5660920766695</v>
      </c>
      <c r="O159" s="1159">
        <f t="shared" si="40"/>
        <v>10344.476834349492</v>
      </c>
      <c r="P159" s="1159">
        <f t="shared" si="41"/>
        <v>-13444.571178488812</v>
      </c>
      <c r="Q159" s="1159">
        <f t="shared" si="42"/>
        <v>237.96020821963282</v>
      </c>
      <c r="R159" s="2773"/>
      <c r="S159" s="396"/>
      <c r="T159" s="3"/>
      <c r="U159" s="3"/>
      <c r="V159" s="618"/>
      <c r="W159" s="3"/>
      <c r="X159" s="3"/>
      <c r="Y159" s="3"/>
      <c r="Z159" s="618"/>
      <c r="AA159" s="3"/>
      <c r="AB159" s="3"/>
    </row>
    <row r="160" spans="1:28" ht="18.75" x14ac:dyDescent="0.3">
      <c r="A160" s="2862"/>
      <c r="B160" s="706">
        <v>2050</v>
      </c>
      <c r="C160" s="1167">
        <f t="shared" si="33"/>
        <v>3444.6872431242909</v>
      </c>
      <c r="D160" s="1156">
        <f t="shared" si="34"/>
        <v>370.97876042062092</v>
      </c>
      <c r="E160" s="1156">
        <f t="shared" si="35"/>
        <v>1032.9166200358613</v>
      </c>
      <c r="F160" s="1156">
        <f t="shared" si="36"/>
        <v>-1728.5843544840845</v>
      </c>
      <c r="G160" s="1156">
        <f t="shared" si="37"/>
        <v>307.39366771292697</v>
      </c>
      <c r="H160" s="827">
        <f>(0.0584*1.02)*0.5412</f>
        <v>3.2238201600000002E-2</v>
      </c>
      <c r="I160" s="1157">
        <f>'Emission-Waste Transport Vehicl'!N64</f>
        <v>17.644493262528005</v>
      </c>
      <c r="J160" s="1157">
        <f>'Emission-Waste Transport Vehicl'!P64</f>
        <v>9.8171020759680019</v>
      </c>
      <c r="K160" s="1157">
        <f>'Emission-Waste Transport Vehicl'!Q64</f>
        <v>7.624237522176001</v>
      </c>
      <c r="L160" s="1157">
        <f>'Emission-Waste Transport Vehicl'!R64</f>
        <v>0.75883868755200012</v>
      </c>
      <c r="M160" s="1158">
        <f t="shared" si="38"/>
        <v>111.05052179278911</v>
      </c>
      <c r="N160" s="1159">
        <f t="shared" si="39"/>
        <v>6545.7322387826371</v>
      </c>
      <c r="O160" s="1159">
        <f t="shared" si="40"/>
        <v>10140.247894855906</v>
      </c>
      <c r="P160" s="1159">
        <f t="shared" si="41"/>
        <v>-13179.137695703939</v>
      </c>
      <c r="Q160" s="1159">
        <f t="shared" si="42"/>
        <v>233.26220736907314</v>
      </c>
      <c r="R160" s="2773"/>
      <c r="S160" s="396"/>
      <c r="T160" s="3"/>
      <c r="U160" s="3"/>
      <c r="V160" s="618"/>
      <c r="W160" s="3"/>
      <c r="X160" s="3"/>
      <c r="Y160" s="3"/>
      <c r="Z160" s="618"/>
      <c r="AA160" s="3"/>
      <c r="AB160" s="3"/>
    </row>
    <row r="161" spans="1:28" ht="18.75" x14ac:dyDescent="0.3">
      <c r="A161" s="2862"/>
      <c r="B161" s="706">
        <v>2051</v>
      </c>
      <c r="C161" s="1167">
        <f t="shared" ref="C161:C179" si="43">$S$9</f>
        <v>3444.6872431242909</v>
      </c>
      <c r="D161" s="1156">
        <f t="shared" ref="D161:D179" si="44">$T$9</f>
        <v>370.97876042062092</v>
      </c>
      <c r="E161" s="1156">
        <f t="shared" ref="E161:E179" si="45">$R$9</f>
        <v>1032.9166200358613</v>
      </c>
      <c r="F161" s="1156">
        <f t="shared" ref="F161:F179" si="46">$V$9</f>
        <v>-1728.5843544840845</v>
      </c>
      <c r="G161" s="1156">
        <f t="shared" ref="G161:G179" si="47">$U$9</f>
        <v>307.39366771292697</v>
      </c>
      <c r="H161" s="827">
        <f>(0.0584*1.02)*0.5306</f>
        <v>3.1606780799999998E-2</v>
      </c>
      <c r="I161" s="1157">
        <f>'Emission-Waste Transport Vehicl'!N65</f>
        <v>17.298906365664003</v>
      </c>
      <c r="J161" s="1157">
        <f>'Emission-Waste Transport Vehicl'!P65</f>
        <v>9.624823284384</v>
      </c>
      <c r="K161" s="1157">
        <f>'Emission-Waste Transport Vehicl'!Q65</f>
        <v>7.4749084058879998</v>
      </c>
      <c r="L161" s="1157">
        <f>'Emission-Waste Transport Vehicl'!R65</f>
        <v>0.74397599337600007</v>
      </c>
      <c r="M161" s="1158">
        <f t="shared" si="38"/>
        <v>108.87547461798576</v>
      </c>
      <c r="N161" s="1159">
        <f t="shared" si="39"/>
        <v>6417.5268401664198</v>
      </c>
      <c r="O161" s="1159">
        <f t="shared" si="40"/>
        <v>9941.6399353483794</v>
      </c>
      <c r="P161" s="1159">
        <f t="shared" si="41"/>
        <v>-12921.009721619566</v>
      </c>
      <c r="Q161" s="1159">
        <f t="shared" si="42"/>
        <v>228.69350929421691</v>
      </c>
      <c r="R161" s="2773"/>
      <c r="S161" s="396"/>
      <c r="T161" s="3"/>
      <c r="U161" s="3"/>
      <c r="V161" s="618"/>
      <c r="W161" s="3"/>
      <c r="X161" s="3"/>
      <c r="Y161" s="3"/>
      <c r="Z161" s="618"/>
      <c r="AA161" s="3"/>
      <c r="AB161" s="3"/>
    </row>
    <row r="162" spans="1:28" ht="18.75" x14ac:dyDescent="0.3">
      <c r="A162" s="2862"/>
      <c r="B162" s="706">
        <v>2052</v>
      </c>
      <c r="C162" s="1167">
        <f t="shared" si="43"/>
        <v>3444.6872431242909</v>
      </c>
      <c r="D162" s="1156">
        <f t="shared" si="44"/>
        <v>370.97876042062092</v>
      </c>
      <c r="E162" s="1156">
        <f t="shared" si="45"/>
        <v>1032.9166200358613</v>
      </c>
      <c r="F162" s="1156">
        <f t="shared" si="46"/>
        <v>-1728.5843544840845</v>
      </c>
      <c r="G162" s="1156">
        <f t="shared" si="47"/>
        <v>307.39366771292697</v>
      </c>
      <c r="H162" s="827">
        <f>(0.0584*1.02)*0.5202</f>
        <v>3.09872736E-2</v>
      </c>
      <c r="I162" s="1157">
        <f>'Emission-Waste Transport Vehicl'!N66</f>
        <v>16.959839976288002</v>
      </c>
      <c r="J162" s="1157">
        <f>'Emission-Waste Transport Vehicl'!P66</f>
        <v>9.4361723945280005</v>
      </c>
      <c r="K162" s="1157">
        <f>'Emission-Waste Transport Vehicl'!Q66</f>
        <v>7.3283968200960006</v>
      </c>
      <c r="L162" s="1157">
        <f>'Emission-Waste Transport Vehicl'!R66</f>
        <v>0.72939372739200004</v>
      </c>
      <c r="M162" s="1158">
        <f t="shared" si="38"/>
        <v>106.74146606912213</v>
      </c>
      <c r="N162" s="1159">
        <f t="shared" si="39"/>
        <v>6291.740411335416</v>
      </c>
      <c r="O162" s="1159">
        <f t="shared" si="40"/>
        <v>9746.7792958315622</v>
      </c>
      <c r="P162" s="1159">
        <f t="shared" si="41"/>
        <v>-12667.752086668863</v>
      </c>
      <c r="Q162" s="1159">
        <f t="shared" si="42"/>
        <v>224.2110130698297</v>
      </c>
      <c r="R162" s="2773"/>
      <c r="S162" s="396"/>
      <c r="T162" s="3"/>
      <c r="U162" s="3"/>
      <c r="V162" s="618"/>
      <c r="W162" s="3"/>
      <c r="X162" s="3"/>
      <c r="Y162" s="3"/>
      <c r="Z162" s="618"/>
      <c r="AA162" s="3"/>
      <c r="AB162" s="3"/>
    </row>
    <row r="163" spans="1:28" ht="18.75" x14ac:dyDescent="0.3">
      <c r="A163" s="2862"/>
      <c r="B163" s="706">
        <v>2053</v>
      </c>
      <c r="C163" s="1167">
        <f t="shared" si="43"/>
        <v>3444.6872431242909</v>
      </c>
      <c r="D163" s="1156">
        <f t="shared" si="44"/>
        <v>370.97876042062092</v>
      </c>
      <c r="E163" s="1156">
        <f t="shared" si="45"/>
        <v>1032.9166200358613</v>
      </c>
      <c r="F163" s="1156">
        <f t="shared" si="46"/>
        <v>-1728.5843544840845</v>
      </c>
      <c r="G163" s="1156">
        <f t="shared" si="47"/>
        <v>307.39366771292697</v>
      </c>
      <c r="H163" s="827">
        <f>(0.0584*1.02)*0.51</f>
        <v>3.0379680000000003E-2</v>
      </c>
      <c r="I163" s="1157">
        <f>'Emission-Waste Transport Vehicl'!N67</f>
        <v>15.361506000000002</v>
      </c>
      <c r="J163" s="1157">
        <f>'Emission-Waste Transport Vehicl'!P67</f>
        <v>9.2511494064000015</v>
      </c>
      <c r="K163" s="1157">
        <f>'Emission-Waste Transport Vehicl'!Q67</f>
        <v>7.1847027647999999</v>
      </c>
      <c r="L163" s="1157">
        <f>'Emission-Waste Transport Vehicl'!R67</f>
        <v>0.71509188960000014</v>
      </c>
      <c r="M163" s="1158">
        <f t="shared" si="38"/>
        <v>104.64849614619817</v>
      </c>
      <c r="N163" s="1159">
        <f t="shared" si="39"/>
        <v>5698.7924540739314</v>
      </c>
      <c r="O163" s="1159">
        <f t="shared" si="40"/>
        <v>9555.665976305454</v>
      </c>
      <c r="P163" s="1159">
        <f t="shared" si="41"/>
        <v>-12419.364790851825</v>
      </c>
      <c r="Q163" s="1159">
        <f t="shared" si="42"/>
        <v>219.81471869591149</v>
      </c>
      <c r="R163" s="2773"/>
      <c r="S163" s="396"/>
      <c r="T163" s="3"/>
      <c r="U163" s="3"/>
      <c r="V163" s="618"/>
      <c r="W163" s="3"/>
      <c r="X163" s="3"/>
      <c r="Y163" s="3"/>
      <c r="Z163" s="618"/>
      <c r="AA163" s="3"/>
      <c r="AB163" s="3"/>
    </row>
    <row r="164" spans="1:28" ht="18.75" x14ac:dyDescent="0.3">
      <c r="A164" s="2862"/>
      <c r="B164" s="706">
        <v>2054</v>
      </c>
      <c r="C164" s="1167">
        <f t="shared" si="43"/>
        <v>3444.6872431242909</v>
      </c>
      <c r="D164" s="1156">
        <f t="shared" si="44"/>
        <v>370.97876042062092</v>
      </c>
      <c r="E164" s="1156">
        <f t="shared" si="45"/>
        <v>1032.9166200358613</v>
      </c>
      <c r="F164" s="1156">
        <f t="shared" si="46"/>
        <v>-1728.5843544840845</v>
      </c>
      <c r="G164" s="1156">
        <f t="shared" si="47"/>
        <v>307.39366771292697</v>
      </c>
      <c r="H164" s="827">
        <f>(0.0584*1.02)*0.5</f>
        <v>2.9784000000000001E-2</v>
      </c>
      <c r="I164" s="1157">
        <f>'Emission-Waste Transport Vehicl'!N68</f>
        <v>16.301268720000003</v>
      </c>
      <c r="J164" s="1157">
        <f>'Emission-Waste Transport Vehicl'!P68</f>
        <v>9.0697543200000013</v>
      </c>
      <c r="K164" s="1157">
        <f>'Emission-Waste Transport Vehicl'!Q68</f>
        <v>7.0438262400000005</v>
      </c>
      <c r="L164" s="1157">
        <f>'Emission-Waste Transport Vehicl'!R68</f>
        <v>0.70107048000000005</v>
      </c>
      <c r="M164" s="1158">
        <f t="shared" si="38"/>
        <v>102.59656484921389</v>
      </c>
      <c r="N164" s="1159">
        <f t="shared" si="39"/>
        <v>6047.4244630290432</v>
      </c>
      <c r="O164" s="1159">
        <f t="shared" si="40"/>
        <v>9368.299976770053</v>
      </c>
      <c r="P164" s="1159">
        <f t="shared" si="41"/>
        <v>-12175.847834168457</v>
      </c>
      <c r="Q164" s="1159">
        <f t="shared" si="42"/>
        <v>215.50462617246222</v>
      </c>
      <c r="R164" s="2773"/>
      <c r="S164" s="396"/>
      <c r="T164" s="3"/>
      <c r="U164" s="3"/>
      <c r="V164" s="618"/>
      <c r="W164" s="3"/>
      <c r="X164" s="3"/>
      <c r="Y164" s="3"/>
      <c r="Z164" s="618"/>
      <c r="AA164" s="3"/>
      <c r="AB164" s="3"/>
    </row>
    <row r="165" spans="1:28" ht="18.75" x14ac:dyDescent="0.3">
      <c r="A165" s="2862"/>
      <c r="B165" s="706">
        <v>2055</v>
      </c>
      <c r="C165" s="1167">
        <f t="shared" si="43"/>
        <v>3444.6872431242909</v>
      </c>
      <c r="D165" s="1156">
        <f t="shared" si="44"/>
        <v>370.97876042062092</v>
      </c>
      <c r="E165" s="1156">
        <f t="shared" si="45"/>
        <v>1032.9166200358613</v>
      </c>
      <c r="F165" s="1156">
        <f t="shared" si="46"/>
        <v>-1728.5843544840845</v>
      </c>
      <c r="G165" s="1156">
        <f t="shared" si="47"/>
        <v>307.39366771292697</v>
      </c>
      <c r="H165" s="827">
        <f>(0.0584*1.02)*0.4902</f>
        <v>2.9200233600000004E-2</v>
      </c>
      <c r="I165" s="1157">
        <f>'Emission-Waste Transport Vehicl'!N69</f>
        <v>15.981763853088003</v>
      </c>
      <c r="J165" s="1157">
        <f>'Emission-Waste Transport Vehicl'!P69</f>
        <v>8.8919871353280016</v>
      </c>
      <c r="K165" s="1157">
        <f>'Emission-Waste Transport Vehicl'!Q69</f>
        <v>6.9057672456960004</v>
      </c>
      <c r="L165" s="1157">
        <f>'Emission-Waste Transport Vehicl'!R69</f>
        <v>0.6873294985920001</v>
      </c>
      <c r="M165" s="1158">
        <f t="shared" si="38"/>
        <v>100.5856721781693</v>
      </c>
      <c r="N165" s="1159">
        <f t="shared" si="39"/>
        <v>5928.8949435536733</v>
      </c>
      <c r="O165" s="1159">
        <f t="shared" si="40"/>
        <v>9184.681297225361</v>
      </c>
      <c r="P165" s="1159">
        <f t="shared" si="41"/>
        <v>-11937.201216618756</v>
      </c>
      <c r="Q165" s="1159">
        <f t="shared" si="42"/>
        <v>211.28073549948198</v>
      </c>
      <c r="R165" s="2773"/>
      <c r="S165" s="396"/>
      <c r="T165" s="3"/>
      <c r="U165" s="3"/>
      <c r="V165" s="618"/>
      <c r="W165" s="3"/>
      <c r="X165" s="3"/>
      <c r="Y165" s="3"/>
      <c r="Z165" s="618"/>
      <c r="AA165" s="3"/>
      <c r="AB165" s="3"/>
    </row>
    <row r="166" spans="1:28" ht="18.75" x14ac:dyDescent="0.3">
      <c r="A166" s="2862"/>
      <c r="B166" s="706">
        <v>2056</v>
      </c>
      <c r="C166" s="1167">
        <f t="shared" si="43"/>
        <v>3444.6872431242909</v>
      </c>
      <c r="D166" s="1156">
        <f t="shared" si="44"/>
        <v>370.97876042062092</v>
      </c>
      <c r="E166" s="1156">
        <f t="shared" si="45"/>
        <v>1032.9166200358613</v>
      </c>
      <c r="F166" s="1156">
        <f t="shared" si="46"/>
        <v>-1728.5843544840845</v>
      </c>
      <c r="G166" s="1156">
        <f t="shared" si="47"/>
        <v>307.39366771292697</v>
      </c>
      <c r="H166" s="827">
        <f>(0.0584*1.02)*0.4806</f>
        <v>2.8628380800000002E-2</v>
      </c>
      <c r="I166" s="1157">
        <f>'Emission-Waste Transport Vehicl'!N70</f>
        <v>15.668779493664003</v>
      </c>
      <c r="J166" s="1157">
        <f>'Emission-Waste Transport Vehicl'!P70</f>
        <v>8.7178478523840006</v>
      </c>
      <c r="K166" s="1157">
        <f>'Emission-Waste Transport Vehicl'!Q70</f>
        <v>6.7705257818880007</v>
      </c>
      <c r="L166" s="1157">
        <f>'Emission-Waste Transport Vehicl'!R70</f>
        <v>0.67386894537600017</v>
      </c>
      <c r="M166" s="1158">
        <f t="shared" si="38"/>
        <v>98.615818133064394</v>
      </c>
      <c r="N166" s="1159">
        <f t="shared" si="39"/>
        <v>5812.784393863516</v>
      </c>
      <c r="O166" s="1159">
        <f t="shared" si="40"/>
        <v>9004.8099376713744</v>
      </c>
      <c r="P166" s="1159">
        <f t="shared" si="41"/>
        <v>-11703.424938202721</v>
      </c>
      <c r="Q166" s="1159">
        <f t="shared" si="42"/>
        <v>207.14304667697073</v>
      </c>
      <c r="R166" s="2773"/>
      <c r="S166" s="396"/>
      <c r="T166" s="3"/>
      <c r="U166" s="3"/>
      <c r="V166" s="618"/>
      <c r="W166" s="3"/>
      <c r="X166" s="3"/>
      <c r="Y166" s="3"/>
      <c r="Z166" s="618"/>
      <c r="AA166" s="3"/>
      <c r="AB166" s="3"/>
    </row>
    <row r="167" spans="1:28" ht="18.75" x14ac:dyDescent="0.3">
      <c r="A167" s="2862"/>
      <c r="B167" s="706">
        <v>2057</v>
      </c>
      <c r="C167" s="1167">
        <f t="shared" si="43"/>
        <v>3444.6872431242909</v>
      </c>
      <c r="D167" s="1156">
        <f t="shared" si="44"/>
        <v>370.97876042062092</v>
      </c>
      <c r="E167" s="1156">
        <f t="shared" si="45"/>
        <v>1032.9166200358613</v>
      </c>
      <c r="F167" s="1156">
        <f t="shared" si="46"/>
        <v>-1728.5843544840845</v>
      </c>
      <c r="G167" s="1156">
        <f t="shared" si="47"/>
        <v>307.39366771292697</v>
      </c>
      <c r="H167" s="827">
        <f>(0.0584*1.02)*0.4712</f>
        <v>2.8068441600000001E-2</v>
      </c>
      <c r="I167" s="1157">
        <f>'Emission-Waste Transport Vehicl'!N71</f>
        <v>15.362315641728001</v>
      </c>
      <c r="J167" s="1157">
        <f>'Emission-Waste Transport Vehicl'!P71</f>
        <v>8.547336471168002</v>
      </c>
      <c r="K167" s="1157">
        <f>'Emission-Waste Transport Vehicl'!Q71</f>
        <v>6.6381018485760004</v>
      </c>
      <c r="L167" s="1157">
        <f>'Emission-Waste Transport Vehicl'!R71</f>
        <v>0.66068882035200005</v>
      </c>
      <c r="M167" s="1158">
        <f t="shared" si="38"/>
        <v>96.687002713899162</v>
      </c>
      <c r="N167" s="1159">
        <f t="shared" si="39"/>
        <v>5699.0928139585694</v>
      </c>
      <c r="O167" s="1159">
        <f t="shared" si="40"/>
        <v>8828.6858981080986</v>
      </c>
      <c r="P167" s="1159">
        <f t="shared" si="41"/>
        <v>-11474.518998920354</v>
      </c>
      <c r="Q167" s="1159">
        <f t="shared" si="42"/>
        <v>203.09155970492841</v>
      </c>
      <c r="R167" s="2773"/>
      <c r="S167" s="396"/>
      <c r="T167" s="3"/>
      <c r="U167" s="3"/>
      <c r="V167" s="618"/>
      <c r="W167" s="3"/>
      <c r="X167" s="3"/>
      <c r="Y167" s="3"/>
      <c r="Z167" s="618"/>
      <c r="AA167" s="3"/>
      <c r="AB167" s="3"/>
    </row>
    <row r="168" spans="1:28" ht="18.75" x14ac:dyDescent="0.3">
      <c r="A168" s="2862"/>
      <c r="B168" s="706">
        <v>2058</v>
      </c>
      <c r="C168" s="1167">
        <f t="shared" si="43"/>
        <v>3444.6872431242909</v>
      </c>
      <c r="D168" s="1156">
        <f t="shared" si="44"/>
        <v>370.97876042062092</v>
      </c>
      <c r="E168" s="1156">
        <f t="shared" si="45"/>
        <v>1032.9166200358613</v>
      </c>
      <c r="F168" s="1156">
        <f t="shared" si="46"/>
        <v>-1728.5843544840845</v>
      </c>
      <c r="G168" s="1156">
        <f t="shared" si="47"/>
        <v>307.39366771292697</v>
      </c>
      <c r="H168" s="827">
        <f>(0.0584*1.02)*0.4619</f>
        <v>2.7514459200000001E-2</v>
      </c>
      <c r="I168" s="1157">
        <f>'Emission-Waste Transport Vehicl'!N72</f>
        <v>15.059112043536</v>
      </c>
      <c r="J168" s="1157">
        <f>'Emission-Waste Transport Vehicl'!P72</f>
        <v>8.378639040816001</v>
      </c>
      <c r="K168" s="1157">
        <f>'Emission-Waste Transport Vehicl'!Q72</f>
        <v>6.5070866805119998</v>
      </c>
      <c r="L168" s="1157">
        <f>'Emission-Waste Transport Vehicl'!R72</f>
        <v>0.647648909424</v>
      </c>
      <c r="M168" s="1158">
        <f t="shared" si="38"/>
        <v>94.778706607703782</v>
      </c>
      <c r="N168" s="1159">
        <f t="shared" si="39"/>
        <v>5586.6107189462291</v>
      </c>
      <c r="O168" s="1159">
        <f t="shared" si="40"/>
        <v>8654.4355185401746</v>
      </c>
      <c r="P168" s="1159">
        <f t="shared" si="41"/>
        <v>-11248.04822920482</v>
      </c>
      <c r="Q168" s="1159">
        <f t="shared" si="42"/>
        <v>199.08317365812059</v>
      </c>
      <c r="R168" s="2773"/>
      <c r="S168" s="396"/>
      <c r="T168" s="3"/>
      <c r="U168" s="3"/>
      <c r="V168" s="618"/>
      <c r="W168" s="3"/>
      <c r="X168" s="3"/>
      <c r="Y168" s="3"/>
      <c r="Z168" s="618"/>
      <c r="AA168" s="3"/>
      <c r="AB168" s="3"/>
    </row>
    <row r="169" spans="1:28" ht="18.75" x14ac:dyDescent="0.3">
      <c r="A169" s="2862"/>
      <c r="B169" s="706">
        <v>2059</v>
      </c>
      <c r="C169" s="1167">
        <f t="shared" si="43"/>
        <v>3444.6872431242909</v>
      </c>
      <c r="D169" s="1156">
        <f t="shared" si="44"/>
        <v>370.97876042062092</v>
      </c>
      <c r="E169" s="1156">
        <f t="shared" si="45"/>
        <v>1032.9166200358613</v>
      </c>
      <c r="F169" s="1156">
        <f t="shared" si="46"/>
        <v>-1728.5843544840845</v>
      </c>
      <c r="G169" s="1156">
        <f t="shared" si="47"/>
        <v>307.39366771292697</v>
      </c>
      <c r="H169" s="827">
        <f>(0.0584*1.02)*0.4529</f>
        <v>2.6978347200000002E-2</v>
      </c>
      <c r="I169" s="1157">
        <f>'Emission-Waste Transport Vehicl'!N73</f>
        <v>14.765689206576004</v>
      </c>
      <c r="J169" s="1157">
        <f>'Emission-Waste Transport Vehicl'!P73</f>
        <v>8.2153834630560016</v>
      </c>
      <c r="K169" s="1157">
        <f>'Emission-Waste Transport Vehicl'!Q73</f>
        <v>6.380297808192001</v>
      </c>
      <c r="L169" s="1157">
        <f>'Emission-Waste Transport Vehicl'!R73</f>
        <v>0.63502964078400004</v>
      </c>
      <c r="M169" s="1158">
        <f t="shared" si="38"/>
        <v>92.931968440417947</v>
      </c>
      <c r="N169" s="1159">
        <f t="shared" si="39"/>
        <v>5477.7570786117076</v>
      </c>
      <c r="O169" s="1159">
        <f t="shared" si="40"/>
        <v>8485.806118958315</v>
      </c>
      <c r="P169" s="1159">
        <f t="shared" si="41"/>
        <v>-11028.88296818979</v>
      </c>
      <c r="Q169" s="1159">
        <f t="shared" si="42"/>
        <v>195.20409038701629</v>
      </c>
      <c r="R169" s="2773"/>
      <c r="S169" s="396"/>
      <c r="T169" s="3"/>
      <c r="U169" s="3"/>
      <c r="V169" s="618"/>
      <c r="W169" s="3"/>
      <c r="X169" s="3"/>
      <c r="Y169" s="3"/>
      <c r="Z169" s="618"/>
      <c r="AA169" s="3"/>
      <c r="AB169" s="3"/>
    </row>
    <row r="170" spans="1:28" ht="18.75" x14ac:dyDescent="0.3">
      <c r="A170" s="2862"/>
      <c r="B170" s="706">
        <v>2060</v>
      </c>
      <c r="C170" s="1167">
        <f t="shared" si="43"/>
        <v>3444.6872431242909</v>
      </c>
      <c r="D170" s="1156">
        <f t="shared" si="44"/>
        <v>370.97876042062092</v>
      </c>
      <c r="E170" s="1156">
        <f t="shared" si="45"/>
        <v>1032.9166200358613</v>
      </c>
      <c r="F170" s="1156">
        <f t="shared" si="46"/>
        <v>-1728.5843544840845</v>
      </c>
      <c r="G170" s="1156">
        <f t="shared" si="47"/>
        <v>307.39366771292697</v>
      </c>
      <c r="H170" s="827">
        <f>(0.0584*1.02)*0.444</f>
        <v>2.6448192000000002E-2</v>
      </c>
      <c r="I170" s="1157">
        <f>'Emission-Waste Transport Vehicl'!N74</f>
        <v>14.475526623360002</v>
      </c>
      <c r="J170" s="1157">
        <f>'Emission-Waste Transport Vehicl'!P74</f>
        <v>8.0539418361599999</v>
      </c>
      <c r="K170" s="1157">
        <f>'Emission-Waste Transport Vehicl'!Q74</f>
        <v>6.2549177011200001</v>
      </c>
      <c r="L170" s="1157">
        <f>'Emission-Waste Transport Vehicl'!R74</f>
        <v>0.62255058624000004</v>
      </c>
      <c r="M170" s="1158">
        <f t="shared" si="38"/>
        <v>91.105749586101936</v>
      </c>
      <c r="N170" s="1159">
        <f t="shared" si="39"/>
        <v>5370.1129231697896</v>
      </c>
      <c r="O170" s="1159">
        <f t="shared" si="40"/>
        <v>8319.0503793718053</v>
      </c>
      <c r="P170" s="1159">
        <f t="shared" si="41"/>
        <v>-10812.152876741589</v>
      </c>
      <c r="Q170" s="1159">
        <f t="shared" si="42"/>
        <v>191.36810804114646</v>
      </c>
      <c r="R170" s="2773"/>
      <c r="S170" s="396"/>
      <c r="T170" s="3"/>
      <c r="U170" s="3"/>
      <c r="V170" s="618"/>
      <c r="W170" s="3"/>
      <c r="X170" s="3"/>
      <c r="Y170" s="3"/>
      <c r="Z170" s="618"/>
      <c r="AA170" s="3"/>
      <c r="AB170" s="3"/>
    </row>
    <row r="171" spans="1:28" ht="18.75" x14ac:dyDescent="0.3">
      <c r="A171" s="2862"/>
      <c r="B171" s="706">
        <v>2061</v>
      </c>
      <c r="C171" s="1167">
        <f t="shared" si="43"/>
        <v>3444.6872431242909</v>
      </c>
      <c r="D171" s="1156">
        <f t="shared" si="44"/>
        <v>370.97876042062092</v>
      </c>
      <c r="E171" s="1156">
        <f t="shared" si="45"/>
        <v>1032.9166200358613</v>
      </c>
      <c r="F171" s="1156">
        <f t="shared" si="46"/>
        <v>-1728.5843544840845</v>
      </c>
      <c r="G171" s="1156">
        <f t="shared" si="47"/>
        <v>307.39366771292697</v>
      </c>
      <c r="H171" s="827">
        <f>(0.0584*1.02)*0.4353</f>
        <v>2.5929950400000002E-2</v>
      </c>
      <c r="I171" s="1157">
        <f>'Emission-Waste Transport Vehicl'!N75</f>
        <v>14.191884547632004</v>
      </c>
      <c r="J171" s="1157">
        <f>'Emission-Waste Transport Vehicl'!P75</f>
        <v>7.8961281109920014</v>
      </c>
      <c r="K171" s="1157">
        <f>'Emission-Waste Transport Vehicl'!Q75</f>
        <v>6.1323551245440004</v>
      </c>
      <c r="L171" s="1157">
        <f>'Emission-Waste Transport Vehicl'!R75</f>
        <v>0.61035195988800006</v>
      </c>
      <c r="M171" s="1158">
        <f t="shared" si="38"/>
        <v>89.320569357725617</v>
      </c>
      <c r="N171" s="1159">
        <f t="shared" si="39"/>
        <v>5264.8877375130851</v>
      </c>
      <c r="O171" s="1159">
        <f t="shared" si="40"/>
        <v>8156.0419597760083</v>
      </c>
      <c r="P171" s="1159">
        <f t="shared" si="41"/>
        <v>-10600.293124427059</v>
      </c>
      <c r="Q171" s="1159">
        <f t="shared" si="42"/>
        <v>187.61832754574561</v>
      </c>
      <c r="R171" s="2773"/>
      <c r="S171" s="396"/>
      <c r="T171" s="3"/>
      <c r="U171" s="3"/>
      <c r="V171" s="618"/>
      <c r="W171" s="3"/>
      <c r="X171" s="3"/>
      <c r="Y171" s="3"/>
      <c r="Z171" s="618"/>
      <c r="AA171" s="3"/>
      <c r="AB171" s="3"/>
    </row>
    <row r="172" spans="1:28" ht="18.75" x14ac:dyDescent="0.3">
      <c r="A172" s="2862"/>
      <c r="B172" s="706">
        <v>2062</v>
      </c>
      <c r="C172" s="1167">
        <f t="shared" si="43"/>
        <v>3444.6872431242909</v>
      </c>
      <c r="D172" s="1156">
        <f t="shared" si="44"/>
        <v>370.97876042062092</v>
      </c>
      <c r="E172" s="1156">
        <f t="shared" si="45"/>
        <v>1032.9166200358613</v>
      </c>
      <c r="F172" s="1156">
        <f t="shared" si="46"/>
        <v>-1728.5843544840845</v>
      </c>
      <c r="G172" s="1156">
        <f t="shared" si="47"/>
        <v>307.39366771292697</v>
      </c>
      <c r="H172" s="827">
        <f>(0.0584*1.02)*0.4268</f>
        <v>2.5423622400000002E-2</v>
      </c>
      <c r="I172" s="1157">
        <f>'Emission-Waste Transport Vehicl'!N76</f>
        <v>13.914762979392002</v>
      </c>
      <c r="J172" s="1157">
        <f>'Emission-Waste Transport Vehicl'!P76</f>
        <v>7.7419422875520008</v>
      </c>
      <c r="K172" s="1157">
        <f>'Emission-Waste Transport Vehicl'!Q76</f>
        <v>6.0126100784640002</v>
      </c>
      <c r="L172" s="1157">
        <f>'Emission-Waste Transport Vehicl'!R76</f>
        <v>0.59843376172800011</v>
      </c>
      <c r="M172" s="1158">
        <f t="shared" si="38"/>
        <v>87.576427755288975</v>
      </c>
      <c r="N172" s="1159">
        <f t="shared" si="39"/>
        <v>5162.0815216415904</v>
      </c>
      <c r="O172" s="1159">
        <f t="shared" si="40"/>
        <v>7996.7808601709175</v>
      </c>
      <c r="P172" s="1159">
        <f t="shared" si="41"/>
        <v>-10393.303711246195</v>
      </c>
      <c r="Q172" s="1159">
        <f t="shared" si="42"/>
        <v>183.95474890081377</v>
      </c>
      <c r="R172" s="2773"/>
      <c r="S172" s="396"/>
      <c r="T172" s="3"/>
      <c r="U172" s="3"/>
      <c r="V172" s="618"/>
      <c r="W172" s="3"/>
      <c r="X172" s="3"/>
      <c r="Y172" s="3"/>
      <c r="Z172" s="618"/>
      <c r="AA172" s="3"/>
      <c r="AB172" s="3"/>
    </row>
    <row r="173" spans="1:28" ht="18.75" x14ac:dyDescent="0.3">
      <c r="A173" s="2862"/>
      <c r="B173" s="706">
        <v>2063</v>
      </c>
      <c r="C173" s="1167">
        <f t="shared" si="43"/>
        <v>3444.6872431242909</v>
      </c>
      <c r="D173" s="1156">
        <f t="shared" si="44"/>
        <v>370.97876042062092</v>
      </c>
      <c r="E173" s="1156">
        <f t="shared" si="45"/>
        <v>1032.9166200358613</v>
      </c>
      <c r="F173" s="1156">
        <f t="shared" si="46"/>
        <v>-1728.5843544840845</v>
      </c>
      <c r="G173" s="1156">
        <f t="shared" si="47"/>
        <v>307.39366771292697</v>
      </c>
      <c r="H173" s="827">
        <f>(0.0584*1.02)*0.4184</f>
        <v>2.49232512E-2</v>
      </c>
      <c r="I173" s="1157">
        <f>'Emission-Waste Transport Vehicl'!N77</f>
        <v>13.640901664896001</v>
      </c>
      <c r="J173" s="1157">
        <f>'Emission-Waste Transport Vehicl'!P77</f>
        <v>7.5895704149760004</v>
      </c>
      <c r="K173" s="1157">
        <f>'Emission-Waste Transport Vehicl'!Q77</f>
        <v>5.8942737976319997</v>
      </c>
      <c r="L173" s="1157">
        <f>'Emission-Waste Transport Vehicl'!R77</f>
        <v>0.58665577766400001</v>
      </c>
      <c r="M173" s="1158">
        <f t="shared" si="38"/>
        <v>85.852805465822172</v>
      </c>
      <c r="N173" s="1159">
        <f t="shared" si="39"/>
        <v>5060.4847906627028</v>
      </c>
      <c r="O173" s="1159">
        <f t="shared" si="40"/>
        <v>7839.3934205611795</v>
      </c>
      <c r="P173" s="1159">
        <f t="shared" si="41"/>
        <v>-10188.749467632164</v>
      </c>
      <c r="Q173" s="1159">
        <f t="shared" si="42"/>
        <v>180.33427118111638</v>
      </c>
      <c r="R173" s="2773"/>
      <c r="S173" s="396"/>
      <c r="T173" s="3"/>
      <c r="U173" s="3"/>
      <c r="V173" s="618"/>
      <c r="W173" s="3"/>
      <c r="X173" s="3"/>
      <c r="Y173" s="3"/>
      <c r="Z173" s="618"/>
      <c r="AA173" s="3"/>
      <c r="AB173" s="3"/>
    </row>
    <row r="174" spans="1:28" ht="18.75" x14ac:dyDescent="0.3">
      <c r="A174" s="2862"/>
      <c r="B174" s="706">
        <v>2064</v>
      </c>
      <c r="C174" s="1167">
        <f t="shared" si="43"/>
        <v>3444.6872431242909</v>
      </c>
      <c r="D174" s="1156">
        <f t="shared" si="44"/>
        <v>370.97876042062092</v>
      </c>
      <c r="E174" s="1156">
        <f t="shared" si="45"/>
        <v>1032.9166200358613</v>
      </c>
      <c r="F174" s="1156">
        <f t="shared" si="46"/>
        <v>-1728.5843544840845</v>
      </c>
      <c r="G174" s="1156">
        <f t="shared" si="47"/>
        <v>307.39366771292697</v>
      </c>
      <c r="H174" s="827">
        <f>(0.0584*1.02)*0.4102</f>
        <v>2.4434793600000001E-2</v>
      </c>
      <c r="I174" s="1157">
        <f>'Emission-Waste Transport Vehicl'!N78</f>
        <v>13.373560857888002</v>
      </c>
      <c r="J174" s="1157">
        <f>'Emission-Waste Transport Vehicl'!P78</f>
        <v>7.4408264441280014</v>
      </c>
      <c r="K174" s="1157">
        <f>'Emission-Waste Transport Vehicl'!Q78</f>
        <v>5.7787550472960003</v>
      </c>
      <c r="L174" s="1157">
        <f>'Emission-Waste Transport Vehicl'!R78</f>
        <v>0.57515822179200005</v>
      </c>
      <c r="M174" s="1158">
        <f t="shared" si="38"/>
        <v>84.170221802295075</v>
      </c>
      <c r="N174" s="1159">
        <f t="shared" si="39"/>
        <v>4961.3070294690269</v>
      </c>
      <c r="O174" s="1159">
        <f t="shared" si="40"/>
        <v>7685.7533009421522</v>
      </c>
      <c r="P174" s="1159">
        <f t="shared" si="41"/>
        <v>-9989.0655631518021</v>
      </c>
      <c r="Q174" s="1159">
        <f t="shared" si="42"/>
        <v>176.79999531188801</v>
      </c>
      <c r="R174" s="2773"/>
      <c r="S174" s="396"/>
      <c r="T174" s="3"/>
      <c r="U174" s="3"/>
      <c r="V174" s="618"/>
      <c r="W174" s="3"/>
      <c r="X174" s="3"/>
      <c r="Y174" s="3"/>
      <c r="Z174" s="618"/>
      <c r="AA174" s="3"/>
      <c r="AB174" s="3"/>
    </row>
    <row r="175" spans="1:28" ht="18.75" x14ac:dyDescent="0.3">
      <c r="A175" s="2862"/>
      <c r="B175" s="706">
        <v>2065</v>
      </c>
      <c r="C175" s="1167">
        <f t="shared" si="43"/>
        <v>3444.6872431242909</v>
      </c>
      <c r="D175" s="1156">
        <f t="shared" si="44"/>
        <v>370.97876042062092</v>
      </c>
      <c r="E175" s="1156">
        <f t="shared" si="45"/>
        <v>1032.9166200358613</v>
      </c>
      <c r="F175" s="1156">
        <f t="shared" si="46"/>
        <v>-1728.5843544840845</v>
      </c>
      <c r="G175" s="1156">
        <f t="shared" si="47"/>
        <v>307.39366771292697</v>
      </c>
      <c r="H175" s="827">
        <f>(0.0584*1.02)*0.4022</f>
        <v>2.3958249600000002E-2</v>
      </c>
      <c r="I175" s="1157">
        <f>'Emission-Waste Transport Vehicl'!N79</f>
        <v>13.112740558368001</v>
      </c>
      <c r="J175" s="1157">
        <f>'Emission-Waste Transport Vehicl'!P79</f>
        <v>7.2957103750080003</v>
      </c>
      <c r="K175" s="1157">
        <f>'Emission-Waste Transport Vehicl'!Q79</f>
        <v>5.6660538274560004</v>
      </c>
      <c r="L175" s="1157">
        <f>'Emission-Waste Transport Vehicl'!R79</f>
        <v>0.56394109411200011</v>
      </c>
      <c r="M175" s="1158">
        <f t="shared" si="38"/>
        <v>82.528676764707654</v>
      </c>
      <c r="N175" s="1159">
        <f t="shared" si="39"/>
        <v>4864.5482380605617</v>
      </c>
      <c r="O175" s="1159">
        <f t="shared" si="40"/>
        <v>7535.8605013138304</v>
      </c>
      <c r="P175" s="1159">
        <f t="shared" si="41"/>
        <v>-9794.2519978051077</v>
      </c>
      <c r="Q175" s="1159">
        <f t="shared" si="42"/>
        <v>173.35192129312864</v>
      </c>
      <c r="R175" s="2773"/>
      <c r="S175" s="396"/>
      <c r="T175" s="3"/>
      <c r="U175" s="3"/>
      <c r="V175" s="618"/>
      <c r="W175" s="3"/>
      <c r="X175" s="3"/>
      <c r="Y175" s="3"/>
      <c r="Z175" s="618"/>
      <c r="AA175" s="3"/>
      <c r="AB175" s="3"/>
    </row>
    <row r="176" spans="1:28" ht="18.75" x14ac:dyDescent="0.3">
      <c r="A176" s="2862"/>
      <c r="B176" s="706">
        <v>2066</v>
      </c>
      <c r="C176" s="1167">
        <f t="shared" si="43"/>
        <v>3444.6872431242909</v>
      </c>
      <c r="D176" s="1156">
        <f t="shared" si="44"/>
        <v>370.97876042062092</v>
      </c>
      <c r="E176" s="1156">
        <f t="shared" si="45"/>
        <v>1032.9166200358613</v>
      </c>
      <c r="F176" s="1156">
        <f t="shared" si="46"/>
        <v>-1728.5843544840845</v>
      </c>
      <c r="G176" s="1156">
        <f t="shared" si="47"/>
        <v>307.39366771292697</v>
      </c>
      <c r="H176" s="827">
        <f>(0.0584*1.02)*0.3943</f>
        <v>2.3487662400000001E-2</v>
      </c>
      <c r="I176" s="1157">
        <f>'Emission-Waste Transport Vehicl'!N80</f>
        <v>12.855180512592</v>
      </c>
      <c r="J176" s="1157">
        <f>'Emission-Waste Transport Vehicl'!P80</f>
        <v>7.1524082567520004</v>
      </c>
      <c r="K176" s="1157">
        <f>'Emission-Waste Transport Vehicl'!Q80</f>
        <v>5.5547613728639993</v>
      </c>
      <c r="L176" s="1157">
        <f>'Emission-Waste Transport Vehicl'!R80</f>
        <v>0.55286418052800002</v>
      </c>
      <c r="M176" s="1158">
        <f t="shared" si="38"/>
        <v>80.907651040090073</v>
      </c>
      <c r="N176" s="1159">
        <f t="shared" si="39"/>
        <v>4768.9989315447019</v>
      </c>
      <c r="O176" s="1159">
        <f t="shared" si="40"/>
        <v>7387.841361680863</v>
      </c>
      <c r="P176" s="1159">
        <f t="shared" si="41"/>
        <v>-9601.8736020252436</v>
      </c>
      <c r="Q176" s="1159">
        <f t="shared" si="42"/>
        <v>169.9469481996037</v>
      </c>
      <c r="R176" s="2773"/>
      <c r="S176" s="396"/>
      <c r="T176" s="3"/>
      <c r="U176" s="3"/>
      <c r="V176" s="618"/>
      <c r="W176" s="3"/>
      <c r="X176" s="3"/>
      <c r="Y176" s="3"/>
      <c r="Z176" s="618"/>
      <c r="AA176" s="3"/>
      <c r="AB176" s="3"/>
    </row>
    <row r="177" spans="1:28" ht="18.75" x14ac:dyDescent="0.3">
      <c r="A177" s="2862"/>
      <c r="B177" s="706">
        <v>2067</v>
      </c>
      <c r="C177" s="1167">
        <f t="shared" si="43"/>
        <v>3444.6872431242909</v>
      </c>
      <c r="D177" s="1156">
        <f t="shared" si="44"/>
        <v>370.97876042062092</v>
      </c>
      <c r="E177" s="1156">
        <f t="shared" si="45"/>
        <v>1032.9166200358613</v>
      </c>
      <c r="F177" s="1156">
        <f t="shared" si="46"/>
        <v>-1728.5843544840845</v>
      </c>
      <c r="G177" s="1156">
        <f t="shared" si="47"/>
        <v>307.39366771292697</v>
      </c>
      <c r="H177" s="827">
        <f>(0.0584*1.02)*0.3865</f>
        <v>2.3023032000000002E-2</v>
      </c>
      <c r="I177" s="1157">
        <f>'Emission-Waste Transport Vehicl'!N81</f>
        <v>12.600880720560001</v>
      </c>
      <c r="J177" s="1157">
        <f>'Emission-Waste Transport Vehicl'!P81</f>
        <v>7.0109200893600008</v>
      </c>
      <c r="K177" s="1157">
        <f>'Emission-Waste Transport Vehicl'!Q81</f>
        <v>5.4448776835200006</v>
      </c>
      <c r="L177" s="1157">
        <f>'Emission-Waste Transport Vehicl'!R81</f>
        <v>0.5419274810400001</v>
      </c>
      <c r="M177" s="1158">
        <f t="shared" si="38"/>
        <v>79.307144628442344</v>
      </c>
      <c r="N177" s="1159">
        <f t="shared" si="39"/>
        <v>4674.6591099214493</v>
      </c>
      <c r="O177" s="1159">
        <f t="shared" si="40"/>
        <v>7241.695882043251</v>
      </c>
      <c r="P177" s="1159">
        <f t="shared" si="41"/>
        <v>-9411.9303758122169</v>
      </c>
      <c r="Q177" s="1159">
        <f t="shared" si="42"/>
        <v>166.58507603131332</v>
      </c>
      <c r="R177" s="2773"/>
      <c r="S177" s="396"/>
      <c r="T177" s="3"/>
      <c r="U177" s="3"/>
      <c r="V177" s="618"/>
      <c r="W177" s="3"/>
      <c r="X177" s="3"/>
      <c r="Y177" s="3"/>
      <c r="Z177" s="618"/>
      <c r="AA177" s="3"/>
      <c r="AB177" s="3"/>
    </row>
    <row r="178" spans="1:28" ht="18.75" x14ac:dyDescent="0.3">
      <c r="A178" s="2862"/>
      <c r="B178" s="706">
        <v>2068</v>
      </c>
      <c r="C178" s="1167">
        <f t="shared" si="43"/>
        <v>3444.6872431242909</v>
      </c>
      <c r="D178" s="1156">
        <f t="shared" si="44"/>
        <v>370.97876042062092</v>
      </c>
      <c r="E178" s="1156">
        <f t="shared" si="45"/>
        <v>1032.9166200358613</v>
      </c>
      <c r="F178" s="1156">
        <f t="shared" si="46"/>
        <v>-1728.5843544840845</v>
      </c>
      <c r="G178" s="1156">
        <f t="shared" si="47"/>
        <v>307.39366771292697</v>
      </c>
      <c r="H178" s="827">
        <f>(0.0584*1.02)*0.379</f>
        <v>2.2576272000000001E-2</v>
      </c>
      <c r="I178" s="1157">
        <f>'Emission-Waste Transport Vehicl'!N82</f>
        <v>12.356361689760002</v>
      </c>
      <c r="J178" s="1157">
        <f>'Emission-Waste Transport Vehicl'!P82</f>
        <v>6.8748737745600002</v>
      </c>
      <c r="K178" s="1157">
        <f>'Emission-Waste Transport Vehicl'!Q82</f>
        <v>5.339220289920001</v>
      </c>
      <c r="L178" s="1157">
        <f>'Emission-Waste Transport Vehicl'!R82</f>
        <v>0.53141142384000006</v>
      </c>
      <c r="M178" s="1158">
        <f t="shared" si="38"/>
        <v>77.768196155704132</v>
      </c>
      <c r="N178" s="1159">
        <f t="shared" si="39"/>
        <v>4583.9477429760145</v>
      </c>
      <c r="O178" s="1159">
        <f t="shared" si="40"/>
        <v>7101.1713823916998</v>
      </c>
      <c r="P178" s="1159">
        <f t="shared" si="41"/>
        <v>-9229.2926582996915</v>
      </c>
      <c r="Q178" s="1159">
        <f t="shared" si="42"/>
        <v>163.35250663872637</v>
      </c>
      <c r="R178" s="2773"/>
      <c r="S178" s="396"/>
      <c r="T178" s="3"/>
      <c r="U178" s="3"/>
      <c r="V178" s="618"/>
      <c r="W178" s="3"/>
      <c r="X178" s="3"/>
      <c r="Y178" s="3"/>
      <c r="Z178" s="618"/>
      <c r="AA178" s="3"/>
      <c r="AB178" s="3"/>
    </row>
    <row r="179" spans="1:28" ht="19.5" thickBot="1" x14ac:dyDescent="0.35">
      <c r="A179" s="2863"/>
      <c r="B179" s="55">
        <v>2069</v>
      </c>
      <c r="C179" s="1168">
        <f t="shared" si="43"/>
        <v>3444.6872431242909</v>
      </c>
      <c r="D179" s="1160">
        <f t="shared" si="44"/>
        <v>370.97876042062092</v>
      </c>
      <c r="E179" s="1160">
        <f t="shared" si="45"/>
        <v>1032.9166200358613</v>
      </c>
      <c r="F179" s="1160">
        <f t="shared" si="46"/>
        <v>-1728.5843544840845</v>
      </c>
      <c r="G179" s="1160">
        <f t="shared" si="47"/>
        <v>307.39366771292697</v>
      </c>
      <c r="H179" s="1062">
        <f>(0.0584*1.02)*0.3715</f>
        <v>2.2129512E-2</v>
      </c>
      <c r="I179" s="1161">
        <f>'Emission-Waste Transport Vehicl'!N83</f>
        <v>12.111842658960002</v>
      </c>
      <c r="J179" s="1161">
        <f>'Emission-Waste Transport Vehicl'!P83</f>
        <v>6.7388274597600004</v>
      </c>
      <c r="K179" s="1161">
        <f>'Emission-Waste Transport Vehicl'!Q83</f>
        <v>5.2335628963200005</v>
      </c>
      <c r="L179" s="1161">
        <f>'Emission-Waste Transport Vehicl'!R83</f>
        <v>0.52089536664000002</v>
      </c>
      <c r="M179" s="1162">
        <f t="shared" si="38"/>
        <v>76.229247682965919</v>
      </c>
      <c r="N179" s="1163">
        <f t="shared" si="39"/>
        <v>4493.2363760305789</v>
      </c>
      <c r="O179" s="1163">
        <f t="shared" si="40"/>
        <v>6960.6468827401486</v>
      </c>
      <c r="P179" s="1163">
        <f t="shared" si="41"/>
        <v>-9046.6549407871644</v>
      </c>
      <c r="Q179" s="1163">
        <f t="shared" si="42"/>
        <v>160.11993724613944</v>
      </c>
      <c r="R179" s="2774"/>
      <c r="S179" s="396"/>
      <c r="T179" s="3"/>
      <c r="U179" s="3"/>
      <c r="V179" s="618"/>
      <c r="W179" s="3"/>
      <c r="X179" s="3"/>
      <c r="Y179" s="3"/>
      <c r="Z179" s="618"/>
      <c r="AA179" s="3"/>
      <c r="AB179" s="3"/>
    </row>
    <row r="180" spans="1:28" ht="18.75" x14ac:dyDescent="0.3">
      <c r="A180" s="2903" t="s">
        <v>997</v>
      </c>
      <c r="B180" s="888">
        <v>2019</v>
      </c>
      <c r="C180" s="1153">
        <f t="shared" ref="C180:C211" si="48">$S$10</f>
        <v>82.144545483074637</v>
      </c>
      <c r="D180" s="1153">
        <f t="shared" ref="D180:D211" si="49">$T$10</f>
        <v>35.200909103137214</v>
      </c>
      <c r="E180" s="1153">
        <f t="shared" ref="E180:E211" si="50">$R$10</f>
        <v>46.934545470805148</v>
      </c>
      <c r="F180" s="1169">
        <f t="shared" ref="F180:F211" si="51">$V$10</f>
        <v>-1824.5804551790177</v>
      </c>
      <c r="G180" s="1153">
        <f t="shared" ref="G180:G211" si="52">$U$10</f>
        <v>-15.253727278031683</v>
      </c>
      <c r="H180" s="1056">
        <f>0.0584*1.02</f>
        <v>5.9568000000000003E-2</v>
      </c>
      <c r="I180" s="1154">
        <f>'Emission-Waste Transport Vehicl'!N33</f>
        <v>32.602537440000006</v>
      </c>
      <c r="J180" s="1154">
        <f>'Emission-Waste Transport Vehicl'!P33</f>
        <v>18.139508640000003</v>
      </c>
      <c r="K180" s="1154">
        <f>'Emission-Waste Transport Vehicl'!Q33</f>
        <v>14.087652480000001</v>
      </c>
      <c r="L180" s="1154">
        <f>'Emission-Waste Transport Vehicl'!R33</f>
        <v>1.4021409600000001</v>
      </c>
      <c r="M180" s="1155">
        <f t="shared" si="38"/>
        <v>4.8931862853357906</v>
      </c>
      <c r="N180" s="1155">
        <f t="shared" si="39"/>
        <v>1147.6389569570681</v>
      </c>
      <c r="O180" s="1155">
        <f t="shared" si="40"/>
        <v>851.36959308214296</v>
      </c>
      <c r="P180" s="1155">
        <f t="shared" si="41"/>
        <v>-25704.055374362219</v>
      </c>
      <c r="Q180" s="1155">
        <f t="shared" si="42"/>
        <v>-21.387875809197531</v>
      </c>
      <c r="R180" s="2772">
        <f>(SUM(M180:M230))+(SUM(N180:N230))+(SUM(O180:O230))+(SUM(P180:P230))+(SUM(Q180:Q230))</f>
        <v>-769182.33032002021</v>
      </c>
      <c r="S180" s="396"/>
      <c r="T180" s="3"/>
      <c r="U180" s="3"/>
      <c r="V180" s="618"/>
      <c r="W180" s="3"/>
      <c r="X180" s="3"/>
      <c r="Y180" s="3"/>
      <c r="Z180" s="618"/>
      <c r="AA180" s="3"/>
      <c r="AB180" s="3"/>
    </row>
    <row r="181" spans="1:28" ht="18.75" x14ac:dyDescent="0.3">
      <c r="A181" s="2862"/>
      <c r="B181" s="706">
        <v>2020</v>
      </c>
      <c r="C181" s="1164">
        <f t="shared" si="48"/>
        <v>82.144545483074637</v>
      </c>
      <c r="D181" s="1164">
        <f t="shared" si="49"/>
        <v>35.200909103137214</v>
      </c>
      <c r="E181" s="1164">
        <f t="shared" si="50"/>
        <v>46.934545470805148</v>
      </c>
      <c r="F181" s="1170">
        <f t="shared" si="51"/>
        <v>-1824.5804551790177</v>
      </c>
      <c r="G181" s="1164">
        <f t="shared" si="52"/>
        <v>-15.253727278031683</v>
      </c>
      <c r="H181" s="827">
        <f>(0.0584*1.02)*0.9804</f>
        <v>5.8400467200000007E-2</v>
      </c>
      <c r="I181" s="1157">
        <f>'Emission-Waste Transport Vehicl'!N34</f>
        <v>31.963527706176006</v>
      </c>
      <c r="J181" s="1157">
        <f>'Emission-Waste Transport Vehicl'!P34</f>
        <v>17.783974270656003</v>
      </c>
      <c r="K181" s="1157">
        <f>'Emission-Waste Transport Vehicl'!Q34</f>
        <v>13.811534491392001</v>
      </c>
      <c r="L181" s="1157">
        <f>'Emission-Waste Transport Vehicl'!R34</f>
        <v>1.3746589971840002</v>
      </c>
      <c r="M181" s="1158">
        <f t="shared" si="38"/>
        <v>4.7972798341432092</v>
      </c>
      <c r="N181" s="1159">
        <f t="shared" si="39"/>
        <v>1125.1452334007095</v>
      </c>
      <c r="O181" s="1159">
        <f t="shared" si="40"/>
        <v>834.68274905773296</v>
      </c>
      <c r="P181" s="1159">
        <f t="shared" si="41"/>
        <v>-25200.25588902472</v>
      </c>
      <c r="Q181" s="1159">
        <f t="shared" si="42"/>
        <v>-20.968673443337263</v>
      </c>
      <c r="R181" s="2773"/>
      <c r="S181" s="396"/>
      <c r="T181" s="3"/>
      <c r="U181" s="3"/>
      <c r="V181" s="618"/>
      <c r="W181" s="3"/>
      <c r="X181" s="3"/>
      <c r="Y181" s="3"/>
      <c r="Z181" s="618"/>
      <c r="AA181" s="3"/>
      <c r="AB181" s="3"/>
    </row>
    <row r="182" spans="1:28" ht="18.75" x14ac:dyDescent="0.3">
      <c r="A182" s="2862"/>
      <c r="B182" s="706">
        <v>2021</v>
      </c>
      <c r="C182" s="1164">
        <f t="shared" si="48"/>
        <v>82.144545483074637</v>
      </c>
      <c r="D182" s="1164">
        <f t="shared" si="49"/>
        <v>35.200909103137214</v>
      </c>
      <c r="E182" s="1164">
        <f t="shared" si="50"/>
        <v>46.934545470805148</v>
      </c>
      <c r="F182" s="1170">
        <f t="shared" si="51"/>
        <v>-1824.5804551790177</v>
      </c>
      <c r="G182" s="1164">
        <f t="shared" si="52"/>
        <v>-15.253727278031683</v>
      </c>
      <c r="H182" s="827">
        <f>(0.0584*1.02)*0.9612</f>
        <v>5.7256761600000004E-2</v>
      </c>
      <c r="I182" s="1157">
        <f>'Emission-Waste Transport Vehicl'!N35</f>
        <v>31.337558987328006</v>
      </c>
      <c r="J182" s="1157">
        <f>'Emission-Waste Transport Vehicl'!P35</f>
        <v>17.435695704768001</v>
      </c>
      <c r="K182" s="1157">
        <f>'Emission-Waste Transport Vehicl'!Q35</f>
        <v>13.541051563776001</v>
      </c>
      <c r="L182" s="1157">
        <f>'Emission-Waste Transport Vehicl'!R35</f>
        <v>1.3477378907520003</v>
      </c>
      <c r="M182" s="1158">
        <f t="shared" si="38"/>
        <v>4.703330657464762</v>
      </c>
      <c r="N182" s="1159">
        <f t="shared" si="39"/>
        <v>1103.1105654271339</v>
      </c>
      <c r="O182" s="1159">
        <f t="shared" si="40"/>
        <v>818.33645287055572</v>
      </c>
      <c r="P182" s="1159">
        <f t="shared" si="41"/>
        <v>-24706.738025836967</v>
      </c>
      <c r="Q182" s="1159">
        <f t="shared" si="42"/>
        <v>-20.558026227800671</v>
      </c>
      <c r="R182" s="2773"/>
      <c r="S182" s="396"/>
      <c r="T182" s="3"/>
      <c r="U182" s="3"/>
      <c r="V182" s="618"/>
      <c r="W182" s="3"/>
      <c r="X182" s="3"/>
      <c r="Y182" s="3"/>
      <c r="Z182" s="618"/>
      <c r="AA182" s="3"/>
      <c r="AB182" s="3"/>
    </row>
    <row r="183" spans="1:28" ht="18.75" x14ac:dyDescent="0.3">
      <c r="A183" s="2862"/>
      <c r="B183" s="706">
        <v>2022</v>
      </c>
      <c r="C183" s="1164">
        <f t="shared" si="48"/>
        <v>82.144545483074637</v>
      </c>
      <c r="D183" s="1164">
        <f t="shared" si="49"/>
        <v>35.200909103137214</v>
      </c>
      <c r="E183" s="1164">
        <f t="shared" si="50"/>
        <v>46.934545470805148</v>
      </c>
      <c r="F183" s="1170">
        <f t="shared" si="51"/>
        <v>-1824.5804551790177</v>
      </c>
      <c r="G183" s="1164">
        <f t="shared" si="52"/>
        <v>-15.253727278031683</v>
      </c>
      <c r="H183" s="827">
        <f>(0.0584*1.02)*0.9423</f>
        <v>5.6130926400000003E-2</v>
      </c>
      <c r="I183" s="1157">
        <f>'Emission-Waste Transport Vehicl'!N36</f>
        <v>30.721371029712003</v>
      </c>
      <c r="J183" s="1157">
        <f>'Emission-Waste Transport Vehicl'!P36</f>
        <v>17.092858991472003</v>
      </c>
      <c r="K183" s="1157">
        <f>'Emission-Waste Transport Vehicl'!Q36</f>
        <v>13.274794931903999</v>
      </c>
      <c r="L183" s="1157">
        <f>'Emission-Waste Transport Vehicl'!R36</f>
        <v>1.3212374266080003</v>
      </c>
      <c r="M183" s="1158">
        <f t="shared" si="38"/>
        <v>4.6108494366719155</v>
      </c>
      <c r="N183" s="1159">
        <f t="shared" si="39"/>
        <v>1081.4201891406451</v>
      </c>
      <c r="O183" s="1159">
        <f t="shared" si="40"/>
        <v>802.24556756130335</v>
      </c>
      <c r="P183" s="1159">
        <f t="shared" si="41"/>
        <v>-24220.931379261518</v>
      </c>
      <c r="Q183" s="1159">
        <f t="shared" si="42"/>
        <v>-20.153795375006837</v>
      </c>
      <c r="R183" s="2773"/>
      <c r="S183" s="396"/>
      <c r="T183" s="3"/>
      <c r="U183" s="3"/>
      <c r="V183" s="618"/>
      <c r="W183" s="3"/>
      <c r="X183" s="3"/>
      <c r="Y183" s="3"/>
      <c r="Z183" s="618"/>
      <c r="AA183" s="3"/>
      <c r="AB183" s="3"/>
    </row>
    <row r="184" spans="1:28" ht="18.75" x14ac:dyDescent="0.3">
      <c r="A184" s="2862"/>
      <c r="B184" s="706">
        <v>2023</v>
      </c>
      <c r="C184" s="1164">
        <f t="shared" si="48"/>
        <v>82.144545483074637</v>
      </c>
      <c r="D184" s="1164">
        <f t="shared" si="49"/>
        <v>35.200909103137214</v>
      </c>
      <c r="E184" s="1164">
        <f t="shared" si="50"/>
        <v>46.934545470805148</v>
      </c>
      <c r="F184" s="1170">
        <f t="shared" si="51"/>
        <v>-1824.5804551790177</v>
      </c>
      <c r="G184" s="1164">
        <f t="shared" si="52"/>
        <v>-15.253727278031683</v>
      </c>
      <c r="H184" s="827">
        <f>(0.0584*1.02)*0.9238</f>
        <v>5.5028918400000001E-2</v>
      </c>
      <c r="I184" s="1157">
        <f>'Emission-Waste Transport Vehicl'!N37</f>
        <v>30.118224087072001</v>
      </c>
      <c r="J184" s="1157">
        <f>'Emission-Waste Transport Vehicl'!P37</f>
        <v>16.757278081632002</v>
      </c>
      <c r="K184" s="1157">
        <f>'Emission-Waste Transport Vehicl'!Q37</f>
        <v>13.014173361024</v>
      </c>
      <c r="L184" s="1157">
        <f>'Emission-Waste Transport Vehicl'!R37</f>
        <v>1.295297818848</v>
      </c>
      <c r="M184" s="1158">
        <f t="shared" si="38"/>
        <v>4.5203254903932031</v>
      </c>
      <c r="N184" s="1159">
        <f t="shared" si="39"/>
        <v>1060.1888684369394</v>
      </c>
      <c r="O184" s="1159">
        <f t="shared" si="40"/>
        <v>786.49523008928361</v>
      </c>
      <c r="P184" s="1159">
        <f t="shared" si="41"/>
        <v>-23745.406354835817</v>
      </c>
      <c r="Q184" s="1159">
        <f t="shared" si="42"/>
        <v>-19.758119672536679</v>
      </c>
      <c r="R184" s="2773"/>
      <c r="S184" s="396"/>
      <c r="T184" s="3"/>
      <c r="U184" s="3"/>
      <c r="V184" s="618"/>
      <c r="W184" s="3"/>
      <c r="X184" s="3"/>
      <c r="Y184" s="3"/>
      <c r="Z184" s="618"/>
      <c r="AA184" s="3"/>
      <c r="AB184" s="3"/>
    </row>
    <row r="185" spans="1:28" ht="18.75" x14ac:dyDescent="0.3">
      <c r="A185" s="2862"/>
      <c r="B185" s="706">
        <v>2024</v>
      </c>
      <c r="C185" s="1164">
        <f t="shared" si="48"/>
        <v>82.144545483074637</v>
      </c>
      <c r="D185" s="1164">
        <f t="shared" si="49"/>
        <v>35.200909103137214</v>
      </c>
      <c r="E185" s="1164">
        <f t="shared" si="50"/>
        <v>46.934545470805148</v>
      </c>
      <c r="F185" s="1170">
        <f t="shared" si="51"/>
        <v>-1824.5804551790177</v>
      </c>
      <c r="G185" s="1164">
        <f t="shared" si="52"/>
        <v>-15.253727278031683</v>
      </c>
      <c r="H185" s="827">
        <f>(0.0584*1.02)*0.9057</f>
        <v>5.39507376E-2</v>
      </c>
      <c r="I185" s="1157">
        <f>'Emission-Waste Transport Vehicl'!N38</f>
        <v>29.528118159408002</v>
      </c>
      <c r="J185" s="1157">
        <f>'Emission-Waste Transport Vehicl'!P38</f>
        <v>16.428952975248002</v>
      </c>
      <c r="K185" s="1157">
        <f>'Emission-Waste Transport Vehicl'!Q38</f>
        <v>12.759186851135999</v>
      </c>
      <c r="L185" s="1157">
        <f>'Emission-Waste Transport Vehicl'!R38</f>
        <v>1.269919067472</v>
      </c>
      <c r="M185" s="1158">
        <f t="shared" si="38"/>
        <v>4.4317588186286248</v>
      </c>
      <c r="N185" s="1159">
        <f t="shared" si="39"/>
        <v>1039.4166033160163</v>
      </c>
      <c r="O185" s="1159">
        <f t="shared" si="40"/>
        <v>771.08544045449685</v>
      </c>
      <c r="P185" s="1159">
        <f t="shared" si="41"/>
        <v>-23280.162952559858</v>
      </c>
      <c r="Q185" s="1159">
        <f t="shared" si="42"/>
        <v>-19.370999120390202</v>
      </c>
      <c r="R185" s="2773"/>
      <c r="S185" s="396"/>
      <c r="T185" s="3"/>
      <c r="U185" s="3"/>
      <c r="V185" s="618"/>
      <c r="W185" s="3"/>
      <c r="X185" s="3"/>
      <c r="Y185" s="3"/>
      <c r="Z185" s="618"/>
      <c r="AA185" s="3"/>
      <c r="AB185" s="3"/>
    </row>
    <row r="186" spans="1:28" ht="18.75" x14ac:dyDescent="0.3">
      <c r="A186" s="2862"/>
      <c r="B186" s="706">
        <v>2025</v>
      </c>
      <c r="C186" s="1164">
        <f t="shared" si="48"/>
        <v>82.144545483074637</v>
      </c>
      <c r="D186" s="1164">
        <f t="shared" si="49"/>
        <v>35.200909103137214</v>
      </c>
      <c r="E186" s="1164">
        <f t="shared" si="50"/>
        <v>46.934545470805148</v>
      </c>
      <c r="F186" s="1170">
        <f t="shared" si="51"/>
        <v>-1824.5804551790177</v>
      </c>
      <c r="G186" s="1164">
        <f t="shared" si="52"/>
        <v>-15.253727278031683</v>
      </c>
      <c r="H186" s="827">
        <f>(0.0584*1.02)*0.888</f>
        <v>5.2896384000000005E-2</v>
      </c>
      <c r="I186" s="1157">
        <f>'Emission-Waste Transport Vehicl'!N39</f>
        <v>28.951053246720004</v>
      </c>
      <c r="J186" s="1157">
        <f>'Emission-Waste Transport Vehicl'!P39</f>
        <v>16.10788367232</v>
      </c>
      <c r="K186" s="1157">
        <f>'Emission-Waste Transport Vehicl'!Q39</f>
        <v>12.50983540224</v>
      </c>
      <c r="L186" s="1157">
        <f>'Emission-Waste Transport Vehicl'!R39</f>
        <v>1.2451011724800001</v>
      </c>
      <c r="M186" s="1158">
        <f t="shared" si="38"/>
        <v>4.3451494213781823</v>
      </c>
      <c r="N186" s="1159">
        <f t="shared" si="39"/>
        <v>1019.1033937778764</v>
      </c>
      <c r="O186" s="1159">
        <f t="shared" si="40"/>
        <v>756.01619865694283</v>
      </c>
      <c r="P186" s="1159">
        <f t="shared" si="41"/>
        <v>-22825.201172433648</v>
      </c>
      <c r="Q186" s="1159">
        <f t="shared" si="42"/>
        <v>-18.992433718567408</v>
      </c>
      <c r="R186" s="2773"/>
      <c r="S186" s="396"/>
      <c r="T186" s="3"/>
      <c r="U186" s="3"/>
      <c r="V186" s="618"/>
      <c r="W186" s="3"/>
      <c r="X186" s="3"/>
      <c r="Y186" s="3"/>
      <c r="Z186" s="618"/>
      <c r="AA186" s="3"/>
      <c r="AB186" s="3"/>
    </row>
    <row r="187" spans="1:28" ht="18.75" x14ac:dyDescent="0.3">
      <c r="A187" s="2862"/>
      <c r="B187" s="706">
        <v>2026</v>
      </c>
      <c r="C187" s="1164">
        <f t="shared" si="48"/>
        <v>82.144545483074637</v>
      </c>
      <c r="D187" s="1164">
        <f t="shared" si="49"/>
        <v>35.200909103137214</v>
      </c>
      <c r="E187" s="1164">
        <f t="shared" si="50"/>
        <v>46.934545470805148</v>
      </c>
      <c r="F187" s="1170">
        <f t="shared" si="51"/>
        <v>-1824.5804551790177</v>
      </c>
      <c r="G187" s="1164">
        <f t="shared" si="52"/>
        <v>-15.253727278031683</v>
      </c>
      <c r="H187" s="827">
        <f>(0.0584*1.02)*0.8706</f>
        <v>5.1859900800000004E-2</v>
      </c>
      <c r="I187" s="1157">
        <f>'Emission-Waste Transport Vehicl'!N40</f>
        <v>28.383769095264007</v>
      </c>
      <c r="J187" s="1157">
        <f>'Emission-Waste Transport Vehicl'!P40</f>
        <v>15.792256221984003</v>
      </c>
      <c r="K187" s="1157">
        <f>'Emission-Waste Transport Vehicl'!Q40</f>
        <v>12.264710249088001</v>
      </c>
      <c r="L187" s="1157">
        <f>'Emission-Waste Transport Vehicl'!R40</f>
        <v>1.2207039197760001</v>
      </c>
      <c r="M187" s="1158">
        <f t="shared" si="38"/>
        <v>4.2600079800133388</v>
      </c>
      <c r="N187" s="1159">
        <f t="shared" si="39"/>
        <v>999.13447592682348</v>
      </c>
      <c r="O187" s="1159">
        <f t="shared" si="40"/>
        <v>741.20236773731369</v>
      </c>
      <c r="P187" s="1159">
        <f t="shared" si="41"/>
        <v>-22377.950608919749</v>
      </c>
      <c r="Q187" s="1159">
        <f t="shared" si="42"/>
        <v>-18.620284679487373</v>
      </c>
      <c r="R187" s="2773"/>
      <c r="S187" s="396"/>
      <c r="T187" s="3"/>
      <c r="U187" s="3"/>
      <c r="V187" s="618"/>
      <c r="W187" s="3"/>
      <c r="X187" s="3"/>
      <c r="Y187" s="3"/>
      <c r="Z187" s="618"/>
      <c r="AA187" s="3"/>
      <c r="AB187" s="3"/>
    </row>
    <row r="188" spans="1:28" ht="18.75" x14ac:dyDescent="0.3">
      <c r="A188" s="2862"/>
      <c r="B188" s="706">
        <v>2027</v>
      </c>
      <c r="C188" s="1164">
        <f t="shared" si="48"/>
        <v>82.144545483074637</v>
      </c>
      <c r="D188" s="1164">
        <f t="shared" si="49"/>
        <v>35.200909103137214</v>
      </c>
      <c r="E188" s="1164">
        <f t="shared" si="50"/>
        <v>46.934545470805148</v>
      </c>
      <c r="F188" s="1170">
        <f t="shared" si="51"/>
        <v>-1824.5804551790177</v>
      </c>
      <c r="G188" s="1164">
        <f t="shared" si="52"/>
        <v>-15.253727278031683</v>
      </c>
      <c r="H188" s="827">
        <f>(0.0584*1.02)*0.8535</f>
        <v>5.0841288000000005E-2</v>
      </c>
      <c r="I188" s="1157">
        <f>'Emission-Waste Transport Vehicl'!N41</f>
        <v>27.826265705040004</v>
      </c>
      <c r="J188" s="1157">
        <f>'Emission-Waste Transport Vehicl'!P41</f>
        <v>15.482070624240002</v>
      </c>
      <c r="K188" s="1157">
        <f>'Emission-Waste Transport Vehicl'!Q41</f>
        <v>12.023811391680001</v>
      </c>
      <c r="L188" s="1157">
        <f>'Emission-Waste Transport Vehicl'!R41</f>
        <v>1.1967273093600002</v>
      </c>
      <c r="M188" s="1158">
        <f t="shared" si="38"/>
        <v>4.176334494534097</v>
      </c>
      <c r="N188" s="1159">
        <f t="shared" si="39"/>
        <v>979.50984976285758</v>
      </c>
      <c r="O188" s="1159">
        <f t="shared" si="40"/>
        <v>726.64394769560897</v>
      </c>
      <c r="P188" s="1159">
        <f t="shared" si="41"/>
        <v>-21938.411262018155</v>
      </c>
      <c r="Q188" s="1159">
        <f t="shared" si="42"/>
        <v>-18.254552003150096</v>
      </c>
      <c r="R188" s="2773"/>
      <c r="S188" s="396"/>
      <c r="T188" s="3"/>
      <c r="U188" s="3"/>
      <c r="V188" s="618"/>
      <c r="W188" s="3"/>
      <c r="X188" s="3"/>
      <c r="Y188" s="3"/>
      <c r="Z188" s="618"/>
      <c r="AA188" s="3"/>
      <c r="AB188" s="3"/>
    </row>
    <row r="189" spans="1:28" ht="18.75" x14ac:dyDescent="0.3">
      <c r="A189" s="2862"/>
      <c r="B189" s="706">
        <v>2028</v>
      </c>
      <c r="C189" s="1164">
        <f t="shared" si="48"/>
        <v>82.144545483074637</v>
      </c>
      <c r="D189" s="1164">
        <f t="shared" si="49"/>
        <v>35.200909103137214</v>
      </c>
      <c r="E189" s="1164">
        <f t="shared" si="50"/>
        <v>46.934545470805148</v>
      </c>
      <c r="F189" s="1170">
        <f t="shared" si="51"/>
        <v>-1824.5804551790177</v>
      </c>
      <c r="G189" s="1164">
        <f t="shared" si="52"/>
        <v>-15.253727278031683</v>
      </c>
      <c r="H189" s="827">
        <f>(0.0584*1.02)*0.8368</f>
        <v>4.9846502399999999E-2</v>
      </c>
      <c r="I189" s="1157">
        <f>'Emission-Waste Transport Vehicl'!N42</f>
        <v>27.281803329792002</v>
      </c>
      <c r="J189" s="1157">
        <f>'Emission-Waste Transport Vehicl'!P42</f>
        <v>15.179140829952001</v>
      </c>
      <c r="K189" s="1157">
        <f>'Emission-Waste Transport Vehicl'!Q42</f>
        <v>11.788547595263999</v>
      </c>
      <c r="L189" s="1157">
        <f>'Emission-Waste Transport Vehicl'!R42</f>
        <v>1.173311555328</v>
      </c>
      <c r="M189" s="1158">
        <f t="shared" si="38"/>
        <v>4.0946182835689893</v>
      </c>
      <c r="N189" s="1159">
        <f t="shared" si="39"/>
        <v>960.34427918167444</v>
      </c>
      <c r="O189" s="1159">
        <f t="shared" si="40"/>
        <v>712.42607549113711</v>
      </c>
      <c r="P189" s="1159">
        <f t="shared" si="41"/>
        <v>-21509.153537266302</v>
      </c>
      <c r="Q189" s="1159">
        <f t="shared" si="42"/>
        <v>-17.897374477136495</v>
      </c>
      <c r="R189" s="2773"/>
      <c r="S189" s="396"/>
      <c r="T189" s="3"/>
      <c r="U189" s="3"/>
      <c r="V189" s="618"/>
      <c r="W189" s="3"/>
      <c r="X189" s="3"/>
      <c r="Y189" s="3"/>
      <c r="Z189" s="618"/>
      <c r="AA189" s="3"/>
      <c r="AB189" s="3"/>
    </row>
    <row r="190" spans="1:28" ht="18.75" x14ac:dyDescent="0.3">
      <c r="A190" s="2862"/>
      <c r="B190" s="706">
        <v>2029</v>
      </c>
      <c r="C190" s="1164">
        <f t="shared" si="48"/>
        <v>82.144545483074637</v>
      </c>
      <c r="D190" s="1164">
        <f t="shared" si="49"/>
        <v>35.200909103137214</v>
      </c>
      <c r="E190" s="1164">
        <f t="shared" si="50"/>
        <v>46.934545470805148</v>
      </c>
      <c r="F190" s="1170">
        <f t="shared" si="51"/>
        <v>-1824.5804551790177</v>
      </c>
      <c r="G190" s="1164">
        <f t="shared" si="52"/>
        <v>-15.253727278031683</v>
      </c>
      <c r="H190" s="827">
        <f>(0.0584*1.02)*0.8203</f>
        <v>4.8863630400000004E-2</v>
      </c>
      <c r="I190" s="1157">
        <f>'Emission-Waste Transport Vehicl'!N43</f>
        <v>26.743861462032005</v>
      </c>
      <c r="J190" s="1157">
        <f>'Emission-Waste Transport Vehicl'!P43</f>
        <v>14.879838937392002</v>
      </c>
      <c r="K190" s="1157">
        <f>'Emission-Waste Transport Vehicl'!Q43</f>
        <v>11.556101329344001</v>
      </c>
      <c r="L190" s="1157">
        <f>'Emission-Waste Transport Vehicl'!R43</f>
        <v>1.1501762294880002</v>
      </c>
      <c r="M190" s="1158">
        <f t="shared" si="38"/>
        <v>4.013880709860949</v>
      </c>
      <c r="N190" s="1159">
        <f t="shared" si="39"/>
        <v>941.40823639188295</v>
      </c>
      <c r="O190" s="1159">
        <f t="shared" si="40"/>
        <v>698.37847720528191</v>
      </c>
      <c r="P190" s="1159">
        <f t="shared" si="41"/>
        <v>-21085.036623589327</v>
      </c>
      <c r="Q190" s="1159">
        <f t="shared" si="42"/>
        <v>-17.544474526284738</v>
      </c>
      <c r="R190" s="2773"/>
      <c r="S190" s="396"/>
      <c r="T190" s="3"/>
      <c r="U190" s="3"/>
      <c r="V190" s="618"/>
      <c r="W190" s="3"/>
      <c r="X190" s="3"/>
      <c r="Y190" s="3"/>
      <c r="Z190" s="618"/>
      <c r="AA190" s="3"/>
      <c r="AB190" s="3"/>
    </row>
    <row r="191" spans="1:28" ht="18.75" x14ac:dyDescent="0.3">
      <c r="A191" s="2862"/>
      <c r="B191" s="706">
        <v>2030</v>
      </c>
      <c r="C191" s="1164">
        <f t="shared" si="48"/>
        <v>82.144545483074637</v>
      </c>
      <c r="D191" s="1164">
        <f t="shared" si="49"/>
        <v>35.200909103137214</v>
      </c>
      <c r="E191" s="1164">
        <f t="shared" si="50"/>
        <v>46.934545470805148</v>
      </c>
      <c r="F191" s="1170">
        <f t="shared" si="51"/>
        <v>-1824.5804551790177</v>
      </c>
      <c r="G191" s="1164">
        <f t="shared" si="52"/>
        <v>-15.253727278031683</v>
      </c>
      <c r="H191" s="827">
        <f>(0.0584*1.02)*0.8043</f>
        <v>4.7910542400000006E-2</v>
      </c>
      <c r="I191" s="1157">
        <f>'Emission-Waste Transport Vehicl'!N44</f>
        <v>26.222220862992003</v>
      </c>
      <c r="J191" s="1157">
        <f>'Emission-Waste Transport Vehicl'!P44</f>
        <v>14.589606799152003</v>
      </c>
      <c r="K191" s="1157">
        <f>'Emission-Waste Transport Vehicl'!Q44</f>
        <v>11.330698889664001</v>
      </c>
      <c r="L191" s="1157">
        <f>'Emission-Waste Transport Vehicl'!R44</f>
        <v>1.1277419741280001</v>
      </c>
      <c r="M191" s="1158">
        <f t="shared" si="38"/>
        <v>3.9355897292955762</v>
      </c>
      <c r="N191" s="1159">
        <f t="shared" si="39"/>
        <v>923.04601308056976</v>
      </c>
      <c r="O191" s="1159">
        <f t="shared" si="40"/>
        <v>684.75656371596767</v>
      </c>
      <c r="P191" s="1159">
        <f t="shared" si="41"/>
        <v>-20673.771737599534</v>
      </c>
      <c r="Q191" s="1159">
        <f t="shared" si="42"/>
        <v>-17.202268513337575</v>
      </c>
      <c r="R191" s="2773"/>
      <c r="S191" s="396"/>
      <c r="T191" s="3"/>
      <c r="U191" s="3"/>
      <c r="V191" s="618"/>
      <c r="W191" s="3"/>
      <c r="X191" s="3"/>
      <c r="Y191" s="3"/>
      <c r="Z191" s="618"/>
      <c r="AA191" s="3"/>
      <c r="AB191" s="3"/>
    </row>
    <row r="192" spans="1:28" ht="18.75" x14ac:dyDescent="0.3">
      <c r="A192" s="2862"/>
      <c r="B192" s="706">
        <v>2031</v>
      </c>
      <c r="C192" s="1164">
        <f t="shared" si="48"/>
        <v>82.144545483074637</v>
      </c>
      <c r="D192" s="1164">
        <f t="shared" si="49"/>
        <v>35.200909103137214</v>
      </c>
      <c r="E192" s="1164">
        <f t="shared" si="50"/>
        <v>46.934545470805148</v>
      </c>
      <c r="F192" s="1170">
        <f t="shared" si="51"/>
        <v>-1824.5804551790177</v>
      </c>
      <c r="G192" s="1164">
        <f t="shared" si="52"/>
        <v>-15.253727278031683</v>
      </c>
      <c r="H192" s="827">
        <f>(0.0584*1.02)*0.7885</f>
        <v>4.6969368000000004E-2</v>
      </c>
      <c r="I192" s="1157">
        <f>'Emission-Waste Transport Vehicl'!N45</f>
        <v>25.70710077144</v>
      </c>
      <c r="J192" s="1157">
        <f>'Emission-Waste Transport Vehicl'!P45</f>
        <v>14.303002562640001</v>
      </c>
      <c r="K192" s="1157">
        <f>'Emission-Waste Transport Vehicl'!Q45</f>
        <v>11.108113980480001</v>
      </c>
      <c r="L192" s="1157">
        <f>'Emission-Waste Transport Vehicl'!R45</f>
        <v>1.1055881469600002</v>
      </c>
      <c r="M192" s="1158">
        <f t="shared" si="38"/>
        <v>3.8582773859872708</v>
      </c>
      <c r="N192" s="1159">
        <f t="shared" si="39"/>
        <v>904.91331756064801</v>
      </c>
      <c r="O192" s="1159">
        <f t="shared" si="40"/>
        <v>671.30492414526975</v>
      </c>
      <c r="P192" s="1159">
        <f t="shared" si="41"/>
        <v>-20267.647662684609</v>
      </c>
      <c r="Q192" s="1159">
        <f t="shared" si="42"/>
        <v>-16.864340075552256</v>
      </c>
      <c r="R192" s="2773"/>
      <c r="S192" s="396"/>
      <c r="T192" s="3"/>
      <c r="U192" s="3"/>
      <c r="V192" s="618"/>
      <c r="W192" s="3"/>
      <c r="X192" s="3"/>
      <c r="Y192" s="3"/>
      <c r="Z192" s="618"/>
      <c r="AA192" s="3"/>
      <c r="AB192" s="3"/>
    </row>
    <row r="193" spans="1:28" ht="18.75" x14ac:dyDescent="0.3">
      <c r="A193" s="2862"/>
      <c r="B193" s="706">
        <v>2032</v>
      </c>
      <c r="C193" s="1164">
        <f t="shared" si="48"/>
        <v>82.144545483074637</v>
      </c>
      <c r="D193" s="1164">
        <f t="shared" si="49"/>
        <v>35.200909103137214</v>
      </c>
      <c r="E193" s="1164">
        <f t="shared" si="50"/>
        <v>46.934545470805148</v>
      </c>
      <c r="F193" s="1170">
        <f t="shared" si="51"/>
        <v>-1824.5804551790177</v>
      </c>
      <c r="G193" s="1164">
        <f t="shared" si="52"/>
        <v>-15.253727278031683</v>
      </c>
      <c r="H193" s="827">
        <f>(0.0584*1.02)*0.773</f>
        <v>4.6046064000000005E-2</v>
      </c>
      <c r="I193" s="1157">
        <f>'Emission-Waste Transport Vehicl'!N46</f>
        <v>25.201761441120002</v>
      </c>
      <c r="J193" s="1157">
        <f>'Emission-Waste Transport Vehicl'!P46</f>
        <v>14.021840178720002</v>
      </c>
      <c r="K193" s="1157">
        <f>'Emission-Waste Transport Vehicl'!Q46</f>
        <v>10.889755367040001</v>
      </c>
      <c r="L193" s="1157">
        <f>'Emission-Waste Transport Vehicl'!R46</f>
        <v>1.0838549620800002</v>
      </c>
      <c r="M193" s="1158">
        <f t="shared" si="38"/>
        <v>3.7824329985645662</v>
      </c>
      <c r="N193" s="1159">
        <f t="shared" si="39"/>
        <v>887.12491372781346</v>
      </c>
      <c r="O193" s="1159">
        <f t="shared" si="40"/>
        <v>658.10869545249648</v>
      </c>
      <c r="P193" s="1159">
        <f t="shared" si="41"/>
        <v>-19869.234804381995</v>
      </c>
      <c r="Q193" s="1159">
        <f t="shared" si="42"/>
        <v>-16.532828000509696</v>
      </c>
      <c r="R193" s="2773"/>
      <c r="S193" s="396"/>
      <c r="T193" s="3"/>
      <c r="U193" s="3"/>
      <c r="V193" s="618"/>
      <c r="W193" s="3"/>
      <c r="X193" s="3"/>
      <c r="Y193" s="3"/>
      <c r="Z193" s="618"/>
      <c r="AA193" s="3"/>
      <c r="AB193" s="3"/>
    </row>
    <row r="194" spans="1:28" ht="18.75" x14ac:dyDescent="0.3">
      <c r="A194" s="2862"/>
      <c r="B194" s="706">
        <v>2033</v>
      </c>
      <c r="C194" s="1164">
        <f t="shared" si="48"/>
        <v>82.144545483074637</v>
      </c>
      <c r="D194" s="1164">
        <f t="shared" si="49"/>
        <v>35.200909103137214</v>
      </c>
      <c r="E194" s="1164">
        <f t="shared" si="50"/>
        <v>46.934545470805148</v>
      </c>
      <c r="F194" s="1170">
        <f t="shared" si="51"/>
        <v>-1824.5804551790177</v>
      </c>
      <c r="G194" s="1164">
        <f t="shared" si="52"/>
        <v>-15.253727278031683</v>
      </c>
      <c r="H194" s="827">
        <f>(0.0584*1.02)*0.7579</f>
        <v>4.5146587200000005E-2</v>
      </c>
      <c r="I194" s="1157">
        <f>'Emission-Waste Transport Vehicl'!N47</f>
        <v>24.709463125776001</v>
      </c>
      <c r="J194" s="1157">
        <f>'Emission-Waste Transport Vehicl'!P47</f>
        <v>13.747933598256003</v>
      </c>
      <c r="K194" s="1157">
        <f>'Emission-Waste Transport Vehicl'!Q47</f>
        <v>10.677031814592</v>
      </c>
      <c r="L194" s="1157">
        <f>'Emission-Waste Transport Vehicl'!R47</f>
        <v>1.0626826335840001</v>
      </c>
      <c r="M194" s="1158">
        <f t="shared" si="38"/>
        <v>3.7085458856559956</v>
      </c>
      <c r="N194" s="1159">
        <f t="shared" si="39"/>
        <v>869.79556547776178</v>
      </c>
      <c r="O194" s="1159">
        <f t="shared" si="40"/>
        <v>645.25301459695618</v>
      </c>
      <c r="P194" s="1159">
        <f t="shared" si="41"/>
        <v>-19481.103568229126</v>
      </c>
      <c r="Q194" s="1159">
        <f t="shared" si="42"/>
        <v>-16.209871075790808</v>
      </c>
      <c r="R194" s="2773"/>
      <c r="S194" s="396"/>
      <c r="T194" s="3"/>
      <c r="U194" s="3"/>
      <c r="V194" s="618"/>
      <c r="W194" s="3"/>
      <c r="X194" s="3"/>
      <c r="Y194" s="3"/>
      <c r="Z194" s="618"/>
      <c r="AA194" s="3"/>
      <c r="AB194" s="3"/>
    </row>
    <row r="195" spans="1:28" ht="18.75" x14ac:dyDescent="0.3">
      <c r="A195" s="2862"/>
      <c r="B195" s="706">
        <v>2034</v>
      </c>
      <c r="C195" s="1164">
        <f t="shared" si="48"/>
        <v>82.144545483074637</v>
      </c>
      <c r="D195" s="1164">
        <f t="shared" si="49"/>
        <v>35.200909103137214</v>
      </c>
      <c r="E195" s="1164">
        <f t="shared" si="50"/>
        <v>46.934545470805148</v>
      </c>
      <c r="F195" s="1170">
        <f t="shared" si="51"/>
        <v>-1824.5804551790177</v>
      </c>
      <c r="G195" s="1164">
        <f t="shared" si="52"/>
        <v>-15.253727278031683</v>
      </c>
      <c r="H195" s="827">
        <f>(0.0584*1.02)*0.743</f>
        <v>4.4259024000000001E-2</v>
      </c>
      <c r="I195" s="1157">
        <f>'Emission-Waste Transport Vehicl'!N48</f>
        <v>24.223685317920005</v>
      </c>
      <c r="J195" s="1157">
        <f>'Emission-Waste Transport Vehicl'!P48</f>
        <v>13.477654919520001</v>
      </c>
      <c r="K195" s="1157">
        <f>'Emission-Waste Transport Vehicl'!Q48</f>
        <v>10.467125792640001</v>
      </c>
      <c r="L195" s="1157">
        <f>'Emission-Waste Transport Vehicl'!R48</f>
        <v>1.04179073328</v>
      </c>
      <c r="M195" s="1158">
        <f t="shared" si="38"/>
        <v>3.6356374100044921</v>
      </c>
      <c r="N195" s="1159">
        <f t="shared" si="39"/>
        <v>852.69574501910154</v>
      </c>
      <c r="O195" s="1159">
        <f t="shared" si="40"/>
        <v>632.56760766003219</v>
      </c>
      <c r="P195" s="1159">
        <f t="shared" si="41"/>
        <v>-19098.113143151128</v>
      </c>
      <c r="Q195" s="1159">
        <f t="shared" si="42"/>
        <v>-15.891191726233766</v>
      </c>
      <c r="R195" s="2773"/>
      <c r="S195" s="396"/>
      <c r="T195" s="3"/>
      <c r="U195" s="3"/>
      <c r="V195" s="618"/>
      <c r="W195" s="3"/>
      <c r="X195" s="3"/>
      <c r="Y195" s="3"/>
      <c r="Z195" s="618"/>
      <c r="AA195" s="3"/>
      <c r="AB195" s="3"/>
    </row>
    <row r="196" spans="1:28" ht="18.75" x14ac:dyDescent="0.3">
      <c r="A196" s="2862"/>
      <c r="B196" s="706">
        <v>2035</v>
      </c>
      <c r="C196" s="1164">
        <f t="shared" si="48"/>
        <v>82.144545483074637</v>
      </c>
      <c r="D196" s="1164">
        <f t="shared" si="49"/>
        <v>35.200909103137214</v>
      </c>
      <c r="E196" s="1164">
        <f t="shared" si="50"/>
        <v>46.934545470805148</v>
      </c>
      <c r="F196" s="1170">
        <f t="shared" si="51"/>
        <v>-1824.5804551790177</v>
      </c>
      <c r="G196" s="1164">
        <f t="shared" si="52"/>
        <v>-15.253727278031683</v>
      </c>
      <c r="H196" s="827">
        <f>(0.0584*1.02)*0.7284</f>
        <v>4.3389331200000006E-2</v>
      </c>
      <c r="I196" s="1157">
        <f>'Emission-Waste Transport Vehicl'!N49</f>
        <v>23.747688271296006</v>
      </c>
      <c r="J196" s="1157">
        <f>'Emission-Waste Transport Vehicl'!P49</f>
        <v>13.212818093376002</v>
      </c>
      <c r="K196" s="1157">
        <f>'Emission-Waste Transport Vehicl'!Q49</f>
        <v>10.261446066432002</v>
      </c>
      <c r="L196" s="1157">
        <f>'Emission-Waste Transport Vehicl'!R49</f>
        <v>1.0213194752640002</v>
      </c>
      <c r="M196" s="1158">
        <f t="shared" si="38"/>
        <v>3.5641968902385899</v>
      </c>
      <c r="N196" s="1159">
        <f t="shared" si="39"/>
        <v>835.94021624752838</v>
      </c>
      <c r="O196" s="1159">
        <f t="shared" si="40"/>
        <v>620.13761160103297</v>
      </c>
      <c r="P196" s="1159">
        <f t="shared" si="41"/>
        <v>-18722.833934685445</v>
      </c>
      <c r="Q196" s="1159">
        <f t="shared" si="42"/>
        <v>-15.578928739419485</v>
      </c>
      <c r="R196" s="2773"/>
      <c r="S196" s="396"/>
      <c r="T196" s="3"/>
      <c r="U196" s="3"/>
      <c r="V196" s="618"/>
      <c r="W196" s="3"/>
      <c r="X196" s="3"/>
      <c r="Y196" s="3"/>
      <c r="Z196" s="618"/>
      <c r="AA196" s="3"/>
      <c r="AB196" s="3"/>
    </row>
    <row r="197" spans="1:28" ht="18.75" x14ac:dyDescent="0.3">
      <c r="A197" s="2862"/>
      <c r="B197" s="706">
        <v>2036</v>
      </c>
      <c r="C197" s="1164">
        <f t="shared" si="48"/>
        <v>82.144545483074637</v>
      </c>
      <c r="D197" s="1164">
        <f t="shared" si="49"/>
        <v>35.200909103137214</v>
      </c>
      <c r="E197" s="1164">
        <f t="shared" si="50"/>
        <v>46.934545470805148</v>
      </c>
      <c r="F197" s="1170">
        <f t="shared" si="51"/>
        <v>-1824.5804551790177</v>
      </c>
      <c r="G197" s="1164">
        <f t="shared" si="52"/>
        <v>-15.253727278031683</v>
      </c>
      <c r="H197" s="827">
        <f>(0.0584*1.02)*0.7142</f>
        <v>4.2543465599999997E-2</v>
      </c>
      <c r="I197" s="1157">
        <f>'Emission-Waste Transport Vehicl'!N50</f>
        <v>23.284732239648001</v>
      </c>
      <c r="J197" s="1157">
        <f>'Emission-Waste Transport Vehicl'!P50</f>
        <v>12.955237070688</v>
      </c>
      <c r="K197" s="1157">
        <f>'Emission-Waste Transport Vehicl'!Q50</f>
        <v>10.061401401215999</v>
      </c>
      <c r="L197" s="1157">
        <f>'Emission-Waste Transport Vehicl'!R50</f>
        <v>1.001409073632</v>
      </c>
      <c r="M197" s="1158">
        <f t="shared" si="38"/>
        <v>3.4947136449868208</v>
      </c>
      <c r="N197" s="1159">
        <f t="shared" si="39"/>
        <v>819.64374305873787</v>
      </c>
      <c r="O197" s="1159">
        <f t="shared" si="40"/>
        <v>608.04816337926638</v>
      </c>
      <c r="P197" s="1159">
        <f t="shared" si="41"/>
        <v>-18357.836348369496</v>
      </c>
      <c r="Q197" s="1159">
        <f t="shared" si="42"/>
        <v>-15.275220902928877</v>
      </c>
      <c r="R197" s="2773"/>
      <c r="S197" s="396"/>
      <c r="T197" s="3"/>
      <c r="U197" s="3"/>
      <c r="V197" s="618"/>
      <c r="W197" s="3"/>
      <c r="X197" s="3"/>
      <c r="Y197" s="3"/>
      <c r="Z197" s="618"/>
      <c r="AA197" s="3"/>
      <c r="AB197" s="3"/>
    </row>
    <row r="198" spans="1:28" ht="18.75" x14ac:dyDescent="0.3">
      <c r="A198" s="2862"/>
      <c r="B198" s="706">
        <v>2037</v>
      </c>
      <c r="C198" s="1164">
        <f t="shared" si="48"/>
        <v>82.144545483074637</v>
      </c>
      <c r="D198" s="1164">
        <f t="shared" si="49"/>
        <v>35.200909103137214</v>
      </c>
      <c r="E198" s="1164">
        <f t="shared" si="50"/>
        <v>46.934545470805148</v>
      </c>
      <c r="F198" s="1170">
        <f t="shared" si="51"/>
        <v>-1824.5804551790177</v>
      </c>
      <c r="G198" s="1164">
        <f t="shared" si="52"/>
        <v>-15.253727278031683</v>
      </c>
      <c r="H198" s="827">
        <f>(0.0584*1.02)*0.7002</f>
        <v>4.1709513600000005E-2</v>
      </c>
      <c r="I198" s="1157">
        <f>'Emission-Waste Transport Vehicl'!N51</f>
        <v>22.828296715488005</v>
      </c>
      <c r="J198" s="1157">
        <f>'Emission-Waste Transport Vehicl'!P51</f>
        <v>12.701283949728003</v>
      </c>
      <c r="K198" s="1157">
        <f>'Emission-Waste Transport Vehicl'!Q51</f>
        <v>9.8641742664960006</v>
      </c>
      <c r="L198" s="1157">
        <f>'Emission-Waste Transport Vehicl'!R51</f>
        <v>0.9817791001920001</v>
      </c>
      <c r="M198" s="1158">
        <f t="shared" si="38"/>
        <v>3.4262090369921205</v>
      </c>
      <c r="N198" s="1159">
        <f t="shared" si="39"/>
        <v>803.57679766133901</v>
      </c>
      <c r="O198" s="1159">
        <f t="shared" si="40"/>
        <v>596.12898907611657</v>
      </c>
      <c r="P198" s="1159">
        <f t="shared" si="41"/>
        <v>-17997.979573128425</v>
      </c>
      <c r="Q198" s="1159">
        <f t="shared" si="42"/>
        <v>-14.975790641600112</v>
      </c>
      <c r="R198" s="2773"/>
      <c r="S198" s="396"/>
      <c r="T198" s="3"/>
      <c r="U198" s="3"/>
      <c r="V198" s="618"/>
      <c r="W198" s="3"/>
      <c r="X198" s="3"/>
      <c r="Y198" s="3"/>
      <c r="Z198" s="618"/>
      <c r="AA198" s="3"/>
      <c r="AB198" s="3"/>
    </row>
    <row r="199" spans="1:28" ht="18.75" x14ac:dyDescent="0.3">
      <c r="A199" s="2862"/>
      <c r="B199" s="706">
        <v>2038</v>
      </c>
      <c r="C199" s="1164">
        <f t="shared" si="48"/>
        <v>82.144545483074637</v>
      </c>
      <c r="D199" s="1164">
        <f t="shared" si="49"/>
        <v>35.200909103137214</v>
      </c>
      <c r="E199" s="1164">
        <f t="shared" si="50"/>
        <v>46.934545470805148</v>
      </c>
      <c r="F199" s="1170">
        <f t="shared" si="51"/>
        <v>-1824.5804551790177</v>
      </c>
      <c r="G199" s="1164">
        <f t="shared" si="52"/>
        <v>-15.253727278031683</v>
      </c>
      <c r="H199" s="827">
        <f>(0.0584*1.02)*0.6864</f>
        <v>4.0887475200000002E-2</v>
      </c>
      <c r="I199" s="1157">
        <f>'Emission-Waste Transport Vehicl'!N52</f>
        <v>22.378381698816003</v>
      </c>
      <c r="J199" s="1157">
        <f>'Emission-Waste Transport Vehicl'!P52</f>
        <v>12.450958730496001</v>
      </c>
      <c r="K199" s="1157">
        <f>'Emission-Waste Transport Vehicl'!Q52</f>
        <v>9.6697646622720015</v>
      </c>
      <c r="L199" s="1157">
        <f>'Emission-Waste Transport Vehicl'!R52</f>
        <v>0.96242955494400007</v>
      </c>
      <c r="M199" s="1158">
        <f t="shared" si="38"/>
        <v>3.3586830662544864</v>
      </c>
      <c r="N199" s="1159">
        <f t="shared" si="39"/>
        <v>787.73938005533148</v>
      </c>
      <c r="O199" s="1159">
        <f t="shared" si="40"/>
        <v>584.38008869158296</v>
      </c>
      <c r="P199" s="1159">
        <f t="shared" si="41"/>
        <v>-17643.263608962228</v>
      </c>
      <c r="Q199" s="1159">
        <f t="shared" si="42"/>
        <v>-14.680637955433186</v>
      </c>
      <c r="R199" s="2773"/>
      <c r="S199" s="396"/>
      <c r="T199" s="3"/>
      <c r="U199" s="3"/>
      <c r="V199" s="618"/>
      <c r="W199" s="3"/>
      <c r="X199" s="3"/>
      <c r="Y199" s="3"/>
      <c r="Z199" s="618"/>
      <c r="AA199" s="3"/>
      <c r="AB199" s="3"/>
    </row>
    <row r="200" spans="1:28" ht="18.75" x14ac:dyDescent="0.3">
      <c r="A200" s="2862"/>
      <c r="B200" s="706">
        <v>2039</v>
      </c>
      <c r="C200" s="1164">
        <f t="shared" si="48"/>
        <v>82.144545483074637</v>
      </c>
      <c r="D200" s="1164">
        <f t="shared" si="49"/>
        <v>35.200909103137214</v>
      </c>
      <c r="E200" s="1164">
        <f t="shared" si="50"/>
        <v>46.934545470805148</v>
      </c>
      <c r="F200" s="1170">
        <f t="shared" si="51"/>
        <v>-1824.5804551790177</v>
      </c>
      <c r="G200" s="1164">
        <f t="shared" si="52"/>
        <v>-15.253727278031683</v>
      </c>
      <c r="H200" s="827">
        <f>(0.0584*1.02)*0.673</f>
        <v>4.0089264000000006E-2</v>
      </c>
      <c r="I200" s="1157">
        <f>'Emission-Waste Transport Vehicl'!N53</f>
        <v>21.941507697120006</v>
      </c>
      <c r="J200" s="1157">
        <f>'Emission-Waste Transport Vehicl'!P53</f>
        <v>12.207889314720003</v>
      </c>
      <c r="K200" s="1157">
        <f>'Emission-Waste Transport Vehicl'!Q53</f>
        <v>9.4809901190400012</v>
      </c>
      <c r="L200" s="1157">
        <f>'Emission-Waste Transport Vehicl'!R53</f>
        <v>0.9436408660800002</v>
      </c>
      <c r="M200" s="1158">
        <f t="shared" si="38"/>
        <v>3.2931143700309873</v>
      </c>
      <c r="N200" s="1159">
        <f t="shared" si="39"/>
        <v>772.36101803210681</v>
      </c>
      <c r="O200" s="1159">
        <f t="shared" si="40"/>
        <v>572.97173614428232</v>
      </c>
      <c r="P200" s="1159">
        <f t="shared" si="41"/>
        <v>-17298.829266945773</v>
      </c>
      <c r="Q200" s="1159">
        <f t="shared" si="42"/>
        <v>-14.39404041958994</v>
      </c>
      <c r="R200" s="2773"/>
      <c r="S200" s="396"/>
      <c r="T200" s="3"/>
      <c r="U200" s="3"/>
      <c r="V200" s="618"/>
      <c r="W200" s="3"/>
      <c r="X200" s="3"/>
      <c r="Y200" s="3"/>
      <c r="Z200" s="618"/>
      <c r="AA200" s="3"/>
      <c r="AB200" s="3"/>
    </row>
    <row r="201" spans="1:28" ht="18.75" x14ac:dyDescent="0.3">
      <c r="A201" s="2862"/>
      <c r="B201" s="706">
        <v>2040</v>
      </c>
      <c r="C201" s="1164">
        <f t="shared" si="48"/>
        <v>82.144545483074637</v>
      </c>
      <c r="D201" s="1164">
        <f t="shared" si="49"/>
        <v>35.200909103137214</v>
      </c>
      <c r="E201" s="1164">
        <f t="shared" si="50"/>
        <v>46.934545470805148</v>
      </c>
      <c r="F201" s="1170">
        <f t="shared" si="51"/>
        <v>-1824.5804551790177</v>
      </c>
      <c r="G201" s="1164">
        <f t="shared" si="52"/>
        <v>-15.253727278031683</v>
      </c>
      <c r="H201" s="827">
        <f>(0.0584*1.02)*0.6598</f>
        <v>3.9302966400000007E-2</v>
      </c>
      <c r="I201" s="1157">
        <f>'Emission-Waste Transport Vehicl'!N54</f>
        <v>21.511154202912003</v>
      </c>
      <c r="J201" s="1157">
        <f>'Emission-Waste Transport Vehicl'!P54</f>
        <v>11.968447800672001</v>
      </c>
      <c r="K201" s="1157">
        <f>'Emission-Waste Transport Vehicl'!Q54</f>
        <v>9.2950331063040004</v>
      </c>
      <c r="L201" s="1157">
        <f>'Emission-Waste Transport Vehicl'!R54</f>
        <v>0.92513260540800013</v>
      </c>
      <c r="M201" s="1158">
        <f t="shared" si="38"/>
        <v>3.2285243110645547</v>
      </c>
      <c r="N201" s="1159">
        <f t="shared" si="39"/>
        <v>757.21218380027346</v>
      </c>
      <c r="O201" s="1159">
        <f t="shared" si="40"/>
        <v>561.73365751559788</v>
      </c>
      <c r="P201" s="1159">
        <f t="shared" si="41"/>
        <v>-16959.535736004193</v>
      </c>
      <c r="Q201" s="1159">
        <f t="shared" si="42"/>
        <v>-14.111720458908533</v>
      </c>
      <c r="R201" s="2773"/>
      <c r="S201" s="396"/>
      <c r="T201" s="3"/>
      <c r="U201" s="3"/>
      <c r="V201" s="618"/>
      <c r="W201" s="3"/>
      <c r="X201" s="3"/>
      <c r="Y201" s="3"/>
      <c r="Z201" s="618"/>
      <c r="AA201" s="3"/>
      <c r="AB201" s="3"/>
    </row>
    <row r="202" spans="1:28" ht="18.75" x14ac:dyDescent="0.3">
      <c r="A202" s="2862"/>
      <c r="B202" s="706">
        <v>2041</v>
      </c>
      <c r="C202" s="1164">
        <f t="shared" si="48"/>
        <v>82.144545483074637</v>
      </c>
      <c r="D202" s="1164">
        <f t="shared" si="49"/>
        <v>35.200909103137214</v>
      </c>
      <c r="E202" s="1164">
        <f t="shared" si="50"/>
        <v>46.934545470805148</v>
      </c>
      <c r="F202" s="1170">
        <f t="shared" si="51"/>
        <v>-1824.5804551790177</v>
      </c>
      <c r="G202" s="1164">
        <f t="shared" si="52"/>
        <v>-15.253727278031683</v>
      </c>
      <c r="H202" s="827">
        <f>(0.0584*1.02)*0.6468</f>
        <v>3.8528582400000004E-2</v>
      </c>
      <c r="I202" s="1157">
        <f>'Emission-Waste Transport Vehicl'!N55</f>
        <v>21.087321216192002</v>
      </c>
      <c r="J202" s="1157">
        <f>'Emission-Waste Transport Vehicl'!P55</f>
        <v>11.732634188352002</v>
      </c>
      <c r="K202" s="1157">
        <f>'Emission-Waste Transport Vehicl'!Q55</f>
        <v>9.1118936240640007</v>
      </c>
      <c r="L202" s="1157">
        <f>'Emission-Waste Transport Vehicl'!R55</f>
        <v>0.9069047729280002</v>
      </c>
      <c r="M202" s="1158">
        <f t="shared" si="38"/>
        <v>3.1649128893551892</v>
      </c>
      <c r="N202" s="1159">
        <f t="shared" si="39"/>
        <v>742.29287735983155</v>
      </c>
      <c r="O202" s="1159">
        <f t="shared" si="40"/>
        <v>550.66585280553011</v>
      </c>
      <c r="P202" s="1159">
        <f t="shared" si="41"/>
        <v>-16625.383016137483</v>
      </c>
      <c r="Q202" s="1159">
        <f t="shared" si="42"/>
        <v>-13.833678073388965</v>
      </c>
      <c r="R202" s="2773"/>
      <c r="S202" s="396"/>
      <c r="T202" s="3"/>
      <c r="U202" s="3"/>
      <c r="V202" s="618"/>
      <c r="W202" s="3"/>
      <c r="X202" s="3"/>
      <c r="Y202" s="3"/>
      <c r="Z202" s="618"/>
      <c r="AA202" s="3"/>
      <c r="AB202" s="3"/>
    </row>
    <row r="203" spans="1:28" ht="18.75" x14ac:dyDescent="0.3">
      <c r="A203" s="2862"/>
      <c r="B203" s="706">
        <v>2042</v>
      </c>
      <c r="C203" s="1164">
        <f t="shared" si="48"/>
        <v>82.144545483074637</v>
      </c>
      <c r="D203" s="1164">
        <f t="shared" si="49"/>
        <v>35.200909103137214</v>
      </c>
      <c r="E203" s="1164">
        <f t="shared" si="50"/>
        <v>46.934545470805148</v>
      </c>
      <c r="F203" s="1170">
        <f t="shared" si="51"/>
        <v>-1824.5804551790177</v>
      </c>
      <c r="G203" s="1164">
        <f t="shared" si="52"/>
        <v>-15.253727278031683</v>
      </c>
      <c r="H203" s="827">
        <f>(0.0584*1.02)*0.6342</f>
        <v>3.7778025600000001E-2</v>
      </c>
      <c r="I203" s="1157">
        <f>'Emission-Waste Transport Vehicl'!N56</f>
        <v>20.676529244448002</v>
      </c>
      <c r="J203" s="1157">
        <f>'Emission-Waste Transport Vehicl'!P56</f>
        <v>11.504076379488001</v>
      </c>
      <c r="K203" s="1157">
        <f>'Emission-Waste Transport Vehicl'!Q56</f>
        <v>8.9343892028159999</v>
      </c>
      <c r="L203" s="1157">
        <f>'Emission-Waste Transport Vehicl'!R56</f>
        <v>0.8892377968320001</v>
      </c>
      <c r="M203" s="1158">
        <f t="shared" si="38"/>
        <v>3.1032587421599582</v>
      </c>
      <c r="N203" s="1159">
        <f t="shared" si="39"/>
        <v>727.8326265021725</v>
      </c>
      <c r="O203" s="1159">
        <f t="shared" si="40"/>
        <v>539.93859593269508</v>
      </c>
      <c r="P203" s="1159">
        <f t="shared" si="41"/>
        <v>-16301.511918420518</v>
      </c>
      <c r="Q203" s="1159">
        <f t="shared" si="42"/>
        <v>-13.564190838193076</v>
      </c>
      <c r="R203" s="2773"/>
      <c r="S203" s="396"/>
      <c r="T203" s="3"/>
      <c r="U203" s="3"/>
      <c r="V203" s="618"/>
      <c r="W203" s="3"/>
      <c r="X203" s="3"/>
      <c r="Y203" s="3"/>
      <c r="Z203" s="618"/>
      <c r="AA203" s="3"/>
      <c r="AB203" s="3"/>
    </row>
    <row r="204" spans="1:28" ht="18.75" x14ac:dyDescent="0.3">
      <c r="A204" s="2862"/>
      <c r="B204" s="706">
        <v>2043</v>
      </c>
      <c r="C204" s="1164">
        <f t="shared" si="48"/>
        <v>82.144545483074637</v>
      </c>
      <c r="D204" s="1164">
        <f t="shared" si="49"/>
        <v>35.200909103137214</v>
      </c>
      <c r="E204" s="1164">
        <f t="shared" si="50"/>
        <v>46.934545470805148</v>
      </c>
      <c r="F204" s="1170">
        <f t="shared" si="51"/>
        <v>-1824.5804551790177</v>
      </c>
      <c r="G204" s="1164">
        <f t="shared" si="52"/>
        <v>-15.253727278031683</v>
      </c>
      <c r="H204" s="827">
        <f>(0.0584*1.02)*0.6217</f>
        <v>3.7033425600000003E-2</v>
      </c>
      <c r="I204" s="1157">
        <f>'Emission-Waste Transport Vehicl'!N57</f>
        <v>20.268997526448004</v>
      </c>
      <c r="J204" s="1157">
        <f>'Emission-Waste Transport Vehicl'!P57</f>
        <v>11.277332521488001</v>
      </c>
      <c r="K204" s="1157">
        <f>'Emission-Waste Transport Vehicl'!Q57</f>
        <v>8.7582935468160006</v>
      </c>
      <c r="L204" s="1157">
        <f>'Emission-Waste Transport Vehicl'!R57</f>
        <v>0.87171103483200019</v>
      </c>
      <c r="M204" s="1158">
        <f t="shared" si="38"/>
        <v>3.042093913593261</v>
      </c>
      <c r="N204" s="1159">
        <f t="shared" si="39"/>
        <v>713.48713954020923</v>
      </c>
      <c r="O204" s="1159">
        <f t="shared" si="40"/>
        <v>529.29647601916827</v>
      </c>
      <c r="P204" s="1159">
        <f t="shared" si="41"/>
        <v>-15980.211226240992</v>
      </c>
      <c r="Q204" s="1159">
        <f t="shared" si="42"/>
        <v>-13.296842390578108</v>
      </c>
      <c r="R204" s="2773"/>
      <c r="S204" s="396"/>
      <c r="T204" s="3"/>
      <c r="U204" s="3"/>
      <c r="V204" s="618"/>
      <c r="W204" s="3"/>
      <c r="X204" s="3"/>
      <c r="Y204" s="3"/>
      <c r="Z204" s="618"/>
      <c r="AA204" s="3"/>
      <c r="AB204" s="3"/>
    </row>
    <row r="205" spans="1:28" ht="18.75" x14ac:dyDescent="0.3">
      <c r="A205" s="2862"/>
      <c r="B205" s="706">
        <v>2044</v>
      </c>
      <c r="C205" s="1164">
        <f t="shared" si="48"/>
        <v>82.144545483074637</v>
      </c>
      <c r="D205" s="1164">
        <f t="shared" si="49"/>
        <v>35.200909103137214</v>
      </c>
      <c r="E205" s="1164">
        <f t="shared" si="50"/>
        <v>46.934545470805148</v>
      </c>
      <c r="F205" s="1170">
        <f t="shared" si="51"/>
        <v>-1824.5804551790177</v>
      </c>
      <c r="G205" s="1164">
        <f t="shared" si="52"/>
        <v>-15.253727278031683</v>
      </c>
      <c r="H205" s="827">
        <f>(0.0584*1.02)*0.6095</f>
        <v>3.6306696000000006E-2</v>
      </c>
      <c r="I205" s="1157">
        <f>'Emission-Waste Transport Vehicl'!N58</f>
        <v>19.871246569680004</v>
      </c>
      <c r="J205" s="1157">
        <f>'Emission-Waste Transport Vehicl'!P58</f>
        <v>11.056030516080002</v>
      </c>
      <c r="K205" s="1157">
        <f>'Emission-Waste Transport Vehicl'!Q58</f>
        <v>8.5864241865600004</v>
      </c>
      <c r="L205" s="1157">
        <f>'Emission-Waste Transport Vehicl'!R58</f>
        <v>0.85460491512000014</v>
      </c>
      <c r="M205" s="1158">
        <f t="shared" si="38"/>
        <v>2.9823970409121645</v>
      </c>
      <c r="N205" s="1159">
        <f t="shared" si="39"/>
        <v>699.48594426533293</v>
      </c>
      <c r="O205" s="1159">
        <f t="shared" si="40"/>
        <v>518.9097669835661</v>
      </c>
      <c r="P205" s="1159">
        <f t="shared" si="41"/>
        <v>-15666.621750673772</v>
      </c>
      <c r="Q205" s="1159">
        <f t="shared" si="42"/>
        <v>-13.035910305705897</v>
      </c>
      <c r="R205" s="2773"/>
      <c r="S205" s="396"/>
      <c r="T205" s="3"/>
      <c r="U205" s="3"/>
      <c r="V205" s="618"/>
      <c r="W205" s="3"/>
      <c r="X205" s="3"/>
      <c r="Y205" s="3"/>
      <c r="Z205" s="618"/>
      <c r="AA205" s="3"/>
      <c r="AB205" s="3"/>
    </row>
    <row r="206" spans="1:28" ht="18.75" x14ac:dyDescent="0.3">
      <c r="A206" s="2862"/>
      <c r="B206" s="706">
        <v>2045</v>
      </c>
      <c r="C206" s="1164">
        <f t="shared" si="48"/>
        <v>82.144545483074637</v>
      </c>
      <c r="D206" s="1164">
        <f t="shared" si="49"/>
        <v>35.200909103137214</v>
      </c>
      <c r="E206" s="1164">
        <f t="shared" si="50"/>
        <v>46.934545470805148</v>
      </c>
      <c r="F206" s="1170">
        <f t="shared" si="51"/>
        <v>-1824.5804551790177</v>
      </c>
      <c r="G206" s="1164">
        <f t="shared" si="52"/>
        <v>-15.253727278031683</v>
      </c>
      <c r="H206" s="827">
        <f>(0.0584*1.02)*0.5976</f>
        <v>3.5597836800000004E-2</v>
      </c>
      <c r="I206" s="1157">
        <f>'Emission-Waste Transport Vehicl'!N59</f>
        <v>19.483276374144001</v>
      </c>
      <c r="J206" s="1157">
        <f>'Emission-Waste Transport Vehicl'!P59</f>
        <v>10.840170363264003</v>
      </c>
      <c r="K206" s="1157">
        <f>'Emission-Waste Transport Vehicl'!Q59</f>
        <v>8.4187811220480011</v>
      </c>
      <c r="L206" s="1157">
        <f>'Emission-Waste Transport Vehicl'!R59</f>
        <v>0.83791943769600008</v>
      </c>
      <c r="M206" s="1158">
        <f t="shared" si="38"/>
        <v>2.9241681241166684</v>
      </c>
      <c r="N206" s="1159">
        <f t="shared" si="39"/>
        <v>685.82904067754373</v>
      </c>
      <c r="O206" s="1159">
        <f t="shared" si="40"/>
        <v>508.77846882588869</v>
      </c>
      <c r="P206" s="1159">
        <f t="shared" si="41"/>
        <v>-15360.743491718864</v>
      </c>
      <c r="Q206" s="1159">
        <f t="shared" si="42"/>
        <v>-12.781394583576445</v>
      </c>
      <c r="R206" s="2773"/>
      <c r="S206" s="396"/>
      <c r="T206" s="3"/>
      <c r="U206" s="3"/>
      <c r="V206" s="618"/>
      <c r="W206" s="3"/>
      <c r="X206" s="3"/>
      <c r="Y206" s="3"/>
      <c r="Z206" s="618"/>
      <c r="AA206" s="3"/>
      <c r="AB206" s="3"/>
    </row>
    <row r="207" spans="1:28" ht="18.75" x14ac:dyDescent="0.3">
      <c r="A207" s="2862"/>
      <c r="B207" s="706">
        <v>2046</v>
      </c>
      <c r="C207" s="1164">
        <f t="shared" si="48"/>
        <v>82.144545483074637</v>
      </c>
      <c r="D207" s="1164">
        <f t="shared" si="49"/>
        <v>35.200909103137214</v>
      </c>
      <c r="E207" s="1164">
        <f t="shared" si="50"/>
        <v>46.934545470805148</v>
      </c>
      <c r="F207" s="1170">
        <f t="shared" si="51"/>
        <v>-1824.5804551790177</v>
      </c>
      <c r="G207" s="1164">
        <f t="shared" si="52"/>
        <v>-15.253727278031683</v>
      </c>
      <c r="H207" s="827">
        <f>(0.0584*1.02)*0.5859</f>
        <v>3.4900891199999999E-2</v>
      </c>
      <c r="I207" s="1157">
        <f>'Emission-Waste Transport Vehicl'!N60</f>
        <v>19.101826686096</v>
      </c>
      <c r="J207" s="1157">
        <f>'Emission-Waste Transport Vehicl'!P60</f>
        <v>10.627938112176002</v>
      </c>
      <c r="K207" s="1157">
        <f>'Emission-Waste Transport Vehicl'!Q60</f>
        <v>8.2539555880319995</v>
      </c>
      <c r="L207" s="1157">
        <f>'Emission-Waste Transport Vehicl'!R60</f>
        <v>0.82151438846400004</v>
      </c>
      <c r="M207" s="1158">
        <f t="shared" si="38"/>
        <v>2.8669178445782393</v>
      </c>
      <c r="N207" s="1159">
        <f t="shared" si="39"/>
        <v>672.40166488114608</v>
      </c>
      <c r="O207" s="1159">
        <f t="shared" si="40"/>
        <v>498.81744458682761</v>
      </c>
      <c r="P207" s="1159">
        <f t="shared" si="41"/>
        <v>-15060.006043838823</v>
      </c>
      <c r="Q207" s="1159">
        <f t="shared" si="42"/>
        <v>-12.531156436608834</v>
      </c>
      <c r="R207" s="2773"/>
      <c r="S207" s="396"/>
      <c r="T207" s="3"/>
      <c r="U207" s="3"/>
      <c r="V207" s="618"/>
      <c r="W207" s="3"/>
      <c r="X207" s="3"/>
      <c r="Y207" s="3"/>
      <c r="Z207" s="618"/>
      <c r="AA207" s="3"/>
      <c r="AB207" s="3"/>
    </row>
    <row r="208" spans="1:28" ht="18.75" x14ac:dyDescent="0.3">
      <c r="A208" s="2862"/>
      <c r="B208" s="706">
        <v>2047</v>
      </c>
      <c r="C208" s="1164">
        <f t="shared" si="48"/>
        <v>82.144545483074637</v>
      </c>
      <c r="D208" s="1164">
        <f t="shared" si="49"/>
        <v>35.200909103137214</v>
      </c>
      <c r="E208" s="1164">
        <f t="shared" si="50"/>
        <v>46.934545470805148</v>
      </c>
      <c r="F208" s="1170">
        <f t="shared" si="51"/>
        <v>-1824.5804551790177</v>
      </c>
      <c r="G208" s="1164">
        <f t="shared" si="52"/>
        <v>-15.253727278031683</v>
      </c>
      <c r="H208" s="827">
        <f>(0.0584*1.02)*0.5744</f>
        <v>3.4215859200000004E-2</v>
      </c>
      <c r="I208" s="1157">
        <f>'Emission-Waste Transport Vehicl'!N61</f>
        <v>18.726897505536005</v>
      </c>
      <c r="J208" s="1157">
        <f>'Emission-Waste Transport Vehicl'!P61</f>
        <v>10.419333762816001</v>
      </c>
      <c r="K208" s="1157">
        <f>'Emission-Waste Transport Vehicl'!Q61</f>
        <v>8.0919475845120008</v>
      </c>
      <c r="L208" s="1157">
        <f>'Emission-Waste Transport Vehicl'!R61</f>
        <v>0.80538976742400015</v>
      </c>
      <c r="M208" s="1158">
        <f t="shared" si="38"/>
        <v>2.8106462022968781</v>
      </c>
      <c r="N208" s="1159">
        <f t="shared" si="39"/>
        <v>659.20381687613997</v>
      </c>
      <c r="O208" s="1159">
        <f t="shared" si="40"/>
        <v>489.02669426638289</v>
      </c>
      <c r="P208" s="1159">
        <f t="shared" si="41"/>
        <v>-14764.40940703366</v>
      </c>
      <c r="Q208" s="1159">
        <f t="shared" si="42"/>
        <v>-12.285195864803063</v>
      </c>
      <c r="R208" s="2773"/>
      <c r="S208" s="396"/>
      <c r="T208" s="3"/>
      <c r="U208" s="3"/>
      <c r="V208" s="618"/>
      <c r="W208" s="3"/>
      <c r="X208" s="3"/>
      <c r="Y208" s="3"/>
      <c r="Z208" s="618"/>
      <c r="AA208" s="3"/>
      <c r="AB208" s="3"/>
    </row>
    <row r="209" spans="1:28" ht="18.75" x14ac:dyDescent="0.3">
      <c r="A209" s="2862"/>
      <c r="B209" s="706">
        <v>2048</v>
      </c>
      <c r="C209" s="1164">
        <f t="shared" si="48"/>
        <v>82.144545483074637</v>
      </c>
      <c r="D209" s="1164">
        <f t="shared" si="49"/>
        <v>35.200909103137214</v>
      </c>
      <c r="E209" s="1164">
        <f t="shared" si="50"/>
        <v>46.934545470805148</v>
      </c>
      <c r="F209" s="1170">
        <f t="shared" si="51"/>
        <v>-1824.5804551790177</v>
      </c>
      <c r="G209" s="1164">
        <f t="shared" si="52"/>
        <v>-15.253727278031683</v>
      </c>
      <c r="H209" s="827">
        <f>(0.0584*1.02)*0.5631</f>
        <v>3.3542740800000005E-2</v>
      </c>
      <c r="I209" s="1157">
        <f>'Emission-Waste Transport Vehicl'!N62</f>
        <v>18.358488832464005</v>
      </c>
      <c r="J209" s="1157">
        <f>'Emission-Waste Transport Vehicl'!P62</f>
        <v>10.214357315184001</v>
      </c>
      <c r="K209" s="1157">
        <f>'Emission-Waste Transport Vehicl'!Q62</f>
        <v>7.9327571114880007</v>
      </c>
      <c r="L209" s="1157">
        <f>'Emission-Waste Transport Vehicl'!R62</f>
        <v>0.78954557457600016</v>
      </c>
      <c r="M209" s="1158">
        <f t="shared" si="38"/>
        <v>2.755353197272584</v>
      </c>
      <c r="N209" s="1159">
        <f t="shared" si="39"/>
        <v>646.23549666252507</v>
      </c>
      <c r="O209" s="1159">
        <f t="shared" si="40"/>
        <v>479.40621786455472</v>
      </c>
      <c r="P209" s="1159">
        <f t="shared" si="41"/>
        <v>-14473.953581303365</v>
      </c>
      <c r="Q209" s="1159">
        <f t="shared" si="42"/>
        <v>-12.043512868159132</v>
      </c>
      <c r="R209" s="2773"/>
      <c r="S209" s="396"/>
      <c r="T209" s="3"/>
      <c r="U209" s="3"/>
      <c r="V209" s="618"/>
      <c r="W209" s="3"/>
      <c r="X209" s="3"/>
      <c r="Y209" s="3"/>
      <c r="Z209" s="618"/>
      <c r="AA209" s="3"/>
      <c r="AB209" s="3"/>
    </row>
    <row r="210" spans="1:28" ht="18.75" x14ac:dyDescent="0.3">
      <c r="A210" s="2862"/>
      <c r="B210" s="706">
        <v>2049</v>
      </c>
      <c r="C210" s="1164">
        <f t="shared" si="48"/>
        <v>82.144545483074637</v>
      </c>
      <c r="D210" s="1164">
        <f t="shared" si="49"/>
        <v>35.200909103137214</v>
      </c>
      <c r="E210" s="1164">
        <f t="shared" si="50"/>
        <v>46.934545470805148</v>
      </c>
      <c r="F210" s="1170">
        <f t="shared" si="51"/>
        <v>-1824.5804551790177</v>
      </c>
      <c r="G210" s="1164">
        <f t="shared" si="52"/>
        <v>-15.253727278031683</v>
      </c>
      <c r="H210" s="827">
        <f>(0.0584*1.02)*0.5521</f>
        <v>3.2887492800000001E-2</v>
      </c>
      <c r="I210" s="1157">
        <f>'Emission-Waste Transport Vehicl'!N63</f>
        <v>17.999860920624005</v>
      </c>
      <c r="J210" s="1157">
        <f>'Emission-Waste Transport Vehicl'!P63</f>
        <v>10.014822720144002</v>
      </c>
      <c r="K210" s="1157">
        <f>'Emission-Waste Transport Vehicl'!Q63</f>
        <v>7.7777929342080014</v>
      </c>
      <c r="L210" s="1157">
        <f>'Emission-Waste Transport Vehicl'!R63</f>
        <v>0.77412202401600017</v>
      </c>
      <c r="M210" s="1158">
        <f t="shared" si="38"/>
        <v>2.7015281481338898</v>
      </c>
      <c r="N210" s="1159">
        <f t="shared" si="39"/>
        <v>633.61146813599737</v>
      </c>
      <c r="O210" s="1159">
        <f t="shared" si="40"/>
        <v>470.04115234065114</v>
      </c>
      <c r="P210" s="1159">
        <f t="shared" si="41"/>
        <v>-14191.208972185383</v>
      </c>
      <c r="Q210" s="1159">
        <f t="shared" si="42"/>
        <v>-11.808246234257959</v>
      </c>
      <c r="R210" s="2773"/>
      <c r="S210" s="396"/>
      <c r="T210" s="3"/>
      <c r="U210" s="3"/>
      <c r="V210" s="618"/>
      <c r="W210" s="3"/>
      <c r="X210" s="3"/>
      <c r="Y210" s="3"/>
      <c r="Z210" s="618"/>
      <c r="AA210" s="3"/>
      <c r="AB210" s="3"/>
    </row>
    <row r="211" spans="1:28" ht="18.75" x14ac:dyDescent="0.3">
      <c r="A211" s="2862"/>
      <c r="B211" s="706">
        <v>2050</v>
      </c>
      <c r="C211" s="1164">
        <f t="shared" si="48"/>
        <v>82.144545483074637</v>
      </c>
      <c r="D211" s="1164">
        <f t="shared" si="49"/>
        <v>35.200909103137214</v>
      </c>
      <c r="E211" s="1164">
        <f t="shared" si="50"/>
        <v>46.934545470805148</v>
      </c>
      <c r="F211" s="1170">
        <f t="shared" si="51"/>
        <v>-1824.5804551790177</v>
      </c>
      <c r="G211" s="1164">
        <f t="shared" si="52"/>
        <v>-15.253727278031683</v>
      </c>
      <c r="H211" s="827">
        <f>(0.0584*1.02)*0.5412</f>
        <v>3.2238201600000002E-2</v>
      </c>
      <c r="I211" s="1157">
        <f>'Emission-Waste Transport Vehicl'!N64</f>
        <v>17.644493262528005</v>
      </c>
      <c r="J211" s="1157">
        <f>'Emission-Waste Transport Vehicl'!P64</f>
        <v>9.8171020759680019</v>
      </c>
      <c r="K211" s="1157">
        <f>'Emission-Waste Transport Vehicl'!Q64</f>
        <v>7.624237522176001</v>
      </c>
      <c r="L211" s="1157">
        <f>'Emission-Waste Transport Vehicl'!R64</f>
        <v>0.75883868755200012</v>
      </c>
      <c r="M211" s="1158">
        <f t="shared" si="38"/>
        <v>2.6481924176237297</v>
      </c>
      <c r="N211" s="1159">
        <f t="shared" si="39"/>
        <v>621.10220350516533</v>
      </c>
      <c r="O211" s="1159">
        <f t="shared" si="40"/>
        <v>460.76122377605577</v>
      </c>
      <c r="P211" s="1159">
        <f t="shared" si="41"/>
        <v>-13911.034768604834</v>
      </c>
      <c r="Q211" s="1159">
        <f t="shared" si="42"/>
        <v>-11.575118387937705</v>
      </c>
      <c r="R211" s="2773"/>
      <c r="S211" s="396"/>
      <c r="T211" s="3"/>
      <c r="U211" s="3"/>
      <c r="V211" s="618"/>
      <c r="W211" s="3"/>
      <c r="X211" s="3"/>
      <c r="Y211" s="3"/>
      <c r="Z211" s="618"/>
      <c r="AA211" s="3"/>
      <c r="AB211" s="3"/>
    </row>
    <row r="212" spans="1:28" ht="18.75" x14ac:dyDescent="0.3">
      <c r="A212" s="2862"/>
      <c r="B212" s="706">
        <v>2051</v>
      </c>
      <c r="C212" s="1164">
        <f t="shared" ref="C212:C230" si="53">$S$10</f>
        <v>82.144545483074637</v>
      </c>
      <c r="D212" s="1164">
        <f t="shared" ref="D212:D230" si="54">$T$10</f>
        <v>35.200909103137214</v>
      </c>
      <c r="E212" s="1164">
        <f t="shared" ref="E212:E230" si="55">$R$10</f>
        <v>46.934545470805148</v>
      </c>
      <c r="F212" s="1170">
        <f t="shared" ref="F212:F230" si="56">$V$10</f>
        <v>-1824.5804551790177</v>
      </c>
      <c r="G212" s="1164">
        <f t="shared" ref="G212:G230" si="57">$U$10</f>
        <v>-15.253727278031683</v>
      </c>
      <c r="H212" s="827">
        <f>(0.0584*1.02)*0.5306</f>
        <v>3.1606780799999998E-2</v>
      </c>
      <c r="I212" s="1157">
        <f>'Emission-Waste Transport Vehicl'!N65</f>
        <v>17.298906365664003</v>
      </c>
      <c r="J212" s="1157">
        <f>'Emission-Waste Transport Vehicl'!P65</f>
        <v>9.624823284384</v>
      </c>
      <c r="K212" s="1157">
        <f>'Emission-Waste Transport Vehicl'!Q65</f>
        <v>7.4749084058879998</v>
      </c>
      <c r="L212" s="1157">
        <f>'Emission-Waste Transport Vehicl'!R65</f>
        <v>0.74397599337600007</v>
      </c>
      <c r="M212" s="1158">
        <f t="shared" si="38"/>
        <v>2.59632464299917</v>
      </c>
      <c r="N212" s="1159">
        <f t="shared" si="39"/>
        <v>608.93723056142028</v>
      </c>
      <c r="O212" s="1159">
        <f t="shared" si="40"/>
        <v>451.736706089385</v>
      </c>
      <c r="P212" s="1159">
        <f t="shared" si="41"/>
        <v>-13638.571781636592</v>
      </c>
      <c r="Q212" s="1159">
        <f t="shared" si="42"/>
        <v>-11.34840690436021</v>
      </c>
      <c r="R212" s="2773"/>
      <c r="S212" s="396"/>
      <c r="T212" s="3"/>
      <c r="U212" s="3"/>
      <c r="V212" s="618"/>
      <c r="W212" s="3"/>
      <c r="X212" s="3"/>
      <c r="Y212" s="3"/>
      <c r="Z212" s="618"/>
      <c r="AA212" s="3"/>
      <c r="AB212" s="3"/>
    </row>
    <row r="213" spans="1:28" ht="18.75" x14ac:dyDescent="0.3">
      <c r="A213" s="2862"/>
      <c r="B213" s="706">
        <v>2052</v>
      </c>
      <c r="C213" s="1164">
        <f t="shared" si="53"/>
        <v>82.144545483074637</v>
      </c>
      <c r="D213" s="1164">
        <f t="shared" si="54"/>
        <v>35.200909103137214</v>
      </c>
      <c r="E213" s="1164">
        <f t="shared" si="55"/>
        <v>46.934545470805148</v>
      </c>
      <c r="F213" s="1170">
        <f t="shared" si="56"/>
        <v>-1824.5804551790177</v>
      </c>
      <c r="G213" s="1164">
        <f t="shared" si="57"/>
        <v>-15.253727278031683</v>
      </c>
      <c r="H213" s="827">
        <f>(0.0584*1.02)*0.5202</f>
        <v>3.09872736E-2</v>
      </c>
      <c r="I213" s="1157">
        <f>'Emission-Waste Transport Vehicl'!N66</f>
        <v>16.959839976288002</v>
      </c>
      <c r="J213" s="1157">
        <f>'Emission-Waste Transport Vehicl'!P66</f>
        <v>9.4361723945280005</v>
      </c>
      <c r="K213" s="1157">
        <f>'Emission-Waste Transport Vehicl'!Q66</f>
        <v>7.3283968200960006</v>
      </c>
      <c r="L213" s="1157">
        <f>'Emission-Waste Transport Vehicl'!R66</f>
        <v>0.72939372739200004</v>
      </c>
      <c r="M213" s="1158">
        <f t="shared" si="38"/>
        <v>2.5454355056316778</v>
      </c>
      <c r="N213" s="1159">
        <f t="shared" si="39"/>
        <v>597.00178540906677</v>
      </c>
      <c r="O213" s="1159">
        <f t="shared" si="40"/>
        <v>442.88246232133071</v>
      </c>
      <c r="P213" s="1159">
        <f t="shared" si="41"/>
        <v>-13371.249605743227</v>
      </c>
      <c r="Q213" s="1159">
        <f t="shared" si="42"/>
        <v>-11.125972995944556</v>
      </c>
      <c r="R213" s="2773"/>
      <c r="S213" s="396"/>
      <c r="T213" s="3"/>
      <c r="U213" s="3"/>
      <c r="V213" s="618"/>
      <c r="W213" s="3"/>
      <c r="X213" s="3"/>
      <c r="Y213" s="3"/>
      <c r="Z213" s="618"/>
      <c r="AA213" s="3"/>
      <c r="AB213" s="3"/>
    </row>
    <row r="214" spans="1:28" ht="18.75" x14ac:dyDescent="0.3">
      <c r="A214" s="2862"/>
      <c r="B214" s="706">
        <v>2053</v>
      </c>
      <c r="C214" s="1164">
        <f t="shared" si="53"/>
        <v>82.144545483074637</v>
      </c>
      <c r="D214" s="1164">
        <f t="shared" si="54"/>
        <v>35.200909103137214</v>
      </c>
      <c r="E214" s="1164">
        <f t="shared" si="55"/>
        <v>46.934545470805148</v>
      </c>
      <c r="F214" s="1170">
        <f t="shared" si="56"/>
        <v>-1824.5804551790177</v>
      </c>
      <c r="G214" s="1164">
        <f t="shared" si="57"/>
        <v>-15.253727278031683</v>
      </c>
      <c r="H214" s="827">
        <f>(0.0584*1.02)*0.51</f>
        <v>3.0379680000000003E-2</v>
      </c>
      <c r="I214" s="1157">
        <f>'Emission-Waste Transport Vehicl'!N67</f>
        <v>15.361506000000002</v>
      </c>
      <c r="J214" s="1157">
        <f>'Emission-Waste Transport Vehicl'!P67</f>
        <v>9.2511494064000015</v>
      </c>
      <c r="K214" s="1157">
        <f>'Emission-Waste Transport Vehicl'!Q67</f>
        <v>7.1847027647999999</v>
      </c>
      <c r="L214" s="1157">
        <f>'Emission-Waste Transport Vehicl'!R67</f>
        <v>0.71509188960000014</v>
      </c>
      <c r="M214" s="1158">
        <f t="shared" si="38"/>
        <v>2.495525005521253</v>
      </c>
      <c r="N214" s="1159">
        <f t="shared" si="39"/>
        <v>540.73897639329698</v>
      </c>
      <c r="O214" s="1159">
        <f t="shared" si="40"/>
        <v>434.19849247189291</v>
      </c>
      <c r="P214" s="1159">
        <f t="shared" si="41"/>
        <v>-13109.068240924731</v>
      </c>
      <c r="Q214" s="1159">
        <f t="shared" si="42"/>
        <v>-10.907816662690742</v>
      </c>
      <c r="R214" s="2773"/>
      <c r="S214" s="396"/>
      <c r="T214" s="3"/>
      <c r="U214" s="3"/>
      <c r="V214" s="618"/>
      <c r="W214" s="3"/>
      <c r="X214" s="3"/>
      <c r="Y214" s="3"/>
      <c r="Z214" s="618"/>
      <c r="AA214" s="3"/>
      <c r="AB214" s="3"/>
    </row>
    <row r="215" spans="1:28" ht="18.75" x14ac:dyDescent="0.3">
      <c r="A215" s="2862"/>
      <c r="B215" s="706">
        <v>2054</v>
      </c>
      <c r="C215" s="1164">
        <f t="shared" si="53"/>
        <v>82.144545483074637</v>
      </c>
      <c r="D215" s="1164">
        <f t="shared" si="54"/>
        <v>35.200909103137214</v>
      </c>
      <c r="E215" s="1164">
        <f t="shared" si="55"/>
        <v>46.934545470805148</v>
      </c>
      <c r="F215" s="1170">
        <f t="shared" si="56"/>
        <v>-1824.5804551790177</v>
      </c>
      <c r="G215" s="1164">
        <f t="shared" si="57"/>
        <v>-15.253727278031683</v>
      </c>
      <c r="H215" s="827">
        <f>(0.0584*1.02)*0.5</f>
        <v>2.9784000000000001E-2</v>
      </c>
      <c r="I215" s="1157">
        <f>'Emission-Waste Transport Vehicl'!N68</f>
        <v>16.301268720000003</v>
      </c>
      <c r="J215" s="1157">
        <f>'Emission-Waste Transport Vehicl'!P68</f>
        <v>9.0697543200000013</v>
      </c>
      <c r="K215" s="1157">
        <f>'Emission-Waste Transport Vehicl'!Q68</f>
        <v>7.0438262400000005</v>
      </c>
      <c r="L215" s="1157">
        <f>'Emission-Waste Transport Vehicl'!R68</f>
        <v>0.70107048000000005</v>
      </c>
      <c r="M215" s="1158">
        <f t="shared" si="38"/>
        <v>2.4465931426678953</v>
      </c>
      <c r="N215" s="1159">
        <f t="shared" si="39"/>
        <v>573.81947847853405</v>
      </c>
      <c r="O215" s="1159">
        <f t="shared" si="40"/>
        <v>425.68479654107148</v>
      </c>
      <c r="P215" s="1159">
        <f t="shared" si="41"/>
        <v>-12852.027687181109</v>
      </c>
      <c r="Q215" s="1159">
        <f t="shared" si="42"/>
        <v>-10.693937904598766</v>
      </c>
      <c r="R215" s="2773"/>
      <c r="S215" s="396"/>
      <c r="T215" s="3"/>
      <c r="U215" s="3"/>
      <c r="V215" s="618"/>
      <c r="W215" s="3"/>
      <c r="X215" s="3"/>
      <c r="Y215" s="3"/>
      <c r="Z215" s="618"/>
      <c r="AA215" s="3"/>
      <c r="AB215" s="3"/>
    </row>
    <row r="216" spans="1:28" ht="18.75" x14ac:dyDescent="0.3">
      <c r="A216" s="2862"/>
      <c r="B216" s="706">
        <v>2055</v>
      </c>
      <c r="C216" s="1164">
        <f t="shared" si="53"/>
        <v>82.144545483074637</v>
      </c>
      <c r="D216" s="1164">
        <f t="shared" si="54"/>
        <v>35.200909103137214</v>
      </c>
      <c r="E216" s="1164">
        <f t="shared" si="55"/>
        <v>46.934545470805148</v>
      </c>
      <c r="F216" s="1170">
        <f t="shared" si="56"/>
        <v>-1824.5804551790177</v>
      </c>
      <c r="G216" s="1164">
        <f t="shared" si="57"/>
        <v>-15.253727278031683</v>
      </c>
      <c r="H216" s="827">
        <f>(0.0584*1.02)*0.4902</f>
        <v>2.9200233600000004E-2</v>
      </c>
      <c r="I216" s="1157">
        <f>'Emission-Waste Transport Vehicl'!N69</f>
        <v>15.981763853088003</v>
      </c>
      <c r="J216" s="1157">
        <f>'Emission-Waste Transport Vehicl'!P69</f>
        <v>8.8919871353280016</v>
      </c>
      <c r="K216" s="1157">
        <f>'Emission-Waste Transport Vehicl'!Q69</f>
        <v>6.9057672456960004</v>
      </c>
      <c r="L216" s="1157">
        <f>'Emission-Waste Transport Vehicl'!R69</f>
        <v>0.6873294985920001</v>
      </c>
      <c r="M216" s="1158">
        <f t="shared" si="38"/>
        <v>2.3986399170716046</v>
      </c>
      <c r="N216" s="1159">
        <f t="shared" si="39"/>
        <v>562.57261670035473</v>
      </c>
      <c r="O216" s="1159">
        <f t="shared" si="40"/>
        <v>417.34137452886648</v>
      </c>
      <c r="P216" s="1159">
        <f t="shared" si="41"/>
        <v>-12600.12794451236</v>
      </c>
      <c r="Q216" s="1159">
        <f t="shared" si="42"/>
        <v>-10.484336721668631</v>
      </c>
      <c r="R216" s="2773"/>
      <c r="S216" s="396"/>
      <c r="T216" s="3"/>
      <c r="U216" s="3"/>
      <c r="V216" s="618"/>
      <c r="W216" s="3"/>
      <c r="X216" s="3"/>
      <c r="Y216" s="3"/>
      <c r="Z216" s="618"/>
      <c r="AA216" s="3"/>
      <c r="AB216" s="3"/>
    </row>
    <row r="217" spans="1:28" ht="18.75" x14ac:dyDescent="0.3">
      <c r="A217" s="2862"/>
      <c r="B217" s="706">
        <v>2056</v>
      </c>
      <c r="C217" s="1164">
        <f t="shared" si="53"/>
        <v>82.144545483074637</v>
      </c>
      <c r="D217" s="1164">
        <f t="shared" si="54"/>
        <v>35.200909103137214</v>
      </c>
      <c r="E217" s="1164">
        <f t="shared" si="55"/>
        <v>46.934545470805148</v>
      </c>
      <c r="F217" s="1170">
        <f t="shared" si="56"/>
        <v>-1824.5804551790177</v>
      </c>
      <c r="G217" s="1164">
        <f t="shared" si="57"/>
        <v>-15.253727278031683</v>
      </c>
      <c r="H217" s="827">
        <f>(0.0584*1.02)*0.4806</f>
        <v>2.8628380800000002E-2</v>
      </c>
      <c r="I217" s="1157">
        <f>'Emission-Waste Transport Vehicl'!N70</f>
        <v>15.668779493664003</v>
      </c>
      <c r="J217" s="1157">
        <f>'Emission-Waste Transport Vehicl'!P70</f>
        <v>8.7178478523840006</v>
      </c>
      <c r="K217" s="1157">
        <f>'Emission-Waste Transport Vehicl'!Q70</f>
        <v>6.7705257818880007</v>
      </c>
      <c r="L217" s="1157">
        <f>'Emission-Waste Transport Vehicl'!R70</f>
        <v>0.67386894537600017</v>
      </c>
      <c r="M217" s="1158">
        <f t="shared" si="38"/>
        <v>2.351665328732381</v>
      </c>
      <c r="N217" s="1159">
        <f t="shared" si="39"/>
        <v>551.55528271356695</v>
      </c>
      <c r="O217" s="1159">
        <f t="shared" si="40"/>
        <v>409.16822643527786</v>
      </c>
      <c r="P217" s="1159">
        <f t="shared" si="41"/>
        <v>-12353.369012918483</v>
      </c>
      <c r="Q217" s="1159">
        <f t="shared" si="42"/>
        <v>-10.279013113900335</v>
      </c>
      <c r="R217" s="2773"/>
      <c r="S217" s="396"/>
      <c r="T217" s="3"/>
      <c r="U217" s="3"/>
      <c r="V217" s="618"/>
      <c r="W217" s="3"/>
      <c r="X217" s="3"/>
      <c r="Y217" s="3"/>
      <c r="Z217" s="618"/>
      <c r="AA217" s="3"/>
      <c r="AB217" s="3"/>
    </row>
    <row r="218" spans="1:28" ht="18.75" x14ac:dyDescent="0.3">
      <c r="A218" s="2862"/>
      <c r="B218" s="706">
        <v>2057</v>
      </c>
      <c r="C218" s="1164">
        <f t="shared" si="53"/>
        <v>82.144545483074637</v>
      </c>
      <c r="D218" s="1164">
        <f t="shared" si="54"/>
        <v>35.200909103137214</v>
      </c>
      <c r="E218" s="1164">
        <f t="shared" si="55"/>
        <v>46.934545470805148</v>
      </c>
      <c r="F218" s="1170">
        <f t="shared" si="56"/>
        <v>-1824.5804551790177</v>
      </c>
      <c r="G218" s="1164">
        <f t="shared" si="57"/>
        <v>-15.253727278031683</v>
      </c>
      <c r="H218" s="827">
        <f>(0.0584*1.02)*0.4712</f>
        <v>2.8068441600000001E-2</v>
      </c>
      <c r="I218" s="1157">
        <f>'Emission-Waste Transport Vehicl'!N71</f>
        <v>15.362315641728001</v>
      </c>
      <c r="J218" s="1157">
        <f>'Emission-Waste Transport Vehicl'!P71</f>
        <v>8.547336471168002</v>
      </c>
      <c r="K218" s="1157">
        <f>'Emission-Waste Transport Vehicl'!Q71</f>
        <v>6.6381018485760004</v>
      </c>
      <c r="L218" s="1157">
        <f>'Emission-Waste Transport Vehicl'!R71</f>
        <v>0.66068882035200005</v>
      </c>
      <c r="M218" s="1158">
        <f t="shared" si="38"/>
        <v>2.3056693776502244</v>
      </c>
      <c r="N218" s="1159">
        <f t="shared" si="39"/>
        <v>540.76747651817038</v>
      </c>
      <c r="O218" s="1159">
        <f t="shared" si="40"/>
        <v>401.16535226030578</v>
      </c>
      <c r="P218" s="1159">
        <f t="shared" si="41"/>
        <v>-12111.750892399477</v>
      </c>
      <c r="Q218" s="1159">
        <f t="shared" si="42"/>
        <v>-10.077967081293878</v>
      </c>
      <c r="R218" s="2773"/>
      <c r="S218" s="396"/>
      <c r="T218" s="3"/>
      <c r="U218" s="3"/>
      <c r="V218" s="618"/>
      <c r="W218" s="3"/>
      <c r="X218" s="3"/>
      <c r="Y218" s="3"/>
      <c r="Z218" s="618"/>
      <c r="AA218" s="3"/>
      <c r="AB218" s="3"/>
    </row>
    <row r="219" spans="1:28" ht="18.75" x14ac:dyDescent="0.3">
      <c r="A219" s="2862"/>
      <c r="B219" s="706">
        <v>2058</v>
      </c>
      <c r="C219" s="1164">
        <f t="shared" si="53"/>
        <v>82.144545483074637</v>
      </c>
      <c r="D219" s="1164">
        <f t="shared" si="54"/>
        <v>35.200909103137214</v>
      </c>
      <c r="E219" s="1164">
        <f t="shared" si="55"/>
        <v>46.934545470805148</v>
      </c>
      <c r="F219" s="1170">
        <f t="shared" si="56"/>
        <v>-1824.5804551790177</v>
      </c>
      <c r="G219" s="1164">
        <f t="shared" si="57"/>
        <v>-15.253727278031683</v>
      </c>
      <c r="H219" s="827">
        <f>(0.0584*1.02)*0.4619</f>
        <v>2.7514459200000001E-2</v>
      </c>
      <c r="I219" s="1157">
        <f>'Emission-Waste Transport Vehicl'!N72</f>
        <v>15.059112043536</v>
      </c>
      <c r="J219" s="1157">
        <f>'Emission-Waste Transport Vehicl'!P72</f>
        <v>8.378639040816001</v>
      </c>
      <c r="K219" s="1157">
        <f>'Emission-Waste Transport Vehicl'!Q72</f>
        <v>6.5070866805119998</v>
      </c>
      <c r="L219" s="1157">
        <f>'Emission-Waste Transport Vehicl'!R72</f>
        <v>0.647648909424</v>
      </c>
      <c r="M219" s="1158">
        <f t="shared" si="38"/>
        <v>2.2601627451966015</v>
      </c>
      <c r="N219" s="1159">
        <f t="shared" si="39"/>
        <v>530.0944342184697</v>
      </c>
      <c r="O219" s="1159">
        <f t="shared" si="40"/>
        <v>393.2476150446418</v>
      </c>
      <c r="P219" s="1159">
        <f t="shared" si="41"/>
        <v>-11872.703177417909</v>
      </c>
      <c r="Q219" s="1159">
        <f t="shared" si="42"/>
        <v>-9.8790598362683397</v>
      </c>
      <c r="R219" s="2773"/>
      <c r="S219" s="396"/>
      <c r="T219" s="3"/>
      <c r="U219" s="3"/>
      <c r="V219" s="618"/>
      <c r="W219" s="3"/>
      <c r="X219" s="3"/>
      <c r="Y219" s="3"/>
      <c r="Z219" s="618"/>
      <c r="AA219" s="3"/>
      <c r="AB219" s="3"/>
    </row>
    <row r="220" spans="1:28" ht="18.75" x14ac:dyDescent="0.3">
      <c r="A220" s="2862"/>
      <c r="B220" s="706">
        <v>2059</v>
      </c>
      <c r="C220" s="1164">
        <f t="shared" si="53"/>
        <v>82.144545483074637</v>
      </c>
      <c r="D220" s="1164">
        <f t="shared" si="54"/>
        <v>35.200909103137214</v>
      </c>
      <c r="E220" s="1164">
        <f t="shared" si="55"/>
        <v>46.934545470805148</v>
      </c>
      <c r="F220" s="1170">
        <f t="shared" si="56"/>
        <v>-1824.5804551790177</v>
      </c>
      <c r="G220" s="1164">
        <f t="shared" si="57"/>
        <v>-15.253727278031683</v>
      </c>
      <c r="H220" s="827">
        <f>(0.0584*1.02)*0.4529</f>
        <v>2.6978347200000002E-2</v>
      </c>
      <c r="I220" s="1157">
        <f>'Emission-Waste Transport Vehicl'!N73</f>
        <v>14.765689206576004</v>
      </c>
      <c r="J220" s="1157">
        <f>'Emission-Waste Transport Vehicl'!P73</f>
        <v>8.2153834630560016</v>
      </c>
      <c r="K220" s="1157">
        <f>'Emission-Waste Transport Vehicl'!Q73</f>
        <v>6.380297808192001</v>
      </c>
      <c r="L220" s="1157">
        <f>'Emission-Waste Transport Vehicl'!R73</f>
        <v>0.63502964078400004</v>
      </c>
      <c r="M220" s="1158">
        <f t="shared" ref="M220:M270" si="58">C220*H220</f>
        <v>2.2161240686285795</v>
      </c>
      <c r="N220" s="1159">
        <f t="shared" si="39"/>
        <v>519.76568360585622</v>
      </c>
      <c r="O220" s="1159">
        <f t="shared" si="40"/>
        <v>385.58528870690259</v>
      </c>
      <c r="P220" s="1159">
        <f t="shared" si="41"/>
        <v>-11641.36667904865</v>
      </c>
      <c r="Q220" s="1159">
        <f t="shared" si="42"/>
        <v>-9.6865689539855619</v>
      </c>
      <c r="R220" s="2773"/>
      <c r="S220" s="396"/>
      <c r="T220" s="3"/>
      <c r="U220" s="3"/>
      <c r="V220" s="618"/>
      <c r="W220" s="3"/>
      <c r="X220" s="3"/>
      <c r="Y220" s="3"/>
      <c r="Z220" s="618"/>
      <c r="AA220" s="3"/>
      <c r="AB220" s="3"/>
    </row>
    <row r="221" spans="1:28" ht="18.75" x14ac:dyDescent="0.3">
      <c r="A221" s="2862"/>
      <c r="B221" s="706">
        <v>2060</v>
      </c>
      <c r="C221" s="1164">
        <f t="shared" si="53"/>
        <v>82.144545483074637</v>
      </c>
      <c r="D221" s="1164">
        <f t="shared" si="54"/>
        <v>35.200909103137214</v>
      </c>
      <c r="E221" s="1164">
        <f t="shared" si="55"/>
        <v>46.934545470805148</v>
      </c>
      <c r="F221" s="1170">
        <f t="shared" si="56"/>
        <v>-1824.5804551790177</v>
      </c>
      <c r="G221" s="1164">
        <f t="shared" si="57"/>
        <v>-15.253727278031683</v>
      </c>
      <c r="H221" s="827">
        <f>(0.0584*1.02)*0.444</f>
        <v>2.6448192000000002E-2</v>
      </c>
      <c r="I221" s="1157">
        <f>'Emission-Waste Transport Vehicl'!N74</f>
        <v>14.475526623360002</v>
      </c>
      <c r="J221" s="1157">
        <f>'Emission-Waste Transport Vehicl'!P74</f>
        <v>8.0539418361599999</v>
      </c>
      <c r="K221" s="1157">
        <f>'Emission-Waste Transport Vehicl'!Q74</f>
        <v>6.2549177011200001</v>
      </c>
      <c r="L221" s="1157">
        <f>'Emission-Waste Transport Vehicl'!R74</f>
        <v>0.62255058624000004</v>
      </c>
      <c r="M221" s="1158">
        <f t="shared" si="58"/>
        <v>2.1725747106890911</v>
      </c>
      <c r="N221" s="1159">
        <f t="shared" si="39"/>
        <v>509.55169688893818</v>
      </c>
      <c r="O221" s="1159">
        <f t="shared" si="40"/>
        <v>378.00809932847142</v>
      </c>
      <c r="P221" s="1159">
        <f t="shared" si="41"/>
        <v>-11412.600586216824</v>
      </c>
      <c r="Q221" s="1159">
        <f t="shared" si="42"/>
        <v>-9.4962168592837042</v>
      </c>
      <c r="R221" s="2773"/>
      <c r="S221" s="396"/>
      <c r="T221" s="3"/>
      <c r="U221" s="3"/>
      <c r="V221" s="618"/>
      <c r="W221" s="3"/>
      <c r="X221" s="3"/>
      <c r="Y221" s="3"/>
      <c r="Z221" s="618"/>
      <c r="AA221" s="3"/>
      <c r="AB221" s="3"/>
    </row>
    <row r="222" spans="1:28" ht="18.75" x14ac:dyDescent="0.3">
      <c r="A222" s="2862"/>
      <c r="B222" s="706">
        <v>2061</v>
      </c>
      <c r="C222" s="1164">
        <f t="shared" si="53"/>
        <v>82.144545483074637</v>
      </c>
      <c r="D222" s="1164">
        <f t="shared" si="54"/>
        <v>35.200909103137214</v>
      </c>
      <c r="E222" s="1164">
        <f t="shared" si="55"/>
        <v>46.934545470805148</v>
      </c>
      <c r="F222" s="1170">
        <f t="shared" si="56"/>
        <v>-1824.5804551790177</v>
      </c>
      <c r="G222" s="1164">
        <f t="shared" si="57"/>
        <v>-15.253727278031683</v>
      </c>
      <c r="H222" s="827">
        <f>(0.0584*1.02)*0.4353</f>
        <v>2.5929950400000002E-2</v>
      </c>
      <c r="I222" s="1157">
        <f>'Emission-Waste Transport Vehicl'!N75</f>
        <v>14.191884547632004</v>
      </c>
      <c r="J222" s="1157">
        <f>'Emission-Waste Transport Vehicl'!P75</f>
        <v>7.8961281109920014</v>
      </c>
      <c r="K222" s="1157">
        <f>'Emission-Waste Transport Vehicl'!Q75</f>
        <v>6.1323551245440004</v>
      </c>
      <c r="L222" s="1157">
        <f>'Emission-Waste Transport Vehicl'!R75</f>
        <v>0.61035195988800006</v>
      </c>
      <c r="M222" s="1158">
        <f t="shared" si="58"/>
        <v>2.1300039900066694</v>
      </c>
      <c r="N222" s="1159">
        <f t="shared" ref="N222:N272" si="59">D222*I222</f>
        <v>499.56723796341174</v>
      </c>
      <c r="O222" s="1159">
        <f t="shared" ref="O222:O272" si="60">E222*J222</f>
        <v>370.60118386865685</v>
      </c>
      <c r="P222" s="1159">
        <f t="shared" ref="P222:P272" si="61">F222*K222</f>
        <v>-11188.975304459875</v>
      </c>
      <c r="Q222" s="1159">
        <f t="shared" ref="Q222:Q272" si="62">G222*L222</f>
        <v>-9.3101423397436864</v>
      </c>
      <c r="R222" s="2773"/>
      <c r="S222" s="396"/>
      <c r="T222" s="3"/>
      <c r="U222" s="3"/>
      <c r="V222" s="618"/>
      <c r="W222" s="3"/>
      <c r="X222" s="3"/>
      <c r="Y222" s="3"/>
      <c r="Z222" s="618"/>
      <c r="AA222" s="3"/>
      <c r="AB222" s="3"/>
    </row>
    <row r="223" spans="1:28" ht="18.75" x14ac:dyDescent="0.3">
      <c r="A223" s="2862"/>
      <c r="B223" s="706">
        <v>2062</v>
      </c>
      <c r="C223" s="1164">
        <f t="shared" si="53"/>
        <v>82.144545483074637</v>
      </c>
      <c r="D223" s="1164">
        <f t="shared" si="54"/>
        <v>35.200909103137214</v>
      </c>
      <c r="E223" s="1164">
        <f t="shared" si="55"/>
        <v>46.934545470805148</v>
      </c>
      <c r="F223" s="1170">
        <f t="shared" si="56"/>
        <v>-1824.5804551790177</v>
      </c>
      <c r="G223" s="1164">
        <f t="shared" si="57"/>
        <v>-15.253727278031683</v>
      </c>
      <c r="H223" s="827">
        <f>(0.0584*1.02)*0.4268</f>
        <v>2.5423622400000002E-2</v>
      </c>
      <c r="I223" s="1157">
        <f>'Emission-Waste Transport Vehicl'!N76</f>
        <v>13.914762979392002</v>
      </c>
      <c r="J223" s="1157">
        <f>'Emission-Waste Transport Vehicl'!P76</f>
        <v>7.7419422875520008</v>
      </c>
      <c r="K223" s="1157">
        <f>'Emission-Waste Transport Vehicl'!Q76</f>
        <v>6.0126100784640002</v>
      </c>
      <c r="L223" s="1157">
        <f>'Emission-Waste Transport Vehicl'!R76</f>
        <v>0.59843376172800011</v>
      </c>
      <c r="M223" s="1158">
        <f t="shared" si="58"/>
        <v>2.0884119065813151</v>
      </c>
      <c r="N223" s="1159">
        <f t="shared" si="59"/>
        <v>489.81230682927662</v>
      </c>
      <c r="O223" s="1159">
        <f t="shared" si="60"/>
        <v>363.36454232745859</v>
      </c>
      <c r="P223" s="1159">
        <f t="shared" si="61"/>
        <v>-10970.490833777794</v>
      </c>
      <c r="Q223" s="1159">
        <f t="shared" si="62"/>
        <v>-9.1283453953655069</v>
      </c>
      <c r="R223" s="2773"/>
      <c r="S223" s="396"/>
      <c r="T223" s="3"/>
      <c r="U223" s="3"/>
      <c r="V223" s="618"/>
      <c r="W223" s="3"/>
      <c r="X223" s="3"/>
      <c r="Y223" s="3"/>
      <c r="Z223" s="618"/>
      <c r="AA223" s="3"/>
      <c r="AB223" s="3"/>
    </row>
    <row r="224" spans="1:28" ht="18.75" x14ac:dyDescent="0.3">
      <c r="A224" s="2862"/>
      <c r="B224" s="706">
        <v>2063</v>
      </c>
      <c r="C224" s="1164">
        <f t="shared" si="53"/>
        <v>82.144545483074637</v>
      </c>
      <c r="D224" s="1164">
        <f t="shared" si="54"/>
        <v>35.200909103137214</v>
      </c>
      <c r="E224" s="1164">
        <f t="shared" si="55"/>
        <v>46.934545470805148</v>
      </c>
      <c r="F224" s="1170">
        <f t="shared" si="56"/>
        <v>-1824.5804551790177</v>
      </c>
      <c r="G224" s="1164">
        <f t="shared" si="57"/>
        <v>-15.253727278031683</v>
      </c>
      <c r="H224" s="827">
        <f>(0.0584*1.02)*0.4184</f>
        <v>2.49232512E-2</v>
      </c>
      <c r="I224" s="1157">
        <f>'Emission-Waste Transport Vehicl'!N77</f>
        <v>13.640901664896001</v>
      </c>
      <c r="J224" s="1157">
        <f>'Emission-Waste Transport Vehicl'!P77</f>
        <v>7.5895704149760004</v>
      </c>
      <c r="K224" s="1157">
        <f>'Emission-Waste Transport Vehicl'!Q77</f>
        <v>5.8942737976319997</v>
      </c>
      <c r="L224" s="1157">
        <f>'Emission-Waste Transport Vehicl'!R77</f>
        <v>0.58665577766400001</v>
      </c>
      <c r="M224" s="1158">
        <f t="shared" si="58"/>
        <v>2.0473091417844946</v>
      </c>
      <c r="N224" s="1159">
        <f t="shared" si="59"/>
        <v>480.17213959083722</v>
      </c>
      <c r="O224" s="1159">
        <f t="shared" si="60"/>
        <v>356.21303774556856</v>
      </c>
      <c r="P224" s="1159">
        <f t="shared" si="61"/>
        <v>-10754.576768633151</v>
      </c>
      <c r="Q224" s="1159">
        <f t="shared" si="62"/>
        <v>-8.9486872385682474</v>
      </c>
      <c r="R224" s="2773"/>
      <c r="S224" s="396"/>
      <c r="T224" s="3"/>
      <c r="U224" s="3"/>
      <c r="V224" s="618"/>
      <c r="W224" s="3"/>
      <c r="X224" s="3"/>
      <c r="Y224" s="3"/>
      <c r="Z224" s="618"/>
      <c r="AA224" s="3"/>
      <c r="AB224" s="3"/>
    </row>
    <row r="225" spans="1:28" ht="18.75" x14ac:dyDescent="0.3">
      <c r="A225" s="2862"/>
      <c r="B225" s="706">
        <v>2064</v>
      </c>
      <c r="C225" s="1164">
        <f t="shared" si="53"/>
        <v>82.144545483074637</v>
      </c>
      <c r="D225" s="1164">
        <f t="shared" si="54"/>
        <v>35.200909103137214</v>
      </c>
      <c r="E225" s="1164">
        <f t="shared" si="55"/>
        <v>46.934545470805148</v>
      </c>
      <c r="F225" s="1170">
        <f t="shared" si="56"/>
        <v>-1824.5804551790177</v>
      </c>
      <c r="G225" s="1164">
        <f t="shared" si="57"/>
        <v>-15.253727278031683</v>
      </c>
      <c r="H225" s="827">
        <f>(0.0584*1.02)*0.4102</f>
        <v>2.4434793600000001E-2</v>
      </c>
      <c r="I225" s="1157">
        <f>'Emission-Waste Transport Vehicl'!N78</f>
        <v>13.373560857888002</v>
      </c>
      <c r="J225" s="1157">
        <f>'Emission-Waste Transport Vehicl'!P78</f>
        <v>7.4408264441280014</v>
      </c>
      <c r="K225" s="1157">
        <f>'Emission-Waste Transport Vehicl'!Q78</f>
        <v>5.7787550472960003</v>
      </c>
      <c r="L225" s="1157">
        <f>'Emission-Waste Transport Vehicl'!R78</f>
        <v>0.57515822179200005</v>
      </c>
      <c r="M225" s="1158">
        <f t="shared" si="58"/>
        <v>2.0071850142447412</v>
      </c>
      <c r="N225" s="1159">
        <f t="shared" si="59"/>
        <v>470.76150014378931</v>
      </c>
      <c r="O225" s="1159">
        <f t="shared" si="60"/>
        <v>349.23180708229506</v>
      </c>
      <c r="P225" s="1159">
        <f t="shared" si="61"/>
        <v>-10543.803514563382</v>
      </c>
      <c r="Q225" s="1159">
        <f t="shared" si="62"/>
        <v>-8.773306656932828</v>
      </c>
      <c r="R225" s="2773"/>
      <c r="S225" s="396"/>
      <c r="T225" s="3"/>
      <c r="U225" s="3"/>
      <c r="V225" s="618"/>
      <c r="W225" s="3"/>
      <c r="X225" s="3"/>
      <c r="Y225" s="3"/>
      <c r="Z225" s="618"/>
      <c r="AA225" s="3"/>
      <c r="AB225" s="3"/>
    </row>
    <row r="226" spans="1:28" ht="18.75" x14ac:dyDescent="0.3">
      <c r="A226" s="2862"/>
      <c r="B226" s="706">
        <v>2065</v>
      </c>
      <c r="C226" s="1164">
        <f t="shared" si="53"/>
        <v>82.144545483074637</v>
      </c>
      <c r="D226" s="1164">
        <f t="shared" si="54"/>
        <v>35.200909103137214</v>
      </c>
      <c r="E226" s="1164">
        <f t="shared" si="55"/>
        <v>46.934545470805148</v>
      </c>
      <c r="F226" s="1170">
        <f t="shared" si="56"/>
        <v>-1824.5804551790177</v>
      </c>
      <c r="G226" s="1164">
        <f t="shared" si="57"/>
        <v>-15.253727278031683</v>
      </c>
      <c r="H226" s="827">
        <f>(0.0584*1.02)*0.4022</f>
        <v>2.3958249600000002E-2</v>
      </c>
      <c r="I226" s="1157">
        <f>'Emission-Waste Transport Vehicl'!N79</f>
        <v>13.112740558368001</v>
      </c>
      <c r="J226" s="1157">
        <f>'Emission-Waste Transport Vehicl'!P79</f>
        <v>7.2957103750080003</v>
      </c>
      <c r="K226" s="1157">
        <f>'Emission-Waste Transport Vehicl'!Q79</f>
        <v>5.6660538274560004</v>
      </c>
      <c r="L226" s="1157">
        <f>'Emission-Waste Transport Vehicl'!R79</f>
        <v>0.56394109411200011</v>
      </c>
      <c r="M226" s="1158">
        <f t="shared" si="58"/>
        <v>1.9680395239620549</v>
      </c>
      <c r="N226" s="1159">
        <f t="shared" si="59"/>
        <v>461.58038848813271</v>
      </c>
      <c r="O226" s="1159">
        <f t="shared" si="60"/>
        <v>342.42085033763789</v>
      </c>
      <c r="P226" s="1159">
        <f t="shared" si="61"/>
        <v>-10338.171071568484</v>
      </c>
      <c r="Q226" s="1159">
        <f t="shared" si="62"/>
        <v>-8.6022036504592485</v>
      </c>
      <c r="R226" s="2773"/>
      <c r="S226" s="396"/>
      <c r="T226" s="3"/>
      <c r="U226" s="3"/>
      <c r="V226" s="618"/>
      <c r="W226" s="3"/>
      <c r="X226" s="3"/>
      <c r="Y226" s="3"/>
      <c r="Z226" s="618"/>
      <c r="AA226" s="3"/>
      <c r="AB226" s="3"/>
    </row>
    <row r="227" spans="1:28" ht="18.75" x14ac:dyDescent="0.3">
      <c r="A227" s="2862"/>
      <c r="B227" s="706">
        <v>2066</v>
      </c>
      <c r="C227" s="1164">
        <f t="shared" si="53"/>
        <v>82.144545483074637</v>
      </c>
      <c r="D227" s="1164">
        <f t="shared" si="54"/>
        <v>35.200909103137214</v>
      </c>
      <c r="E227" s="1164">
        <f t="shared" si="55"/>
        <v>46.934545470805148</v>
      </c>
      <c r="F227" s="1170">
        <f t="shared" si="56"/>
        <v>-1824.5804551790177</v>
      </c>
      <c r="G227" s="1164">
        <f t="shared" si="57"/>
        <v>-15.253727278031683</v>
      </c>
      <c r="H227" s="827">
        <f>(0.0584*1.02)*0.3943</f>
        <v>2.3487662400000001E-2</v>
      </c>
      <c r="I227" s="1157">
        <f>'Emission-Waste Transport Vehicl'!N80</f>
        <v>12.855180512592</v>
      </c>
      <c r="J227" s="1157">
        <f>'Emission-Waste Transport Vehicl'!P80</f>
        <v>7.1524082567520004</v>
      </c>
      <c r="K227" s="1157">
        <f>'Emission-Waste Transport Vehicl'!Q80</f>
        <v>5.5547613728639993</v>
      </c>
      <c r="L227" s="1157">
        <f>'Emission-Waste Transport Vehicl'!R80</f>
        <v>0.55286418052800002</v>
      </c>
      <c r="M227" s="1158">
        <f t="shared" si="58"/>
        <v>1.929383352307902</v>
      </c>
      <c r="N227" s="1159">
        <f t="shared" si="59"/>
        <v>452.51404072817184</v>
      </c>
      <c r="O227" s="1159">
        <f t="shared" si="60"/>
        <v>335.69503055228893</v>
      </c>
      <c r="P227" s="1159">
        <f t="shared" si="61"/>
        <v>-10135.109034111021</v>
      </c>
      <c r="Q227" s="1159">
        <f t="shared" si="62"/>
        <v>-8.4332394315665873</v>
      </c>
      <c r="R227" s="2773"/>
      <c r="S227" s="396"/>
      <c r="T227" s="3"/>
      <c r="U227" s="3"/>
      <c r="V227" s="618"/>
      <c r="W227" s="3"/>
      <c r="X227" s="3"/>
      <c r="Y227" s="3"/>
      <c r="Z227" s="618"/>
      <c r="AA227" s="3"/>
      <c r="AB227" s="3"/>
    </row>
    <row r="228" spans="1:28" ht="18.75" x14ac:dyDescent="0.3">
      <c r="A228" s="2862"/>
      <c r="B228" s="706">
        <v>2067</v>
      </c>
      <c r="C228" s="1164">
        <f t="shared" si="53"/>
        <v>82.144545483074637</v>
      </c>
      <c r="D228" s="1164">
        <f t="shared" si="54"/>
        <v>35.200909103137214</v>
      </c>
      <c r="E228" s="1164">
        <f t="shared" si="55"/>
        <v>46.934545470805148</v>
      </c>
      <c r="F228" s="1170">
        <f t="shared" si="56"/>
        <v>-1824.5804551790177</v>
      </c>
      <c r="G228" s="1164">
        <f t="shared" si="57"/>
        <v>-15.253727278031683</v>
      </c>
      <c r="H228" s="827">
        <f>(0.0584*1.02)*0.3865</f>
        <v>2.3023032000000002E-2</v>
      </c>
      <c r="I228" s="1157">
        <f>'Emission-Waste Transport Vehicl'!N81</f>
        <v>12.600880720560001</v>
      </c>
      <c r="J228" s="1157">
        <f>'Emission-Waste Transport Vehicl'!P81</f>
        <v>7.0109200893600008</v>
      </c>
      <c r="K228" s="1157">
        <f>'Emission-Waste Transport Vehicl'!Q81</f>
        <v>5.4448776835200006</v>
      </c>
      <c r="L228" s="1157">
        <f>'Emission-Waste Transport Vehicl'!R81</f>
        <v>0.5419274810400001</v>
      </c>
      <c r="M228" s="1158">
        <f t="shared" si="58"/>
        <v>1.8912164992822831</v>
      </c>
      <c r="N228" s="1159">
        <f t="shared" si="59"/>
        <v>443.56245686390673</v>
      </c>
      <c r="O228" s="1159">
        <f t="shared" si="60"/>
        <v>329.05434772624824</v>
      </c>
      <c r="P228" s="1159">
        <f t="shared" si="61"/>
        <v>-9934.6174021909974</v>
      </c>
      <c r="Q228" s="1159">
        <f t="shared" si="62"/>
        <v>-8.2664140002548478</v>
      </c>
      <c r="R228" s="2773"/>
      <c r="S228" s="396"/>
      <c r="T228" s="3"/>
      <c r="U228" s="3"/>
      <c r="V228" s="618"/>
      <c r="W228" s="3"/>
      <c r="X228" s="3"/>
      <c r="Y228" s="3"/>
      <c r="Z228" s="618"/>
      <c r="AA228" s="3"/>
      <c r="AB228" s="3"/>
    </row>
    <row r="229" spans="1:28" ht="18.75" x14ac:dyDescent="0.3">
      <c r="A229" s="2862"/>
      <c r="B229" s="706">
        <v>2068</v>
      </c>
      <c r="C229" s="1164">
        <f t="shared" si="53"/>
        <v>82.144545483074637</v>
      </c>
      <c r="D229" s="1164">
        <f t="shared" si="54"/>
        <v>35.200909103137214</v>
      </c>
      <c r="E229" s="1164">
        <f t="shared" si="55"/>
        <v>46.934545470805148</v>
      </c>
      <c r="F229" s="1170">
        <f t="shared" si="56"/>
        <v>-1824.5804551790177</v>
      </c>
      <c r="G229" s="1164">
        <f t="shared" si="57"/>
        <v>-15.253727278031683</v>
      </c>
      <c r="H229" s="827">
        <f>(0.0584*1.02)*0.379</f>
        <v>2.2576272000000001E-2</v>
      </c>
      <c r="I229" s="1157">
        <f>'Emission-Waste Transport Vehicl'!N82</f>
        <v>12.356361689760002</v>
      </c>
      <c r="J229" s="1157">
        <f>'Emission-Waste Transport Vehicl'!P82</f>
        <v>6.8748737745600002</v>
      </c>
      <c r="K229" s="1157">
        <f>'Emission-Waste Transport Vehicl'!Q82</f>
        <v>5.339220289920001</v>
      </c>
      <c r="L229" s="1157">
        <f>'Emission-Waste Transport Vehicl'!R82</f>
        <v>0.53141142384000006</v>
      </c>
      <c r="M229" s="1158">
        <f t="shared" si="58"/>
        <v>1.8545176021422645</v>
      </c>
      <c r="N229" s="1159">
        <f t="shared" si="59"/>
        <v>434.95516468672878</v>
      </c>
      <c r="O229" s="1159">
        <f t="shared" si="60"/>
        <v>322.66907577813214</v>
      </c>
      <c r="P229" s="1159">
        <f t="shared" si="61"/>
        <v>-9741.8369868832815</v>
      </c>
      <c r="Q229" s="1159">
        <f t="shared" si="62"/>
        <v>-8.1060049316858649</v>
      </c>
      <c r="R229" s="2773"/>
      <c r="S229" s="396"/>
      <c r="T229" s="3"/>
      <c r="U229" s="3"/>
      <c r="V229" s="618"/>
      <c r="W229" s="3"/>
      <c r="X229" s="3"/>
      <c r="Y229" s="3"/>
      <c r="Z229" s="618"/>
      <c r="AA229" s="3"/>
      <c r="AB229" s="3"/>
    </row>
    <row r="230" spans="1:28" ht="19.5" thickBot="1" x14ac:dyDescent="0.35">
      <c r="A230" s="2863"/>
      <c r="B230" s="55">
        <v>2069</v>
      </c>
      <c r="C230" s="1165">
        <f t="shared" si="53"/>
        <v>82.144545483074637</v>
      </c>
      <c r="D230" s="1165">
        <f t="shared" si="54"/>
        <v>35.200909103137214</v>
      </c>
      <c r="E230" s="1165">
        <f t="shared" si="55"/>
        <v>46.934545470805148</v>
      </c>
      <c r="F230" s="1171">
        <f t="shared" si="56"/>
        <v>-1824.5804551790177</v>
      </c>
      <c r="G230" s="1165">
        <f t="shared" si="57"/>
        <v>-15.253727278031683</v>
      </c>
      <c r="H230" s="1062">
        <f>(0.0584*1.02)*0.3715</f>
        <v>2.2129512E-2</v>
      </c>
      <c r="I230" s="1161">
        <f>'Emission-Waste Transport Vehicl'!N83</f>
        <v>12.111842658960002</v>
      </c>
      <c r="J230" s="1161">
        <f>'Emission-Waste Transport Vehicl'!P83</f>
        <v>6.7388274597600004</v>
      </c>
      <c r="K230" s="1161">
        <f>'Emission-Waste Transport Vehicl'!Q83</f>
        <v>5.2335628963200005</v>
      </c>
      <c r="L230" s="1161">
        <f>'Emission-Waste Transport Vehicl'!R83</f>
        <v>0.52089536664000002</v>
      </c>
      <c r="M230" s="1162">
        <f t="shared" si="58"/>
        <v>1.8178187050022461</v>
      </c>
      <c r="N230" s="1163">
        <f t="shared" si="59"/>
        <v>426.34787250955077</v>
      </c>
      <c r="O230" s="1163">
        <f t="shared" si="60"/>
        <v>316.2838038300161</v>
      </c>
      <c r="P230" s="1163">
        <f t="shared" si="61"/>
        <v>-9549.0565715755638</v>
      </c>
      <c r="Q230" s="1163">
        <f t="shared" si="62"/>
        <v>-7.9455958631168828</v>
      </c>
      <c r="R230" s="2774"/>
      <c r="S230" s="396"/>
      <c r="T230" s="3"/>
      <c r="U230" s="3"/>
      <c r="V230" s="618"/>
      <c r="W230" s="3"/>
      <c r="X230" s="3"/>
      <c r="Y230" s="3"/>
      <c r="Z230" s="618"/>
      <c r="AA230" s="3"/>
      <c r="AB230" s="3"/>
    </row>
    <row r="231" spans="1:28" x14ac:dyDescent="0.25">
      <c r="A231" s="2903" t="s">
        <v>1831</v>
      </c>
      <c r="B231" s="888">
        <v>2019</v>
      </c>
      <c r="C231" s="1172">
        <f t="shared" ref="C231:C262" si="63">$S$11</f>
        <v>-161007524651.63318</v>
      </c>
      <c r="D231" s="1153">
        <f t="shared" ref="D231:D262" si="64">$T$11</f>
        <v>-11832519.071247591</v>
      </c>
      <c r="E231" s="1153">
        <f t="shared" ref="E231:E262" si="65">$R$11</f>
        <v>-150374882.5177612</v>
      </c>
      <c r="F231" s="1166">
        <f>$V$11</f>
        <v>-1450586612.0203741</v>
      </c>
      <c r="G231" s="1153">
        <f t="shared" ref="G231:G262" si="66">$U$11</f>
        <v>-1359442.1142114073</v>
      </c>
      <c r="H231" s="1056">
        <f>0.0584*1.02</f>
        <v>5.9568000000000003E-2</v>
      </c>
      <c r="I231" s="1154">
        <f>'Emission-Waste Transport Vehicl'!N33</f>
        <v>32.602537440000006</v>
      </c>
      <c r="J231" s="1154">
        <f>'Emission-Waste Transport Vehicl'!P33</f>
        <v>18.139508640000003</v>
      </c>
      <c r="K231" s="1154">
        <f>'Emission-Waste Transport Vehicl'!Q33</f>
        <v>14.087652480000001</v>
      </c>
      <c r="L231" s="1154">
        <f>'Emission-Waste Transport Vehicl'!R33</f>
        <v>1.4021409600000001</v>
      </c>
      <c r="M231" s="1155">
        <f t="shared" si="58"/>
        <v>-9590896228.4484863</v>
      </c>
      <c r="N231" s="1155">
        <f t="shared" si="59"/>
        <v>-385770146.02986366</v>
      </c>
      <c r="O231" s="1155">
        <f t="shared" si="60"/>
        <v>-2727726480.6699147</v>
      </c>
      <c r="P231" s="1155">
        <f t="shared" si="61"/>
        <v>-20435360082.283623</v>
      </c>
      <c r="Q231" s="1155">
        <f t="shared" si="62"/>
        <v>-1906129.4710848124</v>
      </c>
      <c r="R231" s="2772">
        <f>(SUM(M231:M281))+(SUM(N231:N281))+(SUM(O231:O281))+(SUM(P231:P281))+(SUM(Q231:Q281))</f>
        <v>-1074556919459.8683</v>
      </c>
      <c r="S231" s="3"/>
      <c r="T231" s="3"/>
      <c r="U231" s="3"/>
      <c r="V231" s="3"/>
      <c r="W231" s="3"/>
      <c r="X231" s="3"/>
      <c r="Y231" s="3"/>
      <c r="Z231" s="3"/>
      <c r="AA231" s="3"/>
      <c r="AB231" s="3"/>
    </row>
    <row r="232" spans="1:28" x14ac:dyDescent="0.25">
      <c r="A232" s="2862"/>
      <c r="B232" s="706">
        <v>2020</v>
      </c>
      <c r="C232" s="1173">
        <f t="shared" si="63"/>
        <v>-161007524651.63318</v>
      </c>
      <c r="D232" s="1156">
        <f t="shared" si="64"/>
        <v>-11832519.071247591</v>
      </c>
      <c r="E232" s="1156">
        <f t="shared" si="65"/>
        <v>-150374882.5177612</v>
      </c>
      <c r="F232" s="1174">
        <f t="shared" ref="F232:F263" si="67">$V$11</f>
        <v>-1450586612.0203741</v>
      </c>
      <c r="G232" s="1156">
        <f t="shared" si="66"/>
        <v>-1359442.1142114073</v>
      </c>
      <c r="H232" s="827">
        <f>(0.0584*1.02)*0.9804</f>
        <v>5.8400467200000007E-2</v>
      </c>
      <c r="I232" s="1157">
        <f>'Emission-Waste Transport Vehicl'!N34</f>
        <v>31.963527706176006</v>
      </c>
      <c r="J232" s="1157">
        <f>'Emission-Waste Transport Vehicl'!P34</f>
        <v>17.783974270656003</v>
      </c>
      <c r="K232" s="1157">
        <f>'Emission-Waste Transport Vehicl'!Q34</f>
        <v>13.811534491392001</v>
      </c>
      <c r="L232" s="1157">
        <f>'Emission-Waste Transport Vehicl'!R34</f>
        <v>1.3746589971840002</v>
      </c>
      <c r="M232" s="1158">
        <f t="shared" si="58"/>
        <v>-9402914662.3708954</v>
      </c>
      <c r="N232" s="1159">
        <f t="shared" si="59"/>
        <v>-378209051.16767836</v>
      </c>
      <c r="O232" s="1159">
        <f t="shared" si="60"/>
        <v>-2674263041.6487846</v>
      </c>
      <c r="P232" s="1159">
        <f t="shared" si="61"/>
        <v>-20034827024.670864</v>
      </c>
      <c r="Q232" s="1159">
        <f t="shared" si="62"/>
        <v>-1868769.3334515502</v>
      </c>
      <c r="R232" s="2773"/>
    </row>
    <row r="233" spans="1:28" x14ac:dyDescent="0.25">
      <c r="A233" s="2862"/>
      <c r="B233" s="706">
        <v>2021</v>
      </c>
      <c r="C233" s="1173">
        <f t="shared" si="63"/>
        <v>-161007524651.63318</v>
      </c>
      <c r="D233" s="1156">
        <f t="shared" si="64"/>
        <v>-11832519.071247591</v>
      </c>
      <c r="E233" s="1156">
        <f t="shared" si="65"/>
        <v>-150374882.5177612</v>
      </c>
      <c r="F233" s="1174">
        <f t="shared" si="67"/>
        <v>-1450586612.0203741</v>
      </c>
      <c r="G233" s="1156">
        <f t="shared" si="66"/>
        <v>-1359442.1142114073</v>
      </c>
      <c r="H233" s="827">
        <f>(0.0584*1.02)*0.9612</f>
        <v>5.7256761600000004E-2</v>
      </c>
      <c r="I233" s="1157">
        <f>'Emission-Waste Transport Vehicl'!N35</f>
        <v>31.337558987328006</v>
      </c>
      <c r="J233" s="1157">
        <f>'Emission-Waste Transport Vehicl'!P35</f>
        <v>17.435695704768001</v>
      </c>
      <c r="K233" s="1157">
        <f>'Emission-Waste Transport Vehicl'!Q35</f>
        <v>13.541051563776001</v>
      </c>
      <c r="L233" s="1157">
        <f>'Emission-Waste Transport Vehicl'!R35</f>
        <v>1.3477378907520003</v>
      </c>
      <c r="M233" s="1158">
        <f t="shared" si="58"/>
        <v>-9218769454.7846851</v>
      </c>
      <c r="N233" s="1159">
        <f t="shared" si="59"/>
        <v>-370802264.36390495</v>
      </c>
      <c r="O233" s="1159">
        <f t="shared" si="60"/>
        <v>-2621890693.2199216</v>
      </c>
      <c r="P233" s="1159">
        <f t="shared" si="61"/>
        <v>-19642468111.091019</v>
      </c>
      <c r="Q233" s="1159">
        <f t="shared" si="62"/>
        <v>-1832171.6476067221</v>
      </c>
      <c r="R233" s="2773"/>
    </row>
    <row r="234" spans="1:28" x14ac:dyDescent="0.25">
      <c r="A234" s="2862"/>
      <c r="B234" s="706">
        <v>2022</v>
      </c>
      <c r="C234" s="1173">
        <f t="shared" si="63"/>
        <v>-161007524651.63318</v>
      </c>
      <c r="D234" s="1156">
        <f t="shared" si="64"/>
        <v>-11832519.071247591</v>
      </c>
      <c r="E234" s="1156">
        <f t="shared" si="65"/>
        <v>-150374882.5177612</v>
      </c>
      <c r="F234" s="1174">
        <f t="shared" si="67"/>
        <v>-1450586612.0203741</v>
      </c>
      <c r="G234" s="1156">
        <f t="shared" si="66"/>
        <v>-1359442.1142114073</v>
      </c>
      <c r="H234" s="827">
        <f>(0.0584*1.02)*0.9423</f>
        <v>5.6130926400000003E-2</v>
      </c>
      <c r="I234" s="1157">
        <f>'Emission-Waste Transport Vehicl'!N36</f>
        <v>30.721371029712003</v>
      </c>
      <c r="J234" s="1157">
        <f>'Emission-Waste Transport Vehicl'!P36</f>
        <v>17.092858991472003</v>
      </c>
      <c r="K234" s="1157">
        <f>'Emission-Waste Transport Vehicl'!Q36</f>
        <v>13.274794931903999</v>
      </c>
      <c r="L234" s="1157">
        <f>'Emission-Waste Transport Vehicl'!R36</f>
        <v>1.3212374266080003</v>
      </c>
      <c r="M234" s="1158">
        <f t="shared" si="58"/>
        <v>-9037501516.067009</v>
      </c>
      <c r="N234" s="1159">
        <f t="shared" si="59"/>
        <v>-363511208.60394049</v>
      </c>
      <c r="O234" s="1159">
        <f t="shared" si="60"/>
        <v>-2570336662.7352605</v>
      </c>
      <c r="P234" s="1159">
        <f t="shared" si="61"/>
        <v>-19256239805.535854</v>
      </c>
      <c r="Q234" s="1159">
        <f t="shared" si="62"/>
        <v>-1796145.8006032188</v>
      </c>
      <c r="R234" s="2773"/>
    </row>
    <row r="235" spans="1:28" x14ac:dyDescent="0.25">
      <c r="A235" s="2862"/>
      <c r="B235" s="706">
        <v>2023</v>
      </c>
      <c r="C235" s="1173">
        <f t="shared" si="63"/>
        <v>-161007524651.63318</v>
      </c>
      <c r="D235" s="1156">
        <f t="shared" si="64"/>
        <v>-11832519.071247591</v>
      </c>
      <c r="E235" s="1156">
        <f t="shared" si="65"/>
        <v>-150374882.5177612</v>
      </c>
      <c r="F235" s="1174">
        <f t="shared" si="67"/>
        <v>-1450586612.0203741</v>
      </c>
      <c r="G235" s="1156">
        <f t="shared" si="66"/>
        <v>-1359442.1142114073</v>
      </c>
      <c r="H235" s="827">
        <f>(0.0584*1.02)*0.9238</f>
        <v>5.5028918400000001E-2</v>
      </c>
      <c r="I235" s="1157">
        <f>'Emission-Waste Transport Vehicl'!N37</f>
        <v>30.118224087072001</v>
      </c>
      <c r="J235" s="1157">
        <f>'Emission-Waste Transport Vehicl'!P37</f>
        <v>16.757278081632002</v>
      </c>
      <c r="K235" s="1157">
        <f>'Emission-Waste Transport Vehicl'!Q37</f>
        <v>13.014173361024</v>
      </c>
      <c r="L235" s="1157">
        <f>'Emission-Waste Transport Vehicl'!R37</f>
        <v>1.295297818848</v>
      </c>
      <c r="M235" s="1158">
        <f t="shared" si="58"/>
        <v>-8860069935.8407116</v>
      </c>
      <c r="N235" s="1159">
        <f t="shared" si="59"/>
        <v>-356374460.90238804</v>
      </c>
      <c r="O235" s="1159">
        <f t="shared" si="60"/>
        <v>-2519873722.8428669</v>
      </c>
      <c r="P235" s="1159">
        <f t="shared" si="61"/>
        <v>-18878185644.013607</v>
      </c>
      <c r="Q235" s="1159">
        <f t="shared" si="62"/>
        <v>-1760882.4053881494</v>
      </c>
      <c r="R235" s="2773"/>
    </row>
    <row r="236" spans="1:28" x14ac:dyDescent="0.25">
      <c r="A236" s="2862"/>
      <c r="B236" s="706">
        <v>2024</v>
      </c>
      <c r="C236" s="1173">
        <f t="shared" si="63"/>
        <v>-161007524651.63318</v>
      </c>
      <c r="D236" s="1156">
        <f t="shared" si="64"/>
        <v>-11832519.071247591</v>
      </c>
      <c r="E236" s="1156">
        <f t="shared" si="65"/>
        <v>-150374882.5177612</v>
      </c>
      <c r="F236" s="1174">
        <f t="shared" si="67"/>
        <v>-1450586612.0203741</v>
      </c>
      <c r="G236" s="1156">
        <f t="shared" si="66"/>
        <v>-1359442.1142114073</v>
      </c>
      <c r="H236" s="827">
        <f>(0.0584*1.02)*0.9057</f>
        <v>5.39507376E-2</v>
      </c>
      <c r="I236" s="1157">
        <f>'Emission-Waste Transport Vehicl'!N38</f>
        <v>29.528118159408002</v>
      </c>
      <c r="J236" s="1157">
        <f>'Emission-Waste Transport Vehicl'!P38</f>
        <v>16.428952975248002</v>
      </c>
      <c r="K236" s="1157">
        <f>'Emission-Waste Transport Vehicl'!Q38</f>
        <v>12.759186851135999</v>
      </c>
      <c r="L236" s="1157">
        <f>'Emission-Waste Transport Vehicl'!R38</f>
        <v>1.269919067472</v>
      </c>
      <c r="M236" s="1158">
        <f t="shared" si="58"/>
        <v>-8686474714.105793</v>
      </c>
      <c r="N236" s="1159">
        <f t="shared" si="59"/>
        <v>-349392021.25924748</v>
      </c>
      <c r="O236" s="1159">
        <f t="shared" si="60"/>
        <v>-2470501873.5427418</v>
      </c>
      <c r="P236" s="1159">
        <f t="shared" si="61"/>
        <v>-18508305626.524273</v>
      </c>
      <c r="Q236" s="1159">
        <f t="shared" si="62"/>
        <v>-1726381.4619615143</v>
      </c>
      <c r="R236" s="2773"/>
    </row>
    <row r="237" spans="1:28" x14ac:dyDescent="0.25">
      <c r="A237" s="2862"/>
      <c r="B237" s="706">
        <v>2025</v>
      </c>
      <c r="C237" s="1173">
        <f t="shared" si="63"/>
        <v>-161007524651.63318</v>
      </c>
      <c r="D237" s="1156">
        <f t="shared" si="64"/>
        <v>-11832519.071247591</v>
      </c>
      <c r="E237" s="1156">
        <f t="shared" si="65"/>
        <v>-150374882.5177612</v>
      </c>
      <c r="F237" s="1174">
        <f t="shared" si="67"/>
        <v>-1450586612.0203741</v>
      </c>
      <c r="G237" s="1156">
        <f t="shared" si="66"/>
        <v>-1359442.1142114073</v>
      </c>
      <c r="H237" s="827">
        <f>(0.0584*1.02)*0.888</f>
        <v>5.2896384000000005E-2</v>
      </c>
      <c r="I237" s="1157">
        <f>'Emission-Waste Transport Vehicl'!N39</f>
        <v>28.951053246720004</v>
      </c>
      <c r="J237" s="1157">
        <f>'Emission-Waste Transport Vehicl'!P39</f>
        <v>16.10788367232</v>
      </c>
      <c r="K237" s="1157">
        <f>'Emission-Waste Transport Vehicl'!Q39</f>
        <v>12.50983540224</v>
      </c>
      <c r="L237" s="1157">
        <f>'Emission-Waste Transport Vehicl'!R39</f>
        <v>1.2451011724800001</v>
      </c>
      <c r="M237" s="1158">
        <f t="shared" si="58"/>
        <v>-8516715850.8622561</v>
      </c>
      <c r="N237" s="1159">
        <f t="shared" si="59"/>
        <v>-342563889.67451894</v>
      </c>
      <c r="O237" s="1159">
        <f t="shared" si="60"/>
        <v>-2422221114.8348837</v>
      </c>
      <c r="P237" s="1159">
        <f t="shared" si="61"/>
        <v>-18146599753.067856</v>
      </c>
      <c r="Q237" s="1159">
        <f t="shared" si="62"/>
        <v>-1692642.9703233133</v>
      </c>
      <c r="R237" s="2773"/>
    </row>
    <row r="238" spans="1:28" x14ac:dyDescent="0.25">
      <c r="A238" s="2862"/>
      <c r="B238" s="706">
        <v>2026</v>
      </c>
      <c r="C238" s="1173">
        <f t="shared" si="63"/>
        <v>-161007524651.63318</v>
      </c>
      <c r="D238" s="1156">
        <f t="shared" si="64"/>
        <v>-11832519.071247591</v>
      </c>
      <c r="E238" s="1156">
        <f t="shared" si="65"/>
        <v>-150374882.5177612</v>
      </c>
      <c r="F238" s="1174">
        <f t="shared" si="67"/>
        <v>-1450586612.0203741</v>
      </c>
      <c r="G238" s="1156">
        <f t="shared" si="66"/>
        <v>-1359442.1142114073</v>
      </c>
      <c r="H238" s="827">
        <f>(0.0584*1.02)*0.8706</f>
        <v>5.1859900800000004E-2</v>
      </c>
      <c r="I238" s="1157">
        <f>'Emission-Waste Transport Vehicl'!N40</f>
        <v>28.383769095264007</v>
      </c>
      <c r="J238" s="1157">
        <f>'Emission-Waste Transport Vehicl'!P40</f>
        <v>15.792256221984003</v>
      </c>
      <c r="K238" s="1157">
        <f>'Emission-Waste Transport Vehicl'!Q40</f>
        <v>12.264710249088001</v>
      </c>
      <c r="L238" s="1157">
        <f>'Emission-Waste Transport Vehicl'!R40</f>
        <v>1.2207039197760001</v>
      </c>
      <c r="M238" s="1158">
        <f t="shared" si="58"/>
        <v>-8349834256.4872522</v>
      </c>
      <c r="N238" s="1159">
        <f t="shared" si="59"/>
        <v>-335851489.13359934</v>
      </c>
      <c r="O238" s="1159">
        <f t="shared" si="60"/>
        <v>-2374758674.0712276</v>
      </c>
      <c r="P238" s="1159">
        <f t="shared" si="61"/>
        <v>-17791024487.63612</v>
      </c>
      <c r="Q238" s="1159">
        <f t="shared" si="62"/>
        <v>-1659476.3175264376</v>
      </c>
      <c r="R238" s="2773"/>
    </row>
    <row r="239" spans="1:28" x14ac:dyDescent="0.25">
      <c r="A239" s="2862"/>
      <c r="B239" s="706">
        <v>2027</v>
      </c>
      <c r="C239" s="1173">
        <f t="shared" si="63"/>
        <v>-161007524651.63318</v>
      </c>
      <c r="D239" s="1156">
        <f t="shared" si="64"/>
        <v>-11832519.071247591</v>
      </c>
      <c r="E239" s="1156">
        <f t="shared" si="65"/>
        <v>-150374882.5177612</v>
      </c>
      <c r="F239" s="1174">
        <f t="shared" si="67"/>
        <v>-1450586612.0203741</v>
      </c>
      <c r="G239" s="1156">
        <f t="shared" si="66"/>
        <v>-1359442.1142114073</v>
      </c>
      <c r="H239" s="827">
        <f>(0.0584*1.02)*0.8535</f>
        <v>5.0841288000000005E-2</v>
      </c>
      <c r="I239" s="1157">
        <f>'Emission-Waste Transport Vehicl'!N41</f>
        <v>27.826265705040004</v>
      </c>
      <c r="J239" s="1157">
        <f>'Emission-Waste Transport Vehicl'!P41</f>
        <v>15.482070624240002</v>
      </c>
      <c r="K239" s="1157">
        <f>'Emission-Waste Transport Vehicl'!Q41</f>
        <v>12.023811391680001</v>
      </c>
      <c r="L239" s="1157">
        <f>'Emission-Waste Transport Vehicl'!R41</f>
        <v>1.1967273093600002</v>
      </c>
      <c r="M239" s="1158">
        <f t="shared" si="58"/>
        <v>-8185829930.9807825</v>
      </c>
      <c r="N239" s="1159">
        <f t="shared" si="59"/>
        <v>-329254819.63648862</v>
      </c>
      <c r="O239" s="1159">
        <f t="shared" si="60"/>
        <v>-2328114551.2517719</v>
      </c>
      <c r="P239" s="1159">
        <f t="shared" si="61"/>
        <v>-17441579830.229073</v>
      </c>
      <c r="Q239" s="1159">
        <f t="shared" si="62"/>
        <v>-1626881.5035708875</v>
      </c>
      <c r="R239" s="2773"/>
    </row>
    <row r="240" spans="1:28" x14ac:dyDescent="0.25">
      <c r="A240" s="2862"/>
      <c r="B240" s="706">
        <v>2028</v>
      </c>
      <c r="C240" s="1173">
        <f t="shared" si="63"/>
        <v>-161007524651.63318</v>
      </c>
      <c r="D240" s="1156">
        <f t="shared" si="64"/>
        <v>-11832519.071247591</v>
      </c>
      <c r="E240" s="1156">
        <f t="shared" si="65"/>
        <v>-150374882.5177612</v>
      </c>
      <c r="F240" s="1174">
        <f t="shared" si="67"/>
        <v>-1450586612.0203741</v>
      </c>
      <c r="G240" s="1156">
        <f t="shared" si="66"/>
        <v>-1359442.1142114073</v>
      </c>
      <c r="H240" s="827">
        <f>(0.0584*1.02)*0.8368</f>
        <v>4.9846502399999999E-2</v>
      </c>
      <c r="I240" s="1157">
        <f>'Emission-Waste Transport Vehicl'!N42</f>
        <v>27.281803329792002</v>
      </c>
      <c r="J240" s="1157">
        <f>'Emission-Waste Transport Vehicl'!P42</f>
        <v>15.179140829952001</v>
      </c>
      <c r="K240" s="1157">
        <f>'Emission-Waste Transport Vehicl'!Q42</f>
        <v>11.788547595263999</v>
      </c>
      <c r="L240" s="1157">
        <f>'Emission-Waste Transport Vehicl'!R42</f>
        <v>1.173311555328</v>
      </c>
      <c r="M240" s="1158">
        <f t="shared" si="58"/>
        <v>-8025661963.9656925</v>
      </c>
      <c r="N240" s="1159">
        <f t="shared" si="59"/>
        <v>-322812458.19778991</v>
      </c>
      <c r="O240" s="1159">
        <f t="shared" si="60"/>
        <v>-2282561519.0245843</v>
      </c>
      <c r="P240" s="1159">
        <f t="shared" si="61"/>
        <v>-17100309316.854933</v>
      </c>
      <c r="Q240" s="1159">
        <f t="shared" si="62"/>
        <v>-1595049.141403771</v>
      </c>
      <c r="R240" s="2773"/>
    </row>
    <row r="241" spans="1:18" x14ac:dyDescent="0.25">
      <c r="A241" s="2862"/>
      <c r="B241" s="706">
        <v>2029</v>
      </c>
      <c r="C241" s="1173">
        <f t="shared" si="63"/>
        <v>-161007524651.63318</v>
      </c>
      <c r="D241" s="1156">
        <f t="shared" si="64"/>
        <v>-11832519.071247591</v>
      </c>
      <c r="E241" s="1156">
        <f t="shared" si="65"/>
        <v>-150374882.5177612</v>
      </c>
      <c r="F241" s="1174">
        <f t="shared" si="67"/>
        <v>-1450586612.0203741</v>
      </c>
      <c r="G241" s="1156">
        <f t="shared" si="66"/>
        <v>-1359442.1142114073</v>
      </c>
      <c r="H241" s="827">
        <f>(0.0584*1.02)*0.8203</f>
        <v>4.8863630400000004E-2</v>
      </c>
      <c r="I241" s="1157">
        <f>'Emission-Waste Transport Vehicl'!N43</f>
        <v>26.743861462032005</v>
      </c>
      <c r="J241" s="1157">
        <f>'Emission-Waste Transport Vehicl'!P43</f>
        <v>14.879838937392002</v>
      </c>
      <c r="K241" s="1157">
        <f>'Emission-Waste Transport Vehicl'!Q43</f>
        <v>11.556101329344001</v>
      </c>
      <c r="L241" s="1157">
        <f>'Emission-Waste Transport Vehicl'!R43</f>
        <v>1.1501762294880002</v>
      </c>
      <c r="M241" s="1158">
        <f t="shared" si="58"/>
        <v>-7867412176.1962929</v>
      </c>
      <c r="N241" s="1159">
        <f t="shared" si="59"/>
        <v>-316447250.78829718</v>
      </c>
      <c r="O241" s="1159">
        <f t="shared" si="60"/>
        <v>-2237554032.0935311</v>
      </c>
      <c r="P241" s="1159">
        <f t="shared" si="61"/>
        <v>-16763125875.497255</v>
      </c>
      <c r="Q241" s="1159">
        <f t="shared" si="62"/>
        <v>-1563598.0051308719</v>
      </c>
      <c r="R241" s="2773"/>
    </row>
    <row r="242" spans="1:18" x14ac:dyDescent="0.25">
      <c r="A242" s="2862"/>
      <c r="B242" s="706">
        <v>2030</v>
      </c>
      <c r="C242" s="1173">
        <f t="shared" si="63"/>
        <v>-161007524651.63318</v>
      </c>
      <c r="D242" s="1156">
        <f t="shared" si="64"/>
        <v>-11832519.071247591</v>
      </c>
      <c r="E242" s="1156">
        <f t="shared" si="65"/>
        <v>-150374882.5177612</v>
      </c>
      <c r="F242" s="1174">
        <f t="shared" si="67"/>
        <v>-1450586612.0203741</v>
      </c>
      <c r="G242" s="1156">
        <f t="shared" si="66"/>
        <v>-1359442.1142114073</v>
      </c>
      <c r="H242" s="827">
        <f>(0.0584*1.02)*0.8043</f>
        <v>4.7910542400000006E-2</v>
      </c>
      <c r="I242" s="1157">
        <f>'Emission-Waste Transport Vehicl'!N44</f>
        <v>26.222220862992003</v>
      </c>
      <c r="J242" s="1157">
        <f>'Emission-Waste Transport Vehicl'!P44</f>
        <v>14.589606799152003</v>
      </c>
      <c r="K242" s="1157">
        <f>'Emission-Waste Transport Vehicl'!Q44</f>
        <v>11.330698889664001</v>
      </c>
      <c r="L242" s="1157">
        <f>'Emission-Waste Transport Vehicl'!R44</f>
        <v>1.1277419741280001</v>
      </c>
      <c r="M242" s="1158">
        <f t="shared" si="58"/>
        <v>-7713957836.5411177</v>
      </c>
      <c r="N242" s="1159">
        <f t="shared" si="59"/>
        <v>-310274928.45181936</v>
      </c>
      <c r="O242" s="1159">
        <f t="shared" si="60"/>
        <v>-2193910408.4028125</v>
      </c>
      <c r="P242" s="1159">
        <f t="shared" si="61"/>
        <v>-16436160114.180717</v>
      </c>
      <c r="Q242" s="1159">
        <f t="shared" si="62"/>
        <v>-1533099.9335935146</v>
      </c>
      <c r="R242" s="2773"/>
    </row>
    <row r="243" spans="1:18" x14ac:dyDescent="0.25">
      <c r="A243" s="2862"/>
      <c r="B243" s="706">
        <v>2031</v>
      </c>
      <c r="C243" s="1173">
        <f t="shared" si="63"/>
        <v>-161007524651.63318</v>
      </c>
      <c r="D243" s="1156">
        <f t="shared" si="64"/>
        <v>-11832519.071247591</v>
      </c>
      <c r="E243" s="1156">
        <f t="shared" si="65"/>
        <v>-150374882.5177612</v>
      </c>
      <c r="F243" s="1174">
        <f t="shared" si="67"/>
        <v>-1450586612.0203741</v>
      </c>
      <c r="G243" s="1156">
        <f t="shared" si="66"/>
        <v>-1359442.1142114073</v>
      </c>
      <c r="H243" s="827">
        <f>(0.0584*1.02)*0.7885</f>
        <v>4.6969368000000004E-2</v>
      </c>
      <c r="I243" s="1157">
        <f>'Emission-Waste Transport Vehicl'!N45</f>
        <v>25.70710077144</v>
      </c>
      <c r="J243" s="1157">
        <f>'Emission-Waste Transport Vehicl'!P45</f>
        <v>14.303002562640001</v>
      </c>
      <c r="K243" s="1157">
        <f>'Emission-Waste Transport Vehicl'!Q45</f>
        <v>11.108113980480001</v>
      </c>
      <c r="L243" s="1157">
        <f>'Emission-Waste Transport Vehicl'!R45</f>
        <v>1.1055881469600002</v>
      </c>
      <c r="M243" s="1158">
        <f t="shared" si="58"/>
        <v>-7562421676.1316309</v>
      </c>
      <c r="N243" s="1159">
        <f t="shared" si="59"/>
        <v>-304179760.14454746</v>
      </c>
      <c r="O243" s="1159">
        <f t="shared" si="60"/>
        <v>-2150812330.0082278</v>
      </c>
      <c r="P243" s="1159">
        <f t="shared" si="61"/>
        <v>-16113281424.880636</v>
      </c>
      <c r="Q243" s="1159">
        <f t="shared" si="62"/>
        <v>-1502983.0879503747</v>
      </c>
      <c r="R243" s="2773"/>
    </row>
    <row r="244" spans="1:18" x14ac:dyDescent="0.25">
      <c r="A244" s="2862"/>
      <c r="B244" s="706">
        <v>2032</v>
      </c>
      <c r="C244" s="1173">
        <f t="shared" si="63"/>
        <v>-161007524651.63318</v>
      </c>
      <c r="D244" s="1156">
        <f t="shared" si="64"/>
        <v>-11832519.071247591</v>
      </c>
      <c r="E244" s="1156">
        <f t="shared" si="65"/>
        <v>-150374882.5177612</v>
      </c>
      <c r="F244" s="1174">
        <f t="shared" si="67"/>
        <v>-1450586612.0203741</v>
      </c>
      <c r="G244" s="1156">
        <f t="shared" si="66"/>
        <v>-1359442.1142114073</v>
      </c>
      <c r="H244" s="827">
        <f>(0.0584*1.02)*0.773</f>
        <v>4.6046064000000005E-2</v>
      </c>
      <c r="I244" s="1157">
        <f>'Emission-Waste Transport Vehicl'!N46</f>
        <v>25.201761441120002</v>
      </c>
      <c r="J244" s="1157">
        <f>'Emission-Waste Transport Vehicl'!P46</f>
        <v>14.021840178720002</v>
      </c>
      <c r="K244" s="1157">
        <f>'Emission-Waste Transport Vehicl'!Q46</f>
        <v>10.889755367040001</v>
      </c>
      <c r="L244" s="1157">
        <f>'Emission-Waste Transport Vehicl'!R46</f>
        <v>1.0838549620800002</v>
      </c>
      <c r="M244" s="1158">
        <f t="shared" si="58"/>
        <v>-7413762784.5906801</v>
      </c>
      <c r="N244" s="1159">
        <f t="shared" si="59"/>
        <v>-298200322.88108456</v>
      </c>
      <c r="O244" s="1159">
        <f t="shared" si="60"/>
        <v>-2108532569.5578439</v>
      </c>
      <c r="P244" s="1159">
        <f t="shared" si="61"/>
        <v>-15796533343.60524</v>
      </c>
      <c r="Q244" s="1159">
        <f t="shared" si="62"/>
        <v>-1473438.0811485602</v>
      </c>
      <c r="R244" s="2773"/>
    </row>
    <row r="245" spans="1:18" x14ac:dyDescent="0.25">
      <c r="A245" s="2862"/>
      <c r="B245" s="706">
        <v>2033</v>
      </c>
      <c r="C245" s="1173">
        <f t="shared" si="63"/>
        <v>-161007524651.63318</v>
      </c>
      <c r="D245" s="1156">
        <f t="shared" si="64"/>
        <v>-11832519.071247591</v>
      </c>
      <c r="E245" s="1156">
        <f t="shared" si="65"/>
        <v>-150374882.5177612</v>
      </c>
      <c r="F245" s="1174">
        <f t="shared" si="67"/>
        <v>-1450586612.0203741</v>
      </c>
      <c r="G245" s="1156">
        <f t="shared" si="66"/>
        <v>-1359442.1142114073</v>
      </c>
      <c r="H245" s="827">
        <f>(0.0584*1.02)*0.7579</f>
        <v>4.5146587200000005E-2</v>
      </c>
      <c r="I245" s="1157">
        <f>'Emission-Waste Transport Vehicl'!N47</f>
        <v>24.709463125776001</v>
      </c>
      <c r="J245" s="1157">
        <f>'Emission-Waste Transport Vehicl'!P47</f>
        <v>13.747933598256003</v>
      </c>
      <c r="K245" s="1157">
        <f>'Emission-Waste Transport Vehicl'!Q47</f>
        <v>10.677031814592</v>
      </c>
      <c r="L245" s="1157">
        <f>'Emission-Waste Transport Vehicl'!R47</f>
        <v>1.0626826335840001</v>
      </c>
      <c r="M245" s="1158">
        <f t="shared" si="58"/>
        <v>-7268940251.5411081</v>
      </c>
      <c r="N245" s="1159">
        <f t="shared" si="59"/>
        <v>-292375193.67603362</v>
      </c>
      <c r="O245" s="1159">
        <f t="shared" si="60"/>
        <v>-2067343899.6997285</v>
      </c>
      <c r="P245" s="1159">
        <f t="shared" si="61"/>
        <v>-15487959406.362757</v>
      </c>
      <c r="Q245" s="1159">
        <f t="shared" si="62"/>
        <v>-1444655.5261351792</v>
      </c>
      <c r="R245" s="2773"/>
    </row>
    <row r="246" spans="1:18" x14ac:dyDescent="0.25">
      <c r="A246" s="2862"/>
      <c r="B246" s="706">
        <v>2034</v>
      </c>
      <c r="C246" s="1173">
        <f t="shared" si="63"/>
        <v>-161007524651.63318</v>
      </c>
      <c r="D246" s="1156">
        <f t="shared" si="64"/>
        <v>-11832519.071247591</v>
      </c>
      <c r="E246" s="1156">
        <f t="shared" si="65"/>
        <v>-150374882.5177612</v>
      </c>
      <c r="F246" s="1174">
        <f t="shared" si="67"/>
        <v>-1450586612.0203741</v>
      </c>
      <c r="G246" s="1156">
        <f t="shared" si="66"/>
        <v>-1359442.1142114073</v>
      </c>
      <c r="H246" s="827">
        <f>(0.0584*1.02)*0.743</f>
        <v>4.4259024000000001E-2</v>
      </c>
      <c r="I246" s="1157">
        <f>'Emission-Waste Transport Vehicl'!N48</f>
        <v>24.223685317920005</v>
      </c>
      <c r="J246" s="1157">
        <f>'Emission-Waste Transport Vehicl'!P48</f>
        <v>13.477654919520001</v>
      </c>
      <c r="K246" s="1157">
        <f>'Emission-Waste Transport Vehicl'!Q48</f>
        <v>10.467125792640001</v>
      </c>
      <c r="L246" s="1157">
        <f>'Emission-Waste Transport Vehicl'!R48</f>
        <v>1.04179073328</v>
      </c>
      <c r="M246" s="1158">
        <f t="shared" si="58"/>
        <v>-7126035897.7372246</v>
      </c>
      <c r="N246" s="1159">
        <f t="shared" si="59"/>
        <v>-286627218.50018871</v>
      </c>
      <c r="O246" s="1159">
        <f t="shared" si="60"/>
        <v>-2026700775.1377463</v>
      </c>
      <c r="P246" s="1159">
        <f t="shared" si="61"/>
        <v>-15183472541.136732</v>
      </c>
      <c r="Q246" s="1159">
        <f t="shared" si="62"/>
        <v>-1416254.1970160156</v>
      </c>
      <c r="R246" s="2773"/>
    </row>
    <row r="247" spans="1:18" x14ac:dyDescent="0.25">
      <c r="A247" s="2862"/>
      <c r="B247" s="706">
        <v>2035</v>
      </c>
      <c r="C247" s="1173">
        <f t="shared" si="63"/>
        <v>-161007524651.63318</v>
      </c>
      <c r="D247" s="1156">
        <f t="shared" si="64"/>
        <v>-11832519.071247591</v>
      </c>
      <c r="E247" s="1156">
        <f t="shared" si="65"/>
        <v>-150374882.5177612</v>
      </c>
      <c r="F247" s="1174">
        <f t="shared" si="67"/>
        <v>-1450586612.0203741</v>
      </c>
      <c r="G247" s="1156">
        <f t="shared" si="66"/>
        <v>-1359442.1142114073</v>
      </c>
      <c r="H247" s="827">
        <f>(0.0584*1.02)*0.7284</f>
        <v>4.3389331200000006E-2</v>
      </c>
      <c r="I247" s="1157">
        <f>'Emission-Waste Transport Vehicl'!N49</f>
        <v>23.747688271296006</v>
      </c>
      <c r="J247" s="1157">
        <f>'Emission-Waste Transport Vehicl'!P49</f>
        <v>13.212818093376002</v>
      </c>
      <c r="K247" s="1157">
        <f>'Emission-Waste Transport Vehicl'!Q49</f>
        <v>10.261446066432002</v>
      </c>
      <c r="L247" s="1157">
        <f>'Emission-Waste Transport Vehicl'!R49</f>
        <v>1.0213194752640002</v>
      </c>
      <c r="M247" s="1158">
        <f t="shared" si="58"/>
        <v>-6986008812.801878</v>
      </c>
      <c r="N247" s="1159">
        <f t="shared" si="59"/>
        <v>-280994974.36815274</v>
      </c>
      <c r="O247" s="1159">
        <f t="shared" si="60"/>
        <v>-1986875968.5199659</v>
      </c>
      <c r="P247" s="1159">
        <f t="shared" si="61"/>
        <v>-14885116283.935392</v>
      </c>
      <c r="Q247" s="1159">
        <f t="shared" si="62"/>
        <v>-1388424.7067381775</v>
      </c>
      <c r="R247" s="2773"/>
    </row>
    <row r="248" spans="1:18" x14ac:dyDescent="0.25">
      <c r="A248" s="2862"/>
      <c r="B248" s="706">
        <v>2036</v>
      </c>
      <c r="C248" s="1173">
        <f t="shared" si="63"/>
        <v>-161007524651.63318</v>
      </c>
      <c r="D248" s="1156">
        <f t="shared" si="64"/>
        <v>-11832519.071247591</v>
      </c>
      <c r="E248" s="1156">
        <f t="shared" si="65"/>
        <v>-150374882.5177612</v>
      </c>
      <c r="F248" s="1174">
        <f t="shared" si="67"/>
        <v>-1450586612.0203741</v>
      </c>
      <c r="G248" s="1156">
        <f t="shared" si="66"/>
        <v>-1359442.1142114073</v>
      </c>
      <c r="H248" s="827">
        <f>(0.0584*1.02)*0.7142</f>
        <v>4.2543465599999997E-2</v>
      </c>
      <c r="I248" s="1157">
        <f>'Emission-Waste Transport Vehicl'!N50</f>
        <v>23.284732239648001</v>
      </c>
      <c r="J248" s="1157">
        <f>'Emission-Waste Transport Vehicl'!P50</f>
        <v>12.955237070688</v>
      </c>
      <c r="K248" s="1157">
        <f>'Emission-Waste Transport Vehicl'!Q50</f>
        <v>10.061401401215999</v>
      </c>
      <c r="L248" s="1157">
        <f>'Emission-Waste Transport Vehicl'!R50</f>
        <v>1.001409073632</v>
      </c>
      <c r="M248" s="1158">
        <f t="shared" si="58"/>
        <v>-6849818086.3579073</v>
      </c>
      <c r="N248" s="1159">
        <f t="shared" si="59"/>
        <v>-275517038.2945286</v>
      </c>
      <c r="O248" s="1159">
        <f t="shared" si="60"/>
        <v>-1948142252.4944527</v>
      </c>
      <c r="P248" s="1159">
        <f t="shared" si="61"/>
        <v>-14594934170.76696</v>
      </c>
      <c r="Q248" s="1159">
        <f t="shared" si="62"/>
        <v>-1361357.6682487729</v>
      </c>
      <c r="R248" s="2773"/>
    </row>
    <row r="249" spans="1:18" x14ac:dyDescent="0.25">
      <c r="A249" s="2862"/>
      <c r="B249" s="706">
        <v>2037</v>
      </c>
      <c r="C249" s="1173">
        <f t="shared" si="63"/>
        <v>-161007524651.63318</v>
      </c>
      <c r="D249" s="1156">
        <f t="shared" si="64"/>
        <v>-11832519.071247591</v>
      </c>
      <c r="E249" s="1156">
        <f t="shared" si="65"/>
        <v>-150374882.5177612</v>
      </c>
      <c r="F249" s="1174">
        <f t="shared" si="67"/>
        <v>-1450586612.0203741</v>
      </c>
      <c r="G249" s="1156">
        <f t="shared" si="66"/>
        <v>-1359442.1142114073</v>
      </c>
      <c r="H249" s="827">
        <f>(0.0584*1.02)*0.7002</f>
        <v>4.1709513600000005E-2</v>
      </c>
      <c r="I249" s="1157">
        <f>'Emission-Waste Transport Vehicl'!N51</f>
        <v>22.828296715488005</v>
      </c>
      <c r="J249" s="1157">
        <f>'Emission-Waste Transport Vehicl'!P51</f>
        <v>12.701283949728003</v>
      </c>
      <c r="K249" s="1157">
        <f>'Emission-Waste Transport Vehicl'!Q51</f>
        <v>9.8641742664960006</v>
      </c>
      <c r="L249" s="1157">
        <f>'Emission-Waste Transport Vehicl'!R51</f>
        <v>0.9817791001920001</v>
      </c>
      <c r="M249" s="1158">
        <f t="shared" si="58"/>
        <v>-6715545539.1596298</v>
      </c>
      <c r="N249" s="1159">
        <f t="shared" si="59"/>
        <v>-270116256.25011057</v>
      </c>
      <c r="O249" s="1159">
        <f t="shared" si="60"/>
        <v>-1909954081.7650745</v>
      </c>
      <c r="P249" s="1159">
        <f t="shared" si="61"/>
        <v>-14308839129.614992</v>
      </c>
      <c r="Q249" s="1159">
        <f t="shared" si="62"/>
        <v>-1334671.8556535856</v>
      </c>
      <c r="R249" s="2773"/>
    </row>
    <row r="250" spans="1:18" x14ac:dyDescent="0.25">
      <c r="A250" s="2862"/>
      <c r="B250" s="706">
        <v>2038</v>
      </c>
      <c r="C250" s="1173">
        <f t="shared" si="63"/>
        <v>-161007524651.63318</v>
      </c>
      <c r="D250" s="1156">
        <f t="shared" si="64"/>
        <v>-11832519.071247591</v>
      </c>
      <c r="E250" s="1156">
        <f t="shared" si="65"/>
        <v>-150374882.5177612</v>
      </c>
      <c r="F250" s="1174">
        <f t="shared" si="67"/>
        <v>-1450586612.0203741</v>
      </c>
      <c r="G250" s="1156">
        <f t="shared" si="66"/>
        <v>-1359442.1142114073</v>
      </c>
      <c r="H250" s="827">
        <f>(0.0584*1.02)*0.6864</f>
        <v>4.0887475200000002E-2</v>
      </c>
      <c r="I250" s="1157">
        <f>'Emission-Waste Transport Vehicl'!N52</f>
        <v>22.378381698816003</v>
      </c>
      <c r="J250" s="1157">
        <f>'Emission-Waste Transport Vehicl'!P52</f>
        <v>12.450958730496001</v>
      </c>
      <c r="K250" s="1157">
        <f>'Emission-Waste Transport Vehicl'!Q52</f>
        <v>9.6697646622720015</v>
      </c>
      <c r="L250" s="1157">
        <f>'Emission-Waste Transport Vehicl'!R52</f>
        <v>0.96242955494400007</v>
      </c>
      <c r="M250" s="1158">
        <f t="shared" si="58"/>
        <v>-6583191171.2070408</v>
      </c>
      <c r="N250" s="1159">
        <f t="shared" si="59"/>
        <v>-264792628.23489842</v>
      </c>
      <c r="O250" s="1159">
        <f t="shared" si="60"/>
        <v>-1872311456.3318293</v>
      </c>
      <c r="P250" s="1159">
        <f t="shared" si="61"/>
        <v>-14026831160.479479</v>
      </c>
      <c r="Q250" s="1159">
        <f t="shared" si="62"/>
        <v>-1308367.2689526151</v>
      </c>
      <c r="R250" s="2773"/>
    </row>
    <row r="251" spans="1:18" x14ac:dyDescent="0.25">
      <c r="A251" s="2862"/>
      <c r="B251" s="706">
        <v>2039</v>
      </c>
      <c r="C251" s="1173">
        <f t="shared" si="63"/>
        <v>-161007524651.63318</v>
      </c>
      <c r="D251" s="1156">
        <f t="shared" si="64"/>
        <v>-11832519.071247591</v>
      </c>
      <c r="E251" s="1156">
        <f t="shared" si="65"/>
        <v>-150374882.5177612</v>
      </c>
      <c r="F251" s="1174">
        <f t="shared" si="67"/>
        <v>-1450586612.0203741</v>
      </c>
      <c r="G251" s="1156">
        <f t="shared" si="66"/>
        <v>-1359442.1142114073</v>
      </c>
      <c r="H251" s="827">
        <f>(0.0584*1.02)*0.673</f>
        <v>4.0089264000000006E-2</v>
      </c>
      <c r="I251" s="1157">
        <f>'Emission-Waste Transport Vehicl'!N53</f>
        <v>21.941507697120006</v>
      </c>
      <c r="J251" s="1157">
        <f>'Emission-Waste Transport Vehicl'!P53</f>
        <v>12.207889314720003</v>
      </c>
      <c r="K251" s="1157">
        <f>'Emission-Waste Transport Vehicl'!Q53</f>
        <v>9.4809901190400012</v>
      </c>
      <c r="L251" s="1157">
        <f>'Emission-Waste Transport Vehicl'!R53</f>
        <v>0.9436408660800002</v>
      </c>
      <c r="M251" s="1158">
        <f t="shared" si="58"/>
        <v>-6454673161.7458315</v>
      </c>
      <c r="N251" s="1159">
        <f t="shared" si="59"/>
        <v>-259623308.27809829</v>
      </c>
      <c r="O251" s="1159">
        <f t="shared" si="60"/>
        <v>-1835759921.4908526</v>
      </c>
      <c r="P251" s="1159">
        <f t="shared" si="61"/>
        <v>-13752997335.376879</v>
      </c>
      <c r="Q251" s="1159">
        <f t="shared" si="62"/>
        <v>-1282825.1340400788</v>
      </c>
      <c r="R251" s="2773"/>
    </row>
    <row r="252" spans="1:18" x14ac:dyDescent="0.25">
      <c r="A252" s="2862"/>
      <c r="B252" s="706">
        <v>2040</v>
      </c>
      <c r="C252" s="1173">
        <f t="shared" si="63"/>
        <v>-161007524651.63318</v>
      </c>
      <c r="D252" s="1156">
        <f t="shared" si="64"/>
        <v>-11832519.071247591</v>
      </c>
      <c r="E252" s="1156">
        <f t="shared" si="65"/>
        <v>-150374882.5177612</v>
      </c>
      <c r="F252" s="1174">
        <f t="shared" si="67"/>
        <v>-1450586612.0203741</v>
      </c>
      <c r="G252" s="1156">
        <f t="shared" si="66"/>
        <v>-1359442.1142114073</v>
      </c>
      <c r="H252" s="827">
        <f>(0.0584*1.02)*0.6598</f>
        <v>3.9302966400000007E-2</v>
      </c>
      <c r="I252" s="1157">
        <f>'Emission-Waste Transport Vehicl'!N54</f>
        <v>21.511154202912003</v>
      </c>
      <c r="J252" s="1157">
        <f>'Emission-Waste Transport Vehicl'!P54</f>
        <v>11.968447800672001</v>
      </c>
      <c r="K252" s="1157">
        <f>'Emission-Waste Transport Vehicl'!Q54</f>
        <v>9.2950331063040004</v>
      </c>
      <c r="L252" s="1157">
        <f>'Emission-Waste Transport Vehicl'!R54</f>
        <v>0.92513260540800013</v>
      </c>
      <c r="M252" s="1158">
        <f t="shared" si="58"/>
        <v>-6328073331.5303116</v>
      </c>
      <c r="N252" s="1159">
        <f t="shared" si="59"/>
        <v>-254531142.35050404</v>
      </c>
      <c r="O252" s="1159">
        <f t="shared" si="60"/>
        <v>-1799753931.9460096</v>
      </c>
      <c r="P252" s="1159">
        <f t="shared" si="61"/>
        <v>-13483250582.290733</v>
      </c>
      <c r="Q252" s="1159">
        <f t="shared" si="62"/>
        <v>-1257664.2250217593</v>
      </c>
      <c r="R252" s="2773"/>
    </row>
    <row r="253" spans="1:18" x14ac:dyDescent="0.25">
      <c r="A253" s="2862"/>
      <c r="B253" s="706">
        <v>2041</v>
      </c>
      <c r="C253" s="1173">
        <f t="shared" si="63"/>
        <v>-161007524651.63318</v>
      </c>
      <c r="D253" s="1156">
        <f t="shared" si="64"/>
        <v>-11832519.071247591</v>
      </c>
      <c r="E253" s="1156">
        <f t="shared" si="65"/>
        <v>-150374882.5177612</v>
      </c>
      <c r="F253" s="1174">
        <f t="shared" si="67"/>
        <v>-1450586612.0203741</v>
      </c>
      <c r="G253" s="1156">
        <f t="shared" si="66"/>
        <v>-1359442.1142114073</v>
      </c>
      <c r="H253" s="827">
        <f>(0.0584*1.02)*0.6468</f>
        <v>3.8528582400000004E-2</v>
      </c>
      <c r="I253" s="1157">
        <f>'Emission-Waste Transport Vehicl'!N55</f>
        <v>21.087321216192002</v>
      </c>
      <c r="J253" s="1157">
        <f>'Emission-Waste Transport Vehicl'!P55</f>
        <v>11.732634188352002</v>
      </c>
      <c r="K253" s="1157">
        <f>'Emission-Waste Transport Vehicl'!Q55</f>
        <v>9.1118936240640007</v>
      </c>
      <c r="L253" s="1157">
        <f>'Emission-Waste Transport Vehicl'!R55</f>
        <v>0.9069047729280002</v>
      </c>
      <c r="M253" s="1158">
        <f t="shared" si="58"/>
        <v>-6203391680.5604811</v>
      </c>
      <c r="N253" s="1159">
        <f t="shared" si="59"/>
        <v>-249516130.4521158</v>
      </c>
      <c r="O253" s="1159">
        <f t="shared" si="60"/>
        <v>-1764293487.6973007</v>
      </c>
      <c r="P253" s="1159">
        <f t="shared" si="61"/>
        <v>-13217590901.221046</v>
      </c>
      <c r="Q253" s="1159">
        <f t="shared" si="62"/>
        <v>-1232884.5418976569</v>
      </c>
      <c r="R253" s="2773"/>
    </row>
    <row r="254" spans="1:18" x14ac:dyDescent="0.25">
      <c r="A254" s="2862"/>
      <c r="B254" s="706">
        <v>2042</v>
      </c>
      <c r="C254" s="1173">
        <f t="shared" si="63"/>
        <v>-161007524651.63318</v>
      </c>
      <c r="D254" s="1156">
        <f t="shared" si="64"/>
        <v>-11832519.071247591</v>
      </c>
      <c r="E254" s="1156">
        <f t="shared" si="65"/>
        <v>-150374882.5177612</v>
      </c>
      <c r="F254" s="1174">
        <f t="shared" si="67"/>
        <v>-1450586612.0203741</v>
      </c>
      <c r="G254" s="1156">
        <f t="shared" si="66"/>
        <v>-1359442.1142114073</v>
      </c>
      <c r="H254" s="827">
        <f>(0.0584*1.02)*0.6342</f>
        <v>3.7778025600000001E-2</v>
      </c>
      <c r="I254" s="1157">
        <f>'Emission-Waste Transport Vehicl'!N56</f>
        <v>20.676529244448002</v>
      </c>
      <c r="J254" s="1157">
        <f>'Emission-Waste Transport Vehicl'!P56</f>
        <v>11.504076379488001</v>
      </c>
      <c r="K254" s="1157">
        <f>'Emission-Waste Transport Vehicl'!Q56</f>
        <v>8.9343892028159999</v>
      </c>
      <c r="L254" s="1157">
        <f>'Emission-Waste Transport Vehicl'!R56</f>
        <v>0.8892377968320001</v>
      </c>
      <c r="M254" s="1158">
        <f t="shared" si="58"/>
        <v>-6082546388.0820293</v>
      </c>
      <c r="N254" s="1159">
        <f t="shared" si="59"/>
        <v>-244655426.61213952</v>
      </c>
      <c r="O254" s="1159">
        <f t="shared" si="60"/>
        <v>-1729924134.0408599</v>
      </c>
      <c r="P254" s="1159">
        <f t="shared" si="61"/>
        <v>-12960105364.184273</v>
      </c>
      <c r="Q254" s="1159">
        <f t="shared" si="62"/>
        <v>-1208867.310561988</v>
      </c>
      <c r="R254" s="2773"/>
    </row>
    <row r="255" spans="1:18" x14ac:dyDescent="0.25">
      <c r="A255" s="2862"/>
      <c r="B255" s="706">
        <v>2043</v>
      </c>
      <c r="C255" s="1173">
        <f t="shared" si="63"/>
        <v>-161007524651.63318</v>
      </c>
      <c r="D255" s="1156">
        <f t="shared" si="64"/>
        <v>-11832519.071247591</v>
      </c>
      <c r="E255" s="1156">
        <f t="shared" si="65"/>
        <v>-150374882.5177612</v>
      </c>
      <c r="F255" s="1174">
        <f t="shared" si="67"/>
        <v>-1450586612.0203741</v>
      </c>
      <c r="G255" s="1156">
        <f t="shared" si="66"/>
        <v>-1359442.1142114073</v>
      </c>
      <c r="H255" s="827">
        <f>(0.0584*1.02)*0.6217</f>
        <v>3.7033425600000003E-2</v>
      </c>
      <c r="I255" s="1157">
        <f>'Emission-Waste Transport Vehicl'!N57</f>
        <v>20.268997526448004</v>
      </c>
      <c r="J255" s="1157">
        <f>'Emission-Waste Transport Vehicl'!P57</f>
        <v>11.277332521488001</v>
      </c>
      <c r="K255" s="1157">
        <f>'Emission-Waste Transport Vehicl'!Q57</f>
        <v>8.7582935468160006</v>
      </c>
      <c r="L255" s="1157">
        <f>'Emission-Waste Transport Vehicl'!R57</f>
        <v>0.87171103483200019</v>
      </c>
      <c r="M255" s="1158">
        <f t="shared" si="58"/>
        <v>-5962660185.2264233</v>
      </c>
      <c r="N255" s="1159">
        <f t="shared" si="59"/>
        <v>-239833299.78676626</v>
      </c>
      <c r="O255" s="1159">
        <f t="shared" si="60"/>
        <v>-1695827553.0324857</v>
      </c>
      <c r="P255" s="1159">
        <f t="shared" si="61"/>
        <v>-12704663363.155727</v>
      </c>
      <c r="Q255" s="1159">
        <f t="shared" si="62"/>
        <v>-1185040.6921734279</v>
      </c>
      <c r="R255" s="2773"/>
    </row>
    <row r="256" spans="1:18" x14ac:dyDescent="0.25">
      <c r="A256" s="2862"/>
      <c r="B256" s="706">
        <v>2044</v>
      </c>
      <c r="C256" s="1173">
        <f t="shared" si="63"/>
        <v>-161007524651.63318</v>
      </c>
      <c r="D256" s="1156">
        <f t="shared" si="64"/>
        <v>-11832519.071247591</v>
      </c>
      <c r="E256" s="1156">
        <f t="shared" si="65"/>
        <v>-150374882.5177612</v>
      </c>
      <c r="F256" s="1174">
        <f t="shared" si="67"/>
        <v>-1450586612.0203741</v>
      </c>
      <c r="G256" s="1156">
        <f t="shared" si="66"/>
        <v>-1359442.1142114073</v>
      </c>
      <c r="H256" s="827">
        <f>(0.0584*1.02)*0.6095</f>
        <v>3.6306696000000006E-2</v>
      </c>
      <c r="I256" s="1157">
        <f>'Emission-Waste Transport Vehicl'!N58</f>
        <v>19.871246569680004</v>
      </c>
      <c r="J256" s="1157">
        <f>'Emission-Waste Transport Vehicl'!P58</f>
        <v>11.056030516080002</v>
      </c>
      <c r="K256" s="1157">
        <f>'Emission-Waste Transport Vehicl'!Q58</f>
        <v>8.5864241865600004</v>
      </c>
      <c r="L256" s="1157">
        <f>'Emission-Waste Transport Vehicl'!R58</f>
        <v>0.85460491512000014</v>
      </c>
      <c r="M256" s="1158">
        <f t="shared" si="58"/>
        <v>-5845651251.2393532</v>
      </c>
      <c r="N256" s="1159">
        <f t="shared" si="59"/>
        <v>-235126904.00520191</v>
      </c>
      <c r="O256" s="1159">
        <f t="shared" si="60"/>
        <v>-1662549289.968313</v>
      </c>
      <c r="P256" s="1159">
        <f t="shared" si="61"/>
        <v>-12455351970.151867</v>
      </c>
      <c r="Q256" s="1159">
        <f t="shared" si="62"/>
        <v>-1161785.9126261931</v>
      </c>
      <c r="R256" s="2773"/>
    </row>
    <row r="257" spans="1:18" x14ac:dyDescent="0.25">
      <c r="A257" s="2862"/>
      <c r="B257" s="706">
        <v>2045</v>
      </c>
      <c r="C257" s="1173">
        <f t="shared" si="63"/>
        <v>-161007524651.63318</v>
      </c>
      <c r="D257" s="1156">
        <f t="shared" si="64"/>
        <v>-11832519.071247591</v>
      </c>
      <c r="E257" s="1156">
        <f t="shared" si="65"/>
        <v>-150374882.5177612</v>
      </c>
      <c r="F257" s="1174">
        <f t="shared" si="67"/>
        <v>-1450586612.0203741</v>
      </c>
      <c r="G257" s="1156">
        <f t="shared" si="66"/>
        <v>-1359442.1142114073</v>
      </c>
      <c r="H257" s="827">
        <f>(0.0584*1.02)*0.5976</f>
        <v>3.5597836800000004E-2</v>
      </c>
      <c r="I257" s="1157">
        <f>'Emission-Waste Transport Vehicl'!N59</f>
        <v>19.483276374144001</v>
      </c>
      <c r="J257" s="1157">
        <f>'Emission-Waste Transport Vehicl'!P59</f>
        <v>10.840170363264003</v>
      </c>
      <c r="K257" s="1157">
        <f>'Emission-Waste Transport Vehicl'!Q59</f>
        <v>8.4187811220480011</v>
      </c>
      <c r="L257" s="1157">
        <f>'Emission-Waste Transport Vehicl'!R59</f>
        <v>0.83791943769600008</v>
      </c>
      <c r="M257" s="1158">
        <f t="shared" si="58"/>
        <v>-5731519586.1208153</v>
      </c>
      <c r="N257" s="1159">
        <f t="shared" si="59"/>
        <v>-230536239.26744652</v>
      </c>
      <c r="O257" s="1159">
        <f t="shared" si="60"/>
        <v>-1630089344.8483412</v>
      </c>
      <c r="P257" s="1159">
        <f t="shared" si="61"/>
        <v>-12212171185.172693</v>
      </c>
      <c r="Q257" s="1159">
        <f t="shared" si="62"/>
        <v>-1139102.971920284</v>
      </c>
      <c r="R257" s="2773"/>
    </row>
    <row r="258" spans="1:18" x14ac:dyDescent="0.25">
      <c r="A258" s="2862"/>
      <c r="B258" s="706">
        <v>2046</v>
      </c>
      <c r="C258" s="1173">
        <f t="shared" si="63"/>
        <v>-161007524651.63318</v>
      </c>
      <c r="D258" s="1156">
        <f t="shared" si="64"/>
        <v>-11832519.071247591</v>
      </c>
      <c r="E258" s="1156">
        <f t="shared" si="65"/>
        <v>-150374882.5177612</v>
      </c>
      <c r="F258" s="1174">
        <f t="shared" si="67"/>
        <v>-1450586612.0203741</v>
      </c>
      <c r="G258" s="1156">
        <f t="shared" si="66"/>
        <v>-1359442.1142114073</v>
      </c>
      <c r="H258" s="827">
        <f>(0.0584*1.02)*0.5859</f>
        <v>3.4900891199999999E-2</v>
      </c>
      <c r="I258" s="1157">
        <f>'Emission-Waste Transport Vehicl'!N60</f>
        <v>19.101826686096</v>
      </c>
      <c r="J258" s="1157">
        <f>'Emission-Waste Transport Vehicl'!P60</f>
        <v>10.627938112176002</v>
      </c>
      <c r="K258" s="1157">
        <f>'Emission-Waste Transport Vehicl'!Q60</f>
        <v>8.2539555880319995</v>
      </c>
      <c r="L258" s="1157">
        <f>'Emission-Waste Transport Vehicl'!R60</f>
        <v>0.82151438846400004</v>
      </c>
      <c r="M258" s="1158">
        <f t="shared" si="58"/>
        <v>-5619306100.2479677</v>
      </c>
      <c r="N258" s="1159">
        <f t="shared" si="59"/>
        <v>-226022728.55889708</v>
      </c>
      <c r="O258" s="1159">
        <f t="shared" si="60"/>
        <v>-1598174945.024503</v>
      </c>
      <c r="P258" s="1159">
        <f t="shared" si="61"/>
        <v>-11973077472.209972</v>
      </c>
      <c r="Q258" s="1159">
        <f t="shared" si="62"/>
        <v>-1116801.2571085915</v>
      </c>
      <c r="R258" s="2773"/>
    </row>
    <row r="259" spans="1:18" x14ac:dyDescent="0.25">
      <c r="A259" s="2862"/>
      <c r="B259" s="706">
        <v>2047</v>
      </c>
      <c r="C259" s="1173">
        <f t="shared" si="63"/>
        <v>-161007524651.63318</v>
      </c>
      <c r="D259" s="1156">
        <f t="shared" si="64"/>
        <v>-11832519.071247591</v>
      </c>
      <c r="E259" s="1156">
        <f t="shared" si="65"/>
        <v>-150374882.5177612</v>
      </c>
      <c r="F259" s="1174">
        <f t="shared" si="67"/>
        <v>-1450586612.0203741</v>
      </c>
      <c r="G259" s="1156">
        <f t="shared" si="66"/>
        <v>-1359442.1142114073</v>
      </c>
      <c r="H259" s="827">
        <f>(0.0584*1.02)*0.5744</f>
        <v>3.4215859200000004E-2</v>
      </c>
      <c r="I259" s="1157">
        <f>'Emission-Waste Transport Vehicl'!N61</f>
        <v>18.726897505536005</v>
      </c>
      <c r="J259" s="1157">
        <f>'Emission-Waste Transport Vehicl'!P61</f>
        <v>10.419333762816001</v>
      </c>
      <c r="K259" s="1157">
        <f>'Emission-Waste Transport Vehicl'!Q61</f>
        <v>8.0919475845120008</v>
      </c>
      <c r="L259" s="1157">
        <f>'Emission-Waste Transport Vehicl'!R61</f>
        <v>0.80538976742400015</v>
      </c>
      <c r="M259" s="1158">
        <f t="shared" si="58"/>
        <v>-5509010793.6208105</v>
      </c>
      <c r="N259" s="1159">
        <f t="shared" si="59"/>
        <v>-221586371.87955371</v>
      </c>
      <c r="O259" s="1159">
        <f t="shared" si="60"/>
        <v>-1566806090.4967988</v>
      </c>
      <c r="P259" s="1159">
        <f t="shared" si="61"/>
        <v>-11738070831.263712</v>
      </c>
      <c r="Q259" s="1159">
        <f t="shared" si="62"/>
        <v>-1094880.7681911164</v>
      </c>
      <c r="R259" s="2773"/>
    </row>
    <row r="260" spans="1:18" x14ac:dyDescent="0.25">
      <c r="A260" s="2862"/>
      <c r="B260" s="706">
        <v>2048</v>
      </c>
      <c r="C260" s="1173">
        <f t="shared" si="63"/>
        <v>-161007524651.63318</v>
      </c>
      <c r="D260" s="1156">
        <f t="shared" si="64"/>
        <v>-11832519.071247591</v>
      </c>
      <c r="E260" s="1156">
        <f t="shared" si="65"/>
        <v>-150374882.5177612</v>
      </c>
      <c r="F260" s="1174">
        <f t="shared" si="67"/>
        <v>-1450586612.0203741</v>
      </c>
      <c r="G260" s="1156">
        <f t="shared" si="66"/>
        <v>-1359442.1142114073</v>
      </c>
      <c r="H260" s="827">
        <f>(0.0584*1.02)*0.5631</f>
        <v>3.3542740800000005E-2</v>
      </c>
      <c r="I260" s="1157">
        <f>'Emission-Waste Transport Vehicl'!N62</f>
        <v>18.358488832464005</v>
      </c>
      <c r="J260" s="1157">
        <f>'Emission-Waste Transport Vehicl'!P62</f>
        <v>10.214357315184001</v>
      </c>
      <c r="K260" s="1157">
        <f>'Emission-Waste Transport Vehicl'!Q62</f>
        <v>7.9327571114880007</v>
      </c>
      <c r="L260" s="1157">
        <f>'Emission-Waste Transport Vehicl'!R62</f>
        <v>0.78954557457600016</v>
      </c>
      <c r="M260" s="1158">
        <f t="shared" si="58"/>
        <v>-5400633666.2393427</v>
      </c>
      <c r="N260" s="1159">
        <f t="shared" si="59"/>
        <v>-217227169.22941625</v>
      </c>
      <c r="O260" s="1159">
        <f t="shared" si="60"/>
        <v>-1535982781.265229</v>
      </c>
      <c r="P260" s="1159">
        <f t="shared" si="61"/>
        <v>-11507151262.333908</v>
      </c>
      <c r="Q260" s="1159">
        <f t="shared" si="62"/>
        <v>-1073341.505167858</v>
      </c>
      <c r="R260" s="2773"/>
    </row>
    <row r="261" spans="1:18" x14ac:dyDescent="0.25">
      <c r="A261" s="2862"/>
      <c r="B261" s="706">
        <v>2049</v>
      </c>
      <c r="C261" s="1173">
        <f t="shared" si="63"/>
        <v>-161007524651.63318</v>
      </c>
      <c r="D261" s="1156">
        <f t="shared" si="64"/>
        <v>-11832519.071247591</v>
      </c>
      <c r="E261" s="1156">
        <f t="shared" si="65"/>
        <v>-150374882.5177612</v>
      </c>
      <c r="F261" s="1174">
        <f t="shared" si="67"/>
        <v>-1450586612.0203741</v>
      </c>
      <c r="G261" s="1156">
        <f t="shared" si="66"/>
        <v>-1359442.1142114073</v>
      </c>
      <c r="H261" s="827">
        <f>(0.0584*1.02)*0.5521</f>
        <v>3.2887492800000001E-2</v>
      </c>
      <c r="I261" s="1157">
        <f>'Emission-Waste Transport Vehicl'!N63</f>
        <v>17.999860920624005</v>
      </c>
      <c r="J261" s="1157">
        <f>'Emission-Waste Transport Vehicl'!P63</f>
        <v>10.014822720144002</v>
      </c>
      <c r="K261" s="1157">
        <f>'Emission-Waste Transport Vehicl'!Q63</f>
        <v>7.7777929342080014</v>
      </c>
      <c r="L261" s="1157">
        <f>'Emission-Waste Transport Vehicl'!R63</f>
        <v>0.77412202401600017</v>
      </c>
      <c r="M261" s="1158">
        <f t="shared" si="58"/>
        <v>-5295133807.726409</v>
      </c>
      <c r="N261" s="1159">
        <f t="shared" si="59"/>
        <v>-212983697.62308776</v>
      </c>
      <c r="O261" s="1159">
        <f t="shared" si="60"/>
        <v>-1505977789.97786</v>
      </c>
      <c r="P261" s="1159">
        <f t="shared" si="61"/>
        <v>-11282362301.428789</v>
      </c>
      <c r="Q261" s="1159">
        <f t="shared" si="62"/>
        <v>-1052374.0809859252</v>
      </c>
      <c r="R261" s="2773"/>
    </row>
    <row r="262" spans="1:18" x14ac:dyDescent="0.25">
      <c r="A262" s="2862"/>
      <c r="B262" s="706">
        <v>2050</v>
      </c>
      <c r="C262" s="1173">
        <f t="shared" si="63"/>
        <v>-161007524651.63318</v>
      </c>
      <c r="D262" s="1156">
        <f t="shared" si="64"/>
        <v>-11832519.071247591</v>
      </c>
      <c r="E262" s="1156">
        <f t="shared" si="65"/>
        <v>-150374882.5177612</v>
      </c>
      <c r="F262" s="1174">
        <f t="shared" si="67"/>
        <v>-1450586612.0203741</v>
      </c>
      <c r="G262" s="1156">
        <f t="shared" si="66"/>
        <v>-1359442.1142114073</v>
      </c>
      <c r="H262" s="827">
        <f>(0.0584*1.02)*0.5412</f>
        <v>3.2238201600000002E-2</v>
      </c>
      <c r="I262" s="1157">
        <f>'Emission-Waste Transport Vehicl'!N64</f>
        <v>17.644493262528005</v>
      </c>
      <c r="J262" s="1157">
        <f>'Emission-Waste Transport Vehicl'!P64</f>
        <v>9.8171020759680019</v>
      </c>
      <c r="K262" s="1157">
        <f>'Emission-Waste Transport Vehicl'!Q64</f>
        <v>7.624237522176001</v>
      </c>
      <c r="L262" s="1157">
        <f>'Emission-Waste Transport Vehicl'!R64</f>
        <v>0.75883868755200012</v>
      </c>
      <c r="M262" s="1158">
        <f t="shared" si="58"/>
        <v>-5190593038.8363209</v>
      </c>
      <c r="N262" s="1159">
        <f t="shared" si="59"/>
        <v>-208778803.03136224</v>
      </c>
      <c r="O262" s="1159">
        <f t="shared" si="60"/>
        <v>-1476245571.338558</v>
      </c>
      <c r="P262" s="1159">
        <f t="shared" si="61"/>
        <v>-11059616876.531897</v>
      </c>
      <c r="Q262" s="1159">
        <f t="shared" si="62"/>
        <v>-1031597.2697511006</v>
      </c>
      <c r="R262" s="2773"/>
    </row>
    <row r="263" spans="1:18" x14ac:dyDescent="0.25">
      <c r="A263" s="2862"/>
      <c r="B263" s="706">
        <v>2051</v>
      </c>
      <c r="C263" s="1173">
        <f t="shared" ref="C263:C281" si="68">$S$11</f>
        <v>-161007524651.63318</v>
      </c>
      <c r="D263" s="1156">
        <f t="shared" ref="D263:D281" si="69">$T$11</f>
        <v>-11832519.071247591</v>
      </c>
      <c r="E263" s="1156">
        <f t="shared" ref="E263:E281" si="70">$R$11</f>
        <v>-150374882.5177612</v>
      </c>
      <c r="F263" s="1174">
        <f t="shared" si="67"/>
        <v>-1450586612.0203741</v>
      </c>
      <c r="G263" s="1156">
        <f t="shared" ref="G263:G281" si="71">$U$11</f>
        <v>-1359442.1142114073</v>
      </c>
      <c r="H263" s="827">
        <f>(0.0584*1.02)*0.5306</f>
        <v>3.1606780799999998E-2</v>
      </c>
      <c r="I263" s="1157">
        <f>'Emission-Waste Transport Vehicl'!N65</f>
        <v>17.298906365664003</v>
      </c>
      <c r="J263" s="1157">
        <f>'Emission-Waste Transport Vehicl'!P65</f>
        <v>9.624823284384</v>
      </c>
      <c r="K263" s="1157">
        <f>'Emission-Waste Transport Vehicl'!Q65</f>
        <v>7.4749084058879998</v>
      </c>
      <c r="L263" s="1157">
        <f>'Emission-Waste Transport Vehicl'!R65</f>
        <v>0.74397599337600007</v>
      </c>
      <c r="M263" s="1158">
        <f t="shared" si="58"/>
        <v>-5088929538.8147659</v>
      </c>
      <c r="N263" s="1159">
        <f t="shared" si="59"/>
        <v>-204689639.48344567</v>
      </c>
      <c r="O263" s="1159">
        <f t="shared" si="60"/>
        <v>-1447331670.6434565</v>
      </c>
      <c r="P263" s="1159">
        <f t="shared" si="61"/>
        <v>-10843002059.659689</v>
      </c>
      <c r="Q263" s="1159">
        <f t="shared" si="62"/>
        <v>-1011392.2973576015</v>
      </c>
      <c r="R263" s="2773"/>
    </row>
    <row r="264" spans="1:18" x14ac:dyDescent="0.25">
      <c r="A264" s="2862"/>
      <c r="B264" s="706">
        <v>2052</v>
      </c>
      <c r="C264" s="1173">
        <f t="shared" si="68"/>
        <v>-161007524651.63318</v>
      </c>
      <c r="D264" s="1156">
        <f t="shared" si="69"/>
        <v>-11832519.071247591</v>
      </c>
      <c r="E264" s="1156">
        <f t="shared" si="70"/>
        <v>-150374882.5177612</v>
      </c>
      <c r="F264" s="1174">
        <f t="shared" ref="F264:F281" si="72">$V$11</f>
        <v>-1450586612.0203741</v>
      </c>
      <c r="G264" s="1156">
        <f t="shared" si="71"/>
        <v>-1359442.1142114073</v>
      </c>
      <c r="H264" s="827">
        <f>(0.0584*1.02)*0.5202</f>
        <v>3.09872736E-2</v>
      </c>
      <c r="I264" s="1157">
        <f>'Emission-Waste Transport Vehicl'!N66</f>
        <v>16.959839976288002</v>
      </c>
      <c r="J264" s="1157">
        <f>'Emission-Waste Transport Vehicl'!P66</f>
        <v>9.4361723945280005</v>
      </c>
      <c r="K264" s="1157">
        <f>'Emission-Waste Transport Vehicl'!Q66</f>
        <v>7.3283968200960006</v>
      </c>
      <c r="L264" s="1157">
        <f>'Emission-Waste Transport Vehicl'!R66</f>
        <v>0.72939372739200004</v>
      </c>
      <c r="M264" s="1158">
        <f t="shared" si="58"/>
        <v>-4989184218.0389023</v>
      </c>
      <c r="N264" s="1159">
        <f t="shared" si="59"/>
        <v>-200677629.96473506</v>
      </c>
      <c r="O264" s="1159">
        <f t="shared" si="60"/>
        <v>-1418963315.2444894</v>
      </c>
      <c r="P264" s="1159">
        <f t="shared" si="61"/>
        <v>-10630474314.80394</v>
      </c>
      <c r="Q264" s="1159">
        <f t="shared" si="62"/>
        <v>-991568.55085831939</v>
      </c>
      <c r="R264" s="2773"/>
    </row>
    <row r="265" spans="1:18" x14ac:dyDescent="0.25">
      <c r="A265" s="2862"/>
      <c r="B265" s="706">
        <v>2053</v>
      </c>
      <c r="C265" s="1173">
        <f t="shared" si="68"/>
        <v>-161007524651.63318</v>
      </c>
      <c r="D265" s="1156">
        <f t="shared" si="69"/>
        <v>-11832519.071247591</v>
      </c>
      <c r="E265" s="1156">
        <f t="shared" si="70"/>
        <v>-150374882.5177612</v>
      </c>
      <c r="F265" s="1174">
        <f t="shared" si="72"/>
        <v>-1450586612.0203741</v>
      </c>
      <c r="G265" s="1156">
        <f t="shared" si="71"/>
        <v>-1359442.1142114073</v>
      </c>
      <c r="H265" s="827">
        <f>(0.0584*1.02)*0.51</f>
        <v>3.0379680000000003E-2</v>
      </c>
      <c r="I265" s="1157">
        <f>'Emission-Waste Transport Vehicl'!N67</f>
        <v>15.361506000000002</v>
      </c>
      <c r="J265" s="1157">
        <f>'Emission-Waste Transport Vehicl'!P67</f>
        <v>9.2511494064000015</v>
      </c>
      <c r="K265" s="1157">
        <f>'Emission-Waste Transport Vehicl'!Q67</f>
        <v>7.1847027647999999</v>
      </c>
      <c r="L265" s="1157">
        <f>'Emission-Waste Transport Vehicl'!R67</f>
        <v>0.71509188960000014</v>
      </c>
      <c r="M265" s="1158">
        <f t="shared" si="58"/>
        <v>-4891357076.508728</v>
      </c>
      <c r="N265" s="1159">
        <f t="shared" si="59"/>
        <v>-181765312.70808432</v>
      </c>
      <c r="O265" s="1159">
        <f t="shared" si="60"/>
        <v>-1391140505.1416564</v>
      </c>
      <c r="P265" s="1159">
        <f t="shared" si="61"/>
        <v>-10422033641.964645</v>
      </c>
      <c r="Q265" s="1159">
        <f t="shared" si="62"/>
        <v>-972126.03025325446</v>
      </c>
      <c r="R265" s="2773"/>
    </row>
    <row r="266" spans="1:18" x14ac:dyDescent="0.25">
      <c r="A266" s="2862"/>
      <c r="B266" s="706">
        <v>2054</v>
      </c>
      <c r="C266" s="1173">
        <f t="shared" si="68"/>
        <v>-161007524651.63318</v>
      </c>
      <c r="D266" s="1156">
        <f t="shared" si="69"/>
        <v>-11832519.071247591</v>
      </c>
      <c r="E266" s="1156">
        <f t="shared" si="70"/>
        <v>-150374882.5177612</v>
      </c>
      <c r="F266" s="1174">
        <f t="shared" si="72"/>
        <v>-1450586612.0203741</v>
      </c>
      <c r="G266" s="1156">
        <f t="shared" si="71"/>
        <v>-1359442.1142114073</v>
      </c>
      <c r="H266" s="827">
        <f>(0.0584*1.02)*0.5</f>
        <v>2.9784000000000001E-2</v>
      </c>
      <c r="I266" s="1157">
        <f>'Emission-Waste Transport Vehicl'!N68</f>
        <v>16.301268720000003</v>
      </c>
      <c r="J266" s="1157">
        <f>'Emission-Waste Transport Vehicl'!P68</f>
        <v>9.0697543200000013</v>
      </c>
      <c r="K266" s="1157">
        <f>'Emission-Waste Transport Vehicl'!Q68</f>
        <v>7.0438262400000005</v>
      </c>
      <c r="L266" s="1157">
        <f>'Emission-Waste Transport Vehicl'!R68</f>
        <v>0.70107048000000005</v>
      </c>
      <c r="M266" s="1158">
        <f t="shared" si="58"/>
        <v>-4795448114.2242432</v>
      </c>
      <c r="N266" s="1159">
        <f t="shared" si="59"/>
        <v>-192885073.01493183</v>
      </c>
      <c r="O266" s="1159">
        <f t="shared" si="60"/>
        <v>-1363863240.3349574</v>
      </c>
      <c r="P266" s="1159">
        <f t="shared" si="61"/>
        <v>-10217680041.141811</v>
      </c>
      <c r="Q266" s="1159">
        <f t="shared" si="62"/>
        <v>-953064.73554240621</v>
      </c>
      <c r="R266" s="2773"/>
    </row>
    <row r="267" spans="1:18" x14ac:dyDescent="0.25">
      <c r="A267" s="2862"/>
      <c r="B267" s="706">
        <v>2055</v>
      </c>
      <c r="C267" s="1173">
        <f t="shared" si="68"/>
        <v>-161007524651.63318</v>
      </c>
      <c r="D267" s="1156">
        <f t="shared" si="69"/>
        <v>-11832519.071247591</v>
      </c>
      <c r="E267" s="1156">
        <f t="shared" si="70"/>
        <v>-150374882.5177612</v>
      </c>
      <c r="F267" s="1174">
        <f t="shared" si="72"/>
        <v>-1450586612.0203741</v>
      </c>
      <c r="G267" s="1156">
        <f t="shared" si="71"/>
        <v>-1359442.1142114073</v>
      </c>
      <c r="H267" s="827">
        <f>(0.0584*1.02)*0.4902</f>
        <v>2.9200233600000004E-2</v>
      </c>
      <c r="I267" s="1157">
        <f>'Emission-Waste Transport Vehicl'!N69</f>
        <v>15.981763853088003</v>
      </c>
      <c r="J267" s="1157">
        <f>'Emission-Waste Transport Vehicl'!P69</f>
        <v>8.8919871353280016</v>
      </c>
      <c r="K267" s="1157">
        <f>'Emission-Waste Transport Vehicl'!Q69</f>
        <v>6.9057672456960004</v>
      </c>
      <c r="L267" s="1157">
        <f>'Emission-Waste Transport Vehicl'!R69</f>
        <v>0.6873294985920001</v>
      </c>
      <c r="M267" s="1158">
        <f t="shared" si="58"/>
        <v>-4701457331.1854477</v>
      </c>
      <c r="N267" s="1159">
        <f t="shared" si="59"/>
        <v>-189104525.58383918</v>
      </c>
      <c r="O267" s="1159">
        <f t="shared" si="60"/>
        <v>-1337131520.8243923</v>
      </c>
      <c r="P267" s="1159">
        <f t="shared" si="61"/>
        <v>-10017413512.335432</v>
      </c>
      <c r="Q267" s="1159">
        <f t="shared" si="62"/>
        <v>-934384.66672577511</v>
      </c>
      <c r="R267" s="2773"/>
    </row>
    <row r="268" spans="1:18" x14ac:dyDescent="0.25">
      <c r="A268" s="2862"/>
      <c r="B268" s="706">
        <v>2056</v>
      </c>
      <c r="C268" s="1173">
        <f t="shared" si="68"/>
        <v>-161007524651.63318</v>
      </c>
      <c r="D268" s="1156">
        <f t="shared" si="69"/>
        <v>-11832519.071247591</v>
      </c>
      <c r="E268" s="1156">
        <f t="shared" si="70"/>
        <v>-150374882.5177612</v>
      </c>
      <c r="F268" s="1174">
        <f t="shared" si="72"/>
        <v>-1450586612.0203741</v>
      </c>
      <c r="G268" s="1156">
        <f t="shared" si="71"/>
        <v>-1359442.1142114073</v>
      </c>
      <c r="H268" s="827">
        <f>(0.0584*1.02)*0.4806</f>
        <v>2.8628380800000002E-2</v>
      </c>
      <c r="I268" s="1157">
        <f>'Emission-Waste Transport Vehicl'!N70</f>
        <v>15.668779493664003</v>
      </c>
      <c r="J268" s="1157">
        <f>'Emission-Waste Transport Vehicl'!P70</f>
        <v>8.7178478523840006</v>
      </c>
      <c r="K268" s="1157">
        <f>'Emission-Waste Transport Vehicl'!Q70</f>
        <v>6.7705257818880007</v>
      </c>
      <c r="L268" s="1157">
        <f>'Emission-Waste Transport Vehicl'!R70</f>
        <v>0.67386894537600017</v>
      </c>
      <c r="M268" s="1158">
        <f t="shared" si="58"/>
        <v>-4609384727.3923426</v>
      </c>
      <c r="N268" s="1159">
        <f t="shared" si="59"/>
        <v>-185401132.18195248</v>
      </c>
      <c r="O268" s="1159">
        <f t="shared" si="60"/>
        <v>-1310945346.6099608</v>
      </c>
      <c r="P268" s="1159">
        <f t="shared" si="61"/>
        <v>-9821234055.5455093</v>
      </c>
      <c r="Q268" s="1159">
        <f t="shared" si="62"/>
        <v>-916085.82380336104</v>
      </c>
      <c r="R268" s="2773"/>
    </row>
    <row r="269" spans="1:18" x14ac:dyDescent="0.25">
      <c r="A269" s="2862"/>
      <c r="B269" s="706">
        <v>2057</v>
      </c>
      <c r="C269" s="1173">
        <f t="shared" si="68"/>
        <v>-161007524651.63318</v>
      </c>
      <c r="D269" s="1156">
        <f t="shared" si="69"/>
        <v>-11832519.071247591</v>
      </c>
      <c r="E269" s="1156">
        <f t="shared" si="70"/>
        <v>-150374882.5177612</v>
      </c>
      <c r="F269" s="1174">
        <f t="shared" si="72"/>
        <v>-1450586612.0203741</v>
      </c>
      <c r="G269" s="1156">
        <f t="shared" si="71"/>
        <v>-1359442.1142114073</v>
      </c>
      <c r="H269" s="827">
        <f>(0.0584*1.02)*0.4712</f>
        <v>2.8068441600000001E-2</v>
      </c>
      <c r="I269" s="1157">
        <f>'Emission-Waste Transport Vehicl'!N71</f>
        <v>15.362315641728001</v>
      </c>
      <c r="J269" s="1157">
        <f>'Emission-Waste Transport Vehicl'!P71</f>
        <v>8.547336471168002</v>
      </c>
      <c r="K269" s="1157">
        <f>'Emission-Waste Transport Vehicl'!Q71</f>
        <v>6.6381018485760004</v>
      </c>
      <c r="L269" s="1157">
        <f>'Emission-Waste Transport Vehicl'!R71</f>
        <v>0.66068882035200005</v>
      </c>
      <c r="M269" s="1158">
        <f t="shared" si="58"/>
        <v>-4519230302.8449259</v>
      </c>
      <c r="N269" s="1159">
        <f t="shared" si="59"/>
        <v>-181774892.80927175</v>
      </c>
      <c r="O269" s="1159">
        <f t="shared" si="60"/>
        <v>-1285304717.691664</v>
      </c>
      <c r="P269" s="1159">
        <f t="shared" si="61"/>
        <v>-9629141670.7720432</v>
      </c>
      <c r="Q269" s="1159">
        <f t="shared" si="62"/>
        <v>-898168.20677516353</v>
      </c>
      <c r="R269" s="2773"/>
    </row>
    <row r="270" spans="1:18" x14ac:dyDescent="0.25">
      <c r="A270" s="2862"/>
      <c r="B270" s="706">
        <v>2058</v>
      </c>
      <c r="C270" s="1173">
        <f t="shared" si="68"/>
        <v>-161007524651.63318</v>
      </c>
      <c r="D270" s="1156">
        <f t="shared" si="69"/>
        <v>-11832519.071247591</v>
      </c>
      <c r="E270" s="1156">
        <f t="shared" si="70"/>
        <v>-150374882.5177612</v>
      </c>
      <c r="F270" s="1174">
        <f t="shared" si="72"/>
        <v>-1450586612.0203741</v>
      </c>
      <c r="G270" s="1156">
        <f t="shared" si="71"/>
        <v>-1359442.1142114073</v>
      </c>
      <c r="H270" s="827">
        <f>(0.0584*1.02)*0.4619</f>
        <v>2.7514459200000001E-2</v>
      </c>
      <c r="I270" s="1157">
        <f>'Emission-Waste Transport Vehicl'!N72</f>
        <v>15.059112043536</v>
      </c>
      <c r="J270" s="1157">
        <f>'Emission-Waste Transport Vehicl'!P72</f>
        <v>8.378639040816001</v>
      </c>
      <c r="K270" s="1157">
        <f>'Emission-Waste Transport Vehicl'!Q72</f>
        <v>6.5070866805119998</v>
      </c>
      <c r="L270" s="1157">
        <f>'Emission-Waste Transport Vehicl'!R72</f>
        <v>0.647648909424</v>
      </c>
      <c r="M270" s="1158">
        <f t="shared" si="58"/>
        <v>-4430034967.9203558</v>
      </c>
      <c r="N270" s="1159">
        <f t="shared" si="59"/>
        <v>-178187230.45119402</v>
      </c>
      <c r="O270" s="1159">
        <f t="shared" si="60"/>
        <v>-1259936861.4214334</v>
      </c>
      <c r="P270" s="1159">
        <f t="shared" si="61"/>
        <v>-9439092822.0068035</v>
      </c>
      <c r="Q270" s="1159">
        <f t="shared" si="62"/>
        <v>-880441.20269407472</v>
      </c>
      <c r="R270" s="2773"/>
    </row>
    <row r="271" spans="1:18" x14ac:dyDescent="0.25">
      <c r="A271" s="2862"/>
      <c r="B271" s="706">
        <v>2059</v>
      </c>
      <c r="C271" s="1173">
        <f t="shared" si="68"/>
        <v>-161007524651.63318</v>
      </c>
      <c r="D271" s="1156">
        <f t="shared" si="69"/>
        <v>-11832519.071247591</v>
      </c>
      <c r="E271" s="1156">
        <f t="shared" si="70"/>
        <v>-150374882.5177612</v>
      </c>
      <c r="F271" s="1174">
        <f t="shared" si="72"/>
        <v>-1450586612.0203741</v>
      </c>
      <c r="G271" s="1156">
        <f t="shared" si="71"/>
        <v>-1359442.1142114073</v>
      </c>
      <c r="H271" s="827">
        <f>(0.0584*1.02)*0.4529</f>
        <v>2.6978347200000002E-2</v>
      </c>
      <c r="I271" s="1157">
        <f>'Emission-Waste Transport Vehicl'!N73</f>
        <v>14.765689206576004</v>
      </c>
      <c r="J271" s="1157">
        <f>'Emission-Waste Transport Vehicl'!P73</f>
        <v>8.2153834630560016</v>
      </c>
      <c r="K271" s="1157">
        <f>'Emission-Waste Transport Vehicl'!Q73</f>
        <v>6.380297808192001</v>
      </c>
      <c r="L271" s="1157">
        <f>'Emission-Waste Transport Vehicl'!R73</f>
        <v>0.63502964078400004</v>
      </c>
      <c r="M271" s="1158">
        <f t="shared" ref="M271:M332" si="73">C271*H271</f>
        <v>-4343716901.8643198</v>
      </c>
      <c r="N271" s="1159">
        <f t="shared" si="59"/>
        <v>-174715299.13692528</v>
      </c>
      <c r="O271" s="1159">
        <f t="shared" si="60"/>
        <v>-1235387323.0954044</v>
      </c>
      <c r="P271" s="1159">
        <f t="shared" si="61"/>
        <v>-9255174581.2662525</v>
      </c>
      <c r="Q271" s="1159">
        <f t="shared" si="62"/>
        <v>-863286.0374543115</v>
      </c>
      <c r="R271" s="2773"/>
    </row>
    <row r="272" spans="1:18" x14ac:dyDescent="0.25">
      <c r="A272" s="2862"/>
      <c r="B272" s="706">
        <v>2060</v>
      </c>
      <c r="C272" s="1173">
        <f t="shared" si="68"/>
        <v>-161007524651.63318</v>
      </c>
      <c r="D272" s="1156">
        <f t="shared" si="69"/>
        <v>-11832519.071247591</v>
      </c>
      <c r="E272" s="1156">
        <f t="shared" si="70"/>
        <v>-150374882.5177612</v>
      </c>
      <c r="F272" s="1174">
        <f t="shared" si="72"/>
        <v>-1450586612.0203741</v>
      </c>
      <c r="G272" s="1156">
        <f t="shared" si="71"/>
        <v>-1359442.1142114073</v>
      </c>
      <c r="H272" s="827">
        <f>(0.0584*1.02)*0.444</f>
        <v>2.6448192000000002E-2</v>
      </c>
      <c r="I272" s="1157">
        <f>'Emission-Waste Transport Vehicl'!N74</f>
        <v>14.475526623360002</v>
      </c>
      <c r="J272" s="1157">
        <f>'Emission-Waste Transport Vehicl'!P74</f>
        <v>8.0539418361599999</v>
      </c>
      <c r="K272" s="1157">
        <f>'Emission-Waste Transport Vehicl'!Q74</f>
        <v>6.2549177011200001</v>
      </c>
      <c r="L272" s="1157">
        <f>'Emission-Waste Transport Vehicl'!R74</f>
        <v>0.62255058624000004</v>
      </c>
      <c r="M272" s="1158">
        <f t="shared" si="73"/>
        <v>-4258357925.431128</v>
      </c>
      <c r="N272" s="1159">
        <f t="shared" si="59"/>
        <v>-171281944.83725947</v>
      </c>
      <c r="O272" s="1159">
        <f t="shared" si="60"/>
        <v>-1211110557.4174418</v>
      </c>
      <c r="P272" s="1159">
        <f t="shared" si="61"/>
        <v>-9073299876.5339279</v>
      </c>
      <c r="Q272" s="1159">
        <f t="shared" si="62"/>
        <v>-846321.48516165663</v>
      </c>
      <c r="R272" s="2773"/>
    </row>
    <row r="273" spans="1:18" x14ac:dyDescent="0.25">
      <c r="A273" s="2862"/>
      <c r="B273" s="706">
        <v>2061</v>
      </c>
      <c r="C273" s="1173">
        <f t="shared" si="68"/>
        <v>-161007524651.63318</v>
      </c>
      <c r="D273" s="1156">
        <f t="shared" si="69"/>
        <v>-11832519.071247591</v>
      </c>
      <c r="E273" s="1156">
        <f t="shared" si="70"/>
        <v>-150374882.5177612</v>
      </c>
      <c r="F273" s="1174">
        <f t="shared" si="72"/>
        <v>-1450586612.0203741</v>
      </c>
      <c r="G273" s="1156">
        <f t="shared" si="71"/>
        <v>-1359442.1142114073</v>
      </c>
      <c r="H273" s="827">
        <f>(0.0584*1.02)*0.4353</f>
        <v>2.5929950400000002E-2</v>
      </c>
      <c r="I273" s="1157">
        <f>'Emission-Waste Transport Vehicl'!N75</f>
        <v>14.191884547632004</v>
      </c>
      <c r="J273" s="1157">
        <f>'Emission-Waste Transport Vehicl'!P75</f>
        <v>7.8961281109920014</v>
      </c>
      <c r="K273" s="1157">
        <f>'Emission-Waste Transport Vehicl'!Q75</f>
        <v>6.1323551245440004</v>
      </c>
      <c r="L273" s="1157">
        <f>'Emission-Waste Transport Vehicl'!R75</f>
        <v>0.61035195988800006</v>
      </c>
      <c r="M273" s="1158">
        <f t="shared" si="73"/>
        <v>-4174917128.2436261</v>
      </c>
      <c r="N273" s="1159">
        <f t="shared" ref="N273:N332" si="74">D273*I273</f>
        <v>-167925744.56679967</v>
      </c>
      <c r="O273" s="1159">
        <f t="shared" ref="O273:O332" si="75">E273*J273</f>
        <v>-1187379337.0356138</v>
      </c>
      <c r="P273" s="1159">
        <f t="shared" ref="P273:P332" si="76">F273*K273</f>
        <v>-8895512243.8180599</v>
      </c>
      <c r="Q273" s="1159">
        <f t="shared" ref="Q273:Q332" si="77">G273*L273</f>
        <v>-829738.15876321879</v>
      </c>
      <c r="R273" s="2773"/>
    </row>
    <row r="274" spans="1:18" x14ac:dyDescent="0.25">
      <c r="A274" s="2862"/>
      <c r="B274" s="706">
        <v>2062</v>
      </c>
      <c r="C274" s="1173">
        <f t="shared" si="68"/>
        <v>-161007524651.63318</v>
      </c>
      <c r="D274" s="1156">
        <f t="shared" si="69"/>
        <v>-11832519.071247591</v>
      </c>
      <c r="E274" s="1156">
        <f t="shared" si="70"/>
        <v>-150374882.5177612</v>
      </c>
      <c r="F274" s="1174">
        <f t="shared" si="72"/>
        <v>-1450586612.0203741</v>
      </c>
      <c r="G274" s="1156">
        <f t="shared" si="71"/>
        <v>-1359442.1142114073</v>
      </c>
      <c r="H274" s="827">
        <f>(0.0584*1.02)*0.4268</f>
        <v>2.5423622400000002E-2</v>
      </c>
      <c r="I274" s="1157">
        <f>'Emission-Waste Transport Vehicl'!N76</f>
        <v>13.914762979392002</v>
      </c>
      <c r="J274" s="1157">
        <f>'Emission-Waste Transport Vehicl'!P76</f>
        <v>7.7419422875520008</v>
      </c>
      <c r="K274" s="1157">
        <f>'Emission-Waste Transport Vehicl'!Q76</f>
        <v>6.0126100784640002</v>
      </c>
      <c r="L274" s="1157">
        <f>'Emission-Waste Transport Vehicl'!R76</f>
        <v>0.59843376172800011</v>
      </c>
      <c r="M274" s="1158">
        <f t="shared" si="73"/>
        <v>-4093394510.3018136</v>
      </c>
      <c r="N274" s="1159">
        <f t="shared" si="74"/>
        <v>-164646698.32554582</v>
      </c>
      <c r="O274" s="1159">
        <f t="shared" si="75"/>
        <v>-1164193661.9499195</v>
      </c>
      <c r="P274" s="1159">
        <f t="shared" si="76"/>
        <v>-8721811683.1186504</v>
      </c>
      <c r="Q274" s="1159">
        <f t="shared" si="77"/>
        <v>-813536.05825899797</v>
      </c>
      <c r="R274" s="2773"/>
    </row>
    <row r="275" spans="1:18" x14ac:dyDescent="0.25">
      <c r="A275" s="2862"/>
      <c r="B275" s="706">
        <v>2063</v>
      </c>
      <c r="C275" s="1173">
        <f t="shared" si="68"/>
        <v>-161007524651.63318</v>
      </c>
      <c r="D275" s="1156">
        <f t="shared" si="69"/>
        <v>-11832519.071247591</v>
      </c>
      <c r="E275" s="1156">
        <f t="shared" si="70"/>
        <v>-150374882.5177612</v>
      </c>
      <c r="F275" s="1174">
        <f t="shared" si="72"/>
        <v>-1450586612.0203741</v>
      </c>
      <c r="G275" s="1156">
        <f t="shared" si="71"/>
        <v>-1359442.1142114073</v>
      </c>
      <c r="H275" s="827">
        <f>(0.0584*1.02)*0.4184</f>
        <v>2.49232512E-2</v>
      </c>
      <c r="I275" s="1157">
        <f>'Emission-Waste Transport Vehicl'!N77</f>
        <v>13.640901664896001</v>
      </c>
      <c r="J275" s="1157">
        <f>'Emission-Waste Transport Vehicl'!P77</f>
        <v>7.5895704149760004</v>
      </c>
      <c r="K275" s="1157">
        <f>'Emission-Waste Transport Vehicl'!Q77</f>
        <v>5.8942737976319997</v>
      </c>
      <c r="L275" s="1157">
        <f>'Emission-Waste Transport Vehicl'!R77</f>
        <v>0.58665577766400001</v>
      </c>
      <c r="M275" s="1158">
        <f t="shared" si="73"/>
        <v>-4012830981.9828463</v>
      </c>
      <c r="N275" s="1159">
        <f t="shared" si="74"/>
        <v>-161406229.09889495</v>
      </c>
      <c r="O275" s="1159">
        <f t="shared" si="75"/>
        <v>-1141280759.5122921</v>
      </c>
      <c r="P275" s="1159">
        <f t="shared" si="76"/>
        <v>-8550154658.4274664</v>
      </c>
      <c r="Q275" s="1159">
        <f t="shared" si="77"/>
        <v>-797524.5707018855</v>
      </c>
      <c r="R275" s="2773"/>
    </row>
    <row r="276" spans="1:18" x14ac:dyDescent="0.25">
      <c r="A276" s="2862"/>
      <c r="B276" s="706">
        <v>2064</v>
      </c>
      <c r="C276" s="1173">
        <f t="shared" si="68"/>
        <v>-161007524651.63318</v>
      </c>
      <c r="D276" s="1156">
        <f t="shared" si="69"/>
        <v>-11832519.071247591</v>
      </c>
      <c r="E276" s="1156">
        <f t="shared" si="70"/>
        <v>-150374882.5177612</v>
      </c>
      <c r="F276" s="1174">
        <f t="shared" si="72"/>
        <v>-1450586612.0203741</v>
      </c>
      <c r="G276" s="1156">
        <f t="shared" si="71"/>
        <v>-1359442.1142114073</v>
      </c>
      <c r="H276" s="827">
        <f>(0.0584*1.02)*0.4102</f>
        <v>2.4434793600000001E-2</v>
      </c>
      <c r="I276" s="1157">
        <f>'Emission-Waste Transport Vehicl'!N78</f>
        <v>13.373560857888002</v>
      </c>
      <c r="J276" s="1157">
        <f>'Emission-Waste Transport Vehicl'!P78</f>
        <v>7.4408264441280014</v>
      </c>
      <c r="K276" s="1157">
        <f>'Emission-Waste Transport Vehicl'!Q78</f>
        <v>5.7787550472960003</v>
      </c>
      <c r="L276" s="1157">
        <f>'Emission-Waste Transport Vehicl'!R78</f>
        <v>0.57515822179200005</v>
      </c>
      <c r="M276" s="1158">
        <f t="shared" si="73"/>
        <v>-3934185632.9095688</v>
      </c>
      <c r="N276" s="1159">
        <f t="shared" si="74"/>
        <v>-158242913.90145007</v>
      </c>
      <c r="O276" s="1159">
        <f t="shared" si="75"/>
        <v>-1118913402.3707991</v>
      </c>
      <c r="P276" s="1159">
        <f t="shared" si="76"/>
        <v>-8382584705.7527418</v>
      </c>
      <c r="Q276" s="1159">
        <f t="shared" si="77"/>
        <v>-781894.30903899006</v>
      </c>
      <c r="R276" s="2773"/>
    </row>
    <row r="277" spans="1:18" x14ac:dyDescent="0.25">
      <c r="A277" s="2862"/>
      <c r="B277" s="706">
        <v>2065</v>
      </c>
      <c r="C277" s="1173">
        <f t="shared" si="68"/>
        <v>-161007524651.63318</v>
      </c>
      <c r="D277" s="1156">
        <f t="shared" si="69"/>
        <v>-11832519.071247591</v>
      </c>
      <c r="E277" s="1156">
        <f t="shared" si="70"/>
        <v>-150374882.5177612</v>
      </c>
      <c r="F277" s="1174">
        <f t="shared" si="72"/>
        <v>-1450586612.0203741</v>
      </c>
      <c r="G277" s="1156">
        <f t="shared" si="71"/>
        <v>-1359442.1142114073</v>
      </c>
      <c r="H277" s="827">
        <f>(0.0584*1.02)*0.4022</f>
        <v>2.3958249600000002E-2</v>
      </c>
      <c r="I277" s="1157">
        <f>'Emission-Waste Transport Vehicl'!N79</f>
        <v>13.112740558368001</v>
      </c>
      <c r="J277" s="1157">
        <f>'Emission-Waste Transport Vehicl'!P79</f>
        <v>7.2957103750080003</v>
      </c>
      <c r="K277" s="1157">
        <f>'Emission-Waste Transport Vehicl'!Q79</f>
        <v>5.6660538274560004</v>
      </c>
      <c r="L277" s="1157">
        <f>'Emission-Waste Transport Vehicl'!R79</f>
        <v>0.56394109411200011</v>
      </c>
      <c r="M277" s="1158">
        <f t="shared" si="73"/>
        <v>-3857458463.0819812</v>
      </c>
      <c r="N277" s="1159">
        <f t="shared" si="74"/>
        <v>-155156752.73321116</v>
      </c>
      <c r="O277" s="1159">
        <f t="shared" si="75"/>
        <v>-1097091590.5254395</v>
      </c>
      <c r="P277" s="1159">
        <f t="shared" si="76"/>
        <v>-8219101825.0944729</v>
      </c>
      <c r="Q277" s="1159">
        <f t="shared" si="77"/>
        <v>-766645.27327031165</v>
      </c>
      <c r="R277" s="2773"/>
    </row>
    <row r="278" spans="1:18" x14ac:dyDescent="0.25">
      <c r="A278" s="2862"/>
      <c r="B278" s="706">
        <v>2066</v>
      </c>
      <c r="C278" s="1173">
        <f t="shared" si="68"/>
        <v>-161007524651.63318</v>
      </c>
      <c r="D278" s="1156">
        <f t="shared" si="69"/>
        <v>-11832519.071247591</v>
      </c>
      <c r="E278" s="1156">
        <f t="shared" si="70"/>
        <v>-150374882.5177612</v>
      </c>
      <c r="F278" s="1174">
        <f t="shared" si="72"/>
        <v>-1450586612.0203741</v>
      </c>
      <c r="G278" s="1156">
        <f t="shared" si="71"/>
        <v>-1359442.1142114073</v>
      </c>
      <c r="H278" s="827">
        <f>(0.0584*1.02)*0.3943</f>
        <v>2.3487662400000001E-2</v>
      </c>
      <c r="I278" s="1157">
        <f>'Emission-Waste Transport Vehicl'!N80</f>
        <v>12.855180512592</v>
      </c>
      <c r="J278" s="1157">
        <f>'Emission-Waste Transport Vehicl'!P80</f>
        <v>7.1524082567520004</v>
      </c>
      <c r="K278" s="1157">
        <f>'Emission-Waste Transport Vehicl'!Q80</f>
        <v>5.5547613728639993</v>
      </c>
      <c r="L278" s="1157">
        <f>'Emission-Waste Transport Vehicl'!R80</f>
        <v>0.55286418052800002</v>
      </c>
      <c r="M278" s="1158">
        <f t="shared" si="73"/>
        <v>-3781690382.8772378</v>
      </c>
      <c r="N278" s="1159">
        <f t="shared" si="74"/>
        <v>-152109168.57957521</v>
      </c>
      <c r="O278" s="1159">
        <f t="shared" si="75"/>
        <v>-1075542551.3281472</v>
      </c>
      <c r="P278" s="1159">
        <f t="shared" si="76"/>
        <v>-8057662480.4444304</v>
      </c>
      <c r="Q278" s="1159">
        <f t="shared" si="77"/>
        <v>-751586.85044874146</v>
      </c>
      <c r="R278" s="2773"/>
    </row>
    <row r="279" spans="1:18" x14ac:dyDescent="0.25">
      <c r="A279" s="2862"/>
      <c r="B279" s="706">
        <v>2067</v>
      </c>
      <c r="C279" s="1173">
        <f t="shared" si="68"/>
        <v>-161007524651.63318</v>
      </c>
      <c r="D279" s="1156">
        <f t="shared" si="69"/>
        <v>-11832519.071247591</v>
      </c>
      <c r="E279" s="1156">
        <f t="shared" si="70"/>
        <v>-150374882.5177612</v>
      </c>
      <c r="F279" s="1174">
        <f t="shared" si="72"/>
        <v>-1450586612.0203741</v>
      </c>
      <c r="G279" s="1156">
        <f t="shared" si="71"/>
        <v>-1359442.1142114073</v>
      </c>
      <c r="H279" s="827">
        <f>(0.0584*1.02)*0.3865</f>
        <v>2.3023032000000002E-2</v>
      </c>
      <c r="I279" s="1157">
        <f>'Emission-Waste Transport Vehicl'!N81</f>
        <v>12.600880720560001</v>
      </c>
      <c r="J279" s="1157">
        <f>'Emission-Waste Transport Vehicl'!P81</f>
        <v>7.0109200893600008</v>
      </c>
      <c r="K279" s="1157">
        <f>'Emission-Waste Transport Vehicl'!Q81</f>
        <v>5.4448776835200006</v>
      </c>
      <c r="L279" s="1157">
        <f>'Emission-Waste Transport Vehicl'!R81</f>
        <v>0.5419274810400001</v>
      </c>
      <c r="M279" s="1158">
        <f t="shared" si="73"/>
        <v>-3706881392.2953401</v>
      </c>
      <c r="N279" s="1159">
        <f t="shared" si="74"/>
        <v>-149100161.44054228</v>
      </c>
      <c r="O279" s="1159">
        <f t="shared" si="75"/>
        <v>-1054266284.778922</v>
      </c>
      <c r="P279" s="1159">
        <f t="shared" si="76"/>
        <v>-7898266671.8026199</v>
      </c>
      <c r="Q279" s="1159">
        <f t="shared" si="77"/>
        <v>-736719.04057428008</v>
      </c>
      <c r="R279" s="2773"/>
    </row>
    <row r="280" spans="1:18" x14ac:dyDescent="0.25">
      <c r="A280" s="2862"/>
      <c r="B280" s="706">
        <v>2068</v>
      </c>
      <c r="C280" s="1173">
        <f t="shared" si="68"/>
        <v>-161007524651.63318</v>
      </c>
      <c r="D280" s="1156">
        <f t="shared" si="69"/>
        <v>-11832519.071247591</v>
      </c>
      <c r="E280" s="1156">
        <f t="shared" si="70"/>
        <v>-150374882.5177612</v>
      </c>
      <c r="F280" s="1174">
        <f t="shared" si="72"/>
        <v>-1450586612.0203741</v>
      </c>
      <c r="G280" s="1156">
        <f t="shared" si="71"/>
        <v>-1359442.1142114073</v>
      </c>
      <c r="H280" s="827">
        <f>(0.0584*1.02)*0.379</f>
        <v>2.2576272000000001E-2</v>
      </c>
      <c r="I280" s="1157">
        <f>'Emission-Waste Transport Vehicl'!N82</f>
        <v>12.356361689760002</v>
      </c>
      <c r="J280" s="1157">
        <f>'Emission-Waste Transport Vehicl'!P82</f>
        <v>6.8748737745600002</v>
      </c>
      <c r="K280" s="1157">
        <f>'Emission-Waste Transport Vehicl'!Q82</f>
        <v>5.339220289920001</v>
      </c>
      <c r="L280" s="1157">
        <f>'Emission-Waste Transport Vehicl'!R82</f>
        <v>0.53141142384000006</v>
      </c>
      <c r="M280" s="1158">
        <f t="shared" si="73"/>
        <v>-3634949670.5819759</v>
      </c>
      <c r="N280" s="1159">
        <f t="shared" si="74"/>
        <v>-146206885.34531832</v>
      </c>
      <c r="O280" s="1159">
        <f t="shared" si="75"/>
        <v>-1033808336.1738975</v>
      </c>
      <c r="P280" s="1159">
        <f t="shared" si="76"/>
        <v>-7745001471.1854935</v>
      </c>
      <c r="Q280" s="1159">
        <f t="shared" si="77"/>
        <v>-722423.06954114395</v>
      </c>
      <c r="R280" s="2773"/>
    </row>
    <row r="281" spans="1:18" ht="15.75" thickBot="1" x14ac:dyDescent="0.3">
      <c r="A281" s="2863"/>
      <c r="B281" s="55">
        <v>2069</v>
      </c>
      <c r="C281" s="1175">
        <f t="shared" si="68"/>
        <v>-161007524651.63318</v>
      </c>
      <c r="D281" s="1160">
        <f t="shared" si="69"/>
        <v>-11832519.071247591</v>
      </c>
      <c r="E281" s="1160">
        <f t="shared" si="70"/>
        <v>-150374882.5177612</v>
      </c>
      <c r="F281" s="1176">
        <f t="shared" si="72"/>
        <v>-1450586612.0203741</v>
      </c>
      <c r="G281" s="1160">
        <f t="shared" si="71"/>
        <v>-1359442.1142114073</v>
      </c>
      <c r="H281" s="1062">
        <f>(0.0584*1.02)*0.3715</f>
        <v>2.2129512E-2</v>
      </c>
      <c r="I281" s="1161">
        <f>'Emission-Waste Transport Vehicl'!N83</f>
        <v>12.111842658960002</v>
      </c>
      <c r="J281" s="1161">
        <f>'Emission-Waste Transport Vehicl'!P83</f>
        <v>6.7388274597600004</v>
      </c>
      <c r="K281" s="1161">
        <f>'Emission-Waste Transport Vehicl'!Q83</f>
        <v>5.2335628963200005</v>
      </c>
      <c r="L281" s="1161">
        <f>'Emission-Waste Transport Vehicl'!R83</f>
        <v>0.52089536664000002</v>
      </c>
      <c r="M281" s="1162">
        <f t="shared" si="73"/>
        <v>-3563017948.8686123</v>
      </c>
      <c r="N281" s="1163">
        <f t="shared" si="74"/>
        <v>-143313609.25009435</v>
      </c>
      <c r="O281" s="1163">
        <f t="shared" si="75"/>
        <v>-1013350387.5688732</v>
      </c>
      <c r="P281" s="1163">
        <f t="shared" si="76"/>
        <v>-7591736270.5683661</v>
      </c>
      <c r="Q281" s="1163">
        <f t="shared" si="77"/>
        <v>-708127.09850800782</v>
      </c>
      <c r="R281" s="2774"/>
    </row>
    <row r="282" spans="1:18" x14ac:dyDescent="0.25">
      <c r="A282" s="2903" t="s">
        <v>1832</v>
      </c>
      <c r="B282" s="888">
        <v>2019</v>
      </c>
      <c r="C282" s="1153">
        <f t="shared" ref="C282:C313" si="78">$S$12</f>
        <v>-161007524651.63318</v>
      </c>
      <c r="D282" s="1153">
        <f t="shared" ref="D282:D313" si="79">$T$12</f>
        <v>-11832519.071247591</v>
      </c>
      <c r="E282" s="1153">
        <f t="shared" ref="E282:E313" si="80">$R$12</f>
        <v>-150374882.5177612</v>
      </c>
      <c r="F282" s="1166">
        <f t="shared" ref="F282:F313" si="81">$V$12</f>
        <v>-1450586612.0203741</v>
      </c>
      <c r="G282" s="1153">
        <f t="shared" ref="G282:G313" si="82">$U$12</f>
        <v>-1359442.1142114073</v>
      </c>
      <c r="H282" s="1056">
        <f>0.0584*1.02</f>
        <v>5.9568000000000003E-2</v>
      </c>
      <c r="I282" s="1154">
        <f>'Emission-Waste Transport Vehicl'!N33</f>
        <v>32.602537440000006</v>
      </c>
      <c r="J282" s="1154">
        <f>'Emission-Waste Transport Vehicl'!P33</f>
        <v>18.139508640000003</v>
      </c>
      <c r="K282" s="1154">
        <f>'Emission-Waste Transport Vehicl'!Q33</f>
        <v>14.087652480000001</v>
      </c>
      <c r="L282" s="1154">
        <f>'Emission-Waste Transport Vehicl'!R33</f>
        <v>1.4021409600000001</v>
      </c>
      <c r="M282" s="1155">
        <f t="shared" si="73"/>
        <v>-9590896228.4484863</v>
      </c>
      <c r="N282" s="1155">
        <f t="shared" si="74"/>
        <v>-385770146.02986366</v>
      </c>
      <c r="O282" s="1155">
        <f t="shared" si="75"/>
        <v>-2727726480.6699147</v>
      </c>
      <c r="P282" s="1155">
        <f t="shared" si="76"/>
        <v>-20435360082.283623</v>
      </c>
      <c r="Q282" s="1155">
        <f t="shared" si="77"/>
        <v>-1906129.4710848124</v>
      </c>
      <c r="R282" s="2772">
        <f>(SUM(M282:M332))+(SUM(N282:N332))+(SUM(O282:O332))+(SUM(P282:P332))+(SUM(Q282:Q332))</f>
        <v>-1074556919459.8683</v>
      </c>
    </row>
    <row r="283" spans="1:18" x14ac:dyDescent="0.25">
      <c r="A283" s="2862"/>
      <c r="B283" s="706">
        <v>2020</v>
      </c>
      <c r="C283" s="1164">
        <f t="shared" si="78"/>
        <v>-161007524651.63318</v>
      </c>
      <c r="D283" s="1164">
        <f t="shared" si="79"/>
        <v>-11832519.071247591</v>
      </c>
      <c r="E283" s="1164">
        <f t="shared" si="80"/>
        <v>-150374882.5177612</v>
      </c>
      <c r="F283" s="1167">
        <f t="shared" si="81"/>
        <v>-1450586612.0203741</v>
      </c>
      <c r="G283" s="1164">
        <f t="shared" si="82"/>
        <v>-1359442.1142114073</v>
      </c>
      <c r="H283" s="827">
        <f>(0.0584*1.02)*0.9804</f>
        <v>5.8400467200000007E-2</v>
      </c>
      <c r="I283" s="1157">
        <f>'Emission-Waste Transport Vehicl'!N34</f>
        <v>31.963527706176006</v>
      </c>
      <c r="J283" s="1157">
        <f>'Emission-Waste Transport Vehicl'!P34</f>
        <v>17.783974270656003</v>
      </c>
      <c r="K283" s="1157">
        <f>'Emission-Waste Transport Vehicl'!Q34</f>
        <v>13.811534491392001</v>
      </c>
      <c r="L283" s="1157">
        <f>'Emission-Waste Transport Vehicl'!R34</f>
        <v>1.3746589971840002</v>
      </c>
      <c r="M283" s="1158">
        <f t="shared" si="73"/>
        <v>-9402914662.3708954</v>
      </c>
      <c r="N283" s="1159">
        <f t="shared" si="74"/>
        <v>-378209051.16767836</v>
      </c>
      <c r="O283" s="1159">
        <f t="shared" si="75"/>
        <v>-2674263041.6487846</v>
      </c>
      <c r="P283" s="1159">
        <f t="shared" si="76"/>
        <v>-20034827024.670864</v>
      </c>
      <c r="Q283" s="1159">
        <f t="shared" si="77"/>
        <v>-1868769.3334515502</v>
      </c>
      <c r="R283" s="2773"/>
    </row>
    <row r="284" spans="1:18" x14ac:dyDescent="0.25">
      <c r="A284" s="2862"/>
      <c r="B284" s="706">
        <v>2021</v>
      </c>
      <c r="C284" s="1164">
        <f t="shared" si="78"/>
        <v>-161007524651.63318</v>
      </c>
      <c r="D284" s="1164">
        <f t="shared" si="79"/>
        <v>-11832519.071247591</v>
      </c>
      <c r="E284" s="1164">
        <f t="shared" si="80"/>
        <v>-150374882.5177612</v>
      </c>
      <c r="F284" s="1167">
        <f t="shared" si="81"/>
        <v>-1450586612.0203741</v>
      </c>
      <c r="G284" s="1164">
        <f t="shared" si="82"/>
        <v>-1359442.1142114073</v>
      </c>
      <c r="H284" s="827">
        <f>(0.0584*1.02)*0.9612</f>
        <v>5.7256761600000004E-2</v>
      </c>
      <c r="I284" s="1157">
        <f>'Emission-Waste Transport Vehicl'!N35</f>
        <v>31.337558987328006</v>
      </c>
      <c r="J284" s="1157">
        <f>'Emission-Waste Transport Vehicl'!P35</f>
        <v>17.435695704768001</v>
      </c>
      <c r="K284" s="1157">
        <f>'Emission-Waste Transport Vehicl'!Q35</f>
        <v>13.541051563776001</v>
      </c>
      <c r="L284" s="1157">
        <f>'Emission-Waste Transport Vehicl'!R35</f>
        <v>1.3477378907520003</v>
      </c>
      <c r="M284" s="1158">
        <f t="shared" si="73"/>
        <v>-9218769454.7846851</v>
      </c>
      <c r="N284" s="1159">
        <f t="shared" si="74"/>
        <v>-370802264.36390495</v>
      </c>
      <c r="O284" s="1159">
        <f t="shared" si="75"/>
        <v>-2621890693.2199216</v>
      </c>
      <c r="P284" s="1159">
        <f t="shared" si="76"/>
        <v>-19642468111.091019</v>
      </c>
      <c r="Q284" s="1159">
        <f t="shared" si="77"/>
        <v>-1832171.6476067221</v>
      </c>
      <c r="R284" s="2773"/>
    </row>
    <row r="285" spans="1:18" x14ac:dyDescent="0.25">
      <c r="A285" s="2862"/>
      <c r="B285" s="706">
        <v>2022</v>
      </c>
      <c r="C285" s="1164">
        <f t="shared" si="78"/>
        <v>-161007524651.63318</v>
      </c>
      <c r="D285" s="1164">
        <f t="shared" si="79"/>
        <v>-11832519.071247591</v>
      </c>
      <c r="E285" s="1164">
        <f t="shared" si="80"/>
        <v>-150374882.5177612</v>
      </c>
      <c r="F285" s="1167">
        <f t="shared" si="81"/>
        <v>-1450586612.0203741</v>
      </c>
      <c r="G285" s="1164">
        <f t="shared" si="82"/>
        <v>-1359442.1142114073</v>
      </c>
      <c r="H285" s="827">
        <f>(0.0584*1.02)*0.9423</f>
        <v>5.6130926400000003E-2</v>
      </c>
      <c r="I285" s="1157">
        <f>'Emission-Waste Transport Vehicl'!N36</f>
        <v>30.721371029712003</v>
      </c>
      <c r="J285" s="1157">
        <f>'Emission-Waste Transport Vehicl'!P36</f>
        <v>17.092858991472003</v>
      </c>
      <c r="K285" s="1157">
        <f>'Emission-Waste Transport Vehicl'!Q36</f>
        <v>13.274794931903999</v>
      </c>
      <c r="L285" s="1157">
        <f>'Emission-Waste Transport Vehicl'!R36</f>
        <v>1.3212374266080003</v>
      </c>
      <c r="M285" s="1158">
        <f t="shared" si="73"/>
        <v>-9037501516.067009</v>
      </c>
      <c r="N285" s="1159">
        <f t="shared" si="74"/>
        <v>-363511208.60394049</v>
      </c>
      <c r="O285" s="1159">
        <f t="shared" si="75"/>
        <v>-2570336662.7352605</v>
      </c>
      <c r="P285" s="1159">
        <f t="shared" si="76"/>
        <v>-19256239805.535854</v>
      </c>
      <c r="Q285" s="1159">
        <f t="shared" si="77"/>
        <v>-1796145.8006032188</v>
      </c>
      <c r="R285" s="2773"/>
    </row>
    <row r="286" spans="1:18" x14ac:dyDescent="0.25">
      <c r="A286" s="2862"/>
      <c r="B286" s="706">
        <v>2023</v>
      </c>
      <c r="C286" s="1164">
        <f t="shared" si="78"/>
        <v>-161007524651.63318</v>
      </c>
      <c r="D286" s="1164">
        <f t="shared" si="79"/>
        <v>-11832519.071247591</v>
      </c>
      <c r="E286" s="1164">
        <f t="shared" si="80"/>
        <v>-150374882.5177612</v>
      </c>
      <c r="F286" s="1167">
        <f t="shared" si="81"/>
        <v>-1450586612.0203741</v>
      </c>
      <c r="G286" s="1164">
        <f t="shared" si="82"/>
        <v>-1359442.1142114073</v>
      </c>
      <c r="H286" s="827">
        <f>(0.0584*1.02)*0.9238</f>
        <v>5.5028918400000001E-2</v>
      </c>
      <c r="I286" s="1157">
        <f>'Emission-Waste Transport Vehicl'!N37</f>
        <v>30.118224087072001</v>
      </c>
      <c r="J286" s="1157">
        <f>'Emission-Waste Transport Vehicl'!P37</f>
        <v>16.757278081632002</v>
      </c>
      <c r="K286" s="1157">
        <f>'Emission-Waste Transport Vehicl'!Q37</f>
        <v>13.014173361024</v>
      </c>
      <c r="L286" s="1157">
        <f>'Emission-Waste Transport Vehicl'!R37</f>
        <v>1.295297818848</v>
      </c>
      <c r="M286" s="1158">
        <f t="shared" si="73"/>
        <v>-8860069935.8407116</v>
      </c>
      <c r="N286" s="1159">
        <f t="shared" si="74"/>
        <v>-356374460.90238804</v>
      </c>
      <c r="O286" s="1159">
        <f t="shared" si="75"/>
        <v>-2519873722.8428669</v>
      </c>
      <c r="P286" s="1159">
        <f t="shared" si="76"/>
        <v>-18878185644.013607</v>
      </c>
      <c r="Q286" s="1159">
        <f t="shared" si="77"/>
        <v>-1760882.4053881494</v>
      </c>
      <c r="R286" s="2773"/>
    </row>
    <row r="287" spans="1:18" x14ac:dyDescent="0.25">
      <c r="A287" s="2862"/>
      <c r="B287" s="706">
        <v>2024</v>
      </c>
      <c r="C287" s="1164">
        <f t="shared" si="78"/>
        <v>-161007524651.63318</v>
      </c>
      <c r="D287" s="1164">
        <f t="shared" si="79"/>
        <v>-11832519.071247591</v>
      </c>
      <c r="E287" s="1164">
        <f t="shared" si="80"/>
        <v>-150374882.5177612</v>
      </c>
      <c r="F287" s="1167">
        <f t="shared" si="81"/>
        <v>-1450586612.0203741</v>
      </c>
      <c r="G287" s="1164">
        <f t="shared" si="82"/>
        <v>-1359442.1142114073</v>
      </c>
      <c r="H287" s="827">
        <f>(0.0584*1.02)*0.9057</f>
        <v>5.39507376E-2</v>
      </c>
      <c r="I287" s="1157">
        <f>'Emission-Waste Transport Vehicl'!N38</f>
        <v>29.528118159408002</v>
      </c>
      <c r="J287" s="1157">
        <f>'Emission-Waste Transport Vehicl'!P38</f>
        <v>16.428952975248002</v>
      </c>
      <c r="K287" s="1157">
        <f>'Emission-Waste Transport Vehicl'!Q38</f>
        <v>12.759186851135999</v>
      </c>
      <c r="L287" s="1157">
        <f>'Emission-Waste Transport Vehicl'!R38</f>
        <v>1.269919067472</v>
      </c>
      <c r="M287" s="1158">
        <f t="shared" si="73"/>
        <v>-8686474714.105793</v>
      </c>
      <c r="N287" s="1159">
        <f t="shared" si="74"/>
        <v>-349392021.25924748</v>
      </c>
      <c r="O287" s="1159">
        <f t="shared" si="75"/>
        <v>-2470501873.5427418</v>
      </c>
      <c r="P287" s="1159">
        <f t="shared" si="76"/>
        <v>-18508305626.524273</v>
      </c>
      <c r="Q287" s="1159">
        <f t="shared" si="77"/>
        <v>-1726381.4619615143</v>
      </c>
      <c r="R287" s="2773"/>
    </row>
    <row r="288" spans="1:18" x14ac:dyDescent="0.25">
      <c r="A288" s="2862"/>
      <c r="B288" s="706">
        <v>2025</v>
      </c>
      <c r="C288" s="1164">
        <f t="shared" si="78"/>
        <v>-161007524651.63318</v>
      </c>
      <c r="D288" s="1164">
        <f t="shared" si="79"/>
        <v>-11832519.071247591</v>
      </c>
      <c r="E288" s="1164">
        <f t="shared" si="80"/>
        <v>-150374882.5177612</v>
      </c>
      <c r="F288" s="1167">
        <f t="shared" si="81"/>
        <v>-1450586612.0203741</v>
      </c>
      <c r="G288" s="1164">
        <f t="shared" si="82"/>
        <v>-1359442.1142114073</v>
      </c>
      <c r="H288" s="827">
        <f>(0.0584*1.02)*0.888</f>
        <v>5.2896384000000005E-2</v>
      </c>
      <c r="I288" s="1157">
        <f>'Emission-Waste Transport Vehicl'!N39</f>
        <v>28.951053246720004</v>
      </c>
      <c r="J288" s="1157">
        <f>'Emission-Waste Transport Vehicl'!P39</f>
        <v>16.10788367232</v>
      </c>
      <c r="K288" s="1157">
        <f>'Emission-Waste Transport Vehicl'!Q39</f>
        <v>12.50983540224</v>
      </c>
      <c r="L288" s="1157">
        <f>'Emission-Waste Transport Vehicl'!R39</f>
        <v>1.2451011724800001</v>
      </c>
      <c r="M288" s="1158">
        <f t="shared" si="73"/>
        <v>-8516715850.8622561</v>
      </c>
      <c r="N288" s="1159">
        <f t="shared" si="74"/>
        <v>-342563889.67451894</v>
      </c>
      <c r="O288" s="1159">
        <f t="shared" si="75"/>
        <v>-2422221114.8348837</v>
      </c>
      <c r="P288" s="1159">
        <f t="shared" si="76"/>
        <v>-18146599753.067856</v>
      </c>
      <c r="Q288" s="1159">
        <f t="shared" si="77"/>
        <v>-1692642.9703233133</v>
      </c>
      <c r="R288" s="2773"/>
    </row>
    <row r="289" spans="1:18" x14ac:dyDescent="0.25">
      <c r="A289" s="2862"/>
      <c r="B289" s="706">
        <v>2026</v>
      </c>
      <c r="C289" s="1164">
        <f t="shared" si="78"/>
        <v>-161007524651.63318</v>
      </c>
      <c r="D289" s="1164">
        <f t="shared" si="79"/>
        <v>-11832519.071247591</v>
      </c>
      <c r="E289" s="1164">
        <f t="shared" si="80"/>
        <v>-150374882.5177612</v>
      </c>
      <c r="F289" s="1167">
        <f t="shared" si="81"/>
        <v>-1450586612.0203741</v>
      </c>
      <c r="G289" s="1164">
        <f t="shared" si="82"/>
        <v>-1359442.1142114073</v>
      </c>
      <c r="H289" s="827">
        <f>(0.0584*1.02)*0.8706</f>
        <v>5.1859900800000004E-2</v>
      </c>
      <c r="I289" s="1157">
        <f>'Emission-Waste Transport Vehicl'!N40</f>
        <v>28.383769095264007</v>
      </c>
      <c r="J289" s="1157">
        <f>'Emission-Waste Transport Vehicl'!P40</f>
        <v>15.792256221984003</v>
      </c>
      <c r="K289" s="1157">
        <f>'Emission-Waste Transport Vehicl'!Q40</f>
        <v>12.264710249088001</v>
      </c>
      <c r="L289" s="1157">
        <f>'Emission-Waste Transport Vehicl'!R40</f>
        <v>1.2207039197760001</v>
      </c>
      <c r="M289" s="1158">
        <f t="shared" si="73"/>
        <v>-8349834256.4872522</v>
      </c>
      <c r="N289" s="1159">
        <f t="shared" si="74"/>
        <v>-335851489.13359934</v>
      </c>
      <c r="O289" s="1159">
        <f t="shared" si="75"/>
        <v>-2374758674.0712276</v>
      </c>
      <c r="P289" s="1159">
        <f t="shared" si="76"/>
        <v>-17791024487.63612</v>
      </c>
      <c r="Q289" s="1159">
        <f t="shared" si="77"/>
        <v>-1659476.3175264376</v>
      </c>
      <c r="R289" s="2773"/>
    </row>
    <row r="290" spans="1:18" x14ac:dyDescent="0.25">
      <c r="A290" s="2862"/>
      <c r="B290" s="706">
        <v>2027</v>
      </c>
      <c r="C290" s="1164">
        <f t="shared" si="78"/>
        <v>-161007524651.63318</v>
      </c>
      <c r="D290" s="1164">
        <f t="shared" si="79"/>
        <v>-11832519.071247591</v>
      </c>
      <c r="E290" s="1164">
        <f t="shared" si="80"/>
        <v>-150374882.5177612</v>
      </c>
      <c r="F290" s="1167">
        <f t="shared" si="81"/>
        <v>-1450586612.0203741</v>
      </c>
      <c r="G290" s="1164">
        <f t="shared" si="82"/>
        <v>-1359442.1142114073</v>
      </c>
      <c r="H290" s="827">
        <f>(0.0584*1.02)*0.8535</f>
        <v>5.0841288000000005E-2</v>
      </c>
      <c r="I290" s="1157">
        <f>'Emission-Waste Transport Vehicl'!N41</f>
        <v>27.826265705040004</v>
      </c>
      <c r="J290" s="1157">
        <f>'Emission-Waste Transport Vehicl'!P41</f>
        <v>15.482070624240002</v>
      </c>
      <c r="K290" s="1157">
        <f>'Emission-Waste Transport Vehicl'!Q41</f>
        <v>12.023811391680001</v>
      </c>
      <c r="L290" s="1157">
        <f>'Emission-Waste Transport Vehicl'!R41</f>
        <v>1.1967273093600002</v>
      </c>
      <c r="M290" s="1158">
        <f t="shared" si="73"/>
        <v>-8185829930.9807825</v>
      </c>
      <c r="N290" s="1159">
        <f t="shared" si="74"/>
        <v>-329254819.63648862</v>
      </c>
      <c r="O290" s="1159">
        <f t="shared" si="75"/>
        <v>-2328114551.2517719</v>
      </c>
      <c r="P290" s="1159">
        <f t="shared" si="76"/>
        <v>-17441579830.229073</v>
      </c>
      <c r="Q290" s="1159">
        <f t="shared" si="77"/>
        <v>-1626881.5035708875</v>
      </c>
      <c r="R290" s="2773"/>
    </row>
    <row r="291" spans="1:18" x14ac:dyDescent="0.25">
      <c r="A291" s="2862"/>
      <c r="B291" s="706">
        <v>2028</v>
      </c>
      <c r="C291" s="1164">
        <f t="shared" si="78"/>
        <v>-161007524651.63318</v>
      </c>
      <c r="D291" s="1164">
        <f t="shared" si="79"/>
        <v>-11832519.071247591</v>
      </c>
      <c r="E291" s="1164">
        <f t="shared" si="80"/>
        <v>-150374882.5177612</v>
      </c>
      <c r="F291" s="1167">
        <f t="shared" si="81"/>
        <v>-1450586612.0203741</v>
      </c>
      <c r="G291" s="1164">
        <f t="shared" si="82"/>
        <v>-1359442.1142114073</v>
      </c>
      <c r="H291" s="827">
        <f>(0.0584*1.02)*0.8368</f>
        <v>4.9846502399999999E-2</v>
      </c>
      <c r="I291" s="1157">
        <f>'Emission-Waste Transport Vehicl'!N42</f>
        <v>27.281803329792002</v>
      </c>
      <c r="J291" s="1157">
        <f>'Emission-Waste Transport Vehicl'!P42</f>
        <v>15.179140829952001</v>
      </c>
      <c r="K291" s="1157">
        <f>'Emission-Waste Transport Vehicl'!Q42</f>
        <v>11.788547595263999</v>
      </c>
      <c r="L291" s="1157">
        <f>'Emission-Waste Transport Vehicl'!R42</f>
        <v>1.173311555328</v>
      </c>
      <c r="M291" s="1158">
        <f t="shared" si="73"/>
        <v>-8025661963.9656925</v>
      </c>
      <c r="N291" s="1159">
        <f t="shared" si="74"/>
        <v>-322812458.19778991</v>
      </c>
      <c r="O291" s="1159">
        <f t="shared" si="75"/>
        <v>-2282561519.0245843</v>
      </c>
      <c r="P291" s="1159">
        <f t="shared" si="76"/>
        <v>-17100309316.854933</v>
      </c>
      <c r="Q291" s="1159">
        <f t="shared" si="77"/>
        <v>-1595049.141403771</v>
      </c>
      <c r="R291" s="2773"/>
    </row>
    <row r="292" spans="1:18" x14ac:dyDescent="0.25">
      <c r="A292" s="2862"/>
      <c r="B292" s="706">
        <v>2029</v>
      </c>
      <c r="C292" s="1164">
        <f t="shared" si="78"/>
        <v>-161007524651.63318</v>
      </c>
      <c r="D292" s="1164">
        <f t="shared" si="79"/>
        <v>-11832519.071247591</v>
      </c>
      <c r="E292" s="1164">
        <f t="shared" si="80"/>
        <v>-150374882.5177612</v>
      </c>
      <c r="F292" s="1167">
        <f t="shared" si="81"/>
        <v>-1450586612.0203741</v>
      </c>
      <c r="G292" s="1164">
        <f t="shared" si="82"/>
        <v>-1359442.1142114073</v>
      </c>
      <c r="H292" s="827">
        <f>(0.0584*1.02)*0.8203</f>
        <v>4.8863630400000004E-2</v>
      </c>
      <c r="I292" s="1157">
        <f>'Emission-Waste Transport Vehicl'!N43</f>
        <v>26.743861462032005</v>
      </c>
      <c r="J292" s="1157">
        <f>'Emission-Waste Transport Vehicl'!P43</f>
        <v>14.879838937392002</v>
      </c>
      <c r="K292" s="1157">
        <f>'Emission-Waste Transport Vehicl'!Q43</f>
        <v>11.556101329344001</v>
      </c>
      <c r="L292" s="1157">
        <f>'Emission-Waste Transport Vehicl'!R43</f>
        <v>1.1501762294880002</v>
      </c>
      <c r="M292" s="1158">
        <f t="shared" si="73"/>
        <v>-7867412176.1962929</v>
      </c>
      <c r="N292" s="1159">
        <f t="shared" si="74"/>
        <v>-316447250.78829718</v>
      </c>
      <c r="O292" s="1159">
        <f t="shared" si="75"/>
        <v>-2237554032.0935311</v>
      </c>
      <c r="P292" s="1159">
        <f t="shared" si="76"/>
        <v>-16763125875.497255</v>
      </c>
      <c r="Q292" s="1159">
        <f t="shared" si="77"/>
        <v>-1563598.0051308719</v>
      </c>
      <c r="R292" s="2773"/>
    </row>
    <row r="293" spans="1:18" x14ac:dyDescent="0.25">
      <c r="A293" s="2862"/>
      <c r="B293" s="706">
        <v>2030</v>
      </c>
      <c r="C293" s="1164">
        <f t="shared" si="78"/>
        <v>-161007524651.63318</v>
      </c>
      <c r="D293" s="1164">
        <f t="shared" si="79"/>
        <v>-11832519.071247591</v>
      </c>
      <c r="E293" s="1164">
        <f t="shared" si="80"/>
        <v>-150374882.5177612</v>
      </c>
      <c r="F293" s="1167">
        <f t="shared" si="81"/>
        <v>-1450586612.0203741</v>
      </c>
      <c r="G293" s="1164">
        <f t="shared" si="82"/>
        <v>-1359442.1142114073</v>
      </c>
      <c r="H293" s="827">
        <f>(0.0584*1.02)*0.8043</f>
        <v>4.7910542400000006E-2</v>
      </c>
      <c r="I293" s="1157">
        <f>'Emission-Waste Transport Vehicl'!N44</f>
        <v>26.222220862992003</v>
      </c>
      <c r="J293" s="1157">
        <f>'Emission-Waste Transport Vehicl'!P44</f>
        <v>14.589606799152003</v>
      </c>
      <c r="K293" s="1157">
        <f>'Emission-Waste Transport Vehicl'!Q44</f>
        <v>11.330698889664001</v>
      </c>
      <c r="L293" s="1157">
        <f>'Emission-Waste Transport Vehicl'!R44</f>
        <v>1.1277419741280001</v>
      </c>
      <c r="M293" s="1158">
        <f t="shared" si="73"/>
        <v>-7713957836.5411177</v>
      </c>
      <c r="N293" s="1159">
        <f t="shared" si="74"/>
        <v>-310274928.45181936</v>
      </c>
      <c r="O293" s="1159">
        <f t="shared" si="75"/>
        <v>-2193910408.4028125</v>
      </c>
      <c r="P293" s="1159">
        <f t="shared" si="76"/>
        <v>-16436160114.180717</v>
      </c>
      <c r="Q293" s="1159">
        <f t="shared" si="77"/>
        <v>-1533099.9335935146</v>
      </c>
      <c r="R293" s="2773"/>
    </row>
    <row r="294" spans="1:18" x14ac:dyDescent="0.25">
      <c r="A294" s="2862"/>
      <c r="B294" s="706">
        <v>2031</v>
      </c>
      <c r="C294" s="1164">
        <f t="shared" si="78"/>
        <v>-161007524651.63318</v>
      </c>
      <c r="D294" s="1164">
        <f t="shared" si="79"/>
        <v>-11832519.071247591</v>
      </c>
      <c r="E294" s="1164">
        <f t="shared" si="80"/>
        <v>-150374882.5177612</v>
      </c>
      <c r="F294" s="1167">
        <f t="shared" si="81"/>
        <v>-1450586612.0203741</v>
      </c>
      <c r="G294" s="1164">
        <f t="shared" si="82"/>
        <v>-1359442.1142114073</v>
      </c>
      <c r="H294" s="827">
        <f>(0.0584*1.02)*0.7885</f>
        <v>4.6969368000000004E-2</v>
      </c>
      <c r="I294" s="1157">
        <f>'Emission-Waste Transport Vehicl'!N45</f>
        <v>25.70710077144</v>
      </c>
      <c r="J294" s="1157">
        <f>'Emission-Waste Transport Vehicl'!P45</f>
        <v>14.303002562640001</v>
      </c>
      <c r="K294" s="1157">
        <f>'Emission-Waste Transport Vehicl'!Q45</f>
        <v>11.108113980480001</v>
      </c>
      <c r="L294" s="1157">
        <f>'Emission-Waste Transport Vehicl'!R45</f>
        <v>1.1055881469600002</v>
      </c>
      <c r="M294" s="1158">
        <f t="shared" si="73"/>
        <v>-7562421676.1316309</v>
      </c>
      <c r="N294" s="1159">
        <f t="shared" si="74"/>
        <v>-304179760.14454746</v>
      </c>
      <c r="O294" s="1159">
        <f t="shared" si="75"/>
        <v>-2150812330.0082278</v>
      </c>
      <c r="P294" s="1159">
        <f t="shared" si="76"/>
        <v>-16113281424.880636</v>
      </c>
      <c r="Q294" s="1159">
        <f t="shared" si="77"/>
        <v>-1502983.0879503747</v>
      </c>
      <c r="R294" s="2773"/>
    </row>
    <row r="295" spans="1:18" x14ac:dyDescent="0.25">
      <c r="A295" s="2862"/>
      <c r="B295" s="706">
        <v>2032</v>
      </c>
      <c r="C295" s="1164">
        <f t="shared" si="78"/>
        <v>-161007524651.63318</v>
      </c>
      <c r="D295" s="1164">
        <f t="shared" si="79"/>
        <v>-11832519.071247591</v>
      </c>
      <c r="E295" s="1164">
        <f t="shared" si="80"/>
        <v>-150374882.5177612</v>
      </c>
      <c r="F295" s="1167">
        <f t="shared" si="81"/>
        <v>-1450586612.0203741</v>
      </c>
      <c r="G295" s="1164">
        <f t="shared" si="82"/>
        <v>-1359442.1142114073</v>
      </c>
      <c r="H295" s="827">
        <f>(0.0584*1.02)*0.773</f>
        <v>4.6046064000000005E-2</v>
      </c>
      <c r="I295" s="1157">
        <f>'Emission-Waste Transport Vehicl'!N46</f>
        <v>25.201761441120002</v>
      </c>
      <c r="J295" s="1157">
        <f>'Emission-Waste Transport Vehicl'!P46</f>
        <v>14.021840178720002</v>
      </c>
      <c r="K295" s="1157">
        <f>'Emission-Waste Transport Vehicl'!Q46</f>
        <v>10.889755367040001</v>
      </c>
      <c r="L295" s="1157">
        <f>'Emission-Waste Transport Vehicl'!R46</f>
        <v>1.0838549620800002</v>
      </c>
      <c r="M295" s="1158">
        <f t="shared" si="73"/>
        <v>-7413762784.5906801</v>
      </c>
      <c r="N295" s="1159">
        <f t="shared" si="74"/>
        <v>-298200322.88108456</v>
      </c>
      <c r="O295" s="1159">
        <f t="shared" si="75"/>
        <v>-2108532569.5578439</v>
      </c>
      <c r="P295" s="1159">
        <f t="shared" si="76"/>
        <v>-15796533343.60524</v>
      </c>
      <c r="Q295" s="1159">
        <f t="shared" si="77"/>
        <v>-1473438.0811485602</v>
      </c>
      <c r="R295" s="2773"/>
    </row>
    <row r="296" spans="1:18" x14ac:dyDescent="0.25">
      <c r="A296" s="2862"/>
      <c r="B296" s="706">
        <v>2033</v>
      </c>
      <c r="C296" s="1164">
        <f t="shared" si="78"/>
        <v>-161007524651.63318</v>
      </c>
      <c r="D296" s="1164">
        <f t="shared" si="79"/>
        <v>-11832519.071247591</v>
      </c>
      <c r="E296" s="1164">
        <f t="shared" si="80"/>
        <v>-150374882.5177612</v>
      </c>
      <c r="F296" s="1167">
        <f t="shared" si="81"/>
        <v>-1450586612.0203741</v>
      </c>
      <c r="G296" s="1164">
        <f t="shared" si="82"/>
        <v>-1359442.1142114073</v>
      </c>
      <c r="H296" s="827">
        <f>(0.0584*1.02)*0.7579</f>
        <v>4.5146587200000005E-2</v>
      </c>
      <c r="I296" s="1157">
        <f>'Emission-Waste Transport Vehicl'!N47</f>
        <v>24.709463125776001</v>
      </c>
      <c r="J296" s="1157">
        <f>'Emission-Waste Transport Vehicl'!P47</f>
        <v>13.747933598256003</v>
      </c>
      <c r="K296" s="1157">
        <f>'Emission-Waste Transport Vehicl'!Q47</f>
        <v>10.677031814592</v>
      </c>
      <c r="L296" s="1157">
        <f>'Emission-Waste Transport Vehicl'!R47</f>
        <v>1.0626826335840001</v>
      </c>
      <c r="M296" s="1158">
        <f t="shared" si="73"/>
        <v>-7268940251.5411081</v>
      </c>
      <c r="N296" s="1159">
        <f t="shared" si="74"/>
        <v>-292375193.67603362</v>
      </c>
      <c r="O296" s="1159">
        <f t="shared" si="75"/>
        <v>-2067343899.6997285</v>
      </c>
      <c r="P296" s="1159">
        <f t="shared" si="76"/>
        <v>-15487959406.362757</v>
      </c>
      <c r="Q296" s="1159">
        <f t="shared" si="77"/>
        <v>-1444655.5261351792</v>
      </c>
      <c r="R296" s="2773"/>
    </row>
    <row r="297" spans="1:18" x14ac:dyDescent="0.25">
      <c r="A297" s="2862"/>
      <c r="B297" s="706">
        <v>2034</v>
      </c>
      <c r="C297" s="1164">
        <f t="shared" si="78"/>
        <v>-161007524651.63318</v>
      </c>
      <c r="D297" s="1164">
        <f t="shared" si="79"/>
        <v>-11832519.071247591</v>
      </c>
      <c r="E297" s="1164">
        <f t="shared" si="80"/>
        <v>-150374882.5177612</v>
      </c>
      <c r="F297" s="1167">
        <f t="shared" si="81"/>
        <v>-1450586612.0203741</v>
      </c>
      <c r="G297" s="1164">
        <f t="shared" si="82"/>
        <v>-1359442.1142114073</v>
      </c>
      <c r="H297" s="827">
        <f>(0.0584*1.02)*0.743</f>
        <v>4.4259024000000001E-2</v>
      </c>
      <c r="I297" s="1157">
        <f>'Emission-Waste Transport Vehicl'!N48</f>
        <v>24.223685317920005</v>
      </c>
      <c r="J297" s="1157">
        <f>'Emission-Waste Transport Vehicl'!P48</f>
        <v>13.477654919520001</v>
      </c>
      <c r="K297" s="1157">
        <f>'Emission-Waste Transport Vehicl'!Q48</f>
        <v>10.467125792640001</v>
      </c>
      <c r="L297" s="1157">
        <f>'Emission-Waste Transport Vehicl'!R48</f>
        <v>1.04179073328</v>
      </c>
      <c r="M297" s="1158">
        <f t="shared" si="73"/>
        <v>-7126035897.7372246</v>
      </c>
      <c r="N297" s="1159">
        <f t="shared" si="74"/>
        <v>-286627218.50018871</v>
      </c>
      <c r="O297" s="1159">
        <f t="shared" si="75"/>
        <v>-2026700775.1377463</v>
      </c>
      <c r="P297" s="1159">
        <f t="shared" si="76"/>
        <v>-15183472541.136732</v>
      </c>
      <c r="Q297" s="1159">
        <f t="shared" si="77"/>
        <v>-1416254.1970160156</v>
      </c>
      <c r="R297" s="2773"/>
    </row>
    <row r="298" spans="1:18" x14ac:dyDescent="0.25">
      <c r="A298" s="2862"/>
      <c r="B298" s="706">
        <v>2035</v>
      </c>
      <c r="C298" s="1164">
        <f t="shared" si="78"/>
        <v>-161007524651.63318</v>
      </c>
      <c r="D298" s="1164">
        <f t="shared" si="79"/>
        <v>-11832519.071247591</v>
      </c>
      <c r="E298" s="1164">
        <f t="shared" si="80"/>
        <v>-150374882.5177612</v>
      </c>
      <c r="F298" s="1167">
        <f t="shared" si="81"/>
        <v>-1450586612.0203741</v>
      </c>
      <c r="G298" s="1164">
        <f t="shared" si="82"/>
        <v>-1359442.1142114073</v>
      </c>
      <c r="H298" s="827">
        <f>(0.0584*1.02)*0.7284</f>
        <v>4.3389331200000006E-2</v>
      </c>
      <c r="I298" s="1157">
        <f>'Emission-Waste Transport Vehicl'!N49</f>
        <v>23.747688271296006</v>
      </c>
      <c r="J298" s="1157">
        <f>'Emission-Waste Transport Vehicl'!P49</f>
        <v>13.212818093376002</v>
      </c>
      <c r="K298" s="1157">
        <f>'Emission-Waste Transport Vehicl'!Q49</f>
        <v>10.261446066432002</v>
      </c>
      <c r="L298" s="1157">
        <f>'Emission-Waste Transport Vehicl'!R49</f>
        <v>1.0213194752640002</v>
      </c>
      <c r="M298" s="1158">
        <f t="shared" si="73"/>
        <v>-6986008812.801878</v>
      </c>
      <c r="N298" s="1159">
        <f t="shared" si="74"/>
        <v>-280994974.36815274</v>
      </c>
      <c r="O298" s="1159">
        <f t="shared" si="75"/>
        <v>-1986875968.5199659</v>
      </c>
      <c r="P298" s="1159">
        <f t="shared" si="76"/>
        <v>-14885116283.935392</v>
      </c>
      <c r="Q298" s="1159">
        <f t="shared" si="77"/>
        <v>-1388424.7067381775</v>
      </c>
      <c r="R298" s="2773"/>
    </row>
    <row r="299" spans="1:18" x14ac:dyDescent="0.25">
      <c r="A299" s="2862"/>
      <c r="B299" s="706">
        <v>2036</v>
      </c>
      <c r="C299" s="1164">
        <f t="shared" si="78"/>
        <v>-161007524651.63318</v>
      </c>
      <c r="D299" s="1164">
        <f t="shared" si="79"/>
        <v>-11832519.071247591</v>
      </c>
      <c r="E299" s="1164">
        <f t="shared" si="80"/>
        <v>-150374882.5177612</v>
      </c>
      <c r="F299" s="1167">
        <f t="shared" si="81"/>
        <v>-1450586612.0203741</v>
      </c>
      <c r="G299" s="1164">
        <f t="shared" si="82"/>
        <v>-1359442.1142114073</v>
      </c>
      <c r="H299" s="827">
        <f>(0.0584*1.02)*0.7142</f>
        <v>4.2543465599999997E-2</v>
      </c>
      <c r="I299" s="1157">
        <f>'Emission-Waste Transport Vehicl'!N50</f>
        <v>23.284732239648001</v>
      </c>
      <c r="J299" s="1157">
        <f>'Emission-Waste Transport Vehicl'!P50</f>
        <v>12.955237070688</v>
      </c>
      <c r="K299" s="1157">
        <f>'Emission-Waste Transport Vehicl'!Q50</f>
        <v>10.061401401215999</v>
      </c>
      <c r="L299" s="1157">
        <f>'Emission-Waste Transport Vehicl'!R50</f>
        <v>1.001409073632</v>
      </c>
      <c r="M299" s="1158">
        <f t="shared" si="73"/>
        <v>-6849818086.3579073</v>
      </c>
      <c r="N299" s="1159">
        <f t="shared" si="74"/>
        <v>-275517038.2945286</v>
      </c>
      <c r="O299" s="1159">
        <f t="shared" si="75"/>
        <v>-1948142252.4944527</v>
      </c>
      <c r="P299" s="1159">
        <f t="shared" si="76"/>
        <v>-14594934170.76696</v>
      </c>
      <c r="Q299" s="1159">
        <f t="shared" si="77"/>
        <v>-1361357.6682487729</v>
      </c>
      <c r="R299" s="2773"/>
    </row>
    <row r="300" spans="1:18" x14ac:dyDescent="0.25">
      <c r="A300" s="2862"/>
      <c r="B300" s="706">
        <v>2037</v>
      </c>
      <c r="C300" s="1164">
        <f t="shared" si="78"/>
        <v>-161007524651.63318</v>
      </c>
      <c r="D300" s="1164">
        <f t="shared" si="79"/>
        <v>-11832519.071247591</v>
      </c>
      <c r="E300" s="1164">
        <f t="shared" si="80"/>
        <v>-150374882.5177612</v>
      </c>
      <c r="F300" s="1167">
        <f t="shared" si="81"/>
        <v>-1450586612.0203741</v>
      </c>
      <c r="G300" s="1164">
        <f t="shared" si="82"/>
        <v>-1359442.1142114073</v>
      </c>
      <c r="H300" s="827">
        <f>(0.0584*1.02)*0.7002</f>
        <v>4.1709513600000005E-2</v>
      </c>
      <c r="I300" s="1157">
        <f>'Emission-Waste Transport Vehicl'!N51</f>
        <v>22.828296715488005</v>
      </c>
      <c r="J300" s="1157">
        <f>'Emission-Waste Transport Vehicl'!P51</f>
        <v>12.701283949728003</v>
      </c>
      <c r="K300" s="1157">
        <f>'Emission-Waste Transport Vehicl'!Q51</f>
        <v>9.8641742664960006</v>
      </c>
      <c r="L300" s="1157">
        <f>'Emission-Waste Transport Vehicl'!R51</f>
        <v>0.9817791001920001</v>
      </c>
      <c r="M300" s="1158">
        <f t="shared" si="73"/>
        <v>-6715545539.1596298</v>
      </c>
      <c r="N300" s="1159">
        <f t="shared" si="74"/>
        <v>-270116256.25011057</v>
      </c>
      <c r="O300" s="1159">
        <f t="shared" si="75"/>
        <v>-1909954081.7650745</v>
      </c>
      <c r="P300" s="1159">
        <f t="shared" si="76"/>
        <v>-14308839129.614992</v>
      </c>
      <c r="Q300" s="1159">
        <f t="shared" si="77"/>
        <v>-1334671.8556535856</v>
      </c>
      <c r="R300" s="2773"/>
    </row>
    <row r="301" spans="1:18" x14ac:dyDescent="0.25">
      <c r="A301" s="2862"/>
      <c r="B301" s="706">
        <v>2038</v>
      </c>
      <c r="C301" s="1164">
        <f t="shared" si="78"/>
        <v>-161007524651.63318</v>
      </c>
      <c r="D301" s="1164">
        <f t="shared" si="79"/>
        <v>-11832519.071247591</v>
      </c>
      <c r="E301" s="1164">
        <f t="shared" si="80"/>
        <v>-150374882.5177612</v>
      </c>
      <c r="F301" s="1167">
        <f t="shared" si="81"/>
        <v>-1450586612.0203741</v>
      </c>
      <c r="G301" s="1164">
        <f t="shared" si="82"/>
        <v>-1359442.1142114073</v>
      </c>
      <c r="H301" s="827">
        <f>(0.0584*1.02)*0.6864</f>
        <v>4.0887475200000002E-2</v>
      </c>
      <c r="I301" s="1157">
        <f>'Emission-Waste Transport Vehicl'!N52</f>
        <v>22.378381698816003</v>
      </c>
      <c r="J301" s="1157">
        <f>'Emission-Waste Transport Vehicl'!P52</f>
        <v>12.450958730496001</v>
      </c>
      <c r="K301" s="1157">
        <f>'Emission-Waste Transport Vehicl'!Q52</f>
        <v>9.6697646622720015</v>
      </c>
      <c r="L301" s="1157">
        <f>'Emission-Waste Transport Vehicl'!R52</f>
        <v>0.96242955494400007</v>
      </c>
      <c r="M301" s="1158">
        <f t="shared" si="73"/>
        <v>-6583191171.2070408</v>
      </c>
      <c r="N301" s="1159">
        <f t="shared" si="74"/>
        <v>-264792628.23489842</v>
      </c>
      <c r="O301" s="1159">
        <f t="shared" si="75"/>
        <v>-1872311456.3318293</v>
      </c>
      <c r="P301" s="1159">
        <f t="shared" si="76"/>
        <v>-14026831160.479479</v>
      </c>
      <c r="Q301" s="1159">
        <f t="shared" si="77"/>
        <v>-1308367.2689526151</v>
      </c>
      <c r="R301" s="2773"/>
    </row>
    <row r="302" spans="1:18" x14ac:dyDescent="0.25">
      <c r="A302" s="2862"/>
      <c r="B302" s="706">
        <v>2039</v>
      </c>
      <c r="C302" s="1164">
        <f t="shared" si="78"/>
        <v>-161007524651.63318</v>
      </c>
      <c r="D302" s="1164">
        <f t="shared" si="79"/>
        <v>-11832519.071247591</v>
      </c>
      <c r="E302" s="1164">
        <f t="shared" si="80"/>
        <v>-150374882.5177612</v>
      </c>
      <c r="F302" s="1167">
        <f t="shared" si="81"/>
        <v>-1450586612.0203741</v>
      </c>
      <c r="G302" s="1164">
        <f t="shared" si="82"/>
        <v>-1359442.1142114073</v>
      </c>
      <c r="H302" s="827">
        <f>(0.0584*1.02)*0.673</f>
        <v>4.0089264000000006E-2</v>
      </c>
      <c r="I302" s="1157">
        <f>'Emission-Waste Transport Vehicl'!N53</f>
        <v>21.941507697120006</v>
      </c>
      <c r="J302" s="1157">
        <f>'Emission-Waste Transport Vehicl'!P53</f>
        <v>12.207889314720003</v>
      </c>
      <c r="K302" s="1157">
        <f>'Emission-Waste Transport Vehicl'!Q53</f>
        <v>9.4809901190400012</v>
      </c>
      <c r="L302" s="1157">
        <f>'Emission-Waste Transport Vehicl'!R53</f>
        <v>0.9436408660800002</v>
      </c>
      <c r="M302" s="1158">
        <f t="shared" si="73"/>
        <v>-6454673161.7458315</v>
      </c>
      <c r="N302" s="1159">
        <f t="shared" si="74"/>
        <v>-259623308.27809829</v>
      </c>
      <c r="O302" s="1159">
        <f t="shared" si="75"/>
        <v>-1835759921.4908526</v>
      </c>
      <c r="P302" s="1159">
        <f t="shared" si="76"/>
        <v>-13752997335.376879</v>
      </c>
      <c r="Q302" s="1159">
        <f t="shared" si="77"/>
        <v>-1282825.1340400788</v>
      </c>
      <c r="R302" s="2773"/>
    </row>
    <row r="303" spans="1:18" x14ac:dyDescent="0.25">
      <c r="A303" s="2862"/>
      <c r="B303" s="706">
        <v>2040</v>
      </c>
      <c r="C303" s="1164">
        <f t="shared" si="78"/>
        <v>-161007524651.63318</v>
      </c>
      <c r="D303" s="1164">
        <f t="shared" si="79"/>
        <v>-11832519.071247591</v>
      </c>
      <c r="E303" s="1164">
        <f t="shared" si="80"/>
        <v>-150374882.5177612</v>
      </c>
      <c r="F303" s="1167">
        <f t="shared" si="81"/>
        <v>-1450586612.0203741</v>
      </c>
      <c r="G303" s="1164">
        <f t="shared" si="82"/>
        <v>-1359442.1142114073</v>
      </c>
      <c r="H303" s="827">
        <f>(0.0584*1.02)*0.6598</f>
        <v>3.9302966400000007E-2</v>
      </c>
      <c r="I303" s="1157">
        <f>'Emission-Waste Transport Vehicl'!N54</f>
        <v>21.511154202912003</v>
      </c>
      <c r="J303" s="1157">
        <f>'Emission-Waste Transport Vehicl'!P54</f>
        <v>11.968447800672001</v>
      </c>
      <c r="K303" s="1157">
        <f>'Emission-Waste Transport Vehicl'!Q54</f>
        <v>9.2950331063040004</v>
      </c>
      <c r="L303" s="1157">
        <f>'Emission-Waste Transport Vehicl'!R54</f>
        <v>0.92513260540800013</v>
      </c>
      <c r="M303" s="1158">
        <f t="shared" si="73"/>
        <v>-6328073331.5303116</v>
      </c>
      <c r="N303" s="1159">
        <f t="shared" si="74"/>
        <v>-254531142.35050404</v>
      </c>
      <c r="O303" s="1159">
        <f t="shared" si="75"/>
        <v>-1799753931.9460096</v>
      </c>
      <c r="P303" s="1159">
        <f t="shared" si="76"/>
        <v>-13483250582.290733</v>
      </c>
      <c r="Q303" s="1159">
        <f t="shared" si="77"/>
        <v>-1257664.2250217593</v>
      </c>
      <c r="R303" s="2773"/>
    </row>
    <row r="304" spans="1:18" x14ac:dyDescent="0.25">
      <c r="A304" s="2862"/>
      <c r="B304" s="706">
        <v>2041</v>
      </c>
      <c r="C304" s="1164">
        <f t="shared" si="78"/>
        <v>-161007524651.63318</v>
      </c>
      <c r="D304" s="1164">
        <f t="shared" si="79"/>
        <v>-11832519.071247591</v>
      </c>
      <c r="E304" s="1164">
        <f t="shared" si="80"/>
        <v>-150374882.5177612</v>
      </c>
      <c r="F304" s="1167">
        <f t="shared" si="81"/>
        <v>-1450586612.0203741</v>
      </c>
      <c r="G304" s="1164">
        <f t="shared" si="82"/>
        <v>-1359442.1142114073</v>
      </c>
      <c r="H304" s="827">
        <f>(0.0584*1.02)*0.6468</f>
        <v>3.8528582400000004E-2</v>
      </c>
      <c r="I304" s="1157">
        <f>'Emission-Waste Transport Vehicl'!N55</f>
        <v>21.087321216192002</v>
      </c>
      <c r="J304" s="1157">
        <f>'Emission-Waste Transport Vehicl'!P55</f>
        <v>11.732634188352002</v>
      </c>
      <c r="K304" s="1157">
        <f>'Emission-Waste Transport Vehicl'!Q55</f>
        <v>9.1118936240640007</v>
      </c>
      <c r="L304" s="1157">
        <f>'Emission-Waste Transport Vehicl'!R55</f>
        <v>0.9069047729280002</v>
      </c>
      <c r="M304" s="1158">
        <f t="shared" si="73"/>
        <v>-6203391680.5604811</v>
      </c>
      <c r="N304" s="1159">
        <f t="shared" si="74"/>
        <v>-249516130.4521158</v>
      </c>
      <c r="O304" s="1159">
        <f t="shared" si="75"/>
        <v>-1764293487.6973007</v>
      </c>
      <c r="P304" s="1159">
        <f t="shared" si="76"/>
        <v>-13217590901.221046</v>
      </c>
      <c r="Q304" s="1159">
        <f t="shared" si="77"/>
        <v>-1232884.5418976569</v>
      </c>
      <c r="R304" s="2773"/>
    </row>
    <row r="305" spans="1:18" x14ac:dyDescent="0.25">
      <c r="A305" s="2862"/>
      <c r="B305" s="706">
        <v>2042</v>
      </c>
      <c r="C305" s="1164">
        <f t="shared" si="78"/>
        <v>-161007524651.63318</v>
      </c>
      <c r="D305" s="1164">
        <f t="shared" si="79"/>
        <v>-11832519.071247591</v>
      </c>
      <c r="E305" s="1164">
        <f t="shared" si="80"/>
        <v>-150374882.5177612</v>
      </c>
      <c r="F305" s="1167">
        <f t="shared" si="81"/>
        <v>-1450586612.0203741</v>
      </c>
      <c r="G305" s="1164">
        <f t="shared" si="82"/>
        <v>-1359442.1142114073</v>
      </c>
      <c r="H305" s="827">
        <f>(0.0584*1.02)*0.6342</f>
        <v>3.7778025600000001E-2</v>
      </c>
      <c r="I305" s="1157">
        <f>'Emission-Waste Transport Vehicl'!N56</f>
        <v>20.676529244448002</v>
      </c>
      <c r="J305" s="1157">
        <f>'Emission-Waste Transport Vehicl'!P56</f>
        <v>11.504076379488001</v>
      </c>
      <c r="K305" s="1157">
        <f>'Emission-Waste Transport Vehicl'!Q56</f>
        <v>8.9343892028159999</v>
      </c>
      <c r="L305" s="1157">
        <f>'Emission-Waste Transport Vehicl'!R56</f>
        <v>0.8892377968320001</v>
      </c>
      <c r="M305" s="1158">
        <f t="shared" si="73"/>
        <v>-6082546388.0820293</v>
      </c>
      <c r="N305" s="1159">
        <f t="shared" si="74"/>
        <v>-244655426.61213952</v>
      </c>
      <c r="O305" s="1159">
        <f t="shared" si="75"/>
        <v>-1729924134.0408599</v>
      </c>
      <c r="P305" s="1159">
        <f t="shared" si="76"/>
        <v>-12960105364.184273</v>
      </c>
      <c r="Q305" s="1159">
        <f t="shared" si="77"/>
        <v>-1208867.310561988</v>
      </c>
      <c r="R305" s="2773"/>
    </row>
    <row r="306" spans="1:18" x14ac:dyDescent="0.25">
      <c r="A306" s="2862"/>
      <c r="B306" s="706">
        <v>2043</v>
      </c>
      <c r="C306" s="1164">
        <f t="shared" si="78"/>
        <v>-161007524651.63318</v>
      </c>
      <c r="D306" s="1164">
        <f t="shared" si="79"/>
        <v>-11832519.071247591</v>
      </c>
      <c r="E306" s="1164">
        <f t="shared" si="80"/>
        <v>-150374882.5177612</v>
      </c>
      <c r="F306" s="1167">
        <f t="shared" si="81"/>
        <v>-1450586612.0203741</v>
      </c>
      <c r="G306" s="1164">
        <f t="shared" si="82"/>
        <v>-1359442.1142114073</v>
      </c>
      <c r="H306" s="827">
        <f>(0.0584*1.02)*0.6217</f>
        <v>3.7033425600000003E-2</v>
      </c>
      <c r="I306" s="1157">
        <f>'Emission-Waste Transport Vehicl'!N57</f>
        <v>20.268997526448004</v>
      </c>
      <c r="J306" s="1157">
        <f>'Emission-Waste Transport Vehicl'!P57</f>
        <v>11.277332521488001</v>
      </c>
      <c r="K306" s="1157">
        <f>'Emission-Waste Transport Vehicl'!Q57</f>
        <v>8.7582935468160006</v>
      </c>
      <c r="L306" s="1157">
        <f>'Emission-Waste Transport Vehicl'!R57</f>
        <v>0.87171103483200019</v>
      </c>
      <c r="M306" s="1158">
        <f t="shared" si="73"/>
        <v>-5962660185.2264233</v>
      </c>
      <c r="N306" s="1159">
        <f t="shared" si="74"/>
        <v>-239833299.78676626</v>
      </c>
      <c r="O306" s="1159">
        <f t="shared" si="75"/>
        <v>-1695827553.0324857</v>
      </c>
      <c r="P306" s="1159">
        <f t="shared" si="76"/>
        <v>-12704663363.155727</v>
      </c>
      <c r="Q306" s="1159">
        <f t="shared" si="77"/>
        <v>-1185040.6921734279</v>
      </c>
      <c r="R306" s="2773"/>
    </row>
    <row r="307" spans="1:18" x14ac:dyDescent="0.25">
      <c r="A307" s="2862"/>
      <c r="B307" s="706">
        <v>2044</v>
      </c>
      <c r="C307" s="1164">
        <f t="shared" si="78"/>
        <v>-161007524651.63318</v>
      </c>
      <c r="D307" s="1164">
        <f t="shared" si="79"/>
        <v>-11832519.071247591</v>
      </c>
      <c r="E307" s="1164">
        <f t="shared" si="80"/>
        <v>-150374882.5177612</v>
      </c>
      <c r="F307" s="1167">
        <f t="shared" si="81"/>
        <v>-1450586612.0203741</v>
      </c>
      <c r="G307" s="1164">
        <f t="shared" si="82"/>
        <v>-1359442.1142114073</v>
      </c>
      <c r="H307" s="827">
        <f>(0.0584*1.02)*0.6095</f>
        <v>3.6306696000000006E-2</v>
      </c>
      <c r="I307" s="1157">
        <f>'Emission-Waste Transport Vehicl'!N58</f>
        <v>19.871246569680004</v>
      </c>
      <c r="J307" s="1157">
        <f>'Emission-Waste Transport Vehicl'!P58</f>
        <v>11.056030516080002</v>
      </c>
      <c r="K307" s="1157">
        <f>'Emission-Waste Transport Vehicl'!Q58</f>
        <v>8.5864241865600004</v>
      </c>
      <c r="L307" s="1157">
        <f>'Emission-Waste Transport Vehicl'!R58</f>
        <v>0.85460491512000014</v>
      </c>
      <c r="M307" s="1158">
        <f t="shared" si="73"/>
        <v>-5845651251.2393532</v>
      </c>
      <c r="N307" s="1159">
        <f t="shared" si="74"/>
        <v>-235126904.00520191</v>
      </c>
      <c r="O307" s="1159">
        <f t="shared" si="75"/>
        <v>-1662549289.968313</v>
      </c>
      <c r="P307" s="1159">
        <f t="shared" si="76"/>
        <v>-12455351970.151867</v>
      </c>
      <c r="Q307" s="1159">
        <f t="shared" si="77"/>
        <v>-1161785.9126261931</v>
      </c>
      <c r="R307" s="2773"/>
    </row>
    <row r="308" spans="1:18" x14ac:dyDescent="0.25">
      <c r="A308" s="2862"/>
      <c r="B308" s="706">
        <v>2045</v>
      </c>
      <c r="C308" s="1164">
        <f t="shared" si="78"/>
        <v>-161007524651.63318</v>
      </c>
      <c r="D308" s="1164">
        <f t="shared" si="79"/>
        <v>-11832519.071247591</v>
      </c>
      <c r="E308" s="1164">
        <f t="shared" si="80"/>
        <v>-150374882.5177612</v>
      </c>
      <c r="F308" s="1167">
        <f t="shared" si="81"/>
        <v>-1450586612.0203741</v>
      </c>
      <c r="G308" s="1164">
        <f t="shared" si="82"/>
        <v>-1359442.1142114073</v>
      </c>
      <c r="H308" s="827">
        <f>(0.0584*1.02)*0.5976</f>
        <v>3.5597836800000004E-2</v>
      </c>
      <c r="I308" s="1157">
        <f>'Emission-Waste Transport Vehicl'!N59</f>
        <v>19.483276374144001</v>
      </c>
      <c r="J308" s="1157">
        <f>'Emission-Waste Transport Vehicl'!P59</f>
        <v>10.840170363264003</v>
      </c>
      <c r="K308" s="1157">
        <f>'Emission-Waste Transport Vehicl'!Q59</f>
        <v>8.4187811220480011</v>
      </c>
      <c r="L308" s="1157">
        <f>'Emission-Waste Transport Vehicl'!R59</f>
        <v>0.83791943769600008</v>
      </c>
      <c r="M308" s="1158">
        <f t="shared" si="73"/>
        <v>-5731519586.1208153</v>
      </c>
      <c r="N308" s="1159">
        <f t="shared" si="74"/>
        <v>-230536239.26744652</v>
      </c>
      <c r="O308" s="1159">
        <f t="shared" si="75"/>
        <v>-1630089344.8483412</v>
      </c>
      <c r="P308" s="1159">
        <f t="shared" si="76"/>
        <v>-12212171185.172693</v>
      </c>
      <c r="Q308" s="1159">
        <f t="shared" si="77"/>
        <v>-1139102.971920284</v>
      </c>
      <c r="R308" s="2773"/>
    </row>
    <row r="309" spans="1:18" x14ac:dyDescent="0.25">
      <c r="A309" s="2862"/>
      <c r="B309" s="706">
        <v>2046</v>
      </c>
      <c r="C309" s="1164">
        <f t="shared" si="78"/>
        <v>-161007524651.63318</v>
      </c>
      <c r="D309" s="1164">
        <f t="shared" si="79"/>
        <v>-11832519.071247591</v>
      </c>
      <c r="E309" s="1164">
        <f t="shared" si="80"/>
        <v>-150374882.5177612</v>
      </c>
      <c r="F309" s="1167">
        <f t="shared" si="81"/>
        <v>-1450586612.0203741</v>
      </c>
      <c r="G309" s="1164">
        <f t="shared" si="82"/>
        <v>-1359442.1142114073</v>
      </c>
      <c r="H309" s="827">
        <f>(0.0584*1.02)*0.5859</f>
        <v>3.4900891199999999E-2</v>
      </c>
      <c r="I309" s="1157">
        <f>'Emission-Waste Transport Vehicl'!N60</f>
        <v>19.101826686096</v>
      </c>
      <c r="J309" s="1157">
        <f>'Emission-Waste Transport Vehicl'!P60</f>
        <v>10.627938112176002</v>
      </c>
      <c r="K309" s="1157">
        <f>'Emission-Waste Transport Vehicl'!Q60</f>
        <v>8.2539555880319995</v>
      </c>
      <c r="L309" s="1157">
        <f>'Emission-Waste Transport Vehicl'!R60</f>
        <v>0.82151438846400004</v>
      </c>
      <c r="M309" s="1158">
        <f t="shared" si="73"/>
        <v>-5619306100.2479677</v>
      </c>
      <c r="N309" s="1159">
        <f t="shared" si="74"/>
        <v>-226022728.55889708</v>
      </c>
      <c r="O309" s="1159">
        <f t="shared" si="75"/>
        <v>-1598174945.024503</v>
      </c>
      <c r="P309" s="1159">
        <f t="shared" si="76"/>
        <v>-11973077472.209972</v>
      </c>
      <c r="Q309" s="1159">
        <f t="shared" si="77"/>
        <v>-1116801.2571085915</v>
      </c>
      <c r="R309" s="2773"/>
    </row>
    <row r="310" spans="1:18" x14ac:dyDescent="0.25">
      <c r="A310" s="2862"/>
      <c r="B310" s="706">
        <v>2047</v>
      </c>
      <c r="C310" s="1164">
        <f t="shared" si="78"/>
        <v>-161007524651.63318</v>
      </c>
      <c r="D310" s="1164">
        <f t="shared" si="79"/>
        <v>-11832519.071247591</v>
      </c>
      <c r="E310" s="1164">
        <f t="shared" si="80"/>
        <v>-150374882.5177612</v>
      </c>
      <c r="F310" s="1167">
        <f t="shared" si="81"/>
        <v>-1450586612.0203741</v>
      </c>
      <c r="G310" s="1164">
        <f t="shared" si="82"/>
        <v>-1359442.1142114073</v>
      </c>
      <c r="H310" s="827">
        <f>(0.0584*1.02)*0.5744</f>
        <v>3.4215859200000004E-2</v>
      </c>
      <c r="I310" s="1157">
        <f>'Emission-Waste Transport Vehicl'!N61</f>
        <v>18.726897505536005</v>
      </c>
      <c r="J310" s="1157">
        <f>'Emission-Waste Transport Vehicl'!P61</f>
        <v>10.419333762816001</v>
      </c>
      <c r="K310" s="1157">
        <f>'Emission-Waste Transport Vehicl'!Q61</f>
        <v>8.0919475845120008</v>
      </c>
      <c r="L310" s="1157">
        <f>'Emission-Waste Transport Vehicl'!R61</f>
        <v>0.80538976742400015</v>
      </c>
      <c r="M310" s="1158">
        <f t="shared" si="73"/>
        <v>-5509010793.6208105</v>
      </c>
      <c r="N310" s="1159">
        <f t="shared" si="74"/>
        <v>-221586371.87955371</v>
      </c>
      <c r="O310" s="1159">
        <f t="shared" si="75"/>
        <v>-1566806090.4967988</v>
      </c>
      <c r="P310" s="1159">
        <f t="shared" si="76"/>
        <v>-11738070831.263712</v>
      </c>
      <c r="Q310" s="1159">
        <f t="shared" si="77"/>
        <v>-1094880.7681911164</v>
      </c>
      <c r="R310" s="2773"/>
    </row>
    <row r="311" spans="1:18" x14ac:dyDescent="0.25">
      <c r="A311" s="2862"/>
      <c r="B311" s="706">
        <v>2048</v>
      </c>
      <c r="C311" s="1164">
        <f t="shared" si="78"/>
        <v>-161007524651.63318</v>
      </c>
      <c r="D311" s="1164">
        <f t="shared" si="79"/>
        <v>-11832519.071247591</v>
      </c>
      <c r="E311" s="1164">
        <f t="shared" si="80"/>
        <v>-150374882.5177612</v>
      </c>
      <c r="F311" s="1167">
        <f t="shared" si="81"/>
        <v>-1450586612.0203741</v>
      </c>
      <c r="G311" s="1164">
        <f t="shared" si="82"/>
        <v>-1359442.1142114073</v>
      </c>
      <c r="H311" s="827">
        <f>(0.0584*1.02)*0.5631</f>
        <v>3.3542740800000005E-2</v>
      </c>
      <c r="I311" s="1157">
        <f>'Emission-Waste Transport Vehicl'!N62</f>
        <v>18.358488832464005</v>
      </c>
      <c r="J311" s="1157">
        <f>'Emission-Waste Transport Vehicl'!P62</f>
        <v>10.214357315184001</v>
      </c>
      <c r="K311" s="1157">
        <f>'Emission-Waste Transport Vehicl'!Q62</f>
        <v>7.9327571114880007</v>
      </c>
      <c r="L311" s="1157">
        <f>'Emission-Waste Transport Vehicl'!R62</f>
        <v>0.78954557457600016</v>
      </c>
      <c r="M311" s="1158">
        <f t="shared" si="73"/>
        <v>-5400633666.2393427</v>
      </c>
      <c r="N311" s="1159">
        <f t="shared" si="74"/>
        <v>-217227169.22941625</v>
      </c>
      <c r="O311" s="1159">
        <f t="shared" si="75"/>
        <v>-1535982781.265229</v>
      </c>
      <c r="P311" s="1159">
        <f t="shared" si="76"/>
        <v>-11507151262.333908</v>
      </c>
      <c r="Q311" s="1159">
        <f t="shared" si="77"/>
        <v>-1073341.505167858</v>
      </c>
      <c r="R311" s="2773"/>
    </row>
    <row r="312" spans="1:18" x14ac:dyDescent="0.25">
      <c r="A312" s="2862"/>
      <c r="B312" s="706">
        <v>2049</v>
      </c>
      <c r="C312" s="1164">
        <f t="shared" si="78"/>
        <v>-161007524651.63318</v>
      </c>
      <c r="D312" s="1164">
        <f t="shared" si="79"/>
        <v>-11832519.071247591</v>
      </c>
      <c r="E312" s="1164">
        <f t="shared" si="80"/>
        <v>-150374882.5177612</v>
      </c>
      <c r="F312" s="1167">
        <f t="shared" si="81"/>
        <v>-1450586612.0203741</v>
      </c>
      <c r="G312" s="1164">
        <f t="shared" si="82"/>
        <v>-1359442.1142114073</v>
      </c>
      <c r="H312" s="827">
        <f>(0.0584*1.02)*0.5521</f>
        <v>3.2887492800000001E-2</v>
      </c>
      <c r="I312" s="1157">
        <f>'Emission-Waste Transport Vehicl'!N63</f>
        <v>17.999860920624005</v>
      </c>
      <c r="J312" s="1157">
        <f>'Emission-Waste Transport Vehicl'!P63</f>
        <v>10.014822720144002</v>
      </c>
      <c r="K312" s="1157">
        <f>'Emission-Waste Transport Vehicl'!Q63</f>
        <v>7.7777929342080014</v>
      </c>
      <c r="L312" s="1157">
        <f>'Emission-Waste Transport Vehicl'!R63</f>
        <v>0.77412202401600017</v>
      </c>
      <c r="M312" s="1158">
        <f t="shared" si="73"/>
        <v>-5295133807.726409</v>
      </c>
      <c r="N312" s="1159">
        <f t="shared" si="74"/>
        <v>-212983697.62308776</v>
      </c>
      <c r="O312" s="1159">
        <f t="shared" si="75"/>
        <v>-1505977789.97786</v>
      </c>
      <c r="P312" s="1159">
        <f t="shared" si="76"/>
        <v>-11282362301.428789</v>
      </c>
      <c r="Q312" s="1159">
        <f t="shared" si="77"/>
        <v>-1052374.0809859252</v>
      </c>
      <c r="R312" s="2773"/>
    </row>
    <row r="313" spans="1:18" x14ac:dyDescent="0.25">
      <c r="A313" s="2862"/>
      <c r="B313" s="706">
        <v>2050</v>
      </c>
      <c r="C313" s="1164">
        <f t="shared" si="78"/>
        <v>-161007524651.63318</v>
      </c>
      <c r="D313" s="1164">
        <f t="shared" si="79"/>
        <v>-11832519.071247591</v>
      </c>
      <c r="E313" s="1164">
        <f t="shared" si="80"/>
        <v>-150374882.5177612</v>
      </c>
      <c r="F313" s="1167">
        <f t="shared" si="81"/>
        <v>-1450586612.0203741</v>
      </c>
      <c r="G313" s="1164">
        <f t="shared" si="82"/>
        <v>-1359442.1142114073</v>
      </c>
      <c r="H313" s="827">
        <f>(0.0584*1.02)*0.5412</f>
        <v>3.2238201600000002E-2</v>
      </c>
      <c r="I313" s="1157">
        <f>'Emission-Waste Transport Vehicl'!N64</f>
        <v>17.644493262528005</v>
      </c>
      <c r="J313" s="1157">
        <f>'Emission-Waste Transport Vehicl'!P64</f>
        <v>9.8171020759680019</v>
      </c>
      <c r="K313" s="1157">
        <f>'Emission-Waste Transport Vehicl'!Q64</f>
        <v>7.624237522176001</v>
      </c>
      <c r="L313" s="1157">
        <f>'Emission-Waste Transport Vehicl'!R64</f>
        <v>0.75883868755200012</v>
      </c>
      <c r="M313" s="1158">
        <f t="shared" si="73"/>
        <v>-5190593038.8363209</v>
      </c>
      <c r="N313" s="1159">
        <f t="shared" si="74"/>
        <v>-208778803.03136224</v>
      </c>
      <c r="O313" s="1159">
        <f t="shared" si="75"/>
        <v>-1476245571.338558</v>
      </c>
      <c r="P313" s="1159">
        <f t="shared" si="76"/>
        <v>-11059616876.531897</v>
      </c>
      <c r="Q313" s="1159">
        <f t="shared" si="77"/>
        <v>-1031597.2697511006</v>
      </c>
      <c r="R313" s="2773"/>
    </row>
    <row r="314" spans="1:18" x14ac:dyDescent="0.25">
      <c r="A314" s="2862"/>
      <c r="B314" s="706">
        <v>2051</v>
      </c>
      <c r="C314" s="1164">
        <f t="shared" ref="C314:C332" si="83">$S$12</f>
        <v>-161007524651.63318</v>
      </c>
      <c r="D314" s="1164">
        <f t="shared" ref="D314:D332" si="84">$T$12</f>
        <v>-11832519.071247591</v>
      </c>
      <c r="E314" s="1164">
        <f t="shared" ref="E314:E332" si="85">$R$12</f>
        <v>-150374882.5177612</v>
      </c>
      <c r="F314" s="1167">
        <f t="shared" ref="F314:F332" si="86">$V$12</f>
        <v>-1450586612.0203741</v>
      </c>
      <c r="G314" s="1164">
        <f t="shared" ref="G314:G332" si="87">$U$12</f>
        <v>-1359442.1142114073</v>
      </c>
      <c r="H314" s="827">
        <f>(0.0584*1.02)*0.5306</f>
        <v>3.1606780799999998E-2</v>
      </c>
      <c r="I314" s="1157">
        <f>'Emission-Waste Transport Vehicl'!N65</f>
        <v>17.298906365664003</v>
      </c>
      <c r="J314" s="1157">
        <f>'Emission-Waste Transport Vehicl'!P65</f>
        <v>9.624823284384</v>
      </c>
      <c r="K314" s="1157">
        <f>'Emission-Waste Transport Vehicl'!Q65</f>
        <v>7.4749084058879998</v>
      </c>
      <c r="L314" s="1157">
        <f>'Emission-Waste Transport Vehicl'!R65</f>
        <v>0.74397599337600007</v>
      </c>
      <c r="M314" s="1158">
        <f t="shared" si="73"/>
        <v>-5088929538.8147659</v>
      </c>
      <c r="N314" s="1159">
        <f t="shared" si="74"/>
        <v>-204689639.48344567</v>
      </c>
      <c r="O314" s="1159">
        <f t="shared" si="75"/>
        <v>-1447331670.6434565</v>
      </c>
      <c r="P314" s="1159">
        <f t="shared" si="76"/>
        <v>-10843002059.659689</v>
      </c>
      <c r="Q314" s="1159">
        <f t="shared" si="77"/>
        <v>-1011392.2973576015</v>
      </c>
      <c r="R314" s="2773"/>
    </row>
    <row r="315" spans="1:18" x14ac:dyDescent="0.25">
      <c r="A315" s="2862"/>
      <c r="B315" s="706">
        <v>2052</v>
      </c>
      <c r="C315" s="1164">
        <f t="shared" si="83"/>
        <v>-161007524651.63318</v>
      </c>
      <c r="D315" s="1164">
        <f t="shared" si="84"/>
        <v>-11832519.071247591</v>
      </c>
      <c r="E315" s="1164">
        <f t="shared" si="85"/>
        <v>-150374882.5177612</v>
      </c>
      <c r="F315" s="1167">
        <f t="shared" si="86"/>
        <v>-1450586612.0203741</v>
      </c>
      <c r="G315" s="1164">
        <f t="shared" si="87"/>
        <v>-1359442.1142114073</v>
      </c>
      <c r="H315" s="827">
        <f>(0.0584*1.02)*0.5202</f>
        <v>3.09872736E-2</v>
      </c>
      <c r="I315" s="1157">
        <f>'Emission-Waste Transport Vehicl'!N66</f>
        <v>16.959839976288002</v>
      </c>
      <c r="J315" s="1157">
        <f>'Emission-Waste Transport Vehicl'!P66</f>
        <v>9.4361723945280005</v>
      </c>
      <c r="K315" s="1157">
        <f>'Emission-Waste Transport Vehicl'!Q66</f>
        <v>7.3283968200960006</v>
      </c>
      <c r="L315" s="1157">
        <f>'Emission-Waste Transport Vehicl'!R66</f>
        <v>0.72939372739200004</v>
      </c>
      <c r="M315" s="1158">
        <f t="shared" si="73"/>
        <v>-4989184218.0389023</v>
      </c>
      <c r="N315" s="1159">
        <f t="shared" si="74"/>
        <v>-200677629.96473506</v>
      </c>
      <c r="O315" s="1159">
        <f t="shared" si="75"/>
        <v>-1418963315.2444894</v>
      </c>
      <c r="P315" s="1159">
        <f t="shared" si="76"/>
        <v>-10630474314.80394</v>
      </c>
      <c r="Q315" s="1159">
        <f t="shared" si="77"/>
        <v>-991568.55085831939</v>
      </c>
      <c r="R315" s="2773"/>
    </row>
    <row r="316" spans="1:18" x14ac:dyDescent="0.25">
      <c r="A316" s="2862"/>
      <c r="B316" s="706">
        <v>2053</v>
      </c>
      <c r="C316" s="1164">
        <f t="shared" si="83"/>
        <v>-161007524651.63318</v>
      </c>
      <c r="D316" s="1164">
        <f t="shared" si="84"/>
        <v>-11832519.071247591</v>
      </c>
      <c r="E316" s="1164">
        <f t="shared" si="85"/>
        <v>-150374882.5177612</v>
      </c>
      <c r="F316" s="1167">
        <f t="shared" si="86"/>
        <v>-1450586612.0203741</v>
      </c>
      <c r="G316" s="1164">
        <f t="shared" si="87"/>
        <v>-1359442.1142114073</v>
      </c>
      <c r="H316" s="827">
        <f>(0.0584*1.02)*0.51</f>
        <v>3.0379680000000003E-2</v>
      </c>
      <c r="I316" s="1157">
        <f>'Emission-Waste Transport Vehicl'!N67</f>
        <v>15.361506000000002</v>
      </c>
      <c r="J316" s="1157">
        <f>'Emission-Waste Transport Vehicl'!P67</f>
        <v>9.2511494064000015</v>
      </c>
      <c r="K316" s="1157">
        <f>'Emission-Waste Transport Vehicl'!Q67</f>
        <v>7.1847027647999999</v>
      </c>
      <c r="L316" s="1157">
        <f>'Emission-Waste Transport Vehicl'!R67</f>
        <v>0.71509188960000014</v>
      </c>
      <c r="M316" s="1158">
        <f t="shared" si="73"/>
        <v>-4891357076.508728</v>
      </c>
      <c r="N316" s="1159">
        <f t="shared" si="74"/>
        <v>-181765312.70808432</v>
      </c>
      <c r="O316" s="1159">
        <f t="shared" si="75"/>
        <v>-1391140505.1416564</v>
      </c>
      <c r="P316" s="1159">
        <f t="shared" si="76"/>
        <v>-10422033641.964645</v>
      </c>
      <c r="Q316" s="1159">
        <f t="shared" si="77"/>
        <v>-972126.03025325446</v>
      </c>
      <c r="R316" s="2773"/>
    </row>
    <row r="317" spans="1:18" x14ac:dyDescent="0.25">
      <c r="A317" s="2862"/>
      <c r="B317" s="706">
        <v>2054</v>
      </c>
      <c r="C317" s="1164">
        <f t="shared" si="83"/>
        <v>-161007524651.63318</v>
      </c>
      <c r="D317" s="1164">
        <f t="shared" si="84"/>
        <v>-11832519.071247591</v>
      </c>
      <c r="E317" s="1164">
        <f t="shared" si="85"/>
        <v>-150374882.5177612</v>
      </c>
      <c r="F317" s="1167">
        <f t="shared" si="86"/>
        <v>-1450586612.0203741</v>
      </c>
      <c r="G317" s="1164">
        <f t="shared" si="87"/>
        <v>-1359442.1142114073</v>
      </c>
      <c r="H317" s="827">
        <f>(0.0584*1.02)*0.5</f>
        <v>2.9784000000000001E-2</v>
      </c>
      <c r="I317" s="1157">
        <f>'Emission-Waste Transport Vehicl'!N68</f>
        <v>16.301268720000003</v>
      </c>
      <c r="J317" s="1157">
        <f>'Emission-Waste Transport Vehicl'!P68</f>
        <v>9.0697543200000013</v>
      </c>
      <c r="K317" s="1157">
        <f>'Emission-Waste Transport Vehicl'!Q68</f>
        <v>7.0438262400000005</v>
      </c>
      <c r="L317" s="1157">
        <f>'Emission-Waste Transport Vehicl'!R68</f>
        <v>0.70107048000000005</v>
      </c>
      <c r="M317" s="1158">
        <f t="shared" si="73"/>
        <v>-4795448114.2242432</v>
      </c>
      <c r="N317" s="1159">
        <f t="shared" si="74"/>
        <v>-192885073.01493183</v>
      </c>
      <c r="O317" s="1159">
        <f t="shared" si="75"/>
        <v>-1363863240.3349574</v>
      </c>
      <c r="P317" s="1159">
        <f t="shared" si="76"/>
        <v>-10217680041.141811</v>
      </c>
      <c r="Q317" s="1159">
        <f t="shared" si="77"/>
        <v>-953064.73554240621</v>
      </c>
      <c r="R317" s="2773"/>
    </row>
    <row r="318" spans="1:18" x14ac:dyDescent="0.25">
      <c r="A318" s="2862"/>
      <c r="B318" s="706">
        <v>2055</v>
      </c>
      <c r="C318" s="1164">
        <f t="shared" si="83"/>
        <v>-161007524651.63318</v>
      </c>
      <c r="D318" s="1164">
        <f t="shared" si="84"/>
        <v>-11832519.071247591</v>
      </c>
      <c r="E318" s="1164">
        <f t="shared" si="85"/>
        <v>-150374882.5177612</v>
      </c>
      <c r="F318" s="1167">
        <f t="shared" si="86"/>
        <v>-1450586612.0203741</v>
      </c>
      <c r="G318" s="1164">
        <f t="shared" si="87"/>
        <v>-1359442.1142114073</v>
      </c>
      <c r="H318" s="827">
        <f>(0.0584*1.02)*0.4902</f>
        <v>2.9200233600000004E-2</v>
      </c>
      <c r="I318" s="1157">
        <f>'Emission-Waste Transport Vehicl'!N69</f>
        <v>15.981763853088003</v>
      </c>
      <c r="J318" s="1157">
        <f>'Emission-Waste Transport Vehicl'!P69</f>
        <v>8.8919871353280016</v>
      </c>
      <c r="K318" s="1157">
        <f>'Emission-Waste Transport Vehicl'!Q69</f>
        <v>6.9057672456960004</v>
      </c>
      <c r="L318" s="1157">
        <f>'Emission-Waste Transport Vehicl'!R69</f>
        <v>0.6873294985920001</v>
      </c>
      <c r="M318" s="1158">
        <f t="shared" si="73"/>
        <v>-4701457331.1854477</v>
      </c>
      <c r="N318" s="1159">
        <f t="shared" si="74"/>
        <v>-189104525.58383918</v>
      </c>
      <c r="O318" s="1159">
        <f t="shared" si="75"/>
        <v>-1337131520.8243923</v>
      </c>
      <c r="P318" s="1159">
        <f t="shared" si="76"/>
        <v>-10017413512.335432</v>
      </c>
      <c r="Q318" s="1159">
        <f t="shared" si="77"/>
        <v>-934384.66672577511</v>
      </c>
      <c r="R318" s="2773"/>
    </row>
    <row r="319" spans="1:18" x14ac:dyDescent="0.25">
      <c r="A319" s="2862"/>
      <c r="B319" s="706">
        <v>2056</v>
      </c>
      <c r="C319" s="1164">
        <f t="shared" si="83"/>
        <v>-161007524651.63318</v>
      </c>
      <c r="D319" s="1164">
        <f t="shared" si="84"/>
        <v>-11832519.071247591</v>
      </c>
      <c r="E319" s="1164">
        <f t="shared" si="85"/>
        <v>-150374882.5177612</v>
      </c>
      <c r="F319" s="1167">
        <f t="shared" si="86"/>
        <v>-1450586612.0203741</v>
      </c>
      <c r="G319" s="1164">
        <f t="shared" si="87"/>
        <v>-1359442.1142114073</v>
      </c>
      <c r="H319" s="827">
        <f>(0.0584*1.02)*0.4806</f>
        <v>2.8628380800000002E-2</v>
      </c>
      <c r="I319" s="1157">
        <f>'Emission-Waste Transport Vehicl'!N70</f>
        <v>15.668779493664003</v>
      </c>
      <c r="J319" s="1157">
        <f>'Emission-Waste Transport Vehicl'!P70</f>
        <v>8.7178478523840006</v>
      </c>
      <c r="K319" s="1157">
        <f>'Emission-Waste Transport Vehicl'!Q70</f>
        <v>6.7705257818880007</v>
      </c>
      <c r="L319" s="1157">
        <f>'Emission-Waste Transport Vehicl'!R70</f>
        <v>0.67386894537600017</v>
      </c>
      <c r="M319" s="1158">
        <f t="shared" si="73"/>
        <v>-4609384727.3923426</v>
      </c>
      <c r="N319" s="1159">
        <f t="shared" si="74"/>
        <v>-185401132.18195248</v>
      </c>
      <c r="O319" s="1159">
        <f t="shared" si="75"/>
        <v>-1310945346.6099608</v>
      </c>
      <c r="P319" s="1159">
        <f t="shared" si="76"/>
        <v>-9821234055.5455093</v>
      </c>
      <c r="Q319" s="1159">
        <f t="shared" si="77"/>
        <v>-916085.82380336104</v>
      </c>
      <c r="R319" s="2773"/>
    </row>
    <row r="320" spans="1:18" x14ac:dyDescent="0.25">
      <c r="A320" s="2862"/>
      <c r="B320" s="706">
        <v>2057</v>
      </c>
      <c r="C320" s="1164">
        <f t="shared" si="83"/>
        <v>-161007524651.63318</v>
      </c>
      <c r="D320" s="1164">
        <f t="shared" si="84"/>
        <v>-11832519.071247591</v>
      </c>
      <c r="E320" s="1164">
        <f t="shared" si="85"/>
        <v>-150374882.5177612</v>
      </c>
      <c r="F320" s="1167">
        <f t="shared" si="86"/>
        <v>-1450586612.0203741</v>
      </c>
      <c r="G320" s="1164">
        <f t="shared" si="87"/>
        <v>-1359442.1142114073</v>
      </c>
      <c r="H320" s="827">
        <f>(0.0584*1.02)*0.4712</f>
        <v>2.8068441600000001E-2</v>
      </c>
      <c r="I320" s="1157">
        <f>'Emission-Waste Transport Vehicl'!N71</f>
        <v>15.362315641728001</v>
      </c>
      <c r="J320" s="1157">
        <f>'Emission-Waste Transport Vehicl'!P71</f>
        <v>8.547336471168002</v>
      </c>
      <c r="K320" s="1157">
        <f>'Emission-Waste Transport Vehicl'!Q71</f>
        <v>6.6381018485760004</v>
      </c>
      <c r="L320" s="1157">
        <f>'Emission-Waste Transport Vehicl'!R71</f>
        <v>0.66068882035200005</v>
      </c>
      <c r="M320" s="1158">
        <f t="shared" si="73"/>
        <v>-4519230302.8449259</v>
      </c>
      <c r="N320" s="1159">
        <f t="shared" si="74"/>
        <v>-181774892.80927175</v>
      </c>
      <c r="O320" s="1159">
        <f t="shared" si="75"/>
        <v>-1285304717.691664</v>
      </c>
      <c r="P320" s="1159">
        <f t="shared" si="76"/>
        <v>-9629141670.7720432</v>
      </c>
      <c r="Q320" s="1159">
        <f t="shared" si="77"/>
        <v>-898168.20677516353</v>
      </c>
      <c r="R320" s="2773"/>
    </row>
    <row r="321" spans="1:18" x14ac:dyDescent="0.25">
      <c r="A321" s="2862"/>
      <c r="B321" s="706">
        <v>2058</v>
      </c>
      <c r="C321" s="1164">
        <f t="shared" si="83"/>
        <v>-161007524651.63318</v>
      </c>
      <c r="D321" s="1164">
        <f t="shared" si="84"/>
        <v>-11832519.071247591</v>
      </c>
      <c r="E321" s="1164">
        <f t="shared" si="85"/>
        <v>-150374882.5177612</v>
      </c>
      <c r="F321" s="1167">
        <f t="shared" si="86"/>
        <v>-1450586612.0203741</v>
      </c>
      <c r="G321" s="1164">
        <f t="shared" si="87"/>
        <v>-1359442.1142114073</v>
      </c>
      <c r="H321" s="827">
        <f>(0.0584*1.02)*0.4619</f>
        <v>2.7514459200000001E-2</v>
      </c>
      <c r="I321" s="1157">
        <f>'Emission-Waste Transport Vehicl'!N72</f>
        <v>15.059112043536</v>
      </c>
      <c r="J321" s="1157">
        <f>'Emission-Waste Transport Vehicl'!P72</f>
        <v>8.378639040816001</v>
      </c>
      <c r="K321" s="1157">
        <f>'Emission-Waste Transport Vehicl'!Q72</f>
        <v>6.5070866805119998</v>
      </c>
      <c r="L321" s="1157">
        <f>'Emission-Waste Transport Vehicl'!R72</f>
        <v>0.647648909424</v>
      </c>
      <c r="M321" s="1158">
        <f t="shared" si="73"/>
        <v>-4430034967.9203558</v>
      </c>
      <c r="N321" s="1159">
        <f t="shared" si="74"/>
        <v>-178187230.45119402</v>
      </c>
      <c r="O321" s="1159">
        <f t="shared" si="75"/>
        <v>-1259936861.4214334</v>
      </c>
      <c r="P321" s="1159">
        <f t="shared" si="76"/>
        <v>-9439092822.0068035</v>
      </c>
      <c r="Q321" s="1159">
        <f t="shared" si="77"/>
        <v>-880441.20269407472</v>
      </c>
      <c r="R321" s="2773"/>
    </row>
    <row r="322" spans="1:18" x14ac:dyDescent="0.25">
      <c r="A322" s="2862"/>
      <c r="B322" s="706">
        <v>2059</v>
      </c>
      <c r="C322" s="1164">
        <f t="shared" si="83"/>
        <v>-161007524651.63318</v>
      </c>
      <c r="D322" s="1164">
        <f t="shared" si="84"/>
        <v>-11832519.071247591</v>
      </c>
      <c r="E322" s="1164">
        <f t="shared" si="85"/>
        <v>-150374882.5177612</v>
      </c>
      <c r="F322" s="1167">
        <f t="shared" si="86"/>
        <v>-1450586612.0203741</v>
      </c>
      <c r="G322" s="1164">
        <f t="shared" si="87"/>
        <v>-1359442.1142114073</v>
      </c>
      <c r="H322" s="827">
        <f>(0.0584*1.02)*0.4529</f>
        <v>2.6978347200000002E-2</v>
      </c>
      <c r="I322" s="1157">
        <f>'Emission-Waste Transport Vehicl'!N73</f>
        <v>14.765689206576004</v>
      </c>
      <c r="J322" s="1157">
        <f>'Emission-Waste Transport Vehicl'!P73</f>
        <v>8.2153834630560016</v>
      </c>
      <c r="K322" s="1157">
        <f>'Emission-Waste Transport Vehicl'!Q73</f>
        <v>6.380297808192001</v>
      </c>
      <c r="L322" s="1157">
        <f>'Emission-Waste Transport Vehicl'!R73</f>
        <v>0.63502964078400004</v>
      </c>
      <c r="M322" s="1158">
        <f t="shared" si="73"/>
        <v>-4343716901.8643198</v>
      </c>
      <c r="N322" s="1159">
        <f t="shared" si="74"/>
        <v>-174715299.13692528</v>
      </c>
      <c r="O322" s="1159">
        <f t="shared" si="75"/>
        <v>-1235387323.0954044</v>
      </c>
      <c r="P322" s="1159">
        <f t="shared" si="76"/>
        <v>-9255174581.2662525</v>
      </c>
      <c r="Q322" s="1159">
        <f t="shared" si="77"/>
        <v>-863286.0374543115</v>
      </c>
      <c r="R322" s="2773"/>
    </row>
    <row r="323" spans="1:18" x14ac:dyDescent="0.25">
      <c r="A323" s="2862"/>
      <c r="B323" s="706">
        <v>2060</v>
      </c>
      <c r="C323" s="1164">
        <f t="shared" si="83"/>
        <v>-161007524651.63318</v>
      </c>
      <c r="D323" s="1164">
        <f t="shared" si="84"/>
        <v>-11832519.071247591</v>
      </c>
      <c r="E323" s="1164">
        <f t="shared" si="85"/>
        <v>-150374882.5177612</v>
      </c>
      <c r="F323" s="1167">
        <f t="shared" si="86"/>
        <v>-1450586612.0203741</v>
      </c>
      <c r="G323" s="1164">
        <f t="shared" si="87"/>
        <v>-1359442.1142114073</v>
      </c>
      <c r="H323" s="827">
        <f>(0.0584*1.02)*0.444</f>
        <v>2.6448192000000002E-2</v>
      </c>
      <c r="I323" s="1157">
        <f>'Emission-Waste Transport Vehicl'!N74</f>
        <v>14.475526623360002</v>
      </c>
      <c r="J323" s="1157">
        <f>'Emission-Waste Transport Vehicl'!P74</f>
        <v>8.0539418361599999</v>
      </c>
      <c r="K323" s="1157">
        <f>'Emission-Waste Transport Vehicl'!Q74</f>
        <v>6.2549177011200001</v>
      </c>
      <c r="L323" s="1157">
        <f>'Emission-Waste Transport Vehicl'!R74</f>
        <v>0.62255058624000004</v>
      </c>
      <c r="M323" s="1158">
        <f t="shared" si="73"/>
        <v>-4258357925.431128</v>
      </c>
      <c r="N323" s="1159">
        <f t="shared" si="74"/>
        <v>-171281944.83725947</v>
      </c>
      <c r="O323" s="1159">
        <f t="shared" si="75"/>
        <v>-1211110557.4174418</v>
      </c>
      <c r="P323" s="1159">
        <f t="shared" si="76"/>
        <v>-9073299876.5339279</v>
      </c>
      <c r="Q323" s="1159">
        <f t="shared" si="77"/>
        <v>-846321.48516165663</v>
      </c>
      <c r="R323" s="2773"/>
    </row>
    <row r="324" spans="1:18" x14ac:dyDescent="0.25">
      <c r="A324" s="2862"/>
      <c r="B324" s="706">
        <v>2061</v>
      </c>
      <c r="C324" s="1164">
        <f t="shared" si="83"/>
        <v>-161007524651.63318</v>
      </c>
      <c r="D324" s="1164">
        <f t="shared" si="84"/>
        <v>-11832519.071247591</v>
      </c>
      <c r="E324" s="1164">
        <f t="shared" si="85"/>
        <v>-150374882.5177612</v>
      </c>
      <c r="F324" s="1167">
        <f t="shared" si="86"/>
        <v>-1450586612.0203741</v>
      </c>
      <c r="G324" s="1164">
        <f t="shared" si="87"/>
        <v>-1359442.1142114073</v>
      </c>
      <c r="H324" s="827">
        <f>(0.0584*1.02)*0.4353</f>
        <v>2.5929950400000002E-2</v>
      </c>
      <c r="I324" s="1157">
        <f>'Emission-Waste Transport Vehicl'!N75</f>
        <v>14.191884547632004</v>
      </c>
      <c r="J324" s="1157">
        <f>'Emission-Waste Transport Vehicl'!P75</f>
        <v>7.8961281109920014</v>
      </c>
      <c r="K324" s="1157">
        <f>'Emission-Waste Transport Vehicl'!Q75</f>
        <v>6.1323551245440004</v>
      </c>
      <c r="L324" s="1157">
        <f>'Emission-Waste Transport Vehicl'!R75</f>
        <v>0.61035195988800006</v>
      </c>
      <c r="M324" s="1158">
        <f t="shared" si="73"/>
        <v>-4174917128.2436261</v>
      </c>
      <c r="N324" s="1159">
        <f t="shared" si="74"/>
        <v>-167925744.56679967</v>
      </c>
      <c r="O324" s="1159">
        <f t="shared" si="75"/>
        <v>-1187379337.0356138</v>
      </c>
      <c r="P324" s="1159">
        <f t="shared" si="76"/>
        <v>-8895512243.8180599</v>
      </c>
      <c r="Q324" s="1159">
        <f t="shared" si="77"/>
        <v>-829738.15876321879</v>
      </c>
      <c r="R324" s="2773"/>
    </row>
    <row r="325" spans="1:18" x14ac:dyDescent="0.25">
      <c r="A325" s="2862"/>
      <c r="B325" s="706">
        <v>2062</v>
      </c>
      <c r="C325" s="1164">
        <f t="shared" si="83"/>
        <v>-161007524651.63318</v>
      </c>
      <c r="D325" s="1164">
        <f t="shared" si="84"/>
        <v>-11832519.071247591</v>
      </c>
      <c r="E325" s="1164">
        <f t="shared" si="85"/>
        <v>-150374882.5177612</v>
      </c>
      <c r="F325" s="1167">
        <f t="shared" si="86"/>
        <v>-1450586612.0203741</v>
      </c>
      <c r="G325" s="1164">
        <f t="shared" si="87"/>
        <v>-1359442.1142114073</v>
      </c>
      <c r="H325" s="827">
        <f>(0.0584*1.02)*0.4268</f>
        <v>2.5423622400000002E-2</v>
      </c>
      <c r="I325" s="1157">
        <f>'Emission-Waste Transport Vehicl'!N76</f>
        <v>13.914762979392002</v>
      </c>
      <c r="J325" s="1157">
        <f>'Emission-Waste Transport Vehicl'!P76</f>
        <v>7.7419422875520008</v>
      </c>
      <c r="K325" s="1157">
        <f>'Emission-Waste Transport Vehicl'!Q76</f>
        <v>6.0126100784640002</v>
      </c>
      <c r="L325" s="1157">
        <f>'Emission-Waste Transport Vehicl'!R76</f>
        <v>0.59843376172800011</v>
      </c>
      <c r="M325" s="1158">
        <f t="shared" si="73"/>
        <v>-4093394510.3018136</v>
      </c>
      <c r="N325" s="1159">
        <f t="shared" si="74"/>
        <v>-164646698.32554582</v>
      </c>
      <c r="O325" s="1159">
        <f t="shared" si="75"/>
        <v>-1164193661.9499195</v>
      </c>
      <c r="P325" s="1159">
        <f t="shared" si="76"/>
        <v>-8721811683.1186504</v>
      </c>
      <c r="Q325" s="1159">
        <f t="shared" si="77"/>
        <v>-813536.05825899797</v>
      </c>
      <c r="R325" s="2773"/>
    </row>
    <row r="326" spans="1:18" x14ac:dyDescent="0.25">
      <c r="A326" s="2862"/>
      <c r="B326" s="706">
        <v>2063</v>
      </c>
      <c r="C326" s="1164">
        <f t="shared" si="83"/>
        <v>-161007524651.63318</v>
      </c>
      <c r="D326" s="1164">
        <f t="shared" si="84"/>
        <v>-11832519.071247591</v>
      </c>
      <c r="E326" s="1164">
        <f t="shared" si="85"/>
        <v>-150374882.5177612</v>
      </c>
      <c r="F326" s="1167">
        <f t="shared" si="86"/>
        <v>-1450586612.0203741</v>
      </c>
      <c r="G326" s="1164">
        <f t="shared" si="87"/>
        <v>-1359442.1142114073</v>
      </c>
      <c r="H326" s="827">
        <f>(0.0584*1.02)*0.4184</f>
        <v>2.49232512E-2</v>
      </c>
      <c r="I326" s="1157">
        <f>'Emission-Waste Transport Vehicl'!N77</f>
        <v>13.640901664896001</v>
      </c>
      <c r="J326" s="1157">
        <f>'Emission-Waste Transport Vehicl'!P77</f>
        <v>7.5895704149760004</v>
      </c>
      <c r="K326" s="1157">
        <f>'Emission-Waste Transport Vehicl'!Q77</f>
        <v>5.8942737976319997</v>
      </c>
      <c r="L326" s="1157">
        <f>'Emission-Waste Transport Vehicl'!R77</f>
        <v>0.58665577766400001</v>
      </c>
      <c r="M326" s="1158">
        <f t="shared" si="73"/>
        <v>-4012830981.9828463</v>
      </c>
      <c r="N326" s="1159">
        <f t="shared" si="74"/>
        <v>-161406229.09889495</v>
      </c>
      <c r="O326" s="1159">
        <f t="shared" si="75"/>
        <v>-1141280759.5122921</v>
      </c>
      <c r="P326" s="1159">
        <f t="shared" si="76"/>
        <v>-8550154658.4274664</v>
      </c>
      <c r="Q326" s="1159">
        <f t="shared" si="77"/>
        <v>-797524.5707018855</v>
      </c>
      <c r="R326" s="2773"/>
    </row>
    <row r="327" spans="1:18" x14ac:dyDescent="0.25">
      <c r="A327" s="2862"/>
      <c r="B327" s="706">
        <v>2064</v>
      </c>
      <c r="C327" s="1164">
        <f t="shared" si="83"/>
        <v>-161007524651.63318</v>
      </c>
      <c r="D327" s="1164">
        <f t="shared" si="84"/>
        <v>-11832519.071247591</v>
      </c>
      <c r="E327" s="1164">
        <f t="shared" si="85"/>
        <v>-150374882.5177612</v>
      </c>
      <c r="F327" s="1167">
        <f t="shared" si="86"/>
        <v>-1450586612.0203741</v>
      </c>
      <c r="G327" s="1164">
        <f t="shared" si="87"/>
        <v>-1359442.1142114073</v>
      </c>
      <c r="H327" s="827">
        <f>(0.0584*1.02)*0.4102</f>
        <v>2.4434793600000001E-2</v>
      </c>
      <c r="I327" s="1157">
        <f>'Emission-Waste Transport Vehicl'!N78</f>
        <v>13.373560857888002</v>
      </c>
      <c r="J327" s="1157">
        <f>'Emission-Waste Transport Vehicl'!P78</f>
        <v>7.4408264441280014</v>
      </c>
      <c r="K327" s="1157">
        <f>'Emission-Waste Transport Vehicl'!Q78</f>
        <v>5.7787550472960003</v>
      </c>
      <c r="L327" s="1157">
        <f>'Emission-Waste Transport Vehicl'!R78</f>
        <v>0.57515822179200005</v>
      </c>
      <c r="M327" s="1158">
        <f t="shared" si="73"/>
        <v>-3934185632.9095688</v>
      </c>
      <c r="N327" s="1159">
        <f t="shared" si="74"/>
        <v>-158242913.90145007</v>
      </c>
      <c r="O327" s="1159">
        <f t="shared" si="75"/>
        <v>-1118913402.3707991</v>
      </c>
      <c r="P327" s="1159">
        <f t="shared" si="76"/>
        <v>-8382584705.7527418</v>
      </c>
      <c r="Q327" s="1159">
        <f t="shared" si="77"/>
        <v>-781894.30903899006</v>
      </c>
      <c r="R327" s="2773"/>
    </row>
    <row r="328" spans="1:18" x14ac:dyDescent="0.25">
      <c r="A328" s="2862"/>
      <c r="B328" s="706">
        <v>2065</v>
      </c>
      <c r="C328" s="1164">
        <f t="shared" si="83"/>
        <v>-161007524651.63318</v>
      </c>
      <c r="D328" s="1164">
        <f t="shared" si="84"/>
        <v>-11832519.071247591</v>
      </c>
      <c r="E328" s="1164">
        <f t="shared" si="85"/>
        <v>-150374882.5177612</v>
      </c>
      <c r="F328" s="1167">
        <f t="shared" si="86"/>
        <v>-1450586612.0203741</v>
      </c>
      <c r="G328" s="1164">
        <f t="shared" si="87"/>
        <v>-1359442.1142114073</v>
      </c>
      <c r="H328" s="827">
        <f>(0.0584*1.02)*0.4022</f>
        <v>2.3958249600000002E-2</v>
      </c>
      <c r="I328" s="1157">
        <f>'Emission-Waste Transport Vehicl'!N79</f>
        <v>13.112740558368001</v>
      </c>
      <c r="J328" s="1157">
        <f>'Emission-Waste Transport Vehicl'!P79</f>
        <v>7.2957103750080003</v>
      </c>
      <c r="K328" s="1157">
        <f>'Emission-Waste Transport Vehicl'!Q79</f>
        <v>5.6660538274560004</v>
      </c>
      <c r="L328" s="1157">
        <f>'Emission-Waste Transport Vehicl'!R79</f>
        <v>0.56394109411200011</v>
      </c>
      <c r="M328" s="1158">
        <f t="shared" si="73"/>
        <v>-3857458463.0819812</v>
      </c>
      <c r="N328" s="1159">
        <f t="shared" si="74"/>
        <v>-155156752.73321116</v>
      </c>
      <c r="O328" s="1159">
        <f t="shared" si="75"/>
        <v>-1097091590.5254395</v>
      </c>
      <c r="P328" s="1159">
        <f t="shared" si="76"/>
        <v>-8219101825.0944729</v>
      </c>
      <c r="Q328" s="1159">
        <f t="shared" si="77"/>
        <v>-766645.27327031165</v>
      </c>
      <c r="R328" s="2773"/>
    </row>
    <row r="329" spans="1:18" x14ac:dyDescent="0.25">
      <c r="A329" s="2862"/>
      <c r="B329" s="706">
        <v>2066</v>
      </c>
      <c r="C329" s="1164">
        <f t="shared" si="83"/>
        <v>-161007524651.63318</v>
      </c>
      <c r="D329" s="1164">
        <f t="shared" si="84"/>
        <v>-11832519.071247591</v>
      </c>
      <c r="E329" s="1164">
        <f t="shared" si="85"/>
        <v>-150374882.5177612</v>
      </c>
      <c r="F329" s="1167">
        <f t="shared" si="86"/>
        <v>-1450586612.0203741</v>
      </c>
      <c r="G329" s="1164">
        <f t="shared" si="87"/>
        <v>-1359442.1142114073</v>
      </c>
      <c r="H329" s="827">
        <f>(0.0584*1.02)*0.3943</f>
        <v>2.3487662400000001E-2</v>
      </c>
      <c r="I329" s="1157">
        <f>'Emission-Waste Transport Vehicl'!N80</f>
        <v>12.855180512592</v>
      </c>
      <c r="J329" s="1157">
        <f>'Emission-Waste Transport Vehicl'!P80</f>
        <v>7.1524082567520004</v>
      </c>
      <c r="K329" s="1157">
        <f>'Emission-Waste Transport Vehicl'!Q80</f>
        <v>5.5547613728639993</v>
      </c>
      <c r="L329" s="1157">
        <f>'Emission-Waste Transport Vehicl'!R80</f>
        <v>0.55286418052800002</v>
      </c>
      <c r="M329" s="1158">
        <f t="shared" si="73"/>
        <v>-3781690382.8772378</v>
      </c>
      <c r="N329" s="1159">
        <f t="shared" si="74"/>
        <v>-152109168.57957521</v>
      </c>
      <c r="O329" s="1159">
        <f t="shared" si="75"/>
        <v>-1075542551.3281472</v>
      </c>
      <c r="P329" s="1159">
        <f t="shared" si="76"/>
        <v>-8057662480.4444304</v>
      </c>
      <c r="Q329" s="1159">
        <f t="shared" si="77"/>
        <v>-751586.85044874146</v>
      </c>
      <c r="R329" s="2773"/>
    </row>
    <row r="330" spans="1:18" x14ac:dyDescent="0.25">
      <c r="A330" s="2862"/>
      <c r="B330" s="706">
        <v>2067</v>
      </c>
      <c r="C330" s="1164">
        <f t="shared" si="83"/>
        <v>-161007524651.63318</v>
      </c>
      <c r="D330" s="1164">
        <f t="shared" si="84"/>
        <v>-11832519.071247591</v>
      </c>
      <c r="E330" s="1164">
        <f t="shared" si="85"/>
        <v>-150374882.5177612</v>
      </c>
      <c r="F330" s="1167">
        <f t="shared" si="86"/>
        <v>-1450586612.0203741</v>
      </c>
      <c r="G330" s="1164">
        <f t="shared" si="87"/>
        <v>-1359442.1142114073</v>
      </c>
      <c r="H330" s="827">
        <f>(0.0584*1.02)*0.3865</f>
        <v>2.3023032000000002E-2</v>
      </c>
      <c r="I330" s="1157">
        <f>'Emission-Waste Transport Vehicl'!N81</f>
        <v>12.600880720560001</v>
      </c>
      <c r="J330" s="1157">
        <f>'Emission-Waste Transport Vehicl'!P81</f>
        <v>7.0109200893600008</v>
      </c>
      <c r="K330" s="1157">
        <f>'Emission-Waste Transport Vehicl'!Q81</f>
        <v>5.4448776835200006</v>
      </c>
      <c r="L330" s="1157">
        <f>'Emission-Waste Transport Vehicl'!R81</f>
        <v>0.5419274810400001</v>
      </c>
      <c r="M330" s="1158">
        <f t="shared" si="73"/>
        <v>-3706881392.2953401</v>
      </c>
      <c r="N330" s="1159">
        <f t="shared" si="74"/>
        <v>-149100161.44054228</v>
      </c>
      <c r="O330" s="1159">
        <f t="shared" si="75"/>
        <v>-1054266284.778922</v>
      </c>
      <c r="P330" s="1159">
        <f t="shared" si="76"/>
        <v>-7898266671.8026199</v>
      </c>
      <c r="Q330" s="1159">
        <f t="shared" si="77"/>
        <v>-736719.04057428008</v>
      </c>
      <c r="R330" s="2773"/>
    </row>
    <row r="331" spans="1:18" x14ac:dyDescent="0.25">
      <c r="A331" s="2862"/>
      <c r="B331" s="706">
        <v>2068</v>
      </c>
      <c r="C331" s="1164">
        <f t="shared" si="83"/>
        <v>-161007524651.63318</v>
      </c>
      <c r="D331" s="1164">
        <f t="shared" si="84"/>
        <v>-11832519.071247591</v>
      </c>
      <c r="E331" s="1164">
        <f t="shared" si="85"/>
        <v>-150374882.5177612</v>
      </c>
      <c r="F331" s="1167">
        <f t="shared" si="86"/>
        <v>-1450586612.0203741</v>
      </c>
      <c r="G331" s="1164">
        <f t="shared" si="87"/>
        <v>-1359442.1142114073</v>
      </c>
      <c r="H331" s="827">
        <f>(0.0584*1.02)*0.379</f>
        <v>2.2576272000000001E-2</v>
      </c>
      <c r="I331" s="1157">
        <f>'Emission-Waste Transport Vehicl'!N82</f>
        <v>12.356361689760002</v>
      </c>
      <c r="J331" s="1157">
        <f>'Emission-Waste Transport Vehicl'!P82</f>
        <v>6.8748737745600002</v>
      </c>
      <c r="K331" s="1157">
        <f>'Emission-Waste Transport Vehicl'!Q82</f>
        <v>5.339220289920001</v>
      </c>
      <c r="L331" s="1157">
        <f>'Emission-Waste Transport Vehicl'!R82</f>
        <v>0.53141142384000006</v>
      </c>
      <c r="M331" s="1158">
        <f t="shared" si="73"/>
        <v>-3634949670.5819759</v>
      </c>
      <c r="N331" s="1159">
        <f t="shared" si="74"/>
        <v>-146206885.34531832</v>
      </c>
      <c r="O331" s="1159">
        <f t="shared" si="75"/>
        <v>-1033808336.1738975</v>
      </c>
      <c r="P331" s="1159">
        <f t="shared" si="76"/>
        <v>-7745001471.1854935</v>
      </c>
      <c r="Q331" s="1159">
        <f t="shared" si="77"/>
        <v>-722423.06954114395</v>
      </c>
      <c r="R331" s="2773"/>
    </row>
    <row r="332" spans="1:18" ht="15.75" thickBot="1" x14ac:dyDescent="0.3">
      <c r="A332" s="2863"/>
      <c r="B332" s="55">
        <v>2069</v>
      </c>
      <c r="C332" s="1165">
        <f t="shared" si="83"/>
        <v>-161007524651.63318</v>
      </c>
      <c r="D332" s="1165">
        <f t="shared" si="84"/>
        <v>-11832519.071247591</v>
      </c>
      <c r="E332" s="1165">
        <f t="shared" si="85"/>
        <v>-150374882.5177612</v>
      </c>
      <c r="F332" s="1168">
        <f t="shared" si="86"/>
        <v>-1450586612.0203741</v>
      </c>
      <c r="G332" s="1165">
        <f t="shared" si="87"/>
        <v>-1359442.1142114073</v>
      </c>
      <c r="H332" s="1062">
        <f>(0.0584*1.02)*0.3715</f>
        <v>2.2129512E-2</v>
      </c>
      <c r="I332" s="1161">
        <f>'Emission-Waste Transport Vehicl'!N83</f>
        <v>12.111842658960002</v>
      </c>
      <c r="J332" s="1161">
        <f>'Emission-Waste Transport Vehicl'!P83</f>
        <v>6.7388274597600004</v>
      </c>
      <c r="K332" s="1161">
        <f>'Emission-Waste Transport Vehicl'!Q83</f>
        <v>5.2335628963200005</v>
      </c>
      <c r="L332" s="1161">
        <f>'Emission-Waste Transport Vehicl'!R83</f>
        <v>0.52089536664000002</v>
      </c>
      <c r="M332" s="1162">
        <f t="shared" si="73"/>
        <v>-3563017948.8686123</v>
      </c>
      <c r="N332" s="1163">
        <f t="shared" si="74"/>
        <v>-143313609.25009435</v>
      </c>
      <c r="O332" s="1163">
        <f t="shared" si="75"/>
        <v>-1013350387.5688732</v>
      </c>
      <c r="P332" s="1163">
        <f t="shared" si="76"/>
        <v>-7591736270.5683661</v>
      </c>
      <c r="Q332" s="1163">
        <f t="shared" si="77"/>
        <v>-708127.09850800782</v>
      </c>
      <c r="R332" s="2774"/>
    </row>
    <row r="333" spans="1:18" s="230" customFormat="1" ht="15.75" thickBot="1" x14ac:dyDescent="0.3">
      <c r="A333" s="1177"/>
      <c r="B333" s="1065"/>
      <c r="C333" s="1178"/>
      <c r="D333" s="1178"/>
      <c r="E333" s="1178"/>
      <c r="F333" s="1179"/>
      <c r="G333" s="1178"/>
      <c r="H333" s="1068"/>
      <c r="I333" s="1180"/>
      <c r="J333" s="1180"/>
      <c r="K333" s="1180"/>
      <c r="L333" s="1180"/>
      <c r="M333" s="1181"/>
      <c r="N333" s="1181"/>
      <c r="O333" s="1181"/>
      <c r="P333" s="1181"/>
      <c r="Q333" s="1181"/>
      <c r="R333" s="1070"/>
    </row>
    <row r="334" spans="1:18" ht="48.75" customHeight="1" thickBot="1" x14ac:dyDescent="0.3">
      <c r="A334" s="2904" t="s">
        <v>1403</v>
      </c>
      <c r="B334" s="2905"/>
      <c r="C334" s="2905"/>
      <c r="D334" s="2905"/>
      <c r="E334" s="2905"/>
      <c r="F334" s="2905"/>
      <c r="G334" s="2905"/>
      <c r="H334" s="2905"/>
      <c r="I334" s="2905"/>
      <c r="J334" s="2905"/>
      <c r="K334" s="2905"/>
      <c r="L334" s="2905"/>
      <c r="M334" s="2905"/>
      <c r="N334" s="2905"/>
      <c r="O334" s="2905"/>
      <c r="P334" s="2905"/>
      <c r="Q334" s="2905"/>
      <c r="R334" s="2906"/>
    </row>
    <row r="335" spans="1:18" ht="105.75" thickBot="1" x14ac:dyDescent="0.3">
      <c r="A335" s="1009" t="s">
        <v>28</v>
      </c>
      <c r="B335" s="1102" t="s">
        <v>177</v>
      </c>
      <c r="C335" s="1010" t="s">
        <v>1193</v>
      </c>
      <c r="D335" s="1010" t="s">
        <v>1103</v>
      </c>
      <c r="E335" s="1010" t="s">
        <v>1104</v>
      </c>
      <c r="F335" s="1010" t="s">
        <v>1105</v>
      </c>
      <c r="G335" s="1010" t="s">
        <v>1106</v>
      </c>
      <c r="H335" s="1010" t="s">
        <v>1194</v>
      </c>
      <c r="I335" s="1010" t="s">
        <v>1080</v>
      </c>
      <c r="J335" s="1010" t="s">
        <v>273</v>
      </c>
      <c r="K335" s="1010" t="s">
        <v>455</v>
      </c>
      <c r="L335" s="1010" t="s">
        <v>274</v>
      </c>
      <c r="M335" s="1010" t="s">
        <v>1336</v>
      </c>
      <c r="N335" s="1010" t="s">
        <v>1079</v>
      </c>
      <c r="O335" s="1010" t="s">
        <v>271</v>
      </c>
      <c r="P335" s="1010" t="s">
        <v>277</v>
      </c>
      <c r="Q335" s="1010" t="s">
        <v>278</v>
      </c>
      <c r="R335" s="83" t="s">
        <v>316</v>
      </c>
    </row>
    <row r="336" spans="1:18" x14ac:dyDescent="0.25">
      <c r="A336" s="2907" t="s">
        <v>1078</v>
      </c>
      <c r="B336" s="881">
        <v>2019</v>
      </c>
      <c r="C336" s="1133">
        <f t="shared" ref="C336:C367" si="88">$S$18</f>
        <v>1887368.2584601068</v>
      </c>
      <c r="D336" s="1153">
        <f t="shared" ref="D336:D367" si="89">$T$18</f>
        <v>794.5609353710405</v>
      </c>
      <c r="E336" s="1153">
        <f t="shared" ref="E336:E367" si="90">$R$18</f>
        <v>1367.2146569372881</v>
      </c>
      <c r="F336" s="1153">
        <f t="shared" ref="F336:F367" si="91">$V$18</f>
        <v>-870.18053017898262</v>
      </c>
      <c r="G336" s="1153">
        <f t="shared" ref="G336:G367" si="92">$U$18</f>
        <v>1684.7122166464228</v>
      </c>
      <c r="H336" s="1056">
        <v>62</v>
      </c>
      <c r="I336" s="1154">
        <f>'Emission-Waste Transport Vehicl'!N33</f>
        <v>32.602537440000006</v>
      </c>
      <c r="J336" s="1154">
        <f>'Emission-Waste Transport Vehicl'!P33</f>
        <v>18.139508640000003</v>
      </c>
      <c r="K336" s="1154">
        <f>'Emission-Waste Transport Vehicl'!Q33</f>
        <v>14.087652480000001</v>
      </c>
      <c r="L336" s="1154">
        <f>'Emission-Waste Transport Vehicl'!R33</f>
        <v>1.4021409600000001</v>
      </c>
      <c r="M336" s="1155">
        <f>(C336/1000)*H336</f>
        <v>117016.83202452662</v>
      </c>
      <c r="N336" s="1155">
        <f t="shared" ref="N336:N399" si="93">D336*I336</f>
        <v>25904.702643795772</v>
      </c>
      <c r="O336" s="1155">
        <f t="shared" ref="O336:O399" si="94">E336*J336</f>
        <v>24800.602082248577</v>
      </c>
      <c r="P336" s="1155">
        <f t="shared" ref="P336:P399" si="95">F336*K336</f>
        <v>-12258.800904023659</v>
      </c>
      <c r="Q336" s="1155">
        <f t="shared" ref="Q336:Q399" si="96">G336*L336</f>
        <v>2362.2040047723435</v>
      </c>
      <c r="R336" s="2772">
        <f>(SUM(M336:M386)*1.2682)+(SUM(N336:N386)+(SUM(O336:O386))+(SUM(P336:P386))+(SUM(Q336:Q386)))</f>
        <v>11841857.542861719</v>
      </c>
    </row>
    <row r="337" spans="1:18" x14ac:dyDescent="0.25">
      <c r="A337" s="2908"/>
      <c r="B337" s="775">
        <v>2020</v>
      </c>
      <c r="C337" s="1134">
        <f t="shared" si="88"/>
        <v>1887368.2584601068</v>
      </c>
      <c r="D337" s="1156">
        <f t="shared" si="89"/>
        <v>794.5609353710405</v>
      </c>
      <c r="E337" s="1156">
        <f t="shared" si="90"/>
        <v>1367.2146569372881</v>
      </c>
      <c r="F337" s="1156">
        <f t="shared" si="91"/>
        <v>-870.18053017898262</v>
      </c>
      <c r="G337" s="1156">
        <f t="shared" si="92"/>
        <v>1684.7122166464228</v>
      </c>
      <c r="H337" s="827">
        <v>64</v>
      </c>
      <c r="I337" s="1157">
        <f>'Emission-Waste Transport Vehicl'!N34</f>
        <v>31.963527706176006</v>
      </c>
      <c r="J337" s="1157">
        <f>'Emission-Waste Transport Vehicl'!P34</f>
        <v>17.783974270656003</v>
      </c>
      <c r="K337" s="1157">
        <f>'Emission-Waste Transport Vehicl'!Q34</f>
        <v>13.811534491392001</v>
      </c>
      <c r="L337" s="1157">
        <f>'Emission-Waste Transport Vehicl'!R34</f>
        <v>1.3746589971840002</v>
      </c>
      <c r="M337" s="1159">
        <f t="shared" ref="M337:M385" si="97">(C337/1000)*H337</f>
        <v>120791.56854144683</v>
      </c>
      <c r="N337" s="1159">
        <f t="shared" si="93"/>
        <v>25396.970471977376</v>
      </c>
      <c r="O337" s="1159">
        <f t="shared" si="94"/>
        <v>24314.510281436505</v>
      </c>
      <c r="P337" s="1159">
        <f t="shared" si="95"/>
        <v>-12018.528406304797</v>
      </c>
      <c r="Q337" s="1159">
        <f t="shared" si="96"/>
        <v>2315.9048062788056</v>
      </c>
      <c r="R337" s="2773"/>
    </row>
    <row r="338" spans="1:18" x14ac:dyDescent="0.25">
      <c r="A338" s="2908"/>
      <c r="B338" s="775">
        <v>2021</v>
      </c>
      <c r="C338" s="1134">
        <f t="shared" si="88"/>
        <v>1887368.2584601068</v>
      </c>
      <c r="D338" s="1156">
        <f t="shared" si="89"/>
        <v>794.5609353710405</v>
      </c>
      <c r="E338" s="1156">
        <f t="shared" si="90"/>
        <v>1367.2146569372881</v>
      </c>
      <c r="F338" s="1156">
        <f t="shared" si="91"/>
        <v>-870.18053017898262</v>
      </c>
      <c r="G338" s="1156">
        <f t="shared" si="92"/>
        <v>1684.7122166464228</v>
      </c>
      <c r="H338" s="827">
        <v>65</v>
      </c>
      <c r="I338" s="1157">
        <f>'Emission-Waste Transport Vehicl'!N35</f>
        <v>31.337558987328006</v>
      </c>
      <c r="J338" s="1157">
        <f>'Emission-Waste Transport Vehicl'!P35</f>
        <v>17.435695704768001</v>
      </c>
      <c r="K338" s="1157">
        <f>'Emission-Waste Transport Vehicl'!Q35</f>
        <v>13.541051563776001</v>
      </c>
      <c r="L338" s="1157">
        <f>'Emission-Waste Transport Vehicl'!R35</f>
        <v>1.3477378907520003</v>
      </c>
      <c r="M338" s="1159">
        <f t="shared" si="97"/>
        <v>122678.93679990694</v>
      </c>
      <c r="N338" s="1159">
        <f t="shared" si="93"/>
        <v>24899.600181216498</v>
      </c>
      <c r="O338" s="1159">
        <f t="shared" si="94"/>
        <v>23838.33872145733</v>
      </c>
      <c r="P338" s="1159">
        <f t="shared" si="95"/>
        <v>-11783.159428947543</v>
      </c>
      <c r="Q338" s="1159">
        <f t="shared" si="96"/>
        <v>2270.5504893871771</v>
      </c>
      <c r="R338" s="2773"/>
    </row>
    <row r="339" spans="1:18" x14ac:dyDescent="0.25">
      <c r="A339" s="2908"/>
      <c r="B339" s="775">
        <v>2022</v>
      </c>
      <c r="C339" s="1134">
        <f t="shared" si="88"/>
        <v>1887368.2584601068</v>
      </c>
      <c r="D339" s="1156">
        <f t="shared" si="89"/>
        <v>794.5609353710405</v>
      </c>
      <c r="E339" s="1156">
        <f t="shared" si="90"/>
        <v>1367.2146569372881</v>
      </c>
      <c r="F339" s="1156">
        <f t="shared" si="91"/>
        <v>-870.18053017898262</v>
      </c>
      <c r="G339" s="1156">
        <f t="shared" si="92"/>
        <v>1684.7122166464228</v>
      </c>
      <c r="H339" s="827">
        <v>66</v>
      </c>
      <c r="I339" s="1157">
        <f>'Emission-Waste Transport Vehicl'!N36</f>
        <v>30.721371029712003</v>
      </c>
      <c r="J339" s="1157">
        <f>'Emission-Waste Transport Vehicl'!P36</f>
        <v>17.092858991472003</v>
      </c>
      <c r="K339" s="1157">
        <f>'Emission-Waste Transport Vehicl'!Q36</f>
        <v>13.274794931903999</v>
      </c>
      <c r="L339" s="1157">
        <f>'Emission-Waste Transport Vehicl'!R36</f>
        <v>1.3212374266080003</v>
      </c>
      <c r="M339" s="1159">
        <f t="shared" si="97"/>
        <v>124566.30505836704</v>
      </c>
      <c r="N339" s="1159">
        <f t="shared" si="93"/>
        <v>24410.001301248754</v>
      </c>
      <c r="O339" s="1159">
        <f t="shared" si="94"/>
        <v>23369.607342102834</v>
      </c>
      <c r="P339" s="1159">
        <f t="shared" si="95"/>
        <v>-11551.468091861494</v>
      </c>
      <c r="Q339" s="1159">
        <f t="shared" si="96"/>
        <v>2225.9048336969795</v>
      </c>
      <c r="R339" s="2773"/>
    </row>
    <row r="340" spans="1:18" x14ac:dyDescent="0.25">
      <c r="A340" s="2908"/>
      <c r="B340" s="775">
        <v>2023</v>
      </c>
      <c r="C340" s="1134">
        <f t="shared" si="88"/>
        <v>1887368.2584601068</v>
      </c>
      <c r="D340" s="1156">
        <f t="shared" si="89"/>
        <v>794.5609353710405</v>
      </c>
      <c r="E340" s="1156">
        <f t="shared" si="90"/>
        <v>1367.2146569372881</v>
      </c>
      <c r="F340" s="1156">
        <f t="shared" si="91"/>
        <v>-870.18053017898262</v>
      </c>
      <c r="G340" s="1156">
        <f t="shared" si="92"/>
        <v>1684.7122166464228</v>
      </c>
      <c r="H340" s="827">
        <v>67</v>
      </c>
      <c r="I340" s="1157">
        <f>'Emission-Waste Transport Vehicl'!N37</f>
        <v>30.118224087072001</v>
      </c>
      <c r="J340" s="1157">
        <f>'Emission-Waste Transport Vehicl'!P37</f>
        <v>16.757278081632002</v>
      </c>
      <c r="K340" s="1157">
        <f>'Emission-Waste Transport Vehicl'!Q37</f>
        <v>13.014173361024</v>
      </c>
      <c r="L340" s="1157">
        <f>'Emission-Waste Transport Vehicl'!R37</f>
        <v>1.295297818848</v>
      </c>
      <c r="M340" s="1159">
        <f t="shared" si="97"/>
        <v>126453.67331682715</v>
      </c>
      <c r="N340" s="1159">
        <f t="shared" si="93"/>
        <v>23930.764302338532</v>
      </c>
      <c r="O340" s="1159">
        <f t="shared" si="94"/>
        <v>22910.796203581234</v>
      </c>
      <c r="P340" s="1159">
        <f t="shared" si="95"/>
        <v>-11324.680275137056</v>
      </c>
      <c r="Q340" s="1159">
        <f t="shared" si="96"/>
        <v>2182.2040596086908</v>
      </c>
      <c r="R340" s="2773"/>
    </row>
    <row r="341" spans="1:18" x14ac:dyDescent="0.25">
      <c r="A341" s="2908"/>
      <c r="B341" s="775">
        <v>2024</v>
      </c>
      <c r="C341" s="1134">
        <f t="shared" si="88"/>
        <v>1887368.2584601068</v>
      </c>
      <c r="D341" s="1156">
        <f t="shared" si="89"/>
        <v>794.5609353710405</v>
      </c>
      <c r="E341" s="1156">
        <f t="shared" si="90"/>
        <v>1367.2146569372881</v>
      </c>
      <c r="F341" s="1156">
        <f t="shared" si="91"/>
        <v>-870.18053017898262</v>
      </c>
      <c r="G341" s="1156">
        <f t="shared" si="92"/>
        <v>1684.7122166464228</v>
      </c>
      <c r="H341" s="827">
        <v>68</v>
      </c>
      <c r="I341" s="1157">
        <f>'Emission-Waste Transport Vehicl'!N38</f>
        <v>29.528118159408002</v>
      </c>
      <c r="J341" s="1157">
        <f>'Emission-Waste Transport Vehicl'!P38</f>
        <v>16.428952975248002</v>
      </c>
      <c r="K341" s="1157">
        <f>'Emission-Waste Transport Vehicl'!Q38</f>
        <v>12.759186851135999</v>
      </c>
      <c r="L341" s="1157">
        <f>'Emission-Waste Transport Vehicl'!R38</f>
        <v>1.269919067472</v>
      </c>
      <c r="M341" s="1159">
        <f t="shared" si="97"/>
        <v>128341.04157528727</v>
      </c>
      <c r="N341" s="1159">
        <f t="shared" si="93"/>
        <v>23461.88918448583</v>
      </c>
      <c r="O341" s="1159">
        <f t="shared" si="94"/>
        <v>22461.905305892535</v>
      </c>
      <c r="P341" s="1159">
        <f t="shared" si="95"/>
        <v>-11102.795978774227</v>
      </c>
      <c r="Q341" s="1159">
        <f t="shared" si="96"/>
        <v>2139.4481671223111</v>
      </c>
      <c r="R341" s="2773"/>
    </row>
    <row r="342" spans="1:18" x14ac:dyDescent="0.25">
      <c r="A342" s="2908"/>
      <c r="B342" s="775">
        <v>2025</v>
      </c>
      <c r="C342" s="1134">
        <f t="shared" si="88"/>
        <v>1887368.2584601068</v>
      </c>
      <c r="D342" s="1156">
        <f t="shared" si="89"/>
        <v>794.5609353710405</v>
      </c>
      <c r="E342" s="1156">
        <f t="shared" si="90"/>
        <v>1367.2146569372881</v>
      </c>
      <c r="F342" s="1156">
        <f t="shared" si="91"/>
        <v>-870.18053017898262</v>
      </c>
      <c r="G342" s="1156">
        <f t="shared" si="92"/>
        <v>1684.7122166464228</v>
      </c>
      <c r="H342" s="827">
        <v>69</v>
      </c>
      <c r="I342" s="1157">
        <f>'Emission-Waste Transport Vehicl'!N39</f>
        <v>28.951053246720004</v>
      </c>
      <c r="J342" s="1157">
        <f>'Emission-Waste Transport Vehicl'!P39</f>
        <v>16.10788367232</v>
      </c>
      <c r="K342" s="1157">
        <f>'Emission-Waste Transport Vehicl'!Q39</f>
        <v>12.50983540224</v>
      </c>
      <c r="L342" s="1157">
        <f>'Emission-Waste Transport Vehicl'!R39</f>
        <v>1.2451011724800001</v>
      </c>
      <c r="M342" s="1159">
        <f t="shared" si="97"/>
        <v>130228.40983374737</v>
      </c>
      <c r="N342" s="1159">
        <f t="shared" si="93"/>
        <v>23003.375947690645</v>
      </c>
      <c r="O342" s="1159">
        <f t="shared" si="94"/>
        <v>22022.934649036732</v>
      </c>
      <c r="P342" s="1159">
        <f t="shared" si="95"/>
        <v>-10885.81520277301</v>
      </c>
      <c r="Q342" s="1159">
        <f t="shared" si="96"/>
        <v>2097.6371562378408</v>
      </c>
      <c r="R342" s="2773"/>
    </row>
    <row r="343" spans="1:18" x14ac:dyDescent="0.25">
      <c r="A343" s="2908"/>
      <c r="B343" s="775">
        <v>2026</v>
      </c>
      <c r="C343" s="1134">
        <f t="shared" si="88"/>
        <v>1887368.2584601068</v>
      </c>
      <c r="D343" s="1156">
        <f t="shared" si="89"/>
        <v>794.5609353710405</v>
      </c>
      <c r="E343" s="1156">
        <f t="shared" si="90"/>
        <v>1367.2146569372881</v>
      </c>
      <c r="F343" s="1156">
        <f t="shared" si="91"/>
        <v>-870.18053017898262</v>
      </c>
      <c r="G343" s="1156">
        <f t="shared" si="92"/>
        <v>1684.7122166464228</v>
      </c>
      <c r="H343" s="827">
        <v>70</v>
      </c>
      <c r="I343" s="1157">
        <f>'Emission-Waste Transport Vehicl'!N40</f>
        <v>28.383769095264007</v>
      </c>
      <c r="J343" s="1157">
        <f>'Emission-Waste Transport Vehicl'!P40</f>
        <v>15.792256221984003</v>
      </c>
      <c r="K343" s="1157">
        <f>'Emission-Waste Transport Vehicl'!Q40</f>
        <v>12.264710249088001</v>
      </c>
      <c r="L343" s="1157">
        <f>'Emission-Waste Transport Vehicl'!R40</f>
        <v>1.2207039197760001</v>
      </c>
      <c r="M343" s="1159">
        <f t="shared" si="97"/>
        <v>132115.77809220747</v>
      </c>
      <c r="N343" s="1159">
        <f t="shared" si="93"/>
        <v>22552.634121688603</v>
      </c>
      <c r="O343" s="1159">
        <f t="shared" si="94"/>
        <v>21591.404172805611</v>
      </c>
      <c r="P343" s="1159">
        <f t="shared" si="95"/>
        <v>-10672.512067042999</v>
      </c>
      <c r="Q343" s="1159">
        <f t="shared" si="96"/>
        <v>2056.5348065548023</v>
      </c>
      <c r="R343" s="2773"/>
    </row>
    <row r="344" spans="1:18" x14ac:dyDescent="0.25">
      <c r="A344" s="2908"/>
      <c r="B344" s="775">
        <v>2027</v>
      </c>
      <c r="C344" s="1134">
        <f t="shared" si="88"/>
        <v>1887368.2584601068</v>
      </c>
      <c r="D344" s="1156">
        <f t="shared" si="89"/>
        <v>794.5609353710405</v>
      </c>
      <c r="E344" s="1156">
        <f t="shared" si="90"/>
        <v>1367.2146569372881</v>
      </c>
      <c r="F344" s="1156">
        <f t="shared" si="91"/>
        <v>-870.18053017898262</v>
      </c>
      <c r="G344" s="1156">
        <f t="shared" si="92"/>
        <v>1684.7122166464228</v>
      </c>
      <c r="H344" s="827">
        <v>71</v>
      </c>
      <c r="I344" s="1157">
        <f>'Emission-Waste Transport Vehicl'!N41</f>
        <v>27.826265705040004</v>
      </c>
      <c r="J344" s="1157">
        <f>'Emission-Waste Transport Vehicl'!P41</f>
        <v>15.482070624240002</v>
      </c>
      <c r="K344" s="1157">
        <f>'Emission-Waste Transport Vehicl'!Q41</f>
        <v>12.023811391680001</v>
      </c>
      <c r="L344" s="1157">
        <f>'Emission-Waste Transport Vehicl'!R41</f>
        <v>1.1967273093600002</v>
      </c>
      <c r="M344" s="1159">
        <f t="shared" si="97"/>
        <v>134003.14635066758</v>
      </c>
      <c r="N344" s="1159">
        <f t="shared" si="93"/>
        <v>22109.663706479692</v>
      </c>
      <c r="O344" s="1159">
        <f t="shared" si="94"/>
        <v>21167.313877199158</v>
      </c>
      <c r="P344" s="1159">
        <f t="shared" si="95"/>
        <v>-10462.886571584193</v>
      </c>
      <c r="Q344" s="1159">
        <f t="shared" si="96"/>
        <v>2016.1411180731952</v>
      </c>
      <c r="R344" s="2773"/>
    </row>
    <row r="345" spans="1:18" x14ac:dyDescent="0.25">
      <c r="A345" s="2908"/>
      <c r="B345" s="775">
        <v>2028</v>
      </c>
      <c r="C345" s="1134">
        <f t="shared" si="88"/>
        <v>1887368.2584601068</v>
      </c>
      <c r="D345" s="1156">
        <f t="shared" si="89"/>
        <v>794.5609353710405</v>
      </c>
      <c r="E345" s="1156">
        <f t="shared" si="90"/>
        <v>1367.2146569372881</v>
      </c>
      <c r="F345" s="1156">
        <f t="shared" si="91"/>
        <v>-870.18053017898262</v>
      </c>
      <c r="G345" s="1156">
        <f t="shared" si="92"/>
        <v>1684.7122166464228</v>
      </c>
      <c r="H345" s="827">
        <v>72</v>
      </c>
      <c r="I345" s="1157">
        <f>'Emission-Waste Transport Vehicl'!N42</f>
        <v>27.281803329792002</v>
      </c>
      <c r="J345" s="1157">
        <f>'Emission-Waste Transport Vehicl'!P42</f>
        <v>15.179140829952001</v>
      </c>
      <c r="K345" s="1157">
        <f>'Emission-Waste Transport Vehicl'!Q42</f>
        <v>11.788547595263999</v>
      </c>
      <c r="L345" s="1157">
        <f>'Emission-Waste Transport Vehicl'!R42</f>
        <v>1.173311555328</v>
      </c>
      <c r="M345" s="1159">
        <f t="shared" si="97"/>
        <v>135890.51460912768</v>
      </c>
      <c r="N345" s="1159">
        <f t="shared" si="93"/>
        <v>21677.055172328299</v>
      </c>
      <c r="O345" s="1159">
        <f t="shared" si="94"/>
        <v>20753.143822425605</v>
      </c>
      <c r="P345" s="1159">
        <f t="shared" si="95"/>
        <v>-10258.164596486997</v>
      </c>
      <c r="Q345" s="1159">
        <f t="shared" si="96"/>
        <v>1976.6923111934968</v>
      </c>
      <c r="R345" s="2773"/>
    </row>
    <row r="346" spans="1:18" x14ac:dyDescent="0.25">
      <c r="A346" s="2908"/>
      <c r="B346" s="775">
        <v>2029</v>
      </c>
      <c r="C346" s="1134">
        <f t="shared" si="88"/>
        <v>1887368.2584601068</v>
      </c>
      <c r="D346" s="1156">
        <f t="shared" si="89"/>
        <v>794.5609353710405</v>
      </c>
      <c r="E346" s="1156">
        <f t="shared" si="90"/>
        <v>1367.2146569372881</v>
      </c>
      <c r="F346" s="1156">
        <f t="shared" si="91"/>
        <v>-870.18053017898262</v>
      </c>
      <c r="G346" s="1156">
        <f t="shared" si="92"/>
        <v>1684.7122166464228</v>
      </c>
      <c r="H346" s="827">
        <v>73</v>
      </c>
      <c r="I346" s="1157">
        <f>'Emission-Waste Transport Vehicl'!N43</f>
        <v>26.743861462032005</v>
      </c>
      <c r="J346" s="1157">
        <f>'Emission-Waste Transport Vehicl'!P43</f>
        <v>14.879838937392002</v>
      </c>
      <c r="K346" s="1157">
        <f>'Emission-Waste Transport Vehicl'!Q43</f>
        <v>11.556101329344001</v>
      </c>
      <c r="L346" s="1157">
        <f>'Emission-Waste Transport Vehicl'!R43</f>
        <v>1.1501762294880002</v>
      </c>
      <c r="M346" s="1159">
        <f t="shared" si="97"/>
        <v>137777.88286758779</v>
      </c>
      <c r="N346" s="1159">
        <f t="shared" si="93"/>
        <v>21249.627578705673</v>
      </c>
      <c r="O346" s="1159">
        <f t="shared" si="94"/>
        <v>20343.933888068506</v>
      </c>
      <c r="P346" s="1159">
        <f t="shared" si="95"/>
        <v>-10055.894381570608</v>
      </c>
      <c r="Q346" s="1159">
        <f t="shared" si="96"/>
        <v>1937.7159451147536</v>
      </c>
      <c r="R346" s="2773"/>
    </row>
    <row r="347" spans="1:18" x14ac:dyDescent="0.25">
      <c r="A347" s="2908"/>
      <c r="B347" s="775">
        <v>2030</v>
      </c>
      <c r="C347" s="1134">
        <f t="shared" si="88"/>
        <v>1887368.2584601068</v>
      </c>
      <c r="D347" s="1156">
        <f t="shared" si="89"/>
        <v>794.5609353710405</v>
      </c>
      <c r="E347" s="1156">
        <f t="shared" si="90"/>
        <v>1367.2146569372881</v>
      </c>
      <c r="F347" s="1156">
        <f t="shared" si="91"/>
        <v>-870.18053017898262</v>
      </c>
      <c r="G347" s="1156">
        <f t="shared" si="92"/>
        <v>1684.7122166464228</v>
      </c>
      <c r="H347" s="827">
        <v>75</v>
      </c>
      <c r="I347" s="1157">
        <f>'Emission-Waste Transport Vehicl'!N44</f>
        <v>26.222220862992003</v>
      </c>
      <c r="J347" s="1157">
        <f>'Emission-Waste Transport Vehicl'!P44</f>
        <v>14.589606799152003</v>
      </c>
      <c r="K347" s="1157">
        <f>'Emission-Waste Transport Vehicl'!Q44</f>
        <v>11.330698889664001</v>
      </c>
      <c r="L347" s="1157">
        <f>'Emission-Waste Transport Vehicl'!R44</f>
        <v>1.1277419741280001</v>
      </c>
      <c r="M347" s="1159">
        <f t="shared" si="97"/>
        <v>141552.619384508</v>
      </c>
      <c r="N347" s="1159">
        <f t="shared" si="93"/>
        <v>20835.152336404939</v>
      </c>
      <c r="O347" s="1159">
        <f t="shared" si="94"/>
        <v>19947.124254752533</v>
      </c>
      <c r="P347" s="1159">
        <f t="shared" si="95"/>
        <v>-9859.7535671062305</v>
      </c>
      <c r="Q347" s="1159">
        <f t="shared" si="96"/>
        <v>1899.920681038396</v>
      </c>
      <c r="R347" s="2773"/>
    </row>
    <row r="348" spans="1:18" x14ac:dyDescent="0.25">
      <c r="A348" s="2908"/>
      <c r="B348" s="775">
        <v>2031</v>
      </c>
      <c r="C348" s="1134">
        <f t="shared" si="88"/>
        <v>1887368.2584601068</v>
      </c>
      <c r="D348" s="1156">
        <f t="shared" si="89"/>
        <v>794.5609353710405</v>
      </c>
      <c r="E348" s="1156">
        <f t="shared" si="90"/>
        <v>1367.2146569372881</v>
      </c>
      <c r="F348" s="1156">
        <f t="shared" si="91"/>
        <v>-870.18053017898262</v>
      </c>
      <c r="G348" s="1156">
        <f t="shared" si="92"/>
        <v>1684.7122166464228</v>
      </c>
      <c r="H348" s="827">
        <v>76</v>
      </c>
      <c r="I348" s="1157">
        <f>'Emission-Waste Transport Vehicl'!N45</f>
        <v>25.70710077144</v>
      </c>
      <c r="J348" s="1157">
        <f>'Emission-Waste Transport Vehicl'!P45</f>
        <v>14.303002562640001</v>
      </c>
      <c r="K348" s="1157">
        <f>'Emission-Waste Transport Vehicl'!Q45</f>
        <v>11.108113980480001</v>
      </c>
      <c r="L348" s="1157">
        <f>'Emission-Waste Transport Vehicl'!R45</f>
        <v>1.1055881469600002</v>
      </c>
      <c r="M348" s="1159">
        <f t="shared" si="97"/>
        <v>143439.9876429681</v>
      </c>
      <c r="N348" s="1159">
        <f t="shared" si="93"/>
        <v>20425.858034632962</v>
      </c>
      <c r="O348" s="1159">
        <f t="shared" si="94"/>
        <v>19555.274741853002</v>
      </c>
      <c r="P348" s="1159">
        <f t="shared" si="95"/>
        <v>-9666.0645128226552</v>
      </c>
      <c r="Q348" s="1159">
        <f t="shared" si="96"/>
        <v>1862.597857762993</v>
      </c>
      <c r="R348" s="2773"/>
    </row>
    <row r="349" spans="1:18" x14ac:dyDescent="0.25">
      <c r="A349" s="2908"/>
      <c r="B349" s="775">
        <v>2032</v>
      </c>
      <c r="C349" s="1134">
        <f t="shared" si="88"/>
        <v>1887368.2584601068</v>
      </c>
      <c r="D349" s="1156">
        <f t="shared" si="89"/>
        <v>794.5609353710405</v>
      </c>
      <c r="E349" s="1156">
        <f t="shared" si="90"/>
        <v>1367.2146569372881</v>
      </c>
      <c r="F349" s="1156">
        <f t="shared" si="91"/>
        <v>-870.18053017898262</v>
      </c>
      <c r="G349" s="1156">
        <f t="shared" si="92"/>
        <v>1684.7122166464228</v>
      </c>
      <c r="H349" s="827">
        <v>77</v>
      </c>
      <c r="I349" s="1157">
        <f>'Emission-Waste Transport Vehicl'!N46</f>
        <v>25.201761441120002</v>
      </c>
      <c r="J349" s="1157">
        <f>'Emission-Waste Transport Vehicl'!P46</f>
        <v>14.021840178720002</v>
      </c>
      <c r="K349" s="1157">
        <f>'Emission-Waste Transport Vehicl'!Q46</f>
        <v>10.889755367040001</v>
      </c>
      <c r="L349" s="1157">
        <f>'Emission-Waste Transport Vehicl'!R46</f>
        <v>1.0838549620800002</v>
      </c>
      <c r="M349" s="1159">
        <f t="shared" si="97"/>
        <v>145327.35590142821</v>
      </c>
      <c r="N349" s="1159">
        <f t="shared" si="93"/>
        <v>20024.335143654131</v>
      </c>
      <c r="O349" s="1159">
        <f t="shared" si="94"/>
        <v>19170.865409578149</v>
      </c>
      <c r="P349" s="1159">
        <f t="shared" si="95"/>
        <v>-9476.0530988102892</v>
      </c>
      <c r="Q349" s="1159">
        <f t="shared" si="96"/>
        <v>1825.9836956890217</v>
      </c>
      <c r="R349" s="2773"/>
    </row>
    <row r="350" spans="1:18" x14ac:dyDescent="0.25">
      <c r="A350" s="2908"/>
      <c r="B350" s="775">
        <v>2033</v>
      </c>
      <c r="C350" s="1134">
        <f t="shared" si="88"/>
        <v>1887368.2584601068</v>
      </c>
      <c r="D350" s="1156">
        <f t="shared" si="89"/>
        <v>794.5609353710405</v>
      </c>
      <c r="E350" s="1156">
        <f t="shared" si="90"/>
        <v>1367.2146569372881</v>
      </c>
      <c r="F350" s="1156">
        <f t="shared" si="91"/>
        <v>-870.18053017898262</v>
      </c>
      <c r="G350" s="1156">
        <f t="shared" si="92"/>
        <v>1684.7122166464228</v>
      </c>
      <c r="H350" s="827">
        <v>78</v>
      </c>
      <c r="I350" s="1157">
        <f>'Emission-Waste Transport Vehicl'!N47</f>
        <v>24.709463125776001</v>
      </c>
      <c r="J350" s="1157">
        <f>'Emission-Waste Transport Vehicl'!P47</f>
        <v>13.747933598256003</v>
      </c>
      <c r="K350" s="1157">
        <f>'Emission-Waste Transport Vehicl'!Q47</f>
        <v>10.677031814592</v>
      </c>
      <c r="L350" s="1157">
        <f>'Emission-Waste Transport Vehicl'!R47</f>
        <v>1.0626826335840001</v>
      </c>
      <c r="M350" s="1159">
        <f t="shared" si="97"/>
        <v>147214.72415988831</v>
      </c>
      <c r="N350" s="1159">
        <f t="shared" si="93"/>
        <v>19633.174133732813</v>
      </c>
      <c r="O350" s="1159">
        <f t="shared" si="94"/>
        <v>18796.376318136197</v>
      </c>
      <c r="P350" s="1159">
        <f t="shared" si="95"/>
        <v>-9290.9452051595326</v>
      </c>
      <c r="Q350" s="1159">
        <f t="shared" si="96"/>
        <v>1790.3144152169591</v>
      </c>
      <c r="R350" s="2773"/>
    </row>
    <row r="351" spans="1:18" x14ac:dyDescent="0.25">
      <c r="A351" s="2908"/>
      <c r="B351" s="775">
        <v>2034</v>
      </c>
      <c r="C351" s="1134">
        <f t="shared" si="88"/>
        <v>1887368.2584601068</v>
      </c>
      <c r="D351" s="1156">
        <f t="shared" si="89"/>
        <v>794.5609353710405</v>
      </c>
      <c r="E351" s="1156">
        <f t="shared" si="90"/>
        <v>1367.2146569372881</v>
      </c>
      <c r="F351" s="1156">
        <f t="shared" si="91"/>
        <v>-870.18053017898262</v>
      </c>
      <c r="G351" s="1156">
        <f t="shared" si="92"/>
        <v>1684.7122166464228</v>
      </c>
      <c r="H351" s="827">
        <v>79</v>
      </c>
      <c r="I351" s="1157">
        <f>'Emission-Waste Transport Vehicl'!N48</f>
        <v>24.223685317920005</v>
      </c>
      <c r="J351" s="1157">
        <f>'Emission-Waste Transport Vehicl'!P48</f>
        <v>13.477654919520001</v>
      </c>
      <c r="K351" s="1157">
        <f>'Emission-Waste Transport Vehicl'!Q48</f>
        <v>10.467125792640001</v>
      </c>
      <c r="L351" s="1157">
        <f>'Emission-Waste Transport Vehicl'!R48</f>
        <v>1.04179073328</v>
      </c>
      <c r="M351" s="1159">
        <f t="shared" si="97"/>
        <v>149102.09241834845</v>
      </c>
      <c r="N351" s="1159">
        <f t="shared" si="93"/>
        <v>19247.19406434026</v>
      </c>
      <c r="O351" s="1159">
        <f t="shared" si="94"/>
        <v>18426.847347110692</v>
      </c>
      <c r="P351" s="1159">
        <f t="shared" si="95"/>
        <v>-9108.2890716895799</v>
      </c>
      <c r="Q351" s="1159">
        <f t="shared" si="96"/>
        <v>1755.1175755458512</v>
      </c>
      <c r="R351" s="2773"/>
    </row>
    <row r="352" spans="1:18" x14ac:dyDescent="0.25">
      <c r="A352" s="2908"/>
      <c r="B352" s="775">
        <v>2035</v>
      </c>
      <c r="C352" s="1134">
        <f t="shared" si="88"/>
        <v>1887368.2584601068</v>
      </c>
      <c r="D352" s="1156">
        <f t="shared" si="89"/>
        <v>794.5609353710405</v>
      </c>
      <c r="E352" s="1156">
        <f t="shared" si="90"/>
        <v>1367.2146569372881</v>
      </c>
      <c r="F352" s="1156">
        <f t="shared" si="91"/>
        <v>-870.18053017898262</v>
      </c>
      <c r="G352" s="1156">
        <f t="shared" si="92"/>
        <v>1684.7122166464228</v>
      </c>
      <c r="H352" s="827">
        <v>80</v>
      </c>
      <c r="I352" s="1157">
        <f>'Emission-Waste Transport Vehicl'!N49</f>
        <v>23.747688271296006</v>
      </c>
      <c r="J352" s="1157">
        <f>'Emission-Waste Transport Vehicl'!P49</f>
        <v>13.212818093376002</v>
      </c>
      <c r="K352" s="1157">
        <f>'Emission-Waste Transport Vehicl'!Q49</f>
        <v>10.261446066432002</v>
      </c>
      <c r="L352" s="1157">
        <f>'Emission-Waste Transport Vehicl'!R49</f>
        <v>1.0213194752640002</v>
      </c>
      <c r="M352" s="1159">
        <f t="shared" si="97"/>
        <v>150989.46067680855</v>
      </c>
      <c r="N352" s="1159">
        <f t="shared" si="93"/>
        <v>18868.985405740841</v>
      </c>
      <c r="O352" s="1159">
        <f t="shared" si="94"/>
        <v>18064.758556709865</v>
      </c>
      <c r="P352" s="1159">
        <f t="shared" si="95"/>
        <v>-8929.3105784908348</v>
      </c>
      <c r="Q352" s="1159">
        <f t="shared" si="96"/>
        <v>1720.6293970761753</v>
      </c>
      <c r="R352" s="2773"/>
    </row>
    <row r="353" spans="1:18" x14ac:dyDescent="0.25">
      <c r="A353" s="2908"/>
      <c r="B353" s="775">
        <v>2036</v>
      </c>
      <c r="C353" s="1134">
        <f t="shared" si="88"/>
        <v>1887368.2584601068</v>
      </c>
      <c r="D353" s="1156">
        <f t="shared" si="89"/>
        <v>794.5609353710405</v>
      </c>
      <c r="E353" s="1156">
        <f t="shared" si="90"/>
        <v>1367.2146569372881</v>
      </c>
      <c r="F353" s="1156">
        <f t="shared" si="91"/>
        <v>-870.18053017898262</v>
      </c>
      <c r="G353" s="1156">
        <f t="shared" si="92"/>
        <v>1684.7122166464228</v>
      </c>
      <c r="H353" s="827">
        <v>81</v>
      </c>
      <c r="I353" s="1157">
        <f>'Emission-Waste Transport Vehicl'!N50</f>
        <v>23.284732239648001</v>
      </c>
      <c r="J353" s="1157">
        <f>'Emission-Waste Transport Vehicl'!P50</f>
        <v>12.955237070688</v>
      </c>
      <c r="K353" s="1157">
        <f>'Emission-Waste Transport Vehicl'!Q50</f>
        <v>10.061401401215999</v>
      </c>
      <c r="L353" s="1157">
        <f>'Emission-Waste Transport Vehicl'!R50</f>
        <v>1.001409073632</v>
      </c>
      <c r="M353" s="1159">
        <f t="shared" si="97"/>
        <v>152876.82893526866</v>
      </c>
      <c r="N353" s="1159">
        <f t="shared" si="93"/>
        <v>18501.13862819894</v>
      </c>
      <c r="O353" s="1159">
        <f t="shared" si="94"/>
        <v>17712.590007141931</v>
      </c>
      <c r="P353" s="1159">
        <f t="shared" si="95"/>
        <v>-8755.2356056536973</v>
      </c>
      <c r="Q353" s="1159">
        <f t="shared" si="96"/>
        <v>1687.0861002084075</v>
      </c>
      <c r="R353" s="2773"/>
    </row>
    <row r="354" spans="1:18" x14ac:dyDescent="0.25">
      <c r="A354" s="2908"/>
      <c r="B354" s="775">
        <v>2037</v>
      </c>
      <c r="C354" s="1134">
        <f t="shared" si="88"/>
        <v>1887368.2584601068</v>
      </c>
      <c r="D354" s="1156">
        <f t="shared" si="89"/>
        <v>794.5609353710405</v>
      </c>
      <c r="E354" s="1156">
        <f t="shared" si="90"/>
        <v>1367.2146569372881</v>
      </c>
      <c r="F354" s="1156">
        <f t="shared" si="91"/>
        <v>-870.18053017898262</v>
      </c>
      <c r="G354" s="1156">
        <f t="shared" si="92"/>
        <v>1684.7122166464228</v>
      </c>
      <c r="H354" s="827">
        <v>83</v>
      </c>
      <c r="I354" s="1157">
        <f>'Emission-Waste Transport Vehicl'!N51</f>
        <v>22.828296715488005</v>
      </c>
      <c r="J354" s="1157">
        <f>'Emission-Waste Transport Vehicl'!P51</f>
        <v>12.701283949728003</v>
      </c>
      <c r="K354" s="1157">
        <f>'Emission-Waste Transport Vehicl'!Q51</f>
        <v>9.8641742664960006</v>
      </c>
      <c r="L354" s="1157">
        <f>'Emission-Waste Transport Vehicl'!R51</f>
        <v>0.9817791001920001</v>
      </c>
      <c r="M354" s="1159">
        <f t="shared" si="97"/>
        <v>156651.56545218886</v>
      </c>
      <c r="N354" s="1159">
        <f t="shared" si="93"/>
        <v>18138.472791185799</v>
      </c>
      <c r="O354" s="1159">
        <f t="shared" si="94"/>
        <v>17365.381577990454</v>
      </c>
      <c r="P354" s="1159">
        <f t="shared" si="95"/>
        <v>-8583.6123929973674</v>
      </c>
      <c r="Q354" s="1159">
        <f t="shared" si="96"/>
        <v>1654.0152441415948</v>
      </c>
      <c r="R354" s="2773"/>
    </row>
    <row r="355" spans="1:18" x14ac:dyDescent="0.25">
      <c r="A355" s="2908"/>
      <c r="B355" s="775">
        <v>2038</v>
      </c>
      <c r="C355" s="1134">
        <f t="shared" si="88"/>
        <v>1887368.2584601068</v>
      </c>
      <c r="D355" s="1156">
        <f t="shared" si="89"/>
        <v>794.5609353710405</v>
      </c>
      <c r="E355" s="1156">
        <f t="shared" si="90"/>
        <v>1367.2146569372881</v>
      </c>
      <c r="F355" s="1156">
        <f t="shared" si="91"/>
        <v>-870.18053017898262</v>
      </c>
      <c r="G355" s="1156">
        <f t="shared" si="92"/>
        <v>1684.7122166464228</v>
      </c>
      <c r="H355" s="827">
        <v>84</v>
      </c>
      <c r="I355" s="1157">
        <f>'Emission-Waste Transport Vehicl'!N52</f>
        <v>22.378381698816003</v>
      </c>
      <c r="J355" s="1157">
        <f>'Emission-Waste Transport Vehicl'!P52</f>
        <v>12.450958730496001</v>
      </c>
      <c r="K355" s="1157">
        <f>'Emission-Waste Transport Vehicl'!Q52</f>
        <v>9.6697646622720015</v>
      </c>
      <c r="L355" s="1157">
        <f>'Emission-Waste Transport Vehicl'!R52</f>
        <v>0.96242955494400007</v>
      </c>
      <c r="M355" s="1159">
        <f t="shared" si="97"/>
        <v>158538.93371064897</v>
      </c>
      <c r="N355" s="1159">
        <f t="shared" si="93"/>
        <v>17780.987894701419</v>
      </c>
      <c r="O355" s="1159">
        <f t="shared" si="94"/>
        <v>17023.133269255421</v>
      </c>
      <c r="P355" s="1159">
        <f t="shared" si="95"/>
        <v>-8414.4409405218412</v>
      </c>
      <c r="Q355" s="1159">
        <f t="shared" si="96"/>
        <v>1621.4168288757364</v>
      </c>
      <c r="R355" s="2773"/>
    </row>
    <row r="356" spans="1:18" x14ac:dyDescent="0.25">
      <c r="A356" s="2908"/>
      <c r="B356" s="775">
        <v>2039</v>
      </c>
      <c r="C356" s="1134">
        <f t="shared" si="88"/>
        <v>1887368.2584601068</v>
      </c>
      <c r="D356" s="1156">
        <f t="shared" si="89"/>
        <v>794.5609353710405</v>
      </c>
      <c r="E356" s="1156">
        <f t="shared" si="90"/>
        <v>1367.2146569372881</v>
      </c>
      <c r="F356" s="1156">
        <f t="shared" si="91"/>
        <v>-870.18053017898262</v>
      </c>
      <c r="G356" s="1156">
        <f t="shared" si="92"/>
        <v>1684.7122166464228</v>
      </c>
      <c r="H356" s="827">
        <v>85</v>
      </c>
      <c r="I356" s="1157">
        <f>'Emission-Waste Transport Vehicl'!N53</f>
        <v>21.941507697120006</v>
      </c>
      <c r="J356" s="1157">
        <f>'Emission-Waste Transport Vehicl'!P53</f>
        <v>12.207889314720003</v>
      </c>
      <c r="K356" s="1157">
        <f>'Emission-Waste Transport Vehicl'!Q53</f>
        <v>9.4809901190400012</v>
      </c>
      <c r="L356" s="1157">
        <f>'Emission-Waste Transport Vehicl'!R53</f>
        <v>0.9436408660800002</v>
      </c>
      <c r="M356" s="1159">
        <f t="shared" si="97"/>
        <v>160426.30196910907</v>
      </c>
      <c r="N356" s="1159">
        <f t="shared" si="93"/>
        <v>17433.864879274555</v>
      </c>
      <c r="O356" s="1159">
        <f t="shared" si="94"/>
        <v>16690.805201353294</v>
      </c>
      <c r="P356" s="1159">
        <f t="shared" si="95"/>
        <v>-8250.1730084079245</v>
      </c>
      <c r="Q356" s="1159">
        <f t="shared" si="96"/>
        <v>1589.7632952117874</v>
      </c>
      <c r="R356" s="2773"/>
    </row>
    <row r="357" spans="1:18" x14ac:dyDescent="0.25">
      <c r="A357" s="2908"/>
      <c r="B357" s="775">
        <v>2040</v>
      </c>
      <c r="C357" s="1134">
        <f t="shared" si="88"/>
        <v>1887368.2584601068</v>
      </c>
      <c r="D357" s="1156">
        <f t="shared" si="89"/>
        <v>794.5609353710405</v>
      </c>
      <c r="E357" s="1156">
        <f t="shared" si="90"/>
        <v>1367.2146569372881</v>
      </c>
      <c r="F357" s="1156">
        <f t="shared" si="91"/>
        <v>-870.18053017898262</v>
      </c>
      <c r="G357" s="1156">
        <f t="shared" si="92"/>
        <v>1684.7122166464228</v>
      </c>
      <c r="H357" s="827">
        <v>86</v>
      </c>
      <c r="I357" s="1157">
        <f>'Emission-Waste Transport Vehicl'!N54</f>
        <v>21.511154202912003</v>
      </c>
      <c r="J357" s="1157">
        <f>'Emission-Waste Transport Vehicl'!P54</f>
        <v>11.968447800672001</v>
      </c>
      <c r="K357" s="1157">
        <f>'Emission-Waste Transport Vehicl'!Q54</f>
        <v>9.2950331063040004</v>
      </c>
      <c r="L357" s="1157">
        <f>'Emission-Waste Transport Vehicl'!R54</f>
        <v>0.92513260540800013</v>
      </c>
      <c r="M357" s="1159">
        <f t="shared" si="97"/>
        <v>162313.67022756918</v>
      </c>
      <c r="N357" s="1159">
        <f t="shared" si="93"/>
        <v>17091.922804376449</v>
      </c>
      <c r="O357" s="1159">
        <f t="shared" si="94"/>
        <v>16363.437253867609</v>
      </c>
      <c r="P357" s="1159">
        <f t="shared" si="95"/>
        <v>-8088.3568364748107</v>
      </c>
      <c r="Q357" s="1159">
        <f t="shared" si="96"/>
        <v>1558.5822023487924</v>
      </c>
      <c r="R357" s="2773"/>
    </row>
    <row r="358" spans="1:18" x14ac:dyDescent="0.25">
      <c r="A358" s="2908"/>
      <c r="B358" s="775">
        <v>2041</v>
      </c>
      <c r="C358" s="1134">
        <f t="shared" si="88"/>
        <v>1887368.2584601068</v>
      </c>
      <c r="D358" s="1156">
        <f t="shared" si="89"/>
        <v>794.5609353710405</v>
      </c>
      <c r="E358" s="1156">
        <f t="shared" si="90"/>
        <v>1367.2146569372881</v>
      </c>
      <c r="F358" s="1156">
        <f t="shared" si="91"/>
        <v>-870.18053017898262</v>
      </c>
      <c r="G358" s="1156">
        <f t="shared" si="92"/>
        <v>1684.7122166464228</v>
      </c>
      <c r="H358" s="827">
        <v>87</v>
      </c>
      <c r="I358" s="1157">
        <f>'Emission-Waste Transport Vehicl'!N55</f>
        <v>21.087321216192002</v>
      </c>
      <c r="J358" s="1157">
        <f>'Emission-Waste Transport Vehicl'!P55</f>
        <v>11.732634188352002</v>
      </c>
      <c r="K358" s="1157">
        <f>'Emission-Waste Transport Vehicl'!Q55</f>
        <v>9.1118936240640007</v>
      </c>
      <c r="L358" s="1157">
        <f>'Emission-Waste Transport Vehicl'!R55</f>
        <v>0.9069047729280002</v>
      </c>
      <c r="M358" s="1159">
        <f t="shared" si="97"/>
        <v>164201.03848602928</v>
      </c>
      <c r="N358" s="1159">
        <f t="shared" si="93"/>
        <v>16755.161670007106</v>
      </c>
      <c r="O358" s="1159">
        <f t="shared" si="94"/>
        <v>16041.029426798379</v>
      </c>
      <c r="P358" s="1159">
        <f t="shared" si="95"/>
        <v>-7928.9924247225035</v>
      </c>
      <c r="Q358" s="1159">
        <f t="shared" si="96"/>
        <v>1527.8735502867519</v>
      </c>
      <c r="R358" s="2773"/>
    </row>
    <row r="359" spans="1:18" x14ac:dyDescent="0.25">
      <c r="A359" s="2908"/>
      <c r="B359" s="775">
        <v>2042</v>
      </c>
      <c r="C359" s="1134">
        <f t="shared" si="88"/>
        <v>1887368.2584601068</v>
      </c>
      <c r="D359" s="1156">
        <f t="shared" si="89"/>
        <v>794.5609353710405</v>
      </c>
      <c r="E359" s="1156">
        <f t="shared" si="90"/>
        <v>1367.2146569372881</v>
      </c>
      <c r="F359" s="1156">
        <f t="shared" si="91"/>
        <v>-870.18053017898262</v>
      </c>
      <c r="G359" s="1156">
        <f t="shared" si="92"/>
        <v>1684.7122166464228</v>
      </c>
      <c r="H359" s="827">
        <v>88</v>
      </c>
      <c r="I359" s="1157">
        <f>'Emission-Waste Transport Vehicl'!N56</f>
        <v>20.676529244448002</v>
      </c>
      <c r="J359" s="1157">
        <f>'Emission-Waste Transport Vehicl'!P56</f>
        <v>11.504076379488001</v>
      </c>
      <c r="K359" s="1157">
        <f>'Emission-Waste Transport Vehicl'!Q56</f>
        <v>8.9343892028159999</v>
      </c>
      <c r="L359" s="1157">
        <f>'Emission-Waste Transport Vehicl'!R56</f>
        <v>0.8892377968320001</v>
      </c>
      <c r="M359" s="1159">
        <f t="shared" si="97"/>
        <v>166088.40674448939</v>
      </c>
      <c r="N359" s="1159">
        <f t="shared" si="93"/>
        <v>16428.762416695277</v>
      </c>
      <c r="O359" s="1159">
        <f t="shared" si="94"/>
        <v>15728.541840562048</v>
      </c>
      <c r="P359" s="1159">
        <f t="shared" si="95"/>
        <v>-7774.5315333318049</v>
      </c>
      <c r="Q359" s="1159">
        <f t="shared" si="96"/>
        <v>1498.1097798266203</v>
      </c>
      <c r="R359" s="2773"/>
    </row>
    <row r="360" spans="1:18" x14ac:dyDescent="0.25">
      <c r="A360" s="2908"/>
      <c r="B360" s="775">
        <v>2043</v>
      </c>
      <c r="C360" s="1134">
        <f t="shared" si="88"/>
        <v>1887368.2584601068</v>
      </c>
      <c r="D360" s="1156">
        <f t="shared" si="89"/>
        <v>794.5609353710405</v>
      </c>
      <c r="E360" s="1156">
        <f t="shared" si="90"/>
        <v>1367.2146569372881</v>
      </c>
      <c r="F360" s="1156">
        <f t="shared" si="91"/>
        <v>-870.18053017898262</v>
      </c>
      <c r="G360" s="1156">
        <f t="shared" si="92"/>
        <v>1684.7122166464228</v>
      </c>
      <c r="H360" s="827">
        <v>89</v>
      </c>
      <c r="I360" s="1157">
        <f>'Emission-Waste Transport Vehicl'!N57</f>
        <v>20.268997526448004</v>
      </c>
      <c r="J360" s="1157">
        <f>'Emission-Waste Transport Vehicl'!P57</f>
        <v>11.277332521488001</v>
      </c>
      <c r="K360" s="1157">
        <f>'Emission-Waste Transport Vehicl'!Q57</f>
        <v>8.7582935468160006</v>
      </c>
      <c r="L360" s="1157">
        <f>'Emission-Waste Transport Vehicl'!R57</f>
        <v>0.87171103483200019</v>
      </c>
      <c r="M360" s="1159">
        <f t="shared" si="97"/>
        <v>167975.77500294949</v>
      </c>
      <c r="N360" s="1159">
        <f t="shared" si="93"/>
        <v>16104.953633647832</v>
      </c>
      <c r="O360" s="1159">
        <f t="shared" si="94"/>
        <v>15418.534314533939</v>
      </c>
      <c r="P360" s="1159">
        <f t="shared" si="95"/>
        <v>-7621.29652203151</v>
      </c>
      <c r="Q360" s="1159">
        <f t="shared" si="96"/>
        <v>1468.5822297669661</v>
      </c>
      <c r="R360" s="2773"/>
    </row>
    <row r="361" spans="1:18" x14ac:dyDescent="0.25">
      <c r="A361" s="2908"/>
      <c r="B361" s="775">
        <v>2044</v>
      </c>
      <c r="C361" s="1134">
        <f t="shared" si="88"/>
        <v>1887368.2584601068</v>
      </c>
      <c r="D361" s="1156">
        <f t="shared" si="89"/>
        <v>794.5609353710405</v>
      </c>
      <c r="E361" s="1156">
        <f t="shared" si="90"/>
        <v>1367.2146569372881</v>
      </c>
      <c r="F361" s="1156">
        <f t="shared" si="91"/>
        <v>-870.18053017898262</v>
      </c>
      <c r="G361" s="1156">
        <f t="shared" si="92"/>
        <v>1684.7122166464228</v>
      </c>
      <c r="H361" s="827">
        <v>90</v>
      </c>
      <c r="I361" s="1157">
        <f>'Emission-Waste Transport Vehicl'!N58</f>
        <v>19.871246569680004</v>
      </c>
      <c r="J361" s="1157">
        <f>'Emission-Waste Transport Vehicl'!P58</f>
        <v>11.056030516080002</v>
      </c>
      <c r="K361" s="1157">
        <f>'Emission-Waste Transport Vehicl'!Q58</f>
        <v>8.5864241865600004</v>
      </c>
      <c r="L361" s="1157">
        <f>'Emission-Waste Transport Vehicl'!R58</f>
        <v>0.85460491512000014</v>
      </c>
      <c r="M361" s="1159">
        <f t="shared" si="97"/>
        <v>169863.1432614096</v>
      </c>
      <c r="N361" s="1159">
        <f t="shared" si="93"/>
        <v>15788.916261393524</v>
      </c>
      <c r="O361" s="1159">
        <f t="shared" si="94"/>
        <v>15115.966969130508</v>
      </c>
      <c r="P361" s="1159">
        <f t="shared" si="95"/>
        <v>-7471.7391510024208</v>
      </c>
      <c r="Q361" s="1159">
        <f t="shared" si="96"/>
        <v>1439.7633409087434</v>
      </c>
      <c r="R361" s="2773"/>
    </row>
    <row r="362" spans="1:18" x14ac:dyDescent="0.25">
      <c r="A362" s="2908"/>
      <c r="B362" s="775">
        <v>2045</v>
      </c>
      <c r="C362" s="1134">
        <f t="shared" si="88"/>
        <v>1887368.2584601068</v>
      </c>
      <c r="D362" s="1156">
        <f t="shared" si="89"/>
        <v>794.5609353710405</v>
      </c>
      <c r="E362" s="1156">
        <f t="shared" si="90"/>
        <v>1367.2146569372881</v>
      </c>
      <c r="F362" s="1156">
        <f t="shared" si="91"/>
        <v>-870.18053017898262</v>
      </c>
      <c r="G362" s="1156">
        <f t="shared" si="92"/>
        <v>1684.7122166464228</v>
      </c>
      <c r="H362" s="827">
        <v>92</v>
      </c>
      <c r="I362" s="1157">
        <f>'Emission-Waste Transport Vehicl'!N59</f>
        <v>19.483276374144001</v>
      </c>
      <c r="J362" s="1157">
        <f>'Emission-Waste Transport Vehicl'!P59</f>
        <v>10.840170363264003</v>
      </c>
      <c r="K362" s="1157">
        <f>'Emission-Waste Transport Vehicl'!Q59</f>
        <v>8.4187811220480011</v>
      </c>
      <c r="L362" s="1157">
        <f>'Emission-Waste Transport Vehicl'!R59</f>
        <v>0.83791943769600008</v>
      </c>
      <c r="M362" s="1159">
        <f t="shared" si="97"/>
        <v>173637.87977832981</v>
      </c>
      <c r="N362" s="1159">
        <f t="shared" si="93"/>
        <v>15480.650299932351</v>
      </c>
      <c r="O362" s="1159">
        <f t="shared" si="94"/>
        <v>14820.83980435175</v>
      </c>
      <c r="P362" s="1159">
        <f t="shared" si="95"/>
        <v>-7325.8594202445402</v>
      </c>
      <c r="Q362" s="1159">
        <f t="shared" si="96"/>
        <v>1411.6531132519524</v>
      </c>
      <c r="R362" s="2773"/>
    </row>
    <row r="363" spans="1:18" x14ac:dyDescent="0.25">
      <c r="A363" s="2908"/>
      <c r="B363" s="775">
        <v>2046</v>
      </c>
      <c r="C363" s="1134">
        <f t="shared" si="88"/>
        <v>1887368.2584601068</v>
      </c>
      <c r="D363" s="1156">
        <f t="shared" si="89"/>
        <v>794.5609353710405</v>
      </c>
      <c r="E363" s="1156">
        <f t="shared" si="90"/>
        <v>1367.2146569372881</v>
      </c>
      <c r="F363" s="1156">
        <f t="shared" si="91"/>
        <v>-870.18053017898262</v>
      </c>
      <c r="G363" s="1156">
        <f t="shared" si="92"/>
        <v>1684.7122166464228</v>
      </c>
      <c r="H363" s="827">
        <v>93</v>
      </c>
      <c r="I363" s="1157">
        <f>'Emission-Waste Transport Vehicl'!N60</f>
        <v>19.101826686096</v>
      </c>
      <c r="J363" s="1157">
        <f>'Emission-Waste Transport Vehicl'!P60</f>
        <v>10.627938112176002</v>
      </c>
      <c r="K363" s="1157">
        <f>'Emission-Waste Transport Vehicl'!Q60</f>
        <v>8.2539555880319995</v>
      </c>
      <c r="L363" s="1157">
        <f>'Emission-Waste Transport Vehicl'!R60</f>
        <v>0.82151438846400004</v>
      </c>
      <c r="M363" s="1159">
        <f t="shared" si="97"/>
        <v>175525.24803678994</v>
      </c>
      <c r="N363" s="1159">
        <f t="shared" si="93"/>
        <v>15177.56527899994</v>
      </c>
      <c r="O363" s="1159">
        <f t="shared" si="94"/>
        <v>14530.672759989442</v>
      </c>
      <c r="P363" s="1159">
        <f t="shared" si="95"/>
        <v>-7182.4314496674615</v>
      </c>
      <c r="Q363" s="1159">
        <f t="shared" si="96"/>
        <v>1384.0153263961161</v>
      </c>
      <c r="R363" s="2773"/>
    </row>
    <row r="364" spans="1:18" x14ac:dyDescent="0.25">
      <c r="A364" s="2908"/>
      <c r="B364" s="775">
        <v>2047</v>
      </c>
      <c r="C364" s="1134">
        <f t="shared" si="88"/>
        <v>1887368.2584601068</v>
      </c>
      <c r="D364" s="1156">
        <f t="shared" si="89"/>
        <v>794.5609353710405</v>
      </c>
      <c r="E364" s="1156">
        <f t="shared" si="90"/>
        <v>1367.2146569372881</v>
      </c>
      <c r="F364" s="1156">
        <f t="shared" si="91"/>
        <v>-870.18053017898262</v>
      </c>
      <c r="G364" s="1156">
        <f t="shared" si="92"/>
        <v>1684.7122166464228</v>
      </c>
      <c r="H364" s="827">
        <v>94</v>
      </c>
      <c r="I364" s="1157">
        <f>'Emission-Waste Transport Vehicl'!N61</f>
        <v>18.726897505536005</v>
      </c>
      <c r="J364" s="1157">
        <f>'Emission-Waste Transport Vehicl'!P61</f>
        <v>10.419333762816001</v>
      </c>
      <c r="K364" s="1157">
        <f>'Emission-Waste Transport Vehicl'!Q61</f>
        <v>8.0919475845120008</v>
      </c>
      <c r="L364" s="1157">
        <f>'Emission-Waste Transport Vehicl'!R61</f>
        <v>0.80538976742400015</v>
      </c>
      <c r="M364" s="1159">
        <f t="shared" si="97"/>
        <v>177412.61629525005</v>
      </c>
      <c r="N364" s="1159">
        <f t="shared" si="93"/>
        <v>14879.661198596294</v>
      </c>
      <c r="O364" s="1159">
        <f t="shared" si="94"/>
        <v>14245.465836043581</v>
      </c>
      <c r="P364" s="1159">
        <f t="shared" si="95"/>
        <v>-7041.4552392711903</v>
      </c>
      <c r="Q364" s="1159">
        <f t="shared" si="96"/>
        <v>1356.8499803412342</v>
      </c>
      <c r="R364" s="2773"/>
    </row>
    <row r="365" spans="1:18" x14ac:dyDescent="0.25">
      <c r="A365" s="2908"/>
      <c r="B365" s="775">
        <v>2048</v>
      </c>
      <c r="C365" s="1134">
        <f t="shared" si="88"/>
        <v>1887368.2584601068</v>
      </c>
      <c r="D365" s="1156">
        <f t="shared" si="89"/>
        <v>794.5609353710405</v>
      </c>
      <c r="E365" s="1156">
        <f t="shared" si="90"/>
        <v>1367.2146569372881</v>
      </c>
      <c r="F365" s="1156">
        <f t="shared" si="91"/>
        <v>-870.18053017898262</v>
      </c>
      <c r="G365" s="1156">
        <f t="shared" si="92"/>
        <v>1684.7122166464228</v>
      </c>
      <c r="H365" s="827">
        <v>95</v>
      </c>
      <c r="I365" s="1157">
        <f>'Emission-Waste Transport Vehicl'!N62</f>
        <v>18.358488832464005</v>
      </c>
      <c r="J365" s="1157">
        <f>'Emission-Waste Transport Vehicl'!P62</f>
        <v>10.214357315184001</v>
      </c>
      <c r="K365" s="1157">
        <f>'Emission-Waste Transport Vehicl'!Q62</f>
        <v>7.9327571114880007</v>
      </c>
      <c r="L365" s="1157">
        <f>'Emission-Waste Transport Vehicl'!R62</f>
        <v>0.78954557457600016</v>
      </c>
      <c r="M365" s="1159">
        <f t="shared" si="97"/>
        <v>179299.98455371015</v>
      </c>
      <c r="N365" s="1159">
        <f t="shared" si="93"/>
        <v>14586.9380587214</v>
      </c>
      <c r="O365" s="1159">
        <f t="shared" si="94"/>
        <v>13965.219032514173</v>
      </c>
      <c r="P365" s="1159">
        <f t="shared" si="95"/>
        <v>-6902.9307890557229</v>
      </c>
      <c r="Q365" s="1159">
        <f t="shared" si="96"/>
        <v>1330.1570750873068</v>
      </c>
      <c r="R365" s="2773"/>
    </row>
    <row r="366" spans="1:18" x14ac:dyDescent="0.25">
      <c r="A366" s="2908"/>
      <c r="B366" s="775">
        <v>2049</v>
      </c>
      <c r="C366" s="1134">
        <f t="shared" si="88"/>
        <v>1887368.2584601068</v>
      </c>
      <c r="D366" s="1156">
        <f t="shared" si="89"/>
        <v>794.5609353710405</v>
      </c>
      <c r="E366" s="1156">
        <f t="shared" si="90"/>
        <v>1367.2146569372881</v>
      </c>
      <c r="F366" s="1156">
        <f t="shared" si="91"/>
        <v>-870.18053017898262</v>
      </c>
      <c r="G366" s="1156">
        <f t="shared" si="92"/>
        <v>1684.7122166464228</v>
      </c>
      <c r="H366" s="827">
        <v>96</v>
      </c>
      <c r="I366" s="1157">
        <f>'Emission-Waste Transport Vehicl'!N63</f>
        <v>17.999860920624005</v>
      </c>
      <c r="J366" s="1157">
        <f>'Emission-Waste Transport Vehicl'!P63</f>
        <v>10.014822720144002</v>
      </c>
      <c r="K366" s="1157">
        <f>'Emission-Waste Transport Vehicl'!Q63</f>
        <v>7.7777929342080014</v>
      </c>
      <c r="L366" s="1157">
        <f>'Emission-Waste Transport Vehicl'!R63</f>
        <v>0.77412202401600017</v>
      </c>
      <c r="M366" s="1159">
        <f t="shared" si="97"/>
        <v>181187.35281217025</v>
      </c>
      <c r="N366" s="1159">
        <f t="shared" si="93"/>
        <v>14301.986329639649</v>
      </c>
      <c r="O366" s="1159">
        <f t="shared" si="94"/>
        <v>13692.41240960944</v>
      </c>
      <c r="P366" s="1159">
        <f t="shared" si="95"/>
        <v>-6768.083979111464</v>
      </c>
      <c r="Q366" s="1159">
        <f t="shared" si="96"/>
        <v>1304.172831034811</v>
      </c>
      <c r="R366" s="2773"/>
    </row>
    <row r="367" spans="1:18" x14ac:dyDescent="0.25">
      <c r="A367" s="2908"/>
      <c r="B367" s="775">
        <v>2050</v>
      </c>
      <c r="C367" s="1134">
        <f t="shared" si="88"/>
        <v>1887368.2584601068</v>
      </c>
      <c r="D367" s="1156">
        <f t="shared" si="89"/>
        <v>794.5609353710405</v>
      </c>
      <c r="E367" s="1156">
        <f t="shared" si="90"/>
        <v>1367.2146569372881</v>
      </c>
      <c r="F367" s="1156">
        <f t="shared" si="91"/>
        <v>-870.18053017898262</v>
      </c>
      <c r="G367" s="1156">
        <f t="shared" si="92"/>
        <v>1684.7122166464228</v>
      </c>
      <c r="H367" s="827">
        <v>97</v>
      </c>
      <c r="I367" s="1157">
        <f>'Emission-Waste Transport Vehicl'!N64</f>
        <v>17.644493262528005</v>
      </c>
      <c r="J367" s="1157">
        <f>'Emission-Waste Transport Vehicl'!P64</f>
        <v>9.8171020759680019</v>
      </c>
      <c r="K367" s="1157">
        <f>'Emission-Waste Transport Vehicl'!Q64</f>
        <v>7.624237522176001</v>
      </c>
      <c r="L367" s="1157">
        <f>'Emission-Waste Transport Vehicl'!R64</f>
        <v>0.75883868755200012</v>
      </c>
      <c r="M367" s="1159">
        <f t="shared" si="97"/>
        <v>183074.72107063036</v>
      </c>
      <c r="N367" s="1159">
        <f t="shared" si="93"/>
        <v>14019.625070822274</v>
      </c>
      <c r="O367" s="1159">
        <f t="shared" si="94"/>
        <v>13422.085846912931</v>
      </c>
      <c r="P367" s="1159">
        <f t="shared" si="95"/>
        <v>-6634.4630492576052</v>
      </c>
      <c r="Q367" s="1159">
        <f t="shared" si="96"/>
        <v>1278.4248073827923</v>
      </c>
      <c r="R367" s="2773"/>
    </row>
    <row r="368" spans="1:18" x14ac:dyDescent="0.25">
      <c r="A368" s="2908"/>
      <c r="B368" s="775">
        <v>2051</v>
      </c>
      <c r="C368" s="1134">
        <f t="shared" ref="C368:C386" si="98">$S$18</f>
        <v>1887368.2584601068</v>
      </c>
      <c r="D368" s="1156">
        <f t="shared" ref="D368:D386" si="99">$T$18</f>
        <v>794.5609353710405</v>
      </c>
      <c r="E368" s="1156">
        <f t="shared" ref="E368:E386" si="100">$R$18</f>
        <v>1367.2146569372881</v>
      </c>
      <c r="F368" s="1156">
        <f t="shared" ref="F368:F386" si="101">$V$18</f>
        <v>-870.18053017898262</v>
      </c>
      <c r="G368" s="1156">
        <f t="shared" ref="G368:G386" si="102">$U$18</f>
        <v>1684.7122166464228</v>
      </c>
      <c r="H368" s="827">
        <v>97</v>
      </c>
      <c r="I368" s="1157">
        <f>'Emission-Waste Transport Vehicl'!N65</f>
        <v>17.298906365664003</v>
      </c>
      <c r="J368" s="1157">
        <f>'Emission-Waste Transport Vehicl'!P65</f>
        <v>9.624823284384</v>
      </c>
      <c r="K368" s="1157">
        <f>'Emission-Waste Transport Vehicl'!Q65</f>
        <v>7.4749084058879998</v>
      </c>
      <c r="L368" s="1157">
        <f>'Emission-Waste Transport Vehicl'!R65</f>
        <v>0.74397599337600007</v>
      </c>
      <c r="M368" s="1159">
        <f t="shared" si="97"/>
        <v>183074.72107063036</v>
      </c>
      <c r="N368" s="1159">
        <f t="shared" si="93"/>
        <v>13745.035222798037</v>
      </c>
      <c r="O368" s="1159">
        <f t="shared" si="94"/>
        <v>13159.199464841093</v>
      </c>
      <c r="P368" s="1159">
        <f t="shared" si="95"/>
        <v>-6504.5197596749531</v>
      </c>
      <c r="Q368" s="1159">
        <f t="shared" si="96"/>
        <v>1253.3854449322055</v>
      </c>
      <c r="R368" s="2773"/>
    </row>
    <row r="369" spans="1:18" x14ac:dyDescent="0.25">
      <c r="A369" s="2908"/>
      <c r="B369" s="775">
        <v>2052</v>
      </c>
      <c r="C369" s="1134">
        <f t="shared" si="98"/>
        <v>1887368.2584601068</v>
      </c>
      <c r="D369" s="1156">
        <f t="shared" si="99"/>
        <v>794.5609353710405</v>
      </c>
      <c r="E369" s="1156">
        <f t="shared" si="100"/>
        <v>1367.2146569372881</v>
      </c>
      <c r="F369" s="1156">
        <f t="shared" si="101"/>
        <v>-870.18053017898262</v>
      </c>
      <c r="G369" s="1156">
        <f t="shared" si="102"/>
        <v>1684.7122166464228</v>
      </c>
      <c r="H369" s="827">
        <v>97</v>
      </c>
      <c r="I369" s="1157">
        <f>'Emission-Waste Transport Vehicl'!N66</f>
        <v>16.959839976288002</v>
      </c>
      <c r="J369" s="1157">
        <f>'Emission-Waste Transport Vehicl'!P66</f>
        <v>9.4361723945280005</v>
      </c>
      <c r="K369" s="1157">
        <f>'Emission-Waste Transport Vehicl'!Q66</f>
        <v>7.3283968200960006</v>
      </c>
      <c r="L369" s="1157">
        <f>'Emission-Waste Transport Vehicl'!R66</f>
        <v>0.72939372739200004</v>
      </c>
      <c r="M369" s="1159">
        <f t="shared" si="97"/>
        <v>183074.72107063036</v>
      </c>
      <c r="N369" s="1159">
        <f t="shared" si="93"/>
        <v>13475.626315302561</v>
      </c>
      <c r="O369" s="1159">
        <f t="shared" si="94"/>
        <v>12901.273203185709</v>
      </c>
      <c r="P369" s="1159">
        <f t="shared" si="95"/>
        <v>-6377.0282302731084</v>
      </c>
      <c r="Q369" s="1159">
        <f t="shared" si="96"/>
        <v>1228.8185232825731</v>
      </c>
      <c r="R369" s="2773"/>
    </row>
    <row r="370" spans="1:18" x14ac:dyDescent="0.25">
      <c r="A370" s="2908"/>
      <c r="B370" s="775">
        <v>2053</v>
      </c>
      <c r="C370" s="1134">
        <f t="shared" si="98"/>
        <v>1887368.2584601068</v>
      </c>
      <c r="D370" s="1156">
        <f t="shared" si="99"/>
        <v>794.5609353710405</v>
      </c>
      <c r="E370" s="1156">
        <f t="shared" si="100"/>
        <v>1367.2146569372881</v>
      </c>
      <c r="F370" s="1156">
        <f t="shared" si="101"/>
        <v>-870.18053017898262</v>
      </c>
      <c r="G370" s="1156">
        <f t="shared" si="102"/>
        <v>1684.7122166464228</v>
      </c>
      <c r="H370" s="827">
        <v>97</v>
      </c>
      <c r="I370" s="1157">
        <f>'Emission-Waste Transport Vehicl'!N67</f>
        <v>15.361506000000002</v>
      </c>
      <c r="J370" s="1157">
        <f>'Emission-Waste Transport Vehicl'!P67</f>
        <v>9.2511494064000015</v>
      </c>
      <c r="K370" s="1157">
        <f>'Emission-Waste Transport Vehicl'!Q67</f>
        <v>7.1847027647999999</v>
      </c>
      <c r="L370" s="1157">
        <f>'Emission-Waste Transport Vehicl'!R67</f>
        <v>0.71509188960000014</v>
      </c>
      <c r="M370" s="1159">
        <f t="shared" si="97"/>
        <v>183074.72107063036</v>
      </c>
      <c r="N370" s="1159">
        <f t="shared" si="93"/>
        <v>12205.652576067852</v>
      </c>
      <c r="O370" s="1159">
        <f t="shared" si="94"/>
        <v>12648.307061946774</v>
      </c>
      <c r="P370" s="1159">
        <f t="shared" si="95"/>
        <v>-6251.9884610520658</v>
      </c>
      <c r="Q370" s="1159">
        <f t="shared" si="96"/>
        <v>1204.7240424338952</v>
      </c>
      <c r="R370" s="2773"/>
    </row>
    <row r="371" spans="1:18" x14ac:dyDescent="0.25">
      <c r="A371" s="2908"/>
      <c r="B371" s="775">
        <v>2054</v>
      </c>
      <c r="C371" s="1134">
        <f t="shared" si="98"/>
        <v>1887368.2584601068</v>
      </c>
      <c r="D371" s="1156">
        <f t="shared" si="99"/>
        <v>794.5609353710405</v>
      </c>
      <c r="E371" s="1156">
        <f t="shared" si="100"/>
        <v>1367.2146569372881</v>
      </c>
      <c r="F371" s="1156">
        <f t="shared" si="101"/>
        <v>-870.18053017898262</v>
      </c>
      <c r="G371" s="1156">
        <f t="shared" si="102"/>
        <v>1684.7122166464228</v>
      </c>
      <c r="H371" s="827">
        <v>97</v>
      </c>
      <c r="I371" s="1157">
        <f>'Emission-Waste Transport Vehicl'!N68</f>
        <v>16.301268720000003</v>
      </c>
      <c r="J371" s="1157">
        <f>'Emission-Waste Transport Vehicl'!P68</f>
        <v>9.0697543200000013</v>
      </c>
      <c r="K371" s="1157">
        <f>'Emission-Waste Transport Vehicl'!Q68</f>
        <v>7.0438262400000005</v>
      </c>
      <c r="L371" s="1157">
        <f>'Emission-Waste Transport Vehicl'!R68</f>
        <v>0.70107048000000005</v>
      </c>
      <c r="M371" s="1159">
        <f t="shared" si="97"/>
        <v>183074.72107063036</v>
      </c>
      <c r="N371" s="1159">
        <f t="shared" si="93"/>
        <v>12952.351321897886</v>
      </c>
      <c r="O371" s="1159">
        <f t="shared" si="94"/>
        <v>12400.301041124289</v>
      </c>
      <c r="P371" s="1159">
        <f t="shared" si="95"/>
        <v>-6129.4004520118297</v>
      </c>
      <c r="Q371" s="1159">
        <f t="shared" si="96"/>
        <v>1181.1020023861718</v>
      </c>
      <c r="R371" s="2773"/>
    </row>
    <row r="372" spans="1:18" x14ac:dyDescent="0.25">
      <c r="A372" s="2908"/>
      <c r="B372" s="775">
        <v>2055</v>
      </c>
      <c r="C372" s="1134">
        <f t="shared" si="98"/>
        <v>1887368.2584601068</v>
      </c>
      <c r="D372" s="1156">
        <f t="shared" si="99"/>
        <v>794.5609353710405</v>
      </c>
      <c r="E372" s="1156">
        <f t="shared" si="100"/>
        <v>1367.2146569372881</v>
      </c>
      <c r="F372" s="1156">
        <f t="shared" si="101"/>
        <v>-870.18053017898262</v>
      </c>
      <c r="G372" s="1156">
        <f t="shared" si="102"/>
        <v>1684.7122166464228</v>
      </c>
      <c r="H372" s="827">
        <v>97</v>
      </c>
      <c r="I372" s="1157">
        <f>'Emission-Waste Transport Vehicl'!N69</f>
        <v>15.981763853088003</v>
      </c>
      <c r="J372" s="1157">
        <f>'Emission-Waste Transport Vehicl'!P69</f>
        <v>8.8919871353280016</v>
      </c>
      <c r="K372" s="1157">
        <f>'Emission-Waste Transport Vehicl'!Q69</f>
        <v>6.9057672456960004</v>
      </c>
      <c r="L372" s="1157">
        <f>'Emission-Waste Transport Vehicl'!R69</f>
        <v>0.6873294985920001</v>
      </c>
      <c r="M372" s="1159">
        <f t="shared" si="97"/>
        <v>183074.72107063036</v>
      </c>
      <c r="N372" s="1159">
        <f t="shared" si="93"/>
        <v>12698.485235988688</v>
      </c>
      <c r="O372" s="1159">
        <f t="shared" si="94"/>
        <v>12157.255140718253</v>
      </c>
      <c r="P372" s="1159">
        <f t="shared" si="95"/>
        <v>-6009.2642031523983</v>
      </c>
      <c r="Q372" s="1159">
        <f t="shared" si="96"/>
        <v>1157.9524031394028</v>
      </c>
      <c r="R372" s="2773"/>
    </row>
    <row r="373" spans="1:18" x14ac:dyDescent="0.25">
      <c r="A373" s="2908"/>
      <c r="B373" s="775">
        <v>2056</v>
      </c>
      <c r="C373" s="1134">
        <f t="shared" si="98"/>
        <v>1887368.2584601068</v>
      </c>
      <c r="D373" s="1156">
        <f t="shared" si="99"/>
        <v>794.5609353710405</v>
      </c>
      <c r="E373" s="1156">
        <f t="shared" si="100"/>
        <v>1367.2146569372881</v>
      </c>
      <c r="F373" s="1156">
        <f t="shared" si="101"/>
        <v>-870.18053017898262</v>
      </c>
      <c r="G373" s="1156">
        <f t="shared" si="102"/>
        <v>1684.7122166464228</v>
      </c>
      <c r="H373" s="827">
        <v>97</v>
      </c>
      <c r="I373" s="1157">
        <f>'Emission-Waste Transport Vehicl'!N70</f>
        <v>15.668779493664003</v>
      </c>
      <c r="J373" s="1157">
        <f>'Emission-Waste Transport Vehicl'!P70</f>
        <v>8.7178478523840006</v>
      </c>
      <c r="K373" s="1157">
        <f>'Emission-Waste Transport Vehicl'!Q70</f>
        <v>6.7705257818880007</v>
      </c>
      <c r="L373" s="1157">
        <f>'Emission-Waste Transport Vehicl'!R70</f>
        <v>0.67386894537600017</v>
      </c>
      <c r="M373" s="1159">
        <f t="shared" si="97"/>
        <v>183074.72107063036</v>
      </c>
      <c r="N373" s="1159">
        <f t="shared" si="93"/>
        <v>12449.800090608249</v>
      </c>
      <c r="O373" s="1159">
        <f t="shared" si="94"/>
        <v>11919.169360728665</v>
      </c>
      <c r="P373" s="1159">
        <f t="shared" si="95"/>
        <v>-5891.5797144737717</v>
      </c>
      <c r="Q373" s="1159">
        <f t="shared" si="96"/>
        <v>1135.2752446935885</v>
      </c>
      <c r="R373" s="2773"/>
    </row>
    <row r="374" spans="1:18" x14ac:dyDescent="0.25">
      <c r="A374" s="2908"/>
      <c r="B374" s="775">
        <v>2057</v>
      </c>
      <c r="C374" s="1134">
        <f t="shared" si="98"/>
        <v>1887368.2584601068</v>
      </c>
      <c r="D374" s="1156">
        <f t="shared" si="99"/>
        <v>794.5609353710405</v>
      </c>
      <c r="E374" s="1156">
        <f t="shared" si="100"/>
        <v>1367.2146569372881</v>
      </c>
      <c r="F374" s="1156">
        <f t="shared" si="101"/>
        <v>-870.18053017898262</v>
      </c>
      <c r="G374" s="1156">
        <f t="shared" si="102"/>
        <v>1684.7122166464228</v>
      </c>
      <c r="H374" s="827">
        <v>97</v>
      </c>
      <c r="I374" s="1157">
        <f>'Emission-Waste Transport Vehicl'!N71</f>
        <v>15.362315641728001</v>
      </c>
      <c r="J374" s="1157">
        <f>'Emission-Waste Transport Vehicl'!P71</f>
        <v>8.547336471168002</v>
      </c>
      <c r="K374" s="1157">
        <f>'Emission-Waste Transport Vehicl'!Q71</f>
        <v>6.6381018485760004</v>
      </c>
      <c r="L374" s="1157">
        <f>'Emission-Waste Transport Vehicl'!R71</f>
        <v>0.66068882035200005</v>
      </c>
      <c r="M374" s="1159">
        <f t="shared" si="97"/>
        <v>183074.72107063036</v>
      </c>
      <c r="N374" s="1159">
        <f t="shared" si="93"/>
        <v>12206.295885756566</v>
      </c>
      <c r="O374" s="1159">
        <f t="shared" si="94"/>
        <v>11686.04370115553</v>
      </c>
      <c r="P374" s="1159">
        <f t="shared" si="95"/>
        <v>-5776.3469859759489</v>
      </c>
      <c r="Q374" s="1159">
        <f t="shared" si="96"/>
        <v>1113.0705270487283</v>
      </c>
      <c r="R374" s="2773"/>
    </row>
    <row r="375" spans="1:18" x14ac:dyDescent="0.25">
      <c r="A375" s="2908"/>
      <c r="B375" s="775">
        <v>2058</v>
      </c>
      <c r="C375" s="1134">
        <f t="shared" si="98"/>
        <v>1887368.2584601068</v>
      </c>
      <c r="D375" s="1156">
        <f t="shared" si="99"/>
        <v>794.5609353710405</v>
      </c>
      <c r="E375" s="1156">
        <f t="shared" si="100"/>
        <v>1367.2146569372881</v>
      </c>
      <c r="F375" s="1156">
        <f t="shared" si="101"/>
        <v>-870.18053017898262</v>
      </c>
      <c r="G375" s="1156">
        <f t="shared" si="102"/>
        <v>1684.7122166464228</v>
      </c>
      <c r="H375" s="827">
        <v>97</v>
      </c>
      <c r="I375" s="1157">
        <f>'Emission-Waste Transport Vehicl'!N72</f>
        <v>15.059112043536</v>
      </c>
      <c r="J375" s="1157">
        <f>'Emission-Waste Transport Vehicl'!P72</f>
        <v>8.378639040816001</v>
      </c>
      <c r="K375" s="1157">
        <f>'Emission-Waste Transport Vehicl'!Q72</f>
        <v>6.5070866805119998</v>
      </c>
      <c r="L375" s="1157">
        <f>'Emission-Waste Transport Vehicl'!R72</f>
        <v>0.647648909424</v>
      </c>
      <c r="M375" s="1159">
        <f t="shared" si="97"/>
        <v>183074.72107063036</v>
      </c>
      <c r="N375" s="1159">
        <f t="shared" si="93"/>
        <v>11965.382151169266</v>
      </c>
      <c r="O375" s="1159">
        <f t="shared" si="94"/>
        <v>11455.398101790617</v>
      </c>
      <c r="P375" s="1159">
        <f t="shared" si="95"/>
        <v>-5662.340137568528</v>
      </c>
      <c r="Q375" s="1159">
        <f t="shared" si="96"/>
        <v>1091.1020298043454</v>
      </c>
      <c r="R375" s="2773"/>
    </row>
    <row r="376" spans="1:18" x14ac:dyDescent="0.25">
      <c r="A376" s="2908"/>
      <c r="B376" s="775">
        <v>2059</v>
      </c>
      <c r="C376" s="1134">
        <f t="shared" si="98"/>
        <v>1887368.2584601068</v>
      </c>
      <c r="D376" s="1156">
        <f t="shared" si="99"/>
        <v>794.5609353710405</v>
      </c>
      <c r="E376" s="1156">
        <f t="shared" si="100"/>
        <v>1367.2146569372881</v>
      </c>
      <c r="F376" s="1156">
        <f t="shared" si="101"/>
        <v>-870.18053017898262</v>
      </c>
      <c r="G376" s="1156">
        <f t="shared" si="102"/>
        <v>1684.7122166464228</v>
      </c>
      <c r="H376" s="827">
        <v>97</v>
      </c>
      <c r="I376" s="1157">
        <f>'Emission-Waste Transport Vehicl'!N73</f>
        <v>14.765689206576004</v>
      </c>
      <c r="J376" s="1157">
        <f>'Emission-Waste Transport Vehicl'!P73</f>
        <v>8.2153834630560016</v>
      </c>
      <c r="K376" s="1157">
        <f>'Emission-Waste Transport Vehicl'!Q73</f>
        <v>6.380297808192001</v>
      </c>
      <c r="L376" s="1157">
        <f>'Emission-Waste Transport Vehicl'!R73</f>
        <v>0.63502964078400004</v>
      </c>
      <c r="M376" s="1159">
        <f t="shared" si="97"/>
        <v>183074.72107063036</v>
      </c>
      <c r="N376" s="1159">
        <f t="shared" si="93"/>
        <v>11732.239827375108</v>
      </c>
      <c r="O376" s="1159">
        <f t="shared" si="94"/>
        <v>11232.192683050382</v>
      </c>
      <c r="P376" s="1159">
        <f t="shared" si="95"/>
        <v>-5552.0109294323165</v>
      </c>
      <c r="Q376" s="1159">
        <f t="shared" si="96"/>
        <v>1069.8421937613944</v>
      </c>
      <c r="R376" s="2773"/>
    </row>
    <row r="377" spans="1:18" x14ac:dyDescent="0.25">
      <c r="A377" s="2908"/>
      <c r="B377" s="775">
        <v>2060</v>
      </c>
      <c r="C377" s="1134">
        <f t="shared" si="98"/>
        <v>1887368.2584601068</v>
      </c>
      <c r="D377" s="1156">
        <f t="shared" si="99"/>
        <v>794.5609353710405</v>
      </c>
      <c r="E377" s="1156">
        <f t="shared" si="100"/>
        <v>1367.2146569372881</v>
      </c>
      <c r="F377" s="1156">
        <f t="shared" si="101"/>
        <v>-870.18053017898262</v>
      </c>
      <c r="G377" s="1156">
        <f t="shared" si="102"/>
        <v>1684.7122166464228</v>
      </c>
      <c r="H377" s="827">
        <v>97</v>
      </c>
      <c r="I377" s="1157">
        <f>'Emission-Waste Transport Vehicl'!N74</f>
        <v>14.475526623360002</v>
      </c>
      <c r="J377" s="1157">
        <f>'Emission-Waste Transport Vehicl'!P74</f>
        <v>8.0539418361599999</v>
      </c>
      <c r="K377" s="1157">
        <f>'Emission-Waste Transport Vehicl'!Q74</f>
        <v>6.2549177011200001</v>
      </c>
      <c r="L377" s="1157">
        <f>'Emission-Waste Transport Vehicl'!R74</f>
        <v>0.62255058624000004</v>
      </c>
      <c r="M377" s="1159">
        <f t="shared" si="97"/>
        <v>183074.72107063036</v>
      </c>
      <c r="N377" s="1159">
        <f t="shared" si="93"/>
        <v>11501.687973845323</v>
      </c>
      <c r="O377" s="1159">
        <f t="shared" si="94"/>
        <v>11011.467324518366</v>
      </c>
      <c r="P377" s="1159">
        <f t="shared" si="95"/>
        <v>-5442.9076013865051</v>
      </c>
      <c r="Q377" s="1159">
        <f t="shared" si="96"/>
        <v>1048.8185781189204</v>
      </c>
      <c r="R377" s="2773"/>
    </row>
    <row r="378" spans="1:18" x14ac:dyDescent="0.25">
      <c r="A378" s="2908"/>
      <c r="B378" s="775">
        <v>2061</v>
      </c>
      <c r="C378" s="1134">
        <f t="shared" si="98"/>
        <v>1887368.2584601068</v>
      </c>
      <c r="D378" s="1156">
        <f t="shared" si="99"/>
        <v>794.5609353710405</v>
      </c>
      <c r="E378" s="1156">
        <f t="shared" si="100"/>
        <v>1367.2146569372881</v>
      </c>
      <c r="F378" s="1156">
        <f t="shared" si="101"/>
        <v>-870.18053017898262</v>
      </c>
      <c r="G378" s="1156">
        <f t="shared" si="102"/>
        <v>1684.7122166464228</v>
      </c>
      <c r="H378" s="827">
        <v>97</v>
      </c>
      <c r="I378" s="1157">
        <f>'Emission-Waste Transport Vehicl'!N75</f>
        <v>14.191884547632004</v>
      </c>
      <c r="J378" s="1157">
        <f>'Emission-Waste Transport Vehicl'!P75</f>
        <v>7.8961281109920014</v>
      </c>
      <c r="K378" s="1157">
        <f>'Emission-Waste Transport Vehicl'!Q75</f>
        <v>6.1323551245440004</v>
      </c>
      <c r="L378" s="1157">
        <f>'Emission-Waste Transport Vehicl'!R75</f>
        <v>0.61035195988800006</v>
      </c>
      <c r="M378" s="1159">
        <f t="shared" si="97"/>
        <v>183074.72107063036</v>
      </c>
      <c r="N378" s="1159">
        <f t="shared" si="93"/>
        <v>11276.317060844302</v>
      </c>
      <c r="O378" s="1159">
        <f t="shared" si="94"/>
        <v>10795.702086402805</v>
      </c>
      <c r="P378" s="1159">
        <f t="shared" si="95"/>
        <v>-5336.2560335214994</v>
      </c>
      <c r="Q378" s="1159">
        <f t="shared" si="96"/>
        <v>1028.2674032774012</v>
      </c>
      <c r="R378" s="2773"/>
    </row>
    <row r="379" spans="1:18" x14ac:dyDescent="0.25">
      <c r="A379" s="2908"/>
      <c r="B379" s="775">
        <v>2062</v>
      </c>
      <c r="C379" s="1134">
        <f t="shared" si="98"/>
        <v>1887368.2584601068</v>
      </c>
      <c r="D379" s="1156">
        <f t="shared" si="99"/>
        <v>794.5609353710405</v>
      </c>
      <c r="E379" s="1156">
        <f t="shared" si="100"/>
        <v>1367.2146569372881</v>
      </c>
      <c r="F379" s="1156">
        <f t="shared" si="101"/>
        <v>-870.18053017898262</v>
      </c>
      <c r="G379" s="1156">
        <f t="shared" si="102"/>
        <v>1684.7122166464228</v>
      </c>
      <c r="H379" s="827">
        <v>97</v>
      </c>
      <c r="I379" s="1157">
        <f>'Emission-Waste Transport Vehicl'!N76</f>
        <v>13.914762979392002</v>
      </c>
      <c r="J379" s="1157">
        <f>'Emission-Waste Transport Vehicl'!P76</f>
        <v>7.7419422875520008</v>
      </c>
      <c r="K379" s="1157">
        <f>'Emission-Waste Transport Vehicl'!Q76</f>
        <v>6.0126100784640002</v>
      </c>
      <c r="L379" s="1157">
        <f>'Emission-Waste Transport Vehicl'!R76</f>
        <v>0.59843376172800011</v>
      </c>
      <c r="M379" s="1159">
        <f t="shared" si="97"/>
        <v>183074.72107063036</v>
      </c>
      <c r="N379" s="1159">
        <f t="shared" si="93"/>
        <v>11056.127088372035</v>
      </c>
      <c r="O379" s="1159">
        <f t="shared" si="94"/>
        <v>10584.896968703692</v>
      </c>
      <c r="P379" s="1159">
        <f t="shared" si="95"/>
        <v>-5232.0562258372984</v>
      </c>
      <c r="Q379" s="1159">
        <f t="shared" si="96"/>
        <v>1008.1886692368363</v>
      </c>
      <c r="R379" s="2773"/>
    </row>
    <row r="380" spans="1:18" x14ac:dyDescent="0.25">
      <c r="A380" s="2908"/>
      <c r="B380" s="775">
        <v>2063</v>
      </c>
      <c r="C380" s="1134">
        <f t="shared" si="98"/>
        <v>1887368.2584601068</v>
      </c>
      <c r="D380" s="1156">
        <f t="shared" si="99"/>
        <v>794.5609353710405</v>
      </c>
      <c r="E380" s="1156">
        <f t="shared" si="100"/>
        <v>1367.2146569372881</v>
      </c>
      <c r="F380" s="1156">
        <f t="shared" si="101"/>
        <v>-870.18053017898262</v>
      </c>
      <c r="G380" s="1156">
        <f t="shared" si="102"/>
        <v>1684.7122166464228</v>
      </c>
      <c r="H380" s="827">
        <v>97</v>
      </c>
      <c r="I380" s="1157">
        <f>'Emission-Waste Transport Vehicl'!N77</f>
        <v>13.640901664896001</v>
      </c>
      <c r="J380" s="1157">
        <f>'Emission-Waste Transport Vehicl'!P77</f>
        <v>7.5895704149760004</v>
      </c>
      <c r="K380" s="1157">
        <f>'Emission-Waste Transport Vehicl'!Q77</f>
        <v>5.8942737976319997</v>
      </c>
      <c r="L380" s="1157">
        <f>'Emission-Waste Transport Vehicl'!R77</f>
        <v>0.58665577766400001</v>
      </c>
      <c r="M380" s="1159">
        <f t="shared" si="97"/>
        <v>183074.72107063036</v>
      </c>
      <c r="N380" s="1159">
        <f t="shared" si="93"/>
        <v>10838.527586164149</v>
      </c>
      <c r="O380" s="1159">
        <f t="shared" si="94"/>
        <v>10376.571911212803</v>
      </c>
      <c r="P380" s="1159">
        <f t="shared" si="95"/>
        <v>-5129.0822982434984</v>
      </c>
      <c r="Q380" s="1159">
        <f t="shared" si="96"/>
        <v>988.34615559674842</v>
      </c>
      <c r="R380" s="2773"/>
    </row>
    <row r="381" spans="1:18" x14ac:dyDescent="0.25">
      <c r="A381" s="2908"/>
      <c r="B381" s="775">
        <v>2064</v>
      </c>
      <c r="C381" s="1134">
        <f t="shared" si="98"/>
        <v>1887368.2584601068</v>
      </c>
      <c r="D381" s="1156">
        <f t="shared" si="99"/>
        <v>794.5609353710405</v>
      </c>
      <c r="E381" s="1156">
        <f t="shared" si="100"/>
        <v>1367.2146569372881</v>
      </c>
      <c r="F381" s="1156">
        <f t="shared" si="101"/>
        <v>-870.18053017898262</v>
      </c>
      <c r="G381" s="1156">
        <f t="shared" si="102"/>
        <v>1684.7122166464228</v>
      </c>
      <c r="H381" s="827">
        <v>97</v>
      </c>
      <c r="I381" s="1157">
        <f>'Emission-Waste Transport Vehicl'!N78</f>
        <v>13.373560857888002</v>
      </c>
      <c r="J381" s="1157">
        <f>'Emission-Waste Transport Vehicl'!P78</f>
        <v>7.4408264441280014</v>
      </c>
      <c r="K381" s="1157">
        <f>'Emission-Waste Transport Vehicl'!Q78</f>
        <v>5.7787550472960003</v>
      </c>
      <c r="L381" s="1157">
        <f>'Emission-Waste Transport Vehicl'!R78</f>
        <v>0.57515822179200005</v>
      </c>
      <c r="M381" s="1159">
        <f t="shared" si="97"/>
        <v>183074.72107063036</v>
      </c>
      <c r="N381" s="1159">
        <f t="shared" si="93"/>
        <v>10626.109024485026</v>
      </c>
      <c r="O381" s="1159">
        <f t="shared" si="94"/>
        <v>10173.206974138366</v>
      </c>
      <c r="P381" s="1159">
        <f t="shared" si="95"/>
        <v>-5028.5601308305049</v>
      </c>
      <c r="Q381" s="1159">
        <f t="shared" si="96"/>
        <v>968.97608275761525</v>
      </c>
      <c r="R381" s="2773"/>
    </row>
    <row r="382" spans="1:18" x14ac:dyDescent="0.25">
      <c r="A382" s="2908"/>
      <c r="B382" s="775">
        <v>2065</v>
      </c>
      <c r="C382" s="1134">
        <f t="shared" si="98"/>
        <v>1887368.2584601068</v>
      </c>
      <c r="D382" s="1156">
        <f t="shared" si="99"/>
        <v>794.5609353710405</v>
      </c>
      <c r="E382" s="1156">
        <f t="shared" si="100"/>
        <v>1367.2146569372881</v>
      </c>
      <c r="F382" s="1156">
        <f t="shared" si="101"/>
        <v>-870.18053017898262</v>
      </c>
      <c r="G382" s="1156">
        <f t="shared" si="102"/>
        <v>1684.7122166464228</v>
      </c>
      <c r="H382" s="827">
        <v>97</v>
      </c>
      <c r="I382" s="1157">
        <f>'Emission-Waste Transport Vehicl'!N79</f>
        <v>13.112740558368001</v>
      </c>
      <c r="J382" s="1157">
        <f>'Emission-Waste Transport Vehicl'!P79</f>
        <v>7.2957103750080003</v>
      </c>
      <c r="K382" s="1157">
        <f>'Emission-Waste Transport Vehicl'!Q79</f>
        <v>5.6660538274560004</v>
      </c>
      <c r="L382" s="1157">
        <f>'Emission-Waste Transport Vehicl'!R79</f>
        <v>0.56394109411200011</v>
      </c>
      <c r="M382" s="1159">
        <f t="shared" si="97"/>
        <v>183074.72107063036</v>
      </c>
      <c r="N382" s="1159">
        <f t="shared" si="93"/>
        <v>10418.871403334659</v>
      </c>
      <c r="O382" s="1159">
        <f t="shared" si="94"/>
        <v>9974.802157480377</v>
      </c>
      <c r="P382" s="1159">
        <f t="shared" si="95"/>
        <v>-4930.4897235983162</v>
      </c>
      <c r="Q382" s="1159">
        <f t="shared" si="96"/>
        <v>950.07845071943666</v>
      </c>
      <c r="R382" s="2773"/>
    </row>
    <row r="383" spans="1:18" x14ac:dyDescent="0.25">
      <c r="A383" s="2908"/>
      <c r="B383" s="775">
        <v>2066</v>
      </c>
      <c r="C383" s="1134">
        <f t="shared" si="98"/>
        <v>1887368.2584601068</v>
      </c>
      <c r="D383" s="1156">
        <f t="shared" si="99"/>
        <v>794.5609353710405</v>
      </c>
      <c r="E383" s="1156">
        <f t="shared" si="100"/>
        <v>1367.2146569372881</v>
      </c>
      <c r="F383" s="1156">
        <f t="shared" si="101"/>
        <v>-870.18053017898262</v>
      </c>
      <c r="G383" s="1156">
        <f t="shared" si="102"/>
        <v>1684.7122166464228</v>
      </c>
      <c r="H383" s="827">
        <v>97</v>
      </c>
      <c r="I383" s="1157">
        <f>'Emission-Waste Transport Vehicl'!N80</f>
        <v>12.855180512592</v>
      </c>
      <c r="J383" s="1157">
        <f>'Emission-Waste Transport Vehicl'!P80</f>
        <v>7.1524082567520004</v>
      </c>
      <c r="K383" s="1157">
        <f>'Emission-Waste Transport Vehicl'!Q80</f>
        <v>5.5547613728639993</v>
      </c>
      <c r="L383" s="1157">
        <f>'Emission-Waste Transport Vehicl'!R80</f>
        <v>0.55286418052800002</v>
      </c>
      <c r="M383" s="1159">
        <f t="shared" si="97"/>
        <v>183074.72107063036</v>
      </c>
      <c r="N383" s="1159">
        <f t="shared" si="93"/>
        <v>10214.224252448672</v>
      </c>
      <c r="O383" s="1159">
        <f t="shared" si="94"/>
        <v>9778.8774010306133</v>
      </c>
      <c r="P383" s="1159">
        <f t="shared" si="95"/>
        <v>-4833.6451964565285</v>
      </c>
      <c r="Q383" s="1159">
        <f t="shared" si="96"/>
        <v>931.41703908173497</v>
      </c>
      <c r="R383" s="2773"/>
    </row>
    <row r="384" spans="1:18" x14ac:dyDescent="0.25">
      <c r="A384" s="2908"/>
      <c r="B384" s="775">
        <v>2067</v>
      </c>
      <c r="C384" s="1134">
        <f t="shared" si="98"/>
        <v>1887368.2584601068</v>
      </c>
      <c r="D384" s="1156">
        <f t="shared" si="99"/>
        <v>794.5609353710405</v>
      </c>
      <c r="E384" s="1156">
        <f t="shared" si="100"/>
        <v>1367.2146569372881</v>
      </c>
      <c r="F384" s="1156">
        <f t="shared" si="101"/>
        <v>-870.18053017898262</v>
      </c>
      <c r="G384" s="1156">
        <f t="shared" si="102"/>
        <v>1684.7122166464228</v>
      </c>
      <c r="H384" s="827">
        <v>97</v>
      </c>
      <c r="I384" s="1157">
        <f>'Emission-Waste Transport Vehicl'!N81</f>
        <v>12.600880720560001</v>
      </c>
      <c r="J384" s="1157">
        <f>'Emission-Waste Transport Vehicl'!P81</f>
        <v>7.0109200893600008</v>
      </c>
      <c r="K384" s="1157">
        <f>'Emission-Waste Transport Vehicl'!Q81</f>
        <v>5.4448776835200006</v>
      </c>
      <c r="L384" s="1157">
        <f>'Emission-Waste Transport Vehicl'!R81</f>
        <v>0.5419274810400001</v>
      </c>
      <c r="M384" s="1159">
        <f t="shared" si="97"/>
        <v>183074.72107063036</v>
      </c>
      <c r="N384" s="1159">
        <f t="shared" si="93"/>
        <v>10012.167571827065</v>
      </c>
      <c r="O384" s="1159">
        <f t="shared" si="94"/>
        <v>9585.4327047890747</v>
      </c>
      <c r="P384" s="1159">
        <f t="shared" si="95"/>
        <v>-4738.0265494051446</v>
      </c>
      <c r="Q384" s="1159">
        <f t="shared" si="96"/>
        <v>912.99184784451086</v>
      </c>
      <c r="R384" s="2773"/>
    </row>
    <row r="385" spans="1:18" x14ac:dyDescent="0.25">
      <c r="A385" s="2908"/>
      <c r="B385" s="775">
        <v>2068</v>
      </c>
      <c r="C385" s="1134">
        <f t="shared" si="98"/>
        <v>1887368.2584601068</v>
      </c>
      <c r="D385" s="1156">
        <f t="shared" si="99"/>
        <v>794.5609353710405</v>
      </c>
      <c r="E385" s="1156">
        <f t="shared" si="100"/>
        <v>1367.2146569372881</v>
      </c>
      <c r="F385" s="1156">
        <f t="shared" si="101"/>
        <v>-870.18053017898262</v>
      </c>
      <c r="G385" s="1156">
        <f t="shared" si="102"/>
        <v>1684.7122166464228</v>
      </c>
      <c r="H385" s="827">
        <v>97</v>
      </c>
      <c r="I385" s="1157">
        <f>'Emission-Waste Transport Vehicl'!N82</f>
        <v>12.356361689760002</v>
      </c>
      <c r="J385" s="1157">
        <f>'Emission-Waste Transport Vehicl'!P82</f>
        <v>6.8748737745600002</v>
      </c>
      <c r="K385" s="1157">
        <f>'Emission-Waste Transport Vehicl'!Q82</f>
        <v>5.339220289920001</v>
      </c>
      <c r="L385" s="1157">
        <f>'Emission-Waste Transport Vehicl'!R82</f>
        <v>0.53141142384000006</v>
      </c>
      <c r="M385" s="1159">
        <f t="shared" si="97"/>
        <v>183074.72107063036</v>
      </c>
      <c r="N385" s="1159">
        <f t="shared" si="93"/>
        <v>9817.8823019985975</v>
      </c>
      <c r="O385" s="1159">
        <f t="shared" si="94"/>
        <v>9399.4281891722094</v>
      </c>
      <c r="P385" s="1159">
        <f t="shared" si="95"/>
        <v>-4646.0855426249682</v>
      </c>
      <c r="Q385" s="1159">
        <f t="shared" si="96"/>
        <v>895.27531780871823</v>
      </c>
      <c r="R385" s="2773"/>
    </row>
    <row r="386" spans="1:18" ht="15.75" thickBot="1" x14ac:dyDescent="0.3">
      <c r="A386" s="2909"/>
      <c r="B386" s="776">
        <v>2069</v>
      </c>
      <c r="C386" s="1135">
        <f t="shared" si="98"/>
        <v>1887368.2584601068</v>
      </c>
      <c r="D386" s="1160">
        <f t="shared" si="99"/>
        <v>794.5609353710405</v>
      </c>
      <c r="E386" s="1160">
        <f t="shared" si="100"/>
        <v>1367.2146569372881</v>
      </c>
      <c r="F386" s="1160">
        <f t="shared" si="101"/>
        <v>-870.18053017898262</v>
      </c>
      <c r="G386" s="1160">
        <f t="shared" si="102"/>
        <v>1684.7122166464228</v>
      </c>
      <c r="H386" s="1062">
        <v>97</v>
      </c>
      <c r="I386" s="1161">
        <f>'Emission-Waste Transport Vehicl'!N83</f>
        <v>12.111842658960002</v>
      </c>
      <c r="J386" s="1161">
        <f>'Emission-Waste Transport Vehicl'!P83</f>
        <v>6.7388274597600004</v>
      </c>
      <c r="K386" s="1161">
        <f>'Emission-Waste Transport Vehicl'!Q83</f>
        <v>5.2335628963200005</v>
      </c>
      <c r="L386" s="1161">
        <f>'Emission-Waste Transport Vehicl'!R83</f>
        <v>0.52089536664000002</v>
      </c>
      <c r="M386" s="1163">
        <f>(C386/1000)*H386</f>
        <v>183074.72107063036</v>
      </c>
      <c r="N386" s="1163">
        <f t="shared" si="93"/>
        <v>9623.5970321701298</v>
      </c>
      <c r="O386" s="1163">
        <f t="shared" si="94"/>
        <v>9213.4236735553459</v>
      </c>
      <c r="P386" s="1163">
        <f t="shared" si="95"/>
        <v>-4554.14453584479</v>
      </c>
      <c r="Q386" s="1163">
        <f t="shared" si="96"/>
        <v>877.5587877729256</v>
      </c>
      <c r="R386" s="2774"/>
    </row>
    <row r="387" spans="1:18" x14ac:dyDescent="0.25">
      <c r="A387" s="2903" t="s">
        <v>1077</v>
      </c>
      <c r="B387" s="888">
        <v>2019</v>
      </c>
      <c r="C387" s="1133">
        <f t="shared" ref="C387:C418" si="103">$S$19</f>
        <v>1887368.2584601068</v>
      </c>
      <c r="D387" s="1153">
        <f t="shared" ref="D387:D418" si="104">$T$19</f>
        <v>1765.4020084355284</v>
      </c>
      <c r="E387" s="1153">
        <f t="shared" ref="E387:E418" si="105">$R$19</f>
        <v>4852.1046581477403</v>
      </c>
      <c r="F387" s="1153">
        <f t="shared" ref="F387:F418" si="106">$V$19</f>
        <v>-870.18053017898262</v>
      </c>
      <c r="G387" s="1153">
        <f t="shared" ref="G387:G418" si="107">$U$19</f>
        <v>1684.7122166464228</v>
      </c>
      <c r="H387" s="1056">
        <v>62</v>
      </c>
      <c r="I387" s="1154">
        <f>'Emission-Waste Transport Vehicl'!N33</f>
        <v>32.602537440000006</v>
      </c>
      <c r="J387" s="1154">
        <f>'Emission-Waste Transport Vehicl'!P33</f>
        <v>18.139508640000003</v>
      </c>
      <c r="K387" s="1154">
        <f>'Emission-Waste Transport Vehicl'!Q33</f>
        <v>14.087652480000001</v>
      </c>
      <c r="L387" s="1154">
        <f>'Emission-Waste Transport Vehicl'!R33</f>
        <v>1.4021409600000001</v>
      </c>
      <c r="M387" s="1155">
        <f>(C387/1000)*H387</f>
        <v>117016.83202452662</v>
      </c>
      <c r="N387" s="1155">
        <f t="shared" si="93"/>
        <v>57556.585076670519</v>
      </c>
      <c r="O387" s="1155">
        <f t="shared" si="94"/>
        <v>88014.794368655188</v>
      </c>
      <c r="P387" s="1155">
        <f t="shared" si="95"/>
        <v>-12258.800904023659</v>
      </c>
      <c r="Q387" s="1155">
        <f t="shared" si="96"/>
        <v>2362.2040047723435</v>
      </c>
      <c r="R387" s="2772">
        <f>(SUM(M387:M437)*1.2682)+(SUM(N387:N437))+(SUM(O387:O437))+(SUM(P387:P437))+(SUM(Q387:Q437))</f>
        <v>14916528.32405797</v>
      </c>
    </row>
    <row r="388" spans="1:18" x14ac:dyDescent="0.25">
      <c r="A388" s="2862"/>
      <c r="B388" s="706">
        <v>2020</v>
      </c>
      <c r="C388" s="1134">
        <f t="shared" si="103"/>
        <v>1887368.2584601068</v>
      </c>
      <c r="D388" s="1156">
        <f t="shared" si="104"/>
        <v>1765.4020084355284</v>
      </c>
      <c r="E388" s="1156">
        <f t="shared" si="105"/>
        <v>4852.1046581477403</v>
      </c>
      <c r="F388" s="1156">
        <f t="shared" si="106"/>
        <v>-870.18053017898262</v>
      </c>
      <c r="G388" s="1156">
        <f t="shared" si="107"/>
        <v>1684.7122166464228</v>
      </c>
      <c r="H388" s="827">
        <v>64</v>
      </c>
      <c r="I388" s="1157">
        <f>'Emission-Waste Transport Vehicl'!N34</f>
        <v>31.963527706176006</v>
      </c>
      <c r="J388" s="1157">
        <f>'Emission-Waste Transport Vehicl'!P34</f>
        <v>17.783974270656003</v>
      </c>
      <c r="K388" s="1157">
        <f>'Emission-Waste Transport Vehicl'!Q34</f>
        <v>13.811534491392001</v>
      </c>
      <c r="L388" s="1157">
        <f>'Emission-Waste Transport Vehicl'!R34</f>
        <v>1.3746589971840002</v>
      </c>
      <c r="M388" s="1159">
        <f t="shared" ref="M388:M451" si="108">(C388/1000)*H388</f>
        <v>120791.56854144683</v>
      </c>
      <c r="N388" s="1159">
        <f t="shared" si="93"/>
        <v>56428.476009167782</v>
      </c>
      <c r="O388" s="1159">
        <f t="shared" si="94"/>
        <v>86289.70439902955</v>
      </c>
      <c r="P388" s="1159">
        <f t="shared" si="95"/>
        <v>-12018.528406304797</v>
      </c>
      <c r="Q388" s="1159">
        <f t="shared" si="96"/>
        <v>2315.9048062788056</v>
      </c>
      <c r="R388" s="2773"/>
    </row>
    <row r="389" spans="1:18" x14ac:dyDescent="0.25">
      <c r="A389" s="2862"/>
      <c r="B389" s="706">
        <v>2021</v>
      </c>
      <c r="C389" s="1134">
        <f t="shared" si="103"/>
        <v>1887368.2584601068</v>
      </c>
      <c r="D389" s="1156">
        <f t="shared" si="104"/>
        <v>1765.4020084355284</v>
      </c>
      <c r="E389" s="1156">
        <f t="shared" si="105"/>
        <v>4852.1046581477403</v>
      </c>
      <c r="F389" s="1156">
        <f t="shared" si="106"/>
        <v>-870.18053017898262</v>
      </c>
      <c r="G389" s="1156">
        <f t="shared" si="107"/>
        <v>1684.7122166464228</v>
      </c>
      <c r="H389" s="827">
        <v>65</v>
      </c>
      <c r="I389" s="1157">
        <f>'Emission-Waste Transport Vehicl'!N35</f>
        <v>31.337558987328006</v>
      </c>
      <c r="J389" s="1157">
        <f>'Emission-Waste Transport Vehicl'!P35</f>
        <v>17.435695704768001</v>
      </c>
      <c r="K389" s="1157">
        <f>'Emission-Waste Transport Vehicl'!Q35</f>
        <v>13.541051563776001</v>
      </c>
      <c r="L389" s="1157">
        <f>'Emission-Waste Transport Vehicl'!R35</f>
        <v>1.3477378907520003</v>
      </c>
      <c r="M389" s="1159">
        <f t="shared" si="108"/>
        <v>122678.93679990694</v>
      </c>
      <c r="N389" s="1159">
        <f t="shared" si="93"/>
        <v>55323.389575695706</v>
      </c>
      <c r="O389" s="1159">
        <f t="shared" si="94"/>
        <v>84599.82034715137</v>
      </c>
      <c r="P389" s="1159">
        <f t="shared" si="95"/>
        <v>-11783.159428947543</v>
      </c>
      <c r="Q389" s="1159">
        <f t="shared" si="96"/>
        <v>2270.5504893871771</v>
      </c>
      <c r="R389" s="2773"/>
    </row>
    <row r="390" spans="1:18" x14ac:dyDescent="0.25">
      <c r="A390" s="2862"/>
      <c r="B390" s="706">
        <v>2022</v>
      </c>
      <c r="C390" s="1134">
        <f t="shared" si="103"/>
        <v>1887368.2584601068</v>
      </c>
      <c r="D390" s="1156">
        <f t="shared" si="104"/>
        <v>1765.4020084355284</v>
      </c>
      <c r="E390" s="1156">
        <f t="shared" si="105"/>
        <v>4852.1046581477403</v>
      </c>
      <c r="F390" s="1156">
        <f t="shared" si="106"/>
        <v>-870.18053017898262</v>
      </c>
      <c r="G390" s="1156">
        <f t="shared" si="107"/>
        <v>1684.7122166464228</v>
      </c>
      <c r="H390" s="827">
        <v>66</v>
      </c>
      <c r="I390" s="1157">
        <f>'Emission-Waste Transport Vehicl'!N36</f>
        <v>30.721371029712003</v>
      </c>
      <c r="J390" s="1157">
        <f>'Emission-Waste Transport Vehicl'!P36</f>
        <v>17.092858991472003</v>
      </c>
      <c r="K390" s="1157">
        <f>'Emission-Waste Transport Vehicl'!Q36</f>
        <v>13.274794931903999</v>
      </c>
      <c r="L390" s="1157">
        <f>'Emission-Waste Transport Vehicl'!R36</f>
        <v>1.3212374266080003</v>
      </c>
      <c r="M390" s="1159">
        <f t="shared" si="108"/>
        <v>124566.30505836704</v>
      </c>
      <c r="N390" s="1159">
        <f t="shared" si="93"/>
        <v>54235.570117746625</v>
      </c>
      <c r="O390" s="1159">
        <f t="shared" si="94"/>
        <v>82936.340733583798</v>
      </c>
      <c r="P390" s="1159">
        <f t="shared" si="95"/>
        <v>-11551.468091861494</v>
      </c>
      <c r="Q390" s="1159">
        <f t="shared" si="96"/>
        <v>2225.9048336969795</v>
      </c>
      <c r="R390" s="2773"/>
    </row>
    <row r="391" spans="1:18" x14ac:dyDescent="0.25">
      <c r="A391" s="2862"/>
      <c r="B391" s="706">
        <v>2023</v>
      </c>
      <c r="C391" s="1134">
        <f t="shared" si="103"/>
        <v>1887368.2584601068</v>
      </c>
      <c r="D391" s="1156">
        <f t="shared" si="104"/>
        <v>1765.4020084355284</v>
      </c>
      <c r="E391" s="1156">
        <f t="shared" si="105"/>
        <v>4852.1046581477403</v>
      </c>
      <c r="F391" s="1156">
        <f t="shared" si="106"/>
        <v>-870.18053017898262</v>
      </c>
      <c r="G391" s="1156">
        <f t="shared" si="107"/>
        <v>1684.7122166464228</v>
      </c>
      <c r="H391" s="827">
        <v>67</v>
      </c>
      <c r="I391" s="1157">
        <f>'Emission-Waste Transport Vehicl'!N37</f>
        <v>30.118224087072001</v>
      </c>
      <c r="J391" s="1157">
        <f>'Emission-Waste Transport Vehicl'!P37</f>
        <v>16.757278081632002</v>
      </c>
      <c r="K391" s="1157">
        <f>'Emission-Waste Transport Vehicl'!Q37</f>
        <v>13.014173361024</v>
      </c>
      <c r="L391" s="1157">
        <f>'Emission-Waste Transport Vehicl'!R37</f>
        <v>1.295297818848</v>
      </c>
      <c r="M391" s="1159">
        <f t="shared" si="108"/>
        <v>126453.67331682715</v>
      </c>
      <c r="N391" s="1159">
        <f t="shared" si="93"/>
        <v>53170.773293828221</v>
      </c>
      <c r="O391" s="1159">
        <f t="shared" si="94"/>
        <v>81308.067037763671</v>
      </c>
      <c r="P391" s="1159">
        <f t="shared" si="95"/>
        <v>-11324.680275137056</v>
      </c>
      <c r="Q391" s="1159">
        <f t="shared" si="96"/>
        <v>2182.2040596086908</v>
      </c>
      <c r="R391" s="2773"/>
    </row>
    <row r="392" spans="1:18" x14ac:dyDescent="0.25">
      <c r="A392" s="2862"/>
      <c r="B392" s="706">
        <v>2024</v>
      </c>
      <c r="C392" s="1134">
        <f t="shared" si="103"/>
        <v>1887368.2584601068</v>
      </c>
      <c r="D392" s="1156">
        <f t="shared" si="104"/>
        <v>1765.4020084355284</v>
      </c>
      <c r="E392" s="1156">
        <f t="shared" si="105"/>
        <v>4852.1046581477403</v>
      </c>
      <c r="F392" s="1156">
        <f t="shared" si="106"/>
        <v>-870.18053017898262</v>
      </c>
      <c r="G392" s="1156">
        <f t="shared" si="107"/>
        <v>1684.7122166464228</v>
      </c>
      <c r="H392" s="827">
        <v>68</v>
      </c>
      <c r="I392" s="1157">
        <f>'Emission-Waste Transport Vehicl'!N38</f>
        <v>29.528118159408002</v>
      </c>
      <c r="J392" s="1157">
        <f>'Emission-Waste Transport Vehicl'!P38</f>
        <v>16.428952975248002</v>
      </c>
      <c r="K392" s="1157">
        <f>'Emission-Waste Transport Vehicl'!Q38</f>
        <v>12.759186851135999</v>
      </c>
      <c r="L392" s="1157">
        <f>'Emission-Waste Transport Vehicl'!R38</f>
        <v>1.269919067472</v>
      </c>
      <c r="M392" s="1159">
        <f t="shared" si="108"/>
        <v>128341.04157528727</v>
      </c>
      <c r="N392" s="1159">
        <f t="shared" si="93"/>
        <v>52128.999103940485</v>
      </c>
      <c r="O392" s="1159">
        <f t="shared" si="94"/>
        <v>79714.999259691016</v>
      </c>
      <c r="P392" s="1159">
        <f t="shared" si="95"/>
        <v>-11102.795978774227</v>
      </c>
      <c r="Q392" s="1159">
        <f t="shared" si="96"/>
        <v>2139.4481671223111</v>
      </c>
      <c r="R392" s="2773"/>
    </row>
    <row r="393" spans="1:18" x14ac:dyDescent="0.25">
      <c r="A393" s="2862"/>
      <c r="B393" s="706">
        <v>2025</v>
      </c>
      <c r="C393" s="1134">
        <f t="shared" si="103"/>
        <v>1887368.2584601068</v>
      </c>
      <c r="D393" s="1156">
        <f t="shared" si="104"/>
        <v>1765.4020084355284</v>
      </c>
      <c r="E393" s="1156">
        <f t="shared" si="105"/>
        <v>4852.1046581477403</v>
      </c>
      <c r="F393" s="1156">
        <f t="shared" si="106"/>
        <v>-870.18053017898262</v>
      </c>
      <c r="G393" s="1156">
        <f t="shared" si="107"/>
        <v>1684.7122166464228</v>
      </c>
      <c r="H393" s="827">
        <v>69</v>
      </c>
      <c r="I393" s="1157">
        <f>'Emission-Waste Transport Vehicl'!N39</f>
        <v>28.951053246720004</v>
      </c>
      <c r="J393" s="1157">
        <f>'Emission-Waste Transport Vehicl'!P39</f>
        <v>16.10788367232</v>
      </c>
      <c r="K393" s="1157">
        <f>'Emission-Waste Transport Vehicl'!Q39</f>
        <v>12.50983540224</v>
      </c>
      <c r="L393" s="1157">
        <f>'Emission-Waste Transport Vehicl'!R39</f>
        <v>1.2451011724800001</v>
      </c>
      <c r="M393" s="1159">
        <f t="shared" si="108"/>
        <v>130228.40983374737</v>
      </c>
      <c r="N393" s="1159">
        <f t="shared" si="93"/>
        <v>51110.247548083418</v>
      </c>
      <c r="O393" s="1159">
        <f t="shared" si="94"/>
        <v>78157.137399365805</v>
      </c>
      <c r="P393" s="1159">
        <f t="shared" si="95"/>
        <v>-10885.81520277301</v>
      </c>
      <c r="Q393" s="1159">
        <f t="shared" si="96"/>
        <v>2097.6371562378408</v>
      </c>
      <c r="R393" s="2773"/>
    </row>
    <row r="394" spans="1:18" x14ac:dyDescent="0.25">
      <c r="A394" s="2862"/>
      <c r="B394" s="706">
        <v>2026</v>
      </c>
      <c r="C394" s="1134">
        <f t="shared" si="103"/>
        <v>1887368.2584601068</v>
      </c>
      <c r="D394" s="1156">
        <f t="shared" si="104"/>
        <v>1765.4020084355284</v>
      </c>
      <c r="E394" s="1156">
        <f t="shared" si="105"/>
        <v>4852.1046581477403</v>
      </c>
      <c r="F394" s="1156">
        <f t="shared" si="106"/>
        <v>-870.18053017898262</v>
      </c>
      <c r="G394" s="1156">
        <f t="shared" si="107"/>
        <v>1684.7122166464228</v>
      </c>
      <c r="H394" s="827">
        <v>70</v>
      </c>
      <c r="I394" s="1157">
        <f>'Emission-Waste Transport Vehicl'!N40</f>
        <v>28.383769095264007</v>
      </c>
      <c r="J394" s="1157">
        <f>'Emission-Waste Transport Vehicl'!P40</f>
        <v>15.792256221984003</v>
      </c>
      <c r="K394" s="1157">
        <f>'Emission-Waste Transport Vehicl'!Q40</f>
        <v>12.264710249088001</v>
      </c>
      <c r="L394" s="1157">
        <f>'Emission-Waste Transport Vehicl'!R40</f>
        <v>1.2207039197760001</v>
      </c>
      <c r="M394" s="1159">
        <f t="shared" si="108"/>
        <v>132115.77809220747</v>
      </c>
      <c r="N394" s="1159">
        <f t="shared" si="93"/>
        <v>50108.762967749361</v>
      </c>
      <c r="O394" s="1159">
        <f t="shared" si="94"/>
        <v>76625.679977351218</v>
      </c>
      <c r="P394" s="1159">
        <f t="shared" si="95"/>
        <v>-10672.512067042999</v>
      </c>
      <c r="Q394" s="1159">
        <f t="shared" si="96"/>
        <v>2056.5348065548023</v>
      </c>
      <c r="R394" s="2773"/>
    </row>
    <row r="395" spans="1:18" x14ac:dyDescent="0.25">
      <c r="A395" s="2862"/>
      <c r="B395" s="706">
        <v>2027</v>
      </c>
      <c r="C395" s="1134">
        <f t="shared" si="103"/>
        <v>1887368.2584601068</v>
      </c>
      <c r="D395" s="1156">
        <f t="shared" si="104"/>
        <v>1765.4020084355284</v>
      </c>
      <c r="E395" s="1156">
        <f t="shared" si="105"/>
        <v>4852.1046581477403</v>
      </c>
      <c r="F395" s="1156">
        <f t="shared" si="106"/>
        <v>-870.18053017898262</v>
      </c>
      <c r="G395" s="1156">
        <f t="shared" si="107"/>
        <v>1684.7122166464228</v>
      </c>
      <c r="H395" s="827">
        <v>71</v>
      </c>
      <c r="I395" s="1157">
        <f>'Emission-Waste Transport Vehicl'!N41</f>
        <v>27.826265705040004</v>
      </c>
      <c r="J395" s="1157">
        <f>'Emission-Waste Transport Vehicl'!P41</f>
        <v>15.482070624240002</v>
      </c>
      <c r="K395" s="1157">
        <f>'Emission-Waste Transport Vehicl'!Q41</f>
        <v>12.023811391680001</v>
      </c>
      <c r="L395" s="1157">
        <f>'Emission-Waste Transport Vehicl'!R41</f>
        <v>1.1967273093600002</v>
      </c>
      <c r="M395" s="1159">
        <f t="shared" si="108"/>
        <v>134003.14635066758</v>
      </c>
      <c r="N395" s="1159">
        <f t="shared" si="93"/>
        <v>49124.54536293829</v>
      </c>
      <c r="O395" s="1159">
        <f t="shared" si="94"/>
        <v>75120.626993647209</v>
      </c>
      <c r="P395" s="1159">
        <f t="shared" si="95"/>
        <v>-10462.886571584193</v>
      </c>
      <c r="Q395" s="1159">
        <f t="shared" si="96"/>
        <v>2016.1411180731952</v>
      </c>
      <c r="R395" s="2773"/>
    </row>
    <row r="396" spans="1:18" x14ac:dyDescent="0.25">
      <c r="A396" s="2862"/>
      <c r="B396" s="706">
        <v>2028</v>
      </c>
      <c r="C396" s="1134">
        <f t="shared" si="103"/>
        <v>1887368.2584601068</v>
      </c>
      <c r="D396" s="1156">
        <f t="shared" si="104"/>
        <v>1765.4020084355284</v>
      </c>
      <c r="E396" s="1156">
        <f t="shared" si="105"/>
        <v>4852.1046581477403</v>
      </c>
      <c r="F396" s="1156">
        <f t="shared" si="106"/>
        <v>-870.18053017898262</v>
      </c>
      <c r="G396" s="1156">
        <f t="shared" si="107"/>
        <v>1684.7122166464228</v>
      </c>
      <c r="H396" s="827">
        <v>72</v>
      </c>
      <c r="I396" s="1157">
        <f>'Emission-Waste Transport Vehicl'!N42</f>
        <v>27.281803329792002</v>
      </c>
      <c r="J396" s="1157">
        <f>'Emission-Waste Transport Vehicl'!P42</f>
        <v>15.179140829952001</v>
      </c>
      <c r="K396" s="1157">
        <f>'Emission-Waste Transport Vehicl'!Q42</f>
        <v>11.788547595263999</v>
      </c>
      <c r="L396" s="1157">
        <f>'Emission-Waste Transport Vehicl'!R42</f>
        <v>1.173311555328</v>
      </c>
      <c r="M396" s="1159">
        <f t="shared" si="108"/>
        <v>135890.51460912768</v>
      </c>
      <c r="N396" s="1159">
        <f t="shared" si="93"/>
        <v>48163.350392157889</v>
      </c>
      <c r="O396" s="1159">
        <f t="shared" si="94"/>
        <v>73650.779927690659</v>
      </c>
      <c r="P396" s="1159">
        <f t="shared" si="95"/>
        <v>-10258.164596486997</v>
      </c>
      <c r="Q396" s="1159">
        <f t="shared" si="96"/>
        <v>1976.6923111934968</v>
      </c>
      <c r="R396" s="2773"/>
    </row>
    <row r="397" spans="1:18" x14ac:dyDescent="0.25">
      <c r="A397" s="2862"/>
      <c r="B397" s="706">
        <v>2029</v>
      </c>
      <c r="C397" s="1134">
        <f t="shared" si="103"/>
        <v>1887368.2584601068</v>
      </c>
      <c r="D397" s="1156">
        <f t="shared" si="104"/>
        <v>1765.4020084355284</v>
      </c>
      <c r="E397" s="1156">
        <f t="shared" si="105"/>
        <v>4852.1046581477403</v>
      </c>
      <c r="F397" s="1156">
        <f t="shared" si="106"/>
        <v>-870.18053017898262</v>
      </c>
      <c r="G397" s="1156">
        <f t="shared" si="107"/>
        <v>1684.7122166464228</v>
      </c>
      <c r="H397" s="827">
        <v>73</v>
      </c>
      <c r="I397" s="1157">
        <f>'Emission-Waste Transport Vehicl'!N43</f>
        <v>26.743861462032005</v>
      </c>
      <c r="J397" s="1157">
        <f>'Emission-Waste Transport Vehicl'!P43</f>
        <v>14.879838937392002</v>
      </c>
      <c r="K397" s="1157">
        <f>'Emission-Waste Transport Vehicl'!Q43</f>
        <v>11.556101329344001</v>
      </c>
      <c r="L397" s="1157">
        <f>'Emission-Waste Transport Vehicl'!R43</f>
        <v>1.1501762294880002</v>
      </c>
      <c r="M397" s="1159">
        <f t="shared" si="108"/>
        <v>137777.88286758779</v>
      </c>
      <c r="N397" s="1159">
        <f t="shared" si="93"/>
        <v>47213.666738392829</v>
      </c>
      <c r="O397" s="1159">
        <f t="shared" si="94"/>
        <v>72198.535820607853</v>
      </c>
      <c r="P397" s="1159">
        <f t="shared" si="95"/>
        <v>-10055.894381570608</v>
      </c>
      <c r="Q397" s="1159">
        <f t="shared" si="96"/>
        <v>1937.7159451147536</v>
      </c>
      <c r="R397" s="2773"/>
    </row>
    <row r="398" spans="1:18" x14ac:dyDescent="0.25">
      <c r="A398" s="2862"/>
      <c r="B398" s="706">
        <v>2030</v>
      </c>
      <c r="C398" s="1134">
        <f t="shared" si="103"/>
        <v>1887368.2584601068</v>
      </c>
      <c r="D398" s="1156">
        <f t="shared" si="104"/>
        <v>1765.4020084355284</v>
      </c>
      <c r="E398" s="1156">
        <f t="shared" si="105"/>
        <v>4852.1046581477403</v>
      </c>
      <c r="F398" s="1156">
        <f t="shared" si="106"/>
        <v>-870.18053017898262</v>
      </c>
      <c r="G398" s="1156">
        <f t="shared" si="107"/>
        <v>1684.7122166464228</v>
      </c>
      <c r="H398" s="827">
        <v>75</v>
      </c>
      <c r="I398" s="1157">
        <f>'Emission-Waste Transport Vehicl'!N44</f>
        <v>26.222220862992003</v>
      </c>
      <c r="J398" s="1157">
        <f>'Emission-Waste Transport Vehicl'!P44</f>
        <v>14.589606799152003</v>
      </c>
      <c r="K398" s="1157">
        <f>'Emission-Waste Transport Vehicl'!Q44</f>
        <v>11.330698889664001</v>
      </c>
      <c r="L398" s="1157">
        <f>'Emission-Waste Transport Vehicl'!R44</f>
        <v>1.1277419741280001</v>
      </c>
      <c r="M398" s="1159">
        <f t="shared" si="108"/>
        <v>141552.619384508</v>
      </c>
      <c r="N398" s="1159">
        <f t="shared" si="93"/>
        <v>46292.761377166098</v>
      </c>
      <c r="O398" s="1159">
        <f t="shared" si="94"/>
        <v>70790.299110709384</v>
      </c>
      <c r="P398" s="1159">
        <f t="shared" si="95"/>
        <v>-9859.7535671062305</v>
      </c>
      <c r="Q398" s="1159">
        <f t="shared" si="96"/>
        <v>1899.920681038396</v>
      </c>
      <c r="R398" s="2773"/>
    </row>
    <row r="399" spans="1:18" x14ac:dyDescent="0.25">
      <c r="A399" s="2862"/>
      <c r="B399" s="706">
        <v>2031</v>
      </c>
      <c r="C399" s="1134">
        <f t="shared" si="103"/>
        <v>1887368.2584601068</v>
      </c>
      <c r="D399" s="1156">
        <f t="shared" si="104"/>
        <v>1765.4020084355284</v>
      </c>
      <c r="E399" s="1156">
        <f t="shared" si="105"/>
        <v>4852.1046581477403</v>
      </c>
      <c r="F399" s="1156">
        <f t="shared" si="106"/>
        <v>-870.18053017898262</v>
      </c>
      <c r="G399" s="1156">
        <f t="shared" si="107"/>
        <v>1684.7122166464228</v>
      </c>
      <c r="H399" s="827">
        <v>76</v>
      </c>
      <c r="I399" s="1157">
        <f>'Emission-Waste Transport Vehicl'!N45</f>
        <v>25.70710077144</v>
      </c>
      <c r="J399" s="1157">
        <f>'Emission-Waste Transport Vehicl'!P45</f>
        <v>14.303002562640001</v>
      </c>
      <c r="K399" s="1157">
        <f>'Emission-Waste Transport Vehicl'!Q45</f>
        <v>11.108113980480001</v>
      </c>
      <c r="L399" s="1157">
        <f>'Emission-Waste Transport Vehicl'!R45</f>
        <v>1.1055881469600002</v>
      </c>
      <c r="M399" s="1159">
        <f t="shared" si="108"/>
        <v>143439.9876429681</v>
      </c>
      <c r="N399" s="1159">
        <f t="shared" si="93"/>
        <v>45383.367332954695</v>
      </c>
      <c r="O399" s="1159">
        <f t="shared" si="94"/>
        <v>69399.665359684615</v>
      </c>
      <c r="P399" s="1159">
        <f t="shared" si="95"/>
        <v>-9666.0645128226552</v>
      </c>
      <c r="Q399" s="1159">
        <f t="shared" si="96"/>
        <v>1862.597857762993</v>
      </c>
      <c r="R399" s="2773"/>
    </row>
    <row r="400" spans="1:18" x14ac:dyDescent="0.25">
      <c r="A400" s="2862"/>
      <c r="B400" s="706">
        <v>2032</v>
      </c>
      <c r="C400" s="1134">
        <f t="shared" si="103"/>
        <v>1887368.2584601068</v>
      </c>
      <c r="D400" s="1156">
        <f t="shared" si="104"/>
        <v>1765.4020084355284</v>
      </c>
      <c r="E400" s="1156">
        <f t="shared" si="105"/>
        <v>4852.1046581477403</v>
      </c>
      <c r="F400" s="1156">
        <f t="shared" si="106"/>
        <v>-870.18053017898262</v>
      </c>
      <c r="G400" s="1156">
        <f t="shared" si="107"/>
        <v>1684.7122166464228</v>
      </c>
      <c r="H400" s="827">
        <v>77</v>
      </c>
      <c r="I400" s="1157">
        <f>'Emission-Waste Transport Vehicl'!N46</f>
        <v>25.201761441120002</v>
      </c>
      <c r="J400" s="1157">
        <f>'Emission-Waste Transport Vehicl'!P46</f>
        <v>14.021840178720002</v>
      </c>
      <c r="K400" s="1157">
        <f>'Emission-Waste Transport Vehicl'!Q46</f>
        <v>10.889755367040001</v>
      </c>
      <c r="L400" s="1157">
        <f>'Emission-Waste Transport Vehicl'!R46</f>
        <v>1.0838549620800002</v>
      </c>
      <c r="M400" s="1159">
        <f t="shared" si="108"/>
        <v>145327.35590142821</v>
      </c>
      <c r="N400" s="1159">
        <f t="shared" ref="N400:N463" si="109">D400*I400</f>
        <v>44491.240264266307</v>
      </c>
      <c r="O400" s="1159">
        <f t="shared" ref="O400:O463" si="110">E400*J400</f>
        <v>68035.43604697047</v>
      </c>
      <c r="P400" s="1159">
        <f t="shared" ref="P400:P463" si="111">F400*K400</f>
        <v>-9476.0530988102892</v>
      </c>
      <c r="Q400" s="1159">
        <f t="shared" ref="Q400:Q463" si="112">G400*L400</f>
        <v>1825.9836956890217</v>
      </c>
      <c r="R400" s="2773"/>
    </row>
    <row r="401" spans="1:18" x14ac:dyDescent="0.25">
      <c r="A401" s="2862"/>
      <c r="B401" s="706">
        <v>2033</v>
      </c>
      <c r="C401" s="1134">
        <f t="shared" si="103"/>
        <v>1887368.2584601068</v>
      </c>
      <c r="D401" s="1156">
        <f t="shared" si="104"/>
        <v>1765.4020084355284</v>
      </c>
      <c r="E401" s="1156">
        <f t="shared" si="105"/>
        <v>4852.1046581477403</v>
      </c>
      <c r="F401" s="1156">
        <f t="shared" si="106"/>
        <v>-870.18053017898262</v>
      </c>
      <c r="G401" s="1156">
        <f t="shared" si="107"/>
        <v>1684.7122166464228</v>
      </c>
      <c r="H401" s="827">
        <v>78</v>
      </c>
      <c r="I401" s="1157">
        <f>'Emission-Waste Transport Vehicl'!N47</f>
        <v>24.709463125776001</v>
      </c>
      <c r="J401" s="1157">
        <f>'Emission-Waste Transport Vehicl'!P47</f>
        <v>13.747933598256003</v>
      </c>
      <c r="K401" s="1157">
        <f>'Emission-Waste Transport Vehicl'!Q47</f>
        <v>10.677031814592</v>
      </c>
      <c r="L401" s="1157">
        <f>'Emission-Waste Transport Vehicl'!R47</f>
        <v>1.0626826335840001</v>
      </c>
      <c r="M401" s="1159">
        <f t="shared" si="108"/>
        <v>147214.72415988831</v>
      </c>
      <c r="N401" s="1159">
        <f t="shared" si="109"/>
        <v>43622.135829608582</v>
      </c>
      <c r="O401" s="1159">
        <f t="shared" si="110"/>
        <v>66706.412652003783</v>
      </c>
      <c r="P401" s="1159">
        <f t="shared" si="111"/>
        <v>-9290.9452051595326</v>
      </c>
      <c r="Q401" s="1159">
        <f t="shared" si="112"/>
        <v>1790.3144152169591</v>
      </c>
      <c r="R401" s="2773"/>
    </row>
    <row r="402" spans="1:18" x14ac:dyDescent="0.25">
      <c r="A402" s="2862"/>
      <c r="B402" s="706">
        <v>2034</v>
      </c>
      <c r="C402" s="1134">
        <f t="shared" si="103"/>
        <v>1887368.2584601068</v>
      </c>
      <c r="D402" s="1156">
        <f t="shared" si="104"/>
        <v>1765.4020084355284</v>
      </c>
      <c r="E402" s="1156">
        <f t="shared" si="105"/>
        <v>4852.1046581477403</v>
      </c>
      <c r="F402" s="1156">
        <f t="shared" si="106"/>
        <v>-870.18053017898262</v>
      </c>
      <c r="G402" s="1156">
        <f t="shared" si="107"/>
        <v>1684.7122166464228</v>
      </c>
      <c r="H402" s="827">
        <v>79</v>
      </c>
      <c r="I402" s="1157">
        <f>'Emission-Waste Transport Vehicl'!N48</f>
        <v>24.223685317920005</v>
      </c>
      <c r="J402" s="1157">
        <f>'Emission-Waste Transport Vehicl'!P48</f>
        <v>13.477654919520001</v>
      </c>
      <c r="K402" s="1157">
        <f>'Emission-Waste Transport Vehicl'!Q48</f>
        <v>10.467125792640001</v>
      </c>
      <c r="L402" s="1157">
        <f>'Emission-Waste Transport Vehicl'!R48</f>
        <v>1.04179073328</v>
      </c>
      <c r="M402" s="1159">
        <f t="shared" si="108"/>
        <v>149102.09241834845</v>
      </c>
      <c r="N402" s="1159">
        <f t="shared" si="109"/>
        <v>42764.542711966198</v>
      </c>
      <c r="O402" s="1159">
        <f t="shared" si="110"/>
        <v>65394.992215910803</v>
      </c>
      <c r="P402" s="1159">
        <f t="shared" si="111"/>
        <v>-9108.2890716895799</v>
      </c>
      <c r="Q402" s="1159">
        <f t="shared" si="112"/>
        <v>1755.1175755458512</v>
      </c>
      <c r="R402" s="2773"/>
    </row>
    <row r="403" spans="1:18" x14ac:dyDescent="0.25">
      <c r="A403" s="2862"/>
      <c r="B403" s="706">
        <v>2035</v>
      </c>
      <c r="C403" s="1134">
        <f t="shared" si="103"/>
        <v>1887368.2584601068</v>
      </c>
      <c r="D403" s="1156">
        <f t="shared" si="104"/>
        <v>1765.4020084355284</v>
      </c>
      <c r="E403" s="1156">
        <f t="shared" si="105"/>
        <v>4852.1046581477403</v>
      </c>
      <c r="F403" s="1156">
        <f t="shared" si="106"/>
        <v>-870.18053017898262</v>
      </c>
      <c r="G403" s="1156">
        <f t="shared" si="107"/>
        <v>1684.7122166464228</v>
      </c>
      <c r="H403" s="827">
        <v>80</v>
      </c>
      <c r="I403" s="1157">
        <f>'Emission-Waste Transport Vehicl'!N49</f>
        <v>23.747688271296006</v>
      </c>
      <c r="J403" s="1157">
        <f>'Emission-Waste Transport Vehicl'!P49</f>
        <v>13.212818093376002</v>
      </c>
      <c r="K403" s="1157">
        <f>'Emission-Waste Transport Vehicl'!Q49</f>
        <v>10.261446066432002</v>
      </c>
      <c r="L403" s="1157">
        <f>'Emission-Waste Transport Vehicl'!R49</f>
        <v>1.0213194752640002</v>
      </c>
      <c r="M403" s="1159">
        <f t="shared" si="108"/>
        <v>150989.46067680855</v>
      </c>
      <c r="N403" s="1159">
        <f t="shared" si="109"/>
        <v>41924.216569846809</v>
      </c>
      <c r="O403" s="1159">
        <f t="shared" si="110"/>
        <v>64109.976218128446</v>
      </c>
      <c r="P403" s="1159">
        <f t="shared" si="111"/>
        <v>-8929.3105784908348</v>
      </c>
      <c r="Q403" s="1159">
        <f t="shared" si="112"/>
        <v>1720.6293970761753</v>
      </c>
      <c r="R403" s="2773"/>
    </row>
    <row r="404" spans="1:18" x14ac:dyDescent="0.25">
      <c r="A404" s="2862"/>
      <c r="B404" s="706">
        <v>2036</v>
      </c>
      <c r="C404" s="1134">
        <f t="shared" si="103"/>
        <v>1887368.2584601068</v>
      </c>
      <c r="D404" s="1156">
        <f t="shared" si="104"/>
        <v>1765.4020084355284</v>
      </c>
      <c r="E404" s="1156">
        <f t="shared" si="105"/>
        <v>4852.1046581477403</v>
      </c>
      <c r="F404" s="1156">
        <f t="shared" si="106"/>
        <v>-870.18053017898262</v>
      </c>
      <c r="G404" s="1156">
        <f t="shared" si="107"/>
        <v>1684.7122166464228</v>
      </c>
      <c r="H404" s="827">
        <v>81</v>
      </c>
      <c r="I404" s="1157">
        <f>'Emission-Waste Transport Vehicl'!N50</f>
        <v>23.284732239648001</v>
      </c>
      <c r="J404" s="1157">
        <f>'Emission-Waste Transport Vehicl'!P50</f>
        <v>12.955237070688</v>
      </c>
      <c r="K404" s="1157">
        <f>'Emission-Waste Transport Vehicl'!Q50</f>
        <v>10.061401401215999</v>
      </c>
      <c r="L404" s="1157">
        <f>'Emission-Waste Transport Vehicl'!R50</f>
        <v>1.001409073632</v>
      </c>
      <c r="M404" s="1159">
        <f t="shared" si="108"/>
        <v>152876.82893526866</v>
      </c>
      <c r="N404" s="1159">
        <f t="shared" si="109"/>
        <v>41106.913061758081</v>
      </c>
      <c r="O404" s="1159">
        <f t="shared" si="110"/>
        <v>62860.166138093533</v>
      </c>
      <c r="P404" s="1159">
        <f t="shared" si="111"/>
        <v>-8755.2356056536973</v>
      </c>
      <c r="Q404" s="1159">
        <f t="shared" si="112"/>
        <v>1687.0861002084075</v>
      </c>
      <c r="R404" s="2773"/>
    </row>
    <row r="405" spans="1:18" x14ac:dyDescent="0.25">
      <c r="A405" s="2862"/>
      <c r="B405" s="706">
        <v>2037</v>
      </c>
      <c r="C405" s="1134">
        <f t="shared" si="103"/>
        <v>1887368.2584601068</v>
      </c>
      <c r="D405" s="1156">
        <f t="shared" si="104"/>
        <v>1765.4020084355284</v>
      </c>
      <c r="E405" s="1156">
        <f t="shared" si="105"/>
        <v>4852.1046581477403</v>
      </c>
      <c r="F405" s="1156">
        <f t="shared" si="106"/>
        <v>-870.18053017898262</v>
      </c>
      <c r="G405" s="1156">
        <f t="shared" si="107"/>
        <v>1684.7122166464228</v>
      </c>
      <c r="H405" s="827">
        <v>83</v>
      </c>
      <c r="I405" s="1157">
        <f>'Emission-Waste Transport Vehicl'!N51</f>
        <v>22.828296715488005</v>
      </c>
      <c r="J405" s="1157">
        <f>'Emission-Waste Transport Vehicl'!P51</f>
        <v>12.701283949728003</v>
      </c>
      <c r="K405" s="1157">
        <f>'Emission-Waste Transport Vehicl'!Q51</f>
        <v>9.8641742664960006</v>
      </c>
      <c r="L405" s="1157">
        <f>'Emission-Waste Transport Vehicl'!R51</f>
        <v>0.9817791001920001</v>
      </c>
      <c r="M405" s="1159">
        <f t="shared" si="108"/>
        <v>156651.56545218886</v>
      </c>
      <c r="N405" s="1159">
        <f t="shared" si="109"/>
        <v>40301.120870684703</v>
      </c>
      <c r="O405" s="1159">
        <f t="shared" si="110"/>
        <v>61627.959016932371</v>
      </c>
      <c r="P405" s="1159">
        <f t="shared" si="111"/>
        <v>-8583.6123929973674</v>
      </c>
      <c r="Q405" s="1159">
        <f t="shared" si="112"/>
        <v>1654.0152441415948</v>
      </c>
      <c r="R405" s="2773"/>
    </row>
    <row r="406" spans="1:18" x14ac:dyDescent="0.25">
      <c r="A406" s="2862"/>
      <c r="B406" s="706">
        <v>2038</v>
      </c>
      <c r="C406" s="1134">
        <f t="shared" si="103"/>
        <v>1887368.2584601068</v>
      </c>
      <c r="D406" s="1156">
        <f t="shared" si="104"/>
        <v>1765.4020084355284</v>
      </c>
      <c r="E406" s="1156">
        <f t="shared" si="105"/>
        <v>4852.1046581477403</v>
      </c>
      <c r="F406" s="1156">
        <f t="shared" si="106"/>
        <v>-870.18053017898262</v>
      </c>
      <c r="G406" s="1156">
        <f t="shared" si="107"/>
        <v>1684.7122166464228</v>
      </c>
      <c r="H406" s="827">
        <v>84</v>
      </c>
      <c r="I406" s="1157">
        <f>'Emission-Waste Transport Vehicl'!N52</f>
        <v>22.378381698816003</v>
      </c>
      <c r="J406" s="1157">
        <f>'Emission-Waste Transport Vehicl'!P52</f>
        <v>12.450958730496001</v>
      </c>
      <c r="K406" s="1157">
        <f>'Emission-Waste Transport Vehicl'!Q52</f>
        <v>9.6697646622720015</v>
      </c>
      <c r="L406" s="1157">
        <f>'Emission-Waste Transport Vehicl'!R52</f>
        <v>0.96242955494400007</v>
      </c>
      <c r="M406" s="1159">
        <f t="shared" si="108"/>
        <v>158538.93371064897</v>
      </c>
      <c r="N406" s="1159">
        <f t="shared" si="109"/>
        <v>39506.839996626644</v>
      </c>
      <c r="O406" s="1159">
        <f t="shared" si="110"/>
        <v>60413.354854644924</v>
      </c>
      <c r="P406" s="1159">
        <f t="shared" si="111"/>
        <v>-8414.4409405218412</v>
      </c>
      <c r="Q406" s="1159">
        <f t="shared" si="112"/>
        <v>1621.4168288757364</v>
      </c>
      <c r="R406" s="2773"/>
    </row>
    <row r="407" spans="1:18" x14ac:dyDescent="0.25">
      <c r="A407" s="2862"/>
      <c r="B407" s="706">
        <v>2039</v>
      </c>
      <c r="C407" s="1134">
        <f t="shared" si="103"/>
        <v>1887368.2584601068</v>
      </c>
      <c r="D407" s="1156">
        <f t="shared" si="104"/>
        <v>1765.4020084355284</v>
      </c>
      <c r="E407" s="1156">
        <f t="shared" si="105"/>
        <v>4852.1046581477403</v>
      </c>
      <c r="F407" s="1156">
        <f t="shared" si="106"/>
        <v>-870.18053017898262</v>
      </c>
      <c r="G407" s="1156">
        <f t="shared" si="107"/>
        <v>1684.7122166464228</v>
      </c>
      <c r="H407" s="827">
        <v>85</v>
      </c>
      <c r="I407" s="1157">
        <f>'Emission-Waste Transport Vehicl'!N53</f>
        <v>21.941507697120006</v>
      </c>
      <c r="J407" s="1157">
        <f>'Emission-Waste Transport Vehicl'!P53</f>
        <v>12.207889314720003</v>
      </c>
      <c r="K407" s="1157">
        <f>'Emission-Waste Transport Vehicl'!Q53</f>
        <v>9.4809901190400012</v>
      </c>
      <c r="L407" s="1157">
        <f>'Emission-Waste Transport Vehicl'!R53</f>
        <v>0.9436408660800002</v>
      </c>
      <c r="M407" s="1159">
        <f t="shared" si="108"/>
        <v>160426.30196910907</v>
      </c>
      <c r="N407" s="1159">
        <f t="shared" si="109"/>
        <v>38735.581756599262</v>
      </c>
      <c r="O407" s="1159">
        <f t="shared" si="110"/>
        <v>59233.95661010495</v>
      </c>
      <c r="P407" s="1159">
        <f t="shared" si="111"/>
        <v>-8250.1730084079245</v>
      </c>
      <c r="Q407" s="1159">
        <f t="shared" si="112"/>
        <v>1589.7632952117874</v>
      </c>
      <c r="R407" s="2773"/>
    </row>
    <row r="408" spans="1:18" x14ac:dyDescent="0.25">
      <c r="A408" s="2862"/>
      <c r="B408" s="706">
        <v>2040</v>
      </c>
      <c r="C408" s="1134">
        <f t="shared" si="103"/>
        <v>1887368.2584601068</v>
      </c>
      <c r="D408" s="1156">
        <f t="shared" si="104"/>
        <v>1765.4020084355284</v>
      </c>
      <c r="E408" s="1156">
        <f t="shared" si="105"/>
        <v>4852.1046581477403</v>
      </c>
      <c r="F408" s="1156">
        <f t="shared" si="106"/>
        <v>-870.18053017898262</v>
      </c>
      <c r="G408" s="1156">
        <f t="shared" si="107"/>
        <v>1684.7122166464228</v>
      </c>
      <c r="H408" s="827">
        <v>86</v>
      </c>
      <c r="I408" s="1157">
        <f>'Emission-Waste Transport Vehicl'!N54</f>
        <v>21.511154202912003</v>
      </c>
      <c r="J408" s="1157">
        <f>'Emission-Waste Transport Vehicl'!P54</f>
        <v>11.968447800672001</v>
      </c>
      <c r="K408" s="1157">
        <f>'Emission-Waste Transport Vehicl'!Q54</f>
        <v>9.2950331063040004</v>
      </c>
      <c r="L408" s="1157">
        <f>'Emission-Waste Transport Vehicl'!R54</f>
        <v>0.92513260540800013</v>
      </c>
      <c r="M408" s="1159">
        <f t="shared" si="108"/>
        <v>162313.67022756918</v>
      </c>
      <c r="N408" s="1159">
        <f t="shared" si="109"/>
        <v>37975.834833587207</v>
      </c>
      <c r="O408" s="1159">
        <f t="shared" si="110"/>
        <v>58072.161324438697</v>
      </c>
      <c r="P408" s="1159">
        <f t="shared" si="111"/>
        <v>-8088.3568364748107</v>
      </c>
      <c r="Q408" s="1159">
        <f t="shared" si="112"/>
        <v>1558.5822023487924</v>
      </c>
      <c r="R408" s="2773"/>
    </row>
    <row r="409" spans="1:18" x14ac:dyDescent="0.25">
      <c r="A409" s="2862"/>
      <c r="B409" s="706">
        <v>2041</v>
      </c>
      <c r="C409" s="1134">
        <f t="shared" si="103"/>
        <v>1887368.2584601068</v>
      </c>
      <c r="D409" s="1156">
        <f t="shared" si="104"/>
        <v>1765.4020084355284</v>
      </c>
      <c r="E409" s="1156">
        <f t="shared" si="105"/>
        <v>4852.1046581477403</v>
      </c>
      <c r="F409" s="1156">
        <f t="shared" si="106"/>
        <v>-870.18053017898262</v>
      </c>
      <c r="G409" s="1156">
        <f t="shared" si="107"/>
        <v>1684.7122166464228</v>
      </c>
      <c r="H409" s="827">
        <v>87</v>
      </c>
      <c r="I409" s="1157">
        <f>'Emission-Waste Transport Vehicl'!N55</f>
        <v>21.087321216192002</v>
      </c>
      <c r="J409" s="1157">
        <f>'Emission-Waste Transport Vehicl'!P55</f>
        <v>11.732634188352002</v>
      </c>
      <c r="K409" s="1157">
        <f>'Emission-Waste Transport Vehicl'!Q55</f>
        <v>9.1118936240640007</v>
      </c>
      <c r="L409" s="1157">
        <f>'Emission-Waste Transport Vehicl'!R55</f>
        <v>0.9069047729280002</v>
      </c>
      <c r="M409" s="1159">
        <f t="shared" si="108"/>
        <v>164201.03848602928</v>
      </c>
      <c r="N409" s="1159">
        <f t="shared" si="109"/>
        <v>37227.599227590486</v>
      </c>
      <c r="O409" s="1159">
        <f t="shared" si="110"/>
        <v>56927.968997646181</v>
      </c>
      <c r="P409" s="1159">
        <f t="shared" si="111"/>
        <v>-7928.9924247225035</v>
      </c>
      <c r="Q409" s="1159">
        <f t="shared" si="112"/>
        <v>1527.8735502867519</v>
      </c>
      <c r="R409" s="2773"/>
    </row>
    <row r="410" spans="1:18" x14ac:dyDescent="0.25">
      <c r="A410" s="2862"/>
      <c r="B410" s="706">
        <v>2042</v>
      </c>
      <c r="C410" s="1134">
        <f t="shared" si="103"/>
        <v>1887368.2584601068</v>
      </c>
      <c r="D410" s="1156">
        <f t="shared" si="104"/>
        <v>1765.4020084355284</v>
      </c>
      <c r="E410" s="1156">
        <f t="shared" si="105"/>
        <v>4852.1046581477403</v>
      </c>
      <c r="F410" s="1156">
        <f t="shared" si="106"/>
        <v>-870.18053017898262</v>
      </c>
      <c r="G410" s="1156">
        <f t="shared" si="107"/>
        <v>1684.7122166464228</v>
      </c>
      <c r="H410" s="827">
        <v>88</v>
      </c>
      <c r="I410" s="1157">
        <f>'Emission-Waste Transport Vehicl'!N56</f>
        <v>20.676529244448002</v>
      </c>
      <c r="J410" s="1157">
        <f>'Emission-Waste Transport Vehicl'!P56</f>
        <v>11.504076379488001</v>
      </c>
      <c r="K410" s="1157">
        <f>'Emission-Waste Transport Vehicl'!Q56</f>
        <v>8.9343892028159999</v>
      </c>
      <c r="L410" s="1157">
        <f>'Emission-Waste Transport Vehicl'!R56</f>
        <v>0.8892377968320001</v>
      </c>
      <c r="M410" s="1159">
        <f t="shared" si="108"/>
        <v>166088.40674448939</v>
      </c>
      <c r="N410" s="1159">
        <f t="shared" si="109"/>
        <v>36502.386255624442</v>
      </c>
      <c r="O410" s="1159">
        <f t="shared" si="110"/>
        <v>55818.982588601124</v>
      </c>
      <c r="P410" s="1159">
        <f t="shared" si="111"/>
        <v>-7774.5315333318049</v>
      </c>
      <c r="Q410" s="1159">
        <f t="shared" si="112"/>
        <v>1498.1097798266203</v>
      </c>
      <c r="R410" s="2773"/>
    </row>
    <row r="411" spans="1:18" x14ac:dyDescent="0.25">
      <c r="A411" s="2862"/>
      <c r="B411" s="706">
        <v>2043</v>
      </c>
      <c r="C411" s="1134">
        <f t="shared" si="103"/>
        <v>1887368.2584601068</v>
      </c>
      <c r="D411" s="1156">
        <f t="shared" si="104"/>
        <v>1765.4020084355284</v>
      </c>
      <c r="E411" s="1156">
        <f t="shared" si="105"/>
        <v>4852.1046581477403</v>
      </c>
      <c r="F411" s="1156">
        <f t="shared" si="106"/>
        <v>-870.18053017898262</v>
      </c>
      <c r="G411" s="1156">
        <f t="shared" si="107"/>
        <v>1684.7122166464228</v>
      </c>
      <c r="H411" s="827">
        <v>89</v>
      </c>
      <c r="I411" s="1157">
        <f>'Emission-Waste Transport Vehicl'!N57</f>
        <v>20.268997526448004</v>
      </c>
      <c r="J411" s="1157">
        <f>'Emission-Waste Transport Vehicl'!P57</f>
        <v>11.277332521488001</v>
      </c>
      <c r="K411" s="1157">
        <f>'Emission-Waste Transport Vehicl'!Q57</f>
        <v>8.7582935468160006</v>
      </c>
      <c r="L411" s="1157">
        <f>'Emission-Waste Transport Vehicl'!R57</f>
        <v>0.87171103483200019</v>
      </c>
      <c r="M411" s="1159">
        <f t="shared" si="108"/>
        <v>167975.77500294949</v>
      </c>
      <c r="N411" s="1159">
        <f t="shared" si="109"/>
        <v>35782.928942166065</v>
      </c>
      <c r="O411" s="1159">
        <f t="shared" si="110"/>
        <v>54718.797658992931</v>
      </c>
      <c r="P411" s="1159">
        <f t="shared" si="111"/>
        <v>-7621.29652203151</v>
      </c>
      <c r="Q411" s="1159">
        <f t="shared" si="112"/>
        <v>1468.5822297669661</v>
      </c>
      <c r="R411" s="2773"/>
    </row>
    <row r="412" spans="1:18" x14ac:dyDescent="0.25">
      <c r="A412" s="2862"/>
      <c r="B412" s="706">
        <v>2044</v>
      </c>
      <c r="C412" s="1134">
        <f t="shared" si="103"/>
        <v>1887368.2584601068</v>
      </c>
      <c r="D412" s="1156">
        <f t="shared" si="104"/>
        <v>1765.4020084355284</v>
      </c>
      <c r="E412" s="1156">
        <f t="shared" si="105"/>
        <v>4852.1046581477403</v>
      </c>
      <c r="F412" s="1156">
        <f t="shared" si="106"/>
        <v>-870.18053017898262</v>
      </c>
      <c r="G412" s="1156">
        <f t="shared" si="107"/>
        <v>1684.7122166464228</v>
      </c>
      <c r="H412" s="827">
        <v>90</v>
      </c>
      <c r="I412" s="1157">
        <f>'Emission-Waste Transport Vehicl'!N58</f>
        <v>19.871246569680004</v>
      </c>
      <c r="J412" s="1157">
        <f>'Emission-Waste Transport Vehicl'!P58</f>
        <v>11.056030516080002</v>
      </c>
      <c r="K412" s="1157">
        <f>'Emission-Waste Transport Vehicl'!Q58</f>
        <v>8.5864241865600004</v>
      </c>
      <c r="L412" s="1157">
        <f>'Emission-Waste Transport Vehicl'!R58</f>
        <v>0.85460491512000014</v>
      </c>
      <c r="M412" s="1159">
        <f t="shared" si="108"/>
        <v>169863.1432614096</v>
      </c>
      <c r="N412" s="1159">
        <f t="shared" si="109"/>
        <v>35080.738604230683</v>
      </c>
      <c r="O412" s="1159">
        <f t="shared" si="110"/>
        <v>53645.01716769534</v>
      </c>
      <c r="P412" s="1159">
        <f t="shared" si="111"/>
        <v>-7471.7391510024208</v>
      </c>
      <c r="Q412" s="1159">
        <f t="shared" si="112"/>
        <v>1439.7633409087434</v>
      </c>
      <c r="R412" s="2773"/>
    </row>
    <row r="413" spans="1:18" x14ac:dyDescent="0.25">
      <c r="A413" s="2862"/>
      <c r="B413" s="706">
        <v>2045</v>
      </c>
      <c r="C413" s="1134">
        <f t="shared" si="103"/>
        <v>1887368.2584601068</v>
      </c>
      <c r="D413" s="1156">
        <f t="shared" si="104"/>
        <v>1765.4020084355284</v>
      </c>
      <c r="E413" s="1156">
        <f t="shared" si="105"/>
        <v>4852.1046581477403</v>
      </c>
      <c r="F413" s="1156">
        <f t="shared" si="106"/>
        <v>-870.18053017898262</v>
      </c>
      <c r="G413" s="1156">
        <f t="shared" si="107"/>
        <v>1684.7122166464228</v>
      </c>
      <c r="H413" s="827">
        <v>92</v>
      </c>
      <c r="I413" s="1157">
        <f>'Emission-Waste Transport Vehicl'!N59</f>
        <v>19.483276374144001</v>
      </c>
      <c r="J413" s="1157">
        <f>'Emission-Waste Transport Vehicl'!P59</f>
        <v>10.840170363264003</v>
      </c>
      <c r="K413" s="1157">
        <f>'Emission-Waste Transport Vehicl'!Q59</f>
        <v>8.4187811220480011</v>
      </c>
      <c r="L413" s="1157">
        <f>'Emission-Waste Transport Vehicl'!R59</f>
        <v>0.83791943769600008</v>
      </c>
      <c r="M413" s="1159">
        <f t="shared" si="108"/>
        <v>173637.87977832981</v>
      </c>
      <c r="N413" s="1159">
        <f t="shared" si="109"/>
        <v>34395.815241818302</v>
      </c>
      <c r="O413" s="1159">
        <f t="shared" si="110"/>
        <v>52597.641114708349</v>
      </c>
      <c r="P413" s="1159">
        <f t="shared" si="111"/>
        <v>-7325.8594202445402</v>
      </c>
      <c r="Q413" s="1159">
        <f t="shared" si="112"/>
        <v>1411.6531132519524</v>
      </c>
      <c r="R413" s="2773"/>
    </row>
    <row r="414" spans="1:18" x14ac:dyDescent="0.25">
      <c r="A414" s="2862"/>
      <c r="B414" s="706">
        <v>2046</v>
      </c>
      <c r="C414" s="1134">
        <f t="shared" si="103"/>
        <v>1887368.2584601068</v>
      </c>
      <c r="D414" s="1156">
        <f t="shared" si="104"/>
        <v>1765.4020084355284</v>
      </c>
      <c r="E414" s="1156">
        <f t="shared" si="105"/>
        <v>4852.1046581477403</v>
      </c>
      <c r="F414" s="1156">
        <f t="shared" si="106"/>
        <v>-870.18053017898262</v>
      </c>
      <c r="G414" s="1156">
        <f t="shared" si="107"/>
        <v>1684.7122166464228</v>
      </c>
      <c r="H414" s="827">
        <v>93</v>
      </c>
      <c r="I414" s="1157">
        <f>'Emission-Waste Transport Vehicl'!N60</f>
        <v>19.101826686096</v>
      </c>
      <c r="J414" s="1157">
        <f>'Emission-Waste Transport Vehicl'!P60</f>
        <v>10.627938112176002</v>
      </c>
      <c r="K414" s="1157">
        <f>'Emission-Waste Transport Vehicl'!Q60</f>
        <v>8.2539555880319995</v>
      </c>
      <c r="L414" s="1157">
        <f>'Emission-Waste Transport Vehicl'!R60</f>
        <v>0.82151438846400004</v>
      </c>
      <c r="M414" s="1159">
        <f t="shared" si="108"/>
        <v>175525.24803678994</v>
      </c>
      <c r="N414" s="1159">
        <f t="shared" si="109"/>
        <v>33722.403196421255</v>
      </c>
      <c r="O414" s="1159">
        <f t="shared" si="110"/>
        <v>51567.86802059508</v>
      </c>
      <c r="P414" s="1159">
        <f t="shared" si="111"/>
        <v>-7182.4314496674615</v>
      </c>
      <c r="Q414" s="1159">
        <f t="shared" si="112"/>
        <v>1384.0153263961161</v>
      </c>
      <c r="R414" s="2773"/>
    </row>
    <row r="415" spans="1:18" x14ac:dyDescent="0.25">
      <c r="A415" s="2862"/>
      <c r="B415" s="706">
        <v>2047</v>
      </c>
      <c r="C415" s="1134">
        <f t="shared" si="103"/>
        <v>1887368.2584601068</v>
      </c>
      <c r="D415" s="1156">
        <f t="shared" si="104"/>
        <v>1765.4020084355284</v>
      </c>
      <c r="E415" s="1156">
        <f t="shared" si="105"/>
        <v>4852.1046581477403</v>
      </c>
      <c r="F415" s="1156">
        <f t="shared" si="106"/>
        <v>-870.18053017898262</v>
      </c>
      <c r="G415" s="1156">
        <f t="shared" si="107"/>
        <v>1684.7122166464228</v>
      </c>
      <c r="H415" s="827">
        <v>94</v>
      </c>
      <c r="I415" s="1157">
        <f>'Emission-Waste Transport Vehicl'!N61</f>
        <v>18.726897505536005</v>
      </c>
      <c r="J415" s="1157">
        <f>'Emission-Waste Transport Vehicl'!P61</f>
        <v>10.419333762816001</v>
      </c>
      <c r="K415" s="1157">
        <f>'Emission-Waste Transport Vehicl'!Q61</f>
        <v>8.0919475845120008</v>
      </c>
      <c r="L415" s="1157">
        <f>'Emission-Waste Transport Vehicl'!R61</f>
        <v>0.80538976742400015</v>
      </c>
      <c r="M415" s="1159">
        <f t="shared" si="108"/>
        <v>177412.61629525005</v>
      </c>
      <c r="N415" s="1159">
        <f t="shared" si="109"/>
        <v>33060.502468039551</v>
      </c>
      <c r="O415" s="1159">
        <f t="shared" si="110"/>
        <v>50555.697885355541</v>
      </c>
      <c r="P415" s="1159">
        <f t="shared" si="111"/>
        <v>-7041.4552392711903</v>
      </c>
      <c r="Q415" s="1159">
        <f t="shared" si="112"/>
        <v>1356.8499803412342</v>
      </c>
      <c r="R415" s="2773"/>
    </row>
    <row r="416" spans="1:18" x14ac:dyDescent="0.25">
      <c r="A416" s="2862"/>
      <c r="B416" s="706">
        <v>2048</v>
      </c>
      <c r="C416" s="1134">
        <f t="shared" si="103"/>
        <v>1887368.2584601068</v>
      </c>
      <c r="D416" s="1156">
        <f t="shared" si="104"/>
        <v>1765.4020084355284</v>
      </c>
      <c r="E416" s="1156">
        <f t="shared" si="105"/>
        <v>4852.1046581477403</v>
      </c>
      <c r="F416" s="1156">
        <f t="shared" si="106"/>
        <v>-870.18053017898262</v>
      </c>
      <c r="G416" s="1156">
        <f t="shared" si="107"/>
        <v>1684.7122166464228</v>
      </c>
      <c r="H416" s="827">
        <v>95</v>
      </c>
      <c r="I416" s="1157">
        <f>'Emission-Waste Transport Vehicl'!N62</f>
        <v>18.358488832464005</v>
      </c>
      <c r="J416" s="1157">
        <f>'Emission-Waste Transport Vehicl'!P62</f>
        <v>10.214357315184001</v>
      </c>
      <c r="K416" s="1157">
        <f>'Emission-Waste Transport Vehicl'!Q62</f>
        <v>7.9327571114880007</v>
      </c>
      <c r="L416" s="1157">
        <f>'Emission-Waste Transport Vehicl'!R62</f>
        <v>0.78954557457600016</v>
      </c>
      <c r="M416" s="1159">
        <f t="shared" si="108"/>
        <v>179299.98455371015</v>
      </c>
      <c r="N416" s="1159">
        <f t="shared" si="109"/>
        <v>32410.113056673174</v>
      </c>
      <c r="O416" s="1159">
        <f t="shared" si="110"/>
        <v>49561.130708989738</v>
      </c>
      <c r="P416" s="1159">
        <f t="shared" si="111"/>
        <v>-6902.9307890557229</v>
      </c>
      <c r="Q416" s="1159">
        <f t="shared" si="112"/>
        <v>1330.1570750873068</v>
      </c>
      <c r="R416" s="2773"/>
    </row>
    <row r="417" spans="1:18" x14ac:dyDescent="0.25">
      <c r="A417" s="2862"/>
      <c r="B417" s="706">
        <v>2049</v>
      </c>
      <c r="C417" s="1134">
        <f t="shared" si="103"/>
        <v>1887368.2584601068</v>
      </c>
      <c r="D417" s="1156">
        <f t="shared" si="104"/>
        <v>1765.4020084355284</v>
      </c>
      <c r="E417" s="1156">
        <f t="shared" si="105"/>
        <v>4852.1046581477403</v>
      </c>
      <c r="F417" s="1156">
        <f t="shared" si="106"/>
        <v>-870.18053017898262</v>
      </c>
      <c r="G417" s="1156">
        <f t="shared" si="107"/>
        <v>1684.7122166464228</v>
      </c>
      <c r="H417" s="827">
        <v>96</v>
      </c>
      <c r="I417" s="1157">
        <f>'Emission-Waste Transport Vehicl'!N63</f>
        <v>17.999860920624005</v>
      </c>
      <c r="J417" s="1157">
        <f>'Emission-Waste Transport Vehicl'!P63</f>
        <v>10.014822720144002</v>
      </c>
      <c r="K417" s="1157">
        <f>'Emission-Waste Transport Vehicl'!Q63</f>
        <v>7.7777929342080014</v>
      </c>
      <c r="L417" s="1157">
        <f>'Emission-Waste Transport Vehicl'!R63</f>
        <v>0.77412202401600017</v>
      </c>
      <c r="M417" s="1159">
        <f t="shared" si="108"/>
        <v>181187.35281217025</v>
      </c>
      <c r="N417" s="1159">
        <f t="shared" si="109"/>
        <v>31776.990620829798</v>
      </c>
      <c r="O417" s="1159">
        <f t="shared" si="110"/>
        <v>48592.967970934536</v>
      </c>
      <c r="P417" s="1159">
        <f t="shared" si="111"/>
        <v>-6768.083979111464</v>
      </c>
      <c r="Q417" s="1159">
        <f t="shared" si="112"/>
        <v>1304.172831034811</v>
      </c>
      <c r="R417" s="2773"/>
    </row>
    <row r="418" spans="1:18" x14ac:dyDescent="0.25">
      <c r="A418" s="2862"/>
      <c r="B418" s="706">
        <v>2050</v>
      </c>
      <c r="C418" s="1134">
        <f t="shared" si="103"/>
        <v>1887368.2584601068</v>
      </c>
      <c r="D418" s="1156">
        <f t="shared" si="104"/>
        <v>1765.4020084355284</v>
      </c>
      <c r="E418" s="1156">
        <f t="shared" si="105"/>
        <v>4852.1046581477403</v>
      </c>
      <c r="F418" s="1156">
        <f t="shared" si="106"/>
        <v>-870.18053017898262</v>
      </c>
      <c r="G418" s="1156">
        <f t="shared" si="107"/>
        <v>1684.7122166464228</v>
      </c>
      <c r="H418" s="827">
        <v>97</v>
      </c>
      <c r="I418" s="1157">
        <f>'Emission-Waste Transport Vehicl'!N64</f>
        <v>17.644493262528005</v>
      </c>
      <c r="J418" s="1157">
        <f>'Emission-Waste Transport Vehicl'!P64</f>
        <v>9.8171020759680019</v>
      </c>
      <c r="K418" s="1157">
        <f>'Emission-Waste Transport Vehicl'!Q64</f>
        <v>7.624237522176001</v>
      </c>
      <c r="L418" s="1157">
        <f>'Emission-Waste Transport Vehicl'!R64</f>
        <v>0.75883868755200012</v>
      </c>
      <c r="M418" s="1159">
        <f t="shared" si="108"/>
        <v>183074.72107063036</v>
      </c>
      <c r="N418" s="1159">
        <f t="shared" si="109"/>
        <v>31149.62384349409</v>
      </c>
      <c r="O418" s="1159">
        <f t="shared" si="110"/>
        <v>47633.606712316192</v>
      </c>
      <c r="P418" s="1159">
        <f t="shared" si="111"/>
        <v>-6634.4630492576052</v>
      </c>
      <c r="Q418" s="1159">
        <f t="shared" si="112"/>
        <v>1278.4248073827923</v>
      </c>
      <c r="R418" s="2773"/>
    </row>
    <row r="419" spans="1:18" x14ac:dyDescent="0.25">
      <c r="A419" s="2862"/>
      <c r="B419" s="706">
        <v>2051</v>
      </c>
      <c r="C419" s="1134">
        <f t="shared" ref="C419:C437" si="113">$S$19</f>
        <v>1887368.2584601068</v>
      </c>
      <c r="D419" s="1156">
        <f t="shared" ref="D419:D437" si="114">$T$19</f>
        <v>1765.4020084355284</v>
      </c>
      <c r="E419" s="1156">
        <f t="shared" ref="E419:E437" si="115">$R$19</f>
        <v>4852.1046581477403</v>
      </c>
      <c r="F419" s="1156">
        <f t="shared" ref="F419:F437" si="116">$V$19</f>
        <v>-870.18053017898262</v>
      </c>
      <c r="G419" s="1156">
        <f t="shared" ref="G419:G437" si="117">$U$19</f>
        <v>1684.7122166464228</v>
      </c>
      <c r="H419" s="827">
        <v>97</v>
      </c>
      <c r="I419" s="1157">
        <f>'Emission-Waste Transport Vehicl'!N65</f>
        <v>17.298906365664003</v>
      </c>
      <c r="J419" s="1157">
        <f>'Emission-Waste Transport Vehicl'!P65</f>
        <v>9.624823284384</v>
      </c>
      <c r="K419" s="1157">
        <f>'Emission-Waste Transport Vehicl'!Q65</f>
        <v>7.4749084058879998</v>
      </c>
      <c r="L419" s="1157">
        <f>'Emission-Waste Transport Vehicl'!R65</f>
        <v>0.74397599337600007</v>
      </c>
      <c r="M419" s="1159">
        <f t="shared" si="108"/>
        <v>183074.72107063036</v>
      </c>
      <c r="N419" s="1159">
        <f t="shared" si="109"/>
        <v>30539.524041681376</v>
      </c>
      <c r="O419" s="1159">
        <f t="shared" si="110"/>
        <v>46700.649892008441</v>
      </c>
      <c r="P419" s="1159">
        <f t="shared" si="111"/>
        <v>-6504.5197596749531</v>
      </c>
      <c r="Q419" s="1159">
        <f t="shared" si="112"/>
        <v>1253.3854449322055</v>
      </c>
      <c r="R419" s="2773"/>
    </row>
    <row r="420" spans="1:18" x14ac:dyDescent="0.25">
      <c r="A420" s="2862"/>
      <c r="B420" s="706">
        <v>2052</v>
      </c>
      <c r="C420" s="1134">
        <f t="shared" si="113"/>
        <v>1887368.2584601068</v>
      </c>
      <c r="D420" s="1156">
        <f t="shared" si="114"/>
        <v>1765.4020084355284</v>
      </c>
      <c r="E420" s="1156">
        <f t="shared" si="115"/>
        <v>4852.1046581477403</v>
      </c>
      <c r="F420" s="1156">
        <f t="shared" si="116"/>
        <v>-870.18053017898262</v>
      </c>
      <c r="G420" s="1156">
        <f t="shared" si="117"/>
        <v>1684.7122166464228</v>
      </c>
      <c r="H420" s="827">
        <v>97</v>
      </c>
      <c r="I420" s="1157">
        <f>'Emission-Waste Transport Vehicl'!N66</f>
        <v>16.959839976288002</v>
      </c>
      <c r="J420" s="1157">
        <f>'Emission-Waste Transport Vehicl'!P66</f>
        <v>9.4361723945280005</v>
      </c>
      <c r="K420" s="1157">
        <f>'Emission-Waste Transport Vehicl'!Q66</f>
        <v>7.3283968200960006</v>
      </c>
      <c r="L420" s="1157">
        <f>'Emission-Waste Transport Vehicl'!R66</f>
        <v>0.72939372739200004</v>
      </c>
      <c r="M420" s="1159">
        <f t="shared" si="108"/>
        <v>183074.72107063036</v>
      </c>
      <c r="N420" s="1159">
        <f t="shared" si="109"/>
        <v>29940.935556884004</v>
      </c>
      <c r="O420" s="1159">
        <f t="shared" si="110"/>
        <v>45785.296030574427</v>
      </c>
      <c r="P420" s="1159">
        <f t="shared" si="111"/>
        <v>-6377.0282302731084</v>
      </c>
      <c r="Q420" s="1159">
        <f t="shared" si="112"/>
        <v>1228.8185232825731</v>
      </c>
      <c r="R420" s="2773"/>
    </row>
    <row r="421" spans="1:18" x14ac:dyDescent="0.25">
      <c r="A421" s="2862"/>
      <c r="B421" s="706">
        <v>2053</v>
      </c>
      <c r="C421" s="1134">
        <f t="shared" si="113"/>
        <v>1887368.2584601068</v>
      </c>
      <c r="D421" s="1156">
        <f t="shared" si="114"/>
        <v>1765.4020084355284</v>
      </c>
      <c r="E421" s="1156">
        <f t="shared" si="115"/>
        <v>4852.1046581477403</v>
      </c>
      <c r="F421" s="1156">
        <f t="shared" si="116"/>
        <v>-870.18053017898262</v>
      </c>
      <c r="G421" s="1156">
        <f t="shared" si="117"/>
        <v>1684.7122166464228</v>
      </c>
      <c r="H421" s="827">
        <v>97</v>
      </c>
      <c r="I421" s="1157">
        <f>'Emission-Waste Transport Vehicl'!N67</f>
        <v>15.361506000000002</v>
      </c>
      <c r="J421" s="1157">
        <f>'Emission-Waste Transport Vehicl'!P67</f>
        <v>9.2511494064000015</v>
      </c>
      <c r="K421" s="1157">
        <f>'Emission-Waste Transport Vehicl'!Q67</f>
        <v>7.1847027647999999</v>
      </c>
      <c r="L421" s="1157">
        <f>'Emission-Waste Transport Vehicl'!R67</f>
        <v>0.71509188960000014</v>
      </c>
      <c r="M421" s="1159">
        <f t="shared" si="108"/>
        <v>183074.72107063036</v>
      </c>
      <c r="N421" s="1159">
        <f t="shared" si="109"/>
        <v>27119.233544994422</v>
      </c>
      <c r="O421" s="1159">
        <f t="shared" si="110"/>
        <v>44887.54512801415</v>
      </c>
      <c r="P421" s="1159">
        <f t="shared" si="111"/>
        <v>-6251.9884610520658</v>
      </c>
      <c r="Q421" s="1159">
        <f t="shared" si="112"/>
        <v>1204.7240424338952</v>
      </c>
      <c r="R421" s="2773"/>
    </row>
    <row r="422" spans="1:18" x14ac:dyDescent="0.25">
      <c r="A422" s="2862"/>
      <c r="B422" s="706">
        <v>2054</v>
      </c>
      <c r="C422" s="1134">
        <f t="shared" si="113"/>
        <v>1887368.2584601068</v>
      </c>
      <c r="D422" s="1156">
        <f t="shared" si="114"/>
        <v>1765.4020084355284</v>
      </c>
      <c r="E422" s="1156">
        <f t="shared" si="115"/>
        <v>4852.1046581477403</v>
      </c>
      <c r="F422" s="1156">
        <f t="shared" si="116"/>
        <v>-870.18053017898262</v>
      </c>
      <c r="G422" s="1156">
        <f t="shared" si="117"/>
        <v>1684.7122166464228</v>
      </c>
      <c r="H422" s="827">
        <v>97</v>
      </c>
      <c r="I422" s="1157">
        <f>'Emission-Waste Transport Vehicl'!N68</f>
        <v>16.301268720000003</v>
      </c>
      <c r="J422" s="1157">
        <f>'Emission-Waste Transport Vehicl'!P68</f>
        <v>9.0697543200000013</v>
      </c>
      <c r="K422" s="1157">
        <f>'Emission-Waste Transport Vehicl'!Q68</f>
        <v>7.0438262400000005</v>
      </c>
      <c r="L422" s="1157">
        <f>'Emission-Waste Transport Vehicl'!R68</f>
        <v>0.70107048000000005</v>
      </c>
      <c r="M422" s="1159">
        <f t="shared" si="108"/>
        <v>183074.72107063036</v>
      </c>
      <c r="N422" s="1159">
        <f t="shared" si="109"/>
        <v>28778.292538335259</v>
      </c>
      <c r="O422" s="1159">
        <f t="shared" si="110"/>
        <v>44007.397184327594</v>
      </c>
      <c r="P422" s="1159">
        <f t="shared" si="111"/>
        <v>-6129.4004520118297</v>
      </c>
      <c r="Q422" s="1159">
        <f t="shared" si="112"/>
        <v>1181.1020023861718</v>
      </c>
      <c r="R422" s="2773"/>
    </row>
    <row r="423" spans="1:18" x14ac:dyDescent="0.25">
      <c r="A423" s="2862"/>
      <c r="B423" s="706">
        <v>2055</v>
      </c>
      <c r="C423" s="1134">
        <f t="shared" si="113"/>
        <v>1887368.2584601068</v>
      </c>
      <c r="D423" s="1156">
        <f t="shared" si="114"/>
        <v>1765.4020084355284</v>
      </c>
      <c r="E423" s="1156">
        <f t="shared" si="115"/>
        <v>4852.1046581477403</v>
      </c>
      <c r="F423" s="1156">
        <f t="shared" si="116"/>
        <v>-870.18053017898262</v>
      </c>
      <c r="G423" s="1156">
        <f t="shared" si="117"/>
        <v>1684.7122166464228</v>
      </c>
      <c r="H423" s="827">
        <v>97</v>
      </c>
      <c r="I423" s="1157">
        <f>'Emission-Waste Transport Vehicl'!N69</f>
        <v>15.981763853088003</v>
      </c>
      <c r="J423" s="1157">
        <f>'Emission-Waste Transport Vehicl'!P69</f>
        <v>8.8919871353280016</v>
      </c>
      <c r="K423" s="1157">
        <f>'Emission-Waste Transport Vehicl'!Q69</f>
        <v>6.9057672456960004</v>
      </c>
      <c r="L423" s="1157">
        <f>'Emission-Waste Transport Vehicl'!R69</f>
        <v>0.6873294985920001</v>
      </c>
      <c r="M423" s="1159">
        <f t="shared" si="108"/>
        <v>183074.72107063036</v>
      </c>
      <c r="N423" s="1159">
        <f t="shared" si="109"/>
        <v>28214.238004583891</v>
      </c>
      <c r="O423" s="1159">
        <f t="shared" si="110"/>
        <v>43144.852199514775</v>
      </c>
      <c r="P423" s="1159">
        <f t="shared" si="111"/>
        <v>-6009.2642031523983</v>
      </c>
      <c r="Q423" s="1159">
        <f t="shared" si="112"/>
        <v>1157.9524031394028</v>
      </c>
      <c r="R423" s="2773"/>
    </row>
    <row r="424" spans="1:18" x14ac:dyDescent="0.25">
      <c r="A424" s="2862"/>
      <c r="B424" s="706">
        <v>2056</v>
      </c>
      <c r="C424" s="1134">
        <f t="shared" si="113"/>
        <v>1887368.2584601068</v>
      </c>
      <c r="D424" s="1156">
        <f t="shared" si="114"/>
        <v>1765.4020084355284</v>
      </c>
      <c r="E424" s="1156">
        <f t="shared" si="115"/>
        <v>4852.1046581477403</v>
      </c>
      <c r="F424" s="1156">
        <f t="shared" si="116"/>
        <v>-870.18053017898262</v>
      </c>
      <c r="G424" s="1156">
        <f t="shared" si="117"/>
        <v>1684.7122166464228</v>
      </c>
      <c r="H424" s="827">
        <v>97</v>
      </c>
      <c r="I424" s="1157">
        <f>'Emission-Waste Transport Vehicl'!N70</f>
        <v>15.668779493664003</v>
      </c>
      <c r="J424" s="1157">
        <f>'Emission-Waste Transport Vehicl'!P70</f>
        <v>8.7178478523840006</v>
      </c>
      <c r="K424" s="1157">
        <f>'Emission-Waste Transport Vehicl'!Q70</f>
        <v>6.7705257818880007</v>
      </c>
      <c r="L424" s="1157">
        <f>'Emission-Waste Transport Vehicl'!R70</f>
        <v>0.67386894537600017</v>
      </c>
      <c r="M424" s="1159">
        <f t="shared" si="108"/>
        <v>183074.72107063036</v>
      </c>
      <c r="N424" s="1159">
        <f t="shared" si="109"/>
        <v>27661.694787847853</v>
      </c>
      <c r="O424" s="1159">
        <f t="shared" si="110"/>
        <v>42299.910173575685</v>
      </c>
      <c r="P424" s="1159">
        <f t="shared" si="111"/>
        <v>-5891.5797144737717</v>
      </c>
      <c r="Q424" s="1159">
        <f t="shared" si="112"/>
        <v>1135.2752446935885</v>
      </c>
      <c r="R424" s="2773"/>
    </row>
    <row r="425" spans="1:18" x14ac:dyDescent="0.25">
      <c r="A425" s="2862"/>
      <c r="B425" s="706">
        <v>2057</v>
      </c>
      <c r="C425" s="1134">
        <f t="shared" si="113"/>
        <v>1887368.2584601068</v>
      </c>
      <c r="D425" s="1156">
        <f t="shared" si="114"/>
        <v>1765.4020084355284</v>
      </c>
      <c r="E425" s="1156">
        <f t="shared" si="115"/>
        <v>4852.1046581477403</v>
      </c>
      <c r="F425" s="1156">
        <f t="shared" si="116"/>
        <v>-870.18053017898262</v>
      </c>
      <c r="G425" s="1156">
        <f t="shared" si="117"/>
        <v>1684.7122166464228</v>
      </c>
      <c r="H425" s="827">
        <v>97</v>
      </c>
      <c r="I425" s="1157">
        <f>'Emission-Waste Transport Vehicl'!N71</f>
        <v>15.362315641728001</v>
      </c>
      <c r="J425" s="1157">
        <f>'Emission-Waste Transport Vehicl'!P71</f>
        <v>8.547336471168002</v>
      </c>
      <c r="K425" s="1157">
        <f>'Emission-Waste Transport Vehicl'!Q71</f>
        <v>6.6381018485760004</v>
      </c>
      <c r="L425" s="1157">
        <f>'Emission-Waste Transport Vehicl'!R71</f>
        <v>0.66068882035200005</v>
      </c>
      <c r="M425" s="1159">
        <f t="shared" si="108"/>
        <v>183074.72107063036</v>
      </c>
      <c r="N425" s="1159">
        <f t="shared" si="109"/>
        <v>27120.662888127146</v>
      </c>
      <c r="O425" s="1159">
        <f t="shared" si="110"/>
        <v>41472.571106510331</v>
      </c>
      <c r="P425" s="1159">
        <f t="shared" si="111"/>
        <v>-5776.3469859759489</v>
      </c>
      <c r="Q425" s="1159">
        <f t="shared" si="112"/>
        <v>1113.0705270487283</v>
      </c>
      <c r="R425" s="2773"/>
    </row>
    <row r="426" spans="1:18" x14ac:dyDescent="0.25">
      <c r="A426" s="2862"/>
      <c r="B426" s="706">
        <v>2058</v>
      </c>
      <c r="C426" s="1134">
        <f t="shared" si="113"/>
        <v>1887368.2584601068</v>
      </c>
      <c r="D426" s="1156">
        <f t="shared" si="114"/>
        <v>1765.4020084355284</v>
      </c>
      <c r="E426" s="1156">
        <f t="shared" si="115"/>
        <v>4852.1046581477403</v>
      </c>
      <c r="F426" s="1156">
        <f t="shared" si="116"/>
        <v>-870.18053017898262</v>
      </c>
      <c r="G426" s="1156">
        <f t="shared" si="117"/>
        <v>1684.7122166464228</v>
      </c>
      <c r="H426" s="827">
        <v>97</v>
      </c>
      <c r="I426" s="1157">
        <f>'Emission-Waste Transport Vehicl'!N72</f>
        <v>15.059112043536</v>
      </c>
      <c r="J426" s="1157">
        <f>'Emission-Waste Transport Vehicl'!P72</f>
        <v>8.378639040816001</v>
      </c>
      <c r="K426" s="1157">
        <f>'Emission-Waste Transport Vehicl'!Q72</f>
        <v>6.5070866805119998</v>
      </c>
      <c r="L426" s="1157">
        <f>'Emission-Waste Transport Vehicl'!R72</f>
        <v>0.647648909424</v>
      </c>
      <c r="M426" s="1159">
        <f t="shared" si="108"/>
        <v>183074.72107063036</v>
      </c>
      <c r="N426" s="1159">
        <f t="shared" si="109"/>
        <v>26585.38664691411</v>
      </c>
      <c r="O426" s="1159">
        <f t="shared" si="110"/>
        <v>40654.033518881835</v>
      </c>
      <c r="P426" s="1159">
        <f t="shared" si="111"/>
        <v>-5662.340137568528</v>
      </c>
      <c r="Q426" s="1159">
        <f t="shared" si="112"/>
        <v>1091.1020298043454</v>
      </c>
      <c r="R426" s="2773"/>
    </row>
    <row r="427" spans="1:18" x14ac:dyDescent="0.25">
      <c r="A427" s="2862"/>
      <c r="B427" s="706">
        <v>2059</v>
      </c>
      <c r="C427" s="1134">
        <f t="shared" si="113"/>
        <v>1887368.2584601068</v>
      </c>
      <c r="D427" s="1156">
        <f t="shared" si="114"/>
        <v>1765.4020084355284</v>
      </c>
      <c r="E427" s="1156">
        <f t="shared" si="115"/>
        <v>4852.1046581477403</v>
      </c>
      <c r="F427" s="1156">
        <f t="shared" si="116"/>
        <v>-870.18053017898262</v>
      </c>
      <c r="G427" s="1156">
        <f t="shared" si="117"/>
        <v>1684.7122166464228</v>
      </c>
      <c r="H427" s="827">
        <v>97</v>
      </c>
      <c r="I427" s="1157">
        <f>'Emission-Waste Transport Vehicl'!N73</f>
        <v>14.765689206576004</v>
      </c>
      <c r="J427" s="1157">
        <f>'Emission-Waste Transport Vehicl'!P73</f>
        <v>8.2153834630560016</v>
      </c>
      <c r="K427" s="1157">
        <f>'Emission-Waste Transport Vehicl'!Q73</f>
        <v>6.380297808192001</v>
      </c>
      <c r="L427" s="1157">
        <f>'Emission-Waste Transport Vehicl'!R73</f>
        <v>0.63502964078400004</v>
      </c>
      <c r="M427" s="1159">
        <f t="shared" si="108"/>
        <v>183074.72107063036</v>
      </c>
      <c r="N427" s="1159">
        <f t="shared" si="109"/>
        <v>26067.377381224083</v>
      </c>
      <c r="O427" s="1159">
        <f t="shared" si="110"/>
        <v>39861.90036956394</v>
      </c>
      <c r="P427" s="1159">
        <f t="shared" si="111"/>
        <v>-5552.0109294323165</v>
      </c>
      <c r="Q427" s="1159">
        <f t="shared" si="112"/>
        <v>1069.8421937613944</v>
      </c>
      <c r="R427" s="2773"/>
    </row>
    <row r="428" spans="1:18" x14ac:dyDescent="0.25">
      <c r="A428" s="2862"/>
      <c r="B428" s="706">
        <v>2060</v>
      </c>
      <c r="C428" s="1134">
        <f t="shared" si="113"/>
        <v>1887368.2584601068</v>
      </c>
      <c r="D428" s="1156">
        <f t="shared" si="114"/>
        <v>1765.4020084355284</v>
      </c>
      <c r="E428" s="1156">
        <f t="shared" si="115"/>
        <v>4852.1046581477403</v>
      </c>
      <c r="F428" s="1156">
        <f t="shared" si="116"/>
        <v>-870.18053017898262</v>
      </c>
      <c r="G428" s="1156">
        <f t="shared" si="117"/>
        <v>1684.7122166464228</v>
      </c>
      <c r="H428" s="827">
        <v>97</v>
      </c>
      <c r="I428" s="1157">
        <f>'Emission-Waste Transport Vehicl'!N74</f>
        <v>14.475526623360002</v>
      </c>
      <c r="J428" s="1157">
        <f>'Emission-Waste Transport Vehicl'!P74</f>
        <v>8.0539418361599999</v>
      </c>
      <c r="K428" s="1157">
        <f>'Emission-Waste Transport Vehicl'!Q74</f>
        <v>6.2549177011200001</v>
      </c>
      <c r="L428" s="1157">
        <f>'Emission-Waste Transport Vehicl'!R74</f>
        <v>0.62255058624000004</v>
      </c>
      <c r="M428" s="1159">
        <f t="shared" si="108"/>
        <v>183074.72107063036</v>
      </c>
      <c r="N428" s="1159">
        <f t="shared" si="109"/>
        <v>25555.123774041709</v>
      </c>
      <c r="O428" s="1159">
        <f t="shared" si="110"/>
        <v>39078.568699682903</v>
      </c>
      <c r="P428" s="1159">
        <f t="shared" si="111"/>
        <v>-5442.9076013865051</v>
      </c>
      <c r="Q428" s="1159">
        <f t="shared" si="112"/>
        <v>1048.8185781189204</v>
      </c>
      <c r="R428" s="2773"/>
    </row>
    <row r="429" spans="1:18" x14ac:dyDescent="0.25">
      <c r="A429" s="2862"/>
      <c r="B429" s="706">
        <v>2061</v>
      </c>
      <c r="C429" s="1134">
        <f t="shared" si="113"/>
        <v>1887368.2584601068</v>
      </c>
      <c r="D429" s="1156">
        <f t="shared" si="114"/>
        <v>1765.4020084355284</v>
      </c>
      <c r="E429" s="1156">
        <f t="shared" si="115"/>
        <v>4852.1046581477403</v>
      </c>
      <c r="F429" s="1156">
        <f t="shared" si="116"/>
        <v>-870.18053017898262</v>
      </c>
      <c r="G429" s="1156">
        <f t="shared" si="117"/>
        <v>1684.7122166464228</v>
      </c>
      <c r="H429" s="827">
        <v>97</v>
      </c>
      <c r="I429" s="1157">
        <f>'Emission-Waste Transport Vehicl'!N75</f>
        <v>14.191884547632004</v>
      </c>
      <c r="J429" s="1157">
        <f>'Emission-Waste Transport Vehicl'!P75</f>
        <v>7.8961281109920014</v>
      </c>
      <c r="K429" s="1157">
        <f>'Emission-Waste Transport Vehicl'!Q75</f>
        <v>6.1323551245440004</v>
      </c>
      <c r="L429" s="1157">
        <f>'Emission-Waste Transport Vehicl'!R75</f>
        <v>0.61035195988800006</v>
      </c>
      <c r="M429" s="1159">
        <f t="shared" si="108"/>
        <v>183074.72107063036</v>
      </c>
      <c r="N429" s="1159">
        <f t="shared" si="109"/>
        <v>25054.38148387468</v>
      </c>
      <c r="O429" s="1159">
        <f t="shared" si="110"/>
        <v>38312.839988675609</v>
      </c>
      <c r="P429" s="1159">
        <f t="shared" si="111"/>
        <v>-5336.2560335214994</v>
      </c>
      <c r="Q429" s="1159">
        <f t="shared" si="112"/>
        <v>1028.2674032774012</v>
      </c>
      <c r="R429" s="2773"/>
    </row>
    <row r="430" spans="1:18" x14ac:dyDescent="0.25">
      <c r="A430" s="2862"/>
      <c r="B430" s="706">
        <v>2062</v>
      </c>
      <c r="C430" s="1134">
        <f t="shared" si="113"/>
        <v>1887368.2584601068</v>
      </c>
      <c r="D430" s="1156">
        <f t="shared" si="114"/>
        <v>1765.4020084355284</v>
      </c>
      <c r="E430" s="1156">
        <f t="shared" si="115"/>
        <v>4852.1046581477403</v>
      </c>
      <c r="F430" s="1156">
        <f t="shared" si="116"/>
        <v>-870.18053017898262</v>
      </c>
      <c r="G430" s="1156">
        <f t="shared" si="117"/>
        <v>1684.7122166464228</v>
      </c>
      <c r="H430" s="827">
        <v>97</v>
      </c>
      <c r="I430" s="1157">
        <f>'Emission-Waste Transport Vehicl'!N76</f>
        <v>13.914762979392002</v>
      </c>
      <c r="J430" s="1157">
        <f>'Emission-Waste Transport Vehicl'!P76</f>
        <v>7.7419422875520008</v>
      </c>
      <c r="K430" s="1157">
        <f>'Emission-Waste Transport Vehicl'!Q76</f>
        <v>6.0126100784640002</v>
      </c>
      <c r="L430" s="1157">
        <f>'Emission-Waste Transport Vehicl'!R76</f>
        <v>0.59843376172800011</v>
      </c>
      <c r="M430" s="1159">
        <f t="shared" si="108"/>
        <v>183074.72107063036</v>
      </c>
      <c r="N430" s="1159">
        <f t="shared" si="109"/>
        <v>24565.150510722979</v>
      </c>
      <c r="O430" s="1159">
        <f t="shared" si="110"/>
        <v>37564.714236542037</v>
      </c>
      <c r="P430" s="1159">
        <f t="shared" si="111"/>
        <v>-5232.0562258372984</v>
      </c>
      <c r="Q430" s="1159">
        <f t="shared" si="112"/>
        <v>1008.1886692368363</v>
      </c>
      <c r="R430" s="2773"/>
    </row>
    <row r="431" spans="1:18" x14ac:dyDescent="0.25">
      <c r="A431" s="2862"/>
      <c r="B431" s="706">
        <v>2063</v>
      </c>
      <c r="C431" s="1134">
        <f t="shared" si="113"/>
        <v>1887368.2584601068</v>
      </c>
      <c r="D431" s="1156">
        <f t="shared" si="114"/>
        <v>1765.4020084355284</v>
      </c>
      <c r="E431" s="1156">
        <f t="shared" si="115"/>
        <v>4852.1046581477403</v>
      </c>
      <c r="F431" s="1156">
        <f t="shared" si="116"/>
        <v>-870.18053017898262</v>
      </c>
      <c r="G431" s="1156">
        <f t="shared" si="117"/>
        <v>1684.7122166464228</v>
      </c>
      <c r="H431" s="827">
        <v>97</v>
      </c>
      <c r="I431" s="1157">
        <f>'Emission-Waste Transport Vehicl'!N77</f>
        <v>13.640901664896001</v>
      </c>
      <c r="J431" s="1157">
        <f>'Emission-Waste Transport Vehicl'!P77</f>
        <v>7.5895704149760004</v>
      </c>
      <c r="K431" s="1157">
        <f>'Emission-Waste Transport Vehicl'!Q77</f>
        <v>5.8942737976319997</v>
      </c>
      <c r="L431" s="1157">
        <f>'Emission-Waste Transport Vehicl'!R77</f>
        <v>0.58665577766400001</v>
      </c>
      <c r="M431" s="1159">
        <f t="shared" si="108"/>
        <v>183074.72107063036</v>
      </c>
      <c r="N431" s="1159">
        <f t="shared" si="109"/>
        <v>24081.675196078944</v>
      </c>
      <c r="O431" s="1159">
        <f t="shared" si="110"/>
        <v>36825.389963845329</v>
      </c>
      <c r="P431" s="1159">
        <f t="shared" si="111"/>
        <v>-5129.0822982434984</v>
      </c>
      <c r="Q431" s="1159">
        <f t="shared" si="112"/>
        <v>988.34615559674842</v>
      </c>
      <c r="R431" s="2773"/>
    </row>
    <row r="432" spans="1:18" x14ac:dyDescent="0.25">
      <c r="A432" s="2862"/>
      <c r="B432" s="706">
        <v>2064</v>
      </c>
      <c r="C432" s="1134">
        <f t="shared" si="113"/>
        <v>1887368.2584601068</v>
      </c>
      <c r="D432" s="1156">
        <f t="shared" si="114"/>
        <v>1765.4020084355284</v>
      </c>
      <c r="E432" s="1156">
        <f t="shared" si="115"/>
        <v>4852.1046581477403</v>
      </c>
      <c r="F432" s="1156">
        <f t="shared" si="116"/>
        <v>-870.18053017898262</v>
      </c>
      <c r="G432" s="1156">
        <f t="shared" si="117"/>
        <v>1684.7122166464228</v>
      </c>
      <c r="H432" s="827">
        <v>97</v>
      </c>
      <c r="I432" s="1157">
        <f>'Emission-Waste Transport Vehicl'!N78</f>
        <v>13.373560857888002</v>
      </c>
      <c r="J432" s="1157">
        <f>'Emission-Waste Transport Vehicl'!P78</f>
        <v>7.4408264441280014</v>
      </c>
      <c r="K432" s="1157">
        <f>'Emission-Waste Transport Vehicl'!Q78</f>
        <v>5.7787550472960003</v>
      </c>
      <c r="L432" s="1157">
        <f>'Emission-Waste Transport Vehicl'!R78</f>
        <v>0.57515822179200005</v>
      </c>
      <c r="M432" s="1159">
        <f t="shared" si="108"/>
        <v>183074.72107063036</v>
      </c>
      <c r="N432" s="1159">
        <f t="shared" si="109"/>
        <v>23609.711198450248</v>
      </c>
      <c r="O432" s="1159">
        <f t="shared" si="110"/>
        <v>36103.668650022366</v>
      </c>
      <c r="P432" s="1159">
        <f t="shared" si="111"/>
        <v>-5028.5601308305049</v>
      </c>
      <c r="Q432" s="1159">
        <f t="shared" si="112"/>
        <v>968.97608275761525</v>
      </c>
      <c r="R432" s="2773"/>
    </row>
    <row r="433" spans="1:18" x14ac:dyDescent="0.25">
      <c r="A433" s="2862"/>
      <c r="B433" s="706">
        <v>2065</v>
      </c>
      <c r="C433" s="1134">
        <f t="shared" si="113"/>
        <v>1887368.2584601068</v>
      </c>
      <c r="D433" s="1156">
        <f t="shared" si="114"/>
        <v>1765.4020084355284</v>
      </c>
      <c r="E433" s="1156">
        <f t="shared" si="115"/>
        <v>4852.1046581477403</v>
      </c>
      <c r="F433" s="1156">
        <f t="shared" si="116"/>
        <v>-870.18053017898262</v>
      </c>
      <c r="G433" s="1156">
        <f t="shared" si="117"/>
        <v>1684.7122166464228</v>
      </c>
      <c r="H433" s="827">
        <v>97</v>
      </c>
      <c r="I433" s="1157">
        <f>'Emission-Waste Transport Vehicl'!N79</f>
        <v>13.112740558368001</v>
      </c>
      <c r="J433" s="1157">
        <f>'Emission-Waste Transport Vehicl'!P79</f>
        <v>7.2957103750080003</v>
      </c>
      <c r="K433" s="1157">
        <f>'Emission-Waste Transport Vehicl'!Q79</f>
        <v>5.6660538274560004</v>
      </c>
      <c r="L433" s="1157">
        <f>'Emission-Waste Transport Vehicl'!R79</f>
        <v>0.56394109411200011</v>
      </c>
      <c r="M433" s="1159">
        <f t="shared" si="108"/>
        <v>183074.72107063036</v>
      </c>
      <c r="N433" s="1159">
        <f t="shared" si="109"/>
        <v>23149.258517836883</v>
      </c>
      <c r="O433" s="1159">
        <f t="shared" si="110"/>
        <v>35399.550295073117</v>
      </c>
      <c r="P433" s="1159">
        <f t="shared" si="111"/>
        <v>-4930.4897235983162</v>
      </c>
      <c r="Q433" s="1159">
        <f t="shared" si="112"/>
        <v>950.07845071943666</v>
      </c>
      <c r="R433" s="2773"/>
    </row>
    <row r="434" spans="1:18" x14ac:dyDescent="0.25">
      <c r="A434" s="2862"/>
      <c r="B434" s="706">
        <v>2066</v>
      </c>
      <c r="C434" s="1134">
        <f t="shared" si="113"/>
        <v>1887368.2584601068</v>
      </c>
      <c r="D434" s="1156">
        <f t="shared" si="114"/>
        <v>1765.4020084355284</v>
      </c>
      <c r="E434" s="1156">
        <f t="shared" si="115"/>
        <v>4852.1046581477403</v>
      </c>
      <c r="F434" s="1156">
        <f t="shared" si="116"/>
        <v>-870.18053017898262</v>
      </c>
      <c r="G434" s="1156">
        <f t="shared" si="117"/>
        <v>1684.7122166464228</v>
      </c>
      <c r="H434" s="827">
        <v>97</v>
      </c>
      <c r="I434" s="1157">
        <f>'Emission-Waste Transport Vehicl'!N80</f>
        <v>12.855180512592</v>
      </c>
      <c r="J434" s="1157">
        <f>'Emission-Waste Transport Vehicl'!P80</f>
        <v>7.1524082567520004</v>
      </c>
      <c r="K434" s="1157">
        <f>'Emission-Waste Transport Vehicl'!Q80</f>
        <v>5.5547613728639993</v>
      </c>
      <c r="L434" s="1157">
        <f>'Emission-Waste Transport Vehicl'!R80</f>
        <v>0.55286418052800002</v>
      </c>
      <c r="M434" s="1159">
        <f t="shared" si="108"/>
        <v>183074.72107063036</v>
      </c>
      <c r="N434" s="1159">
        <f t="shared" si="109"/>
        <v>22694.561495731181</v>
      </c>
      <c r="O434" s="1159">
        <f t="shared" si="110"/>
        <v>34704.23341956074</v>
      </c>
      <c r="P434" s="1159">
        <f t="shared" si="111"/>
        <v>-4833.6451964565285</v>
      </c>
      <c r="Q434" s="1159">
        <f t="shared" si="112"/>
        <v>931.41703908173497</v>
      </c>
      <c r="R434" s="2773"/>
    </row>
    <row r="435" spans="1:18" x14ac:dyDescent="0.25">
      <c r="A435" s="2862"/>
      <c r="B435" s="706">
        <v>2067</v>
      </c>
      <c r="C435" s="1134">
        <f t="shared" si="113"/>
        <v>1887368.2584601068</v>
      </c>
      <c r="D435" s="1156">
        <f t="shared" si="114"/>
        <v>1765.4020084355284</v>
      </c>
      <c r="E435" s="1156">
        <f t="shared" si="115"/>
        <v>4852.1046581477403</v>
      </c>
      <c r="F435" s="1156">
        <f t="shared" si="116"/>
        <v>-870.18053017898262</v>
      </c>
      <c r="G435" s="1156">
        <f t="shared" si="117"/>
        <v>1684.7122166464228</v>
      </c>
      <c r="H435" s="827">
        <v>97</v>
      </c>
      <c r="I435" s="1157">
        <f>'Emission-Waste Transport Vehicl'!N81</f>
        <v>12.600880720560001</v>
      </c>
      <c r="J435" s="1157">
        <f>'Emission-Waste Transport Vehicl'!P81</f>
        <v>7.0109200893600008</v>
      </c>
      <c r="K435" s="1157">
        <f>'Emission-Waste Transport Vehicl'!Q81</f>
        <v>5.4448776835200006</v>
      </c>
      <c r="L435" s="1157">
        <f>'Emission-Waste Transport Vehicl'!R81</f>
        <v>0.5419274810400001</v>
      </c>
      <c r="M435" s="1159">
        <f t="shared" si="108"/>
        <v>183074.72107063036</v>
      </c>
      <c r="N435" s="1159">
        <f t="shared" si="109"/>
        <v>22245.620132133154</v>
      </c>
      <c r="O435" s="1159">
        <f t="shared" si="110"/>
        <v>34017.718023485235</v>
      </c>
      <c r="P435" s="1159">
        <f t="shared" si="111"/>
        <v>-4738.0265494051446</v>
      </c>
      <c r="Q435" s="1159">
        <f t="shared" si="112"/>
        <v>912.99184784451086</v>
      </c>
      <c r="R435" s="2773"/>
    </row>
    <row r="436" spans="1:18" x14ac:dyDescent="0.25">
      <c r="A436" s="2862"/>
      <c r="B436" s="706">
        <v>2068</v>
      </c>
      <c r="C436" s="1134">
        <f t="shared" si="113"/>
        <v>1887368.2584601068</v>
      </c>
      <c r="D436" s="1156">
        <f t="shared" si="114"/>
        <v>1765.4020084355284</v>
      </c>
      <c r="E436" s="1156">
        <f t="shared" si="115"/>
        <v>4852.1046581477403</v>
      </c>
      <c r="F436" s="1156">
        <f t="shared" si="116"/>
        <v>-870.18053017898262</v>
      </c>
      <c r="G436" s="1156">
        <f t="shared" si="117"/>
        <v>1684.7122166464228</v>
      </c>
      <c r="H436" s="827">
        <v>97</v>
      </c>
      <c r="I436" s="1157">
        <f>'Emission-Waste Transport Vehicl'!N82</f>
        <v>12.356361689760002</v>
      </c>
      <c r="J436" s="1157">
        <f>'Emission-Waste Transport Vehicl'!P82</f>
        <v>6.8748737745600002</v>
      </c>
      <c r="K436" s="1157">
        <f>'Emission-Waste Transport Vehicl'!Q82</f>
        <v>5.339220289920001</v>
      </c>
      <c r="L436" s="1157">
        <f>'Emission-Waste Transport Vehicl'!R82</f>
        <v>0.53141142384000006</v>
      </c>
      <c r="M436" s="1159">
        <f t="shared" si="108"/>
        <v>183074.72107063036</v>
      </c>
      <c r="N436" s="1159">
        <f t="shared" si="109"/>
        <v>21813.945744058125</v>
      </c>
      <c r="O436" s="1159">
        <f t="shared" si="110"/>
        <v>33357.607065720316</v>
      </c>
      <c r="P436" s="1159">
        <f t="shared" si="111"/>
        <v>-4646.0855426249682</v>
      </c>
      <c r="Q436" s="1159">
        <f t="shared" si="112"/>
        <v>895.27531780871823</v>
      </c>
      <c r="R436" s="2773"/>
    </row>
    <row r="437" spans="1:18" ht="15.75" thickBot="1" x14ac:dyDescent="0.3">
      <c r="A437" s="2863"/>
      <c r="B437" s="55">
        <v>2069</v>
      </c>
      <c r="C437" s="1135">
        <f t="shared" si="113"/>
        <v>1887368.2584601068</v>
      </c>
      <c r="D437" s="1160">
        <f t="shared" si="114"/>
        <v>1765.4020084355284</v>
      </c>
      <c r="E437" s="1160">
        <f t="shared" si="115"/>
        <v>4852.1046581477403</v>
      </c>
      <c r="F437" s="1160">
        <f t="shared" si="116"/>
        <v>-870.18053017898262</v>
      </c>
      <c r="G437" s="1160">
        <f t="shared" si="117"/>
        <v>1684.7122166464228</v>
      </c>
      <c r="H437" s="1062">
        <v>97</v>
      </c>
      <c r="I437" s="1161">
        <f>'Emission-Waste Transport Vehicl'!N83</f>
        <v>12.111842658960002</v>
      </c>
      <c r="J437" s="1161">
        <f>'Emission-Waste Transport Vehicl'!P83</f>
        <v>6.7388274597600004</v>
      </c>
      <c r="K437" s="1161">
        <f>'Emission-Waste Transport Vehicl'!Q83</f>
        <v>5.2335628963200005</v>
      </c>
      <c r="L437" s="1161">
        <f>'Emission-Waste Transport Vehicl'!R83</f>
        <v>0.52089536664000002</v>
      </c>
      <c r="M437" s="1163">
        <f t="shared" si="108"/>
        <v>183074.72107063036</v>
      </c>
      <c r="N437" s="1163">
        <f t="shared" si="109"/>
        <v>21382.271355983099</v>
      </c>
      <c r="O437" s="1163">
        <f t="shared" si="110"/>
        <v>32697.496107955401</v>
      </c>
      <c r="P437" s="1163">
        <f t="shared" si="111"/>
        <v>-4554.14453584479</v>
      </c>
      <c r="Q437" s="1163">
        <f t="shared" si="112"/>
        <v>877.5587877729256</v>
      </c>
      <c r="R437" s="2774"/>
    </row>
    <row r="438" spans="1:18" x14ac:dyDescent="0.25">
      <c r="A438" s="2903" t="s">
        <v>704</v>
      </c>
      <c r="B438" s="888">
        <v>2019</v>
      </c>
      <c r="C438" s="1133">
        <f t="shared" ref="C438:C469" si="118">$S$20</f>
        <v>2987983.3497514897</v>
      </c>
      <c r="D438" s="1153">
        <f t="shared" ref="D438:D469" si="119">$T$20</f>
        <v>1263.906390079519</v>
      </c>
      <c r="E438" s="1153">
        <f t="shared" ref="E438:E469" si="120">$R$20</f>
        <v>17373.361367042369</v>
      </c>
      <c r="F438" s="1153">
        <f t="shared" ref="F438:F469" si="121">$V$20</f>
        <v>-838.49971198616026</v>
      </c>
      <c r="G438" s="1153">
        <f t="shared" ref="G438:G469" si="122">$U$20</f>
        <v>1493.541946125476</v>
      </c>
      <c r="H438" s="1056">
        <v>62</v>
      </c>
      <c r="I438" s="1154">
        <f>'Emission-Waste Transport Vehicl'!N33</f>
        <v>32.602537440000006</v>
      </c>
      <c r="J438" s="1154">
        <f>'Emission-Waste Transport Vehicl'!P33</f>
        <v>18.139508640000003</v>
      </c>
      <c r="K438" s="1154">
        <f>'Emission-Waste Transport Vehicl'!Q33</f>
        <v>14.087652480000001</v>
      </c>
      <c r="L438" s="1154">
        <f>'Emission-Waste Transport Vehicl'!R33</f>
        <v>1.4021409600000001</v>
      </c>
      <c r="M438" s="1155">
        <f t="shared" si="108"/>
        <v>185254.96768459235</v>
      </c>
      <c r="N438" s="1155">
        <f t="shared" si="109"/>
        <v>41206.555403222774</v>
      </c>
      <c r="O438" s="1155">
        <f t="shared" si="110"/>
        <v>315144.23862330732</v>
      </c>
      <c r="P438" s="1155">
        <f t="shared" si="111"/>
        <v>-11812.492547041116</v>
      </c>
      <c r="Q438" s="1155">
        <f t="shared" si="112"/>
        <v>2094.1563381406431</v>
      </c>
      <c r="R438" s="2772">
        <f>(SUM(M438:M488)*1.2682)+(SUM(N438:N488))+(SUM(O438:O488))+(SUM(P438:P488))+(SUM(Q438:Q488))</f>
        <v>27891711.649495214</v>
      </c>
    </row>
    <row r="439" spans="1:18" x14ac:dyDescent="0.25">
      <c r="A439" s="2862"/>
      <c r="B439" s="706">
        <v>2020</v>
      </c>
      <c r="C439" s="1134">
        <f t="shared" si="118"/>
        <v>2987983.3497514897</v>
      </c>
      <c r="D439" s="1156">
        <f t="shared" si="119"/>
        <v>1263.906390079519</v>
      </c>
      <c r="E439" s="1156">
        <f t="shared" si="120"/>
        <v>17373.361367042369</v>
      </c>
      <c r="F439" s="1156">
        <f t="shared" si="121"/>
        <v>-838.49971198616026</v>
      </c>
      <c r="G439" s="1156">
        <f t="shared" si="122"/>
        <v>1493.541946125476</v>
      </c>
      <c r="H439" s="827">
        <v>64</v>
      </c>
      <c r="I439" s="1157">
        <f>'Emission-Waste Transport Vehicl'!N34</f>
        <v>31.963527706176006</v>
      </c>
      <c r="J439" s="1157">
        <f>'Emission-Waste Transport Vehicl'!P34</f>
        <v>17.783974270656003</v>
      </c>
      <c r="K439" s="1157">
        <f>'Emission-Waste Transport Vehicl'!Q34</f>
        <v>13.811534491392001</v>
      </c>
      <c r="L439" s="1157">
        <f>'Emission-Waste Transport Vehicl'!R34</f>
        <v>1.3746589971840002</v>
      </c>
      <c r="M439" s="1159">
        <f t="shared" si="108"/>
        <v>191230.93438409534</v>
      </c>
      <c r="N439" s="1159">
        <f t="shared" si="109"/>
        <v>40398.906917319604</v>
      </c>
      <c r="O439" s="1159">
        <f t="shared" si="110"/>
        <v>308967.4115462905</v>
      </c>
      <c r="P439" s="1159">
        <f t="shared" si="111"/>
        <v>-11580.967693119112</v>
      </c>
      <c r="Q439" s="1159">
        <f t="shared" si="112"/>
        <v>2053.1108739130868</v>
      </c>
      <c r="R439" s="2773"/>
    </row>
    <row r="440" spans="1:18" x14ac:dyDescent="0.25">
      <c r="A440" s="2862"/>
      <c r="B440" s="706">
        <v>2021</v>
      </c>
      <c r="C440" s="1134">
        <f t="shared" si="118"/>
        <v>2987983.3497514897</v>
      </c>
      <c r="D440" s="1156">
        <f t="shared" si="119"/>
        <v>1263.906390079519</v>
      </c>
      <c r="E440" s="1156">
        <f t="shared" si="120"/>
        <v>17373.361367042369</v>
      </c>
      <c r="F440" s="1156">
        <f t="shared" si="121"/>
        <v>-838.49971198616026</v>
      </c>
      <c r="G440" s="1156">
        <f t="shared" si="122"/>
        <v>1493.541946125476</v>
      </c>
      <c r="H440" s="827">
        <v>65</v>
      </c>
      <c r="I440" s="1157">
        <f>'Emission-Waste Transport Vehicl'!N35</f>
        <v>31.337558987328006</v>
      </c>
      <c r="J440" s="1157">
        <f>'Emission-Waste Transport Vehicl'!P35</f>
        <v>17.435695704768001</v>
      </c>
      <c r="K440" s="1157">
        <f>'Emission-Waste Transport Vehicl'!Q35</f>
        <v>13.541051563776001</v>
      </c>
      <c r="L440" s="1157">
        <f>'Emission-Waste Transport Vehicl'!R35</f>
        <v>1.3477378907520003</v>
      </c>
      <c r="M440" s="1159">
        <f t="shared" si="108"/>
        <v>194218.91773384681</v>
      </c>
      <c r="N440" s="1159">
        <f t="shared" si="109"/>
        <v>39607.741053577731</v>
      </c>
      <c r="O440" s="1159">
        <f t="shared" si="110"/>
        <v>302916.64216472296</v>
      </c>
      <c r="P440" s="1159">
        <f t="shared" si="111"/>
        <v>-11354.167836215922</v>
      </c>
      <c r="Q440" s="1159">
        <f t="shared" si="112"/>
        <v>2012.9030722207867</v>
      </c>
      <c r="R440" s="2773"/>
    </row>
    <row r="441" spans="1:18" x14ac:dyDescent="0.25">
      <c r="A441" s="2862"/>
      <c r="B441" s="706">
        <v>2022</v>
      </c>
      <c r="C441" s="1134">
        <f t="shared" si="118"/>
        <v>2987983.3497514897</v>
      </c>
      <c r="D441" s="1156">
        <f t="shared" si="119"/>
        <v>1263.906390079519</v>
      </c>
      <c r="E441" s="1156">
        <f t="shared" si="120"/>
        <v>17373.361367042369</v>
      </c>
      <c r="F441" s="1156">
        <f t="shared" si="121"/>
        <v>-838.49971198616026</v>
      </c>
      <c r="G441" s="1156">
        <f t="shared" si="122"/>
        <v>1493.541946125476</v>
      </c>
      <c r="H441" s="827">
        <v>66</v>
      </c>
      <c r="I441" s="1157">
        <f>'Emission-Waste Transport Vehicl'!N36</f>
        <v>30.721371029712003</v>
      </c>
      <c r="J441" s="1157">
        <f>'Emission-Waste Transport Vehicl'!P36</f>
        <v>17.092858991472003</v>
      </c>
      <c r="K441" s="1157">
        <f>'Emission-Waste Transport Vehicl'!Q36</f>
        <v>13.274794931903999</v>
      </c>
      <c r="L441" s="1157">
        <f>'Emission-Waste Transport Vehicl'!R36</f>
        <v>1.3212374266080003</v>
      </c>
      <c r="M441" s="1159">
        <f t="shared" si="108"/>
        <v>197206.90108359832</v>
      </c>
      <c r="N441" s="1159">
        <f t="shared" si="109"/>
        <v>38828.937156456814</v>
      </c>
      <c r="O441" s="1159">
        <f t="shared" si="110"/>
        <v>296960.41605474247</v>
      </c>
      <c r="P441" s="1159">
        <f t="shared" si="111"/>
        <v>-11130.911727076844</v>
      </c>
      <c r="Q441" s="1159">
        <f t="shared" si="112"/>
        <v>1973.3235174299284</v>
      </c>
      <c r="R441" s="2773"/>
    </row>
    <row r="442" spans="1:18" x14ac:dyDescent="0.25">
      <c r="A442" s="2862"/>
      <c r="B442" s="706">
        <v>2023</v>
      </c>
      <c r="C442" s="1134">
        <f t="shared" si="118"/>
        <v>2987983.3497514897</v>
      </c>
      <c r="D442" s="1156">
        <f t="shared" si="119"/>
        <v>1263.906390079519</v>
      </c>
      <c r="E442" s="1156">
        <f t="shared" si="120"/>
        <v>17373.361367042369</v>
      </c>
      <c r="F442" s="1156">
        <f t="shared" si="121"/>
        <v>-838.49971198616026</v>
      </c>
      <c r="G442" s="1156">
        <f t="shared" si="122"/>
        <v>1493.541946125476</v>
      </c>
      <c r="H442" s="827">
        <v>67</v>
      </c>
      <c r="I442" s="1157">
        <f>'Emission-Waste Transport Vehicl'!N37</f>
        <v>30.118224087072001</v>
      </c>
      <c r="J442" s="1157">
        <f>'Emission-Waste Transport Vehicl'!P37</f>
        <v>16.757278081632002</v>
      </c>
      <c r="K442" s="1157">
        <f>'Emission-Waste Transport Vehicl'!Q37</f>
        <v>13.014173361024</v>
      </c>
      <c r="L442" s="1157">
        <f>'Emission-Waste Transport Vehicl'!R37</f>
        <v>1.295297818848</v>
      </c>
      <c r="M442" s="1159">
        <f t="shared" si="108"/>
        <v>200194.8844333498</v>
      </c>
      <c r="N442" s="1159">
        <f t="shared" si="109"/>
        <v>38066.615881497193</v>
      </c>
      <c r="O442" s="1159">
        <f t="shared" si="110"/>
        <v>291130.24764021131</v>
      </c>
      <c r="P442" s="1159">
        <f t="shared" si="111"/>
        <v>-10912.380614956583</v>
      </c>
      <c r="Q442" s="1159">
        <f t="shared" si="112"/>
        <v>1934.5816251743261</v>
      </c>
      <c r="R442" s="2773"/>
    </row>
    <row r="443" spans="1:18" x14ac:dyDescent="0.25">
      <c r="A443" s="2862"/>
      <c r="B443" s="706">
        <v>2024</v>
      </c>
      <c r="C443" s="1134">
        <f t="shared" si="118"/>
        <v>2987983.3497514897</v>
      </c>
      <c r="D443" s="1156">
        <f t="shared" si="119"/>
        <v>1263.906390079519</v>
      </c>
      <c r="E443" s="1156">
        <f t="shared" si="120"/>
        <v>17373.361367042369</v>
      </c>
      <c r="F443" s="1156">
        <f t="shared" si="121"/>
        <v>-838.49971198616026</v>
      </c>
      <c r="G443" s="1156">
        <f t="shared" si="122"/>
        <v>1493.541946125476</v>
      </c>
      <c r="H443" s="827">
        <v>68</v>
      </c>
      <c r="I443" s="1157">
        <f>'Emission-Waste Transport Vehicl'!N38</f>
        <v>29.528118159408002</v>
      </c>
      <c r="J443" s="1157">
        <f>'Emission-Waste Transport Vehicl'!P38</f>
        <v>16.428952975248002</v>
      </c>
      <c r="K443" s="1157">
        <f>'Emission-Waste Transport Vehicl'!Q38</f>
        <v>12.759186851135999</v>
      </c>
      <c r="L443" s="1157">
        <f>'Emission-Waste Transport Vehicl'!R38</f>
        <v>1.269919067472</v>
      </c>
      <c r="M443" s="1159">
        <f t="shared" si="108"/>
        <v>203182.8677831013</v>
      </c>
      <c r="N443" s="1159">
        <f t="shared" si="109"/>
        <v>37320.777228698862</v>
      </c>
      <c r="O443" s="1159">
        <f t="shared" si="110"/>
        <v>285426.13692112942</v>
      </c>
      <c r="P443" s="1159">
        <f t="shared" si="111"/>
        <v>-10698.574499855138</v>
      </c>
      <c r="Q443" s="1159">
        <f t="shared" si="112"/>
        <v>1896.6773954539806</v>
      </c>
      <c r="R443" s="2773"/>
    </row>
    <row r="444" spans="1:18" x14ac:dyDescent="0.25">
      <c r="A444" s="2862"/>
      <c r="B444" s="706">
        <v>2025</v>
      </c>
      <c r="C444" s="1134">
        <f t="shared" si="118"/>
        <v>2987983.3497514897</v>
      </c>
      <c r="D444" s="1156">
        <f t="shared" si="119"/>
        <v>1263.906390079519</v>
      </c>
      <c r="E444" s="1156">
        <f t="shared" si="120"/>
        <v>17373.361367042369</v>
      </c>
      <c r="F444" s="1156">
        <f t="shared" si="121"/>
        <v>-838.49971198616026</v>
      </c>
      <c r="G444" s="1156">
        <f t="shared" si="122"/>
        <v>1493.541946125476</v>
      </c>
      <c r="H444" s="827">
        <v>69</v>
      </c>
      <c r="I444" s="1157">
        <f>'Emission-Waste Transport Vehicl'!N39</f>
        <v>28.951053246720004</v>
      </c>
      <c r="J444" s="1157">
        <f>'Emission-Waste Transport Vehicl'!P39</f>
        <v>16.10788367232</v>
      </c>
      <c r="K444" s="1157">
        <f>'Emission-Waste Transport Vehicl'!Q39</f>
        <v>12.50983540224</v>
      </c>
      <c r="L444" s="1157">
        <f>'Emission-Waste Transport Vehicl'!R39</f>
        <v>1.2451011724800001</v>
      </c>
      <c r="M444" s="1159">
        <f t="shared" si="108"/>
        <v>206170.85113285278</v>
      </c>
      <c r="N444" s="1159">
        <f t="shared" si="109"/>
        <v>36591.42119806182</v>
      </c>
      <c r="O444" s="1159">
        <f t="shared" si="110"/>
        <v>279848.08389749686</v>
      </c>
      <c r="P444" s="1159">
        <f t="shared" si="111"/>
        <v>-10489.493381772512</v>
      </c>
      <c r="Q444" s="1159">
        <f t="shared" si="112"/>
        <v>1859.6108282688913</v>
      </c>
      <c r="R444" s="2773"/>
    </row>
    <row r="445" spans="1:18" x14ac:dyDescent="0.25">
      <c r="A445" s="2862"/>
      <c r="B445" s="706">
        <v>2026</v>
      </c>
      <c r="C445" s="1134">
        <f t="shared" si="118"/>
        <v>2987983.3497514897</v>
      </c>
      <c r="D445" s="1156">
        <f t="shared" si="119"/>
        <v>1263.906390079519</v>
      </c>
      <c r="E445" s="1156">
        <f t="shared" si="120"/>
        <v>17373.361367042369</v>
      </c>
      <c r="F445" s="1156">
        <f t="shared" si="121"/>
        <v>-838.49971198616026</v>
      </c>
      <c r="G445" s="1156">
        <f t="shared" si="122"/>
        <v>1493.541946125476</v>
      </c>
      <c r="H445" s="827">
        <v>70</v>
      </c>
      <c r="I445" s="1157">
        <f>'Emission-Waste Transport Vehicl'!N40</f>
        <v>28.383769095264007</v>
      </c>
      <c r="J445" s="1157">
        <f>'Emission-Waste Transport Vehicl'!P40</f>
        <v>15.792256221984003</v>
      </c>
      <c r="K445" s="1157">
        <f>'Emission-Waste Transport Vehicl'!Q40</f>
        <v>12.264710249088001</v>
      </c>
      <c r="L445" s="1157">
        <f>'Emission-Waste Transport Vehicl'!R40</f>
        <v>1.2207039197760001</v>
      </c>
      <c r="M445" s="1159">
        <f t="shared" si="108"/>
        <v>209158.83448260429</v>
      </c>
      <c r="N445" s="1159">
        <f t="shared" si="109"/>
        <v>35874.427134045749</v>
      </c>
      <c r="O445" s="1159">
        <f t="shared" si="110"/>
        <v>274364.57414545136</v>
      </c>
      <c r="P445" s="1159">
        <f t="shared" si="111"/>
        <v>-10283.956011453996</v>
      </c>
      <c r="Q445" s="1159">
        <f t="shared" si="112"/>
        <v>1823.1725079852442</v>
      </c>
      <c r="R445" s="2773"/>
    </row>
    <row r="446" spans="1:18" x14ac:dyDescent="0.25">
      <c r="A446" s="2862"/>
      <c r="B446" s="706">
        <v>2027</v>
      </c>
      <c r="C446" s="1134">
        <f t="shared" si="118"/>
        <v>2987983.3497514897</v>
      </c>
      <c r="D446" s="1156">
        <f t="shared" si="119"/>
        <v>1263.906390079519</v>
      </c>
      <c r="E446" s="1156">
        <f t="shared" si="120"/>
        <v>17373.361367042369</v>
      </c>
      <c r="F446" s="1156">
        <f t="shared" si="121"/>
        <v>-838.49971198616026</v>
      </c>
      <c r="G446" s="1156">
        <f t="shared" si="122"/>
        <v>1493.541946125476</v>
      </c>
      <c r="H446" s="827">
        <v>71</v>
      </c>
      <c r="I446" s="1157">
        <f>'Emission-Waste Transport Vehicl'!N41</f>
        <v>27.826265705040004</v>
      </c>
      <c r="J446" s="1157">
        <f>'Emission-Waste Transport Vehicl'!P41</f>
        <v>15.482070624240002</v>
      </c>
      <c r="K446" s="1157">
        <f>'Emission-Waste Transport Vehicl'!Q41</f>
        <v>12.023811391680001</v>
      </c>
      <c r="L446" s="1157">
        <f>'Emission-Waste Transport Vehicl'!R41</f>
        <v>1.1967273093600002</v>
      </c>
      <c r="M446" s="1159">
        <f t="shared" si="108"/>
        <v>212146.81783235577</v>
      </c>
      <c r="N446" s="1159">
        <f t="shared" si="109"/>
        <v>35169.795036650634</v>
      </c>
      <c r="O446" s="1159">
        <f t="shared" si="110"/>
        <v>268975.6076649928</v>
      </c>
      <c r="P446" s="1159">
        <f t="shared" si="111"/>
        <v>-10081.962388899594</v>
      </c>
      <c r="Q446" s="1159">
        <f t="shared" si="112"/>
        <v>1787.3624346030392</v>
      </c>
      <c r="R446" s="2773"/>
    </row>
    <row r="447" spans="1:18" x14ac:dyDescent="0.25">
      <c r="A447" s="2862"/>
      <c r="B447" s="706">
        <v>2028</v>
      </c>
      <c r="C447" s="1134">
        <f t="shared" si="118"/>
        <v>2987983.3497514897</v>
      </c>
      <c r="D447" s="1156">
        <f t="shared" si="119"/>
        <v>1263.906390079519</v>
      </c>
      <c r="E447" s="1156">
        <f t="shared" si="120"/>
        <v>17373.361367042369</v>
      </c>
      <c r="F447" s="1156">
        <f t="shared" si="121"/>
        <v>-838.49971198616026</v>
      </c>
      <c r="G447" s="1156">
        <f t="shared" si="122"/>
        <v>1493.541946125476</v>
      </c>
      <c r="H447" s="827">
        <v>72</v>
      </c>
      <c r="I447" s="1157">
        <f>'Emission-Waste Transport Vehicl'!N42</f>
        <v>27.281803329792002</v>
      </c>
      <c r="J447" s="1157">
        <f>'Emission-Waste Transport Vehicl'!P42</f>
        <v>15.179140829952001</v>
      </c>
      <c r="K447" s="1157">
        <f>'Emission-Waste Transport Vehicl'!Q42</f>
        <v>11.788547595263999</v>
      </c>
      <c r="L447" s="1157">
        <f>'Emission-Waste Transport Vehicl'!R42</f>
        <v>1.173311555328</v>
      </c>
      <c r="M447" s="1159">
        <f t="shared" si="108"/>
        <v>215134.80118210724</v>
      </c>
      <c r="N447" s="1159">
        <f t="shared" si="109"/>
        <v>34481.645561416808</v>
      </c>
      <c r="O447" s="1159">
        <f t="shared" si="110"/>
        <v>263712.69887998351</v>
      </c>
      <c r="P447" s="1159">
        <f t="shared" si="111"/>
        <v>-9884.6937633640064</v>
      </c>
      <c r="Q447" s="1159">
        <f t="shared" si="112"/>
        <v>1752.3900237560902</v>
      </c>
      <c r="R447" s="2773"/>
    </row>
    <row r="448" spans="1:18" x14ac:dyDescent="0.25">
      <c r="A448" s="2862"/>
      <c r="B448" s="706">
        <v>2029</v>
      </c>
      <c r="C448" s="1134">
        <f t="shared" si="118"/>
        <v>2987983.3497514897</v>
      </c>
      <c r="D448" s="1156">
        <f t="shared" si="119"/>
        <v>1263.906390079519</v>
      </c>
      <c r="E448" s="1156">
        <f t="shared" si="120"/>
        <v>17373.361367042369</v>
      </c>
      <c r="F448" s="1156">
        <f t="shared" si="121"/>
        <v>-838.49971198616026</v>
      </c>
      <c r="G448" s="1156">
        <f t="shared" si="122"/>
        <v>1493.541946125476</v>
      </c>
      <c r="H448" s="827">
        <v>73</v>
      </c>
      <c r="I448" s="1157">
        <f>'Emission-Waste Transport Vehicl'!N43</f>
        <v>26.743861462032005</v>
      </c>
      <c r="J448" s="1157">
        <f>'Emission-Waste Transport Vehicl'!P43</f>
        <v>14.879838937392002</v>
      </c>
      <c r="K448" s="1157">
        <f>'Emission-Waste Transport Vehicl'!Q43</f>
        <v>11.556101329344001</v>
      </c>
      <c r="L448" s="1157">
        <f>'Emission-Waste Transport Vehicl'!R43</f>
        <v>1.1501762294880002</v>
      </c>
      <c r="M448" s="1159">
        <f t="shared" si="108"/>
        <v>218122.78453185875</v>
      </c>
      <c r="N448" s="1159">
        <f t="shared" si="109"/>
        <v>33801.737397263641</v>
      </c>
      <c r="O448" s="1159">
        <f t="shared" si="110"/>
        <v>258512.81894269897</v>
      </c>
      <c r="P448" s="1159">
        <f t="shared" si="111"/>
        <v>-9689.7876363378291</v>
      </c>
      <c r="Q448" s="1159">
        <f t="shared" si="112"/>
        <v>1717.8364441767699</v>
      </c>
      <c r="R448" s="2773"/>
    </row>
    <row r="449" spans="1:18" x14ac:dyDescent="0.25">
      <c r="A449" s="2862"/>
      <c r="B449" s="706">
        <v>2030</v>
      </c>
      <c r="C449" s="1134">
        <f t="shared" si="118"/>
        <v>2987983.3497514897</v>
      </c>
      <c r="D449" s="1156">
        <f t="shared" si="119"/>
        <v>1263.906390079519</v>
      </c>
      <c r="E449" s="1156">
        <f t="shared" si="120"/>
        <v>17373.361367042369</v>
      </c>
      <c r="F449" s="1156">
        <f t="shared" si="121"/>
        <v>-838.49971198616026</v>
      </c>
      <c r="G449" s="1156">
        <f t="shared" si="122"/>
        <v>1493.541946125476</v>
      </c>
      <c r="H449" s="827">
        <v>75</v>
      </c>
      <c r="I449" s="1157">
        <f>'Emission-Waste Transport Vehicl'!N44</f>
        <v>26.222220862992003</v>
      </c>
      <c r="J449" s="1157">
        <f>'Emission-Waste Transport Vehicl'!P44</f>
        <v>14.589606799152003</v>
      </c>
      <c r="K449" s="1157">
        <f>'Emission-Waste Transport Vehicl'!Q44</f>
        <v>11.330698889664001</v>
      </c>
      <c r="L449" s="1157">
        <f>'Emission-Waste Transport Vehicl'!R44</f>
        <v>1.1277419741280001</v>
      </c>
      <c r="M449" s="1159">
        <f t="shared" si="108"/>
        <v>224098.75123136173</v>
      </c>
      <c r="N449" s="1159">
        <f t="shared" si="109"/>
        <v>33142.432510812076</v>
      </c>
      <c r="O449" s="1159">
        <f t="shared" si="110"/>
        <v>253470.51112472609</v>
      </c>
      <c r="P449" s="1159">
        <f t="shared" si="111"/>
        <v>-9500.7877555851701</v>
      </c>
      <c r="Q449" s="1159">
        <f t="shared" si="112"/>
        <v>1684.3299427665195</v>
      </c>
      <c r="R449" s="2773"/>
    </row>
    <row r="450" spans="1:18" x14ac:dyDescent="0.25">
      <c r="A450" s="2862"/>
      <c r="B450" s="706">
        <v>2031</v>
      </c>
      <c r="C450" s="1134">
        <f t="shared" si="118"/>
        <v>2987983.3497514897</v>
      </c>
      <c r="D450" s="1156">
        <f t="shared" si="119"/>
        <v>1263.906390079519</v>
      </c>
      <c r="E450" s="1156">
        <f t="shared" si="120"/>
        <v>17373.361367042369</v>
      </c>
      <c r="F450" s="1156">
        <f t="shared" si="121"/>
        <v>-838.49971198616026</v>
      </c>
      <c r="G450" s="1156">
        <f t="shared" si="122"/>
        <v>1493.541946125476</v>
      </c>
      <c r="H450" s="827">
        <v>76</v>
      </c>
      <c r="I450" s="1157">
        <f>'Emission-Waste Transport Vehicl'!N45</f>
        <v>25.70710077144</v>
      </c>
      <c r="J450" s="1157">
        <f>'Emission-Waste Transport Vehicl'!P45</f>
        <v>14.303002562640001</v>
      </c>
      <c r="K450" s="1157">
        <f>'Emission-Waste Transport Vehicl'!Q45</f>
        <v>11.108113980480001</v>
      </c>
      <c r="L450" s="1157">
        <f>'Emission-Waste Transport Vehicl'!R45</f>
        <v>1.1055881469600002</v>
      </c>
      <c r="M450" s="1159">
        <f t="shared" si="108"/>
        <v>227086.73458111321</v>
      </c>
      <c r="N450" s="1159">
        <f t="shared" si="109"/>
        <v>32491.368935441151</v>
      </c>
      <c r="O450" s="1159">
        <f t="shared" si="110"/>
        <v>248491.2321544778</v>
      </c>
      <c r="P450" s="1159">
        <f t="shared" si="111"/>
        <v>-9314.1503733419213</v>
      </c>
      <c r="Q450" s="1159">
        <f t="shared" si="112"/>
        <v>1651.2422726238974</v>
      </c>
      <c r="R450" s="2773"/>
    </row>
    <row r="451" spans="1:18" x14ac:dyDescent="0.25">
      <c r="A451" s="2862"/>
      <c r="B451" s="706">
        <v>2032</v>
      </c>
      <c r="C451" s="1134">
        <f t="shared" si="118"/>
        <v>2987983.3497514897</v>
      </c>
      <c r="D451" s="1156">
        <f t="shared" si="119"/>
        <v>1263.906390079519</v>
      </c>
      <c r="E451" s="1156">
        <f t="shared" si="120"/>
        <v>17373.361367042369</v>
      </c>
      <c r="F451" s="1156">
        <f t="shared" si="121"/>
        <v>-838.49971198616026</v>
      </c>
      <c r="G451" s="1156">
        <f t="shared" si="122"/>
        <v>1493.541946125476</v>
      </c>
      <c r="H451" s="827">
        <v>77</v>
      </c>
      <c r="I451" s="1157">
        <f>'Emission-Waste Transport Vehicl'!N46</f>
        <v>25.201761441120002</v>
      </c>
      <c r="J451" s="1157">
        <f>'Emission-Waste Transport Vehicl'!P46</f>
        <v>14.021840178720002</v>
      </c>
      <c r="K451" s="1157">
        <f>'Emission-Waste Transport Vehicl'!Q46</f>
        <v>10.889755367040001</v>
      </c>
      <c r="L451" s="1157">
        <f>'Emission-Waste Transport Vehicl'!R46</f>
        <v>1.0838549620800002</v>
      </c>
      <c r="M451" s="1159">
        <f t="shared" si="108"/>
        <v>230074.71793086469</v>
      </c>
      <c r="N451" s="1159">
        <f t="shared" si="109"/>
        <v>31852.6673266912</v>
      </c>
      <c r="O451" s="1159">
        <f t="shared" si="110"/>
        <v>243606.49645581655</v>
      </c>
      <c r="P451" s="1159">
        <f t="shared" si="111"/>
        <v>-9131.0567388627842</v>
      </c>
      <c r="Q451" s="1159">
        <f t="shared" si="112"/>
        <v>1618.7828493827176</v>
      </c>
      <c r="R451" s="2773"/>
    </row>
    <row r="452" spans="1:18" x14ac:dyDescent="0.25">
      <c r="A452" s="2862"/>
      <c r="B452" s="706">
        <v>2033</v>
      </c>
      <c r="C452" s="1134">
        <f t="shared" si="118"/>
        <v>2987983.3497514897</v>
      </c>
      <c r="D452" s="1156">
        <f t="shared" si="119"/>
        <v>1263.906390079519</v>
      </c>
      <c r="E452" s="1156">
        <f t="shared" si="120"/>
        <v>17373.361367042369</v>
      </c>
      <c r="F452" s="1156">
        <f t="shared" si="121"/>
        <v>-838.49971198616026</v>
      </c>
      <c r="G452" s="1156">
        <f t="shared" si="122"/>
        <v>1493.541946125476</v>
      </c>
      <c r="H452" s="827">
        <v>78</v>
      </c>
      <c r="I452" s="1157">
        <f>'Emission-Waste Transport Vehicl'!N47</f>
        <v>24.709463125776001</v>
      </c>
      <c r="J452" s="1157">
        <f>'Emission-Waste Transport Vehicl'!P47</f>
        <v>13.747933598256003</v>
      </c>
      <c r="K452" s="1157">
        <f>'Emission-Waste Transport Vehicl'!Q47</f>
        <v>10.677031814592</v>
      </c>
      <c r="L452" s="1157">
        <f>'Emission-Waste Transport Vehicl'!R47</f>
        <v>1.0626826335840001</v>
      </c>
      <c r="M452" s="1159">
        <f t="shared" ref="M452:M515" si="123">(C452/1000)*H452</f>
        <v>233062.70128061619</v>
      </c>
      <c r="N452" s="1159">
        <f t="shared" si="109"/>
        <v>31230.448340102535</v>
      </c>
      <c r="O452" s="1159">
        <f t="shared" si="110"/>
        <v>238847.81845260464</v>
      </c>
      <c r="P452" s="1159">
        <f t="shared" si="111"/>
        <v>-8952.6881014024621</v>
      </c>
      <c r="Q452" s="1159">
        <f t="shared" si="112"/>
        <v>1587.1610886767935</v>
      </c>
      <c r="R452" s="2773"/>
    </row>
    <row r="453" spans="1:18" x14ac:dyDescent="0.25">
      <c r="A453" s="2862"/>
      <c r="B453" s="706">
        <v>2034</v>
      </c>
      <c r="C453" s="1134">
        <f t="shared" si="118"/>
        <v>2987983.3497514897</v>
      </c>
      <c r="D453" s="1156">
        <f t="shared" si="119"/>
        <v>1263.906390079519</v>
      </c>
      <c r="E453" s="1156">
        <f t="shared" si="120"/>
        <v>17373.361367042369</v>
      </c>
      <c r="F453" s="1156">
        <f t="shared" si="121"/>
        <v>-838.49971198616026</v>
      </c>
      <c r="G453" s="1156">
        <f t="shared" si="122"/>
        <v>1493.541946125476</v>
      </c>
      <c r="H453" s="827">
        <v>79</v>
      </c>
      <c r="I453" s="1157">
        <f>'Emission-Waste Transport Vehicl'!N48</f>
        <v>24.223685317920005</v>
      </c>
      <c r="J453" s="1157">
        <f>'Emission-Waste Transport Vehicl'!P48</f>
        <v>13.477654919520001</v>
      </c>
      <c r="K453" s="1157">
        <f>'Emission-Waste Transport Vehicl'!Q48</f>
        <v>10.467125792640001</v>
      </c>
      <c r="L453" s="1157">
        <f>'Emission-Waste Transport Vehicl'!R48</f>
        <v>1.04179073328</v>
      </c>
      <c r="M453" s="1159">
        <f t="shared" si="123"/>
        <v>236050.68463036767</v>
      </c>
      <c r="N453" s="1159">
        <f t="shared" si="109"/>
        <v>30616.470664594519</v>
      </c>
      <c r="O453" s="1159">
        <f t="shared" si="110"/>
        <v>234152.1692971173</v>
      </c>
      <c r="P453" s="1159">
        <f t="shared" si="111"/>
        <v>-8776.6819624515501</v>
      </c>
      <c r="Q453" s="1159">
        <f t="shared" si="112"/>
        <v>1555.958159238498</v>
      </c>
      <c r="R453" s="2773"/>
    </row>
    <row r="454" spans="1:18" x14ac:dyDescent="0.25">
      <c r="A454" s="2862"/>
      <c r="B454" s="706">
        <v>2035</v>
      </c>
      <c r="C454" s="1134">
        <f t="shared" si="118"/>
        <v>2987983.3497514897</v>
      </c>
      <c r="D454" s="1156">
        <f t="shared" si="119"/>
        <v>1263.906390079519</v>
      </c>
      <c r="E454" s="1156">
        <f t="shared" si="120"/>
        <v>17373.361367042369</v>
      </c>
      <c r="F454" s="1156">
        <f t="shared" si="121"/>
        <v>-838.49971198616026</v>
      </c>
      <c r="G454" s="1156">
        <f t="shared" si="122"/>
        <v>1493.541946125476</v>
      </c>
      <c r="H454" s="827">
        <v>80</v>
      </c>
      <c r="I454" s="1157">
        <f>'Emission-Waste Transport Vehicl'!N49</f>
        <v>23.747688271296006</v>
      </c>
      <c r="J454" s="1157">
        <f>'Emission-Waste Transport Vehicl'!P49</f>
        <v>13.212818093376002</v>
      </c>
      <c r="K454" s="1157">
        <f>'Emission-Waste Transport Vehicl'!Q49</f>
        <v>10.261446066432002</v>
      </c>
      <c r="L454" s="1157">
        <f>'Emission-Waste Transport Vehicl'!R49</f>
        <v>1.0213194752640002</v>
      </c>
      <c r="M454" s="1159">
        <f t="shared" si="123"/>
        <v>239038.66798011918</v>
      </c>
      <c r="N454" s="1159">
        <f t="shared" si="109"/>
        <v>30014.854955707469</v>
      </c>
      <c r="O454" s="1159">
        <f t="shared" si="110"/>
        <v>229551.06341321705</v>
      </c>
      <c r="P454" s="1159">
        <f t="shared" si="111"/>
        <v>-8604.2195712647517</v>
      </c>
      <c r="Q454" s="1159">
        <f t="shared" si="112"/>
        <v>1525.3834767016449</v>
      </c>
      <c r="R454" s="2773"/>
    </row>
    <row r="455" spans="1:18" x14ac:dyDescent="0.25">
      <c r="A455" s="2862"/>
      <c r="B455" s="706">
        <v>2036</v>
      </c>
      <c r="C455" s="1134">
        <f t="shared" si="118"/>
        <v>2987983.3497514897</v>
      </c>
      <c r="D455" s="1156">
        <f t="shared" si="119"/>
        <v>1263.906390079519</v>
      </c>
      <c r="E455" s="1156">
        <f t="shared" si="120"/>
        <v>17373.361367042369</v>
      </c>
      <c r="F455" s="1156">
        <f t="shared" si="121"/>
        <v>-838.49971198616026</v>
      </c>
      <c r="G455" s="1156">
        <f t="shared" si="122"/>
        <v>1493.541946125476</v>
      </c>
      <c r="H455" s="827">
        <v>81</v>
      </c>
      <c r="I455" s="1157">
        <f>'Emission-Waste Transport Vehicl'!N50</f>
        <v>23.284732239648001</v>
      </c>
      <c r="J455" s="1157">
        <f>'Emission-Waste Transport Vehicl'!P50</f>
        <v>12.955237070688</v>
      </c>
      <c r="K455" s="1157">
        <f>'Emission-Waste Transport Vehicl'!Q50</f>
        <v>10.061401401215999</v>
      </c>
      <c r="L455" s="1157">
        <f>'Emission-Waste Transport Vehicl'!R50</f>
        <v>1.001409073632</v>
      </c>
      <c r="M455" s="1159">
        <f t="shared" si="123"/>
        <v>242026.65132987066</v>
      </c>
      <c r="N455" s="1159">
        <f t="shared" si="109"/>
        <v>29429.721868981698</v>
      </c>
      <c r="O455" s="1159">
        <f t="shared" si="110"/>
        <v>225076.01522476604</v>
      </c>
      <c r="P455" s="1159">
        <f t="shared" si="111"/>
        <v>-8436.4821770967646</v>
      </c>
      <c r="Q455" s="1159">
        <f t="shared" si="112"/>
        <v>1495.6464567000473</v>
      </c>
      <c r="R455" s="2773"/>
    </row>
    <row r="456" spans="1:18" x14ac:dyDescent="0.25">
      <c r="A456" s="2862"/>
      <c r="B456" s="706">
        <v>2037</v>
      </c>
      <c r="C456" s="1134">
        <f t="shared" si="118"/>
        <v>2987983.3497514897</v>
      </c>
      <c r="D456" s="1156">
        <f t="shared" si="119"/>
        <v>1263.906390079519</v>
      </c>
      <c r="E456" s="1156">
        <f t="shared" si="120"/>
        <v>17373.361367042369</v>
      </c>
      <c r="F456" s="1156">
        <f t="shared" si="121"/>
        <v>-838.49971198616026</v>
      </c>
      <c r="G456" s="1156">
        <f t="shared" si="122"/>
        <v>1493.541946125476</v>
      </c>
      <c r="H456" s="827">
        <v>83</v>
      </c>
      <c r="I456" s="1157">
        <f>'Emission-Waste Transport Vehicl'!N51</f>
        <v>22.828296715488005</v>
      </c>
      <c r="J456" s="1157">
        <f>'Emission-Waste Transport Vehicl'!P51</f>
        <v>12.701283949728003</v>
      </c>
      <c r="K456" s="1157">
        <f>'Emission-Waste Transport Vehicl'!Q51</f>
        <v>9.8641742664960006</v>
      </c>
      <c r="L456" s="1157">
        <f>'Emission-Waste Transport Vehicl'!R51</f>
        <v>0.9817791001920001</v>
      </c>
      <c r="M456" s="1159">
        <f t="shared" si="123"/>
        <v>248002.61802937364</v>
      </c>
      <c r="N456" s="1159">
        <f t="shared" si="109"/>
        <v>28852.830093336586</v>
      </c>
      <c r="O456" s="1159">
        <f t="shared" si="110"/>
        <v>220663.99588403979</v>
      </c>
      <c r="P456" s="1159">
        <f t="shared" si="111"/>
        <v>-8271.1072814381896</v>
      </c>
      <c r="Q456" s="1159">
        <f t="shared" si="112"/>
        <v>1466.3282679660786</v>
      </c>
      <c r="R456" s="2773"/>
    </row>
    <row r="457" spans="1:18" x14ac:dyDescent="0.25">
      <c r="A457" s="2862"/>
      <c r="B457" s="706">
        <v>2038</v>
      </c>
      <c r="C457" s="1134">
        <f t="shared" si="118"/>
        <v>2987983.3497514897</v>
      </c>
      <c r="D457" s="1156">
        <f t="shared" si="119"/>
        <v>1263.906390079519</v>
      </c>
      <c r="E457" s="1156">
        <f t="shared" si="120"/>
        <v>17373.361367042369</v>
      </c>
      <c r="F457" s="1156">
        <f t="shared" si="121"/>
        <v>-838.49971198616026</v>
      </c>
      <c r="G457" s="1156">
        <f t="shared" si="122"/>
        <v>1493.541946125476</v>
      </c>
      <c r="H457" s="827">
        <v>84</v>
      </c>
      <c r="I457" s="1157">
        <f>'Emission-Waste Transport Vehicl'!N52</f>
        <v>22.378381698816003</v>
      </c>
      <c r="J457" s="1157">
        <f>'Emission-Waste Transport Vehicl'!P52</f>
        <v>12.450958730496001</v>
      </c>
      <c r="K457" s="1157">
        <f>'Emission-Waste Transport Vehicl'!Q52</f>
        <v>9.6697646622720015</v>
      </c>
      <c r="L457" s="1157">
        <f>'Emission-Waste Transport Vehicl'!R52</f>
        <v>0.96242955494400007</v>
      </c>
      <c r="M457" s="1159">
        <f t="shared" si="123"/>
        <v>250990.60137912512</v>
      </c>
      <c r="N457" s="1159">
        <f t="shared" si="109"/>
        <v>28284.179628772108</v>
      </c>
      <c r="O457" s="1159">
        <f t="shared" si="110"/>
        <v>216315.00539103814</v>
      </c>
      <c r="P457" s="1159">
        <f t="shared" si="111"/>
        <v>-8108.0948842890239</v>
      </c>
      <c r="Q457" s="1159">
        <f t="shared" si="112"/>
        <v>1437.4289104997376</v>
      </c>
      <c r="R457" s="2773"/>
    </row>
    <row r="458" spans="1:18" x14ac:dyDescent="0.25">
      <c r="A458" s="2862"/>
      <c r="B458" s="706">
        <v>2039</v>
      </c>
      <c r="C458" s="1134">
        <f t="shared" si="118"/>
        <v>2987983.3497514897</v>
      </c>
      <c r="D458" s="1156">
        <f t="shared" si="119"/>
        <v>1263.906390079519</v>
      </c>
      <c r="E458" s="1156">
        <f t="shared" si="120"/>
        <v>17373.361367042369</v>
      </c>
      <c r="F458" s="1156">
        <f t="shared" si="121"/>
        <v>-838.49971198616026</v>
      </c>
      <c r="G458" s="1156">
        <f t="shared" si="122"/>
        <v>1493.541946125476</v>
      </c>
      <c r="H458" s="827">
        <v>85</v>
      </c>
      <c r="I458" s="1157">
        <f>'Emission-Waste Transport Vehicl'!N53</f>
        <v>21.941507697120006</v>
      </c>
      <c r="J458" s="1157">
        <f>'Emission-Waste Transport Vehicl'!P53</f>
        <v>12.207889314720003</v>
      </c>
      <c r="K458" s="1157">
        <f>'Emission-Waste Transport Vehicl'!Q53</f>
        <v>9.4809901190400012</v>
      </c>
      <c r="L458" s="1157">
        <f>'Emission-Waste Transport Vehicl'!R53</f>
        <v>0.9436408660800002</v>
      </c>
      <c r="M458" s="1159">
        <f t="shared" si="123"/>
        <v>253978.58472887662</v>
      </c>
      <c r="N458" s="1159">
        <f t="shared" si="109"/>
        <v>27732.011786368927</v>
      </c>
      <c r="O458" s="1159">
        <f t="shared" si="110"/>
        <v>212092.07259348585</v>
      </c>
      <c r="P458" s="1159">
        <f t="shared" si="111"/>
        <v>-7949.8074841586722</v>
      </c>
      <c r="Q458" s="1159">
        <f t="shared" si="112"/>
        <v>1409.3672155686531</v>
      </c>
      <c r="R458" s="2773"/>
    </row>
    <row r="459" spans="1:18" x14ac:dyDescent="0.25">
      <c r="A459" s="2862"/>
      <c r="B459" s="706">
        <v>2040</v>
      </c>
      <c r="C459" s="1134">
        <f t="shared" si="118"/>
        <v>2987983.3497514897</v>
      </c>
      <c r="D459" s="1156">
        <f t="shared" si="119"/>
        <v>1263.906390079519</v>
      </c>
      <c r="E459" s="1156">
        <f t="shared" si="120"/>
        <v>17373.361367042369</v>
      </c>
      <c r="F459" s="1156">
        <f t="shared" si="121"/>
        <v>-838.49971198616026</v>
      </c>
      <c r="G459" s="1156">
        <f t="shared" si="122"/>
        <v>1493.541946125476</v>
      </c>
      <c r="H459" s="827">
        <v>86</v>
      </c>
      <c r="I459" s="1157">
        <f>'Emission-Waste Transport Vehicl'!N54</f>
        <v>21.511154202912003</v>
      </c>
      <c r="J459" s="1157">
        <f>'Emission-Waste Transport Vehicl'!P54</f>
        <v>11.968447800672001</v>
      </c>
      <c r="K459" s="1157">
        <f>'Emission-Waste Transport Vehicl'!Q54</f>
        <v>9.2950331063040004</v>
      </c>
      <c r="L459" s="1157">
        <f>'Emission-Waste Transport Vehicl'!R54</f>
        <v>0.92513260540800013</v>
      </c>
      <c r="M459" s="1159">
        <f t="shared" si="123"/>
        <v>256966.5680786281</v>
      </c>
      <c r="N459" s="1159">
        <f t="shared" si="109"/>
        <v>27188.085255046382</v>
      </c>
      <c r="O459" s="1159">
        <f t="shared" si="110"/>
        <v>207932.16864365817</v>
      </c>
      <c r="P459" s="1159">
        <f t="shared" si="111"/>
        <v>-7793.8825825377289</v>
      </c>
      <c r="Q459" s="1159">
        <f t="shared" si="112"/>
        <v>1381.7243519051965</v>
      </c>
      <c r="R459" s="2773"/>
    </row>
    <row r="460" spans="1:18" x14ac:dyDescent="0.25">
      <c r="A460" s="2862"/>
      <c r="B460" s="706">
        <v>2041</v>
      </c>
      <c r="C460" s="1134">
        <f t="shared" si="118"/>
        <v>2987983.3497514897</v>
      </c>
      <c r="D460" s="1156">
        <f t="shared" si="119"/>
        <v>1263.906390079519</v>
      </c>
      <c r="E460" s="1156">
        <f t="shared" si="120"/>
        <v>17373.361367042369</v>
      </c>
      <c r="F460" s="1156">
        <f t="shared" si="121"/>
        <v>-838.49971198616026</v>
      </c>
      <c r="G460" s="1156">
        <f t="shared" si="122"/>
        <v>1493.541946125476</v>
      </c>
      <c r="H460" s="827">
        <v>87</v>
      </c>
      <c r="I460" s="1157">
        <f>'Emission-Waste Transport Vehicl'!N55</f>
        <v>21.087321216192002</v>
      </c>
      <c r="J460" s="1157">
        <f>'Emission-Waste Transport Vehicl'!P55</f>
        <v>11.732634188352002</v>
      </c>
      <c r="K460" s="1157">
        <f>'Emission-Waste Transport Vehicl'!Q55</f>
        <v>9.1118936240640007</v>
      </c>
      <c r="L460" s="1157">
        <f>'Emission-Waste Transport Vehicl'!R55</f>
        <v>0.9069047729280002</v>
      </c>
      <c r="M460" s="1159">
        <f t="shared" si="123"/>
        <v>259954.55142837961</v>
      </c>
      <c r="N460" s="1159">
        <f t="shared" si="109"/>
        <v>26652.400034804486</v>
      </c>
      <c r="O460" s="1159">
        <f t="shared" si="110"/>
        <v>203835.29354155518</v>
      </c>
      <c r="P460" s="1159">
        <f t="shared" si="111"/>
        <v>-7640.320179426195</v>
      </c>
      <c r="Q460" s="1159">
        <f t="shared" si="112"/>
        <v>1354.5003195093684</v>
      </c>
      <c r="R460" s="2773"/>
    </row>
    <row r="461" spans="1:18" x14ac:dyDescent="0.25">
      <c r="A461" s="2862"/>
      <c r="B461" s="706">
        <v>2042</v>
      </c>
      <c r="C461" s="1134">
        <f t="shared" si="118"/>
        <v>2987983.3497514897</v>
      </c>
      <c r="D461" s="1156">
        <f t="shared" si="119"/>
        <v>1263.906390079519</v>
      </c>
      <c r="E461" s="1156">
        <f t="shared" si="120"/>
        <v>17373.361367042369</v>
      </c>
      <c r="F461" s="1156">
        <f t="shared" si="121"/>
        <v>-838.49971198616026</v>
      </c>
      <c r="G461" s="1156">
        <f t="shared" si="122"/>
        <v>1493.541946125476</v>
      </c>
      <c r="H461" s="827">
        <v>88</v>
      </c>
      <c r="I461" s="1157">
        <f>'Emission-Waste Transport Vehicl'!N56</f>
        <v>20.676529244448002</v>
      </c>
      <c r="J461" s="1157">
        <f>'Emission-Waste Transport Vehicl'!P56</f>
        <v>11.504076379488001</v>
      </c>
      <c r="K461" s="1157">
        <f>'Emission-Waste Transport Vehicl'!Q56</f>
        <v>8.9343892028159999</v>
      </c>
      <c r="L461" s="1157">
        <f>'Emission-Waste Transport Vehicl'!R56</f>
        <v>0.8892377968320001</v>
      </c>
      <c r="M461" s="1159">
        <f t="shared" si="123"/>
        <v>262942.53477813111</v>
      </c>
      <c r="N461" s="1159">
        <f t="shared" si="109"/>
        <v>26133.19743672388</v>
      </c>
      <c r="O461" s="1159">
        <f t="shared" si="110"/>
        <v>199864.47613490149</v>
      </c>
      <c r="P461" s="1159">
        <f t="shared" si="111"/>
        <v>-7491.482773333476</v>
      </c>
      <c r="Q461" s="1159">
        <f t="shared" si="112"/>
        <v>1328.1139496487961</v>
      </c>
      <c r="R461" s="2773"/>
    </row>
    <row r="462" spans="1:18" x14ac:dyDescent="0.25">
      <c r="A462" s="2862"/>
      <c r="B462" s="706">
        <v>2043</v>
      </c>
      <c r="C462" s="1134">
        <f t="shared" si="118"/>
        <v>2987983.3497514897</v>
      </c>
      <c r="D462" s="1156">
        <f t="shared" si="119"/>
        <v>1263.906390079519</v>
      </c>
      <c r="E462" s="1156">
        <f t="shared" si="120"/>
        <v>17373.361367042369</v>
      </c>
      <c r="F462" s="1156">
        <f t="shared" si="121"/>
        <v>-838.49971198616026</v>
      </c>
      <c r="G462" s="1156">
        <f t="shared" si="122"/>
        <v>1493.541946125476</v>
      </c>
      <c r="H462" s="827">
        <v>89</v>
      </c>
      <c r="I462" s="1157">
        <f>'Emission-Waste Transport Vehicl'!N57</f>
        <v>20.268997526448004</v>
      </c>
      <c r="J462" s="1157">
        <f>'Emission-Waste Transport Vehicl'!P57</f>
        <v>11.277332521488001</v>
      </c>
      <c r="K462" s="1157">
        <f>'Emission-Waste Transport Vehicl'!Q57</f>
        <v>8.7582935468160006</v>
      </c>
      <c r="L462" s="1157">
        <f>'Emission-Waste Transport Vehicl'!R57</f>
        <v>0.87171103483200019</v>
      </c>
      <c r="M462" s="1159">
        <f t="shared" si="123"/>
        <v>265930.51812788256</v>
      </c>
      <c r="N462" s="1159">
        <f t="shared" si="109"/>
        <v>25618.115494183596</v>
      </c>
      <c r="O462" s="1159">
        <f t="shared" si="110"/>
        <v>195925.17315211013</v>
      </c>
      <c r="P462" s="1159">
        <f t="shared" si="111"/>
        <v>-7343.826616495463</v>
      </c>
      <c r="Q462" s="1159">
        <f t="shared" si="112"/>
        <v>1301.9369954220381</v>
      </c>
      <c r="R462" s="2773"/>
    </row>
    <row r="463" spans="1:18" x14ac:dyDescent="0.25">
      <c r="A463" s="2862"/>
      <c r="B463" s="706">
        <v>2044</v>
      </c>
      <c r="C463" s="1134">
        <f t="shared" si="118"/>
        <v>2987983.3497514897</v>
      </c>
      <c r="D463" s="1156">
        <f t="shared" si="119"/>
        <v>1263.906390079519</v>
      </c>
      <c r="E463" s="1156">
        <f t="shared" si="120"/>
        <v>17373.361367042369</v>
      </c>
      <c r="F463" s="1156">
        <f t="shared" si="121"/>
        <v>-838.49971198616026</v>
      </c>
      <c r="G463" s="1156">
        <f t="shared" si="122"/>
        <v>1493.541946125476</v>
      </c>
      <c r="H463" s="827">
        <v>90</v>
      </c>
      <c r="I463" s="1157">
        <f>'Emission-Waste Transport Vehicl'!N58</f>
        <v>19.871246569680004</v>
      </c>
      <c r="J463" s="1157">
        <f>'Emission-Waste Transport Vehicl'!P58</f>
        <v>11.056030516080002</v>
      </c>
      <c r="K463" s="1157">
        <f>'Emission-Waste Transport Vehicl'!Q58</f>
        <v>8.5864241865600004</v>
      </c>
      <c r="L463" s="1157">
        <f>'Emission-Waste Transport Vehicl'!R58</f>
        <v>0.85460491512000014</v>
      </c>
      <c r="M463" s="1159">
        <f t="shared" si="123"/>
        <v>268918.50147763407</v>
      </c>
      <c r="N463" s="1159">
        <f t="shared" si="109"/>
        <v>25115.395518264279</v>
      </c>
      <c r="O463" s="1159">
        <f t="shared" si="110"/>
        <v>192080.4134409058</v>
      </c>
      <c r="P463" s="1159">
        <f t="shared" si="111"/>
        <v>-7199.7142074215608</v>
      </c>
      <c r="Q463" s="1159">
        <f t="shared" si="112"/>
        <v>1276.3882880967221</v>
      </c>
      <c r="R463" s="2773"/>
    </row>
    <row r="464" spans="1:18" x14ac:dyDescent="0.25">
      <c r="A464" s="2862"/>
      <c r="B464" s="706">
        <v>2045</v>
      </c>
      <c r="C464" s="1134">
        <f t="shared" si="118"/>
        <v>2987983.3497514897</v>
      </c>
      <c r="D464" s="1156">
        <f t="shared" si="119"/>
        <v>1263.906390079519</v>
      </c>
      <c r="E464" s="1156">
        <f t="shared" si="120"/>
        <v>17373.361367042369</v>
      </c>
      <c r="F464" s="1156">
        <f t="shared" si="121"/>
        <v>-838.49971198616026</v>
      </c>
      <c r="G464" s="1156">
        <f t="shared" si="122"/>
        <v>1493.541946125476</v>
      </c>
      <c r="H464" s="827">
        <v>92</v>
      </c>
      <c r="I464" s="1157">
        <f>'Emission-Waste Transport Vehicl'!N59</f>
        <v>19.483276374144001</v>
      </c>
      <c r="J464" s="1157">
        <f>'Emission-Waste Transport Vehicl'!P59</f>
        <v>10.840170363264003</v>
      </c>
      <c r="K464" s="1157">
        <f>'Emission-Waste Transport Vehicl'!Q59</f>
        <v>8.4187811220480011</v>
      </c>
      <c r="L464" s="1157">
        <f>'Emission-Waste Transport Vehicl'!R59</f>
        <v>0.83791943769600008</v>
      </c>
      <c r="M464" s="1159">
        <f t="shared" si="123"/>
        <v>274894.46817713702</v>
      </c>
      <c r="N464" s="1159">
        <f t="shared" ref="N464:N527" si="124">D464*I464</f>
        <v>24625.037508965925</v>
      </c>
      <c r="O464" s="1159">
        <f t="shared" ref="O464:O527" si="125">E464*J464</f>
        <v>188330.19700128847</v>
      </c>
      <c r="P464" s="1159">
        <f t="shared" ref="P464:P527" si="126">F464*K464</f>
        <v>-7059.1455461117721</v>
      </c>
      <c r="Q464" s="1159">
        <f t="shared" ref="Q464:Q527" si="127">G464*L464</f>
        <v>1251.4678276728484</v>
      </c>
      <c r="R464" s="2773"/>
    </row>
    <row r="465" spans="1:18" x14ac:dyDescent="0.25">
      <c r="A465" s="2862"/>
      <c r="B465" s="706">
        <v>2046</v>
      </c>
      <c r="C465" s="1134">
        <f t="shared" si="118"/>
        <v>2987983.3497514897</v>
      </c>
      <c r="D465" s="1156">
        <f t="shared" si="119"/>
        <v>1263.906390079519</v>
      </c>
      <c r="E465" s="1156">
        <f t="shared" si="120"/>
        <v>17373.361367042369</v>
      </c>
      <c r="F465" s="1156">
        <f t="shared" si="121"/>
        <v>-838.49971198616026</v>
      </c>
      <c r="G465" s="1156">
        <f t="shared" si="122"/>
        <v>1493.541946125476</v>
      </c>
      <c r="H465" s="827">
        <v>93</v>
      </c>
      <c r="I465" s="1157">
        <f>'Emission-Waste Transport Vehicl'!N60</f>
        <v>19.101826686096</v>
      </c>
      <c r="J465" s="1157">
        <f>'Emission-Waste Transport Vehicl'!P60</f>
        <v>10.627938112176002</v>
      </c>
      <c r="K465" s="1157">
        <f>'Emission-Waste Transport Vehicl'!Q60</f>
        <v>8.2539555880319995</v>
      </c>
      <c r="L465" s="1157">
        <f>'Emission-Waste Transport Vehicl'!R60</f>
        <v>0.82151438846400004</v>
      </c>
      <c r="M465" s="1159">
        <f t="shared" si="123"/>
        <v>277882.45152688853</v>
      </c>
      <c r="N465" s="1159">
        <f t="shared" si="124"/>
        <v>24142.920810748219</v>
      </c>
      <c r="O465" s="1159">
        <f t="shared" si="125"/>
        <v>184643.00940939577</v>
      </c>
      <c r="P465" s="1159">
        <f t="shared" si="126"/>
        <v>-6920.93938331139</v>
      </c>
      <c r="Q465" s="1159">
        <f t="shared" si="127"/>
        <v>1226.9661985166028</v>
      </c>
      <c r="R465" s="2773"/>
    </row>
    <row r="466" spans="1:18" x14ac:dyDescent="0.25">
      <c r="A466" s="2862"/>
      <c r="B466" s="706">
        <v>2047</v>
      </c>
      <c r="C466" s="1134">
        <f t="shared" si="118"/>
        <v>2987983.3497514897</v>
      </c>
      <c r="D466" s="1156">
        <f t="shared" si="119"/>
        <v>1263.906390079519</v>
      </c>
      <c r="E466" s="1156">
        <f t="shared" si="120"/>
        <v>17373.361367042369</v>
      </c>
      <c r="F466" s="1156">
        <f t="shared" si="121"/>
        <v>-838.49971198616026</v>
      </c>
      <c r="G466" s="1156">
        <f t="shared" si="122"/>
        <v>1493.541946125476</v>
      </c>
      <c r="H466" s="827">
        <v>94</v>
      </c>
      <c r="I466" s="1157">
        <f>'Emission-Waste Transport Vehicl'!N61</f>
        <v>18.726897505536005</v>
      </c>
      <c r="J466" s="1157">
        <f>'Emission-Waste Transport Vehicl'!P61</f>
        <v>10.419333762816001</v>
      </c>
      <c r="K466" s="1157">
        <f>'Emission-Waste Transport Vehicl'!Q61</f>
        <v>8.0919475845120008</v>
      </c>
      <c r="L466" s="1157">
        <f>'Emission-Waste Transport Vehicl'!R61</f>
        <v>0.80538976742400015</v>
      </c>
      <c r="M466" s="1159">
        <f t="shared" si="123"/>
        <v>280870.43487664004</v>
      </c>
      <c r="N466" s="1159">
        <f t="shared" si="124"/>
        <v>23669.045423611162</v>
      </c>
      <c r="O466" s="1159">
        <f t="shared" si="125"/>
        <v>181018.85066522771</v>
      </c>
      <c r="P466" s="1159">
        <f t="shared" si="126"/>
        <v>-6785.0957190204181</v>
      </c>
      <c r="Q466" s="1159">
        <f t="shared" si="127"/>
        <v>1202.8834006279856</v>
      </c>
      <c r="R466" s="2773"/>
    </row>
    <row r="467" spans="1:18" x14ac:dyDescent="0.25">
      <c r="A467" s="2862"/>
      <c r="B467" s="706">
        <v>2048</v>
      </c>
      <c r="C467" s="1134">
        <f t="shared" si="118"/>
        <v>2987983.3497514897</v>
      </c>
      <c r="D467" s="1156">
        <f t="shared" si="119"/>
        <v>1263.906390079519</v>
      </c>
      <c r="E467" s="1156">
        <f t="shared" si="120"/>
        <v>17373.361367042369</v>
      </c>
      <c r="F467" s="1156">
        <f t="shared" si="121"/>
        <v>-838.49971198616026</v>
      </c>
      <c r="G467" s="1156">
        <f t="shared" si="122"/>
        <v>1493.541946125476</v>
      </c>
      <c r="H467" s="827">
        <v>95</v>
      </c>
      <c r="I467" s="1157">
        <f>'Emission-Waste Transport Vehicl'!N62</f>
        <v>18.358488832464005</v>
      </c>
      <c r="J467" s="1157">
        <f>'Emission-Waste Transport Vehicl'!P62</f>
        <v>10.214357315184001</v>
      </c>
      <c r="K467" s="1157">
        <f>'Emission-Waste Transport Vehicl'!Q62</f>
        <v>7.9327571114880007</v>
      </c>
      <c r="L467" s="1157">
        <f>'Emission-Waste Transport Vehicl'!R62</f>
        <v>0.78954557457600016</v>
      </c>
      <c r="M467" s="1159">
        <f t="shared" si="123"/>
        <v>283858.41822639154</v>
      </c>
      <c r="N467" s="1159">
        <f t="shared" si="124"/>
        <v>23203.411347554746</v>
      </c>
      <c r="O467" s="1159">
        <f t="shared" si="125"/>
        <v>177457.72076878435</v>
      </c>
      <c r="P467" s="1159">
        <f t="shared" si="126"/>
        <v>-6651.6145532388527</v>
      </c>
      <c r="Q467" s="1159">
        <f t="shared" si="127"/>
        <v>1179.2194340069964</v>
      </c>
      <c r="R467" s="2773"/>
    </row>
    <row r="468" spans="1:18" x14ac:dyDescent="0.25">
      <c r="A468" s="2862"/>
      <c r="B468" s="706">
        <v>2049</v>
      </c>
      <c r="C468" s="1134">
        <f t="shared" si="118"/>
        <v>2987983.3497514897</v>
      </c>
      <c r="D468" s="1156">
        <f t="shared" si="119"/>
        <v>1263.906390079519</v>
      </c>
      <c r="E468" s="1156">
        <f t="shared" si="120"/>
        <v>17373.361367042369</v>
      </c>
      <c r="F468" s="1156">
        <f t="shared" si="121"/>
        <v>-838.49971198616026</v>
      </c>
      <c r="G468" s="1156">
        <f t="shared" si="122"/>
        <v>1493.541946125476</v>
      </c>
      <c r="H468" s="827">
        <v>96</v>
      </c>
      <c r="I468" s="1157">
        <f>'Emission-Waste Transport Vehicl'!N63</f>
        <v>17.999860920624005</v>
      </c>
      <c r="J468" s="1157">
        <f>'Emission-Waste Transport Vehicl'!P63</f>
        <v>10.014822720144002</v>
      </c>
      <c r="K468" s="1157">
        <f>'Emission-Waste Transport Vehicl'!Q63</f>
        <v>7.7777929342080014</v>
      </c>
      <c r="L468" s="1157">
        <f>'Emission-Waste Transport Vehicl'!R63</f>
        <v>0.77412202401600017</v>
      </c>
      <c r="M468" s="1159">
        <f t="shared" si="123"/>
        <v>286846.40157614299</v>
      </c>
      <c r="N468" s="1159">
        <f t="shared" si="124"/>
        <v>22750.139238119296</v>
      </c>
      <c r="O468" s="1159">
        <f t="shared" si="125"/>
        <v>173991.13414392798</v>
      </c>
      <c r="P468" s="1159">
        <f t="shared" si="126"/>
        <v>-6521.6771352214018</v>
      </c>
      <c r="Q468" s="1159">
        <f t="shared" si="127"/>
        <v>1156.1837142874494</v>
      </c>
      <c r="R468" s="2773"/>
    </row>
    <row r="469" spans="1:18" x14ac:dyDescent="0.25">
      <c r="A469" s="2862"/>
      <c r="B469" s="706">
        <v>2050</v>
      </c>
      <c r="C469" s="1134">
        <f t="shared" si="118"/>
        <v>2987983.3497514897</v>
      </c>
      <c r="D469" s="1156">
        <f t="shared" si="119"/>
        <v>1263.906390079519</v>
      </c>
      <c r="E469" s="1156">
        <f t="shared" si="120"/>
        <v>17373.361367042369</v>
      </c>
      <c r="F469" s="1156">
        <f t="shared" si="121"/>
        <v>-838.49971198616026</v>
      </c>
      <c r="G469" s="1156">
        <f t="shared" si="122"/>
        <v>1493.541946125476</v>
      </c>
      <c r="H469" s="827">
        <v>97</v>
      </c>
      <c r="I469" s="1157">
        <f>'Emission-Waste Transport Vehicl'!N64</f>
        <v>17.644493262528005</v>
      </c>
      <c r="J469" s="1157">
        <f>'Emission-Waste Transport Vehicl'!P64</f>
        <v>9.8171020759680019</v>
      </c>
      <c r="K469" s="1157">
        <f>'Emission-Waste Transport Vehicl'!Q64</f>
        <v>7.624237522176001</v>
      </c>
      <c r="L469" s="1157">
        <f>'Emission-Waste Transport Vehicl'!R64</f>
        <v>0.75883868755200012</v>
      </c>
      <c r="M469" s="1159">
        <f t="shared" si="123"/>
        <v>289834.3849258945</v>
      </c>
      <c r="N469" s="1159">
        <f t="shared" si="124"/>
        <v>22300.987784224166</v>
      </c>
      <c r="O469" s="1159">
        <f t="shared" si="125"/>
        <v>170556.06194293391</v>
      </c>
      <c r="P469" s="1159">
        <f t="shared" si="126"/>
        <v>-6392.9209664586533</v>
      </c>
      <c r="Q469" s="1159">
        <f t="shared" si="127"/>
        <v>1133.3574102017162</v>
      </c>
      <c r="R469" s="2773"/>
    </row>
    <row r="470" spans="1:18" x14ac:dyDescent="0.25">
      <c r="A470" s="2862"/>
      <c r="B470" s="706">
        <v>2051</v>
      </c>
      <c r="C470" s="1134">
        <f t="shared" ref="C470:C488" si="128">$S$20</f>
        <v>2987983.3497514897</v>
      </c>
      <c r="D470" s="1156">
        <f t="shared" ref="D470:D488" si="129">$T$20</f>
        <v>1263.906390079519</v>
      </c>
      <c r="E470" s="1156">
        <f t="shared" ref="E470:E488" si="130">$R$20</f>
        <v>17373.361367042369</v>
      </c>
      <c r="F470" s="1156">
        <f t="shared" ref="F470:F488" si="131">$V$20</f>
        <v>-838.49971198616026</v>
      </c>
      <c r="G470" s="1156">
        <f t="shared" ref="G470:G488" si="132">$U$20</f>
        <v>1493.541946125476</v>
      </c>
      <c r="H470" s="827">
        <v>97</v>
      </c>
      <c r="I470" s="1157">
        <f>'Emission-Waste Transport Vehicl'!N65</f>
        <v>17.298906365664003</v>
      </c>
      <c r="J470" s="1157">
        <f>'Emission-Waste Transport Vehicl'!P65</f>
        <v>9.624823284384</v>
      </c>
      <c r="K470" s="1157">
        <f>'Emission-Waste Transport Vehicl'!Q65</f>
        <v>7.4749084058879998</v>
      </c>
      <c r="L470" s="1157">
        <f>'Emission-Waste Transport Vehicl'!R65</f>
        <v>0.74397599337600007</v>
      </c>
      <c r="M470" s="1159">
        <f t="shared" si="123"/>
        <v>289834.3849258945</v>
      </c>
      <c r="N470" s="1159">
        <f t="shared" si="124"/>
        <v>21864.198296950002</v>
      </c>
      <c r="O470" s="1159">
        <f t="shared" si="125"/>
        <v>167215.53301352685</v>
      </c>
      <c r="P470" s="1159">
        <f t="shared" si="126"/>
        <v>-6267.7085454600165</v>
      </c>
      <c r="Q470" s="1159">
        <f t="shared" si="127"/>
        <v>1111.1593530174255</v>
      </c>
      <c r="R470" s="2773"/>
    </row>
    <row r="471" spans="1:18" x14ac:dyDescent="0.25">
      <c r="A471" s="2862"/>
      <c r="B471" s="706">
        <v>2052</v>
      </c>
      <c r="C471" s="1134">
        <f t="shared" si="128"/>
        <v>2987983.3497514897</v>
      </c>
      <c r="D471" s="1156">
        <f t="shared" si="129"/>
        <v>1263.906390079519</v>
      </c>
      <c r="E471" s="1156">
        <f t="shared" si="130"/>
        <v>17373.361367042369</v>
      </c>
      <c r="F471" s="1156">
        <f t="shared" si="131"/>
        <v>-838.49971198616026</v>
      </c>
      <c r="G471" s="1156">
        <f t="shared" si="132"/>
        <v>1493.541946125476</v>
      </c>
      <c r="H471" s="827">
        <v>97</v>
      </c>
      <c r="I471" s="1157">
        <f>'Emission-Waste Transport Vehicl'!N66</f>
        <v>16.959839976288002</v>
      </c>
      <c r="J471" s="1157">
        <f>'Emission-Waste Transport Vehicl'!P66</f>
        <v>9.4361723945280005</v>
      </c>
      <c r="K471" s="1157">
        <f>'Emission-Waste Transport Vehicl'!Q66</f>
        <v>7.3283968200960006</v>
      </c>
      <c r="L471" s="1157">
        <f>'Emission-Waste Transport Vehicl'!R66</f>
        <v>0.72939372739200004</v>
      </c>
      <c r="M471" s="1159">
        <f t="shared" si="123"/>
        <v>289834.3849258945</v>
      </c>
      <c r="N471" s="1159">
        <f t="shared" si="124"/>
        <v>21435.650120756483</v>
      </c>
      <c r="O471" s="1159">
        <f t="shared" si="125"/>
        <v>163938.03293184444</v>
      </c>
      <c r="P471" s="1159">
        <f t="shared" si="126"/>
        <v>-6144.8586229707889</v>
      </c>
      <c r="Q471" s="1159">
        <f t="shared" si="127"/>
        <v>1089.3801271007626</v>
      </c>
      <c r="R471" s="2773"/>
    </row>
    <row r="472" spans="1:18" x14ac:dyDescent="0.25">
      <c r="A472" s="2862"/>
      <c r="B472" s="706">
        <v>2053</v>
      </c>
      <c r="C472" s="1134">
        <f t="shared" si="128"/>
        <v>2987983.3497514897</v>
      </c>
      <c r="D472" s="1156">
        <f t="shared" si="129"/>
        <v>1263.906390079519</v>
      </c>
      <c r="E472" s="1156">
        <f t="shared" si="130"/>
        <v>17373.361367042369</v>
      </c>
      <c r="F472" s="1156">
        <f t="shared" si="131"/>
        <v>-838.49971198616026</v>
      </c>
      <c r="G472" s="1156">
        <f t="shared" si="132"/>
        <v>1493.541946125476</v>
      </c>
      <c r="H472" s="827">
        <v>97</v>
      </c>
      <c r="I472" s="1157">
        <f>'Emission-Waste Transport Vehicl'!N67</f>
        <v>15.361506000000002</v>
      </c>
      <c r="J472" s="1157">
        <f>'Emission-Waste Transport Vehicl'!P67</f>
        <v>9.2511494064000015</v>
      </c>
      <c r="K472" s="1157">
        <f>'Emission-Waste Transport Vehicl'!Q67</f>
        <v>7.1847027647999999</v>
      </c>
      <c r="L472" s="1157">
        <f>'Emission-Waste Transport Vehicl'!R67</f>
        <v>0.71509188960000014</v>
      </c>
      <c r="M472" s="1159">
        <f t="shared" si="123"/>
        <v>289834.3849258945</v>
      </c>
      <c r="N472" s="1159">
        <f t="shared" si="124"/>
        <v>19415.505594644874</v>
      </c>
      <c r="O472" s="1159">
        <f t="shared" si="125"/>
        <v>160723.56169788673</v>
      </c>
      <c r="P472" s="1159">
        <f t="shared" si="126"/>
        <v>-6024.3711989909689</v>
      </c>
      <c r="Q472" s="1159">
        <f t="shared" si="127"/>
        <v>1068.0197324517283</v>
      </c>
      <c r="R472" s="2773"/>
    </row>
    <row r="473" spans="1:18" x14ac:dyDescent="0.25">
      <c r="A473" s="2862"/>
      <c r="B473" s="706">
        <v>2054</v>
      </c>
      <c r="C473" s="1134">
        <f t="shared" si="128"/>
        <v>2987983.3497514897</v>
      </c>
      <c r="D473" s="1156">
        <f t="shared" si="129"/>
        <v>1263.906390079519</v>
      </c>
      <c r="E473" s="1156">
        <f t="shared" si="130"/>
        <v>17373.361367042369</v>
      </c>
      <c r="F473" s="1156">
        <f t="shared" si="131"/>
        <v>-838.49971198616026</v>
      </c>
      <c r="G473" s="1156">
        <f t="shared" si="132"/>
        <v>1493.541946125476</v>
      </c>
      <c r="H473" s="827">
        <v>97</v>
      </c>
      <c r="I473" s="1157">
        <f>'Emission-Waste Transport Vehicl'!N68</f>
        <v>16.301268720000003</v>
      </c>
      <c r="J473" s="1157">
        <f>'Emission-Waste Transport Vehicl'!P68</f>
        <v>9.0697543200000013</v>
      </c>
      <c r="K473" s="1157">
        <f>'Emission-Waste Transport Vehicl'!Q68</f>
        <v>7.0438262400000005</v>
      </c>
      <c r="L473" s="1157">
        <f>'Emission-Waste Transport Vehicl'!R68</f>
        <v>0.70107048000000005</v>
      </c>
      <c r="M473" s="1159">
        <f t="shared" si="123"/>
        <v>289834.3849258945</v>
      </c>
      <c r="N473" s="1159">
        <f t="shared" si="124"/>
        <v>20603.277701611387</v>
      </c>
      <c r="O473" s="1159">
        <f t="shared" si="125"/>
        <v>157572.11931165366</v>
      </c>
      <c r="P473" s="1159">
        <f t="shared" si="126"/>
        <v>-5906.2462735205581</v>
      </c>
      <c r="Q473" s="1159">
        <f t="shared" si="127"/>
        <v>1047.0781690703216</v>
      </c>
      <c r="R473" s="2773"/>
    </row>
    <row r="474" spans="1:18" x14ac:dyDescent="0.25">
      <c r="A474" s="2862"/>
      <c r="B474" s="706">
        <v>2055</v>
      </c>
      <c r="C474" s="1134">
        <f t="shared" si="128"/>
        <v>2987983.3497514897</v>
      </c>
      <c r="D474" s="1156">
        <f t="shared" si="129"/>
        <v>1263.906390079519</v>
      </c>
      <c r="E474" s="1156">
        <f t="shared" si="130"/>
        <v>17373.361367042369</v>
      </c>
      <c r="F474" s="1156">
        <f t="shared" si="131"/>
        <v>-838.49971198616026</v>
      </c>
      <c r="G474" s="1156">
        <f t="shared" si="132"/>
        <v>1493.541946125476</v>
      </c>
      <c r="H474" s="827">
        <v>97</v>
      </c>
      <c r="I474" s="1157">
        <f>'Emission-Waste Transport Vehicl'!N69</f>
        <v>15.981763853088003</v>
      </c>
      <c r="J474" s="1157">
        <f>'Emission-Waste Transport Vehicl'!P69</f>
        <v>8.8919871353280016</v>
      </c>
      <c r="K474" s="1157">
        <f>'Emission-Waste Transport Vehicl'!Q69</f>
        <v>6.9057672456960004</v>
      </c>
      <c r="L474" s="1157">
        <f>'Emission-Waste Transport Vehicl'!R69</f>
        <v>0.6873294985920001</v>
      </c>
      <c r="M474" s="1159">
        <f t="shared" si="123"/>
        <v>289834.3849258945</v>
      </c>
      <c r="N474" s="1159">
        <f t="shared" si="124"/>
        <v>20199.453458659802</v>
      </c>
      <c r="O474" s="1159">
        <f t="shared" si="125"/>
        <v>154483.70577314525</v>
      </c>
      <c r="P474" s="1159">
        <f t="shared" si="126"/>
        <v>-5790.4838465595558</v>
      </c>
      <c r="Q474" s="1159">
        <f t="shared" si="127"/>
        <v>1026.5554369565434</v>
      </c>
      <c r="R474" s="2773"/>
    </row>
    <row r="475" spans="1:18" x14ac:dyDescent="0.25">
      <c r="A475" s="2862"/>
      <c r="B475" s="706">
        <v>2056</v>
      </c>
      <c r="C475" s="1134">
        <f t="shared" si="128"/>
        <v>2987983.3497514897</v>
      </c>
      <c r="D475" s="1156">
        <f t="shared" si="129"/>
        <v>1263.906390079519</v>
      </c>
      <c r="E475" s="1156">
        <f t="shared" si="130"/>
        <v>17373.361367042369</v>
      </c>
      <c r="F475" s="1156">
        <f t="shared" si="131"/>
        <v>-838.49971198616026</v>
      </c>
      <c r="G475" s="1156">
        <f t="shared" si="132"/>
        <v>1493.541946125476</v>
      </c>
      <c r="H475" s="827">
        <v>97</v>
      </c>
      <c r="I475" s="1157">
        <f>'Emission-Waste Transport Vehicl'!N70</f>
        <v>15.668779493664003</v>
      </c>
      <c r="J475" s="1157">
        <f>'Emission-Waste Transport Vehicl'!P70</f>
        <v>8.7178478523840006</v>
      </c>
      <c r="K475" s="1157">
        <f>'Emission-Waste Transport Vehicl'!Q70</f>
        <v>6.7705257818880007</v>
      </c>
      <c r="L475" s="1157">
        <f>'Emission-Waste Transport Vehicl'!R70</f>
        <v>0.67386894537600017</v>
      </c>
      <c r="M475" s="1159">
        <f t="shared" si="123"/>
        <v>289834.3849258945</v>
      </c>
      <c r="N475" s="1159">
        <f t="shared" si="124"/>
        <v>19803.870526788865</v>
      </c>
      <c r="O475" s="1159">
        <f t="shared" si="125"/>
        <v>151458.32108236148</v>
      </c>
      <c r="P475" s="1159">
        <f t="shared" si="126"/>
        <v>-5677.0839181079609</v>
      </c>
      <c r="Q475" s="1159">
        <f t="shared" si="127"/>
        <v>1006.4515361103934</v>
      </c>
      <c r="R475" s="2773"/>
    </row>
    <row r="476" spans="1:18" x14ac:dyDescent="0.25">
      <c r="A476" s="2862"/>
      <c r="B476" s="706">
        <v>2057</v>
      </c>
      <c r="C476" s="1134">
        <f t="shared" si="128"/>
        <v>2987983.3497514897</v>
      </c>
      <c r="D476" s="1156">
        <f t="shared" si="129"/>
        <v>1263.906390079519</v>
      </c>
      <c r="E476" s="1156">
        <f t="shared" si="130"/>
        <v>17373.361367042369</v>
      </c>
      <c r="F476" s="1156">
        <f t="shared" si="131"/>
        <v>-838.49971198616026</v>
      </c>
      <c r="G476" s="1156">
        <f t="shared" si="132"/>
        <v>1493.541946125476</v>
      </c>
      <c r="H476" s="827">
        <v>97</v>
      </c>
      <c r="I476" s="1157">
        <f>'Emission-Waste Transport Vehicl'!N71</f>
        <v>15.362315641728001</v>
      </c>
      <c r="J476" s="1157">
        <f>'Emission-Waste Transport Vehicl'!P71</f>
        <v>8.547336471168002</v>
      </c>
      <c r="K476" s="1157">
        <f>'Emission-Waste Transport Vehicl'!Q71</f>
        <v>6.6381018485760004</v>
      </c>
      <c r="L476" s="1157">
        <f>'Emission-Waste Transport Vehicl'!R71</f>
        <v>0.66068882035200005</v>
      </c>
      <c r="M476" s="1159">
        <f t="shared" si="123"/>
        <v>289834.3849258945</v>
      </c>
      <c r="N476" s="1159">
        <f t="shared" si="124"/>
        <v>19416.528905998566</v>
      </c>
      <c r="O476" s="1159">
        <f t="shared" si="125"/>
        <v>148495.96523930243</v>
      </c>
      <c r="P476" s="1159">
        <f t="shared" si="126"/>
        <v>-5566.0464881657745</v>
      </c>
      <c r="Q476" s="1159">
        <f t="shared" si="127"/>
        <v>986.76646653187117</v>
      </c>
      <c r="R476" s="2773"/>
    </row>
    <row r="477" spans="1:18" x14ac:dyDescent="0.25">
      <c r="A477" s="2862"/>
      <c r="B477" s="706">
        <v>2058</v>
      </c>
      <c r="C477" s="1134">
        <f t="shared" si="128"/>
        <v>2987983.3497514897</v>
      </c>
      <c r="D477" s="1156">
        <f t="shared" si="129"/>
        <v>1263.906390079519</v>
      </c>
      <c r="E477" s="1156">
        <f t="shared" si="130"/>
        <v>17373.361367042369</v>
      </c>
      <c r="F477" s="1156">
        <f t="shared" si="131"/>
        <v>-838.49971198616026</v>
      </c>
      <c r="G477" s="1156">
        <f t="shared" si="132"/>
        <v>1493.541946125476</v>
      </c>
      <c r="H477" s="827">
        <v>97</v>
      </c>
      <c r="I477" s="1157">
        <f>'Emission-Waste Transport Vehicl'!N72</f>
        <v>15.059112043536</v>
      </c>
      <c r="J477" s="1157">
        <f>'Emission-Waste Transport Vehicl'!P72</f>
        <v>8.378639040816001</v>
      </c>
      <c r="K477" s="1157">
        <f>'Emission-Waste Transport Vehicl'!Q72</f>
        <v>6.5070866805119998</v>
      </c>
      <c r="L477" s="1157">
        <f>'Emission-Waste Transport Vehicl'!R72</f>
        <v>0.647648909424</v>
      </c>
      <c r="M477" s="1159">
        <f t="shared" si="123"/>
        <v>289834.3849258945</v>
      </c>
      <c r="N477" s="1159">
        <f t="shared" si="124"/>
        <v>19033.307940748597</v>
      </c>
      <c r="O477" s="1159">
        <f t="shared" si="125"/>
        <v>145565.12382010565</v>
      </c>
      <c r="P477" s="1159">
        <f t="shared" si="126"/>
        <v>-5456.1903074782913</v>
      </c>
      <c r="Q477" s="1159">
        <f t="shared" si="127"/>
        <v>967.29081258716303</v>
      </c>
      <c r="R477" s="2773"/>
    </row>
    <row r="478" spans="1:18" x14ac:dyDescent="0.25">
      <c r="A478" s="2862"/>
      <c r="B478" s="706">
        <v>2059</v>
      </c>
      <c r="C478" s="1134">
        <f t="shared" si="128"/>
        <v>2987983.3497514897</v>
      </c>
      <c r="D478" s="1156">
        <f t="shared" si="129"/>
        <v>1263.906390079519</v>
      </c>
      <c r="E478" s="1156">
        <f t="shared" si="130"/>
        <v>17373.361367042369</v>
      </c>
      <c r="F478" s="1156">
        <f t="shared" si="131"/>
        <v>-838.49971198616026</v>
      </c>
      <c r="G478" s="1156">
        <f t="shared" si="132"/>
        <v>1493.541946125476</v>
      </c>
      <c r="H478" s="827">
        <v>97</v>
      </c>
      <c r="I478" s="1157">
        <f>'Emission-Waste Transport Vehicl'!N73</f>
        <v>14.765689206576004</v>
      </c>
      <c r="J478" s="1157">
        <f>'Emission-Waste Transport Vehicl'!P73</f>
        <v>8.2153834630560016</v>
      </c>
      <c r="K478" s="1157">
        <f>'Emission-Waste Transport Vehicl'!Q73</f>
        <v>6.380297808192001</v>
      </c>
      <c r="L478" s="1157">
        <f>'Emission-Waste Transport Vehicl'!R73</f>
        <v>0.63502964078400004</v>
      </c>
      <c r="M478" s="1159">
        <f t="shared" si="123"/>
        <v>289834.3849258945</v>
      </c>
      <c r="N478" s="1159">
        <f t="shared" si="124"/>
        <v>18662.448942119594</v>
      </c>
      <c r="O478" s="1159">
        <f t="shared" si="125"/>
        <v>142728.82567249588</v>
      </c>
      <c r="P478" s="1159">
        <f t="shared" si="126"/>
        <v>-5349.8778745549225</v>
      </c>
      <c r="Q478" s="1159">
        <f t="shared" si="127"/>
        <v>948.44340554389737</v>
      </c>
      <c r="R478" s="2773"/>
    </row>
    <row r="479" spans="1:18" x14ac:dyDescent="0.25">
      <c r="A479" s="2862"/>
      <c r="B479" s="706">
        <v>2060</v>
      </c>
      <c r="C479" s="1134">
        <f t="shared" si="128"/>
        <v>2987983.3497514897</v>
      </c>
      <c r="D479" s="1156">
        <f t="shared" si="129"/>
        <v>1263.906390079519</v>
      </c>
      <c r="E479" s="1156">
        <f t="shared" si="130"/>
        <v>17373.361367042369</v>
      </c>
      <c r="F479" s="1156">
        <f t="shared" si="131"/>
        <v>-838.49971198616026</v>
      </c>
      <c r="G479" s="1156">
        <f t="shared" si="132"/>
        <v>1493.541946125476</v>
      </c>
      <c r="H479" s="827">
        <v>97</v>
      </c>
      <c r="I479" s="1157">
        <f>'Emission-Waste Transport Vehicl'!N74</f>
        <v>14.475526623360002</v>
      </c>
      <c r="J479" s="1157">
        <f>'Emission-Waste Transport Vehicl'!P74</f>
        <v>8.0539418361599999</v>
      </c>
      <c r="K479" s="1157">
        <f>'Emission-Waste Transport Vehicl'!Q74</f>
        <v>6.2549177011200001</v>
      </c>
      <c r="L479" s="1157">
        <f>'Emission-Waste Transport Vehicl'!R74</f>
        <v>0.62255058624000004</v>
      </c>
      <c r="M479" s="1159">
        <f t="shared" si="123"/>
        <v>289834.3849258945</v>
      </c>
      <c r="N479" s="1159">
        <f t="shared" si="124"/>
        <v>18295.71059903091</v>
      </c>
      <c r="O479" s="1159">
        <f t="shared" si="125"/>
        <v>139924.04194874843</v>
      </c>
      <c r="P479" s="1159">
        <f t="shared" si="126"/>
        <v>-5244.7466908862561</v>
      </c>
      <c r="Q479" s="1159">
        <f t="shared" si="127"/>
        <v>929.80541413444564</v>
      </c>
      <c r="R479" s="2773"/>
    </row>
    <row r="480" spans="1:18" x14ac:dyDescent="0.25">
      <c r="A480" s="2862"/>
      <c r="B480" s="706">
        <v>2061</v>
      </c>
      <c r="C480" s="1134">
        <f t="shared" si="128"/>
        <v>2987983.3497514897</v>
      </c>
      <c r="D480" s="1156">
        <f t="shared" si="129"/>
        <v>1263.906390079519</v>
      </c>
      <c r="E480" s="1156">
        <f t="shared" si="130"/>
        <v>17373.361367042369</v>
      </c>
      <c r="F480" s="1156">
        <f t="shared" si="131"/>
        <v>-838.49971198616026</v>
      </c>
      <c r="G480" s="1156">
        <f t="shared" si="132"/>
        <v>1493.541946125476</v>
      </c>
      <c r="H480" s="827">
        <v>97</v>
      </c>
      <c r="I480" s="1157">
        <f>'Emission-Waste Transport Vehicl'!N75</f>
        <v>14.191884547632004</v>
      </c>
      <c r="J480" s="1157">
        <f>'Emission-Waste Transport Vehicl'!P75</f>
        <v>7.8961281109920014</v>
      </c>
      <c r="K480" s="1157">
        <f>'Emission-Waste Transport Vehicl'!Q75</f>
        <v>6.1323551245440004</v>
      </c>
      <c r="L480" s="1157">
        <f>'Emission-Waste Transport Vehicl'!R75</f>
        <v>0.61035195988800006</v>
      </c>
      <c r="M480" s="1159">
        <f t="shared" si="123"/>
        <v>289834.3849258945</v>
      </c>
      <c r="N480" s="1159">
        <f t="shared" si="124"/>
        <v>17937.213567022874</v>
      </c>
      <c r="O480" s="1159">
        <f t="shared" si="125"/>
        <v>137182.28707272568</v>
      </c>
      <c r="P480" s="1159">
        <f t="shared" si="126"/>
        <v>-5141.9780057269982</v>
      </c>
      <c r="Q480" s="1159">
        <f t="shared" si="127"/>
        <v>911.58625399262212</v>
      </c>
      <c r="R480" s="2773"/>
    </row>
    <row r="481" spans="1:18" x14ac:dyDescent="0.25">
      <c r="A481" s="2862"/>
      <c r="B481" s="706">
        <v>2062</v>
      </c>
      <c r="C481" s="1134">
        <f t="shared" si="128"/>
        <v>2987983.3497514897</v>
      </c>
      <c r="D481" s="1156">
        <f t="shared" si="129"/>
        <v>1263.906390079519</v>
      </c>
      <c r="E481" s="1156">
        <f t="shared" si="130"/>
        <v>17373.361367042369</v>
      </c>
      <c r="F481" s="1156">
        <f t="shared" si="131"/>
        <v>-838.49971198616026</v>
      </c>
      <c r="G481" s="1156">
        <f t="shared" si="132"/>
        <v>1493.541946125476</v>
      </c>
      <c r="H481" s="827">
        <v>97</v>
      </c>
      <c r="I481" s="1157">
        <f>'Emission-Waste Transport Vehicl'!N76</f>
        <v>13.914762979392002</v>
      </c>
      <c r="J481" s="1157">
        <f>'Emission-Waste Transport Vehicl'!P76</f>
        <v>7.7419422875520008</v>
      </c>
      <c r="K481" s="1157">
        <f>'Emission-Waste Transport Vehicl'!Q76</f>
        <v>6.0126100784640002</v>
      </c>
      <c r="L481" s="1157">
        <f>'Emission-Waste Transport Vehicl'!R76</f>
        <v>0.59843376172800011</v>
      </c>
      <c r="M481" s="1159">
        <f t="shared" si="123"/>
        <v>289834.3849258945</v>
      </c>
      <c r="N481" s="1159">
        <f t="shared" si="124"/>
        <v>17586.957846095476</v>
      </c>
      <c r="O481" s="1159">
        <f t="shared" si="125"/>
        <v>134503.56104442757</v>
      </c>
      <c r="P481" s="1159">
        <f t="shared" si="126"/>
        <v>-5041.5718190771486</v>
      </c>
      <c r="Q481" s="1159">
        <f t="shared" si="127"/>
        <v>893.78592511842669</v>
      </c>
      <c r="R481" s="2773"/>
    </row>
    <row r="482" spans="1:18" x14ac:dyDescent="0.25">
      <c r="A482" s="2862"/>
      <c r="B482" s="706">
        <v>2063</v>
      </c>
      <c r="C482" s="1134">
        <f t="shared" si="128"/>
        <v>2987983.3497514897</v>
      </c>
      <c r="D482" s="1156">
        <f t="shared" si="129"/>
        <v>1263.906390079519</v>
      </c>
      <c r="E482" s="1156">
        <f t="shared" si="130"/>
        <v>17373.361367042369</v>
      </c>
      <c r="F482" s="1156">
        <f t="shared" si="131"/>
        <v>-838.49971198616026</v>
      </c>
      <c r="G482" s="1156">
        <f t="shared" si="132"/>
        <v>1493.541946125476</v>
      </c>
      <c r="H482" s="827">
        <v>97</v>
      </c>
      <c r="I482" s="1157">
        <f>'Emission-Waste Transport Vehicl'!N77</f>
        <v>13.640901664896001</v>
      </c>
      <c r="J482" s="1157">
        <f>'Emission-Waste Transport Vehicl'!P77</f>
        <v>7.5895704149760004</v>
      </c>
      <c r="K482" s="1157">
        <f>'Emission-Waste Transport Vehicl'!Q77</f>
        <v>5.8942737976319997</v>
      </c>
      <c r="L482" s="1157">
        <f>'Emission-Waste Transport Vehicl'!R77</f>
        <v>0.58665577766400001</v>
      </c>
      <c r="M482" s="1159">
        <f t="shared" si="123"/>
        <v>289834.3849258945</v>
      </c>
      <c r="N482" s="1159">
        <f t="shared" si="124"/>
        <v>17240.822780708404</v>
      </c>
      <c r="O482" s="1159">
        <f t="shared" si="125"/>
        <v>131856.34943999175</v>
      </c>
      <c r="P482" s="1159">
        <f t="shared" si="126"/>
        <v>-4942.3468816820032</v>
      </c>
      <c r="Q482" s="1159">
        <f t="shared" si="127"/>
        <v>876.19501187804508</v>
      </c>
      <c r="R482" s="2773"/>
    </row>
    <row r="483" spans="1:18" x14ac:dyDescent="0.25">
      <c r="A483" s="2862"/>
      <c r="B483" s="706">
        <v>2064</v>
      </c>
      <c r="C483" s="1134">
        <f t="shared" si="128"/>
        <v>2987983.3497514897</v>
      </c>
      <c r="D483" s="1156">
        <f t="shared" si="129"/>
        <v>1263.906390079519</v>
      </c>
      <c r="E483" s="1156">
        <f t="shared" si="130"/>
        <v>17373.361367042369</v>
      </c>
      <c r="F483" s="1156">
        <f t="shared" si="131"/>
        <v>-838.49971198616026</v>
      </c>
      <c r="G483" s="1156">
        <f t="shared" si="132"/>
        <v>1493.541946125476</v>
      </c>
      <c r="H483" s="827">
        <v>97</v>
      </c>
      <c r="I483" s="1157">
        <f>'Emission-Waste Transport Vehicl'!N78</f>
        <v>13.373560857888002</v>
      </c>
      <c r="J483" s="1157">
        <f>'Emission-Waste Transport Vehicl'!P78</f>
        <v>7.4408264441280014</v>
      </c>
      <c r="K483" s="1157">
        <f>'Emission-Waste Transport Vehicl'!Q78</f>
        <v>5.7787550472960003</v>
      </c>
      <c r="L483" s="1157">
        <f>'Emission-Waste Transport Vehicl'!R78</f>
        <v>0.57515822179200005</v>
      </c>
      <c r="M483" s="1159">
        <f t="shared" si="123"/>
        <v>289834.3849258945</v>
      </c>
      <c r="N483" s="1159">
        <f t="shared" si="124"/>
        <v>16902.92902640198</v>
      </c>
      <c r="O483" s="1159">
        <f t="shared" si="125"/>
        <v>129272.16668328067</v>
      </c>
      <c r="P483" s="1159">
        <f t="shared" si="126"/>
        <v>-4845.4844427962662</v>
      </c>
      <c r="Q483" s="1159">
        <f t="shared" si="127"/>
        <v>859.0229299052919</v>
      </c>
      <c r="R483" s="2773"/>
    </row>
    <row r="484" spans="1:18" x14ac:dyDescent="0.25">
      <c r="A484" s="2862"/>
      <c r="B484" s="706">
        <v>2065</v>
      </c>
      <c r="C484" s="1134">
        <f t="shared" si="128"/>
        <v>2987983.3497514897</v>
      </c>
      <c r="D484" s="1156">
        <f t="shared" si="129"/>
        <v>1263.906390079519</v>
      </c>
      <c r="E484" s="1156">
        <f t="shared" si="130"/>
        <v>17373.361367042369</v>
      </c>
      <c r="F484" s="1156">
        <f t="shared" si="131"/>
        <v>-838.49971198616026</v>
      </c>
      <c r="G484" s="1156">
        <f t="shared" si="132"/>
        <v>1493.541946125476</v>
      </c>
      <c r="H484" s="827">
        <v>97</v>
      </c>
      <c r="I484" s="1157">
        <f>'Emission-Waste Transport Vehicl'!N79</f>
        <v>13.112740558368001</v>
      </c>
      <c r="J484" s="1157">
        <f>'Emission-Waste Transport Vehicl'!P79</f>
        <v>7.2957103750080003</v>
      </c>
      <c r="K484" s="1157">
        <f>'Emission-Waste Transport Vehicl'!Q79</f>
        <v>5.6660538274560004</v>
      </c>
      <c r="L484" s="1157">
        <f>'Emission-Waste Transport Vehicl'!R79</f>
        <v>0.56394109411200011</v>
      </c>
      <c r="M484" s="1159">
        <f t="shared" si="123"/>
        <v>289834.3849258945</v>
      </c>
      <c r="N484" s="1159">
        <f t="shared" si="124"/>
        <v>16573.276583176197</v>
      </c>
      <c r="O484" s="1159">
        <f t="shared" si="125"/>
        <v>126751.01277429418</v>
      </c>
      <c r="P484" s="1159">
        <f t="shared" si="126"/>
        <v>-4750.9845024199376</v>
      </c>
      <c r="Q484" s="1159">
        <f t="shared" si="127"/>
        <v>842.26967920016682</v>
      </c>
      <c r="R484" s="2773"/>
    </row>
    <row r="485" spans="1:18" x14ac:dyDescent="0.25">
      <c r="A485" s="2862"/>
      <c r="B485" s="706">
        <v>2066</v>
      </c>
      <c r="C485" s="1134">
        <f t="shared" si="128"/>
        <v>2987983.3497514897</v>
      </c>
      <c r="D485" s="1156">
        <f t="shared" si="129"/>
        <v>1263.906390079519</v>
      </c>
      <c r="E485" s="1156">
        <f t="shared" si="130"/>
        <v>17373.361367042369</v>
      </c>
      <c r="F485" s="1156">
        <f t="shared" si="131"/>
        <v>-838.49971198616026</v>
      </c>
      <c r="G485" s="1156">
        <f t="shared" si="132"/>
        <v>1493.541946125476</v>
      </c>
      <c r="H485" s="827">
        <v>97</v>
      </c>
      <c r="I485" s="1157">
        <f>'Emission-Waste Transport Vehicl'!N80</f>
        <v>12.855180512592</v>
      </c>
      <c r="J485" s="1157">
        <f>'Emission-Waste Transport Vehicl'!P80</f>
        <v>7.1524082567520004</v>
      </c>
      <c r="K485" s="1157">
        <f>'Emission-Waste Transport Vehicl'!Q80</f>
        <v>5.5547613728639993</v>
      </c>
      <c r="L485" s="1157">
        <f>'Emission-Waste Transport Vehicl'!R80</f>
        <v>0.55286418052800002</v>
      </c>
      <c r="M485" s="1159">
        <f t="shared" si="123"/>
        <v>289834.3849258945</v>
      </c>
      <c r="N485" s="1159">
        <f t="shared" si="124"/>
        <v>16247.744795490735</v>
      </c>
      <c r="O485" s="1159">
        <f t="shared" si="125"/>
        <v>124261.37328917006</v>
      </c>
      <c r="P485" s="1159">
        <f t="shared" si="126"/>
        <v>-4657.6658112983114</v>
      </c>
      <c r="Q485" s="1159">
        <f t="shared" si="127"/>
        <v>825.72584412885567</v>
      </c>
      <c r="R485" s="2773"/>
    </row>
    <row r="486" spans="1:18" x14ac:dyDescent="0.25">
      <c r="A486" s="2862"/>
      <c r="B486" s="706">
        <v>2067</v>
      </c>
      <c r="C486" s="1134">
        <f t="shared" si="128"/>
        <v>2987983.3497514897</v>
      </c>
      <c r="D486" s="1156">
        <f t="shared" si="129"/>
        <v>1263.906390079519</v>
      </c>
      <c r="E486" s="1156">
        <f t="shared" si="130"/>
        <v>17373.361367042369</v>
      </c>
      <c r="F486" s="1156">
        <f t="shared" si="131"/>
        <v>-838.49971198616026</v>
      </c>
      <c r="G486" s="1156">
        <f t="shared" si="132"/>
        <v>1493.541946125476</v>
      </c>
      <c r="H486" s="827">
        <v>97</v>
      </c>
      <c r="I486" s="1157">
        <f>'Emission-Waste Transport Vehicl'!N81</f>
        <v>12.600880720560001</v>
      </c>
      <c r="J486" s="1157">
        <f>'Emission-Waste Transport Vehicl'!P81</f>
        <v>7.0109200893600008</v>
      </c>
      <c r="K486" s="1157">
        <f>'Emission-Waste Transport Vehicl'!Q81</f>
        <v>5.4448776835200006</v>
      </c>
      <c r="L486" s="1157">
        <f>'Emission-Waste Transport Vehicl'!R81</f>
        <v>0.5419274810400001</v>
      </c>
      <c r="M486" s="1159">
        <f t="shared" si="123"/>
        <v>289834.3849258945</v>
      </c>
      <c r="N486" s="1159">
        <f t="shared" si="124"/>
        <v>15926.3336633456</v>
      </c>
      <c r="O486" s="1159">
        <f t="shared" si="125"/>
        <v>121803.24822790828</v>
      </c>
      <c r="P486" s="1159">
        <f t="shared" si="126"/>
        <v>-4565.5283694313921</v>
      </c>
      <c r="Q486" s="1159">
        <f t="shared" si="127"/>
        <v>809.39142469135879</v>
      </c>
      <c r="R486" s="2773"/>
    </row>
    <row r="487" spans="1:18" x14ac:dyDescent="0.25">
      <c r="A487" s="2862"/>
      <c r="B487" s="706">
        <v>2068</v>
      </c>
      <c r="C487" s="1134">
        <f t="shared" si="128"/>
        <v>2987983.3497514897</v>
      </c>
      <c r="D487" s="1156">
        <f t="shared" si="129"/>
        <v>1263.906390079519</v>
      </c>
      <c r="E487" s="1156">
        <f t="shared" si="130"/>
        <v>17373.361367042369</v>
      </c>
      <c r="F487" s="1156">
        <f t="shared" si="131"/>
        <v>-838.49971198616026</v>
      </c>
      <c r="G487" s="1156">
        <f t="shared" si="132"/>
        <v>1493.541946125476</v>
      </c>
      <c r="H487" s="827">
        <v>97</v>
      </c>
      <c r="I487" s="1157">
        <f>'Emission-Waste Transport Vehicl'!N82</f>
        <v>12.356361689760002</v>
      </c>
      <c r="J487" s="1157">
        <f>'Emission-Waste Transport Vehicl'!P82</f>
        <v>6.8748737745600002</v>
      </c>
      <c r="K487" s="1157">
        <f>'Emission-Waste Transport Vehicl'!Q82</f>
        <v>5.339220289920001</v>
      </c>
      <c r="L487" s="1157">
        <f>'Emission-Waste Transport Vehicl'!R82</f>
        <v>0.53141142384000006</v>
      </c>
      <c r="M487" s="1159">
        <f t="shared" si="123"/>
        <v>289834.3849258945</v>
      </c>
      <c r="N487" s="1159">
        <f t="shared" si="124"/>
        <v>15617.284497821429</v>
      </c>
      <c r="O487" s="1159">
        <f t="shared" si="125"/>
        <v>119439.66643823346</v>
      </c>
      <c r="P487" s="1159">
        <f t="shared" si="126"/>
        <v>-4476.9346753285836</v>
      </c>
      <c r="Q487" s="1159">
        <f t="shared" si="127"/>
        <v>793.68525215530383</v>
      </c>
      <c r="R487" s="2773"/>
    </row>
    <row r="488" spans="1:18" ht="15.75" thickBot="1" x14ac:dyDescent="0.3">
      <c r="A488" s="2863"/>
      <c r="B488" s="55">
        <v>2069</v>
      </c>
      <c r="C488" s="1135">
        <f t="shared" si="128"/>
        <v>2987983.3497514897</v>
      </c>
      <c r="D488" s="1160">
        <f t="shared" si="129"/>
        <v>1263.906390079519</v>
      </c>
      <c r="E488" s="1160">
        <f t="shared" si="130"/>
        <v>17373.361367042369</v>
      </c>
      <c r="F488" s="1160">
        <f t="shared" si="131"/>
        <v>-838.49971198616026</v>
      </c>
      <c r="G488" s="1160">
        <f t="shared" si="132"/>
        <v>1493.541946125476</v>
      </c>
      <c r="H488" s="1062">
        <v>97</v>
      </c>
      <c r="I488" s="1161">
        <f>'Emission-Waste Transport Vehicl'!N83</f>
        <v>12.111842658960002</v>
      </c>
      <c r="J488" s="1161">
        <f>'Emission-Waste Transport Vehicl'!P83</f>
        <v>6.7388274597600004</v>
      </c>
      <c r="K488" s="1161">
        <f>'Emission-Waste Transport Vehicl'!Q83</f>
        <v>5.2335628963200005</v>
      </c>
      <c r="L488" s="1161">
        <f>'Emission-Waste Transport Vehicl'!R83</f>
        <v>0.52089536664000002</v>
      </c>
      <c r="M488" s="1163">
        <f t="shared" si="123"/>
        <v>289834.3849258945</v>
      </c>
      <c r="N488" s="1163">
        <f t="shared" si="124"/>
        <v>15308.235332297259</v>
      </c>
      <c r="O488" s="1163">
        <f t="shared" si="125"/>
        <v>117076.08464855865</v>
      </c>
      <c r="P488" s="1163">
        <f t="shared" si="126"/>
        <v>-4388.3409812257751</v>
      </c>
      <c r="Q488" s="1163">
        <f t="shared" si="127"/>
        <v>777.97907961924898</v>
      </c>
      <c r="R488" s="2774"/>
    </row>
    <row r="489" spans="1:18" x14ac:dyDescent="0.25">
      <c r="A489" s="2903" t="s">
        <v>997</v>
      </c>
      <c r="B489" s="888">
        <v>2019</v>
      </c>
      <c r="C489" s="1133">
        <f t="shared" ref="C489:C520" si="133">$S$21</f>
        <v>1667245.2402018306</v>
      </c>
      <c r="D489" s="1153">
        <f t="shared" ref="D489:D520" si="134">$T$21</f>
        <v>700.69184442934477</v>
      </c>
      <c r="E489" s="1153">
        <f t="shared" ref="E489:E520" si="135">$R$21</f>
        <v>4265.4228397621418</v>
      </c>
      <c r="F489" s="1153">
        <f t="shared" ref="F489:F520" si="136">$V$21</f>
        <v>-876.51669381754698</v>
      </c>
      <c r="G489" s="1153">
        <f t="shared" ref="G489:G520" si="137">$U$21</f>
        <v>1482.8936711217773</v>
      </c>
      <c r="H489" s="1056">
        <v>62</v>
      </c>
      <c r="I489" s="1154">
        <f>'Emission-Waste Transport Vehicl'!N33</f>
        <v>32.602537440000006</v>
      </c>
      <c r="J489" s="1154">
        <f>'Emission-Waste Transport Vehicl'!P33</f>
        <v>18.139508640000003</v>
      </c>
      <c r="K489" s="1154">
        <f>'Emission-Waste Transport Vehicl'!Q33</f>
        <v>14.087652480000001</v>
      </c>
      <c r="L489" s="1154">
        <f>'Emission-Waste Transport Vehicl'!R33</f>
        <v>1.4021409600000001</v>
      </c>
      <c r="M489" s="1155">
        <f t="shared" si="123"/>
        <v>103369.2048925135</v>
      </c>
      <c r="N489" s="1155">
        <f t="shared" si="124"/>
        <v>22844.332091910372</v>
      </c>
      <c r="O489" s="1155">
        <f t="shared" si="125"/>
        <v>77372.674455118715</v>
      </c>
      <c r="P489" s="1155">
        <f t="shared" si="126"/>
        <v>-12348.062575420166</v>
      </c>
      <c r="Q489" s="1155">
        <f t="shared" si="127"/>
        <v>2079.2259556046133</v>
      </c>
      <c r="R489" s="2772">
        <f>(SUM(M489:M539)*1.2682)+(SUM(N489:N539))+(SUM(O489:O539))+(SUM(P489:P539))+(SUM(Q489:Q539))</f>
        <v>12208346.372934783</v>
      </c>
    </row>
    <row r="490" spans="1:18" x14ac:dyDescent="0.25">
      <c r="A490" s="2862"/>
      <c r="B490" s="706">
        <v>2020</v>
      </c>
      <c r="C490" s="1134">
        <f t="shared" si="133"/>
        <v>1667245.2402018306</v>
      </c>
      <c r="D490" s="1156">
        <f t="shared" si="134"/>
        <v>700.69184442934477</v>
      </c>
      <c r="E490" s="1156">
        <f t="shared" si="135"/>
        <v>4265.4228397621418</v>
      </c>
      <c r="F490" s="1156">
        <f t="shared" si="136"/>
        <v>-876.51669381754698</v>
      </c>
      <c r="G490" s="1156">
        <f t="shared" si="137"/>
        <v>1482.8936711217773</v>
      </c>
      <c r="H490" s="827">
        <v>64</v>
      </c>
      <c r="I490" s="1157">
        <f>'Emission-Waste Transport Vehicl'!N34</f>
        <v>31.963527706176006</v>
      </c>
      <c r="J490" s="1157">
        <f>'Emission-Waste Transport Vehicl'!P34</f>
        <v>17.783974270656003</v>
      </c>
      <c r="K490" s="1157">
        <f>'Emission-Waste Transport Vehicl'!Q34</f>
        <v>13.811534491392001</v>
      </c>
      <c r="L490" s="1157">
        <f>'Emission-Waste Transport Vehicl'!R34</f>
        <v>1.3746589971840002</v>
      </c>
      <c r="M490" s="1159">
        <f t="shared" si="123"/>
        <v>106703.69537291717</v>
      </c>
      <c r="N490" s="1159">
        <f t="shared" si="124"/>
        <v>22396.583182908929</v>
      </c>
      <c r="O490" s="1159">
        <f t="shared" si="125"/>
        <v>75856.170035798394</v>
      </c>
      <c r="P490" s="1159">
        <f t="shared" si="126"/>
        <v>-12106.040548941932</v>
      </c>
      <c r="Q490" s="1159">
        <f t="shared" si="127"/>
        <v>2038.473126874763</v>
      </c>
      <c r="R490" s="2773"/>
    </row>
    <row r="491" spans="1:18" x14ac:dyDescent="0.25">
      <c r="A491" s="2862"/>
      <c r="B491" s="706">
        <v>2021</v>
      </c>
      <c r="C491" s="1134">
        <f t="shared" si="133"/>
        <v>1667245.2402018306</v>
      </c>
      <c r="D491" s="1156">
        <f t="shared" si="134"/>
        <v>700.69184442934477</v>
      </c>
      <c r="E491" s="1156">
        <f t="shared" si="135"/>
        <v>4265.4228397621418</v>
      </c>
      <c r="F491" s="1156">
        <f t="shared" si="136"/>
        <v>-876.51669381754698</v>
      </c>
      <c r="G491" s="1156">
        <f t="shared" si="137"/>
        <v>1482.8936711217773</v>
      </c>
      <c r="H491" s="827">
        <v>65</v>
      </c>
      <c r="I491" s="1157">
        <f>'Emission-Waste Transport Vehicl'!N35</f>
        <v>31.337558987328006</v>
      </c>
      <c r="J491" s="1157">
        <f>'Emission-Waste Transport Vehicl'!P35</f>
        <v>17.435695704768001</v>
      </c>
      <c r="K491" s="1157">
        <f>'Emission-Waste Transport Vehicl'!Q35</f>
        <v>13.541051563776001</v>
      </c>
      <c r="L491" s="1157">
        <f>'Emission-Waste Transport Vehicl'!R35</f>
        <v>1.3477378907520003</v>
      </c>
      <c r="M491" s="1159">
        <f t="shared" si="123"/>
        <v>108370.94061311899</v>
      </c>
      <c r="N491" s="1159">
        <f t="shared" si="124"/>
        <v>21957.97200674425</v>
      </c>
      <c r="O491" s="1159">
        <f t="shared" si="125"/>
        <v>74370.614686260102</v>
      </c>
      <c r="P491" s="1159">
        <f t="shared" si="126"/>
        <v>-11868.957747493865</v>
      </c>
      <c r="Q491" s="1159">
        <f t="shared" si="127"/>
        <v>1998.5519885271547</v>
      </c>
      <c r="R491" s="2773"/>
    </row>
    <row r="492" spans="1:18" x14ac:dyDescent="0.25">
      <c r="A492" s="2862"/>
      <c r="B492" s="706">
        <v>2022</v>
      </c>
      <c r="C492" s="1134">
        <f t="shared" si="133"/>
        <v>1667245.2402018306</v>
      </c>
      <c r="D492" s="1156">
        <f t="shared" si="134"/>
        <v>700.69184442934477</v>
      </c>
      <c r="E492" s="1156">
        <f t="shared" si="135"/>
        <v>4265.4228397621418</v>
      </c>
      <c r="F492" s="1156">
        <f t="shared" si="136"/>
        <v>-876.51669381754698</v>
      </c>
      <c r="G492" s="1156">
        <f t="shared" si="137"/>
        <v>1482.8936711217773</v>
      </c>
      <c r="H492" s="827">
        <v>66</v>
      </c>
      <c r="I492" s="1157">
        <f>'Emission-Waste Transport Vehicl'!N36</f>
        <v>30.721371029712003</v>
      </c>
      <c r="J492" s="1157">
        <f>'Emission-Waste Transport Vehicl'!P36</f>
        <v>17.092858991472003</v>
      </c>
      <c r="K492" s="1157">
        <f>'Emission-Waste Transport Vehicl'!Q36</f>
        <v>13.274794931903999</v>
      </c>
      <c r="L492" s="1157">
        <f>'Emission-Waste Transport Vehicl'!R36</f>
        <v>1.3212374266080003</v>
      </c>
      <c r="M492" s="1159">
        <f t="shared" si="123"/>
        <v>110038.18585332083</v>
      </c>
      <c r="N492" s="1159">
        <f t="shared" si="124"/>
        <v>21526.214130207143</v>
      </c>
      <c r="O492" s="1159">
        <f t="shared" si="125"/>
        <v>72908.271139058372</v>
      </c>
      <c r="P492" s="1159">
        <f t="shared" si="126"/>
        <v>-11635.579364818423</v>
      </c>
      <c r="Q492" s="1159">
        <f t="shared" si="127"/>
        <v>1959.2546179662272</v>
      </c>
      <c r="R492" s="2773"/>
    </row>
    <row r="493" spans="1:18" x14ac:dyDescent="0.25">
      <c r="A493" s="2862"/>
      <c r="B493" s="706">
        <v>2023</v>
      </c>
      <c r="C493" s="1134">
        <f t="shared" si="133"/>
        <v>1667245.2402018306</v>
      </c>
      <c r="D493" s="1156">
        <f t="shared" si="134"/>
        <v>700.69184442934477</v>
      </c>
      <c r="E493" s="1156">
        <f t="shared" si="135"/>
        <v>4265.4228397621418</v>
      </c>
      <c r="F493" s="1156">
        <f t="shared" si="136"/>
        <v>-876.51669381754698</v>
      </c>
      <c r="G493" s="1156">
        <f t="shared" si="137"/>
        <v>1482.8936711217773</v>
      </c>
      <c r="H493" s="827">
        <v>67</v>
      </c>
      <c r="I493" s="1157">
        <f>'Emission-Waste Transport Vehicl'!N37</f>
        <v>30.118224087072001</v>
      </c>
      <c r="J493" s="1157">
        <f>'Emission-Waste Transport Vehicl'!P37</f>
        <v>16.757278081632002</v>
      </c>
      <c r="K493" s="1157">
        <f>'Emission-Waste Transport Vehicl'!Q37</f>
        <v>13.014173361024</v>
      </c>
      <c r="L493" s="1157">
        <f>'Emission-Waste Transport Vehicl'!R37</f>
        <v>1.295297818848</v>
      </c>
      <c r="M493" s="1159">
        <f t="shared" si="123"/>
        <v>111705.43109352265</v>
      </c>
      <c r="N493" s="1159">
        <f t="shared" si="124"/>
        <v>21103.593986506799</v>
      </c>
      <c r="O493" s="1159">
        <f t="shared" si="125"/>
        <v>71476.876661638671</v>
      </c>
      <c r="P493" s="1159">
        <f t="shared" si="126"/>
        <v>-11407.14020717315</v>
      </c>
      <c r="Q493" s="1159">
        <f t="shared" si="127"/>
        <v>1920.7889377875415</v>
      </c>
      <c r="R493" s="2773"/>
    </row>
    <row r="494" spans="1:18" x14ac:dyDescent="0.25">
      <c r="A494" s="2862"/>
      <c r="B494" s="706">
        <v>2024</v>
      </c>
      <c r="C494" s="1134">
        <f t="shared" si="133"/>
        <v>1667245.2402018306</v>
      </c>
      <c r="D494" s="1156">
        <f t="shared" si="134"/>
        <v>700.69184442934477</v>
      </c>
      <c r="E494" s="1156">
        <f t="shared" si="135"/>
        <v>4265.4228397621418</v>
      </c>
      <c r="F494" s="1156">
        <f t="shared" si="136"/>
        <v>-876.51669381754698</v>
      </c>
      <c r="G494" s="1156">
        <f t="shared" si="137"/>
        <v>1482.8936711217773</v>
      </c>
      <c r="H494" s="827">
        <v>68</v>
      </c>
      <c r="I494" s="1157">
        <f>'Emission-Waste Transport Vehicl'!N38</f>
        <v>29.528118159408002</v>
      </c>
      <c r="J494" s="1157">
        <f>'Emission-Waste Transport Vehicl'!P38</f>
        <v>16.428952975248002</v>
      </c>
      <c r="K494" s="1157">
        <f>'Emission-Waste Transport Vehicl'!Q38</f>
        <v>12.759186851135999</v>
      </c>
      <c r="L494" s="1157">
        <f>'Emission-Waste Transport Vehicl'!R38</f>
        <v>1.269919067472</v>
      </c>
      <c r="M494" s="1159">
        <f t="shared" si="123"/>
        <v>113372.67633372449</v>
      </c>
      <c r="N494" s="1159">
        <f t="shared" si="124"/>
        <v>20690.111575643223</v>
      </c>
      <c r="O494" s="1159">
        <f t="shared" si="125"/>
        <v>70076.431254001029</v>
      </c>
      <c r="P494" s="1159">
        <f t="shared" si="126"/>
        <v>-11183.640274558044</v>
      </c>
      <c r="Q494" s="1159">
        <f t="shared" si="127"/>
        <v>1883.154947991098</v>
      </c>
      <c r="R494" s="2773"/>
    </row>
    <row r="495" spans="1:18" x14ac:dyDescent="0.25">
      <c r="A495" s="2862"/>
      <c r="B495" s="706">
        <v>2025</v>
      </c>
      <c r="C495" s="1134">
        <f t="shared" si="133"/>
        <v>1667245.2402018306</v>
      </c>
      <c r="D495" s="1156">
        <f t="shared" si="134"/>
        <v>700.69184442934477</v>
      </c>
      <c r="E495" s="1156">
        <f t="shared" si="135"/>
        <v>4265.4228397621418</v>
      </c>
      <c r="F495" s="1156">
        <f t="shared" si="136"/>
        <v>-876.51669381754698</v>
      </c>
      <c r="G495" s="1156">
        <f t="shared" si="137"/>
        <v>1482.8936711217773</v>
      </c>
      <c r="H495" s="827">
        <v>69</v>
      </c>
      <c r="I495" s="1157">
        <f>'Emission-Waste Transport Vehicl'!N39</f>
        <v>28.951053246720004</v>
      </c>
      <c r="J495" s="1157">
        <f>'Emission-Waste Transport Vehicl'!P39</f>
        <v>16.10788367232</v>
      </c>
      <c r="K495" s="1157">
        <f>'Emission-Waste Transport Vehicl'!Q39</f>
        <v>12.50983540224</v>
      </c>
      <c r="L495" s="1157">
        <f>'Emission-Waste Transport Vehicl'!R39</f>
        <v>1.2451011724800001</v>
      </c>
      <c r="M495" s="1159">
        <f t="shared" si="123"/>
        <v>115039.92157392632</v>
      </c>
      <c r="N495" s="1159">
        <f t="shared" si="124"/>
        <v>20285.76689761641</v>
      </c>
      <c r="O495" s="1159">
        <f t="shared" si="125"/>
        <v>68706.934916145416</v>
      </c>
      <c r="P495" s="1159">
        <f t="shared" si="126"/>
        <v>-10965.079566973109</v>
      </c>
      <c r="Q495" s="1159">
        <f t="shared" si="127"/>
        <v>1846.3526485768966</v>
      </c>
      <c r="R495" s="2773"/>
    </row>
    <row r="496" spans="1:18" x14ac:dyDescent="0.25">
      <c r="A496" s="2862"/>
      <c r="B496" s="706">
        <v>2026</v>
      </c>
      <c r="C496" s="1134">
        <f t="shared" si="133"/>
        <v>1667245.2402018306</v>
      </c>
      <c r="D496" s="1156">
        <f t="shared" si="134"/>
        <v>700.69184442934477</v>
      </c>
      <c r="E496" s="1156">
        <f t="shared" si="135"/>
        <v>4265.4228397621418</v>
      </c>
      <c r="F496" s="1156">
        <f t="shared" si="136"/>
        <v>-876.51669381754698</v>
      </c>
      <c r="G496" s="1156">
        <f t="shared" si="137"/>
        <v>1482.8936711217773</v>
      </c>
      <c r="H496" s="827">
        <v>70</v>
      </c>
      <c r="I496" s="1157">
        <f>'Emission-Waste Transport Vehicl'!N40</f>
        <v>28.383769095264007</v>
      </c>
      <c r="J496" s="1157">
        <f>'Emission-Waste Transport Vehicl'!P40</f>
        <v>15.792256221984003</v>
      </c>
      <c r="K496" s="1157">
        <f>'Emission-Waste Transport Vehicl'!Q40</f>
        <v>12.264710249088001</v>
      </c>
      <c r="L496" s="1157">
        <f>'Emission-Waste Transport Vehicl'!R40</f>
        <v>1.2207039197760001</v>
      </c>
      <c r="M496" s="1159">
        <f t="shared" si="123"/>
        <v>116707.16681412816</v>
      </c>
      <c r="N496" s="1159">
        <f t="shared" si="124"/>
        <v>19888.275519217172</v>
      </c>
      <c r="O496" s="1159">
        <f t="shared" si="125"/>
        <v>67360.650380626364</v>
      </c>
      <c r="P496" s="1159">
        <f t="shared" si="126"/>
        <v>-10750.223278160798</v>
      </c>
      <c r="Q496" s="1159">
        <f t="shared" si="127"/>
        <v>1810.1741169493764</v>
      </c>
      <c r="R496" s="2773"/>
    </row>
    <row r="497" spans="1:18" x14ac:dyDescent="0.25">
      <c r="A497" s="2862"/>
      <c r="B497" s="706">
        <v>2027</v>
      </c>
      <c r="C497" s="1134">
        <f t="shared" si="133"/>
        <v>1667245.2402018306</v>
      </c>
      <c r="D497" s="1156">
        <f t="shared" si="134"/>
        <v>700.69184442934477</v>
      </c>
      <c r="E497" s="1156">
        <f t="shared" si="135"/>
        <v>4265.4228397621418</v>
      </c>
      <c r="F497" s="1156">
        <f t="shared" si="136"/>
        <v>-876.51669381754698</v>
      </c>
      <c r="G497" s="1156">
        <f t="shared" si="137"/>
        <v>1482.8936711217773</v>
      </c>
      <c r="H497" s="827">
        <v>71</v>
      </c>
      <c r="I497" s="1157">
        <f>'Emission-Waste Transport Vehicl'!N41</f>
        <v>27.826265705040004</v>
      </c>
      <c r="J497" s="1157">
        <f>'Emission-Waste Transport Vehicl'!P41</f>
        <v>15.482070624240002</v>
      </c>
      <c r="K497" s="1157">
        <f>'Emission-Waste Transport Vehicl'!Q41</f>
        <v>12.023811391680001</v>
      </c>
      <c r="L497" s="1157">
        <f>'Emission-Waste Transport Vehicl'!R41</f>
        <v>1.1967273093600002</v>
      </c>
      <c r="M497" s="1159">
        <f t="shared" si="123"/>
        <v>118374.41205432998</v>
      </c>
      <c r="N497" s="1159">
        <f t="shared" si="124"/>
        <v>19497.637440445502</v>
      </c>
      <c r="O497" s="1159">
        <f t="shared" si="125"/>
        <v>66037.577647443832</v>
      </c>
      <c r="P497" s="1159">
        <f t="shared" si="126"/>
        <v>-10539.071408121112</v>
      </c>
      <c r="Q497" s="1159">
        <f t="shared" si="127"/>
        <v>1774.6193531085376</v>
      </c>
      <c r="R497" s="2773"/>
    </row>
    <row r="498" spans="1:18" x14ac:dyDescent="0.25">
      <c r="A498" s="2862"/>
      <c r="B498" s="706">
        <v>2028</v>
      </c>
      <c r="C498" s="1134">
        <f t="shared" si="133"/>
        <v>1667245.2402018306</v>
      </c>
      <c r="D498" s="1156">
        <f t="shared" si="134"/>
        <v>700.69184442934477</v>
      </c>
      <c r="E498" s="1156">
        <f t="shared" si="135"/>
        <v>4265.4228397621418</v>
      </c>
      <c r="F498" s="1156">
        <f t="shared" si="136"/>
        <v>-876.51669381754698</v>
      </c>
      <c r="G498" s="1156">
        <f t="shared" si="137"/>
        <v>1482.8936711217773</v>
      </c>
      <c r="H498" s="827">
        <v>72</v>
      </c>
      <c r="I498" s="1157">
        <f>'Emission-Waste Transport Vehicl'!N42</f>
        <v>27.281803329792002</v>
      </c>
      <c r="J498" s="1157">
        <f>'Emission-Waste Transport Vehicl'!P42</f>
        <v>15.179140829952001</v>
      </c>
      <c r="K498" s="1157">
        <f>'Emission-Waste Transport Vehicl'!Q42</f>
        <v>11.788547595263999</v>
      </c>
      <c r="L498" s="1157">
        <f>'Emission-Waste Transport Vehicl'!R42</f>
        <v>1.173311555328</v>
      </c>
      <c r="M498" s="1159">
        <f t="shared" si="123"/>
        <v>120041.65729453182</v>
      </c>
      <c r="N498" s="1159">
        <f t="shared" si="124"/>
        <v>19116.137094510599</v>
      </c>
      <c r="O498" s="1159">
        <f t="shared" si="125"/>
        <v>64745.453984043335</v>
      </c>
      <c r="P498" s="1159">
        <f t="shared" si="126"/>
        <v>-10332.858763111595</v>
      </c>
      <c r="Q498" s="1159">
        <f t="shared" si="127"/>
        <v>1739.8962796499402</v>
      </c>
      <c r="R498" s="2773"/>
    </row>
    <row r="499" spans="1:18" x14ac:dyDescent="0.25">
      <c r="A499" s="2862"/>
      <c r="B499" s="706">
        <v>2029</v>
      </c>
      <c r="C499" s="1134">
        <f t="shared" si="133"/>
        <v>1667245.2402018306</v>
      </c>
      <c r="D499" s="1156">
        <f t="shared" si="134"/>
        <v>700.69184442934477</v>
      </c>
      <c r="E499" s="1156">
        <f t="shared" si="135"/>
        <v>4265.4228397621418</v>
      </c>
      <c r="F499" s="1156">
        <f t="shared" si="136"/>
        <v>-876.51669381754698</v>
      </c>
      <c r="G499" s="1156">
        <f t="shared" si="137"/>
        <v>1482.8936711217773</v>
      </c>
      <c r="H499" s="827">
        <v>73</v>
      </c>
      <c r="I499" s="1157">
        <f>'Emission-Waste Transport Vehicl'!N43</f>
        <v>26.743861462032005</v>
      </c>
      <c r="J499" s="1157">
        <f>'Emission-Waste Transport Vehicl'!P43</f>
        <v>14.879838937392002</v>
      </c>
      <c r="K499" s="1157">
        <f>'Emission-Waste Transport Vehicl'!Q43</f>
        <v>11.556101329344001</v>
      </c>
      <c r="L499" s="1157">
        <f>'Emission-Waste Transport Vehicl'!R43</f>
        <v>1.1501762294880002</v>
      </c>
      <c r="M499" s="1159">
        <f t="shared" si="123"/>
        <v>121708.90253473364</v>
      </c>
      <c r="N499" s="1159">
        <f t="shared" si="124"/>
        <v>18739.20561499408</v>
      </c>
      <c r="O499" s="1159">
        <f t="shared" si="125"/>
        <v>63468.804855533883</v>
      </c>
      <c r="P499" s="1159">
        <f t="shared" si="126"/>
        <v>-10129.115730617163</v>
      </c>
      <c r="Q499" s="1159">
        <f t="shared" si="127"/>
        <v>1705.5890513824645</v>
      </c>
      <c r="R499" s="2773"/>
    </row>
    <row r="500" spans="1:18" x14ac:dyDescent="0.25">
      <c r="A500" s="2862"/>
      <c r="B500" s="706">
        <v>2030</v>
      </c>
      <c r="C500" s="1134">
        <f t="shared" si="133"/>
        <v>1667245.2402018306</v>
      </c>
      <c r="D500" s="1156">
        <f t="shared" si="134"/>
        <v>700.69184442934477</v>
      </c>
      <c r="E500" s="1156">
        <f t="shared" si="135"/>
        <v>4265.4228397621418</v>
      </c>
      <c r="F500" s="1156">
        <f t="shared" si="136"/>
        <v>-876.51669381754698</v>
      </c>
      <c r="G500" s="1156">
        <f t="shared" si="137"/>
        <v>1482.8936711217773</v>
      </c>
      <c r="H500" s="827">
        <v>75</v>
      </c>
      <c r="I500" s="1157">
        <f>'Emission-Waste Transport Vehicl'!N44</f>
        <v>26.222220862992003</v>
      </c>
      <c r="J500" s="1157">
        <f>'Emission-Waste Transport Vehicl'!P44</f>
        <v>14.589606799152003</v>
      </c>
      <c r="K500" s="1157">
        <f>'Emission-Waste Transport Vehicl'!Q44</f>
        <v>11.330698889664001</v>
      </c>
      <c r="L500" s="1157">
        <f>'Emission-Waste Transport Vehicl'!R44</f>
        <v>1.1277419741280001</v>
      </c>
      <c r="M500" s="1159">
        <f t="shared" si="123"/>
        <v>125043.39301513731</v>
      </c>
      <c r="N500" s="1159">
        <f t="shared" si="124"/>
        <v>18373.696301523512</v>
      </c>
      <c r="O500" s="1159">
        <f t="shared" si="125"/>
        <v>62230.842064251992</v>
      </c>
      <c r="P500" s="1159">
        <f t="shared" si="126"/>
        <v>-9931.5467294104401</v>
      </c>
      <c r="Q500" s="1159">
        <f t="shared" si="127"/>
        <v>1672.3214360927905</v>
      </c>
      <c r="R500" s="2773"/>
    </row>
    <row r="501" spans="1:18" x14ac:dyDescent="0.25">
      <c r="A501" s="2862"/>
      <c r="B501" s="706">
        <v>2031</v>
      </c>
      <c r="C501" s="1134">
        <f t="shared" si="133"/>
        <v>1667245.2402018306</v>
      </c>
      <c r="D501" s="1156">
        <f t="shared" si="134"/>
        <v>700.69184442934477</v>
      </c>
      <c r="E501" s="1156">
        <f t="shared" si="135"/>
        <v>4265.4228397621418</v>
      </c>
      <c r="F501" s="1156">
        <f t="shared" si="136"/>
        <v>-876.51669381754698</v>
      </c>
      <c r="G501" s="1156">
        <f t="shared" si="137"/>
        <v>1482.8936711217773</v>
      </c>
      <c r="H501" s="827">
        <v>76</v>
      </c>
      <c r="I501" s="1157">
        <f>'Emission-Waste Transport Vehicl'!N45</f>
        <v>25.70710077144</v>
      </c>
      <c r="J501" s="1157">
        <f>'Emission-Waste Transport Vehicl'!P45</f>
        <v>14.303002562640001</v>
      </c>
      <c r="K501" s="1157">
        <f>'Emission-Waste Transport Vehicl'!Q45</f>
        <v>11.108113980480001</v>
      </c>
      <c r="L501" s="1157">
        <f>'Emission-Waste Transport Vehicl'!R45</f>
        <v>1.1055881469600002</v>
      </c>
      <c r="M501" s="1159">
        <f t="shared" si="123"/>
        <v>126710.63825533913</v>
      </c>
      <c r="N501" s="1159">
        <f t="shared" si="124"/>
        <v>18012.755854471325</v>
      </c>
      <c r="O501" s="1159">
        <f t="shared" si="125"/>
        <v>61008.353807861109</v>
      </c>
      <c r="P501" s="1159">
        <f t="shared" si="126"/>
        <v>-9736.4473407188016</v>
      </c>
      <c r="Q501" s="1159">
        <f t="shared" si="127"/>
        <v>1639.4696659942376</v>
      </c>
      <c r="R501" s="2773"/>
    </row>
    <row r="502" spans="1:18" x14ac:dyDescent="0.25">
      <c r="A502" s="2862"/>
      <c r="B502" s="706">
        <v>2032</v>
      </c>
      <c r="C502" s="1134">
        <f t="shared" si="133"/>
        <v>1667245.2402018306</v>
      </c>
      <c r="D502" s="1156">
        <f t="shared" si="134"/>
        <v>700.69184442934477</v>
      </c>
      <c r="E502" s="1156">
        <f t="shared" si="135"/>
        <v>4265.4228397621418</v>
      </c>
      <c r="F502" s="1156">
        <f t="shared" si="136"/>
        <v>-876.51669381754698</v>
      </c>
      <c r="G502" s="1156">
        <f t="shared" si="137"/>
        <v>1482.8936711217773</v>
      </c>
      <c r="H502" s="827">
        <v>77</v>
      </c>
      <c r="I502" s="1157">
        <f>'Emission-Waste Transport Vehicl'!N46</f>
        <v>25.201761441120002</v>
      </c>
      <c r="J502" s="1157">
        <f>'Emission-Waste Transport Vehicl'!P46</f>
        <v>14.021840178720002</v>
      </c>
      <c r="K502" s="1157">
        <f>'Emission-Waste Transport Vehicl'!Q46</f>
        <v>10.889755367040001</v>
      </c>
      <c r="L502" s="1157">
        <f>'Emission-Waste Transport Vehicl'!R46</f>
        <v>1.0838549620800002</v>
      </c>
      <c r="M502" s="1159">
        <f t="shared" si="123"/>
        <v>128377.88349554097</v>
      </c>
      <c r="N502" s="1159">
        <f t="shared" si="124"/>
        <v>17658.668707046716</v>
      </c>
      <c r="O502" s="1159">
        <f t="shared" si="125"/>
        <v>59809.077353806766</v>
      </c>
      <c r="P502" s="1159">
        <f t="shared" si="126"/>
        <v>-9545.0523707997891</v>
      </c>
      <c r="Q502" s="1159">
        <f t="shared" si="127"/>
        <v>1607.2416636823662</v>
      </c>
      <c r="R502" s="2773"/>
    </row>
    <row r="503" spans="1:18" x14ac:dyDescent="0.25">
      <c r="A503" s="2862"/>
      <c r="B503" s="706">
        <v>2033</v>
      </c>
      <c r="C503" s="1134">
        <f t="shared" si="133"/>
        <v>1667245.2402018306</v>
      </c>
      <c r="D503" s="1156">
        <f t="shared" si="134"/>
        <v>700.69184442934477</v>
      </c>
      <c r="E503" s="1156">
        <f t="shared" si="135"/>
        <v>4265.4228397621418</v>
      </c>
      <c r="F503" s="1156">
        <f t="shared" si="136"/>
        <v>-876.51669381754698</v>
      </c>
      <c r="G503" s="1156">
        <f t="shared" si="137"/>
        <v>1482.8936711217773</v>
      </c>
      <c r="H503" s="827">
        <v>78</v>
      </c>
      <c r="I503" s="1157">
        <f>'Emission-Waste Transport Vehicl'!N47</f>
        <v>24.709463125776001</v>
      </c>
      <c r="J503" s="1157">
        <f>'Emission-Waste Transport Vehicl'!P47</f>
        <v>13.747933598256003</v>
      </c>
      <c r="K503" s="1157">
        <f>'Emission-Waste Transport Vehicl'!Q47</f>
        <v>10.677031814592</v>
      </c>
      <c r="L503" s="1157">
        <f>'Emission-Waste Transport Vehicl'!R47</f>
        <v>1.0626826335840001</v>
      </c>
      <c r="M503" s="1159">
        <f t="shared" si="123"/>
        <v>130045.12873574279</v>
      </c>
      <c r="N503" s="1159">
        <f t="shared" si="124"/>
        <v>17313.719292458867</v>
      </c>
      <c r="O503" s="1159">
        <f t="shared" si="125"/>
        <v>58640.749969534481</v>
      </c>
      <c r="P503" s="1159">
        <f t="shared" si="126"/>
        <v>-9358.5966259109446</v>
      </c>
      <c r="Q503" s="1159">
        <f t="shared" si="127"/>
        <v>1575.8453517527364</v>
      </c>
      <c r="R503" s="2773"/>
    </row>
    <row r="504" spans="1:18" x14ac:dyDescent="0.25">
      <c r="A504" s="2862"/>
      <c r="B504" s="706">
        <v>2034</v>
      </c>
      <c r="C504" s="1134">
        <f t="shared" si="133"/>
        <v>1667245.2402018306</v>
      </c>
      <c r="D504" s="1156">
        <f t="shared" si="134"/>
        <v>700.69184442934477</v>
      </c>
      <c r="E504" s="1156">
        <f t="shared" si="135"/>
        <v>4265.4228397621418</v>
      </c>
      <c r="F504" s="1156">
        <f t="shared" si="136"/>
        <v>-876.51669381754698</v>
      </c>
      <c r="G504" s="1156">
        <f t="shared" si="137"/>
        <v>1482.8936711217773</v>
      </c>
      <c r="H504" s="827">
        <v>79</v>
      </c>
      <c r="I504" s="1157">
        <f>'Emission-Waste Transport Vehicl'!N48</f>
        <v>24.223685317920005</v>
      </c>
      <c r="J504" s="1157">
        <f>'Emission-Waste Transport Vehicl'!P48</f>
        <v>13.477654919520001</v>
      </c>
      <c r="K504" s="1157">
        <f>'Emission-Waste Transport Vehicl'!Q48</f>
        <v>10.467125792640001</v>
      </c>
      <c r="L504" s="1157">
        <f>'Emission-Waste Transport Vehicl'!R48</f>
        <v>1.04179073328</v>
      </c>
      <c r="M504" s="1159">
        <f t="shared" si="123"/>
        <v>131712.37397594462</v>
      </c>
      <c r="N504" s="1159">
        <f t="shared" si="124"/>
        <v>16973.338744289405</v>
      </c>
      <c r="O504" s="1159">
        <f t="shared" si="125"/>
        <v>57487.897120153204</v>
      </c>
      <c r="P504" s="1159">
        <f t="shared" si="126"/>
        <v>-9174.6104935371841</v>
      </c>
      <c r="Q504" s="1159">
        <f t="shared" si="127"/>
        <v>1544.8648850142276</v>
      </c>
      <c r="R504" s="2773"/>
    </row>
    <row r="505" spans="1:18" x14ac:dyDescent="0.25">
      <c r="A505" s="2862"/>
      <c r="B505" s="706">
        <v>2035</v>
      </c>
      <c r="C505" s="1134">
        <f t="shared" si="133"/>
        <v>1667245.2402018306</v>
      </c>
      <c r="D505" s="1156">
        <f t="shared" si="134"/>
        <v>700.69184442934477</v>
      </c>
      <c r="E505" s="1156">
        <f t="shared" si="135"/>
        <v>4265.4228397621418</v>
      </c>
      <c r="F505" s="1156">
        <f t="shared" si="136"/>
        <v>-876.51669381754698</v>
      </c>
      <c r="G505" s="1156">
        <f t="shared" si="137"/>
        <v>1482.8936711217773</v>
      </c>
      <c r="H505" s="827">
        <v>80</v>
      </c>
      <c r="I505" s="1157">
        <f>'Emission-Waste Transport Vehicl'!N49</f>
        <v>23.747688271296006</v>
      </c>
      <c r="J505" s="1157">
        <f>'Emission-Waste Transport Vehicl'!P49</f>
        <v>13.212818093376002</v>
      </c>
      <c r="K505" s="1157">
        <f>'Emission-Waste Transport Vehicl'!Q49</f>
        <v>10.261446066432002</v>
      </c>
      <c r="L505" s="1157">
        <f>'Emission-Waste Transport Vehicl'!R49</f>
        <v>1.0213194752640002</v>
      </c>
      <c r="M505" s="1159">
        <f t="shared" si="123"/>
        <v>133379.61921614647</v>
      </c>
      <c r="N505" s="1159">
        <f t="shared" si="124"/>
        <v>16639.811495747515</v>
      </c>
      <c r="O505" s="1159">
        <f t="shared" si="125"/>
        <v>56358.256073108474</v>
      </c>
      <c r="P505" s="1159">
        <f t="shared" si="126"/>
        <v>-8994.3287799360514</v>
      </c>
      <c r="Q505" s="1159">
        <f t="shared" si="127"/>
        <v>1514.5081860624005</v>
      </c>
      <c r="R505" s="2773"/>
    </row>
    <row r="506" spans="1:18" x14ac:dyDescent="0.25">
      <c r="A506" s="2862"/>
      <c r="B506" s="706">
        <v>2036</v>
      </c>
      <c r="C506" s="1134">
        <f t="shared" si="133"/>
        <v>1667245.2402018306</v>
      </c>
      <c r="D506" s="1156">
        <f t="shared" si="134"/>
        <v>700.69184442934477</v>
      </c>
      <c r="E506" s="1156">
        <f t="shared" si="135"/>
        <v>4265.4228397621418</v>
      </c>
      <c r="F506" s="1156">
        <f t="shared" si="136"/>
        <v>-876.51669381754698</v>
      </c>
      <c r="G506" s="1156">
        <f t="shared" si="137"/>
        <v>1482.8936711217773</v>
      </c>
      <c r="H506" s="827">
        <v>81</v>
      </c>
      <c r="I506" s="1157">
        <f>'Emission-Waste Transport Vehicl'!N50</f>
        <v>23.284732239648001</v>
      </c>
      <c r="J506" s="1157">
        <f>'Emission-Waste Transport Vehicl'!P50</f>
        <v>12.955237070688</v>
      </c>
      <c r="K506" s="1157">
        <f>'Emission-Waste Transport Vehicl'!Q50</f>
        <v>10.061401401215999</v>
      </c>
      <c r="L506" s="1157">
        <f>'Emission-Waste Transport Vehicl'!R50</f>
        <v>1.001409073632</v>
      </c>
      <c r="M506" s="1159">
        <f t="shared" si="123"/>
        <v>135046.8644563483</v>
      </c>
      <c r="N506" s="1159">
        <f t="shared" si="124"/>
        <v>16315.421980042385</v>
      </c>
      <c r="O506" s="1159">
        <f t="shared" si="125"/>
        <v>55259.564095845781</v>
      </c>
      <c r="P506" s="1159">
        <f t="shared" si="126"/>
        <v>-8818.9862913650813</v>
      </c>
      <c r="Q506" s="1159">
        <f t="shared" si="127"/>
        <v>1484.9831774928148</v>
      </c>
      <c r="R506" s="2773"/>
    </row>
    <row r="507" spans="1:18" x14ac:dyDescent="0.25">
      <c r="A507" s="2862"/>
      <c r="B507" s="706">
        <v>2037</v>
      </c>
      <c r="C507" s="1134">
        <f t="shared" si="133"/>
        <v>1667245.2402018306</v>
      </c>
      <c r="D507" s="1156">
        <f t="shared" si="134"/>
        <v>700.69184442934477</v>
      </c>
      <c r="E507" s="1156">
        <f t="shared" si="135"/>
        <v>4265.4228397621418</v>
      </c>
      <c r="F507" s="1156">
        <f t="shared" si="136"/>
        <v>-876.51669381754698</v>
      </c>
      <c r="G507" s="1156">
        <f t="shared" si="137"/>
        <v>1482.8936711217773</v>
      </c>
      <c r="H507" s="827">
        <v>83</v>
      </c>
      <c r="I507" s="1157">
        <f>'Emission-Waste Transport Vehicl'!N51</f>
        <v>22.828296715488005</v>
      </c>
      <c r="J507" s="1157">
        <f>'Emission-Waste Transport Vehicl'!P51</f>
        <v>12.701283949728003</v>
      </c>
      <c r="K507" s="1157">
        <f>'Emission-Waste Transport Vehicl'!Q51</f>
        <v>9.8641742664960006</v>
      </c>
      <c r="L507" s="1157">
        <f>'Emission-Waste Transport Vehicl'!R51</f>
        <v>0.9817791001920001</v>
      </c>
      <c r="M507" s="1159">
        <f t="shared" si="123"/>
        <v>138381.35493675194</v>
      </c>
      <c r="N507" s="1159">
        <f t="shared" si="124"/>
        <v>15995.601330755644</v>
      </c>
      <c r="O507" s="1159">
        <f t="shared" si="125"/>
        <v>54176.346653474131</v>
      </c>
      <c r="P507" s="1159">
        <f t="shared" si="126"/>
        <v>-8646.1134153092007</v>
      </c>
      <c r="Q507" s="1159">
        <f t="shared" si="127"/>
        <v>1455.8740141143503</v>
      </c>
      <c r="R507" s="2773"/>
    </row>
    <row r="508" spans="1:18" x14ac:dyDescent="0.25">
      <c r="A508" s="2862"/>
      <c r="B508" s="706">
        <v>2038</v>
      </c>
      <c r="C508" s="1134">
        <f t="shared" si="133"/>
        <v>1667245.2402018306</v>
      </c>
      <c r="D508" s="1156">
        <f t="shared" si="134"/>
        <v>700.69184442934477</v>
      </c>
      <c r="E508" s="1156">
        <f t="shared" si="135"/>
        <v>4265.4228397621418</v>
      </c>
      <c r="F508" s="1156">
        <f t="shared" si="136"/>
        <v>-876.51669381754698</v>
      </c>
      <c r="G508" s="1156">
        <f t="shared" si="137"/>
        <v>1482.8936711217773</v>
      </c>
      <c r="H508" s="827">
        <v>84</v>
      </c>
      <c r="I508" s="1157">
        <f>'Emission-Waste Transport Vehicl'!N52</f>
        <v>22.378381698816003</v>
      </c>
      <c r="J508" s="1157">
        <f>'Emission-Waste Transport Vehicl'!P52</f>
        <v>12.450958730496001</v>
      </c>
      <c r="K508" s="1157">
        <f>'Emission-Waste Transport Vehicl'!Q52</f>
        <v>9.6697646622720015</v>
      </c>
      <c r="L508" s="1157">
        <f>'Emission-Waste Transport Vehicl'!R52</f>
        <v>0.96242955494400007</v>
      </c>
      <c r="M508" s="1159">
        <f t="shared" si="123"/>
        <v>140048.60017695377</v>
      </c>
      <c r="N508" s="1159">
        <f t="shared" si="124"/>
        <v>15680.349547887279</v>
      </c>
      <c r="O508" s="1159">
        <f t="shared" si="125"/>
        <v>53108.603745993489</v>
      </c>
      <c r="P508" s="1159">
        <f t="shared" si="126"/>
        <v>-8475.7101517684041</v>
      </c>
      <c r="Q508" s="1159">
        <f t="shared" si="127"/>
        <v>1427.1806959270066</v>
      </c>
      <c r="R508" s="2773"/>
    </row>
    <row r="509" spans="1:18" x14ac:dyDescent="0.25">
      <c r="A509" s="2862"/>
      <c r="B509" s="706">
        <v>2039</v>
      </c>
      <c r="C509" s="1134">
        <f t="shared" si="133"/>
        <v>1667245.2402018306</v>
      </c>
      <c r="D509" s="1156">
        <f t="shared" si="134"/>
        <v>700.69184442934477</v>
      </c>
      <c r="E509" s="1156">
        <f t="shared" si="135"/>
        <v>4265.4228397621418</v>
      </c>
      <c r="F509" s="1156">
        <f t="shared" si="136"/>
        <v>-876.51669381754698</v>
      </c>
      <c r="G509" s="1156">
        <f t="shared" si="137"/>
        <v>1482.8936711217773</v>
      </c>
      <c r="H509" s="827">
        <v>85</v>
      </c>
      <c r="I509" s="1157">
        <f>'Emission-Waste Transport Vehicl'!N53</f>
        <v>21.941507697120006</v>
      </c>
      <c r="J509" s="1157">
        <f>'Emission-Waste Transport Vehicl'!P53</f>
        <v>12.207889314720003</v>
      </c>
      <c r="K509" s="1157">
        <f>'Emission-Waste Transport Vehicl'!Q53</f>
        <v>9.4809901190400012</v>
      </c>
      <c r="L509" s="1157">
        <f>'Emission-Waste Transport Vehicl'!R53</f>
        <v>0.9436408660800002</v>
      </c>
      <c r="M509" s="1159">
        <f t="shared" si="123"/>
        <v>141715.84541715562</v>
      </c>
      <c r="N509" s="1159">
        <f t="shared" si="124"/>
        <v>15374.235497855681</v>
      </c>
      <c r="O509" s="1159">
        <f t="shared" si="125"/>
        <v>52071.809908294905</v>
      </c>
      <c r="P509" s="1159">
        <f t="shared" si="126"/>
        <v>-8310.2461132577737</v>
      </c>
      <c r="Q509" s="1159">
        <f t="shared" si="127"/>
        <v>1399.3190681219048</v>
      </c>
      <c r="R509" s="2773"/>
    </row>
    <row r="510" spans="1:18" x14ac:dyDescent="0.25">
      <c r="A510" s="2862"/>
      <c r="B510" s="706">
        <v>2040</v>
      </c>
      <c r="C510" s="1134">
        <f t="shared" si="133"/>
        <v>1667245.2402018306</v>
      </c>
      <c r="D510" s="1156">
        <f t="shared" si="134"/>
        <v>700.69184442934477</v>
      </c>
      <c r="E510" s="1156">
        <f t="shared" si="135"/>
        <v>4265.4228397621418</v>
      </c>
      <c r="F510" s="1156">
        <f t="shared" si="136"/>
        <v>-876.51669381754698</v>
      </c>
      <c r="G510" s="1156">
        <f t="shared" si="137"/>
        <v>1482.8936711217773</v>
      </c>
      <c r="H510" s="827">
        <v>86</v>
      </c>
      <c r="I510" s="1157">
        <f>'Emission-Waste Transport Vehicl'!N54</f>
        <v>21.511154202912003</v>
      </c>
      <c r="J510" s="1157">
        <f>'Emission-Waste Transport Vehicl'!P54</f>
        <v>11.968447800672001</v>
      </c>
      <c r="K510" s="1157">
        <f>'Emission-Waste Transport Vehicl'!Q54</f>
        <v>9.2950331063040004</v>
      </c>
      <c r="L510" s="1157">
        <f>'Emission-Waste Transport Vehicl'!R54</f>
        <v>0.92513260540800013</v>
      </c>
      <c r="M510" s="1159">
        <f t="shared" si="123"/>
        <v>143383.09065735745</v>
      </c>
      <c r="N510" s="1159">
        <f t="shared" si="124"/>
        <v>15072.690314242464</v>
      </c>
      <c r="O510" s="1159">
        <f t="shared" si="125"/>
        <v>51050.490605487328</v>
      </c>
      <c r="P510" s="1159">
        <f t="shared" si="126"/>
        <v>-8147.2516872622264</v>
      </c>
      <c r="Q510" s="1159">
        <f t="shared" si="127"/>
        <v>1371.8732855079238</v>
      </c>
      <c r="R510" s="2773"/>
    </row>
    <row r="511" spans="1:18" x14ac:dyDescent="0.25">
      <c r="A511" s="2862"/>
      <c r="B511" s="706">
        <v>2041</v>
      </c>
      <c r="C511" s="1134">
        <f t="shared" si="133"/>
        <v>1667245.2402018306</v>
      </c>
      <c r="D511" s="1156">
        <f t="shared" si="134"/>
        <v>700.69184442934477</v>
      </c>
      <c r="E511" s="1156">
        <f t="shared" si="135"/>
        <v>4265.4228397621418</v>
      </c>
      <c r="F511" s="1156">
        <f t="shared" si="136"/>
        <v>-876.51669381754698</v>
      </c>
      <c r="G511" s="1156">
        <f t="shared" si="137"/>
        <v>1482.8936711217773</v>
      </c>
      <c r="H511" s="827">
        <v>87</v>
      </c>
      <c r="I511" s="1157">
        <f>'Emission-Waste Transport Vehicl'!N55</f>
        <v>21.087321216192002</v>
      </c>
      <c r="J511" s="1157">
        <f>'Emission-Waste Transport Vehicl'!P55</f>
        <v>11.732634188352002</v>
      </c>
      <c r="K511" s="1157">
        <f>'Emission-Waste Transport Vehicl'!Q55</f>
        <v>9.1118936240640007</v>
      </c>
      <c r="L511" s="1157">
        <f>'Emission-Waste Transport Vehicl'!R55</f>
        <v>0.9069047729280002</v>
      </c>
      <c r="M511" s="1159">
        <f t="shared" si="123"/>
        <v>145050.33589755927</v>
      </c>
      <c r="N511" s="1159">
        <f t="shared" si="124"/>
        <v>14775.713997047627</v>
      </c>
      <c r="O511" s="1159">
        <f t="shared" si="125"/>
        <v>50044.645837570788</v>
      </c>
      <c r="P511" s="1159">
        <f t="shared" si="126"/>
        <v>-7986.726873781764</v>
      </c>
      <c r="Q511" s="1159">
        <f t="shared" si="127"/>
        <v>1344.843348085064</v>
      </c>
      <c r="R511" s="2773"/>
    </row>
    <row r="512" spans="1:18" x14ac:dyDescent="0.25">
      <c r="A512" s="2862"/>
      <c r="B512" s="706">
        <v>2042</v>
      </c>
      <c r="C512" s="1134">
        <f t="shared" si="133"/>
        <v>1667245.2402018306</v>
      </c>
      <c r="D512" s="1156">
        <f t="shared" si="134"/>
        <v>700.69184442934477</v>
      </c>
      <c r="E512" s="1156">
        <f t="shared" si="135"/>
        <v>4265.4228397621418</v>
      </c>
      <c r="F512" s="1156">
        <f t="shared" si="136"/>
        <v>-876.51669381754698</v>
      </c>
      <c r="G512" s="1156">
        <f t="shared" si="137"/>
        <v>1482.8936711217773</v>
      </c>
      <c r="H512" s="827">
        <v>88</v>
      </c>
      <c r="I512" s="1157">
        <f>'Emission-Waste Transport Vehicl'!N56</f>
        <v>20.676529244448002</v>
      </c>
      <c r="J512" s="1157">
        <f>'Emission-Waste Transport Vehicl'!P56</f>
        <v>11.504076379488001</v>
      </c>
      <c r="K512" s="1157">
        <f>'Emission-Waste Transport Vehicl'!Q56</f>
        <v>8.9343892028159999</v>
      </c>
      <c r="L512" s="1157">
        <f>'Emission-Waste Transport Vehicl'!R56</f>
        <v>0.8892377968320001</v>
      </c>
      <c r="M512" s="1159">
        <f t="shared" si="123"/>
        <v>146717.5811377611</v>
      </c>
      <c r="N512" s="1159">
        <f t="shared" si="124"/>
        <v>14487.875412689556</v>
      </c>
      <c r="O512" s="1159">
        <f t="shared" si="125"/>
        <v>49069.750139436292</v>
      </c>
      <c r="P512" s="1159">
        <f t="shared" si="126"/>
        <v>-7831.1412853314696</v>
      </c>
      <c r="Q512" s="1159">
        <f t="shared" si="127"/>
        <v>1318.6451010444457</v>
      </c>
      <c r="R512" s="2773"/>
    </row>
    <row r="513" spans="1:18" x14ac:dyDescent="0.25">
      <c r="A513" s="2862"/>
      <c r="B513" s="706">
        <v>2043</v>
      </c>
      <c r="C513" s="1134">
        <f t="shared" si="133"/>
        <v>1667245.2402018306</v>
      </c>
      <c r="D513" s="1156">
        <f t="shared" si="134"/>
        <v>700.69184442934477</v>
      </c>
      <c r="E513" s="1156">
        <f t="shared" si="135"/>
        <v>4265.4228397621418</v>
      </c>
      <c r="F513" s="1156">
        <f t="shared" si="136"/>
        <v>-876.51669381754698</v>
      </c>
      <c r="G513" s="1156">
        <f t="shared" si="137"/>
        <v>1482.8936711217773</v>
      </c>
      <c r="H513" s="827">
        <v>89</v>
      </c>
      <c r="I513" s="1157">
        <f>'Emission-Waste Transport Vehicl'!N57</f>
        <v>20.268997526448004</v>
      </c>
      <c r="J513" s="1157">
        <f>'Emission-Waste Transport Vehicl'!P57</f>
        <v>11.277332521488001</v>
      </c>
      <c r="K513" s="1157">
        <f>'Emission-Waste Transport Vehicl'!Q57</f>
        <v>8.7582935468160006</v>
      </c>
      <c r="L513" s="1157">
        <f>'Emission-Waste Transport Vehicl'!R57</f>
        <v>0.87171103483200019</v>
      </c>
      <c r="M513" s="1159">
        <f t="shared" si="123"/>
        <v>148384.82637796292</v>
      </c>
      <c r="N513" s="1159">
        <f t="shared" si="124"/>
        <v>14202.321261540679</v>
      </c>
      <c r="O513" s="1159">
        <f t="shared" si="125"/>
        <v>48102.591708747306</v>
      </c>
      <c r="P513" s="1159">
        <f t="shared" si="126"/>
        <v>-7676.7905031387181</v>
      </c>
      <c r="Q513" s="1159">
        <f t="shared" si="127"/>
        <v>1292.6547765993882</v>
      </c>
      <c r="R513" s="2773"/>
    </row>
    <row r="514" spans="1:18" x14ac:dyDescent="0.25">
      <c r="A514" s="2862"/>
      <c r="B514" s="706">
        <v>2044</v>
      </c>
      <c r="C514" s="1134">
        <f t="shared" si="133"/>
        <v>1667245.2402018306</v>
      </c>
      <c r="D514" s="1156">
        <f t="shared" si="134"/>
        <v>700.69184442934477</v>
      </c>
      <c r="E514" s="1156">
        <f t="shared" si="135"/>
        <v>4265.4228397621418</v>
      </c>
      <c r="F514" s="1156">
        <f t="shared" si="136"/>
        <v>-876.51669381754698</v>
      </c>
      <c r="G514" s="1156">
        <f t="shared" si="137"/>
        <v>1482.8936711217773</v>
      </c>
      <c r="H514" s="827">
        <v>90</v>
      </c>
      <c r="I514" s="1157">
        <f>'Emission-Waste Transport Vehicl'!N58</f>
        <v>19.871246569680004</v>
      </c>
      <c r="J514" s="1157">
        <f>'Emission-Waste Transport Vehicl'!P58</f>
        <v>11.056030516080002</v>
      </c>
      <c r="K514" s="1157">
        <f>'Emission-Waste Transport Vehicl'!Q58</f>
        <v>8.5864241865600004</v>
      </c>
      <c r="L514" s="1157">
        <f>'Emission-Waste Transport Vehicl'!R58</f>
        <v>0.85460491512000014</v>
      </c>
      <c r="M514" s="1159">
        <f t="shared" si="123"/>
        <v>150052.07161816477</v>
      </c>
      <c r="N514" s="1159">
        <f t="shared" si="124"/>
        <v>13923.620410019372</v>
      </c>
      <c r="O514" s="1159">
        <f t="shared" si="125"/>
        <v>47158.645080394861</v>
      </c>
      <c r="P514" s="1159">
        <f t="shared" si="126"/>
        <v>-7526.1441397185918</v>
      </c>
      <c r="Q514" s="1159">
        <f t="shared" si="127"/>
        <v>1267.2882199410119</v>
      </c>
      <c r="R514" s="2773"/>
    </row>
    <row r="515" spans="1:18" x14ac:dyDescent="0.25">
      <c r="A515" s="2862"/>
      <c r="B515" s="706">
        <v>2045</v>
      </c>
      <c r="C515" s="1134">
        <f t="shared" si="133"/>
        <v>1667245.2402018306</v>
      </c>
      <c r="D515" s="1156">
        <f t="shared" si="134"/>
        <v>700.69184442934477</v>
      </c>
      <c r="E515" s="1156">
        <f t="shared" si="135"/>
        <v>4265.4228397621418</v>
      </c>
      <c r="F515" s="1156">
        <f t="shared" si="136"/>
        <v>-876.51669381754698</v>
      </c>
      <c r="G515" s="1156">
        <f t="shared" si="137"/>
        <v>1482.8936711217773</v>
      </c>
      <c r="H515" s="827">
        <v>92</v>
      </c>
      <c r="I515" s="1157">
        <f>'Emission-Waste Transport Vehicl'!N59</f>
        <v>19.483276374144001</v>
      </c>
      <c r="J515" s="1157">
        <f>'Emission-Waste Transport Vehicl'!P59</f>
        <v>10.840170363264003</v>
      </c>
      <c r="K515" s="1157">
        <f>'Emission-Waste Transport Vehicl'!Q59</f>
        <v>8.4187811220480011</v>
      </c>
      <c r="L515" s="1157">
        <f>'Emission-Waste Transport Vehicl'!R59</f>
        <v>0.83791943769600008</v>
      </c>
      <c r="M515" s="1159">
        <f t="shared" si="123"/>
        <v>153386.56209856842</v>
      </c>
      <c r="N515" s="1159">
        <f t="shared" si="124"/>
        <v>13651.772858125636</v>
      </c>
      <c r="O515" s="1159">
        <f t="shared" si="125"/>
        <v>46237.910254378949</v>
      </c>
      <c r="P515" s="1159">
        <f t="shared" si="126"/>
        <v>-7379.2021950710923</v>
      </c>
      <c r="Q515" s="1159">
        <f t="shared" si="127"/>
        <v>1242.5454310693169</v>
      </c>
      <c r="R515" s="2773"/>
    </row>
    <row r="516" spans="1:18" x14ac:dyDescent="0.25">
      <c r="A516" s="2862"/>
      <c r="B516" s="706">
        <v>2046</v>
      </c>
      <c r="C516" s="1134">
        <f t="shared" si="133"/>
        <v>1667245.2402018306</v>
      </c>
      <c r="D516" s="1156">
        <f t="shared" si="134"/>
        <v>700.69184442934477</v>
      </c>
      <c r="E516" s="1156">
        <f t="shared" si="135"/>
        <v>4265.4228397621418</v>
      </c>
      <c r="F516" s="1156">
        <f t="shared" si="136"/>
        <v>-876.51669381754698</v>
      </c>
      <c r="G516" s="1156">
        <f t="shared" si="137"/>
        <v>1482.8936711217773</v>
      </c>
      <c r="H516" s="827">
        <v>93</v>
      </c>
      <c r="I516" s="1157">
        <f>'Emission-Waste Transport Vehicl'!N60</f>
        <v>19.101826686096</v>
      </c>
      <c r="J516" s="1157">
        <f>'Emission-Waste Transport Vehicl'!P60</f>
        <v>10.627938112176002</v>
      </c>
      <c r="K516" s="1157">
        <f>'Emission-Waste Transport Vehicl'!Q60</f>
        <v>8.2539555880319995</v>
      </c>
      <c r="L516" s="1157">
        <f>'Emission-Waste Transport Vehicl'!R60</f>
        <v>0.82151438846400004</v>
      </c>
      <c r="M516" s="1159">
        <f t="shared" ref="M516:M579" si="138">(C516/1000)*H516</f>
        <v>155053.80733877025</v>
      </c>
      <c r="N516" s="1159">
        <f t="shared" si="124"/>
        <v>13384.494172650286</v>
      </c>
      <c r="O516" s="1159">
        <f t="shared" si="125"/>
        <v>45332.649963254058</v>
      </c>
      <c r="P516" s="1159">
        <f t="shared" si="126"/>
        <v>-7234.7298629386751</v>
      </c>
      <c r="Q516" s="1159">
        <f t="shared" si="127"/>
        <v>1218.2184873887429</v>
      </c>
      <c r="R516" s="2773"/>
    </row>
    <row r="517" spans="1:18" x14ac:dyDescent="0.25">
      <c r="A517" s="2862"/>
      <c r="B517" s="706">
        <v>2047</v>
      </c>
      <c r="C517" s="1134">
        <f t="shared" si="133"/>
        <v>1667245.2402018306</v>
      </c>
      <c r="D517" s="1156">
        <f t="shared" si="134"/>
        <v>700.69184442934477</v>
      </c>
      <c r="E517" s="1156">
        <f t="shared" si="135"/>
        <v>4265.4228397621418</v>
      </c>
      <c r="F517" s="1156">
        <f t="shared" si="136"/>
        <v>-876.51669381754698</v>
      </c>
      <c r="G517" s="1156">
        <f t="shared" si="137"/>
        <v>1482.8936711217773</v>
      </c>
      <c r="H517" s="827">
        <v>94</v>
      </c>
      <c r="I517" s="1157">
        <f>'Emission-Waste Transport Vehicl'!N61</f>
        <v>18.726897505536005</v>
      </c>
      <c r="J517" s="1157">
        <f>'Emission-Waste Transport Vehicl'!P61</f>
        <v>10.419333762816001</v>
      </c>
      <c r="K517" s="1157">
        <f>'Emission-Waste Transport Vehicl'!Q61</f>
        <v>8.0919475845120008</v>
      </c>
      <c r="L517" s="1157">
        <f>'Emission-Waste Transport Vehicl'!R61</f>
        <v>0.80538976742400015</v>
      </c>
      <c r="M517" s="1159">
        <f t="shared" si="138"/>
        <v>156721.0525789721</v>
      </c>
      <c r="N517" s="1159">
        <f t="shared" si="124"/>
        <v>13121.784353593319</v>
      </c>
      <c r="O517" s="1159">
        <f t="shared" si="125"/>
        <v>44442.864207020189</v>
      </c>
      <c r="P517" s="1159">
        <f t="shared" si="126"/>
        <v>-7092.7271433213446</v>
      </c>
      <c r="Q517" s="1159">
        <f t="shared" si="127"/>
        <v>1194.3073888992899</v>
      </c>
      <c r="R517" s="2773"/>
    </row>
    <row r="518" spans="1:18" x14ac:dyDescent="0.25">
      <c r="A518" s="2862"/>
      <c r="B518" s="706">
        <v>2048</v>
      </c>
      <c r="C518" s="1134">
        <f t="shared" si="133"/>
        <v>1667245.2402018306</v>
      </c>
      <c r="D518" s="1156">
        <f t="shared" si="134"/>
        <v>700.69184442934477</v>
      </c>
      <c r="E518" s="1156">
        <f t="shared" si="135"/>
        <v>4265.4228397621418</v>
      </c>
      <c r="F518" s="1156">
        <f t="shared" si="136"/>
        <v>-876.51669381754698</v>
      </c>
      <c r="G518" s="1156">
        <f t="shared" si="137"/>
        <v>1482.8936711217773</v>
      </c>
      <c r="H518" s="827">
        <v>95</v>
      </c>
      <c r="I518" s="1157">
        <f>'Emission-Waste Transport Vehicl'!N62</f>
        <v>18.358488832464005</v>
      </c>
      <c r="J518" s="1157">
        <f>'Emission-Waste Transport Vehicl'!P62</f>
        <v>10.214357315184001</v>
      </c>
      <c r="K518" s="1157">
        <f>'Emission-Waste Transport Vehicl'!Q62</f>
        <v>7.9327571114880007</v>
      </c>
      <c r="L518" s="1157">
        <f>'Emission-Waste Transport Vehicl'!R62</f>
        <v>0.78954557457600016</v>
      </c>
      <c r="M518" s="1159">
        <f t="shared" si="138"/>
        <v>158388.29781917392</v>
      </c>
      <c r="N518" s="1159">
        <f t="shared" si="124"/>
        <v>12863.643400954732</v>
      </c>
      <c r="O518" s="1159">
        <f t="shared" si="125"/>
        <v>43568.55298567735</v>
      </c>
      <c r="P518" s="1159">
        <f t="shared" si="126"/>
        <v>-6953.1940362190962</v>
      </c>
      <c r="Q518" s="1159">
        <f t="shared" si="127"/>
        <v>1170.8121356009578</v>
      </c>
      <c r="R518" s="2773"/>
    </row>
    <row r="519" spans="1:18" x14ac:dyDescent="0.25">
      <c r="A519" s="2862"/>
      <c r="B519" s="706">
        <v>2049</v>
      </c>
      <c r="C519" s="1134">
        <f t="shared" si="133"/>
        <v>1667245.2402018306</v>
      </c>
      <c r="D519" s="1156">
        <f t="shared" si="134"/>
        <v>700.69184442934477</v>
      </c>
      <c r="E519" s="1156">
        <f t="shared" si="135"/>
        <v>4265.4228397621418</v>
      </c>
      <c r="F519" s="1156">
        <f t="shared" si="136"/>
        <v>-876.51669381754698</v>
      </c>
      <c r="G519" s="1156">
        <f t="shared" si="137"/>
        <v>1482.8936711217773</v>
      </c>
      <c r="H519" s="827">
        <v>96</v>
      </c>
      <c r="I519" s="1157">
        <f>'Emission-Waste Transport Vehicl'!N63</f>
        <v>17.999860920624005</v>
      </c>
      <c r="J519" s="1157">
        <f>'Emission-Waste Transport Vehicl'!P63</f>
        <v>10.014822720144002</v>
      </c>
      <c r="K519" s="1157">
        <f>'Emission-Waste Transport Vehicl'!Q63</f>
        <v>7.7777929342080014</v>
      </c>
      <c r="L519" s="1157">
        <f>'Emission-Waste Transport Vehicl'!R63</f>
        <v>0.77412202401600017</v>
      </c>
      <c r="M519" s="1159">
        <f t="shared" si="138"/>
        <v>160055.54305937575</v>
      </c>
      <c r="N519" s="1159">
        <f t="shared" si="124"/>
        <v>12612.355747943719</v>
      </c>
      <c r="O519" s="1159">
        <f t="shared" si="125"/>
        <v>42717.453566671044</v>
      </c>
      <c r="P519" s="1159">
        <f t="shared" si="126"/>
        <v>-6817.3653478894748</v>
      </c>
      <c r="Q519" s="1159">
        <f t="shared" si="127"/>
        <v>1147.9406500893072</v>
      </c>
      <c r="R519" s="2773"/>
    </row>
    <row r="520" spans="1:18" x14ac:dyDescent="0.25">
      <c r="A520" s="2862"/>
      <c r="B520" s="706">
        <v>2050</v>
      </c>
      <c r="C520" s="1134">
        <f t="shared" si="133"/>
        <v>1667245.2402018306</v>
      </c>
      <c r="D520" s="1156">
        <f t="shared" si="134"/>
        <v>700.69184442934477</v>
      </c>
      <c r="E520" s="1156">
        <f t="shared" si="135"/>
        <v>4265.4228397621418</v>
      </c>
      <c r="F520" s="1156">
        <f t="shared" si="136"/>
        <v>-876.51669381754698</v>
      </c>
      <c r="G520" s="1156">
        <f t="shared" si="137"/>
        <v>1482.8936711217773</v>
      </c>
      <c r="H520" s="827">
        <v>97</v>
      </c>
      <c r="I520" s="1157">
        <f>'Emission-Waste Transport Vehicl'!N64</f>
        <v>17.644493262528005</v>
      </c>
      <c r="J520" s="1157">
        <f>'Emission-Waste Transport Vehicl'!P64</f>
        <v>9.8171020759680019</v>
      </c>
      <c r="K520" s="1157">
        <f>'Emission-Waste Transport Vehicl'!Q64</f>
        <v>7.624237522176001</v>
      </c>
      <c r="L520" s="1157">
        <f>'Emission-Waste Transport Vehicl'!R64</f>
        <v>0.75883868755200012</v>
      </c>
      <c r="M520" s="1159">
        <f t="shared" si="138"/>
        <v>161722.78829957757</v>
      </c>
      <c r="N520" s="1159">
        <f t="shared" si="124"/>
        <v>12363.352528141895</v>
      </c>
      <c r="O520" s="1159">
        <f t="shared" si="125"/>
        <v>41874.091415110255</v>
      </c>
      <c r="P520" s="1159">
        <f t="shared" si="126"/>
        <v>-6682.7714658173945</v>
      </c>
      <c r="Q520" s="1159">
        <f t="shared" si="127"/>
        <v>1125.2770871732168</v>
      </c>
      <c r="R520" s="2773"/>
    </row>
    <row r="521" spans="1:18" x14ac:dyDescent="0.25">
      <c r="A521" s="2862"/>
      <c r="B521" s="706">
        <v>2051</v>
      </c>
      <c r="C521" s="1134">
        <f t="shared" ref="C521:C539" si="139">$S$21</f>
        <v>1667245.2402018306</v>
      </c>
      <c r="D521" s="1156">
        <f t="shared" ref="D521:D539" si="140">$T$21</f>
        <v>700.69184442934477</v>
      </c>
      <c r="E521" s="1156">
        <f t="shared" ref="E521:E539" si="141">$R$21</f>
        <v>4265.4228397621418</v>
      </c>
      <c r="F521" s="1156">
        <f t="shared" ref="F521:F539" si="142">$V$21</f>
        <v>-876.51669381754698</v>
      </c>
      <c r="G521" s="1156">
        <f t="shared" ref="G521:G539" si="143">$U$21</f>
        <v>1482.8936711217773</v>
      </c>
      <c r="H521" s="827">
        <v>97</v>
      </c>
      <c r="I521" s="1157">
        <f>'Emission-Waste Transport Vehicl'!N65</f>
        <v>17.298906365664003</v>
      </c>
      <c r="J521" s="1157">
        <f>'Emission-Waste Transport Vehicl'!P65</f>
        <v>9.624823284384</v>
      </c>
      <c r="K521" s="1157">
        <f>'Emission-Waste Transport Vehicl'!Q65</f>
        <v>7.4749084058879998</v>
      </c>
      <c r="L521" s="1157">
        <f>'Emission-Waste Transport Vehicl'!R65</f>
        <v>0.74397599337600007</v>
      </c>
      <c r="M521" s="1159">
        <f t="shared" si="138"/>
        <v>161722.78829957757</v>
      </c>
      <c r="N521" s="1159">
        <f t="shared" si="124"/>
        <v>12121.202607967643</v>
      </c>
      <c r="O521" s="1159">
        <f t="shared" si="125"/>
        <v>41053.941065885985</v>
      </c>
      <c r="P521" s="1159">
        <f t="shared" si="126"/>
        <v>-6551.8820025179402</v>
      </c>
      <c r="Q521" s="1159">
        <f t="shared" si="127"/>
        <v>1103.2372920438079</v>
      </c>
      <c r="R521" s="2773"/>
    </row>
    <row r="522" spans="1:18" x14ac:dyDescent="0.25">
      <c r="A522" s="2862"/>
      <c r="B522" s="706">
        <v>2052</v>
      </c>
      <c r="C522" s="1134">
        <f t="shared" si="139"/>
        <v>1667245.2402018306</v>
      </c>
      <c r="D522" s="1156">
        <f t="shared" si="140"/>
        <v>700.69184442934477</v>
      </c>
      <c r="E522" s="1156">
        <f t="shared" si="141"/>
        <v>4265.4228397621418</v>
      </c>
      <c r="F522" s="1156">
        <f t="shared" si="142"/>
        <v>-876.51669381754698</v>
      </c>
      <c r="G522" s="1156">
        <f t="shared" si="143"/>
        <v>1482.8936711217773</v>
      </c>
      <c r="H522" s="827">
        <v>97</v>
      </c>
      <c r="I522" s="1157">
        <f>'Emission-Waste Transport Vehicl'!N66</f>
        <v>16.959839976288002</v>
      </c>
      <c r="J522" s="1157">
        <f>'Emission-Waste Transport Vehicl'!P66</f>
        <v>9.4361723945280005</v>
      </c>
      <c r="K522" s="1157">
        <f>'Emission-Waste Transport Vehicl'!Q66</f>
        <v>7.3283968200960006</v>
      </c>
      <c r="L522" s="1157">
        <f>'Emission-Waste Transport Vehicl'!R66</f>
        <v>0.72939372739200004</v>
      </c>
      <c r="M522" s="1159">
        <f t="shared" si="138"/>
        <v>161722.78829957757</v>
      </c>
      <c r="N522" s="1159">
        <f t="shared" si="124"/>
        <v>11883.621554211775</v>
      </c>
      <c r="O522" s="1159">
        <f t="shared" si="125"/>
        <v>40249.265251552752</v>
      </c>
      <c r="P522" s="1159">
        <f t="shared" si="126"/>
        <v>-6423.4621517335709</v>
      </c>
      <c r="Q522" s="1159">
        <f t="shared" si="127"/>
        <v>1081.6133421055197</v>
      </c>
      <c r="R522" s="2773"/>
    </row>
    <row r="523" spans="1:18" x14ac:dyDescent="0.25">
      <c r="A523" s="2862"/>
      <c r="B523" s="706">
        <v>2053</v>
      </c>
      <c r="C523" s="1134">
        <f t="shared" si="139"/>
        <v>1667245.2402018306</v>
      </c>
      <c r="D523" s="1156">
        <f t="shared" si="140"/>
        <v>700.69184442934477</v>
      </c>
      <c r="E523" s="1156">
        <f t="shared" si="141"/>
        <v>4265.4228397621418</v>
      </c>
      <c r="F523" s="1156">
        <f t="shared" si="142"/>
        <v>-876.51669381754698</v>
      </c>
      <c r="G523" s="1156">
        <f t="shared" si="143"/>
        <v>1482.8936711217773</v>
      </c>
      <c r="H523" s="827">
        <v>97</v>
      </c>
      <c r="I523" s="1157">
        <f>'Emission-Waste Transport Vehicl'!N67</f>
        <v>15.361506000000002</v>
      </c>
      <c r="J523" s="1157">
        <f>'Emission-Waste Transport Vehicl'!P67</f>
        <v>9.2511494064000015</v>
      </c>
      <c r="K523" s="1157">
        <f>'Emission-Waste Transport Vehicl'!Q67</f>
        <v>7.1847027647999999</v>
      </c>
      <c r="L523" s="1157">
        <f>'Emission-Waste Transport Vehicl'!R67</f>
        <v>0.71509188960000014</v>
      </c>
      <c r="M523" s="1159">
        <f t="shared" si="138"/>
        <v>161722.78829957757</v>
      </c>
      <c r="N523" s="1159">
        <f t="shared" si="124"/>
        <v>10763.681972352448</v>
      </c>
      <c r="O523" s="1159">
        <f t="shared" si="125"/>
        <v>39460.063972110547</v>
      </c>
      <c r="P523" s="1159">
        <f t="shared" si="126"/>
        <v>-6297.5119134642846</v>
      </c>
      <c r="Q523" s="1159">
        <f t="shared" si="127"/>
        <v>1060.4052373583529</v>
      </c>
      <c r="R523" s="2773"/>
    </row>
    <row r="524" spans="1:18" x14ac:dyDescent="0.25">
      <c r="A524" s="2862"/>
      <c r="B524" s="706">
        <v>2054</v>
      </c>
      <c r="C524" s="1134">
        <f t="shared" si="139"/>
        <v>1667245.2402018306</v>
      </c>
      <c r="D524" s="1156">
        <f t="shared" si="140"/>
        <v>700.69184442934477</v>
      </c>
      <c r="E524" s="1156">
        <f t="shared" si="141"/>
        <v>4265.4228397621418</v>
      </c>
      <c r="F524" s="1156">
        <f t="shared" si="142"/>
        <v>-876.51669381754698</v>
      </c>
      <c r="G524" s="1156">
        <f t="shared" si="143"/>
        <v>1482.8936711217773</v>
      </c>
      <c r="H524" s="827">
        <v>97</v>
      </c>
      <c r="I524" s="1157">
        <f>'Emission-Waste Transport Vehicl'!N68</f>
        <v>16.301268720000003</v>
      </c>
      <c r="J524" s="1157">
        <f>'Emission-Waste Transport Vehicl'!P68</f>
        <v>9.0697543200000013</v>
      </c>
      <c r="K524" s="1157">
        <f>'Emission-Waste Transport Vehicl'!Q68</f>
        <v>7.0438262400000005</v>
      </c>
      <c r="L524" s="1157">
        <f>'Emission-Waste Transport Vehicl'!R68</f>
        <v>0.70107048000000005</v>
      </c>
      <c r="M524" s="1159">
        <f t="shared" si="138"/>
        <v>161722.78829957757</v>
      </c>
      <c r="N524" s="1159">
        <f t="shared" si="124"/>
        <v>11422.166045955186</v>
      </c>
      <c r="O524" s="1159">
        <f t="shared" si="125"/>
        <v>38686.337227559357</v>
      </c>
      <c r="P524" s="1159">
        <f t="shared" si="126"/>
        <v>-6174.0312877100832</v>
      </c>
      <c r="Q524" s="1159">
        <f t="shared" si="127"/>
        <v>1039.6129778023067</v>
      </c>
      <c r="R524" s="2773"/>
    </row>
    <row r="525" spans="1:18" x14ac:dyDescent="0.25">
      <c r="A525" s="2862"/>
      <c r="B525" s="706">
        <v>2055</v>
      </c>
      <c r="C525" s="1134">
        <f t="shared" si="139"/>
        <v>1667245.2402018306</v>
      </c>
      <c r="D525" s="1156">
        <f t="shared" si="140"/>
        <v>700.69184442934477</v>
      </c>
      <c r="E525" s="1156">
        <f t="shared" si="141"/>
        <v>4265.4228397621418</v>
      </c>
      <c r="F525" s="1156">
        <f t="shared" si="142"/>
        <v>-876.51669381754698</v>
      </c>
      <c r="G525" s="1156">
        <f t="shared" si="143"/>
        <v>1482.8936711217773</v>
      </c>
      <c r="H525" s="827">
        <v>97</v>
      </c>
      <c r="I525" s="1157">
        <f>'Emission-Waste Transport Vehicl'!N69</f>
        <v>15.981763853088003</v>
      </c>
      <c r="J525" s="1157">
        <f>'Emission-Waste Transport Vehicl'!P69</f>
        <v>8.8919871353280016</v>
      </c>
      <c r="K525" s="1157">
        <f>'Emission-Waste Transport Vehicl'!Q69</f>
        <v>6.9057672456960004</v>
      </c>
      <c r="L525" s="1157">
        <f>'Emission-Waste Transport Vehicl'!R69</f>
        <v>0.6873294985920001</v>
      </c>
      <c r="M525" s="1159">
        <f t="shared" si="138"/>
        <v>161722.78829957757</v>
      </c>
      <c r="N525" s="1159">
        <f t="shared" si="124"/>
        <v>11198.291591454465</v>
      </c>
      <c r="O525" s="1159">
        <f t="shared" si="125"/>
        <v>37928.085017899197</v>
      </c>
      <c r="P525" s="1159">
        <f t="shared" si="126"/>
        <v>-6053.0202744709659</v>
      </c>
      <c r="Q525" s="1159">
        <f t="shared" si="127"/>
        <v>1019.2365634373815</v>
      </c>
      <c r="R525" s="2773"/>
    </row>
    <row r="526" spans="1:18" x14ac:dyDescent="0.25">
      <c r="A526" s="2862"/>
      <c r="B526" s="706">
        <v>2056</v>
      </c>
      <c r="C526" s="1134">
        <f t="shared" si="139"/>
        <v>1667245.2402018306</v>
      </c>
      <c r="D526" s="1156">
        <f t="shared" si="140"/>
        <v>700.69184442934477</v>
      </c>
      <c r="E526" s="1156">
        <f t="shared" si="141"/>
        <v>4265.4228397621418</v>
      </c>
      <c r="F526" s="1156">
        <f t="shared" si="142"/>
        <v>-876.51669381754698</v>
      </c>
      <c r="G526" s="1156">
        <f t="shared" si="143"/>
        <v>1482.8936711217773</v>
      </c>
      <c r="H526" s="827">
        <v>97</v>
      </c>
      <c r="I526" s="1157">
        <f>'Emission-Waste Transport Vehicl'!N70</f>
        <v>15.668779493664003</v>
      </c>
      <c r="J526" s="1157">
        <f>'Emission-Waste Transport Vehicl'!P70</f>
        <v>8.7178478523840006</v>
      </c>
      <c r="K526" s="1157">
        <f>'Emission-Waste Transport Vehicl'!Q70</f>
        <v>6.7705257818880007</v>
      </c>
      <c r="L526" s="1157">
        <f>'Emission-Waste Transport Vehicl'!R70</f>
        <v>0.67386894537600017</v>
      </c>
      <c r="M526" s="1159">
        <f t="shared" si="138"/>
        <v>161722.78829957757</v>
      </c>
      <c r="N526" s="1159">
        <f t="shared" si="124"/>
        <v>10978.986003372125</v>
      </c>
      <c r="O526" s="1159">
        <f t="shared" si="125"/>
        <v>37185.307343130051</v>
      </c>
      <c r="P526" s="1159">
        <f t="shared" si="126"/>
        <v>-5934.4788737469325</v>
      </c>
      <c r="Q526" s="1159">
        <f t="shared" si="127"/>
        <v>999.27599426357733</v>
      </c>
      <c r="R526" s="2773"/>
    </row>
    <row r="527" spans="1:18" x14ac:dyDescent="0.25">
      <c r="A527" s="2862"/>
      <c r="B527" s="706">
        <v>2057</v>
      </c>
      <c r="C527" s="1134">
        <f t="shared" si="139"/>
        <v>1667245.2402018306</v>
      </c>
      <c r="D527" s="1156">
        <f t="shared" si="140"/>
        <v>700.69184442934477</v>
      </c>
      <c r="E527" s="1156">
        <f t="shared" si="141"/>
        <v>4265.4228397621418</v>
      </c>
      <c r="F527" s="1156">
        <f t="shared" si="142"/>
        <v>-876.51669381754698</v>
      </c>
      <c r="G527" s="1156">
        <f t="shared" si="143"/>
        <v>1482.8936711217773</v>
      </c>
      <c r="H527" s="827">
        <v>97</v>
      </c>
      <c r="I527" s="1157">
        <f>'Emission-Waste Transport Vehicl'!N71</f>
        <v>15.362315641728001</v>
      </c>
      <c r="J527" s="1157">
        <f>'Emission-Waste Transport Vehicl'!P71</f>
        <v>8.547336471168002</v>
      </c>
      <c r="K527" s="1157">
        <f>'Emission-Waste Transport Vehicl'!Q71</f>
        <v>6.6381018485760004</v>
      </c>
      <c r="L527" s="1157">
        <f>'Emission-Waste Transport Vehicl'!R71</f>
        <v>0.66068882035200005</v>
      </c>
      <c r="M527" s="1159">
        <f t="shared" si="138"/>
        <v>161722.78829957757</v>
      </c>
      <c r="N527" s="1159">
        <f t="shared" si="124"/>
        <v>10764.249281708166</v>
      </c>
      <c r="O527" s="1159">
        <f t="shared" si="125"/>
        <v>36458.004203251941</v>
      </c>
      <c r="P527" s="1159">
        <f t="shared" si="126"/>
        <v>-5818.4070855379823</v>
      </c>
      <c r="Q527" s="1159">
        <f t="shared" si="127"/>
        <v>979.7312702808938</v>
      </c>
      <c r="R527" s="2773"/>
    </row>
    <row r="528" spans="1:18" x14ac:dyDescent="0.25">
      <c r="A528" s="2862"/>
      <c r="B528" s="706">
        <v>2058</v>
      </c>
      <c r="C528" s="1134">
        <f t="shared" si="139"/>
        <v>1667245.2402018306</v>
      </c>
      <c r="D528" s="1156">
        <f t="shared" si="140"/>
        <v>700.69184442934477</v>
      </c>
      <c r="E528" s="1156">
        <f t="shared" si="141"/>
        <v>4265.4228397621418</v>
      </c>
      <c r="F528" s="1156">
        <f t="shared" si="142"/>
        <v>-876.51669381754698</v>
      </c>
      <c r="G528" s="1156">
        <f t="shared" si="143"/>
        <v>1482.8936711217773</v>
      </c>
      <c r="H528" s="827">
        <v>97</v>
      </c>
      <c r="I528" s="1157">
        <f>'Emission-Waste Transport Vehicl'!N72</f>
        <v>15.059112043536</v>
      </c>
      <c r="J528" s="1157">
        <f>'Emission-Waste Transport Vehicl'!P72</f>
        <v>8.378639040816001</v>
      </c>
      <c r="K528" s="1157">
        <f>'Emission-Waste Transport Vehicl'!Q72</f>
        <v>6.5070866805119998</v>
      </c>
      <c r="L528" s="1157">
        <f>'Emission-Waste Transport Vehicl'!R72</f>
        <v>0.647648909424</v>
      </c>
      <c r="M528" s="1159">
        <f t="shared" si="138"/>
        <v>161722.78829957757</v>
      </c>
      <c r="N528" s="1159">
        <f t="shared" ref="N528:N591" si="144">D528*I528</f>
        <v>10551.7969932534</v>
      </c>
      <c r="O528" s="1159">
        <f t="shared" ref="O528:O591" si="145">E528*J528</f>
        <v>35738.438330819336</v>
      </c>
      <c r="P528" s="1159">
        <f t="shared" ref="P528:P591" si="146">F528*K528</f>
        <v>-5703.570103586575</v>
      </c>
      <c r="Q528" s="1159">
        <f t="shared" ref="Q528:Q591" si="147">G528*L528</f>
        <v>960.39446889377075</v>
      </c>
      <c r="R528" s="2773"/>
    </row>
    <row r="529" spans="1:18" x14ac:dyDescent="0.25">
      <c r="A529" s="2862"/>
      <c r="B529" s="706">
        <v>2059</v>
      </c>
      <c r="C529" s="1134">
        <f t="shared" si="139"/>
        <v>1667245.2402018306</v>
      </c>
      <c r="D529" s="1156">
        <f t="shared" si="140"/>
        <v>700.69184442934477</v>
      </c>
      <c r="E529" s="1156">
        <f t="shared" si="141"/>
        <v>4265.4228397621418</v>
      </c>
      <c r="F529" s="1156">
        <f t="shared" si="142"/>
        <v>-876.51669381754698</v>
      </c>
      <c r="G529" s="1156">
        <f t="shared" si="143"/>
        <v>1482.8936711217773</v>
      </c>
      <c r="H529" s="827">
        <v>97</v>
      </c>
      <c r="I529" s="1157">
        <f>'Emission-Waste Transport Vehicl'!N73</f>
        <v>14.765689206576004</v>
      </c>
      <c r="J529" s="1157">
        <f>'Emission-Waste Transport Vehicl'!P73</f>
        <v>8.2153834630560016</v>
      </c>
      <c r="K529" s="1157">
        <f>'Emission-Waste Transport Vehicl'!Q73</f>
        <v>6.380297808192001</v>
      </c>
      <c r="L529" s="1157">
        <f>'Emission-Waste Transport Vehicl'!R73</f>
        <v>0.63502964078400004</v>
      </c>
      <c r="M529" s="1159">
        <f t="shared" si="138"/>
        <v>161722.78829957757</v>
      </c>
      <c r="N529" s="1159">
        <f t="shared" si="144"/>
        <v>10346.198004426209</v>
      </c>
      <c r="O529" s="1159">
        <f t="shared" si="145"/>
        <v>35042.08426072327</v>
      </c>
      <c r="P529" s="1159">
        <f t="shared" si="146"/>
        <v>-5592.4375404077946</v>
      </c>
      <c r="Q529" s="1159">
        <f t="shared" si="147"/>
        <v>941.68143529332929</v>
      </c>
      <c r="R529" s="2773"/>
    </row>
    <row r="530" spans="1:18" x14ac:dyDescent="0.25">
      <c r="A530" s="2862"/>
      <c r="B530" s="706">
        <v>2060</v>
      </c>
      <c r="C530" s="1134">
        <f t="shared" si="139"/>
        <v>1667245.2402018306</v>
      </c>
      <c r="D530" s="1156">
        <f t="shared" si="140"/>
        <v>700.69184442934477</v>
      </c>
      <c r="E530" s="1156">
        <f t="shared" si="141"/>
        <v>4265.4228397621418</v>
      </c>
      <c r="F530" s="1156">
        <f t="shared" si="142"/>
        <v>-876.51669381754698</v>
      </c>
      <c r="G530" s="1156">
        <f t="shared" si="143"/>
        <v>1482.8936711217773</v>
      </c>
      <c r="H530" s="827">
        <v>97</v>
      </c>
      <c r="I530" s="1157">
        <f>'Emission-Waste Transport Vehicl'!N74</f>
        <v>14.475526623360002</v>
      </c>
      <c r="J530" s="1157">
        <f>'Emission-Waste Transport Vehicl'!P74</f>
        <v>8.0539418361599999</v>
      </c>
      <c r="K530" s="1157">
        <f>'Emission-Waste Transport Vehicl'!Q74</f>
        <v>6.2549177011200001</v>
      </c>
      <c r="L530" s="1157">
        <f>'Emission-Waste Transport Vehicl'!R74</f>
        <v>0.62255058624000004</v>
      </c>
      <c r="M530" s="1159">
        <f t="shared" si="138"/>
        <v>161722.78829957757</v>
      </c>
      <c r="N530" s="1159">
        <f t="shared" si="144"/>
        <v>10142.883448808205</v>
      </c>
      <c r="O530" s="1159">
        <f t="shared" si="145"/>
        <v>34353.467458072708</v>
      </c>
      <c r="P530" s="1159">
        <f t="shared" si="146"/>
        <v>-5482.5397834865544</v>
      </c>
      <c r="Q530" s="1159">
        <f t="shared" si="147"/>
        <v>923.17632428844831</v>
      </c>
      <c r="R530" s="2773"/>
    </row>
    <row r="531" spans="1:18" x14ac:dyDescent="0.25">
      <c r="A531" s="2862"/>
      <c r="B531" s="706">
        <v>2061</v>
      </c>
      <c r="C531" s="1134">
        <f t="shared" si="139"/>
        <v>1667245.2402018306</v>
      </c>
      <c r="D531" s="1156">
        <f t="shared" si="140"/>
        <v>700.69184442934477</v>
      </c>
      <c r="E531" s="1156">
        <f t="shared" si="141"/>
        <v>4265.4228397621418</v>
      </c>
      <c r="F531" s="1156">
        <f t="shared" si="142"/>
        <v>-876.51669381754698</v>
      </c>
      <c r="G531" s="1156">
        <f t="shared" si="143"/>
        <v>1482.8936711217773</v>
      </c>
      <c r="H531" s="827">
        <v>97</v>
      </c>
      <c r="I531" s="1157">
        <f>'Emission-Waste Transport Vehicl'!N75</f>
        <v>14.191884547632004</v>
      </c>
      <c r="J531" s="1157">
        <f>'Emission-Waste Transport Vehicl'!P75</f>
        <v>7.8961281109920014</v>
      </c>
      <c r="K531" s="1157">
        <f>'Emission-Waste Transport Vehicl'!Q75</f>
        <v>6.1323551245440004</v>
      </c>
      <c r="L531" s="1157">
        <f>'Emission-Waste Transport Vehicl'!R75</f>
        <v>0.61035195988800006</v>
      </c>
      <c r="M531" s="1159">
        <f t="shared" si="138"/>
        <v>161722.78829957757</v>
      </c>
      <c r="N531" s="1159">
        <f t="shared" si="144"/>
        <v>9944.1377596085858</v>
      </c>
      <c r="O531" s="1159">
        <f t="shared" si="145"/>
        <v>33680.325190313182</v>
      </c>
      <c r="P531" s="1159">
        <f t="shared" si="146"/>
        <v>-5375.1116390803991</v>
      </c>
      <c r="Q531" s="1159">
        <f t="shared" si="147"/>
        <v>905.08705847468821</v>
      </c>
      <c r="R531" s="2773"/>
    </row>
    <row r="532" spans="1:18" x14ac:dyDescent="0.25">
      <c r="A532" s="2862"/>
      <c r="B532" s="706">
        <v>2062</v>
      </c>
      <c r="C532" s="1134">
        <f t="shared" si="139"/>
        <v>1667245.2402018306</v>
      </c>
      <c r="D532" s="1156">
        <f t="shared" si="140"/>
        <v>700.69184442934477</v>
      </c>
      <c r="E532" s="1156">
        <f t="shared" si="141"/>
        <v>4265.4228397621418</v>
      </c>
      <c r="F532" s="1156">
        <f t="shared" si="142"/>
        <v>-876.51669381754698</v>
      </c>
      <c r="G532" s="1156">
        <f t="shared" si="143"/>
        <v>1482.8936711217773</v>
      </c>
      <c r="H532" s="827">
        <v>97</v>
      </c>
      <c r="I532" s="1157">
        <f>'Emission-Waste Transport Vehicl'!N76</f>
        <v>13.914762979392002</v>
      </c>
      <c r="J532" s="1157">
        <f>'Emission-Waste Transport Vehicl'!P76</f>
        <v>7.7419422875520008</v>
      </c>
      <c r="K532" s="1157">
        <f>'Emission-Waste Transport Vehicl'!Q76</f>
        <v>6.0126100784640002</v>
      </c>
      <c r="L532" s="1157">
        <f>'Emission-Waste Transport Vehicl'!R76</f>
        <v>0.59843376172800011</v>
      </c>
      <c r="M532" s="1159">
        <f t="shared" si="138"/>
        <v>161722.78829957757</v>
      </c>
      <c r="N532" s="1159">
        <f t="shared" si="144"/>
        <v>9749.9609368273468</v>
      </c>
      <c r="O532" s="1159">
        <f t="shared" si="145"/>
        <v>33022.657457444664</v>
      </c>
      <c r="P532" s="1159">
        <f t="shared" si="146"/>
        <v>-5270.1531071893269</v>
      </c>
      <c r="Q532" s="1159">
        <f t="shared" si="147"/>
        <v>887.41363785204908</v>
      </c>
      <c r="R532" s="2773"/>
    </row>
    <row r="533" spans="1:18" x14ac:dyDescent="0.25">
      <c r="A533" s="2862"/>
      <c r="B533" s="706">
        <v>2063</v>
      </c>
      <c r="C533" s="1134">
        <f t="shared" si="139"/>
        <v>1667245.2402018306</v>
      </c>
      <c r="D533" s="1156">
        <f t="shared" si="140"/>
        <v>700.69184442934477</v>
      </c>
      <c r="E533" s="1156">
        <f t="shared" si="141"/>
        <v>4265.4228397621418</v>
      </c>
      <c r="F533" s="1156">
        <f t="shared" si="142"/>
        <v>-876.51669381754698</v>
      </c>
      <c r="G533" s="1156">
        <f t="shared" si="143"/>
        <v>1482.8936711217773</v>
      </c>
      <c r="H533" s="827">
        <v>97</v>
      </c>
      <c r="I533" s="1157">
        <f>'Emission-Waste Transport Vehicl'!N77</f>
        <v>13.640901664896001</v>
      </c>
      <c r="J533" s="1157">
        <f>'Emission-Waste Transport Vehicl'!P77</f>
        <v>7.5895704149760004</v>
      </c>
      <c r="K533" s="1157">
        <f>'Emission-Waste Transport Vehicl'!Q77</f>
        <v>5.8942737976319997</v>
      </c>
      <c r="L533" s="1157">
        <f>'Emission-Waste Transport Vehicl'!R77</f>
        <v>0.58665577766400001</v>
      </c>
      <c r="M533" s="1159">
        <f t="shared" si="138"/>
        <v>161722.78829957757</v>
      </c>
      <c r="N533" s="1159">
        <f t="shared" si="144"/>
        <v>9558.0685472552996</v>
      </c>
      <c r="O533" s="1159">
        <f t="shared" si="145"/>
        <v>32372.726992021668</v>
      </c>
      <c r="P533" s="1159">
        <f t="shared" si="146"/>
        <v>-5166.4293815557976</v>
      </c>
      <c r="Q533" s="1159">
        <f t="shared" si="147"/>
        <v>869.9481398249701</v>
      </c>
      <c r="R533" s="2773"/>
    </row>
    <row r="534" spans="1:18" x14ac:dyDescent="0.25">
      <c r="A534" s="2862"/>
      <c r="B534" s="706">
        <v>2064</v>
      </c>
      <c r="C534" s="1134">
        <f t="shared" si="139"/>
        <v>1667245.2402018306</v>
      </c>
      <c r="D534" s="1156">
        <f t="shared" si="140"/>
        <v>700.69184442934477</v>
      </c>
      <c r="E534" s="1156">
        <f t="shared" si="141"/>
        <v>4265.4228397621418</v>
      </c>
      <c r="F534" s="1156">
        <f t="shared" si="142"/>
        <v>-876.51669381754698</v>
      </c>
      <c r="G534" s="1156">
        <f t="shared" si="143"/>
        <v>1482.8936711217773</v>
      </c>
      <c r="H534" s="827">
        <v>97</v>
      </c>
      <c r="I534" s="1157">
        <f>'Emission-Waste Transport Vehicl'!N78</f>
        <v>13.373560857888002</v>
      </c>
      <c r="J534" s="1157">
        <f>'Emission-Waste Transport Vehicl'!P78</f>
        <v>7.4408264441280014</v>
      </c>
      <c r="K534" s="1157">
        <f>'Emission-Waste Transport Vehicl'!Q78</f>
        <v>5.7787550472960003</v>
      </c>
      <c r="L534" s="1157">
        <f>'Emission-Waste Transport Vehicl'!R78</f>
        <v>0.57515822179200005</v>
      </c>
      <c r="M534" s="1159">
        <f t="shared" si="138"/>
        <v>161722.78829957757</v>
      </c>
      <c r="N534" s="1159">
        <f t="shared" si="144"/>
        <v>9370.745024101634</v>
      </c>
      <c r="O534" s="1159">
        <f t="shared" si="145"/>
        <v>31738.271061489701</v>
      </c>
      <c r="P534" s="1159">
        <f t="shared" si="146"/>
        <v>-5065.1752684373523</v>
      </c>
      <c r="Q534" s="1159">
        <f t="shared" si="147"/>
        <v>852.89848698901233</v>
      </c>
      <c r="R534" s="2773"/>
    </row>
    <row r="535" spans="1:18" x14ac:dyDescent="0.25">
      <c r="A535" s="2862"/>
      <c r="B535" s="706">
        <v>2065</v>
      </c>
      <c r="C535" s="1134">
        <f t="shared" si="139"/>
        <v>1667245.2402018306</v>
      </c>
      <c r="D535" s="1156">
        <f t="shared" si="140"/>
        <v>700.69184442934477</v>
      </c>
      <c r="E535" s="1156">
        <f t="shared" si="141"/>
        <v>4265.4228397621418</v>
      </c>
      <c r="F535" s="1156">
        <f t="shared" si="142"/>
        <v>-876.51669381754698</v>
      </c>
      <c r="G535" s="1156">
        <f t="shared" si="143"/>
        <v>1482.8936711217773</v>
      </c>
      <c r="H535" s="827">
        <v>97</v>
      </c>
      <c r="I535" s="1157">
        <f>'Emission-Waste Transport Vehicl'!N79</f>
        <v>13.112740558368001</v>
      </c>
      <c r="J535" s="1157">
        <f>'Emission-Waste Transport Vehicl'!P79</f>
        <v>7.2957103750080003</v>
      </c>
      <c r="K535" s="1157">
        <f>'Emission-Waste Transport Vehicl'!Q79</f>
        <v>5.6660538274560004</v>
      </c>
      <c r="L535" s="1157">
        <f>'Emission-Waste Transport Vehicl'!R79</f>
        <v>0.56394109411200011</v>
      </c>
      <c r="M535" s="1159">
        <f t="shared" si="138"/>
        <v>161722.78829957757</v>
      </c>
      <c r="N535" s="1159">
        <f t="shared" si="144"/>
        <v>9187.9903673663503</v>
      </c>
      <c r="O535" s="1159">
        <f t="shared" si="145"/>
        <v>31119.289665848744</v>
      </c>
      <c r="P535" s="1159">
        <f t="shared" si="146"/>
        <v>-4966.390767833991</v>
      </c>
      <c r="Q535" s="1159">
        <f t="shared" si="147"/>
        <v>836.26467934417553</v>
      </c>
      <c r="R535" s="2773"/>
    </row>
    <row r="536" spans="1:18" x14ac:dyDescent="0.25">
      <c r="A536" s="2862"/>
      <c r="B536" s="706">
        <v>2066</v>
      </c>
      <c r="C536" s="1134">
        <f t="shared" si="139"/>
        <v>1667245.2402018306</v>
      </c>
      <c r="D536" s="1156">
        <f t="shared" si="140"/>
        <v>700.69184442934477</v>
      </c>
      <c r="E536" s="1156">
        <f t="shared" si="141"/>
        <v>4265.4228397621418</v>
      </c>
      <c r="F536" s="1156">
        <f t="shared" si="142"/>
        <v>-876.51669381754698</v>
      </c>
      <c r="G536" s="1156">
        <f t="shared" si="143"/>
        <v>1482.8936711217773</v>
      </c>
      <c r="H536" s="827">
        <v>97</v>
      </c>
      <c r="I536" s="1157">
        <f>'Emission-Waste Transport Vehicl'!N80</f>
        <v>12.855180512592</v>
      </c>
      <c r="J536" s="1157">
        <f>'Emission-Waste Transport Vehicl'!P80</f>
        <v>7.1524082567520004</v>
      </c>
      <c r="K536" s="1157">
        <f>'Emission-Waste Transport Vehicl'!Q80</f>
        <v>5.5547613728639993</v>
      </c>
      <c r="L536" s="1157">
        <f>'Emission-Waste Transport Vehicl'!R80</f>
        <v>0.55286418052800002</v>
      </c>
      <c r="M536" s="1159">
        <f t="shared" si="138"/>
        <v>161722.78829957757</v>
      </c>
      <c r="N536" s="1159">
        <f t="shared" si="144"/>
        <v>9007.5201438402582</v>
      </c>
      <c r="O536" s="1159">
        <f t="shared" si="145"/>
        <v>30508.04553765331</v>
      </c>
      <c r="P536" s="1159">
        <f t="shared" si="146"/>
        <v>-4868.8410734881709</v>
      </c>
      <c r="Q536" s="1159">
        <f t="shared" si="147"/>
        <v>819.838794294899</v>
      </c>
      <c r="R536" s="2773"/>
    </row>
    <row r="537" spans="1:18" x14ac:dyDescent="0.25">
      <c r="A537" s="2862"/>
      <c r="B537" s="706">
        <v>2067</v>
      </c>
      <c r="C537" s="1134">
        <f t="shared" si="139"/>
        <v>1667245.2402018306</v>
      </c>
      <c r="D537" s="1156">
        <f t="shared" si="140"/>
        <v>700.69184442934477</v>
      </c>
      <c r="E537" s="1156">
        <f t="shared" si="141"/>
        <v>4265.4228397621418</v>
      </c>
      <c r="F537" s="1156">
        <f t="shared" si="142"/>
        <v>-876.51669381754698</v>
      </c>
      <c r="G537" s="1156">
        <f t="shared" si="143"/>
        <v>1482.8936711217773</v>
      </c>
      <c r="H537" s="827">
        <v>97</v>
      </c>
      <c r="I537" s="1157">
        <f>'Emission-Waste Transport Vehicl'!N81</f>
        <v>12.600880720560001</v>
      </c>
      <c r="J537" s="1157">
        <f>'Emission-Waste Transport Vehicl'!P81</f>
        <v>7.0109200893600008</v>
      </c>
      <c r="K537" s="1157">
        <f>'Emission-Waste Transport Vehicl'!Q81</f>
        <v>5.4448776835200006</v>
      </c>
      <c r="L537" s="1157">
        <f>'Emission-Waste Transport Vehicl'!R81</f>
        <v>0.5419274810400001</v>
      </c>
      <c r="M537" s="1159">
        <f t="shared" si="138"/>
        <v>161722.78829957757</v>
      </c>
      <c r="N537" s="1159">
        <f t="shared" si="144"/>
        <v>8829.334353523358</v>
      </c>
      <c r="O537" s="1159">
        <f t="shared" si="145"/>
        <v>29904.538676903383</v>
      </c>
      <c r="P537" s="1159">
        <f t="shared" si="146"/>
        <v>-4772.5261853998945</v>
      </c>
      <c r="Q537" s="1159">
        <f t="shared" si="147"/>
        <v>803.62083184118308</v>
      </c>
      <c r="R537" s="2773"/>
    </row>
    <row r="538" spans="1:18" x14ac:dyDescent="0.25">
      <c r="A538" s="2862"/>
      <c r="B538" s="706">
        <v>2068</v>
      </c>
      <c r="C538" s="1134">
        <f t="shared" si="139"/>
        <v>1667245.2402018306</v>
      </c>
      <c r="D538" s="1156">
        <f t="shared" si="140"/>
        <v>700.69184442934477</v>
      </c>
      <c r="E538" s="1156">
        <f t="shared" si="141"/>
        <v>4265.4228397621418</v>
      </c>
      <c r="F538" s="1156">
        <f t="shared" si="142"/>
        <v>-876.51669381754698</v>
      </c>
      <c r="G538" s="1156">
        <f t="shared" si="143"/>
        <v>1482.8936711217773</v>
      </c>
      <c r="H538" s="827">
        <v>97</v>
      </c>
      <c r="I538" s="1157">
        <f>'Emission-Waste Transport Vehicl'!N82</f>
        <v>12.356361689760002</v>
      </c>
      <c r="J538" s="1157">
        <f>'Emission-Waste Transport Vehicl'!P82</f>
        <v>6.8748737745600002</v>
      </c>
      <c r="K538" s="1157">
        <f>'Emission-Waste Transport Vehicl'!Q82</f>
        <v>5.339220289920001</v>
      </c>
      <c r="L538" s="1157">
        <f>'Emission-Waste Transport Vehicl'!R82</f>
        <v>0.53141142384000006</v>
      </c>
      <c r="M538" s="1159">
        <f t="shared" si="138"/>
        <v>161722.78829957757</v>
      </c>
      <c r="N538" s="1159">
        <f t="shared" si="144"/>
        <v>8658.0018628340313</v>
      </c>
      <c r="O538" s="1159">
        <f t="shared" si="145"/>
        <v>29324.243618489993</v>
      </c>
      <c r="P538" s="1159">
        <f t="shared" si="146"/>
        <v>-4679.9157160842442</v>
      </c>
      <c r="Q538" s="1159">
        <f t="shared" si="147"/>
        <v>788.0266371741485</v>
      </c>
      <c r="R538" s="2773"/>
    </row>
    <row r="539" spans="1:18" ht="15.75" thickBot="1" x14ac:dyDescent="0.3">
      <c r="A539" s="2863"/>
      <c r="B539" s="55">
        <v>2069</v>
      </c>
      <c r="C539" s="1135">
        <f t="shared" si="139"/>
        <v>1667245.2402018306</v>
      </c>
      <c r="D539" s="1160">
        <f t="shared" si="140"/>
        <v>700.69184442934477</v>
      </c>
      <c r="E539" s="1160">
        <f t="shared" si="141"/>
        <v>4265.4228397621418</v>
      </c>
      <c r="F539" s="1160">
        <f t="shared" si="142"/>
        <v>-876.51669381754698</v>
      </c>
      <c r="G539" s="1160">
        <f t="shared" si="143"/>
        <v>1482.8936711217773</v>
      </c>
      <c r="H539" s="1062">
        <v>97</v>
      </c>
      <c r="I539" s="1161">
        <f>'Emission-Waste Transport Vehicl'!N83</f>
        <v>12.111842658960002</v>
      </c>
      <c r="J539" s="1161">
        <f>'Emission-Waste Transport Vehicl'!P83</f>
        <v>6.7388274597600004</v>
      </c>
      <c r="K539" s="1161">
        <f>'Emission-Waste Transport Vehicl'!Q83</f>
        <v>5.2335628963200005</v>
      </c>
      <c r="L539" s="1161">
        <f>'Emission-Waste Transport Vehicl'!R83</f>
        <v>0.52089536664000002</v>
      </c>
      <c r="M539" s="1163">
        <f t="shared" si="138"/>
        <v>161722.78829957757</v>
      </c>
      <c r="N539" s="1163">
        <f t="shared" si="144"/>
        <v>8486.6693721447027</v>
      </c>
      <c r="O539" s="1163">
        <f t="shared" si="145"/>
        <v>28743.948560076602</v>
      </c>
      <c r="P539" s="1163">
        <f t="shared" si="146"/>
        <v>-4587.305246768592</v>
      </c>
      <c r="Q539" s="1163">
        <f t="shared" si="147"/>
        <v>772.43244250711382</v>
      </c>
      <c r="R539" s="2774"/>
    </row>
    <row r="540" spans="1:18" x14ac:dyDescent="0.25">
      <c r="A540" s="2903" t="s">
        <v>1831</v>
      </c>
      <c r="B540" s="888">
        <v>2019</v>
      </c>
      <c r="C540" s="1133">
        <f t="shared" ref="C540:C571" si="148">$S$22</f>
        <v>19562859.422742181</v>
      </c>
      <c r="D540" s="1153">
        <f t="shared" ref="D540:D571" si="149">$T$22</f>
        <v>8342.3707559668164</v>
      </c>
      <c r="E540" s="1153">
        <f t="shared" ref="E540:E571" si="150">$R$22</f>
        <v>52139.817224792598</v>
      </c>
      <c r="F540" s="1153">
        <f t="shared" ref="F540:F571" si="151">$V$22</f>
        <v>563.11002602776</v>
      </c>
      <c r="G540" s="1153">
        <f t="shared" ref="G540:G571" si="152">$U$22</f>
        <v>17936.097125328652</v>
      </c>
      <c r="H540" s="1056">
        <v>62</v>
      </c>
      <c r="I540" s="1154">
        <f>'Emission-Waste Transport Vehicl'!N33</f>
        <v>32.602537440000006</v>
      </c>
      <c r="J540" s="1154">
        <f>'Emission-Waste Transport Vehicl'!P33</f>
        <v>18.139508640000003</v>
      </c>
      <c r="K540" s="1154">
        <f>'Emission-Waste Transport Vehicl'!Q33</f>
        <v>14.087652480000001</v>
      </c>
      <c r="L540" s="1154">
        <f>'Emission-Waste Transport Vehicl'!R33</f>
        <v>1.4021409600000001</v>
      </c>
      <c r="M540" s="1155">
        <f t="shared" si="138"/>
        <v>1212897.2842100153</v>
      </c>
      <c r="N540" s="1155">
        <f t="shared" si="144"/>
        <v>271982.45490976929</v>
      </c>
      <c r="O540" s="1155">
        <f t="shared" si="145"/>
        <v>945790.6650371463</v>
      </c>
      <c r="P540" s="1155">
        <f t="shared" si="146"/>
        <v>7932.8983546828385</v>
      </c>
      <c r="Q540" s="1155">
        <f t="shared" si="147"/>
        <v>25148.936441961559</v>
      </c>
      <c r="R540" s="2772">
        <f>(SUM(M540:M590)*1.2682)+(SUM(N540:N590))+(SUM(O540:O590))+(SUM(P540:P590))+(SUM(Q540:Q590))</f>
        <v>149584933.55309698</v>
      </c>
    </row>
    <row r="541" spans="1:18" x14ac:dyDescent="0.25">
      <c r="A541" s="2862"/>
      <c r="B541" s="706">
        <v>2020</v>
      </c>
      <c r="C541" s="1134">
        <f t="shared" si="148"/>
        <v>19562859.422742181</v>
      </c>
      <c r="D541" s="1156">
        <f t="shared" si="149"/>
        <v>8342.3707559668164</v>
      </c>
      <c r="E541" s="1156">
        <f t="shared" si="150"/>
        <v>52139.817224792598</v>
      </c>
      <c r="F541" s="1156">
        <f t="shared" si="151"/>
        <v>563.11002602776</v>
      </c>
      <c r="G541" s="1156">
        <f t="shared" si="152"/>
        <v>17936.097125328652</v>
      </c>
      <c r="H541" s="827">
        <v>64</v>
      </c>
      <c r="I541" s="1157">
        <f>'Emission-Waste Transport Vehicl'!N34</f>
        <v>31.963527706176006</v>
      </c>
      <c r="J541" s="1157">
        <f>'Emission-Waste Transport Vehicl'!P34</f>
        <v>17.783974270656003</v>
      </c>
      <c r="K541" s="1157">
        <f>'Emission-Waste Transport Vehicl'!Q34</f>
        <v>13.811534491392001</v>
      </c>
      <c r="L541" s="1157">
        <f>'Emission-Waste Transport Vehicl'!R34</f>
        <v>1.3746589971840002</v>
      </c>
      <c r="M541" s="1159">
        <f t="shared" si="138"/>
        <v>1252023.0030554996</v>
      </c>
      <c r="N541" s="1159">
        <f t="shared" si="144"/>
        <v>266651.59879353782</v>
      </c>
      <c r="O541" s="1159">
        <f t="shared" si="145"/>
        <v>927253.16800241824</v>
      </c>
      <c r="P541" s="1159">
        <f t="shared" si="146"/>
        <v>7777.413546931055</v>
      </c>
      <c r="Q541" s="1159">
        <f t="shared" si="147"/>
        <v>24656.017287699113</v>
      </c>
      <c r="R541" s="2773"/>
    </row>
    <row r="542" spans="1:18" x14ac:dyDescent="0.25">
      <c r="A542" s="2862"/>
      <c r="B542" s="706">
        <v>2021</v>
      </c>
      <c r="C542" s="1134">
        <f t="shared" si="148"/>
        <v>19562859.422742181</v>
      </c>
      <c r="D542" s="1156">
        <f t="shared" si="149"/>
        <v>8342.3707559668164</v>
      </c>
      <c r="E542" s="1156">
        <f t="shared" si="150"/>
        <v>52139.817224792598</v>
      </c>
      <c r="F542" s="1156">
        <f t="shared" si="151"/>
        <v>563.11002602776</v>
      </c>
      <c r="G542" s="1156">
        <f t="shared" si="152"/>
        <v>17936.097125328652</v>
      </c>
      <c r="H542" s="827">
        <v>65</v>
      </c>
      <c r="I542" s="1157">
        <f>'Emission-Waste Transport Vehicl'!N35</f>
        <v>31.337558987328006</v>
      </c>
      <c r="J542" s="1157">
        <f>'Emission-Waste Transport Vehicl'!P35</f>
        <v>17.435695704768001</v>
      </c>
      <c r="K542" s="1157">
        <f>'Emission-Waste Transport Vehicl'!Q35</f>
        <v>13.541051563776001</v>
      </c>
      <c r="L542" s="1157">
        <f>'Emission-Waste Transport Vehicl'!R35</f>
        <v>1.3477378907520003</v>
      </c>
      <c r="M542" s="1159">
        <f t="shared" si="138"/>
        <v>1271585.8624782418</v>
      </c>
      <c r="N542" s="1159">
        <f t="shared" si="144"/>
        <v>261429.53565927024</v>
      </c>
      <c r="O542" s="1159">
        <f t="shared" si="145"/>
        <v>909093.98723370489</v>
      </c>
      <c r="P542" s="1159">
        <f t="shared" si="146"/>
        <v>7625.101898521144</v>
      </c>
      <c r="Q542" s="1159">
        <f t="shared" si="147"/>
        <v>24173.157708013452</v>
      </c>
      <c r="R542" s="2773"/>
    </row>
    <row r="543" spans="1:18" x14ac:dyDescent="0.25">
      <c r="A543" s="2862"/>
      <c r="B543" s="706">
        <v>2022</v>
      </c>
      <c r="C543" s="1134">
        <f t="shared" si="148"/>
        <v>19562859.422742181</v>
      </c>
      <c r="D543" s="1156">
        <f t="shared" si="149"/>
        <v>8342.3707559668164</v>
      </c>
      <c r="E543" s="1156">
        <f t="shared" si="150"/>
        <v>52139.817224792598</v>
      </c>
      <c r="F543" s="1156">
        <f t="shared" si="151"/>
        <v>563.11002602776</v>
      </c>
      <c r="G543" s="1156">
        <f t="shared" si="152"/>
        <v>17936.097125328652</v>
      </c>
      <c r="H543" s="827">
        <v>66</v>
      </c>
      <c r="I543" s="1157">
        <f>'Emission-Waste Transport Vehicl'!N36</f>
        <v>30.721371029712003</v>
      </c>
      <c r="J543" s="1157">
        <f>'Emission-Waste Transport Vehicl'!P36</f>
        <v>17.092858991472003</v>
      </c>
      <c r="K543" s="1157">
        <f>'Emission-Waste Transport Vehicl'!Q36</f>
        <v>13.274794931903999</v>
      </c>
      <c r="L543" s="1157">
        <f>'Emission-Waste Transport Vehicl'!R36</f>
        <v>1.3212374266080003</v>
      </c>
      <c r="M543" s="1159">
        <f t="shared" si="138"/>
        <v>1291148.7219009839</v>
      </c>
      <c r="N543" s="1159">
        <f t="shared" si="144"/>
        <v>256289.06726147557</v>
      </c>
      <c r="O543" s="1159">
        <f t="shared" si="145"/>
        <v>891218.54366450291</v>
      </c>
      <c r="P543" s="1159">
        <f t="shared" si="146"/>
        <v>7475.1701196176373</v>
      </c>
      <c r="Q543" s="1159">
        <f t="shared" si="147"/>
        <v>23697.842809260379</v>
      </c>
      <c r="R543" s="2773"/>
    </row>
    <row r="544" spans="1:18" x14ac:dyDescent="0.25">
      <c r="A544" s="2862"/>
      <c r="B544" s="706">
        <v>2023</v>
      </c>
      <c r="C544" s="1134">
        <f t="shared" si="148"/>
        <v>19562859.422742181</v>
      </c>
      <c r="D544" s="1156">
        <f t="shared" si="149"/>
        <v>8342.3707559668164</v>
      </c>
      <c r="E544" s="1156">
        <f t="shared" si="150"/>
        <v>52139.817224792598</v>
      </c>
      <c r="F544" s="1156">
        <f t="shared" si="151"/>
        <v>563.11002602776</v>
      </c>
      <c r="G544" s="1156">
        <f t="shared" si="152"/>
        <v>17936.097125328652</v>
      </c>
      <c r="H544" s="827">
        <v>67</v>
      </c>
      <c r="I544" s="1157">
        <f>'Emission-Waste Transport Vehicl'!N37</f>
        <v>30.118224087072001</v>
      </c>
      <c r="J544" s="1157">
        <f>'Emission-Waste Transport Vehicl'!P37</f>
        <v>16.757278081632002</v>
      </c>
      <c r="K544" s="1157">
        <f>'Emission-Waste Transport Vehicl'!Q37</f>
        <v>13.014173361024</v>
      </c>
      <c r="L544" s="1157">
        <f>'Emission-Waste Transport Vehicl'!R37</f>
        <v>1.295297818848</v>
      </c>
      <c r="M544" s="1159">
        <f t="shared" si="138"/>
        <v>1310711.5813237261</v>
      </c>
      <c r="N544" s="1159">
        <f t="shared" si="144"/>
        <v>251257.39184564483</v>
      </c>
      <c r="O544" s="1159">
        <f t="shared" si="145"/>
        <v>873721.41636131576</v>
      </c>
      <c r="P544" s="1159">
        <f t="shared" si="146"/>
        <v>7328.411500056005</v>
      </c>
      <c r="Q544" s="1159">
        <f t="shared" si="147"/>
        <v>23232.587485084085</v>
      </c>
      <c r="R544" s="2773"/>
    </row>
    <row r="545" spans="1:18" x14ac:dyDescent="0.25">
      <c r="A545" s="2862"/>
      <c r="B545" s="706">
        <v>2024</v>
      </c>
      <c r="C545" s="1134">
        <f t="shared" si="148"/>
        <v>19562859.422742181</v>
      </c>
      <c r="D545" s="1156">
        <f t="shared" si="149"/>
        <v>8342.3707559668164</v>
      </c>
      <c r="E545" s="1156">
        <f t="shared" si="150"/>
        <v>52139.817224792598</v>
      </c>
      <c r="F545" s="1156">
        <f t="shared" si="151"/>
        <v>563.11002602776</v>
      </c>
      <c r="G545" s="1156">
        <f t="shared" si="152"/>
        <v>17936.097125328652</v>
      </c>
      <c r="H545" s="827">
        <v>68</v>
      </c>
      <c r="I545" s="1157">
        <f>'Emission-Waste Transport Vehicl'!N38</f>
        <v>29.528118159408002</v>
      </c>
      <c r="J545" s="1157">
        <f>'Emission-Waste Transport Vehicl'!P38</f>
        <v>16.428952975248002</v>
      </c>
      <c r="K545" s="1157">
        <f>'Emission-Waste Transport Vehicl'!Q38</f>
        <v>12.759186851135999</v>
      </c>
      <c r="L545" s="1157">
        <f>'Emission-Waste Transport Vehicl'!R38</f>
        <v>1.269919067472</v>
      </c>
      <c r="M545" s="1159">
        <f t="shared" si="138"/>
        <v>1330274.4407464683</v>
      </c>
      <c r="N545" s="1159">
        <f t="shared" si="144"/>
        <v>246334.50941177801</v>
      </c>
      <c r="O545" s="1159">
        <f t="shared" si="145"/>
        <v>856602.60532414343</v>
      </c>
      <c r="P545" s="1159">
        <f t="shared" si="146"/>
        <v>7184.8260398362454</v>
      </c>
      <c r="Q545" s="1159">
        <f t="shared" si="147"/>
        <v>22777.39173548458</v>
      </c>
      <c r="R545" s="2773"/>
    </row>
    <row r="546" spans="1:18" x14ac:dyDescent="0.25">
      <c r="A546" s="2862"/>
      <c r="B546" s="706">
        <v>2025</v>
      </c>
      <c r="C546" s="1134">
        <f t="shared" si="148"/>
        <v>19562859.422742181</v>
      </c>
      <c r="D546" s="1156">
        <f t="shared" si="149"/>
        <v>8342.3707559668164</v>
      </c>
      <c r="E546" s="1156">
        <f t="shared" si="150"/>
        <v>52139.817224792598</v>
      </c>
      <c r="F546" s="1156">
        <f t="shared" si="151"/>
        <v>563.11002602776</v>
      </c>
      <c r="G546" s="1156">
        <f t="shared" si="152"/>
        <v>17936.097125328652</v>
      </c>
      <c r="H546" s="827">
        <v>69</v>
      </c>
      <c r="I546" s="1157">
        <f>'Emission-Waste Transport Vehicl'!N39</f>
        <v>28.951053246720004</v>
      </c>
      <c r="J546" s="1157">
        <f>'Emission-Waste Transport Vehicl'!P39</f>
        <v>16.10788367232</v>
      </c>
      <c r="K546" s="1157">
        <f>'Emission-Waste Transport Vehicl'!Q39</f>
        <v>12.50983540224</v>
      </c>
      <c r="L546" s="1157">
        <f>'Emission-Waste Transport Vehicl'!R39</f>
        <v>1.2451011724800001</v>
      </c>
      <c r="M546" s="1159">
        <f t="shared" si="138"/>
        <v>1349837.3001692106</v>
      </c>
      <c r="N546" s="1159">
        <f t="shared" si="144"/>
        <v>241520.41995987511</v>
      </c>
      <c r="O546" s="1159">
        <f t="shared" si="145"/>
        <v>839862.1105529858</v>
      </c>
      <c r="P546" s="1159">
        <f t="shared" si="146"/>
        <v>7044.4137389583602</v>
      </c>
      <c r="Q546" s="1159">
        <f t="shared" si="147"/>
        <v>22332.255560461865</v>
      </c>
      <c r="R546" s="2773"/>
    </row>
    <row r="547" spans="1:18" x14ac:dyDescent="0.25">
      <c r="A547" s="2862"/>
      <c r="B547" s="706">
        <v>2026</v>
      </c>
      <c r="C547" s="1134">
        <f t="shared" si="148"/>
        <v>19562859.422742181</v>
      </c>
      <c r="D547" s="1156">
        <f t="shared" si="149"/>
        <v>8342.3707559668164</v>
      </c>
      <c r="E547" s="1156">
        <f t="shared" si="150"/>
        <v>52139.817224792598</v>
      </c>
      <c r="F547" s="1156">
        <f t="shared" si="151"/>
        <v>563.11002602776</v>
      </c>
      <c r="G547" s="1156">
        <f t="shared" si="152"/>
        <v>17936.097125328652</v>
      </c>
      <c r="H547" s="827">
        <v>70</v>
      </c>
      <c r="I547" s="1157">
        <f>'Emission-Waste Transport Vehicl'!N40</f>
        <v>28.383769095264007</v>
      </c>
      <c r="J547" s="1157">
        <f>'Emission-Waste Transport Vehicl'!P40</f>
        <v>15.792256221984003</v>
      </c>
      <c r="K547" s="1157">
        <f>'Emission-Waste Transport Vehicl'!Q40</f>
        <v>12.264710249088001</v>
      </c>
      <c r="L547" s="1157">
        <f>'Emission-Waste Transport Vehicl'!R40</f>
        <v>1.2207039197760001</v>
      </c>
      <c r="M547" s="1159">
        <f t="shared" si="138"/>
        <v>1369400.1595919528</v>
      </c>
      <c r="N547" s="1159">
        <f t="shared" si="144"/>
        <v>236787.92524444516</v>
      </c>
      <c r="O547" s="1159">
        <f t="shared" si="145"/>
        <v>823405.35298133956</v>
      </c>
      <c r="P547" s="1159">
        <f t="shared" si="146"/>
        <v>6906.3813075868793</v>
      </c>
      <c r="Q547" s="1159">
        <f t="shared" si="147"/>
        <v>21894.664066371733</v>
      </c>
      <c r="R547" s="2773"/>
    </row>
    <row r="548" spans="1:18" x14ac:dyDescent="0.25">
      <c r="A548" s="2862"/>
      <c r="B548" s="706">
        <v>2027</v>
      </c>
      <c r="C548" s="1134">
        <f t="shared" si="148"/>
        <v>19562859.422742181</v>
      </c>
      <c r="D548" s="1156">
        <f t="shared" si="149"/>
        <v>8342.3707559668164</v>
      </c>
      <c r="E548" s="1156">
        <f t="shared" si="150"/>
        <v>52139.817224792598</v>
      </c>
      <c r="F548" s="1156">
        <f t="shared" si="151"/>
        <v>563.11002602776</v>
      </c>
      <c r="G548" s="1156">
        <f t="shared" si="152"/>
        <v>17936.097125328652</v>
      </c>
      <c r="H548" s="827">
        <v>71</v>
      </c>
      <c r="I548" s="1157">
        <f>'Emission-Waste Transport Vehicl'!N41</f>
        <v>27.826265705040004</v>
      </c>
      <c r="J548" s="1157">
        <f>'Emission-Waste Transport Vehicl'!P41</f>
        <v>15.482070624240002</v>
      </c>
      <c r="K548" s="1157">
        <f>'Emission-Waste Transport Vehicl'!Q41</f>
        <v>12.023811391680001</v>
      </c>
      <c r="L548" s="1157">
        <f>'Emission-Waste Transport Vehicl'!R41</f>
        <v>1.1967273093600002</v>
      </c>
      <c r="M548" s="1159">
        <f t="shared" si="138"/>
        <v>1388963.019014695</v>
      </c>
      <c r="N548" s="1159">
        <f t="shared" si="144"/>
        <v>232137.02526548808</v>
      </c>
      <c r="O548" s="1159">
        <f t="shared" si="145"/>
        <v>807232.33260920434</v>
      </c>
      <c r="P548" s="1159">
        <f t="shared" si="146"/>
        <v>6770.7287457218026</v>
      </c>
      <c r="Q548" s="1159">
        <f t="shared" si="147"/>
        <v>21464.61725321419</v>
      </c>
      <c r="R548" s="2773"/>
    </row>
    <row r="549" spans="1:18" x14ac:dyDescent="0.25">
      <c r="A549" s="2862"/>
      <c r="B549" s="706">
        <v>2028</v>
      </c>
      <c r="C549" s="1134">
        <f t="shared" si="148"/>
        <v>19562859.422742181</v>
      </c>
      <c r="D549" s="1156">
        <f t="shared" si="149"/>
        <v>8342.3707559668164</v>
      </c>
      <c r="E549" s="1156">
        <f t="shared" si="150"/>
        <v>52139.817224792598</v>
      </c>
      <c r="F549" s="1156">
        <f t="shared" si="151"/>
        <v>563.11002602776</v>
      </c>
      <c r="G549" s="1156">
        <f t="shared" si="152"/>
        <v>17936.097125328652</v>
      </c>
      <c r="H549" s="827">
        <v>72</v>
      </c>
      <c r="I549" s="1157">
        <f>'Emission-Waste Transport Vehicl'!N42</f>
        <v>27.281803329792002</v>
      </c>
      <c r="J549" s="1157">
        <f>'Emission-Waste Transport Vehicl'!P42</f>
        <v>15.179140829952001</v>
      </c>
      <c r="K549" s="1157">
        <f>'Emission-Waste Transport Vehicl'!Q42</f>
        <v>11.788547595263999</v>
      </c>
      <c r="L549" s="1157">
        <f>'Emission-Waste Transport Vehicl'!R42</f>
        <v>1.173311555328</v>
      </c>
      <c r="M549" s="1159">
        <f t="shared" si="138"/>
        <v>1408525.8784374371</v>
      </c>
      <c r="N549" s="1159">
        <f t="shared" si="144"/>
        <v>227594.91826849492</v>
      </c>
      <c r="O549" s="1159">
        <f t="shared" si="145"/>
        <v>791437.62850308395</v>
      </c>
      <c r="P549" s="1159">
        <f t="shared" si="146"/>
        <v>6638.2493431985986</v>
      </c>
      <c r="Q549" s="1159">
        <f t="shared" si="147"/>
        <v>21044.630014633429</v>
      </c>
      <c r="R549" s="2773"/>
    </row>
    <row r="550" spans="1:18" x14ac:dyDescent="0.25">
      <c r="A550" s="2862"/>
      <c r="B550" s="706">
        <v>2029</v>
      </c>
      <c r="C550" s="1134">
        <f t="shared" si="148"/>
        <v>19562859.422742181</v>
      </c>
      <c r="D550" s="1156">
        <f t="shared" si="149"/>
        <v>8342.3707559668164</v>
      </c>
      <c r="E550" s="1156">
        <f t="shared" si="150"/>
        <v>52139.817224792598</v>
      </c>
      <c r="F550" s="1156">
        <f t="shared" si="151"/>
        <v>563.11002602776</v>
      </c>
      <c r="G550" s="1156">
        <f t="shared" si="152"/>
        <v>17936.097125328652</v>
      </c>
      <c r="H550" s="827">
        <v>73</v>
      </c>
      <c r="I550" s="1157">
        <f>'Emission-Waste Transport Vehicl'!N43</f>
        <v>26.743861462032005</v>
      </c>
      <c r="J550" s="1157">
        <f>'Emission-Waste Transport Vehicl'!P43</f>
        <v>14.879838937392002</v>
      </c>
      <c r="K550" s="1157">
        <f>'Emission-Waste Transport Vehicl'!Q43</f>
        <v>11.556101329344001</v>
      </c>
      <c r="L550" s="1157">
        <f>'Emission-Waste Transport Vehicl'!R43</f>
        <v>1.1501762294880002</v>
      </c>
      <c r="M550" s="1159">
        <f t="shared" si="138"/>
        <v>1428088.7378601793</v>
      </c>
      <c r="N550" s="1159">
        <f t="shared" si="144"/>
        <v>223107.20776248374</v>
      </c>
      <c r="O550" s="1159">
        <f t="shared" si="145"/>
        <v>775832.08252997103</v>
      </c>
      <c r="P550" s="1159">
        <f t="shared" si="146"/>
        <v>6507.3565203463322</v>
      </c>
      <c r="Q550" s="1159">
        <f t="shared" si="147"/>
        <v>20629.672563341068</v>
      </c>
      <c r="R550" s="2773"/>
    </row>
    <row r="551" spans="1:18" x14ac:dyDescent="0.25">
      <c r="A551" s="2862"/>
      <c r="B551" s="706">
        <v>2030</v>
      </c>
      <c r="C551" s="1134">
        <f t="shared" si="148"/>
        <v>19562859.422742181</v>
      </c>
      <c r="D551" s="1156">
        <f t="shared" si="149"/>
        <v>8342.3707559668164</v>
      </c>
      <c r="E551" s="1156">
        <f t="shared" si="150"/>
        <v>52139.817224792598</v>
      </c>
      <c r="F551" s="1156">
        <f t="shared" si="151"/>
        <v>563.11002602776</v>
      </c>
      <c r="G551" s="1156">
        <f t="shared" si="152"/>
        <v>17936.097125328652</v>
      </c>
      <c r="H551" s="827">
        <v>75</v>
      </c>
      <c r="I551" s="1157">
        <f>'Emission-Waste Transport Vehicl'!N44</f>
        <v>26.222220862992003</v>
      </c>
      <c r="J551" s="1157">
        <f>'Emission-Waste Transport Vehicl'!P44</f>
        <v>14.589606799152003</v>
      </c>
      <c r="K551" s="1157">
        <f>'Emission-Waste Transport Vehicl'!Q44</f>
        <v>11.330698889664001</v>
      </c>
      <c r="L551" s="1157">
        <f>'Emission-Waste Transport Vehicl'!R44</f>
        <v>1.1277419741280001</v>
      </c>
      <c r="M551" s="1159">
        <f t="shared" si="138"/>
        <v>1467214.4567056636</v>
      </c>
      <c r="N551" s="1159">
        <f t="shared" si="144"/>
        <v>218755.48848392742</v>
      </c>
      <c r="O551" s="1159">
        <f t="shared" si="145"/>
        <v>760699.43188937684</v>
      </c>
      <c r="P551" s="1159">
        <f t="shared" si="146"/>
        <v>6380.4301466714069</v>
      </c>
      <c r="Q551" s="1159">
        <f t="shared" si="147"/>
        <v>20227.28958026968</v>
      </c>
      <c r="R551" s="2773"/>
    </row>
    <row r="552" spans="1:18" x14ac:dyDescent="0.25">
      <c r="A552" s="2862"/>
      <c r="B552" s="706">
        <v>2031</v>
      </c>
      <c r="C552" s="1134">
        <f t="shared" si="148"/>
        <v>19562859.422742181</v>
      </c>
      <c r="D552" s="1156">
        <f t="shared" si="149"/>
        <v>8342.3707559668164</v>
      </c>
      <c r="E552" s="1156">
        <f t="shared" si="150"/>
        <v>52139.817224792598</v>
      </c>
      <c r="F552" s="1156">
        <f t="shared" si="151"/>
        <v>563.11002602776</v>
      </c>
      <c r="G552" s="1156">
        <f t="shared" si="152"/>
        <v>17936.097125328652</v>
      </c>
      <c r="H552" s="827">
        <v>76</v>
      </c>
      <c r="I552" s="1157">
        <f>'Emission-Waste Transport Vehicl'!N45</f>
        <v>25.70710077144</v>
      </c>
      <c r="J552" s="1157">
        <f>'Emission-Waste Transport Vehicl'!P45</f>
        <v>14.303002562640001</v>
      </c>
      <c r="K552" s="1157">
        <f>'Emission-Waste Transport Vehicl'!Q45</f>
        <v>11.108113980480001</v>
      </c>
      <c r="L552" s="1157">
        <f>'Emission-Waste Transport Vehicl'!R45</f>
        <v>1.1055881469600002</v>
      </c>
      <c r="M552" s="1159">
        <f t="shared" si="138"/>
        <v>1486777.3161284057</v>
      </c>
      <c r="N552" s="1159">
        <f t="shared" si="144"/>
        <v>214458.16569635304</v>
      </c>
      <c r="O552" s="1159">
        <f t="shared" si="145"/>
        <v>745755.93938178977</v>
      </c>
      <c r="P552" s="1159">
        <f t="shared" si="146"/>
        <v>6255.0903526674183</v>
      </c>
      <c r="Q552" s="1159">
        <f t="shared" si="147"/>
        <v>19829.936384486689</v>
      </c>
      <c r="R552" s="2773"/>
    </row>
    <row r="553" spans="1:18" x14ac:dyDescent="0.25">
      <c r="A553" s="2862"/>
      <c r="B553" s="706">
        <v>2032</v>
      </c>
      <c r="C553" s="1134">
        <f t="shared" si="148"/>
        <v>19562859.422742181</v>
      </c>
      <c r="D553" s="1156">
        <f t="shared" si="149"/>
        <v>8342.3707559668164</v>
      </c>
      <c r="E553" s="1156">
        <f t="shared" si="150"/>
        <v>52139.817224792598</v>
      </c>
      <c r="F553" s="1156">
        <f t="shared" si="151"/>
        <v>563.11002602776</v>
      </c>
      <c r="G553" s="1156">
        <f t="shared" si="152"/>
        <v>17936.097125328652</v>
      </c>
      <c r="H553" s="827">
        <v>77</v>
      </c>
      <c r="I553" s="1157">
        <f>'Emission-Waste Transport Vehicl'!N46</f>
        <v>25.201761441120002</v>
      </c>
      <c r="J553" s="1157">
        <f>'Emission-Waste Transport Vehicl'!P46</f>
        <v>14.021840178720002</v>
      </c>
      <c r="K553" s="1157">
        <f>'Emission-Waste Transport Vehicl'!Q46</f>
        <v>10.889755367040001</v>
      </c>
      <c r="L553" s="1157">
        <f>'Emission-Waste Transport Vehicl'!R46</f>
        <v>1.0838549620800002</v>
      </c>
      <c r="M553" s="1159">
        <f t="shared" si="138"/>
        <v>1506340.1755511479</v>
      </c>
      <c r="N553" s="1159">
        <f t="shared" si="144"/>
        <v>210242.43764525163</v>
      </c>
      <c r="O553" s="1159">
        <f t="shared" si="145"/>
        <v>731096.18407371407</v>
      </c>
      <c r="P553" s="1159">
        <f t="shared" si="146"/>
        <v>6132.130428169834</v>
      </c>
      <c r="Q553" s="1159">
        <f t="shared" si="147"/>
        <v>19440.127869636286</v>
      </c>
      <c r="R553" s="2773"/>
    </row>
    <row r="554" spans="1:18" x14ac:dyDescent="0.25">
      <c r="A554" s="2862"/>
      <c r="B554" s="706">
        <v>2033</v>
      </c>
      <c r="C554" s="1134">
        <f t="shared" si="148"/>
        <v>19562859.422742181</v>
      </c>
      <c r="D554" s="1156">
        <f t="shared" si="149"/>
        <v>8342.3707559668164</v>
      </c>
      <c r="E554" s="1156">
        <f t="shared" si="150"/>
        <v>52139.817224792598</v>
      </c>
      <c r="F554" s="1156">
        <f t="shared" si="151"/>
        <v>563.11002602776</v>
      </c>
      <c r="G554" s="1156">
        <f t="shared" si="152"/>
        <v>17936.097125328652</v>
      </c>
      <c r="H554" s="827">
        <v>78</v>
      </c>
      <c r="I554" s="1157">
        <f>'Emission-Waste Transport Vehicl'!N47</f>
        <v>24.709463125776001</v>
      </c>
      <c r="J554" s="1157">
        <f>'Emission-Waste Transport Vehicl'!P47</f>
        <v>13.747933598256003</v>
      </c>
      <c r="K554" s="1157">
        <f>'Emission-Waste Transport Vehicl'!Q47</f>
        <v>10.677031814592</v>
      </c>
      <c r="L554" s="1157">
        <f>'Emission-Waste Transport Vehicl'!R47</f>
        <v>1.0626826335840001</v>
      </c>
      <c r="M554" s="1159">
        <f t="shared" si="138"/>
        <v>1525903.0349738903</v>
      </c>
      <c r="N554" s="1159">
        <f t="shared" si="144"/>
        <v>206135.50257611412</v>
      </c>
      <c r="O554" s="1159">
        <f t="shared" si="145"/>
        <v>716814.7450316532</v>
      </c>
      <c r="P554" s="1159">
        <f t="shared" si="146"/>
        <v>6012.3436630141232</v>
      </c>
      <c r="Q554" s="1159">
        <f t="shared" si="147"/>
        <v>19060.378929362665</v>
      </c>
      <c r="R554" s="2773"/>
    </row>
    <row r="555" spans="1:18" x14ac:dyDescent="0.25">
      <c r="A555" s="2862"/>
      <c r="B555" s="706">
        <v>2034</v>
      </c>
      <c r="C555" s="1134">
        <f t="shared" si="148"/>
        <v>19562859.422742181</v>
      </c>
      <c r="D555" s="1156">
        <f t="shared" si="149"/>
        <v>8342.3707559668164</v>
      </c>
      <c r="E555" s="1156">
        <f t="shared" si="150"/>
        <v>52139.817224792598</v>
      </c>
      <c r="F555" s="1156">
        <f t="shared" si="151"/>
        <v>563.11002602776</v>
      </c>
      <c r="G555" s="1156">
        <f t="shared" si="152"/>
        <v>17936.097125328652</v>
      </c>
      <c r="H555" s="827">
        <v>79</v>
      </c>
      <c r="I555" s="1157">
        <f>'Emission-Waste Transport Vehicl'!N48</f>
        <v>24.223685317920005</v>
      </c>
      <c r="J555" s="1157">
        <f>'Emission-Waste Transport Vehicl'!P48</f>
        <v>13.477654919520001</v>
      </c>
      <c r="K555" s="1157">
        <f>'Emission-Waste Transport Vehicl'!Q48</f>
        <v>10.467125792640001</v>
      </c>
      <c r="L555" s="1157">
        <f>'Emission-Waste Transport Vehicl'!R48</f>
        <v>1.04179073328</v>
      </c>
      <c r="M555" s="1159">
        <f t="shared" si="138"/>
        <v>1545465.8943966324</v>
      </c>
      <c r="N555" s="1159">
        <f t="shared" si="144"/>
        <v>202082.96399795858</v>
      </c>
      <c r="O555" s="1159">
        <f t="shared" si="145"/>
        <v>702722.46412259969</v>
      </c>
      <c r="P555" s="1159">
        <f t="shared" si="146"/>
        <v>5894.1434775293492</v>
      </c>
      <c r="Q555" s="1159">
        <f t="shared" si="147"/>
        <v>18685.659776377437</v>
      </c>
      <c r="R555" s="2773"/>
    </row>
    <row r="556" spans="1:18" x14ac:dyDescent="0.25">
      <c r="A556" s="2862"/>
      <c r="B556" s="706">
        <v>2035</v>
      </c>
      <c r="C556" s="1134">
        <f t="shared" si="148"/>
        <v>19562859.422742181</v>
      </c>
      <c r="D556" s="1156">
        <f t="shared" si="149"/>
        <v>8342.3707559668164</v>
      </c>
      <c r="E556" s="1156">
        <f t="shared" si="150"/>
        <v>52139.817224792598</v>
      </c>
      <c r="F556" s="1156">
        <f t="shared" si="151"/>
        <v>563.11002602776</v>
      </c>
      <c r="G556" s="1156">
        <f t="shared" si="152"/>
        <v>17936.097125328652</v>
      </c>
      <c r="H556" s="827">
        <v>80</v>
      </c>
      <c r="I556" s="1157">
        <f>'Emission-Waste Transport Vehicl'!N49</f>
        <v>23.747688271296006</v>
      </c>
      <c r="J556" s="1157">
        <f>'Emission-Waste Transport Vehicl'!P49</f>
        <v>13.212818093376002</v>
      </c>
      <c r="K556" s="1157">
        <f>'Emission-Waste Transport Vehicl'!Q49</f>
        <v>10.261446066432002</v>
      </c>
      <c r="L556" s="1157">
        <f>'Emission-Waste Transport Vehicl'!R49</f>
        <v>1.0213194752640002</v>
      </c>
      <c r="M556" s="1159">
        <f t="shared" si="138"/>
        <v>1565028.7538193746</v>
      </c>
      <c r="N556" s="1159">
        <f t="shared" si="144"/>
        <v>198112.02015627598</v>
      </c>
      <c r="O556" s="1159">
        <f t="shared" si="145"/>
        <v>688913.92041305744</v>
      </c>
      <c r="P556" s="1159">
        <f t="shared" si="146"/>
        <v>5778.3231615509803</v>
      </c>
      <c r="Q556" s="1159">
        <f t="shared" si="147"/>
        <v>18318.4853043248</v>
      </c>
      <c r="R556" s="2773"/>
    </row>
    <row r="557" spans="1:18" x14ac:dyDescent="0.25">
      <c r="A557" s="2862"/>
      <c r="B557" s="706">
        <v>2036</v>
      </c>
      <c r="C557" s="1134">
        <f t="shared" si="148"/>
        <v>19562859.422742181</v>
      </c>
      <c r="D557" s="1156">
        <f t="shared" si="149"/>
        <v>8342.3707559668164</v>
      </c>
      <c r="E557" s="1156">
        <f t="shared" si="150"/>
        <v>52139.817224792598</v>
      </c>
      <c r="F557" s="1156">
        <f t="shared" si="151"/>
        <v>563.11002602776</v>
      </c>
      <c r="G557" s="1156">
        <f t="shared" si="152"/>
        <v>17936.097125328652</v>
      </c>
      <c r="H557" s="827">
        <v>81</v>
      </c>
      <c r="I557" s="1157">
        <f>'Emission-Waste Transport Vehicl'!N50</f>
        <v>23.284732239648001</v>
      </c>
      <c r="J557" s="1157">
        <f>'Emission-Waste Transport Vehicl'!P50</f>
        <v>12.955237070688</v>
      </c>
      <c r="K557" s="1157">
        <f>'Emission-Waste Transport Vehicl'!Q50</f>
        <v>10.061401401215999</v>
      </c>
      <c r="L557" s="1157">
        <f>'Emission-Waste Transport Vehicl'!R50</f>
        <v>1.001409073632</v>
      </c>
      <c r="M557" s="1159">
        <f t="shared" si="138"/>
        <v>1584591.6132421168</v>
      </c>
      <c r="N557" s="1159">
        <f t="shared" si="144"/>
        <v>194249.86929655718</v>
      </c>
      <c r="O557" s="1159">
        <f t="shared" si="145"/>
        <v>675483.69296952977</v>
      </c>
      <c r="P557" s="1159">
        <f t="shared" si="146"/>
        <v>5665.6760049144823</v>
      </c>
      <c r="Q557" s="1159">
        <f t="shared" si="147"/>
        <v>17961.370406848942</v>
      </c>
      <c r="R557" s="2773"/>
    </row>
    <row r="558" spans="1:18" x14ac:dyDescent="0.25">
      <c r="A558" s="2862"/>
      <c r="B558" s="706">
        <v>2037</v>
      </c>
      <c r="C558" s="1134">
        <f t="shared" si="148"/>
        <v>19562859.422742181</v>
      </c>
      <c r="D558" s="1156">
        <f t="shared" si="149"/>
        <v>8342.3707559668164</v>
      </c>
      <c r="E558" s="1156">
        <f t="shared" si="150"/>
        <v>52139.817224792598</v>
      </c>
      <c r="F558" s="1156">
        <f t="shared" si="151"/>
        <v>563.11002602776</v>
      </c>
      <c r="G558" s="1156">
        <f t="shared" si="152"/>
        <v>17936.097125328652</v>
      </c>
      <c r="H558" s="827">
        <v>83</v>
      </c>
      <c r="I558" s="1157">
        <f>'Emission-Waste Transport Vehicl'!N51</f>
        <v>22.828296715488005</v>
      </c>
      <c r="J558" s="1157">
        <f>'Emission-Waste Transport Vehicl'!P51</f>
        <v>12.701283949728003</v>
      </c>
      <c r="K558" s="1157">
        <f>'Emission-Waste Transport Vehicl'!Q51</f>
        <v>9.8641742664960006</v>
      </c>
      <c r="L558" s="1157">
        <f>'Emission-Waste Transport Vehicl'!R51</f>
        <v>0.9817791001920001</v>
      </c>
      <c r="M558" s="1159">
        <f t="shared" si="138"/>
        <v>1623717.3320876011</v>
      </c>
      <c r="N558" s="1159">
        <f t="shared" si="144"/>
        <v>190442.11492782045</v>
      </c>
      <c r="O558" s="1159">
        <f t="shared" si="145"/>
        <v>662242.62365900993</v>
      </c>
      <c r="P558" s="1159">
        <f t="shared" si="146"/>
        <v>5554.6154279489238</v>
      </c>
      <c r="Q558" s="1159">
        <f t="shared" si="147"/>
        <v>17609.285296661485</v>
      </c>
      <c r="R558" s="2773"/>
    </row>
    <row r="559" spans="1:18" x14ac:dyDescent="0.25">
      <c r="A559" s="2862"/>
      <c r="B559" s="706">
        <v>2038</v>
      </c>
      <c r="C559" s="1134">
        <f t="shared" si="148"/>
        <v>19562859.422742181</v>
      </c>
      <c r="D559" s="1156">
        <f t="shared" si="149"/>
        <v>8342.3707559668164</v>
      </c>
      <c r="E559" s="1156">
        <f t="shared" si="150"/>
        <v>52139.817224792598</v>
      </c>
      <c r="F559" s="1156">
        <f t="shared" si="151"/>
        <v>563.11002602776</v>
      </c>
      <c r="G559" s="1156">
        <f t="shared" si="152"/>
        <v>17936.097125328652</v>
      </c>
      <c r="H559" s="827">
        <v>84</v>
      </c>
      <c r="I559" s="1157">
        <f>'Emission-Waste Transport Vehicl'!N52</f>
        <v>22.378381698816003</v>
      </c>
      <c r="J559" s="1157">
        <f>'Emission-Waste Transport Vehicl'!P52</f>
        <v>12.450958730496001</v>
      </c>
      <c r="K559" s="1157">
        <f>'Emission-Waste Transport Vehicl'!Q52</f>
        <v>9.6697646622720015</v>
      </c>
      <c r="L559" s="1157">
        <f>'Emission-Waste Transport Vehicl'!R52</f>
        <v>0.96242955494400007</v>
      </c>
      <c r="M559" s="1159">
        <f t="shared" si="138"/>
        <v>1643280.1915103432</v>
      </c>
      <c r="N559" s="1159">
        <f t="shared" si="144"/>
        <v>186688.75705006564</v>
      </c>
      <c r="O559" s="1159">
        <f t="shared" si="145"/>
        <v>649190.7124814972</v>
      </c>
      <c r="P559" s="1159">
        <f t="shared" si="146"/>
        <v>5445.1414306543011</v>
      </c>
      <c r="Q559" s="1159">
        <f t="shared" si="147"/>
        <v>17262.229973762413</v>
      </c>
      <c r="R559" s="2773"/>
    </row>
    <row r="560" spans="1:18" x14ac:dyDescent="0.25">
      <c r="A560" s="2862"/>
      <c r="B560" s="706">
        <v>2039</v>
      </c>
      <c r="C560" s="1134">
        <f t="shared" si="148"/>
        <v>19562859.422742181</v>
      </c>
      <c r="D560" s="1156">
        <f t="shared" si="149"/>
        <v>8342.3707559668164</v>
      </c>
      <c r="E560" s="1156">
        <f t="shared" si="150"/>
        <v>52139.817224792598</v>
      </c>
      <c r="F560" s="1156">
        <f t="shared" si="151"/>
        <v>563.11002602776</v>
      </c>
      <c r="G560" s="1156">
        <f t="shared" si="152"/>
        <v>17936.097125328652</v>
      </c>
      <c r="H560" s="827">
        <v>85</v>
      </c>
      <c r="I560" s="1157">
        <f>'Emission-Waste Transport Vehicl'!N53</f>
        <v>21.941507697120006</v>
      </c>
      <c r="J560" s="1157">
        <f>'Emission-Waste Transport Vehicl'!P53</f>
        <v>12.207889314720003</v>
      </c>
      <c r="K560" s="1157">
        <f>'Emission-Waste Transport Vehicl'!Q53</f>
        <v>9.4809901190400012</v>
      </c>
      <c r="L560" s="1157">
        <f>'Emission-Waste Transport Vehicl'!R53</f>
        <v>0.9436408660800002</v>
      </c>
      <c r="M560" s="1159">
        <f t="shared" si="138"/>
        <v>1662843.0509330854</v>
      </c>
      <c r="N560" s="1159">
        <f t="shared" si="144"/>
        <v>183044.19215427476</v>
      </c>
      <c r="O560" s="1159">
        <f t="shared" si="145"/>
        <v>636517.11756999954</v>
      </c>
      <c r="P560" s="1159">
        <f t="shared" si="146"/>
        <v>5338.8405927015501</v>
      </c>
      <c r="Q560" s="1159">
        <f t="shared" si="147"/>
        <v>16925.23422544013</v>
      </c>
      <c r="R560" s="2773"/>
    </row>
    <row r="561" spans="1:18" x14ac:dyDescent="0.25">
      <c r="A561" s="2862"/>
      <c r="B561" s="706">
        <v>2040</v>
      </c>
      <c r="C561" s="1134">
        <f t="shared" si="148"/>
        <v>19562859.422742181</v>
      </c>
      <c r="D561" s="1156">
        <f t="shared" si="149"/>
        <v>8342.3707559668164</v>
      </c>
      <c r="E561" s="1156">
        <f t="shared" si="150"/>
        <v>52139.817224792598</v>
      </c>
      <c r="F561" s="1156">
        <f t="shared" si="151"/>
        <v>563.11002602776</v>
      </c>
      <c r="G561" s="1156">
        <f t="shared" si="152"/>
        <v>17936.097125328652</v>
      </c>
      <c r="H561" s="827">
        <v>86</v>
      </c>
      <c r="I561" s="1157">
        <f>'Emission-Waste Transport Vehicl'!N54</f>
        <v>21.511154202912003</v>
      </c>
      <c r="J561" s="1157">
        <f>'Emission-Waste Transport Vehicl'!P54</f>
        <v>11.968447800672001</v>
      </c>
      <c r="K561" s="1157">
        <f>'Emission-Waste Transport Vehicl'!Q54</f>
        <v>9.2950331063040004</v>
      </c>
      <c r="L561" s="1157">
        <f>'Emission-Waste Transport Vehicl'!R54</f>
        <v>0.92513260540800013</v>
      </c>
      <c r="M561" s="1159">
        <f t="shared" si="138"/>
        <v>1682405.9103558275</v>
      </c>
      <c r="N561" s="1159">
        <f t="shared" si="144"/>
        <v>179454.02374946576</v>
      </c>
      <c r="O561" s="1159">
        <f t="shared" si="145"/>
        <v>624032.6807915091</v>
      </c>
      <c r="P561" s="1159">
        <f t="shared" si="146"/>
        <v>5234.1263344197368</v>
      </c>
      <c r="Q561" s="1159">
        <f t="shared" si="147"/>
        <v>16593.268264406237</v>
      </c>
      <c r="R561" s="2773"/>
    </row>
    <row r="562" spans="1:18" x14ac:dyDescent="0.25">
      <c r="A562" s="2862"/>
      <c r="B562" s="706">
        <v>2041</v>
      </c>
      <c r="C562" s="1134">
        <f t="shared" si="148"/>
        <v>19562859.422742181</v>
      </c>
      <c r="D562" s="1156">
        <f t="shared" si="149"/>
        <v>8342.3707559668164</v>
      </c>
      <c r="E562" s="1156">
        <f t="shared" si="150"/>
        <v>52139.817224792598</v>
      </c>
      <c r="F562" s="1156">
        <f t="shared" si="151"/>
        <v>563.11002602776</v>
      </c>
      <c r="G562" s="1156">
        <f t="shared" si="152"/>
        <v>17936.097125328652</v>
      </c>
      <c r="H562" s="827">
        <v>87</v>
      </c>
      <c r="I562" s="1157">
        <f>'Emission-Waste Transport Vehicl'!N55</f>
        <v>21.087321216192002</v>
      </c>
      <c r="J562" s="1157">
        <f>'Emission-Waste Transport Vehicl'!P55</f>
        <v>11.732634188352002</v>
      </c>
      <c r="K562" s="1157">
        <f>'Emission-Waste Transport Vehicl'!Q55</f>
        <v>9.1118936240640007</v>
      </c>
      <c r="L562" s="1157">
        <f>'Emission-Waste Transport Vehicl'!R55</f>
        <v>0.9069047729280002</v>
      </c>
      <c r="M562" s="1159">
        <f t="shared" si="138"/>
        <v>1701968.7697785699</v>
      </c>
      <c r="N562" s="1159">
        <f t="shared" si="144"/>
        <v>175918.25183563877</v>
      </c>
      <c r="O562" s="1159">
        <f t="shared" si="145"/>
        <v>611737.40214602626</v>
      </c>
      <c r="P562" s="1159">
        <f t="shared" si="146"/>
        <v>5130.9986558088594</v>
      </c>
      <c r="Q562" s="1159">
        <f t="shared" si="147"/>
        <v>16266.332090660739</v>
      </c>
      <c r="R562" s="2773"/>
    </row>
    <row r="563" spans="1:18" x14ac:dyDescent="0.25">
      <c r="A563" s="2862"/>
      <c r="B563" s="706">
        <v>2042</v>
      </c>
      <c r="C563" s="1134">
        <f t="shared" si="148"/>
        <v>19562859.422742181</v>
      </c>
      <c r="D563" s="1156">
        <f t="shared" si="149"/>
        <v>8342.3707559668164</v>
      </c>
      <c r="E563" s="1156">
        <f t="shared" si="150"/>
        <v>52139.817224792598</v>
      </c>
      <c r="F563" s="1156">
        <f t="shared" si="151"/>
        <v>563.11002602776</v>
      </c>
      <c r="G563" s="1156">
        <f t="shared" si="152"/>
        <v>17936.097125328652</v>
      </c>
      <c r="H563" s="827">
        <v>88</v>
      </c>
      <c r="I563" s="1157">
        <f>'Emission-Waste Transport Vehicl'!N56</f>
        <v>20.676529244448002</v>
      </c>
      <c r="J563" s="1157">
        <f>'Emission-Waste Transport Vehicl'!P56</f>
        <v>11.504076379488001</v>
      </c>
      <c r="K563" s="1157">
        <f>'Emission-Waste Transport Vehicl'!Q56</f>
        <v>8.9343892028159999</v>
      </c>
      <c r="L563" s="1157">
        <f>'Emission-Waste Transport Vehicl'!R56</f>
        <v>0.8892377968320001</v>
      </c>
      <c r="M563" s="1159">
        <f t="shared" si="138"/>
        <v>1721531.6292013121</v>
      </c>
      <c r="N563" s="1159">
        <f t="shared" si="144"/>
        <v>172491.27290377565</v>
      </c>
      <c r="O563" s="1159">
        <f t="shared" si="145"/>
        <v>599820.43976655812</v>
      </c>
      <c r="P563" s="1159">
        <f t="shared" si="146"/>
        <v>5031.0441365398556</v>
      </c>
      <c r="Q563" s="1159">
        <f t="shared" si="147"/>
        <v>15949.455491492021</v>
      </c>
      <c r="R563" s="2773"/>
    </row>
    <row r="564" spans="1:18" x14ac:dyDescent="0.25">
      <c r="A564" s="2862"/>
      <c r="B564" s="706">
        <v>2043</v>
      </c>
      <c r="C564" s="1134">
        <f t="shared" si="148"/>
        <v>19562859.422742181</v>
      </c>
      <c r="D564" s="1156">
        <f t="shared" si="149"/>
        <v>8342.3707559668164</v>
      </c>
      <c r="E564" s="1156">
        <f t="shared" si="150"/>
        <v>52139.817224792598</v>
      </c>
      <c r="F564" s="1156">
        <f t="shared" si="151"/>
        <v>563.11002602776</v>
      </c>
      <c r="G564" s="1156">
        <f t="shared" si="152"/>
        <v>17936.097125328652</v>
      </c>
      <c r="H564" s="827">
        <v>89</v>
      </c>
      <c r="I564" s="1157">
        <f>'Emission-Waste Transport Vehicl'!N57</f>
        <v>20.268997526448004</v>
      </c>
      <c r="J564" s="1157">
        <f>'Emission-Waste Transport Vehicl'!P57</f>
        <v>11.277332521488001</v>
      </c>
      <c r="K564" s="1157">
        <f>'Emission-Waste Transport Vehicl'!Q57</f>
        <v>8.7582935468160006</v>
      </c>
      <c r="L564" s="1157">
        <f>'Emission-Waste Transport Vehicl'!R57</f>
        <v>0.87171103483200019</v>
      </c>
      <c r="M564" s="1159">
        <f t="shared" si="138"/>
        <v>1741094.4886240542</v>
      </c>
      <c r="N564" s="1159">
        <f t="shared" si="144"/>
        <v>169091.49221740357</v>
      </c>
      <c r="O564" s="1159">
        <f t="shared" si="145"/>
        <v>587998.05645359377</v>
      </c>
      <c r="P564" s="1159">
        <f t="shared" si="146"/>
        <v>4931.8829071063201</v>
      </c>
      <c r="Q564" s="1159">
        <f t="shared" si="147"/>
        <v>15635.093785967503</v>
      </c>
      <c r="R564" s="2773"/>
    </row>
    <row r="565" spans="1:18" x14ac:dyDescent="0.25">
      <c r="A565" s="2862"/>
      <c r="B565" s="706">
        <v>2044</v>
      </c>
      <c r="C565" s="1134">
        <f t="shared" si="148"/>
        <v>19562859.422742181</v>
      </c>
      <c r="D565" s="1156">
        <f t="shared" si="149"/>
        <v>8342.3707559668164</v>
      </c>
      <c r="E565" s="1156">
        <f t="shared" si="150"/>
        <v>52139.817224792598</v>
      </c>
      <c r="F565" s="1156">
        <f t="shared" si="151"/>
        <v>563.11002602776</v>
      </c>
      <c r="G565" s="1156">
        <f t="shared" si="152"/>
        <v>17936.097125328652</v>
      </c>
      <c r="H565" s="827">
        <v>90</v>
      </c>
      <c r="I565" s="1157">
        <f>'Emission-Waste Transport Vehicl'!N58</f>
        <v>19.871246569680004</v>
      </c>
      <c r="J565" s="1157">
        <f>'Emission-Waste Transport Vehicl'!P58</f>
        <v>11.056030516080002</v>
      </c>
      <c r="K565" s="1157">
        <f>'Emission-Waste Transport Vehicl'!Q58</f>
        <v>8.5864241865600004</v>
      </c>
      <c r="L565" s="1157">
        <f>'Emission-Waste Transport Vehicl'!R58</f>
        <v>0.85460491512000014</v>
      </c>
      <c r="M565" s="1159">
        <f t="shared" si="138"/>
        <v>1760657.3480467964</v>
      </c>
      <c r="N565" s="1159">
        <f t="shared" si="144"/>
        <v>165773.30626750438</v>
      </c>
      <c r="O565" s="1159">
        <f t="shared" si="145"/>
        <v>576459.41034014069</v>
      </c>
      <c r="P565" s="1159">
        <f t="shared" si="146"/>
        <v>4835.1015471791898</v>
      </c>
      <c r="Q565" s="1159">
        <f t="shared" si="147"/>
        <v>15328.276761375571</v>
      </c>
      <c r="R565" s="2773"/>
    </row>
    <row r="566" spans="1:18" x14ac:dyDescent="0.25">
      <c r="A566" s="2862"/>
      <c r="B566" s="706">
        <v>2045</v>
      </c>
      <c r="C566" s="1134">
        <f t="shared" si="148"/>
        <v>19562859.422742181</v>
      </c>
      <c r="D566" s="1156">
        <f t="shared" si="149"/>
        <v>8342.3707559668164</v>
      </c>
      <c r="E566" s="1156">
        <f t="shared" si="150"/>
        <v>52139.817224792598</v>
      </c>
      <c r="F566" s="1156">
        <f t="shared" si="151"/>
        <v>563.11002602776</v>
      </c>
      <c r="G566" s="1156">
        <f t="shared" si="152"/>
        <v>17936.097125328652</v>
      </c>
      <c r="H566" s="827">
        <v>92</v>
      </c>
      <c r="I566" s="1157">
        <f>'Emission-Waste Transport Vehicl'!N59</f>
        <v>19.483276374144001</v>
      </c>
      <c r="J566" s="1157">
        <f>'Emission-Waste Transport Vehicl'!P59</f>
        <v>10.840170363264003</v>
      </c>
      <c r="K566" s="1157">
        <f>'Emission-Waste Transport Vehicl'!Q59</f>
        <v>8.4187811220480011</v>
      </c>
      <c r="L566" s="1157">
        <f>'Emission-Waste Transport Vehicl'!R59</f>
        <v>0.83791943769600008</v>
      </c>
      <c r="M566" s="1159">
        <f t="shared" si="138"/>
        <v>1799783.0668922807</v>
      </c>
      <c r="N566" s="1159">
        <f t="shared" si="144"/>
        <v>162536.71505407811</v>
      </c>
      <c r="O566" s="1159">
        <f t="shared" si="145"/>
        <v>565204.50142619864</v>
      </c>
      <c r="P566" s="1159">
        <f t="shared" si="146"/>
        <v>4740.7000567584646</v>
      </c>
      <c r="Q566" s="1159">
        <f t="shared" si="147"/>
        <v>15029.004417716227</v>
      </c>
      <c r="R566" s="2773"/>
    </row>
    <row r="567" spans="1:18" x14ac:dyDescent="0.25">
      <c r="A567" s="2862"/>
      <c r="B567" s="706">
        <v>2046</v>
      </c>
      <c r="C567" s="1134">
        <f t="shared" si="148"/>
        <v>19562859.422742181</v>
      </c>
      <c r="D567" s="1156">
        <f t="shared" si="149"/>
        <v>8342.3707559668164</v>
      </c>
      <c r="E567" s="1156">
        <f t="shared" si="150"/>
        <v>52139.817224792598</v>
      </c>
      <c r="F567" s="1156">
        <f t="shared" si="151"/>
        <v>563.11002602776</v>
      </c>
      <c r="G567" s="1156">
        <f t="shared" si="152"/>
        <v>17936.097125328652</v>
      </c>
      <c r="H567" s="827">
        <v>93</v>
      </c>
      <c r="I567" s="1157">
        <f>'Emission-Waste Transport Vehicl'!N60</f>
        <v>19.101826686096</v>
      </c>
      <c r="J567" s="1157">
        <f>'Emission-Waste Transport Vehicl'!P60</f>
        <v>10.627938112176002</v>
      </c>
      <c r="K567" s="1157">
        <f>'Emission-Waste Transport Vehicl'!Q60</f>
        <v>8.2539555880319995</v>
      </c>
      <c r="L567" s="1157">
        <f>'Emission-Waste Transport Vehicl'!R60</f>
        <v>0.82151438846400004</v>
      </c>
      <c r="M567" s="1159">
        <f t="shared" si="138"/>
        <v>1819345.9263150229</v>
      </c>
      <c r="N567" s="1159">
        <f t="shared" si="144"/>
        <v>159354.5203316338</v>
      </c>
      <c r="O567" s="1159">
        <f t="shared" si="145"/>
        <v>554138.75064526405</v>
      </c>
      <c r="P567" s="1159">
        <f t="shared" si="146"/>
        <v>4647.8851460086744</v>
      </c>
      <c r="Q567" s="1159">
        <f t="shared" si="147"/>
        <v>14734.761861345276</v>
      </c>
      <c r="R567" s="2773"/>
    </row>
    <row r="568" spans="1:18" x14ac:dyDescent="0.25">
      <c r="A568" s="2862"/>
      <c r="B568" s="706">
        <v>2047</v>
      </c>
      <c r="C568" s="1134">
        <f t="shared" si="148"/>
        <v>19562859.422742181</v>
      </c>
      <c r="D568" s="1156">
        <f t="shared" si="149"/>
        <v>8342.3707559668164</v>
      </c>
      <c r="E568" s="1156">
        <f t="shared" si="150"/>
        <v>52139.817224792598</v>
      </c>
      <c r="F568" s="1156">
        <f t="shared" si="151"/>
        <v>563.11002602776</v>
      </c>
      <c r="G568" s="1156">
        <f t="shared" si="152"/>
        <v>17936.097125328652</v>
      </c>
      <c r="H568" s="827">
        <v>94</v>
      </c>
      <c r="I568" s="1157">
        <f>'Emission-Waste Transport Vehicl'!N61</f>
        <v>18.726897505536005</v>
      </c>
      <c r="J568" s="1157">
        <f>'Emission-Waste Transport Vehicl'!P61</f>
        <v>10.419333762816001</v>
      </c>
      <c r="K568" s="1157">
        <f>'Emission-Waste Transport Vehicl'!Q61</f>
        <v>8.0919475845120008</v>
      </c>
      <c r="L568" s="1157">
        <f>'Emission-Waste Transport Vehicl'!R61</f>
        <v>0.80538976742400015</v>
      </c>
      <c r="M568" s="1159">
        <f t="shared" si="138"/>
        <v>1838908.785737765</v>
      </c>
      <c r="N568" s="1159">
        <f t="shared" si="144"/>
        <v>156226.72210017149</v>
      </c>
      <c r="O568" s="1159">
        <f t="shared" si="145"/>
        <v>543262.15799733682</v>
      </c>
      <c r="P568" s="1159">
        <f t="shared" si="146"/>
        <v>4556.6568149298228</v>
      </c>
      <c r="Q568" s="1159">
        <f t="shared" si="147"/>
        <v>14445.54909226272</v>
      </c>
      <c r="R568" s="2773"/>
    </row>
    <row r="569" spans="1:18" x14ac:dyDescent="0.25">
      <c r="A569" s="2862"/>
      <c r="B569" s="706">
        <v>2048</v>
      </c>
      <c r="C569" s="1134">
        <f t="shared" si="148"/>
        <v>19562859.422742181</v>
      </c>
      <c r="D569" s="1156">
        <f t="shared" si="149"/>
        <v>8342.3707559668164</v>
      </c>
      <c r="E569" s="1156">
        <f t="shared" si="150"/>
        <v>52139.817224792598</v>
      </c>
      <c r="F569" s="1156">
        <f t="shared" si="151"/>
        <v>563.11002602776</v>
      </c>
      <c r="G569" s="1156">
        <f t="shared" si="152"/>
        <v>17936.097125328652</v>
      </c>
      <c r="H569" s="827">
        <v>95</v>
      </c>
      <c r="I569" s="1157">
        <f>'Emission-Waste Transport Vehicl'!N62</f>
        <v>18.358488832464005</v>
      </c>
      <c r="J569" s="1157">
        <f>'Emission-Waste Transport Vehicl'!P62</f>
        <v>10.214357315184001</v>
      </c>
      <c r="K569" s="1157">
        <f>'Emission-Waste Transport Vehicl'!Q62</f>
        <v>7.9327571114880007</v>
      </c>
      <c r="L569" s="1157">
        <f>'Emission-Waste Transport Vehicl'!R62</f>
        <v>0.78954557457600016</v>
      </c>
      <c r="M569" s="1159">
        <f t="shared" si="138"/>
        <v>1858471.6451605072</v>
      </c>
      <c r="N569" s="1159">
        <f t="shared" si="144"/>
        <v>153153.3203596911</v>
      </c>
      <c r="O569" s="1159">
        <f t="shared" si="145"/>
        <v>532574.72348241706</v>
      </c>
      <c r="P569" s="1159">
        <f t="shared" si="146"/>
        <v>4467.0150635219061</v>
      </c>
      <c r="Q569" s="1159">
        <f t="shared" si="147"/>
        <v>14161.366110468554</v>
      </c>
      <c r="R569" s="2773"/>
    </row>
    <row r="570" spans="1:18" x14ac:dyDescent="0.25">
      <c r="A570" s="2862"/>
      <c r="B570" s="706">
        <v>2049</v>
      </c>
      <c r="C570" s="1134">
        <f t="shared" si="148"/>
        <v>19562859.422742181</v>
      </c>
      <c r="D570" s="1156">
        <f t="shared" si="149"/>
        <v>8342.3707559668164</v>
      </c>
      <c r="E570" s="1156">
        <f t="shared" si="150"/>
        <v>52139.817224792598</v>
      </c>
      <c r="F570" s="1156">
        <f t="shared" si="151"/>
        <v>563.11002602776</v>
      </c>
      <c r="G570" s="1156">
        <f t="shared" si="152"/>
        <v>17936.097125328652</v>
      </c>
      <c r="H570" s="827">
        <v>96</v>
      </c>
      <c r="I570" s="1157">
        <f>'Emission-Waste Transport Vehicl'!N63</f>
        <v>17.999860920624005</v>
      </c>
      <c r="J570" s="1157">
        <f>'Emission-Waste Transport Vehicl'!P63</f>
        <v>10.014822720144002</v>
      </c>
      <c r="K570" s="1157">
        <f>'Emission-Waste Transport Vehicl'!Q63</f>
        <v>7.7777929342080014</v>
      </c>
      <c r="L570" s="1157">
        <f>'Emission-Waste Transport Vehicl'!R63</f>
        <v>0.77412202401600017</v>
      </c>
      <c r="M570" s="1159">
        <f t="shared" si="138"/>
        <v>1878034.5045832493</v>
      </c>
      <c r="N570" s="1159">
        <f t="shared" si="144"/>
        <v>150161.51335568365</v>
      </c>
      <c r="O570" s="1159">
        <f t="shared" si="145"/>
        <v>522171.0261670085</v>
      </c>
      <c r="P570" s="1159">
        <f t="shared" si="146"/>
        <v>4379.7531816203955</v>
      </c>
      <c r="Q570" s="1159">
        <f t="shared" si="147"/>
        <v>13884.727809606979</v>
      </c>
      <c r="R570" s="2773"/>
    </row>
    <row r="571" spans="1:18" x14ac:dyDescent="0.25">
      <c r="A571" s="2862"/>
      <c r="B571" s="706">
        <v>2050</v>
      </c>
      <c r="C571" s="1134">
        <f t="shared" si="148"/>
        <v>19562859.422742181</v>
      </c>
      <c r="D571" s="1156">
        <f t="shared" si="149"/>
        <v>8342.3707559668164</v>
      </c>
      <c r="E571" s="1156">
        <f t="shared" si="150"/>
        <v>52139.817224792598</v>
      </c>
      <c r="F571" s="1156">
        <f t="shared" si="151"/>
        <v>563.11002602776</v>
      </c>
      <c r="G571" s="1156">
        <f t="shared" si="152"/>
        <v>17936.097125328652</v>
      </c>
      <c r="H571" s="827">
        <v>97</v>
      </c>
      <c r="I571" s="1157">
        <f>'Emission-Waste Transport Vehicl'!N64</f>
        <v>17.644493262528005</v>
      </c>
      <c r="J571" s="1157">
        <f>'Emission-Waste Transport Vehicl'!P64</f>
        <v>9.8171020759680019</v>
      </c>
      <c r="K571" s="1157">
        <f>'Emission-Waste Transport Vehicl'!Q64</f>
        <v>7.624237522176001</v>
      </c>
      <c r="L571" s="1157">
        <f>'Emission-Waste Transport Vehicl'!R64</f>
        <v>0.75883868755200012</v>
      </c>
      <c r="M571" s="1159">
        <f t="shared" si="138"/>
        <v>1897597.3640059917</v>
      </c>
      <c r="N571" s="1159">
        <f t="shared" si="144"/>
        <v>147196.90459716716</v>
      </c>
      <c r="O571" s="1159">
        <f t="shared" si="145"/>
        <v>511861.90791810362</v>
      </c>
      <c r="P571" s="1159">
        <f t="shared" si="146"/>
        <v>4293.2845895543524</v>
      </c>
      <c r="Q571" s="1159">
        <f t="shared" si="147"/>
        <v>13610.604402389596</v>
      </c>
      <c r="R571" s="2773"/>
    </row>
    <row r="572" spans="1:18" x14ac:dyDescent="0.25">
      <c r="A572" s="2862"/>
      <c r="B572" s="706">
        <v>2051</v>
      </c>
      <c r="C572" s="1134">
        <f t="shared" ref="C572:C590" si="153">$S$22</f>
        <v>19562859.422742181</v>
      </c>
      <c r="D572" s="1156">
        <f t="shared" ref="D572:D590" si="154">$T$22</f>
        <v>8342.3707559668164</v>
      </c>
      <c r="E572" s="1156">
        <f t="shared" ref="E572:E590" si="155">$R$22</f>
        <v>52139.817224792598</v>
      </c>
      <c r="F572" s="1156">
        <f t="shared" ref="F572:F590" si="156">$V$22</f>
        <v>563.11002602776</v>
      </c>
      <c r="G572" s="1156">
        <f t="shared" ref="G572:G590" si="157">$U$22</f>
        <v>17936.097125328652</v>
      </c>
      <c r="H572" s="827">
        <v>97</v>
      </c>
      <c r="I572" s="1157">
        <f>'Emission-Waste Transport Vehicl'!N65</f>
        <v>17.298906365664003</v>
      </c>
      <c r="J572" s="1157">
        <f>'Emission-Waste Transport Vehicl'!P65</f>
        <v>9.624823284384</v>
      </c>
      <c r="K572" s="1157">
        <f>'Emission-Waste Transport Vehicl'!Q65</f>
        <v>7.4749084058879998</v>
      </c>
      <c r="L572" s="1157">
        <f>'Emission-Waste Transport Vehicl'!R65</f>
        <v>0.74397599337600007</v>
      </c>
      <c r="M572" s="1159">
        <f t="shared" si="138"/>
        <v>1897597.3640059917</v>
      </c>
      <c r="N572" s="1159">
        <f t="shared" si="144"/>
        <v>144313.89057512357</v>
      </c>
      <c r="O572" s="1159">
        <f t="shared" si="145"/>
        <v>501836.52686870977</v>
      </c>
      <c r="P572" s="1159">
        <f t="shared" si="146"/>
        <v>4209.1958669947135</v>
      </c>
      <c r="Q572" s="1159">
        <f t="shared" si="147"/>
        <v>13344.025676104802</v>
      </c>
      <c r="R572" s="2773"/>
    </row>
    <row r="573" spans="1:18" x14ac:dyDescent="0.25">
      <c r="A573" s="2862"/>
      <c r="B573" s="706">
        <v>2052</v>
      </c>
      <c r="C573" s="1134">
        <f t="shared" si="153"/>
        <v>19562859.422742181</v>
      </c>
      <c r="D573" s="1156">
        <f t="shared" si="154"/>
        <v>8342.3707559668164</v>
      </c>
      <c r="E573" s="1156">
        <f t="shared" si="155"/>
        <v>52139.817224792598</v>
      </c>
      <c r="F573" s="1156">
        <f t="shared" si="156"/>
        <v>563.11002602776</v>
      </c>
      <c r="G573" s="1156">
        <f t="shared" si="157"/>
        <v>17936.097125328652</v>
      </c>
      <c r="H573" s="827">
        <v>97</v>
      </c>
      <c r="I573" s="1157">
        <f>'Emission-Waste Transport Vehicl'!N66</f>
        <v>16.959839976288002</v>
      </c>
      <c r="J573" s="1157">
        <f>'Emission-Waste Transport Vehicl'!P66</f>
        <v>9.4361723945280005</v>
      </c>
      <c r="K573" s="1157">
        <f>'Emission-Waste Transport Vehicl'!Q66</f>
        <v>7.3283968200960006</v>
      </c>
      <c r="L573" s="1157">
        <f>'Emission-Waste Transport Vehicl'!R66</f>
        <v>0.72939372739200004</v>
      </c>
      <c r="M573" s="1159">
        <f t="shared" si="138"/>
        <v>1897597.3640059917</v>
      </c>
      <c r="N573" s="1159">
        <f t="shared" si="144"/>
        <v>141485.27304406196</v>
      </c>
      <c r="O573" s="1159">
        <f t="shared" si="145"/>
        <v>492000.30395232345</v>
      </c>
      <c r="P573" s="1159">
        <f t="shared" si="146"/>
        <v>4126.6937241060123</v>
      </c>
      <c r="Q573" s="1159">
        <f t="shared" si="147"/>
        <v>13082.476737108402</v>
      </c>
      <c r="R573" s="2773"/>
    </row>
    <row r="574" spans="1:18" x14ac:dyDescent="0.25">
      <c r="A574" s="2862"/>
      <c r="B574" s="706">
        <v>2053</v>
      </c>
      <c r="C574" s="1134">
        <f t="shared" si="153"/>
        <v>19562859.422742181</v>
      </c>
      <c r="D574" s="1156">
        <f t="shared" si="154"/>
        <v>8342.3707559668164</v>
      </c>
      <c r="E574" s="1156">
        <f t="shared" si="155"/>
        <v>52139.817224792598</v>
      </c>
      <c r="F574" s="1156">
        <f t="shared" si="156"/>
        <v>563.11002602776</v>
      </c>
      <c r="G574" s="1156">
        <f t="shared" si="157"/>
        <v>17936.097125328652</v>
      </c>
      <c r="H574" s="827">
        <v>97</v>
      </c>
      <c r="I574" s="1157">
        <f>'Emission-Waste Transport Vehicl'!N67</f>
        <v>15.361506000000002</v>
      </c>
      <c r="J574" s="1157">
        <f>'Emission-Waste Transport Vehicl'!P67</f>
        <v>9.2511494064000015</v>
      </c>
      <c r="K574" s="1157">
        <f>'Emission-Waste Transport Vehicl'!Q67</f>
        <v>7.1847027647999999</v>
      </c>
      <c r="L574" s="1157">
        <f>'Emission-Waste Transport Vehicl'!R67</f>
        <v>0.71509188960000014</v>
      </c>
      <c r="M574" s="1159">
        <f t="shared" si="138"/>
        <v>1897597.3640059917</v>
      </c>
      <c r="N574" s="1159">
        <f t="shared" si="144"/>
        <v>128151.3784220088</v>
      </c>
      <c r="O574" s="1159">
        <f t="shared" si="145"/>
        <v>482353.23916894459</v>
      </c>
      <c r="P574" s="1159">
        <f t="shared" si="146"/>
        <v>4045.7781608882474</v>
      </c>
      <c r="Q574" s="1159">
        <f t="shared" si="147"/>
        <v>12825.957585400396</v>
      </c>
      <c r="R574" s="2773"/>
    </row>
    <row r="575" spans="1:18" x14ac:dyDescent="0.25">
      <c r="A575" s="2862"/>
      <c r="B575" s="706">
        <v>2054</v>
      </c>
      <c r="C575" s="1134">
        <f t="shared" si="153"/>
        <v>19562859.422742181</v>
      </c>
      <c r="D575" s="1156">
        <f t="shared" si="154"/>
        <v>8342.3707559668164</v>
      </c>
      <c r="E575" s="1156">
        <f t="shared" si="155"/>
        <v>52139.817224792598</v>
      </c>
      <c r="F575" s="1156">
        <f t="shared" si="156"/>
        <v>563.11002602776</v>
      </c>
      <c r="G575" s="1156">
        <f t="shared" si="157"/>
        <v>17936.097125328652</v>
      </c>
      <c r="H575" s="827">
        <v>97</v>
      </c>
      <c r="I575" s="1157">
        <f>'Emission-Waste Transport Vehicl'!N68</f>
        <v>16.301268720000003</v>
      </c>
      <c r="J575" s="1157">
        <f>'Emission-Waste Transport Vehicl'!P68</f>
        <v>9.0697543200000013</v>
      </c>
      <c r="K575" s="1157">
        <f>'Emission-Waste Transport Vehicl'!Q68</f>
        <v>7.0438262400000005</v>
      </c>
      <c r="L575" s="1157">
        <f>'Emission-Waste Transport Vehicl'!R68</f>
        <v>0.70107048000000005</v>
      </c>
      <c r="M575" s="1159">
        <f t="shared" si="138"/>
        <v>1897597.3640059917</v>
      </c>
      <c r="N575" s="1159">
        <f t="shared" si="144"/>
        <v>135991.22745488465</v>
      </c>
      <c r="O575" s="1159">
        <f t="shared" si="145"/>
        <v>472895.33251857315</v>
      </c>
      <c r="P575" s="1159">
        <f t="shared" si="146"/>
        <v>3966.4491773414193</v>
      </c>
      <c r="Q575" s="1159">
        <f t="shared" si="147"/>
        <v>12574.46822098078</v>
      </c>
      <c r="R575" s="2773"/>
    </row>
    <row r="576" spans="1:18" x14ac:dyDescent="0.25">
      <c r="A576" s="2862"/>
      <c r="B576" s="706">
        <v>2055</v>
      </c>
      <c r="C576" s="1134">
        <f t="shared" si="153"/>
        <v>19562859.422742181</v>
      </c>
      <c r="D576" s="1156">
        <f t="shared" si="154"/>
        <v>8342.3707559668164</v>
      </c>
      <c r="E576" s="1156">
        <f t="shared" si="155"/>
        <v>52139.817224792598</v>
      </c>
      <c r="F576" s="1156">
        <f t="shared" si="156"/>
        <v>563.11002602776</v>
      </c>
      <c r="G576" s="1156">
        <f t="shared" si="157"/>
        <v>17936.097125328652</v>
      </c>
      <c r="H576" s="827">
        <v>97</v>
      </c>
      <c r="I576" s="1157">
        <f>'Emission-Waste Transport Vehicl'!N69</f>
        <v>15.981763853088003</v>
      </c>
      <c r="J576" s="1157">
        <f>'Emission-Waste Transport Vehicl'!P69</f>
        <v>8.8919871353280016</v>
      </c>
      <c r="K576" s="1157">
        <f>'Emission-Waste Transport Vehicl'!Q69</f>
        <v>6.9057672456960004</v>
      </c>
      <c r="L576" s="1157">
        <f>'Emission-Waste Transport Vehicl'!R69</f>
        <v>0.6873294985920001</v>
      </c>
      <c r="M576" s="1159">
        <f t="shared" si="138"/>
        <v>1897597.3640059917</v>
      </c>
      <c r="N576" s="1159">
        <f t="shared" si="144"/>
        <v>133325.79939676891</v>
      </c>
      <c r="O576" s="1159">
        <f t="shared" si="145"/>
        <v>463626.58400120912</v>
      </c>
      <c r="P576" s="1159">
        <f t="shared" si="146"/>
        <v>3888.7067734655275</v>
      </c>
      <c r="Q576" s="1159">
        <f t="shared" si="147"/>
        <v>12328.008643849556</v>
      </c>
      <c r="R576" s="2773"/>
    </row>
    <row r="577" spans="1:18" x14ac:dyDescent="0.25">
      <c r="A577" s="2862"/>
      <c r="B577" s="706">
        <v>2056</v>
      </c>
      <c r="C577" s="1134">
        <f t="shared" si="153"/>
        <v>19562859.422742181</v>
      </c>
      <c r="D577" s="1156">
        <f t="shared" si="154"/>
        <v>8342.3707559668164</v>
      </c>
      <c r="E577" s="1156">
        <f t="shared" si="155"/>
        <v>52139.817224792598</v>
      </c>
      <c r="F577" s="1156">
        <f t="shared" si="156"/>
        <v>563.11002602776</v>
      </c>
      <c r="G577" s="1156">
        <f t="shared" si="157"/>
        <v>17936.097125328652</v>
      </c>
      <c r="H577" s="827">
        <v>97</v>
      </c>
      <c r="I577" s="1157">
        <f>'Emission-Waste Transport Vehicl'!N70</f>
        <v>15.668779493664003</v>
      </c>
      <c r="J577" s="1157">
        <f>'Emission-Waste Transport Vehicl'!P70</f>
        <v>8.7178478523840006</v>
      </c>
      <c r="K577" s="1157">
        <f>'Emission-Waste Transport Vehicl'!Q70</f>
        <v>6.7705257818880007</v>
      </c>
      <c r="L577" s="1157">
        <f>'Emission-Waste Transport Vehicl'!R70</f>
        <v>0.67386894537600017</v>
      </c>
      <c r="M577" s="1159">
        <f t="shared" si="138"/>
        <v>1897597.3640059917</v>
      </c>
      <c r="N577" s="1159">
        <f t="shared" si="144"/>
        <v>130714.76782963512</v>
      </c>
      <c r="O577" s="1159">
        <f t="shared" si="145"/>
        <v>454546.99361685244</v>
      </c>
      <c r="P577" s="1159">
        <f t="shared" si="146"/>
        <v>3812.550949260572</v>
      </c>
      <c r="Q577" s="1159">
        <f t="shared" si="147"/>
        <v>12086.578854006726</v>
      </c>
      <c r="R577" s="2773"/>
    </row>
    <row r="578" spans="1:18" x14ac:dyDescent="0.25">
      <c r="A578" s="2862"/>
      <c r="B578" s="706">
        <v>2057</v>
      </c>
      <c r="C578" s="1134">
        <f t="shared" si="153"/>
        <v>19562859.422742181</v>
      </c>
      <c r="D578" s="1156">
        <f t="shared" si="154"/>
        <v>8342.3707559668164</v>
      </c>
      <c r="E578" s="1156">
        <f t="shared" si="155"/>
        <v>52139.817224792598</v>
      </c>
      <c r="F578" s="1156">
        <f t="shared" si="156"/>
        <v>563.11002602776</v>
      </c>
      <c r="G578" s="1156">
        <f t="shared" si="157"/>
        <v>17936.097125328652</v>
      </c>
      <c r="H578" s="827">
        <v>97</v>
      </c>
      <c r="I578" s="1157">
        <f>'Emission-Waste Transport Vehicl'!N71</f>
        <v>15.362315641728001</v>
      </c>
      <c r="J578" s="1157">
        <f>'Emission-Waste Transport Vehicl'!P71</f>
        <v>8.547336471168002</v>
      </c>
      <c r="K578" s="1157">
        <f>'Emission-Waste Transport Vehicl'!Q71</f>
        <v>6.6381018485760004</v>
      </c>
      <c r="L578" s="1157">
        <f>'Emission-Waste Transport Vehicl'!R71</f>
        <v>0.66068882035200005</v>
      </c>
      <c r="M578" s="1159">
        <f t="shared" si="138"/>
        <v>1897597.3640059917</v>
      </c>
      <c r="N578" s="1159">
        <f t="shared" si="144"/>
        <v>128158.13275348327</v>
      </c>
      <c r="O578" s="1159">
        <f t="shared" si="145"/>
        <v>445656.56136550335</v>
      </c>
      <c r="P578" s="1159">
        <f t="shared" si="146"/>
        <v>3737.9817047265533</v>
      </c>
      <c r="Q578" s="1159">
        <f t="shared" si="147"/>
        <v>11850.178851452287</v>
      </c>
      <c r="R578" s="2773"/>
    </row>
    <row r="579" spans="1:18" x14ac:dyDescent="0.25">
      <c r="A579" s="2862"/>
      <c r="B579" s="706">
        <v>2058</v>
      </c>
      <c r="C579" s="1134">
        <f t="shared" si="153"/>
        <v>19562859.422742181</v>
      </c>
      <c r="D579" s="1156">
        <f t="shared" si="154"/>
        <v>8342.3707559668164</v>
      </c>
      <c r="E579" s="1156">
        <f t="shared" si="155"/>
        <v>52139.817224792598</v>
      </c>
      <c r="F579" s="1156">
        <f t="shared" si="156"/>
        <v>563.11002602776</v>
      </c>
      <c r="G579" s="1156">
        <f t="shared" si="157"/>
        <v>17936.097125328652</v>
      </c>
      <c r="H579" s="827">
        <v>97</v>
      </c>
      <c r="I579" s="1157">
        <f>'Emission-Waste Transport Vehicl'!N72</f>
        <v>15.059112043536</v>
      </c>
      <c r="J579" s="1157">
        <f>'Emission-Waste Transport Vehicl'!P72</f>
        <v>8.378639040816001</v>
      </c>
      <c r="K579" s="1157">
        <f>'Emission-Waste Transport Vehicl'!Q72</f>
        <v>6.5070866805119998</v>
      </c>
      <c r="L579" s="1157">
        <f>'Emission-Waste Transport Vehicl'!R72</f>
        <v>0.647648909424</v>
      </c>
      <c r="M579" s="1159">
        <f t="shared" si="138"/>
        <v>1897597.3640059917</v>
      </c>
      <c r="N579" s="1159">
        <f t="shared" si="144"/>
        <v>125628.69592282242</v>
      </c>
      <c r="O579" s="1159">
        <f t="shared" si="145"/>
        <v>436860.70818065788</v>
      </c>
      <c r="P579" s="1159">
        <f t="shared" si="146"/>
        <v>3664.2057500280025</v>
      </c>
      <c r="Q579" s="1159">
        <f t="shared" si="147"/>
        <v>11616.293742542042</v>
      </c>
      <c r="R579" s="2773"/>
    </row>
    <row r="580" spans="1:18" x14ac:dyDescent="0.25">
      <c r="A580" s="2862"/>
      <c r="B580" s="706">
        <v>2059</v>
      </c>
      <c r="C580" s="1134">
        <f t="shared" si="153"/>
        <v>19562859.422742181</v>
      </c>
      <c r="D580" s="1156">
        <f t="shared" si="154"/>
        <v>8342.3707559668164</v>
      </c>
      <c r="E580" s="1156">
        <f t="shared" si="155"/>
        <v>52139.817224792598</v>
      </c>
      <c r="F580" s="1156">
        <f t="shared" si="156"/>
        <v>563.11002602776</v>
      </c>
      <c r="G580" s="1156">
        <f t="shared" si="157"/>
        <v>17936.097125328652</v>
      </c>
      <c r="H580" s="827">
        <v>97</v>
      </c>
      <c r="I580" s="1157">
        <f>'Emission-Waste Transport Vehicl'!N73</f>
        <v>14.765689206576004</v>
      </c>
      <c r="J580" s="1157">
        <f>'Emission-Waste Transport Vehicl'!P73</f>
        <v>8.2153834630560016</v>
      </c>
      <c r="K580" s="1157">
        <f>'Emission-Waste Transport Vehicl'!Q73</f>
        <v>6.380297808192001</v>
      </c>
      <c r="L580" s="1157">
        <f>'Emission-Waste Transport Vehicl'!R73</f>
        <v>0.63502964078400004</v>
      </c>
      <c r="M580" s="1159">
        <f t="shared" ref="M580:M641" si="158">(C580/1000)*H580</f>
        <v>1897597.3640059917</v>
      </c>
      <c r="N580" s="1159">
        <f t="shared" si="144"/>
        <v>123180.85382863453</v>
      </c>
      <c r="O580" s="1159">
        <f t="shared" si="145"/>
        <v>428348.59219532355</v>
      </c>
      <c r="P580" s="1159">
        <f t="shared" si="146"/>
        <v>3592.8096648358578</v>
      </c>
      <c r="Q580" s="1159">
        <f t="shared" si="147"/>
        <v>11389.953314564389</v>
      </c>
      <c r="R580" s="2773"/>
    </row>
    <row r="581" spans="1:18" x14ac:dyDescent="0.25">
      <c r="A581" s="2862"/>
      <c r="B581" s="706">
        <v>2060</v>
      </c>
      <c r="C581" s="1134">
        <f t="shared" si="153"/>
        <v>19562859.422742181</v>
      </c>
      <c r="D581" s="1156">
        <f t="shared" si="154"/>
        <v>8342.3707559668164</v>
      </c>
      <c r="E581" s="1156">
        <f t="shared" si="155"/>
        <v>52139.817224792598</v>
      </c>
      <c r="F581" s="1156">
        <f t="shared" si="156"/>
        <v>563.11002602776</v>
      </c>
      <c r="G581" s="1156">
        <f t="shared" si="157"/>
        <v>17936.097125328652</v>
      </c>
      <c r="H581" s="827">
        <v>97</v>
      </c>
      <c r="I581" s="1157">
        <f>'Emission-Waste Transport Vehicl'!N74</f>
        <v>14.475526623360002</v>
      </c>
      <c r="J581" s="1157">
        <f>'Emission-Waste Transport Vehicl'!P74</f>
        <v>8.0539418361599999</v>
      </c>
      <c r="K581" s="1157">
        <f>'Emission-Waste Transport Vehicl'!Q74</f>
        <v>6.2549177011200001</v>
      </c>
      <c r="L581" s="1157">
        <f>'Emission-Waste Transport Vehicl'!R74</f>
        <v>0.62255058624000004</v>
      </c>
      <c r="M581" s="1159">
        <f t="shared" si="158"/>
        <v>1897597.3640059917</v>
      </c>
      <c r="N581" s="1159">
        <f t="shared" si="144"/>
        <v>120760.20997993756</v>
      </c>
      <c r="O581" s="1159">
        <f t="shared" si="145"/>
        <v>419931.0552764929</v>
      </c>
      <c r="P581" s="1159">
        <f t="shared" si="146"/>
        <v>3522.2068694791801</v>
      </c>
      <c r="Q581" s="1159">
        <f t="shared" si="147"/>
        <v>11166.127780230932</v>
      </c>
      <c r="R581" s="2773"/>
    </row>
    <row r="582" spans="1:18" x14ac:dyDescent="0.25">
      <c r="A582" s="2862"/>
      <c r="B582" s="706">
        <v>2061</v>
      </c>
      <c r="C582" s="1134">
        <f t="shared" si="153"/>
        <v>19562859.422742181</v>
      </c>
      <c r="D582" s="1156">
        <f t="shared" si="154"/>
        <v>8342.3707559668164</v>
      </c>
      <c r="E582" s="1156">
        <f t="shared" si="155"/>
        <v>52139.817224792598</v>
      </c>
      <c r="F582" s="1156">
        <f t="shared" si="156"/>
        <v>563.11002602776</v>
      </c>
      <c r="G582" s="1156">
        <f t="shared" si="157"/>
        <v>17936.097125328652</v>
      </c>
      <c r="H582" s="827">
        <v>97</v>
      </c>
      <c r="I582" s="1157">
        <f>'Emission-Waste Transport Vehicl'!N75</f>
        <v>14.191884547632004</v>
      </c>
      <c r="J582" s="1157">
        <f>'Emission-Waste Transport Vehicl'!P75</f>
        <v>7.8961281109920014</v>
      </c>
      <c r="K582" s="1157">
        <f>'Emission-Waste Transport Vehicl'!Q75</f>
        <v>6.1323551245440004</v>
      </c>
      <c r="L582" s="1157">
        <f>'Emission-Waste Transport Vehicl'!R75</f>
        <v>0.61035195988800006</v>
      </c>
      <c r="M582" s="1159">
        <f t="shared" si="158"/>
        <v>1897597.3640059917</v>
      </c>
      <c r="N582" s="1159">
        <f t="shared" si="144"/>
        <v>118393.96262222258</v>
      </c>
      <c r="O582" s="1159">
        <f t="shared" si="145"/>
        <v>411702.67649066978</v>
      </c>
      <c r="P582" s="1159">
        <f t="shared" si="146"/>
        <v>3453.1906537934397</v>
      </c>
      <c r="Q582" s="1159">
        <f t="shared" si="147"/>
        <v>10947.332033185867</v>
      </c>
      <c r="R582" s="2773"/>
    </row>
    <row r="583" spans="1:18" x14ac:dyDescent="0.25">
      <c r="A583" s="2862"/>
      <c r="B583" s="706">
        <v>2062</v>
      </c>
      <c r="C583" s="1134">
        <f t="shared" si="153"/>
        <v>19562859.422742181</v>
      </c>
      <c r="D583" s="1156">
        <f t="shared" si="154"/>
        <v>8342.3707559668164</v>
      </c>
      <c r="E583" s="1156">
        <f t="shared" si="155"/>
        <v>52139.817224792598</v>
      </c>
      <c r="F583" s="1156">
        <f t="shared" si="156"/>
        <v>563.11002602776</v>
      </c>
      <c r="G583" s="1156">
        <f t="shared" si="157"/>
        <v>17936.097125328652</v>
      </c>
      <c r="H583" s="827">
        <v>97</v>
      </c>
      <c r="I583" s="1157">
        <f>'Emission-Waste Transport Vehicl'!N76</f>
        <v>13.914762979392002</v>
      </c>
      <c r="J583" s="1157">
        <f>'Emission-Waste Transport Vehicl'!P76</f>
        <v>7.7419422875520008</v>
      </c>
      <c r="K583" s="1157">
        <f>'Emission-Waste Transport Vehicl'!Q76</f>
        <v>6.0126100784640002</v>
      </c>
      <c r="L583" s="1157">
        <f>'Emission-Waste Transport Vehicl'!R76</f>
        <v>0.59843376172800011</v>
      </c>
      <c r="M583" s="1159">
        <f t="shared" si="158"/>
        <v>1897597.3640059917</v>
      </c>
      <c r="N583" s="1159">
        <f t="shared" si="144"/>
        <v>116082.11175548953</v>
      </c>
      <c r="O583" s="1159">
        <f t="shared" si="145"/>
        <v>403663.45583785401</v>
      </c>
      <c r="P583" s="1159">
        <f t="shared" si="146"/>
        <v>3385.7610177786351</v>
      </c>
      <c r="Q583" s="1159">
        <f t="shared" si="147"/>
        <v>10733.566073429194</v>
      </c>
      <c r="R583" s="2773"/>
    </row>
    <row r="584" spans="1:18" x14ac:dyDescent="0.25">
      <c r="A584" s="2862"/>
      <c r="B584" s="706">
        <v>2063</v>
      </c>
      <c r="C584" s="1134">
        <f t="shared" si="153"/>
        <v>19562859.422742181</v>
      </c>
      <c r="D584" s="1156">
        <f t="shared" si="154"/>
        <v>8342.3707559668164</v>
      </c>
      <c r="E584" s="1156">
        <f t="shared" si="155"/>
        <v>52139.817224792598</v>
      </c>
      <c r="F584" s="1156">
        <f t="shared" si="156"/>
        <v>563.11002602776</v>
      </c>
      <c r="G584" s="1156">
        <f t="shared" si="157"/>
        <v>17936.097125328652</v>
      </c>
      <c r="H584" s="827">
        <v>97</v>
      </c>
      <c r="I584" s="1157">
        <f>'Emission-Waste Transport Vehicl'!N77</f>
        <v>13.640901664896001</v>
      </c>
      <c r="J584" s="1157">
        <f>'Emission-Waste Transport Vehicl'!P77</f>
        <v>7.5895704149760004</v>
      </c>
      <c r="K584" s="1157">
        <f>'Emission-Waste Transport Vehicl'!Q77</f>
        <v>5.8942737976319997</v>
      </c>
      <c r="L584" s="1157">
        <f>'Emission-Waste Transport Vehicl'!R77</f>
        <v>0.58665577766400001</v>
      </c>
      <c r="M584" s="1159">
        <f t="shared" si="158"/>
        <v>1897597.3640059917</v>
      </c>
      <c r="N584" s="1159">
        <f t="shared" si="144"/>
        <v>113797.45913424746</v>
      </c>
      <c r="O584" s="1159">
        <f t="shared" si="145"/>
        <v>395718.81425154197</v>
      </c>
      <c r="P584" s="1159">
        <f t="shared" si="146"/>
        <v>3319.1246715992993</v>
      </c>
      <c r="Q584" s="1159">
        <f t="shared" si="147"/>
        <v>10522.315007316714</v>
      </c>
      <c r="R584" s="2773"/>
    </row>
    <row r="585" spans="1:18" x14ac:dyDescent="0.25">
      <c r="A585" s="2862"/>
      <c r="B585" s="706">
        <v>2064</v>
      </c>
      <c r="C585" s="1134">
        <f t="shared" si="153"/>
        <v>19562859.422742181</v>
      </c>
      <c r="D585" s="1156">
        <f t="shared" si="154"/>
        <v>8342.3707559668164</v>
      </c>
      <c r="E585" s="1156">
        <f t="shared" si="155"/>
        <v>52139.817224792598</v>
      </c>
      <c r="F585" s="1156">
        <f t="shared" si="156"/>
        <v>563.11002602776</v>
      </c>
      <c r="G585" s="1156">
        <f t="shared" si="157"/>
        <v>17936.097125328652</v>
      </c>
      <c r="H585" s="827">
        <v>97</v>
      </c>
      <c r="I585" s="1157">
        <f>'Emission-Waste Transport Vehicl'!N78</f>
        <v>13.373560857888002</v>
      </c>
      <c r="J585" s="1157">
        <f>'Emission-Waste Transport Vehicl'!P78</f>
        <v>7.4408264441280014</v>
      </c>
      <c r="K585" s="1157">
        <f>'Emission-Waste Transport Vehicl'!Q78</f>
        <v>5.7787550472960003</v>
      </c>
      <c r="L585" s="1157">
        <f>'Emission-Waste Transport Vehicl'!R78</f>
        <v>0.57515822179200005</v>
      </c>
      <c r="M585" s="1159">
        <f t="shared" si="158"/>
        <v>1897597.3640059917</v>
      </c>
      <c r="N585" s="1159">
        <f t="shared" si="144"/>
        <v>111567.20300398735</v>
      </c>
      <c r="O585" s="1159">
        <f t="shared" si="145"/>
        <v>387963.33079823741</v>
      </c>
      <c r="P585" s="1159">
        <f t="shared" si="146"/>
        <v>3254.0749050909003</v>
      </c>
      <c r="Q585" s="1159">
        <f t="shared" si="147"/>
        <v>10316.093728492631</v>
      </c>
      <c r="R585" s="2773"/>
    </row>
    <row r="586" spans="1:18" x14ac:dyDescent="0.25">
      <c r="A586" s="2862"/>
      <c r="B586" s="706">
        <v>2065</v>
      </c>
      <c r="C586" s="1134">
        <f t="shared" si="153"/>
        <v>19562859.422742181</v>
      </c>
      <c r="D586" s="1156">
        <f t="shared" si="154"/>
        <v>8342.3707559668164</v>
      </c>
      <c r="E586" s="1156">
        <f t="shared" si="155"/>
        <v>52139.817224792598</v>
      </c>
      <c r="F586" s="1156">
        <f t="shared" si="156"/>
        <v>563.11002602776</v>
      </c>
      <c r="G586" s="1156">
        <f t="shared" si="157"/>
        <v>17936.097125328652</v>
      </c>
      <c r="H586" s="827">
        <v>97</v>
      </c>
      <c r="I586" s="1157">
        <f>'Emission-Waste Transport Vehicl'!N79</f>
        <v>13.112740558368001</v>
      </c>
      <c r="J586" s="1157">
        <f>'Emission-Waste Transport Vehicl'!P79</f>
        <v>7.2957103750080003</v>
      </c>
      <c r="K586" s="1157">
        <f>'Emission-Waste Transport Vehicl'!Q79</f>
        <v>5.6660538274560004</v>
      </c>
      <c r="L586" s="1157">
        <f>'Emission-Waste Transport Vehicl'!R79</f>
        <v>0.56394109411200011</v>
      </c>
      <c r="M586" s="1159">
        <f t="shared" si="158"/>
        <v>1897597.3640059917</v>
      </c>
      <c r="N586" s="1159">
        <f t="shared" si="144"/>
        <v>109391.3433647092</v>
      </c>
      <c r="O586" s="1159">
        <f t="shared" si="145"/>
        <v>380397.0054779402</v>
      </c>
      <c r="P586" s="1159">
        <f t="shared" si="146"/>
        <v>3190.6117182534376</v>
      </c>
      <c r="Q586" s="1159">
        <f t="shared" si="147"/>
        <v>10114.902236956939</v>
      </c>
      <c r="R586" s="2773"/>
    </row>
    <row r="587" spans="1:18" x14ac:dyDescent="0.25">
      <c r="A587" s="2862"/>
      <c r="B587" s="706">
        <v>2066</v>
      </c>
      <c r="C587" s="1134">
        <f t="shared" si="153"/>
        <v>19562859.422742181</v>
      </c>
      <c r="D587" s="1156">
        <f t="shared" si="154"/>
        <v>8342.3707559668164</v>
      </c>
      <c r="E587" s="1156">
        <f t="shared" si="155"/>
        <v>52139.817224792598</v>
      </c>
      <c r="F587" s="1156">
        <f t="shared" si="156"/>
        <v>563.11002602776</v>
      </c>
      <c r="G587" s="1156">
        <f t="shared" si="157"/>
        <v>17936.097125328652</v>
      </c>
      <c r="H587" s="827">
        <v>97</v>
      </c>
      <c r="I587" s="1157">
        <f>'Emission-Waste Transport Vehicl'!N80</f>
        <v>12.855180512592</v>
      </c>
      <c r="J587" s="1157">
        <f>'Emission-Waste Transport Vehicl'!P80</f>
        <v>7.1524082567520004</v>
      </c>
      <c r="K587" s="1157">
        <f>'Emission-Waste Transport Vehicl'!Q80</f>
        <v>5.5547613728639993</v>
      </c>
      <c r="L587" s="1157">
        <f>'Emission-Waste Transport Vehicl'!R80</f>
        <v>0.55286418052800002</v>
      </c>
      <c r="M587" s="1159">
        <f t="shared" si="158"/>
        <v>1897597.3640059917</v>
      </c>
      <c r="N587" s="1159">
        <f t="shared" si="144"/>
        <v>107242.68197092201</v>
      </c>
      <c r="O587" s="1159">
        <f t="shared" si="145"/>
        <v>372925.25922414672</v>
      </c>
      <c r="P587" s="1159">
        <f t="shared" si="146"/>
        <v>3127.9418212514424</v>
      </c>
      <c r="Q587" s="1159">
        <f t="shared" si="147"/>
        <v>9916.225639065442</v>
      </c>
      <c r="R587" s="2773"/>
    </row>
    <row r="588" spans="1:18" x14ac:dyDescent="0.25">
      <c r="A588" s="2862"/>
      <c r="B588" s="706">
        <v>2067</v>
      </c>
      <c r="C588" s="1134">
        <f t="shared" si="153"/>
        <v>19562859.422742181</v>
      </c>
      <c r="D588" s="1156">
        <f t="shared" si="154"/>
        <v>8342.3707559668164</v>
      </c>
      <c r="E588" s="1156">
        <f t="shared" si="155"/>
        <v>52139.817224792598</v>
      </c>
      <c r="F588" s="1156">
        <f t="shared" si="156"/>
        <v>563.11002602776</v>
      </c>
      <c r="G588" s="1156">
        <f t="shared" si="157"/>
        <v>17936.097125328652</v>
      </c>
      <c r="H588" s="827">
        <v>97</v>
      </c>
      <c r="I588" s="1157">
        <f>'Emission-Waste Transport Vehicl'!N81</f>
        <v>12.600880720560001</v>
      </c>
      <c r="J588" s="1157">
        <f>'Emission-Waste Transport Vehicl'!P81</f>
        <v>7.0109200893600008</v>
      </c>
      <c r="K588" s="1157">
        <f>'Emission-Waste Transport Vehicl'!Q81</f>
        <v>5.4448776835200006</v>
      </c>
      <c r="L588" s="1157">
        <f>'Emission-Waste Transport Vehicl'!R81</f>
        <v>0.5419274810400001</v>
      </c>
      <c r="M588" s="1159">
        <f t="shared" si="158"/>
        <v>1897597.3640059917</v>
      </c>
      <c r="N588" s="1159">
        <f t="shared" si="144"/>
        <v>105121.21882262581</v>
      </c>
      <c r="O588" s="1159">
        <f t="shared" si="145"/>
        <v>365548.09203685704</v>
      </c>
      <c r="P588" s="1159">
        <f t="shared" si="146"/>
        <v>3066.065214084917</v>
      </c>
      <c r="Q588" s="1159">
        <f t="shared" si="147"/>
        <v>9720.063934818143</v>
      </c>
      <c r="R588" s="2773"/>
    </row>
    <row r="589" spans="1:18" x14ac:dyDescent="0.25">
      <c r="A589" s="2862"/>
      <c r="B589" s="706">
        <v>2068</v>
      </c>
      <c r="C589" s="1134">
        <f t="shared" si="153"/>
        <v>19562859.422742181</v>
      </c>
      <c r="D589" s="1156">
        <f t="shared" si="154"/>
        <v>8342.3707559668164</v>
      </c>
      <c r="E589" s="1156">
        <f t="shared" si="155"/>
        <v>52139.817224792598</v>
      </c>
      <c r="F589" s="1156">
        <f t="shared" si="156"/>
        <v>563.11002602776</v>
      </c>
      <c r="G589" s="1156">
        <f t="shared" si="157"/>
        <v>17936.097125328652</v>
      </c>
      <c r="H589" s="827">
        <v>97</v>
      </c>
      <c r="I589" s="1157">
        <f>'Emission-Waste Transport Vehicl'!N82</f>
        <v>12.356361689760002</v>
      </c>
      <c r="J589" s="1157">
        <f>'Emission-Waste Transport Vehicl'!P82</f>
        <v>6.8748737745600002</v>
      </c>
      <c r="K589" s="1157">
        <f>'Emission-Waste Transport Vehicl'!Q82</f>
        <v>5.339220289920001</v>
      </c>
      <c r="L589" s="1157">
        <f>'Emission-Waste Transport Vehicl'!R82</f>
        <v>0.53141142384000006</v>
      </c>
      <c r="M589" s="1159">
        <f t="shared" si="158"/>
        <v>1897597.3640059917</v>
      </c>
      <c r="N589" s="1159">
        <f t="shared" si="144"/>
        <v>103081.35041080255</v>
      </c>
      <c r="O589" s="1159">
        <f t="shared" si="145"/>
        <v>358454.66204907838</v>
      </c>
      <c r="P589" s="1159">
        <f t="shared" si="146"/>
        <v>3006.5684764247962</v>
      </c>
      <c r="Q589" s="1159">
        <f t="shared" si="147"/>
        <v>9531.4469115034317</v>
      </c>
      <c r="R589" s="2773"/>
    </row>
    <row r="590" spans="1:18" ht="15.75" thickBot="1" x14ac:dyDescent="0.3">
      <c r="A590" s="2863"/>
      <c r="B590" s="55">
        <v>2069</v>
      </c>
      <c r="C590" s="1135">
        <f t="shared" si="153"/>
        <v>19562859.422742181</v>
      </c>
      <c r="D590" s="1160">
        <f t="shared" si="154"/>
        <v>8342.3707559668164</v>
      </c>
      <c r="E590" s="1160">
        <f t="shared" si="155"/>
        <v>52139.817224792598</v>
      </c>
      <c r="F590" s="1160">
        <f t="shared" si="156"/>
        <v>563.11002602776</v>
      </c>
      <c r="G590" s="1160">
        <f t="shared" si="157"/>
        <v>17936.097125328652</v>
      </c>
      <c r="H590" s="1062">
        <v>97</v>
      </c>
      <c r="I590" s="1161">
        <f>'Emission-Waste Transport Vehicl'!N83</f>
        <v>12.111842658960002</v>
      </c>
      <c r="J590" s="1161">
        <f>'Emission-Waste Transport Vehicl'!P83</f>
        <v>6.7388274597600004</v>
      </c>
      <c r="K590" s="1161">
        <f>'Emission-Waste Transport Vehicl'!Q83</f>
        <v>5.2335628963200005</v>
      </c>
      <c r="L590" s="1161">
        <f>'Emission-Waste Transport Vehicl'!R83</f>
        <v>0.52089536664000002</v>
      </c>
      <c r="M590" s="1163">
        <f t="shared" si="158"/>
        <v>1897597.3640059917</v>
      </c>
      <c r="N590" s="1163">
        <f t="shared" si="144"/>
        <v>101041.48199897929</v>
      </c>
      <c r="O590" s="1163">
        <f t="shared" si="145"/>
        <v>351361.23206129984</v>
      </c>
      <c r="P590" s="1163">
        <f t="shared" si="146"/>
        <v>2947.0717387646746</v>
      </c>
      <c r="Q590" s="1163">
        <f t="shared" si="147"/>
        <v>9342.8298881887185</v>
      </c>
      <c r="R590" s="2774"/>
    </row>
    <row r="591" spans="1:18" x14ac:dyDescent="0.25">
      <c r="A591" s="2903" t="s">
        <v>1832</v>
      </c>
      <c r="B591" s="888">
        <v>2019</v>
      </c>
      <c r="C591" s="1133">
        <f t="shared" ref="C591:C622" si="159">$S$23</f>
        <v>22772516.424012434</v>
      </c>
      <c r="D591" s="1153">
        <f t="shared" ref="D591:D622" si="160">$T$23</f>
        <v>9711.0944238858992</v>
      </c>
      <c r="E591" s="1153">
        <f t="shared" ref="E591:E622" si="161">$R$23</f>
        <v>60694.340149286865</v>
      </c>
      <c r="F591" s="1153">
        <f t="shared" ref="F591:F622" si="162">$V$23</f>
        <v>655.49887361229821</v>
      </c>
      <c r="G591" s="1153">
        <f t="shared" ref="G591:G622" si="163">$U$23</f>
        <v>20878.853011354684</v>
      </c>
      <c r="H591" s="1056">
        <v>62</v>
      </c>
      <c r="I591" s="1154">
        <f>'Emission-Waste Transport Vehicl'!N33</f>
        <v>32.602537440000006</v>
      </c>
      <c r="J591" s="1154">
        <f>'Emission-Waste Transport Vehicl'!P33</f>
        <v>18.139508640000003</v>
      </c>
      <c r="K591" s="1154">
        <f>'Emission-Waste Transport Vehicl'!Q33</f>
        <v>14.087652480000001</v>
      </c>
      <c r="L591" s="1154">
        <f>'Emission-Waste Transport Vehicl'!R33</f>
        <v>1.4021409600000001</v>
      </c>
      <c r="M591" s="1155">
        <f>(C591/1000)*H591</f>
        <v>1411896.0182887707</v>
      </c>
      <c r="N591" s="1155">
        <f t="shared" si="144"/>
        <v>316606.31953811529</v>
      </c>
      <c r="O591" s="1155">
        <f t="shared" si="145"/>
        <v>1100965.5075370881</v>
      </c>
      <c r="P591" s="1155">
        <f t="shared" si="146"/>
        <v>9234.4403324814994</v>
      </c>
      <c r="Q591" s="1155">
        <f t="shared" si="147"/>
        <v>29275.095005039751</v>
      </c>
      <c r="R591" s="2772">
        <f>(SUM(M591:M641)*1.2682)+(SUM(N591:N641))+(SUM(O591:O641))+(SUM(P591:P641))+(SUM(Q591:Q641))</f>
        <v>174127170.39527836</v>
      </c>
    </row>
    <row r="592" spans="1:18" x14ac:dyDescent="0.25">
      <c r="A592" s="2862"/>
      <c r="B592" s="706">
        <v>2020</v>
      </c>
      <c r="C592" s="1134">
        <f t="shared" si="159"/>
        <v>22772516.424012434</v>
      </c>
      <c r="D592" s="1156">
        <f t="shared" si="160"/>
        <v>9711.0944238858992</v>
      </c>
      <c r="E592" s="1156">
        <f t="shared" si="161"/>
        <v>60694.340149286865</v>
      </c>
      <c r="F592" s="1156">
        <f t="shared" si="162"/>
        <v>655.49887361229821</v>
      </c>
      <c r="G592" s="1156">
        <f t="shared" si="163"/>
        <v>20878.853011354684</v>
      </c>
      <c r="H592" s="827">
        <v>64</v>
      </c>
      <c r="I592" s="1157">
        <f>'Emission-Waste Transport Vehicl'!N34</f>
        <v>31.963527706176006</v>
      </c>
      <c r="J592" s="1157">
        <f>'Emission-Waste Transport Vehicl'!P34</f>
        <v>17.783974270656003</v>
      </c>
      <c r="K592" s="1157">
        <f>'Emission-Waste Transport Vehicl'!Q34</f>
        <v>13.811534491392001</v>
      </c>
      <c r="L592" s="1157">
        <f>'Emission-Waste Transport Vehicl'!R34</f>
        <v>1.3746589971840002</v>
      </c>
      <c r="M592" s="1159">
        <f t="shared" si="158"/>
        <v>1457441.0511367957</v>
      </c>
      <c r="N592" s="1159">
        <f t="shared" ref="N592:N641" si="164">D592*I592</f>
        <v>310400.83567516826</v>
      </c>
      <c r="O592" s="1159">
        <f t="shared" ref="O592:O641" si="165">E592*J592</f>
        <v>1079386.5835893613</v>
      </c>
      <c r="P592" s="1159">
        <f t="shared" ref="P592:P641" si="166">F592*K592</f>
        <v>9053.4453019648627</v>
      </c>
      <c r="Q592" s="1159">
        <f t="shared" ref="Q592:Q641" si="167">G592*L592</f>
        <v>28701.303142940971</v>
      </c>
      <c r="R592" s="2773"/>
    </row>
    <row r="593" spans="1:18" x14ac:dyDescent="0.25">
      <c r="A593" s="2862"/>
      <c r="B593" s="706">
        <v>2021</v>
      </c>
      <c r="C593" s="1134">
        <f t="shared" si="159"/>
        <v>22772516.424012434</v>
      </c>
      <c r="D593" s="1156">
        <f t="shared" si="160"/>
        <v>9711.0944238858992</v>
      </c>
      <c r="E593" s="1156">
        <f t="shared" si="161"/>
        <v>60694.340149286865</v>
      </c>
      <c r="F593" s="1156">
        <f t="shared" si="162"/>
        <v>655.49887361229821</v>
      </c>
      <c r="G593" s="1156">
        <f t="shared" si="163"/>
        <v>20878.853011354684</v>
      </c>
      <c r="H593" s="827">
        <v>65</v>
      </c>
      <c r="I593" s="1157">
        <f>'Emission-Waste Transport Vehicl'!N35</f>
        <v>31.337558987328006</v>
      </c>
      <c r="J593" s="1157">
        <f>'Emission-Waste Transport Vehicl'!P35</f>
        <v>17.435695704768001</v>
      </c>
      <c r="K593" s="1157">
        <f>'Emission-Waste Transport Vehicl'!Q35</f>
        <v>13.541051563776001</v>
      </c>
      <c r="L593" s="1157">
        <f>'Emission-Waste Transport Vehicl'!R35</f>
        <v>1.3477378907520003</v>
      </c>
      <c r="M593" s="1159">
        <f t="shared" si="158"/>
        <v>1480213.567560808</v>
      </c>
      <c r="N593" s="1159">
        <f t="shared" si="164"/>
        <v>304321.99434003641</v>
      </c>
      <c r="O593" s="1159">
        <f t="shared" si="165"/>
        <v>1058248.045844649</v>
      </c>
      <c r="P593" s="1159">
        <f t="shared" si="166"/>
        <v>8876.1440475812178</v>
      </c>
      <c r="Q593" s="1159">
        <f t="shared" si="167"/>
        <v>28139.221318844211</v>
      </c>
      <c r="R593" s="2773"/>
    </row>
    <row r="594" spans="1:18" x14ac:dyDescent="0.25">
      <c r="A594" s="2862"/>
      <c r="B594" s="706">
        <v>2022</v>
      </c>
      <c r="C594" s="1134">
        <f t="shared" si="159"/>
        <v>22772516.424012434</v>
      </c>
      <c r="D594" s="1156">
        <f t="shared" si="160"/>
        <v>9711.0944238858992</v>
      </c>
      <c r="E594" s="1156">
        <f t="shared" si="161"/>
        <v>60694.340149286865</v>
      </c>
      <c r="F594" s="1156">
        <f t="shared" si="162"/>
        <v>655.49887361229821</v>
      </c>
      <c r="G594" s="1156">
        <f t="shared" si="163"/>
        <v>20878.853011354684</v>
      </c>
      <c r="H594" s="827">
        <v>66</v>
      </c>
      <c r="I594" s="1157">
        <f>'Emission-Waste Transport Vehicl'!N36</f>
        <v>30.721371029712003</v>
      </c>
      <c r="J594" s="1157">
        <f>'Emission-Waste Transport Vehicl'!P36</f>
        <v>17.092858991472003</v>
      </c>
      <c r="K594" s="1157">
        <f>'Emission-Waste Transport Vehicl'!Q36</f>
        <v>13.274794931903999</v>
      </c>
      <c r="L594" s="1157">
        <f>'Emission-Waste Transport Vehicl'!R36</f>
        <v>1.3212374266080003</v>
      </c>
      <c r="M594" s="1159">
        <f t="shared" si="158"/>
        <v>1502986.0839848206</v>
      </c>
      <c r="N594" s="1159">
        <f t="shared" si="164"/>
        <v>298338.13490076602</v>
      </c>
      <c r="O594" s="1159">
        <f t="shared" si="165"/>
        <v>1037439.7977521982</v>
      </c>
      <c r="P594" s="1159">
        <f t="shared" si="166"/>
        <v>8701.6131252973173</v>
      </c>
      <c r="Q594" s="1159">
        <f t="shared" si="167"/>
        <v>27585.922023248961</v>
      </c>
      <c r="R594" s="2773"/>
    </row>
    <row r="595" spans="1:18" x14ac:dyDescent="0.25">
      <c r="A595" s="2862"/>
      <c r="B595" s="706">
        <v>2023</v>
      </c>
      <c r="C595" s="1134">
        <f t="shared" si="159"/>
        <v>22772516.424012434</v>
      </c>
      <c r="D595" s="1156">
        <f t="shared" si="160"/>
        <v>9711.0944238858992</v>
      </c>
      <c r="E595" s="1156">
        <f t="shared" si="161"/>
        <v>60694.340149286865</v>
      </c>
      <c r="F595" s="1156">
        <f t="shared" si="162"/>
        <v>655.49887361229821</v>
      </c>
      <c r="G595" s="1156">
        <f t="shared" si="163"/>
        <v>20878.853011354684</v>
      </c>
      <c r="H595" s="827">
        <v>67</v>
      </c>
      <c r="I595" s="1157">
        <f>'Emission-Waste Transport Vehicl'!N37</f>
        <v>30.118224087072001</v>
      </c>
      <c r="J595" s="1157">
        <f>'Emission-Waste Transport Vehicl'!P37</f>
        <v>16.757278081632002</v>
      </c>
      <c r="K595" s="1157">
        <f>'Emission-Waste Transport Vehicl'!Q37</f>
        <v>13.014173361024</v>
      </c>
      <c r="L595" s="1157">
        <f>'Emission-Waste Transport Vehicl'!R37</f>
        <v>1.295297818848</v>
      </c>
      <c r="M595" s="1159">
        <f t="shared" si="158"/>
        <v>1525758.600408833</v>
      </c>
      <c r="N595" s="1159">
        <f t="shared" si="164"/>
        <v>292480.91798931087</v>
      </c>
      <c r="O595" s="1159">
        <f t="shared" si="165"/>
        <v>1017071.935862762</v>
      </c>
      <c r="P595" s="1159">
        <f t="shared" si="166"/>
        <v>8530.7759791464086</v>
      </c>
      <c r="Q595" s="1159">
        <f t="shared" si="167"/>
        <v>27044.332765655719</v>
      </c>
      <c r="R595" s="2773"/>
    </row>
    <row r="596" spans="1:18" x14ac:dyDescent="0.25">
      <c r="A596" s="2862"/>
      <c r="B596" s="706">
        <v>2024</v>
      </c>
      <c r="C596" s="1134">
        <f t="shared" si="159"/>
        <v>22772516.424012434</v>
      </c>
      <c r="D596" s="1156">
        <f t="shared" si="160"/>
        <v>9711.0944238858992</v>
      </c>
      <c r="E596" s="1156">
        <f t="shared" si="161"/>
        <v>60694.340149286865</v>
      </c>
      <c r="F596" s="1156">
        <f t="shared" si="162"/>
        <v>655.49887361229821</v>
      </c>
      <c r="G596" s="1156">
        <f t="shared" si="163"/>
        <v>20878.853011354684</v>
      </c>
      <c r="H596" s="827">
        <v>68</v>
      </c>
      <c r="I596" s="1157">
        <f>'Emission-Waste Transport Vehicl'!N38</f>
        <v>29.528118159408002</v>
      </c>
      <c r="J596" s="1157">
        <f>'Emission-Waste Transport Vehicl'!P38</f>
        <v>16.428952975248002</v>
      </c>
      <c r="K596" s="1157">
        <f>'Emission-Waste Transport Vehicl'!Q38</f>
        <v>12.759186851135999</v>
      </c>
      <c r="L596" s="1157">
        <f>'Emission-Waste Transport Vehicl'!R38</f>
        <v>1.269919067472</v>
      </c>
      <c r="M596" s="1159">
        <f t="shared" si="158"/>
        <v>1548531.1168328454</v>
      </c>
      <c r="N596" s="1159">
        <f t="shared" si="164"/>
        <v>286750.34360567102</v>
      </c>
      <c r="O596" s="1159">
        <f t="shared" si="165"/>
        <v>997144.46017634077</v>
      </c>
      <c r="P596" s="1159">
        <f t="shared" si="166"/>
        <v>8363.6326091284936</v>
      </c>
      <c r="Q596" s="1159">
        <f t="shared" si="167"/>
        <v>26514.453546064498</v>
      </c>
      <c r="R596" s="2773"/>
    </row>
    <row r="597" spans="1:18" x14ac:dyDescent="0.25">
      <c r="A597" s="2862"/>
      <c r="B597" s="706">
        <v>2025</v>
      </c>
      <c r="C597" s="1134">
        <f t="shared" si="159"/>
        <v>22772516.424012434</v>
      </c>
      <c r="D597" s="1156">
        <f t="shared" si="160"/>
        <v>9711.0944238858992</v>
      </c>
      <c r="E597" s="1156">
        <f t="shared" si="161"/>
        <v>60694.340149286865</v>
      </c>
      <c r="F597" s="1156">
        <f t="shared" si="162"/>
        <v>655.49887361229821</v>
      </c>
      <c r="G597" s="1156">
        <f t="shared" si="163"/>
        <v>20878.853011354684</v>
      </c>
      <c r="H597" s="827">
        <v>69</v>
      </c>
      <c r="I597" s="1157">
        <f>'Emission-Waste Transport Vehicl'!N39</f>
        <v>28.951053246720004</v>
      </c>
      <c r="J597" s="1157">
        <f>'Emission-Waste Transport Vehicl'!P39</f>
        <v>16.10788367232</v>
      </c>
      <c r="K597" s="1157">
        <f>'Emission-Waste Transport Vehicl'!Q39</f>
        <v>12.50983540224</v>
      </c>
      <c r="L597" s="1157">
        <f>'Emission-Waste Transport Vehicl'!R39</f>
        <v>1.2451011724800001</v>
      </c>
      <c r="M597" s="1159">
        <f t="shared" si="158"/>
        <v>1571303.6332568577</v>
      </c>
      <c r="N597" s="1159">
        <f t="shared" si="164"/>
        <v>281146.41174984642</v>
      </c>
      <c r="O597" s="1159">
        <f t="shared" si="165"/>
        <v>977657.37069293414</v>
      </c>
      <c r="P597" s="1159">
        <f t="shared" si="166"/>
        <v>8200.1830152435723</v>
      </c>
      <c r="Q597" s="1159">
        <f t="shared" si="167"/>
        <v>25996.284364475297</v>
      </c>
      <c r="R597" s="2773"/>
    </row>
    <row r="598" spans="1:18" x14ac:dyDescent="0.25">
      <c r="A598" s="2862"/>
      <c r="B598" s="706">
        <v>2026</v>
      </c>
      <c r="C598" s="1134">
        <f t="shared" si="159"/>
        <v>22772516.424012434</v>
      </c>
      <c r="D598" s="1156">
        <f t="shared" si="160"/>
        <v>9711.0944238858992</v>
      </c>
      <c r="E598" s="1156">
        <f t="shared" si="161"/>
        <v>60694.340149286865</v>
      </c>
      <c r="F598" s="1156">
        <f t="shared" si="162"/>
        <v>655.49887361229821</v>
      </c>
      <c r="G598" s="1156">
        <f t="shared" si="163"/>
        <v>20878.853011354684</v>
      </c>
      <c r="H598" s="827">
        <v>70</v>
      </c>
      <c r="I598" s="1157">
        <f>'Emission-Waste Transport Vehicl'!N40</f>
        <v>28.383769095264007</v>
      </c>
      <c r="J598" s="1157">
        <f>'Emission-Waste Transport Vehicl'!P40</f>
        <v>15.792256221984003</v>
      </c>
      <c r="K598" s="1157">
        <f>'Emission-Waste Transport Vehicl'!Q40</f>
        <v>12.264710249088001</v>
      </c>
      <c r="L598" s="1157">
        <f>'Emission-Waste Transport Vehicl'!R40</f>
        <v>1.2207039197760001</v>
      </c>
      <c r="M598" s="1159">
        <f t="shared" si="158"/>
        <v>1594076.1496808704</v>
      </c>
      <c r="N598" s="1159">
        <f t="shared" si="164"/>
        <v>275637.46178988321</v>
      </c>
      <c r="O598" s="1159">
        <f t="shared" si="165"/>
        <v>958500.57086178893</v>
      </c>
      <c r="P598" s="1159">
        <f t="shared" si="166"/>
        <v>8039.5037534583944</v>
      </c>
      <c r="Q598" s="1159">
        <f t="shared" si="167"/>
        <v>25486.897711387606</v>
      </c>
      <c r="R598" s="2773"/>
    </row>
    <row r="599" spans="1:18" x14ac:dyDescent="0.25">
      <c r="A599" s="2862"/>
      <c r="B599" s="706">
        <v>2027</v>
      </c>
      <c r="C599" s="1134">
        <f t="shared" si="159"/>
        <v>22772516.424012434</v>
      </c>
      <c r="D599" s="1156">
        <f t="shared" si="160"/>
        <v>9711.0944238858992</v>
      </c>
      <c r="E599" s="1156">
        <f t="shared" si="161"/>
        <v>60694.340149286865</v>
      </c>
      <c r="F599" s="1156">
        <f t="shared" si="162"/>
        <v>655.49887361229821</v>
      </c>
      <c r="G599" s="1156">
        <f t="shared" si="163"/>
        <v>20878.853011354684</v>
      </c>
      <c r="H599" s="827">
        <v>71</v>
      </c>
      <c r="I599" s="1157">
        <f>'Emission-Waste Transport Vehicl'!N41</f>
        <v>27.826265705040004</v>
      </c>
      <c r="J599" s="1157">
        <f>'Emission-Waste Transport Vehicl'!P41</f>
        <v>15.482070624240002</v>
      </c>
      <c r="K599" s="1157">
        <f>'Emission-Waste Transport Vehicl'!Q41</f>
        <v>12.023811391680001</v>
      </c>
      <c r="L599" s="1157">
        <f>'Emission-Waste Transport Vehicl'!R41</f>
        <v>1.1967273093600002</v>
      </c>
      <c r="M599" s="1159">
        <f t="shared" si="158"/>
        <v>1616848.6661048827</v>
      </c>
      <c r="N599" s="1159">
        <f t="shared" si="164"/>
        <v>270223.49372578145</v>
      </c>
      <c r="O599" s="1159">
        <f t="shared" si="165"/>
        <v>939674.06068290467</v>
      </c>
      <c r="P599" s="1159">
        <f t="shared" si="166"/>
        <v>7881.5948237729599</v>
      </c>
      <c r="Q599" s="1159">
        <f t="shared" si="167"/>
        <v>24986.293586801428</v>
      </c>
      <c r="R599" s="2773"/>
    </row>
    <row r="600" spans="1:18" x14ac:dyDescent="0.25">
      <c r="A600" s="2862"/>
      <c r="B600" s="706">
        <v>2028</v>
      </c>
      <c r="C600" s="1134">
        <f t="shared" si="159"/>
        <v>22772516.424012434</v>
      </c>
      <c r="D600" s="1156">
        <f t="shared" si="160"/>
        <v>9711.0944238858992</v>
      </c>
      <c r="E600" s="1156">
        <f t="shared" si="161"/>
        <v>60694.340149286865</v>
      </c>
      <c r="F600" s="1156">
        <f t="shared" si="162"/>
        <v>655.49887361229821</v>
      </c>
      <c r="G600" s="1156">
        <f t="shared" si="163"/>
        <v>20878.853011354684</v>
      </c>
      <c r="H600" s="827">
        <v>72</v>
      </c>
      <c r="I600" s="1157">
        <f>'Emission-Waste Transport Vehicl'!N42</f>
        <v>27.281803329792002</v>
      </c>
      <c r="J600" s="1157">
        <f>'Emission-Waste Transport Vehicl'!P42</f>
        <v>15.179140829952001</v>
      </c>
      <c r="K600" s="1157">
        <f>'Emission-Waste Transport Vehicl'!Q42</f>
        <v>11.788547595263999</v>
      </c>
      <c r="L600" s="1157">
        <f>'Emission-Waste Transport Vehicl'!R42</f>
        <v>1.173311555328</v>
      </c>
      <c r="M600" s="1159">
        <f t="shared" si="158"/>
        <v>1639621.1825288951</v>
      </c>
      <c r="N600" s="1159">
        <f t="shared" si="164"/>
        <v>264936.16818949487</v>
      </c>
      <c r="O600" s="1159">
        <f t="shared" si="165"/>
        <v>921287.93670703529</v>
      </c>
      <c r="P600" s="1159">
        <f t="shared" si="166"/>
        <v>7727.3796702205182</v>
      </c>
      <c r="Q600" s="1159">
        <f t="shared" si="167"/>
        <v>24497.39950021726</v>
      </c>
      <c r="R600" s="2773"/>
    </row>
    <row r="601" spans="1:18" x14ac:dyDescent="0.25">
      <c r="A601" s="2862"/>
      <c r="B601" s="706">
        <v>2029</v>
      </c>
      <c r="C601" s="1134">
        <f t="shared" si="159"/>
        <v>22772516.424012434</v>
      </c>
      <c r="D601" s="1156">
        <f t="shared" si="160"/>
        <v>9711.0944238858992</v>
      </c>
      <c r="E601" s="1156">
        <f t="shared" si="161"/>
        <v>60694.340149286865</v>
      </c>
      <c r="F601" s="1156">
        <f t="shared" si="162"/>
        <v>655.49887361229821</v>
      </c>
      <c r="G601" s="1156">
        <f t="shared" si="163"/>
        <v>20878.853011354684</v>
      </c>
      <c r="H601" s="827">
        <v>73</v>
      </c>
      <c r="I601" s="1157">
        <f>'Emission-Waste Transport Vehicl'!N43</f>
        <v>26.743861462032005</v>
      </c>
      <c r="J601" s="1157">
        <f>'Emission-Waste Transport Vehicl'!P43</f>
        <v>14.879838937392002</v>
      </c>
      <c r="K601" s="1157">
        <f>'Emission-Waste Transport Vehicl'!Q43</f>
        <v>11.556101329344001</v>
      </c>
      <c r="L601" s="1157">
        <f>'Emission-Waste Transport Vehicl'!R43</f>
        <v>1.1501762294880002</v>
      </c>
      <c r="M601" s="1159">
        <f t="shared" si="158"/>
        <v>1662393.6989529075</v>
      </c>
      <c r="N601" s="1159">
        <f t="shared" si="164"/>
        <v>259712.16391711601</v>
      </c>
      <c r="O601" s="1159">
        <f t="shared" si="165"/>
        <v>903122.0058326734</v>
      </c>
      <c r="P601" s="1159">
        <f t="shared" si="166"/>
        <v>7575.0114047345742</v>
      </c>
      <c r="Q601" s="1159">
        <f t="shared" si="167"/>
        <v>24014.360432634108</v>
      </c>
      <c r="R601" s="2773"/>
    </row>
    <row r="602" spans="1:18" x14ac:dyDescent="0.25">
      <c r="A602" s="2862"/>
      <c r="B602" s="706">
        <v>2030</v>
      </c>
      <c r="C602" s="1134">
        <f t="shared" si="159"/>
        <v>22772516.424012434</v>
      </c>
      <c r="D602" s="1156">
        <f t="shared" si="160"/>
        <v>9711.0944238858992</v>
      </c>
      <c r="E602" s="1156">
        <f t="shared" si="161"/>
        <v>60694.340149286865</v>
      </c>
      <c r="F602" s="1156">
        <f t="shared" si="162"/>
        <v>655.49887361229821</v>
      </c>
      <c r="G602" s="1156">
        <f t="shared" si="163"/>
        <v>20878.853011354684</v>
      </c>
      <c r="H602" s="827">
        <v>75</v>
      </c>
      <c r="I602" s="1157">
        <f>'Emission-Waste Transport Vehicl'!N44</f>
        <v>26.222220862992003</v>
      </c>
      <c r="J602" s="1157">
        <f>'Emission-Waste Transport Vehicl'!P44</f>
        <v>14.589606799152003</v>
      </c>
      <c r="K602" s="1157">
        <f>'Emission-Waste Transport Vehicl'!Q44</f>
        <v>11.330698889664001</v>
      </c>
      <c r="L602" s="1157">
        <f>'Emission-Waste Transport Vehicl'!R44</f>
        <v>1.1277419741280001</v>
      </c>
      <c r="M602" s="1159">
        <f t="shared" si="158"/>
        <v>1707938.7318009324</v>
      </c>
      <c r="N602" s="1159">
        <f t="shared" si="164"/>
        <v>254646.46280450613</v>
      </c>
      <c r="O602" s="1159">
        <f t="shared" si="165"/>
        <v>885506.55771208007</v>
      </c>
      <c r="P602" s="1159">
        <f t="shared" si="166"/>
        <v>7427.2603594148704</v>
      </c>
      <c r="Q602" s="1159">
        <f t="shared" si="167"/>
        <v>23545.958912553473</v>
      </c>
      <c r="R602" s="2773"/>
    </row>
    <row r="603" spans="1:18" x14ac:dyDescent="0.25">
      <c r="A603" s="2862"/>
      <c r="B603" s="706">
        <v>2031</v>
      </c>
      <c r="C603" s="1134">
        <f t="shared" si="159"/>
        <v>22772516.424012434</v>
      </c>
      <c r="D603" s="1156">
        <f t="shared" si="160"/>
        <v>9711.0944238858992</v>
      </c>
      <c r="E603" s="1156">
        <f t="shared" si="161"/>
        <v>60694.340149286865</v>
      </c>
      <c r="F603" s="1156">
        <f t="shared" si="162"/>
        <v>655.49887361229821</v>
      </c>
      <c r="G603" s="1156">
        <f t="shared" si="163"/>
        <v>20878.853011354684</v>
      </c>
      <c r="H603" s="827">
        <v>76</v>
      </c>
      <c r="I603" s="1157">
        <f>'Emission-Waste Transport Vehicl'!N45</f>
        <v>25.70710077144</v>
      </c>
      <c r="J603" s="1157">
        <f>'Emission-Waste Transport Vehicl'!P45</f>
        <v>14.303002562640001</v>
      </c>
      <c r="K603" s="1157">
        <f>'Emission-Waste Transport Vehicl'!Q45</f>
        <v>11.108113980480001</v>
      </c>
      <c r="L603" s="1157">
        <f>'Emission-Waste Transport Vehicl'!R45</f>
        <v>1.1055881469600002</v>
      </c>
      <c r="M603" s="1159">
        <f t="shared" si="158"/>
        <v>1730711.2482249448</v>
      </c>
      <c r="N603" s="1159">
        <f t="shared" si="164"/>
        <v>249644.0829558039</v>
      </c>
      <c r="O603" s="1159">
        <f t="shared" si="165"/>
        <v>868111.30269299401</v>
      </c>
      <c r="P603" s="1159">
        <f t="shared" si="166"/>
        <v>7281.3562021616626</v>
      </c>
      <c r="Q603" s="1159">
        <f t="shared" si="167"/>
        <v>23083.412411473844</v>
      </c>
      <c r="R603" s="2773"/>
    </row>
    <row r="604" spans="1:18" x14ac:dyDescent="0.25">
      <c r="A604" s="2862"/>
      <c r="B604" s="706">
        <v>2032</v>
      </c>
      <c r="C604" s="1134">
        <f t="shared" si="159"/>
        <v>22772516.424012434</v>
      </c>
      <c r="D604" s="1156">
        <f t="shared" si="160"/>
        <v>9711.0944238858992</v>
      </c>
      <c r="E604" s="1156">
        <f t="shared" si="161"/>
        <v>60694.340149286865</v>
      </c>
      <c r="F604" s="1156">
        <f t="shared" si="162"/>
        <v>655.49887361229821</v>
      </c>
      <c r="G604" s="1156">
        <f t="shared" si="163"/>
        <v>20878.853011354684</v>
      </c>
      <c r="H604" s="827">
        <v>77</v>
      </c>
      <c r="I604" s="1157">
        <f>'Emission-Waste Transport Vehicl'!N46</f>
        <v>25.201761441120002</v>
      </c>
      <c r="J604" s="1157">
        <f>'Emission-Waste Transport Vehicl'!P46</f>
        <v>14.021840178720002</v>
      </c>
      <c r="K604" s="1157">
        <f>'Emission-Waste Transport Vehicl'!Q46</f>
        <v>10.889755367040001</v>
      </c>
      <c r="L604" s="1157">
        <f>'Emission-Waste Transport Vehicl'!R46</f>
        <v>1.0838549620800002</v>
      </c>
      <c r="M604" s="1159">
        <f t="shared" si="158"/>
        <v>1753483.7646489572</v>
      </c>
      <c r="N604" s="1159">
        <f t="shared" si="164"/>
        <v>244736.68500296312</v>
      </c>
      <c r="O604" s="1159">
        <f t="shared" si="165"/>
        <v>851046.33732616913</v>
      </c>
      <c r="P604" s="1159">
        <f t="shared" si="166"/>
        <v>7138.2223770082001</v>
      </c>
      <c r="Q604" s="1159">
        <f t="shared" si="167"/>
        <v>22629.648438895729</v>
      </c>
      <c r="R604" s="2773"/>
    </row>
    <row r="605" spans="1:18" x14ac:dyDescent="0.25">
      <c r="A605" s="2862"/>
      <c r="B605" s="706">
        <v>2033</v>
      </c>
      <c r="C605" s="1134">
        <f t="shared" si="159"/>
        <v>22772516.424012434</v>
      </c>
      <c r="D605" s="1156">
        <f t="shared" si="160"/>
        <v>9711.0944238858992</v>
      </c>
      <c r="E605" s="1156">
        <f t="shared" si="161"/>
        <v>60694.340149286865</v>
      </c>
      <c r="F605" s="1156">
        <f t="shared" si="162"/>
        <v>655.49887361229821</v>
      </c>
      <c r="G605" s="1156">
        <f t="shared" si="163"/>
        <v>20878.853011354684</v>
      </c>
      <c r="H605" s="827">
        <v>78</v>
      </c>
      <c r="I605" s="1157">
        <f>'Emission-Waste Transport Vehicl'!N47</f>
        <v>24.709463125776001</v>
      </c>
      <c r="J605" s="1157">
        <f>'Emission-Waste Transport Vehicl'!P47</f>
        <v>13.747933598256003</v>
      </c>
      <c r="K605" s="1157">
        <f>'Emission-Waste Transport Vehicl'!Q47</f>
        <v>10.677031814592</v>
      </c>
      <c r="L605" s="1157">
        <f>'Emission-Waste Transport Vehicl'!R47</f>
        <v>1.0626826335840001</v>
      </c>
      <c r="M605" s="1159">
        <f t="shared" si="158"/>
        <v>1776256.2810729698</v>
      </c>
      <c r="N605" s="1159">
        <f t="shared" si="164"/>
        <v>239955.92957793755</v>
      </c>
      <c r="O605" s="1159">
        <f t="shared" si="165"/>
        <v>834421.75816235912</v>
      </c>
      <c r="P605" s="1159">
        <f t="shared" si="166"/>
        <v>6998.7823279877284</v>
      </c>
      <c r="Q605" s="1159">
        <f t="shared" si="167"/>
        <v>22187.594504319626</v>
      </c>
      <c r="R605" s="2773"/>
    </row>
    <row r="606" spans="1:18" x14ac:dyDescent="0.25">
      <c r="A606" s="2862"/>
      <c r="B606" s="706">
        <v>2034</v>
      </c>
      <c r="C606" s="1134">
        <f t="shared" si="159"/>
        <v>22772516.424012434</v>
      </c>
      <c r="D606" s="1156">
        <f t="shared" si="160"/>
        <v>9711.0944238858992</v>
      </c>
      <c r="E606" s="1156">
        <f t="shared" si="161"/>
        <v>60694.340149286865</v>
      </c>
      <c r="F606" s="1156">
        <f t="shared" si="162"/>
        <v>655.49887361229821</v>
      </c>
      <c r="G606" s="1156">
        <f t="shared" si="163"/>
        <v>20878.853011354684</v>
      </c>
      <c r="H606" s="827">
        <v>79</v>
      </c>
      <c r="I606" s="1157">
        <f>'Emission-Waste Transport Vehicl'!N48</f>
        <v>24.223685317920005</v>
      </c>
      <c r="J606" s="1157">
        <f>'Emission-Waste Transport Vehicl'!P48</f>
        <v>13.477654919520001</v>
      </c>
      <c r="K606" s="1157">
        <f>'Emission-Waste Transport Vehicl'!Q48</f>
        <v>10.467125792640001</v>
      </c>
      <c r="L606" s="1157">
        <f>'Emission-Waste Transport Vehicl'!R48</f>
        <v>1.04179073328</v>
      </c>
      <c r="M606" s="1159">
        <f t="shared" si="158"/>
        <v>1799028.7974969822</v>
      </c>
      <c r="N606" s="1159">
        <f t="shared" si="164"/>
        <v>235238.49541681967</v>
      </c>
      <c r="O606" s="1159">
        <f t="shared" si="165"/>
        <v>818017.37210005638</v>
      </c>
      <c r="P606" s="1159">
        <f t="shared" si="166"/>
        <v>6861.1891670337545</v>
      </c>
      <c r="Q606" s="1159">
        <f t="shared" si="167"/>
        <v>21751.395588744534</v>
      </c>
      <c r="R606" s="2773"/>
    </row>
    <row r="607" spans="1:18" x14ac:dyDescent="0.25">
      <c r="A607" s="2862"/>
      <c r="B607" s="706">
        <v>2035</v>
      </c>
      <c r="C607" s="1134">
        <f t="shared" si="159"/>
        <v>22772516.424012434</v>
      </c>
      <c r="D607" s="1156">
        <f t="shared" si="160"/>
        <v>9711.0944238858992</v>
      </c>
      <c r="E607" s="1156">
        <f t="shared" si="161"/>
        <v>60694.340149286865</v>
      </c>
      <c r="F607" s="1156">
        <f t="shared" si="162"/>
        <v>655.49887361229821</v>
      </c>
      <c r="G607" s="1156">
        <f t="shared" si="163"/>
        <v>20878.853011354684</v>
      </c>
      <c r="H607" s="827">
        <v>80</v>
      </c>
      <c r="I607" s="1157">
        <f>'Emission-Waste Transport Vehicl'!N49</f>
        <v>23.747688271296006</v>
      </c>
      <c r="J607" s="1157">
        <f>'Emission-Waste Transport Vehicl'!P49</f>
        <v>13.212818093376002</v>
      </c>
      <c r="K607" s="1157">
        <f>'Emission-Waste Transport Vehicl'!Q49</f>
        <v>10.261446066432002</v>
      </c>
      <c r="L607" s="1157">
        <f>'Emission-Waste Transport Vehicl'!R49</f>
        <v>1.0213194752640002</v>
      </c>
      <c r="M607" s="1159">
        <f t="shared" si="158"/>
        <v>1821801.3139209945</v>
      </c>
      <c r="N607" s="1159">
        <f t="shared" si="164"/>
        <v>230616.04315156321</v>
      </c>
      <c r="O607" s="1159">
        <f t="shared" si="165"/>
        <v>801943.27569001506</v>
      </c>
      <c r="P607" s="1159">
        <f t="shared" si="166"/>
        <v>6726.3663381795259</v>
      </c>
      <c r="Q607" s="1159">
        <f t="shared" si="167"/>
        <v>21323.979201670958</v>
      </c>
      <c r="R607" s="2773"/>
    </row>
    <row r="608" spans="1:18" x14ac:dyDescent="0.25">
      <c r="A608" s="2862"/>
      <c r="B608" s="706">
        <v>2036</v>
      </c>
      <c r="C608" s="1134">
        <f t="shared" si="159"/>
        <v>22772516.424012434</v>
      </c>
      <c r="D608" s="1156">
        <f t="shared" si="160"/>
        <v>9711.0944238858992</v>
      </c>
      <c r="E608" s="1156">
        <f t="shared" si="161"/>
        <v>60694.340149286865</v>
      </c>
      <c r="F608" s="1156">
        <f t="shared" si="162"/>
        <v>655.49887361229821</v>
      </c>
      <c r="G608" s="1156">
        <f t="shared" si="163"/>
        <v>20878.853011354684</v>
      </c>
      <c r="H608" s="827">
        <v>81</v>
      </c>
      <c r="I608" s="1157">
        <f>'Emission-Waste Transport Vehicl'!N50</f>
        <v>23.284732239648001</v>
      </c>
      <c r="J608" s="1157">
        <f>'Emission-Waste Transport Vehicl'!P50</f>
        <v>12.955237070688</v>
      </c>
      <c r="K608" s="1157">
        <f>'Emission-Waste Transport Vehicl'!Q50</f>
        <v>10.061401401215999</v>
      </c>
      <c r="L608" s="1157">
        <f>'Emission-Waste Transport Vehicl'!R50</f>
        <v>1.001409073632</v>
      </c>
      <c r="M608" s="1159">
        <f t="shared" si="158"/>
        <v>1844573.8303450071</v>
      </c>
      <c r="N608" s="1159">
        <f t="shared" si="164"/>
        <v>226120.23341412193</v>
      </c>
      <c r="O608" s="1159">
        <f t="shared" si="165"/>
        <v>786309.56548298826</v>
      </c>
      <c r="P608" s="1159">
        <f t="shared" si="166"/>
        <v>6595.2372854582864</v>
      </c>
      <c r="Q608" s="1159">
        <f t="shared" si="167"/>
        <v>20908.272852599388</v>
      </c>
      <c r="R608" s="2773"/>
    </row>
    <row r="609" spans="1:18" x14ac:dyDescent="0.25">
      <c r="A609" s="2862"/>
      <c r="B609" s="706">
        <v>2037</v>
      </c>
      <c r="C609" s="1134">
        <f t="shared" si="159"/>
        <v>22772516.424012434</v>
      </c>
      <c r="D609" s="1156">
        <f t="shared" si="160"/>
        <v>9711.0944238858992</v>
      </c>
      <c r="E609" s="1156">
        <f t="shared" si="161"/>
        <v>60694.340149286865</v>
      </c>
      <c r="F609" s="1156">
        <f t="shared" si="162"/>
        <v>655.49887361229821</v>
      </c>
      <c r="G609" s="1156">
        <f t="shared" si="163"/>
        <v>20878.853011354684</v>
      </c>
      <c r="H609" s="827">
        <v>83</v>
      </c>
      <c r="I609" s="1157">
        <f>'Emission-Waste Transport Vehicl'!N51</f>
        <v>22.828296715488005</v>
      </c>
      <c r="J609" s="1157">
        <f>'Emission-Waste Transport Vehicl'!P51</f>
        <v>12.701283949728003</v>
      </c>
      <c r="K609" s="1157">
        <f>'Emission-Waste Transport Vehicl'!Q51</f>
        <v>9.8641742664960006</v>
      </c>
      <c r="L609" s="1157">
        <f>'Emission-Waste Transport Vehicl'!R51</f>
        <v>0.9817791001920001</v>
      </c>
      <c r="M609" s="1159">
        <f t="shared" si="158"/>
        <v>1890118.8631930319</v>
      </c>
      <c r="N609" s="1159">
        <f t="shared" si="164"/>
        <v>221687.74494058834</v>
      </c>
      <c r="O609" s="1159">
        <f t="shared" si="165"/>
        <v>770896.04837746918</v>
      </c>
      <c r="P609" s="1159">
        <f t="shared" si="166"/>
        <v>6465.9551208035464</v>
      </c>
      <c r="Q609" s="1159">
        <f t="shared" si="167"/>
        <v>20498.421522528832</v>
      </c>
      <c r="R609" s="2773"/>
    </row>
    <row r="610" spans="1:18" x14ac:dyDescent="0.25">
      <c r="A610" s="2862"/>
      <c r="B610" s="706">
        <v>2038</v>
      </c>
      <c r="C610" s="1134">
        <f t="shared" si="159"/>
        <v>22772516.424012434</v>
      </c>
      <c r="D610" s="1156">
        <f t="shared" si="160"/>
        <v>9711.0944238858992</v>
      </c>
      <c r="E610" s="1156">
        <f t="shared" si="161"/>
        <v>60694.340149286865</v>
      </c>
      <c r="F610" s="1156">
        <f t="shared" si="162"/>
        <v>655.49887361229821</v>
      </c>
      <c r="G610" s="1156">
        <f t="shared" si="163"/>
        <v>20878.853011354684</v>
      </c>
      <c r="H610" s="827">
        <v>84</v>
      </c>
      <c r="I610" s="1157">
        <f>'Emission-Waste Transport Vehicl'!N52</f>
        <v>22.378381698816003</v>
      </c>
      <c r="J610" s="1157">
        <f>'Emission-Waste Transport Vehicl'!P52</f>
        <v>12.450958730496001</v>
      </c>
      <c r="K610" s="1157">
        <f>'Emission-Waste Transport Vehicl'!Q52</f>
        <v>9.6697646622720015</v>
      </c>
      <c r="L610" s="1157">
        <f>'Emission-Waste Transport Vehicl'!R52</f>
        <v>0.96242955494400007</v>
      </c>
      <c r="M610" s="1159">
        <f t="shared" si="158"/>
        <v>1912891.3796170442</v>
      </c>
      <c r="N610" s="1159">
        <f t="shared" si="164"/>
        <v>217318.57773096234</v>
      </c>
      <c r="O610" s="1159">
        <f t="shared" si="165"/>
        <v>755702.72437345725</v>
      </c>
      <c r="P610" s="1159">
        <f t="shared" si="166"/>
        <v>6338.5198442153023</v>
      </c>
      <c r="Q610" s="1159">
        <f t="shared" si="167"/>
        <v>20094.425211459285</v>
      </c>
      <c r="R610" s="2773"/>
    </row>
    <row r="611" spans="1:18" x14ac:dyDescent="0.25">
      <c r="A611" s="2862"/>
      <c r="B611" s="706">
        <v>2039</v>
      </c>
      <c r="C611" s="1134">
        <f t="shared" si="159"/>
        <v>22772516.424012434</v>
      </c>
      <c r="D611" s="1156">
        <f t="shared" si="160"/>
        <v>9711.0944238858992</v>
      </c>
      <c r="E611" s="1156">
        <f t="shared" si="161"/>
        <v>60694.340149286865</v>
      </c>
      <c r="F611" s="1156">
        <f t="shared" si="162"/>
        <v>655.49887361229821</v>
      </c>
      <c r="G611" s="1156">
        <f t="shared" si="163"/>
        <v>20878.853011354684</v>
      </c>
      <c r="H611" s="827">
        <v>85</v>
      </c>
      <c r="I611" s="1157">
        <f>'Emission-Waste Transport Vehicl'!N53</f>
        <v>21.941507697120006</v>
      </c>
      <c r="J611" s="1157">
        <f>'Emission-Waste Transport Vehicl'!P53</f>
        <v>12.207889314720003</v>
      </c>
      <c r="K611" s="1157">
        <f>'Emission-Waste Transport Vehicl'!Q53</f>
        <v>9.4809901190400012</v>
      </c>
      <c r="L611" s="1157">
        <f>'Emission-Waste Transport Vehicl'!R53</f>
        <v>0.9436408660800002</v>
      </c>
      <c r="M611" s="1159">
        <f t="shared" si="158"/>
        <v>1935663.8960410568</v>
      </c>
      <c r="N611" s="1159">
        <f t="shared" si="164"/>
        <v>213076.05304915164</v>
      </c>
      <c r="O611" s="1159">
        <f t="shared" si="165"/>
        <v>740949.78657246032</v>
      </c>
      <c r="P611" s="1159">
        <f t="shared" si="166"/>
        <v>6214.7783437600501</v>
      </c>
      <c r="Q611" s="1159">
        <f t="shared" si="167"/>
        <v>19702.138938391756</v>
      </c>
      <c r="R611" s="2773"/>
    </row>
    <row r="612" spans="1:18" x14ac:dyDescent="0.25">
      <c r="A612" s="2862"/>
      <c r="B612" s="706">
        <v>2040</v>
      </c>
      <c r="C612" s="1134">
        <f t="shared" si="159"/>
        <v>22772516.424012434</v>
      </c>
      <c r="D612" s="1156">
        <f t="shared" si="160"/>
        <v>9711.0944238858992</v>
      </c>
      <c r="E612" s="1156">
        <f t="shared" si="161"/>
        <v>60694.340149286865</v>
      </c>
      <c r="F612" s="1156">
        <f t="shared" si="162"/>
        <v>655.49887361229821</v>
      </c>
      <c r="G612" s="1156">
        <f t="shared" si="163"/>
        <v>20878.853011354684</v>
      </c>
      <c r="H612" s="827">
        <v>86</v>
      </c>
      <c r="I612" s="1157">
        <f>'Emission-Waste Transport Vehicl'!N54</f>
        <v>21.511154202912003</v>
      </c>
      <c r="J612" s="1157">
        <f>'Emission-Waste Transport Vehicl'!P54</f>
        <v>11.968447800672001</v>
      </c>
      <c r="K612" s="1157">
        <f>'Emission-Waste Transport Vehicl'!Q54</f>
        <v>9.2950331063040004</v>
      </c>
      <c r="L612" s="1157">
        <f>'Emission-Waste Transport Vehicl'!R54</f>
        <v>0.92513260540800013</v>
      </c>
      <c r="M612" s="1159">
        <f t="shared" si="158"/>
        <v>1958436.4124650692</v>
      </c>
      <c r="N612" s="1159">
        <f t="shared" si="164"/>
        <v>208896.84963124848</v>
      </c>
      <c r="O612" s="1159">
        <f t="shared" si="165"/>
        <v>726417.04187297076</v>
      </c>
      <c r="P612" s="1159">
        <f t="shared" si="166"/>
        <v>6092.8837313712938</v>
      </c>
      <c r="Q612" s="1159">
        <f t="shared" si="167"/>
        <v>19315.707684325229</v>
      </c>
      <c r="R612" s="2773"/>
    </row>
    <row r="613" spans="1:18" x14ac:dyDescent="0.25">
      <c r="A613" s="2862"/>
      <c r="B613" s="706">
        <v>2041</v>
      </c>
      <c r="C613" s="1134">
        <f t="shared" si="159"/>
        <v>22772516.424012434</v>
      </c>
      <c r="D613" s="1156">
        <f t="shared" si="160"/>
        <v>9711.0944238858992</v>
      </c>
      <c r="E613" s="1156">
        <f t="shared" si="161"/>
        <v>60694.340149286865</v>
      </c>
      <c r="F613" s="1156">
        <f t="shared" si="162"/>
        <v>655.49887361229821</v>
      </c>
      <c r="G613" s="1156">
        <f t="shared" si="163"/>
        <v>20878.853011354684</v>
      </c>
      <c r="H613" s="827">
        <v>87</v>
      </c>
      <c r="I613" s="1157">
        <f>'Emission-Waste Transport Vehicl'!N55</f>
        <v>21.087321216192002</v>
      </c>
      <c r="J613" s="1157">
        <f>'Emission-Waste Transport Vehicl'!P55</f>
        <v>11.732634188352002</v>
      </c>
      <c r="K613" s="1157">
        <f>'Emission-Waste Transport Vehicl'!Q55</f>
        <v>9.1118936240640007</v>
      </c>
      <c r="L613" s="1157">
        <f>'Emission-Waste Transport Vehicl'!R55</f>
        <v>0.9069047729280002</v>
      </c>
      <c r="M613" s="1159">
        <f t="shared" si="158"/>
        <v>1981208.9288890816</v>
      </c>
      <c r="N613" s="1159">
        <f t="shared" si="164"/>
        <v>204780.96747725297</v>
      </c>
      <c r="O613" s="1159">
        <f t="shared" si="165"/>
        <v>712104.49027498858</v>
      </c>
      <c r="P613" s="1159">
        <f t="shared" si="166"/>
        <v>5972.8360070490344</v>
      </c>
      <c r="Q613" s="1159">
        <f t="shared" si="167"/>
        <v>18935.131449259712</v>
      </c>
      <c r="R613" s="2773"/>
    </row>
    <row r="614" spans="1:18" x14ac:dyDescent="0.25">
      <c r="A614" s="2862"/>
      <c r="B614" s="706">
        <v>2042</v>
      </c>
      <c r="C614" s="1134">
        <f t="shared" si="159"/>
        <v>22772516.424012434</v>
      </c>
      <c r="D614" s="1156">
        <f t="shared" si="160"/>
        <v>9711.0944238858992</v>
      </c>
      <c r="E614" s="1156">
        <f t="shared" si="161"/>
        <v>60694.340149286865</v>
      </c>
      <c r="F614" s="1156">
        <f t="shared" si="162"/>
        <v>655.49887361229821</v>
      </c>
      <c r="G614" s="1156">
        <f t="shared" si="163"/>
        <v>20878.853011354684</v>
      </c>
      <c r="H614" s="827">
        <v>88</v>
      </c>
      <c r="I614" s="1157">
        <f>'Emission-Waste Transport Vehicl'!N56</f>
        <v>20.676529244448002</v>
      </c>
      <c r="J614" s="1157">
        <f>'Emission-Waste Transport Vehicl'!P56</f>
        <v>11.504076379488001</v>
      </c>
      <c r="K614" s="1157">
        <f>'Emission-Waste Transport Vehicl'!Q56</f>
        <v>8.9343892028159999</v>
      </c>
      <c r="L614" s="1157">
        <f>'Emission-Waste Transport Vehicl'!R56</f>
        <v>0.8892377968320001</v>
      </c>
      <c r="M614" s="1159">
        <f t="shared" si="158"/>
        <v>2003981.445313094</v>
      </c>
      <c r="N614" s="1159">
        <f t="shared" si="164"/>
        <v>200791.7278510727</v>
      </c>
      <c r="O614" s="1159">
        <f t="shared" si="165"/>
        <v>698232.32488002128</v>
      </c>
      <c r="P614" s="1159">
        <f t="shared" si="166"/>
        <v>5856.4820588597668</v>
      </c>
      <c r="Q614" s="1159">
        <f t="shared" si="167"/>
        <v>18566.265252196212</v>
      </c>
      <c r="R614" s="2773"/>
    </row>
    <row r="615" spans="1:18" x14ac:dyDescent="0.25">
      <c r="A615" s="2862"/>
      <c r="B615" s="706">
        <v>2043</v>
      </c>
      <c r="C615" s="1134">
        <f t="shared" si="159"/>
        <v>22772516.424012434</v>
      </c>
      <c r="D615" s="1156">
        <f t="shared" si="160"/>
        <v>9711.0944238858992</v>
      </c>
      <c r="E615" s="1156">
        <f t="shared" si="161"/>
        <v>60694.340149286865</v>
      </c>
      <c r="F615" s="1156">
        <f t="shared" si="162"/>
        <v>655.49887361229821</v>
      </c>
      <c r="G615" s="1156">
        <f t="shared" si="163"/>
        <v>20878.853011354684</v>
      </c>
      <c r="H615" s="827">
        <v>89</v>
      </c>
      <c r="I615" s="1157">
        <f>'Emission-Waste Transport Vehicl'!N57</f>
        <v>20.268997526448004</v>
      </c>
      <c r="J615" s="1157">
        <f>'Emission-Waste Transport Vehicl'!P57</f>
        <v>11.277332521488001</v>
      </c>
      <c r="K615" s="1157">
        <f>'Emission-Waste Transport Vehicl'!Q57</f>
        <v>8.7582935468160006</v>
      </c>
      <c r="L615" s="1157">
        <f>'Emission-Waste Transport Vehicl'!R57</f>
        <v>0.87171103483200019</v>
      </c>
      <c r="M615" s="1159">
        <f t="shared" si="158"/>
        <v>2026753.9617371066</v>
      </c>
      <c r="N615" s="1159">
        <f t="shared" si="164"/>
        <v>196834.1488568463</v>
      </c>
      <c r="O615" s="1159">
        <f t="shared" si="165"/>
        <v>684470.25603580766</v>
      </c>
      <c r="P615" s="1159">
        <f t="shared" si="166"/>
        <v>5741.0515547037485</v>
      </c>
      <c r="Q615" s="1159">
        <f t="shared" si="167"/>
        <v>18200.326564633215</v>
      </c>
      <c r="R615" s="2773"/>
    </row>
    <row r="616" spans="1:18" x14ac:dyDescent="0.25">
      <c r="A616" s="2862"/>
      <c r="B616" s="706">
        <v>2044</v>
      </c>
      <c r="C616" s="1134">
        <f t="shared" si="159"/>
        <v>22772516.424012434</v>
      </c>
      <c r="D616" s="1156">
        <f t="shared" si="160"/>
        <v>9711.0944238858992</v>
      </c>
      <c r="E616" s="1156">
        <f t="shared" si="161"/>
        <v>60694.340149286865</v>
      </c>
      <c r="F616" s="1156">
        <f t="shared" si="162"/>
        <v>655.49887361229821</v>
      </c>
      <c r="G616" s="1156">
        <f t="shared" si="163"/>
        <v>20878.853011354684</v>
      </c>
      <c r="H616" s="827">
        <v>90</v>
      </c>
      <c r="I616" s="1157">
        <f>'Emission-Waste Transport Vehicl'!N58</f>
        <v>19.871246569680004</v>
      </c>
      <c r="J616" s="1157">
        <f>'Emission-Waste Transport Vehicl'!P58</f>
        <v>11.056030516080002</v>
      </c>
      <c r="K616" s="1157">
        <f>'Emission-Waste Transport Vehicl'!Q58</f>
        <v>8.5864241865600004</v>
      </c>
      <c r="L616" s="1157">
        <f>'Emission-Waste Transport Vehicl'!R58</f>
        <v>0.85460491512000014</v>
      </c>
      <c r="M616" s="1159">
        <f t="shared" si="158"/>
        <v>2049526.4781611189</v>
      </c>
      <c r="N616" s="1159">
        <f t="shared" si="164"/>
        <v>192971.55175848128</v>
      </c>
      <c r="O616" s="1159">
        <f t="shared" si="165"/>
        <v>671038.47684385523</v>
      </c>
      <c r="P616" s="1159">
        <f t="shared" si="166"/>
        <v>5628.3913826474745</v>
      </c>
      <c r="Q616" s="1159">
        <f t="shared" si="167"/>
        <v>17843.170405571727</v>
      </c>
      <c r="R616" s="2773"/>
    </row>
    <row r="617" spans="1:18" x14ac:dyDescent="0.25">
      <c r="A617" s="2862"/>
      <c r="B617" s="706">
        <v>2045</v>
      </c>
      <c r="C617" s="1134">
        <f t="shared" si="159"/>
        <v>22772516.424012434</v>
      </c>
      <c r="D617" s="1156">
        <f t="shared" si="160"/>
        <v>9711.0944238858992</v>
      </c>
      <c r="E617" s="1156">
        <f t="shared" si="161"/>
        <v>60694.340149286865</v>
      </c>
      <c r="F617" s="1156">
        <f t="shared" si="162"/>
        <v>655.49887361229821</v>
      </c>
      <c r="G617" s="1156">
        <f t="shared" si="163"/>
        <v>20878.853011354684</v>
      </c>
      <c r="H617" s="827">
        <v>92</v>
      </c>
      <c r="I617" s="1157">
        <f>'Emission-Waste Transport Vehicl'!N59</f>
        <v>19.483276374144001</v>
      </c>
      <c r="J617" s="1157">
        <f>'Emission-Waste Transport Vehicl'!P59</f>
        <v>10.840170363264003</v>
      </c>
      <c r="K617" s="1157">
        <f>'Emission-Waste Transport Vehicl'!Q59</f>
        <v>8.4187811220480011</v>
      </c>
      <c r="L617" s="1157">
        <f>'Emission-Waste Transport Vehicl'!R59</f>
        <v>0.83791943769600008</v>
      </c>
      <c r="M617" s="1159">
        <f t="shared" si="158"/>
        <v>2095071.5110091437</v>
      </c>
      <c r="N617" s="1159">
        <f t="shared" si="164"/>
        <v>189203.93655597768</v>
      </c>
      <c r="O617" s="1159">
        <f t="shared" si="165"/>
        <v>657936.98730416398</v>
      </c>
      <c r="P617" s="1159">
        <f t="shared" si="166"/>
        <v>5518.5015426909449</v>
      </c>
      <c r="Q617" s="1159">
        <f t="shared" si="167"/>
        <v>17494.796775011753</v>
      </c>
      <c r="R617" s="2773"/>
    </row>
    <row r="618" spans="1:18" x14ac:dyDescent="0.25">
      <c r="A618" s="2862"/>
      <c r="B618" s="706">
        <v>2046</v>
      </c>
      <c r="C618" s="1134">
        <f t="shared" si="159"/>
        <v>22772516.424012434</v>
      </c>
      <c r="D618" s="1156">
        <f t="shared" si="160"/>
        <v>9711.0944238858992</v>
      </c>
      <c r="E618" s="1156">
        <f t="shared" si="161"/>
        <v>60694.340149286865</v>
      </c>
      <c r="F618" s="1156">
        <f t="shared" si="162"/>
        <v>655.49887361229821</v>
      </c>
      <c r="G618" s="1156">
        <f t="shared" si="163"/>
        <v>20878.853011354684</v>
      </c>
      <c r="H618" s="827">
        <v>93</v>
      </c>
      <c r="I618" s="1157">
        <f>'Emission-Waste Transport Vehicl'!N60</f>
        <v>19.101826686096</v>
      </c>
      <c r="J618" s="1157">
        <f>'Emission-Waste Transport Vehicl'!P60</f>
        <v>10.627938112176002</v>
      </c>
      <c r="K618" s="1157">
        <f>'Emission-Waste Transport Vehicl'!Q60</f>
        <v>8.2539555880319995</v>
      </c>
      <c r="L618" s="1157">
        <f>'Emission-Waste Transport Vehicl'!R60</f>
        <v>0.82151438846400004</v>
      </c>
      <c r="M618" s="1159">
        <f t="shared" si="158"/>
        <v>2117844.027433156</v>
      </c>
      <c r="N618" s="1159">
        <f t="shared" si="164"/>
        <v>185499.64261738173</v>
      </c>
      <c r="O618" s="1159">
        <f t="shared" si="165"/>
        <v>645055.69086598</v>
      </c>
      <c r="P618" s="1159">
        <f t="shared" si="166"/>
        <v>5410.4585908009103</v>
      </c>
      <c r="Q618" s="1159">
        <f t="shared" si="167"/>
        <v>17152.278163452789</v>
      </c>
      <c r="R618" s="2773"/>
    </row>
    <row r="619" spans="1:18" x14ac:dyDescent="0.25">
      <c r="A619" s="2862"/>
      <c r="B619" s="706">
        <v>2047</v>
      </c>
      <c r="C619" s="1134">
        <f t="shared" si="159"/>
        <v>22772516.424012434</v>
      </c>
      <c r="D619" s="1156">
        <f t="shared" si="160"/>
        <v>9711.0944238858992</v>
      </c>
      <c r="E619" s="1156">
        <f t="shared" si="161"/>
        <v>60694.340149286865</v>
      </c>
      <c r="F619" s="1156">
        <f t="shared" si="162"/>
        <v>655.49887361229821</v>
      </c>
      <c r="G619" s="1156">
        <f t="shared" si="163"/>
        <v>20878.853011354684</v>
      </c>
      <c r="H619" s="827">
        <v>94</v>
      </c>
      <c r="I619" s="1157">
        <f>'Emission-Waste Transport Vehicl'!N61</f>
        <v>18.726897505536005</v>
      </c>
      <c r="J619" s="1157">
        <f>'Emission-Waste Transport Vehicl'!P61</f>
        <v>10.419333762816001</v>
      </c>
      <c r="K619" s="1157">
        <f>'Emission-Waste Transport Vehicl'!Q61</f>
        <v>8.0919475845120008</v>
      </c>
      <c r="L619" s="1157">
        <f>'Emission-Waste Transport Vehicl'!R61</f>
        <v>0.80538976742400015</v>
      </c>
      <c r="M619" s="1159">
        <f t="shared" si="158"/>
        <v>2140616.5438571684</v>
      </c>
      <c r="N619" s="1159">
        <f t="shared" si="164"/>
        <v>181858.66994269346</v>
      </c>
      <c r="O619" s="1159">
        <f t="shared" si="165"/>
        <v>632394.58752930339</v>
      </c>
      <c r="P619" s="1159">
        <f t="shared" si="166"/>
        <v>5304.2625269773735</v>
      </c>
      <c r="Q619" s="1159">
        <f t="shared" si="167"/>
        <v>16815.614570894835</v>
      </c>
      <c r="R619" s="2773"/>
    </row>
    <row r="620" spans="1:18" x14ac:dyDescent="0.25">
      <c r="A620" s="2862"/>
      <c r="B620" s="706">
        <v>2048</v>
      </c>
      <c r="C620" s="1134">
        <f t="shared" si="159"/>
        <v>22772516.424012434</v>
      </c>
      <c r="D620" s="1156">
        <f t="shared" si="160"/>
        <v>9711.0944238858992</v>
      </c>
      <c r="E620" s="1156">
        <f t="shared" si="161"/>
        <v>60694.340149286865</v>
      </c>
      <c r="F620" s="1156">
        <f t="shared" si="162"/>
        <v>655.49887361229821</v>
      </c>
      <c r="G620" s="1156">
        <f t="shared" si="163"/>
        <v>20878.853011354684</v>
      </c>
      <c r="H620" s="827">
        <v>95</v>
      </c>
      <c r="I620" s="1157">
        <f>'Emission-Waste Transport Vehicl'!N62</f>
        <v>18.358488832464005</v>
      </c>
      <c r="J620" s="1157">
        <f>'Emission-Waste Transport Vehicl'!P62</f>
        <v>10.214357315184001</v>
      </c>
      <c r="K620" s="1157">
        <f>'Emission-Waste Transport Vehicl'!Q62</f>
        <v>7.9327571114880007</v>
      </c>
      <c r="L620" s="1157">
        <f>'Emission-Waste Transport Vehicl'!R62</f>
        <v>0.78954557457600016</v>
      </c>
      <c r="M620" s="1159">
        <f t="shared" si="158"/>
        <v>2163389.0602811812</v>
      </c>
      <c r="N620" s="1159">
        <f t="shared" si="164"/>
        <v>178281.01853191276</v>
      </c>
      <c r="O620" s="1159">
        <f t="shared" si="165"/>
        <v>619953.67729413428</v>
      </c>
      <c r="P620" s="1159">
        <f t="shared" si="166"/>
        <v>5199.9133512203325</v>
      </c>
      <c r="Q620" s="1159">
        <f t="shared" si="167"/>
        <v>16484.805997337884</v>
      </c>
      <c r="R620" s="2773"/>
    </row>
    <row r="621" spans="1:18" x14ac:dyDescent="0.25">
      <c r="A621" s="2862"/>
      <c r="B621" s="706">
        <v>2049</v>
      </c>
      <c r="C621" s="1134">
        <f t="shared" si="159"/>
        <v>22772516.424012434</v>
      </c>
      <c r="D621" s="1156">
        <f t="shared" si="160"/>
        <v>9711.0944238858992</v>
      </c>
      <c r="E621" s="1156">
        <f t="shared" si="161"/>
        <v>60694.340149286865</v>
      </c>
      <c r="F621" s="1156">
        <f t="shared" si="162"/>
        <v>655.49887361229821</v>
      </c>
      <c r="G621" s="1156">
        <f t="shared" si="163"/>
        <v>20878.853011354684</v>
      </c>
      <c r="H621" s="827">
        <v>96</v>
      </c>
      <c r="I621" s="1157">
        <f>'Emission-Waste Transport Vehicl'!N63</f>
        <v>17.999860920624005</v>
      </c>
      <c r="J621" s="1157">
        <f>'Emission-Waste Transport Vehicl'!P63</f>
        <v>10.014822720144002</v>
      </c>
      <c r="K621" s="1157">
        <f>'Emission-Waste Transport Vehicl'!Q63</f>
        <v>7.7777929342080014</v>
      </c>
      <c r="L621" s="1157">
        <f>'Emission-Waste Transport Vehicl'!R63</f>
        <v>0.77412202401600017</v>
      </c>
      <c r="M621" s="1159">
        <f t="shared" si="158"/>
        <v>2186161.5767051936</v>
      </c>
      <c r="N621" s="1159">
        <f t="shared" si="164"/>
        <v>174798.34901699348</v>
      </c>
      <c r="O621" s="1159">
        <f t="shared" si="165"/>
        <v>607843.05671122635</v>
      </c>
      <c r="P621" s="1159">
        <f t="shared" si="166"/>
        <v>5098.3345075630368</v>
      </c>
      <c r="Q621" s="1159">
        <f t="shared" si="167"/>
        <v>16162.779952282448</v>
      </c>
      <c r="R621" s="2773"/>
    </row>
    <row r="622" spans="1:18" x14ac:dyDescent="0.25">
      <c r="A622" s="2862"/>
      <c r="B622" s="706">
        <v>2050</v>
      </c>
      <c r="C622" s="1134">
        <f t="shared" si="159"/>
        <v>22772516.424012434</v>
      </c>
      <c r="D622" s="1156">
        <f t="shared" si="160"/>
        <v>9711.0944238858992</v>
      </c>
      <c r="E622" s="1156">
        <f t="shared" si="161"/>
        <v>60694.340149286865</v>
      </c>
      <c r="F622" s="1156">
        <f t="shared" si="162"/>
        <v>655.49887361229821</v>
      </c>
      <c r="G622" s="1156">
        <f t="shared" si="163"/>
        <v>20878.853011354684</v>
      </c>
      <c r="H622" s="827">
        <v>97</v>
      </c>
      <c r="I622" s="1157">
        <f>'Emission-Waste Transport Vehicl'!N64</f>
        <v>17.644493262528005</v>
      </c>
      <c r="J622" s="1157">
        <f>'Emission-Waste Transport Vehicl'!P64</f>
        <v>9.8171020759680019</v>
      </c>
      <c r="K622" s="1157">
        <f>'Emission-Waste Transport Vehicl'!Q64</f>
        <v>7.624237522176001</v>
      </c>
      <c r="L622" s="1157">
        <f>'Emission-Waste Transport Vehicl'!R64</f>
        <v>0.75883868755200012</v>
      </c>
      <c r="M622" s="1159">
        <f t="shared" si="158"/>
        <v>2208934.093129206</v>
      </c>
      <c r="N622" s="1159">
        <f t="shared" si="164"/>
        <v>171347.34013402803</v>
      </c>
      <c r="O622" s="1159">
        <f t="shared" si="165"/>
        <v>595842.53267907212</v>
      </c>
      <c r="P622" s="1159">
        <f t="shared" si="166"/>
        <v>4997.6791079389886</v>
      </c>
      <c r="Q622" s="1159">
        <f t="shared" si="167"/>
        <v>15843.681416727513</v>
      </c>
      <c r="R622" s="2773"/>
    </row>
    <row r="623" spans="1:18" x14ac:dyDescent="0.25">
      <c r="A623" s="2862"/>
      <c r="B623" s="706">
        <v>2051</v>
      </c>
      <c r="C623" s="1134">
        <f t="shared" ref="C623:C641" si="168">$S$23</f>
        <v>22772516.424012434</v>
      </c>
      <c r="D623" s="1156">
        <f t="shared" ref="D623:D641" si="169">$T$23</f>
        <v>9711.0944238858992</v>
      </c>
      <c r="E623" s="1156">
        <f t="shared" ref="E623:E641" si="170">$R$23</f>
        <v>60694.340149286865</v>
      </c>
      <c r="F623" s="1156">
        <f t="shared" ref="F623:F641" si="171">$V$23</f>
        <v>655.49887361229821</v>
      </c>
      <c r="G623" s="1156">
        <f t="shared" ref="G623:G641" si="172">$U$23</f>
        <v>20878.853011354684</v>
      </c>
      <c r="H623" s="827">
        <v>97</v>
      </c>
      <c r="I623" s="1157">
        <f>'Emission-Waste Transport Vehicl'!N65</f>
        <v>17.298906365664003</v>
      </c>
      <c r="J623" s="1157">
        <f>'Emission-Waste Transport Vehicl'!P65</f>
        <v>9.624823284384</v>
      </c>
      <c r="K623" s="1157">
        <f>'Emission-Waste Transport Vehicl'!Q65</f>
        <v>7.4749084058879998</v>
      </c>
      <c r="L623" s="1157">
        <f>'Emission-Waste Transport Vehicl'!R65</f>
        <v>0.74397599337600007</v>
      </c>
      <c r="M623" s="1159">
        <f t="shared" si="158"/>
        <v>2208934.093129206</v>
      </c>
      <c r="N623" s="1159">
        <f t="shared" si="164"/>
        <v>167991.31314692399</v>
      </c>
      <c r="O623" s="1159">
        <f t="shared" si="165"/>
        <v>584172.29829917883</v>
      </c>
      <c r="P623" s="1159">
        <f t="shared" si="166"/>
        <v>4899.7940404146839</v>
      </c>
      <c r="Q623" s="1159">
        <f t="shared" si="167"/>
        <v>15533.365409674092</v>
      </c>
      <c r="R623" s="2773"/>
    </row>
    <row r="624" spans="1:18" x14ac:dyDescent="0.25">
      <c r="A624" s="2862"/>
      <c r="B624" s="706">
        <v>2052</v>
      </c>
      <c r="C624" s="1134">
        <f t="shared" si="168"/>
        <v>22772516.424012434</v>
      </c>
      <c r="D624" s="1156">
        <f t="shared" si="169"/>
        <v>9711.0944238858992</v>
      </c>
      <c r="E624" s="1156">
        <f t="shared" si="170"/>
        <v>60694.340149286865</v>
      </c>
      <c r="F624" s="1156">
        <f t="shared" si="171"/>
        <v>655.49887361229821</v>
      </c>
      <c r="G624" s="1156">
        <f t="shared" si="172"/>
        <v>20878.853011354684</v>
      </c>
      <c r="H624" s="827">
        <v>97</v>
      </c>
      <c r="I624" s="1157">
        <f>'Emission-Waste Transport Vehicl'!N66</f>
        <v>16.959839976288002</v>
      </c>
      <c r="J624" s="1157">
        <f>'Emission-Waste Transport Vehicl'!P66</f>
        <v>9.4361723945280005</v>
      </c>
      <c r="K624" s="1157">
        <f>'Emission-Waste Transport Vehicl'!Q66</f>
        <v>7.3283968200960006</v>
      </c>
      <c r="L624" s="1157">
        <f>'Emission-Waste Transport Vehicl'!R66</f>
        <v>0.72939372739200004</v>
      </c>
      <c r="M624" s="1159">
        <f t="shared" si="158"/>
        <v>2208934.093129206</v>
      </c>
      <c r="N624" s="1159">
        <f t="shared" si="164"/>
        <v>164698.60742372758</v>
      </c>
      <c r="O624" s="1159">
        <f t="shared" si="165"/>
        <v>572722.25702079316</v>
      </c>
      <c r="P624" s="1159">
        <f t="shared" si="166"/>
        <v>4803.7558609568759</v>
      </c>
      <c r="Q624" s="1159">
        <f t="shared" si="167"/>
        <v>15228.904421621677</v>
      </c>
      <c r="R624" s="2773"/>
    </row>
    <row r="625" spans="1:18" x14ac:dyDescent="0.25">
      <c r="A625" s="2862"/>
      <c r="B625" s="706">
        <v>2053</v>
      </c>
      <c r="C625" s="1134">
        <f t="shared" si="168"/>
        <v>22772516.424012434</v>
      </c>
      <c r="D625" s="1156">
        <f t="shared" si="169"/>
        <v>9711.0944238858992</v>
      </c>
      <c r="E625" s="1156">
        <f t="shared" si="170"/>
        <v>60694.340149286865</v>
      </c>
      <c r="F625" s="1156">
        <f t="shared" si="171"/>
        <v>655.49887361229821</v>
      </c>
      <c r="G625" s="1156">
        <f t="shared" si="172"/>
        <v>20878.853011354684</v>
      </c>
      <c r="H625" s="827">
        <v>97</v>
      </c>
      <c r="I625" s="1157">
        <f>'Emission-Waste Transport Vehicl'!N67</f>
        <v>15.361506000000002</v>
      </c>
      <c r="J625" s="1157">
        <f>'Emission-Waste Transport Vehicl'!P67</f>
        <v>9.2511494064000015</v>
      </c>
      <c r="K625" s="1157">
        <f>'Emission-Waste Transport Vehicl'!Q67</f>
        <v>7.1847027647999999</v>
      </c>
      <c r="L625" s="1157">
        <f>'Emission-Waste Transport Vehicl'!R67</f>
        <v>0.71509188960000014</v>
      </c>
      <c r="M625" s="1159">
        <f t="shared" si="158"/>
        <v>2208934.093129206</v>
      </c>
      <c r="N625" s="1159">
        <f t="shared" si="164"/>
        <v>149177.03525908981</v>
      </c>
      <c r="O625" s="1159">
        <f t="shared" si="165"/>
        <v>561492.40884391498</v>
      </c>
      <c r="P625" s="1159">
        <f t="shared" si="166"/>
        <v>4709.5645695655649</v>
      </c>
      <c r="Q625" s="1159">
        <f t="shared" si="167"/>
        <v>14930.298452570274</v>
      </c>
      <c r="R625" s="2773"/>
    </row>
    <row r="626" spans="1:18" x14ac:dyDescent="0.25">
      <c r="A626" s="2862"/>
      <c r="B626" s="706">
        <v>2054</v>
      </c>
      <c r="C626" s="1134">
        <f t="shared" si="168"/>
        <v>22772516.424012434</v>
      </c>
      <c r="D626" s="1156">
        <f t="shared" si="169"/>
        <v>9711.0944238858992</v>
      </c>
      <c r="E626" s="1156">
        <f t="shared" si="170"/>
        <v>60694.340149286865</v>
      </c>
      <c r="F626" s="1156">
        <f t="shared" si="171"/>
        <v>655.49887361229821</v>
      </c>
      <c r="G626" s="1156">
        <f t="shared" si="172"/>
        <v>20878.853011354684</v>
      </c>
      <c r="H626" s="827">
        <v>97</v>
      </c>
      <c r="I626" s="1157">
        <f>'Emission-Waste Transport Vehicl'!N68</f>
        <v>16.301268720000003</v>
      </c>
      <c r="J626" s="1157">
        <f>'Emission-Waste Transport Vehicl'!P68</f>
        <v>9.0697543200000013</v>
      </c>
      <c r="K626" s="1157">
        <f>'Emission-Waste Transport Vehicl'!Q68</f>
        <v>7.0438262400000005</v>
      </c>
      <c r="L626" s="1157">
        <f>'Emission-Waste Transport Vehicl'!R68</f>
        <v>0.70107048000000005</v>
      </c>
      <c r="M626" s="1159">
        <f t="shared" si="158"/>
        <v>2208934.093129206</v>
      </c>
      <c r="N626" s="1159">
        <f t="shared" si="164"/>
        <v>158303.15976905765</v>
      </c>
      <c r="O626" s="1159">
        <f t="shared" si="165"/>
        <v>550482.75376854406</v>
      </c>
      <c r="P626" s="1159">
        <f t="shared" si="166"/>
        <v>4617.2201662407497</v>
      </c>
      <c r="Q626" s="1159">
        <f t="shared" si="167"/>
        <v>14637.547502519876</v>
      </c>
      <c r="R626" s="2773"/>
    </row>
    <row r="627" spans="1:18" x14ac:dyDescent="0.25">
      <c r="A627" s="2862"/>
      <c r="B627" s="706">
        <v>2055</v>
      </c>
      <c r="C627" s="1134">
        <f t="shared" si="168"/>
        <v>22772516.424012434</v>
      </c>
      <c r="D627" s="1156">
        <f t="shared" si="169"/>
        <v>9711.0944238858992</v>
      </c>
      <c r="E627" s="1156">
        <f t="shared" si="170"/>
        <v>60694.340149286865</v>
      </c>
      <c r="F627" s="1156">
        <f t="shared" si="171"/>
        <v>655.49887361229821</v>
      </c>
      <c r="G627" s="1156">
        <f t="shared" si="172"/>
        <v>20878.853011354684</v>
      </c>
      <c r="H627" s="827">
        <v>97</v>
      </c>
      <c r="I627" s="1157">
        <f>'Emission-Waste Transport Vehicl'!N69</f>
        <v>15.981763853088003</v>
      </c>
      <c r="J627" s="1157">
        <f>'Emission-Waste Transport Vehicl'!P69</f>
        <v>8.8919871353280016</v>
      </c>
      <c r="K627" s="1157">
        <f>'Emission-Waste Transport Vehicl'!Q69</f>
        <v>6.9057672456960004</v>
      </c>
      <c r="L627" s="1157">
        <f>'Emission-Waste Transport Vehicl'!R69</f>
        <v>0.6873294985920001</v>
      </c>
      <c r="M627" s="1159">
        <f t="shared" si="158"/>
        <v>2208934.093129206</v>
      </c>
      <c r="N627" s="1159">
        <f t="shared" si="164"/>
        <v>155200.41783758413</v>
      </c>
      <c r="O627" s="1159">
        <f t="shared" si="165"/>
        <v>539693.29179468064</v>
      </c>
      <c r="P627" s="1159">
        <f t="shared" si="166"/>
        <v>4526.7226509824313</v>
      </c>
      <c r="Q627" s="1159">
        <f t="shared" si="167"/>
        <v>14350.651571470486</v>
      </c>
      <c r="R627" s="2773"/>
    </row>
    <row r="628" spans="1:18" x14ac:dyDescent="0.25">
      <c r="A628" s="2862"/>
      <c r="B628" s="706">
        <v>2056</v>
      </c>
      <c r="C628" s="1134">
        <f t="shared" si="168"/>
        <v>22772516.424012434</v>
      </c>
      <c r="D628" s="1156">
        <f t="shared" si="169"/>
        <v>9711.0944238858992</v>
      </c>
      <c r="E628" s="1156">
        <f t="shared" si="170"/>
        <v>60694.340149286865</v>
      </c>
      <c r="F628" s="1156">
        <f t="shared" si="171"/>
        <v>655.49887361229821</v>
      </c>
      <c r="G628" s="1156">
        <f t="shared" si="172"/>
        <v>20878.853011354684</v>
      </c>
      <c r="H628" s="827">
        <v>97</v>
      </c>
      <c r="I628" s="1157">
        <f>'Emission-Waste Transport Vehicl'!N70</f>
        <v>15.668779493664003</v>
      </c>
      <c r="J628" s="1157">
        <f>'Emission-Waste Transport Vehicl'!P70</f>
        <v>8.7178478523840006</v>
      </c>
      <c r="K628" s="1157">
        <f>'Emission-Waste Transport Vehicl'!Q70</f>
        <v>6.7705257818880007</v>
      </c>
      <c r="L628" s="1157">
        <f>'Emission-Waste Transport Vehicl'!R70</f>
        <v>0.67386894537600017</v>
      </c>
      <c r="M628" s="1159">
        <f t="shared" si="158"/>
        <v>2208934.093129206</v>
      </c>
      <c r="N628" s="1159">
        <f t="shared" si="164"/>
        <v>152160.99717001821</v>
      </c>
      <c r="O628" s="1159">
        <f t="shared" si="165"/>
        <v>529124.02292232448</v>
      </c>
      <c r="P628" s="1159">
        <f t="shared" si="166"/>
        <v>4438.0720237906089</v>
      </c>
      <c r="Q628" s="1159">
        <f t="shared" si="167"/>
        <v>14069.610659422106</v>
      </c>
      <c r="R628" s="2773"/>
    </row>
    <row r="629" spans="1:18" x14ac:dyDescent="0.25">
      <c r="A629" s="2862"/>
      <c r="B629" s="706">
        <v>2057</v>
      </c>
      <c r="C629" s="1134">
        <f t="shared" si="168"/>
        <v>22772516.424012434</v>
      </c>
      <c r="D629" s="1156">
        <f t="shared" si="169"/>
        <v>9711.0944238858992</v>
      </c>
      <c r="E629" s="1156">
        <f t="shared" si="170"/>
        <v>60694.340149286865</v>
      </c>
      <c r="F629" s="1156">
        <f t="shared" si="171"/>
        <v>655.49887361229821</v>
      </c>
      <c r="G629" s="1156">
        <f t="shared" si="172"/>
        <v>20878.853011354684</v>
      </c>
      <c r="H629" s="827">
        <v>97</v>
      </c>
      <c r="I629" s="1157">
        <f>'Emission-Waste Transport Vehicl'!N71</f>
        <v>15.362315641728001</v>
      </c>
      <c r="J629" s="1157">
        <f>'Emission-Waste Transport Vehicl'!P71</f>
        <v>8.547336471168002</v>
      </c>
      <c r="K629" s="1157">
        <f>'Emission-Waste Transport Vehicl'!Q71</f>
        <v>6.6381018485760004</v>
      </c>
      <c r="L629" s="1157">
        <f>'Emission-Waste Transport Vehicl'!R71</f>
        <v>0.66068882035200005</v>
      </c>
      <c r="M629" s="1159">
        <f t="shared" si="158"/>
        <v>2208934.093129206</v>
      </c>
      <c r="N629" s="1159">
        <f t="shared" si="164"/>
        <v>149184.89776635991</v>
      </c>
      <c r="O629" s="1159">
        <f t="shared" si="165"/>
        <v>518774.94715147599</v>
      </c>
      <c r="P629" s="1159">
        <f t="shared" si="166"/>
        <v>4351.2682846652824</v>
      </c>
      <c r="Q629" s="1159">
        <f t="shared" si="167"/>
        <v>13794.42476637473</v>
      </c>
      <c r="R629" s="2773"/>
    </row>
    <row r="630" spans="1:18" x14ac:dyDescent="0.25">
      <c r="A630" s="2862"/>
      <c r="B630" s="706">
        <v>2058</v>
      </c>
      <c r="C630" s="1134">
        <f t="shared" si="168"/>
        <v>22772516.424012434</v>
      </c>
      <c r="D630" s="1156">
        <f t="shared" si="169"/>
        <v>9711.0944238858992</v>
      </c>
      <c r="E630" s="1156">
        <f t="shared" si="170"/>
        <v>60694.340149286865</v>
      </c>
      <c r="F630" s="1156">
        <f t="shared" si="171"/>
        <v>655.49887361229821</v>
      </c>
      <c r="G630" s="1156">
        <f t="shared" si="172"/>
        <v>20878.853011354684</v>
      </c>
      <c r="H630" s="827">
        <v>97</v>
      </c>
      <c r="I630" s="1157">
        <f>'Emission-Waste Transport Vehicl'!N72</f>
        <v>15.059112043536</v>
      </c>
      <c r="J630" s="1157">
        <f>'Emission-Waste Transport Vehicl'!P72</f>
        <v>8.378639040816001</v>
      </c>
      <c r="K630" s="1157">
        <f>'Emission-Waste Transport Vehicl'!Q72</f>
        <v>6.5070866805119998</v>
      </c>
      <c r="L630" s="1157">
        <f>'Emission-Waste Transport Vehicl'!R72</f>
        <v>0.647648909424</v>
      </c>
      <c r="M630" s="1159">
        <f t="shared" si="158"/>
        <v>2208934.093129206</v>
      </c>
      <c r="N630" s="1159">
        <f t="shared" si="164"/>
        <v>146240.45899465543</v>
      </c>
      <c r="O630" s="1159">
        <f t="shared" si="165"/>
        <v>508535.96793138102</v>
      </c>
      <c r="P630" s="1159">
        <f t="shared" si="166"/>
        <v>4265.3879895732043</v>
      </c>
      <c r="Q630" s="1159">
        <f t="shared" si="167"/>
        <v>13522.16638282786</v>
      </c>
      <c r="R630" s="2773"/>
    </row>
    <row r="631" spans="1:18" x14ac:dyDescent="0.25">
      <c r="A631" s="2862"/>
      <c r="B631" s="706">
        <v>2059</v>
      </c>
      <c r="C631" s="1134">
        <f t="shared" si="168"/>
        <v>22772516.424012434</v>
      </c>
      <c r="D631" s="1156">
        <f t="shared" si="169"/>
        <v>9711.0944238858992</v>
      </c>
      <c r="E631" s="1156">
        <f t="shared" si="170"/>
        <v>60694.340149286865</v>
      </c>
      <c r="F631" s="1156">
        <f t="shared" si="171"/>
        <v>655.49887361229821</v>
      </c>
      <c r="G631" s="1156">
        <f t="shared" si="172"/>
        <v>20878.853011354684</v>
      </c>
      <c r="H631" s="827">
        <v>97</v>
      </c>
      <c r="I631" s="1157">
        <f>'Emission-Waste Transport Vehicl'!N73</f>
        <v>14.765689206576004</v>
      </c>
      <c r="J631" s="1157">
        <f>'Emission-Waste Transport Vehicl'!P73</f>
        <v>8.2153834630560016</v>
      </c>
      <c r="K631" s="1157">
        <f>'Emission-Waste Transport Vehicl'!Q73</f>
        <v>6.380297808192001</v>
      </c>
      <c r="L631" s="1157">
        <f>'Emission-Waste Transport Vehicl'!R73</f>
        <v>0.63502964078400004</v>
      </c>
      <c r="M631" s="1159">
        <f t="shared" si="158"/>
        <v>2208934.093129206</v>
      </c>
      <c r="N631" s="1159">
        <f t="shared" si="164"/>
        <v>143391.00211881244</v>
      </c>
      <c r="O631" s="1159">
        <f t="shared" si="165"/>
        <v>498627.27836354723</v>
      </c>
      <c r="P631" s="1159">
        <f t="shared" si="166"/>
        <v>4182.2780265808715</v>
      </c>
      <c r="Q631" s="1159">
        <f t="shared" si="167"/>
        <v>13258.690527782503</v>
      </c>
      <c r="R631" s="2773"/>
    </row>
    <row r="632" spans="1:18" x14ac:dyDescent="0.25">
      <c r="A632" s="2862"/>
      <c r="B632" s="706">
        <v>2060</v>
      </c>
      <c r="C632" s="1134">
        <f t="shared" si="168"/>
        <v>22772516.424012434</v>
      </c>
      <c r="D632" s="1156">
        <f t="shared" si="169"/>
        <v>9711.0944238858992</v>
      </c>
      <c r="E632" s="1156">
        <f t="shared" si="170"/>
        <v>60694.340149286865</v>
      </c>
      <c r="F632" s="1156">
        <f t="shared" si="171"/>
        <v>655.49887361229821</v>
      </c>
      <c r="G632" s="1156">
        <f t="shared" si="172"/>
        <v>20878.853011354684</v>
      </c>
      <c r="H632" s="827">
        <v>97</v>
      </c>
      <c r="I632" s="1157">
        <f>'Emission-Waste Transport Vehicl'!N74</f>
        <v>14.475526623360002</v>
      </c>
      <c r="J632" s="1157">
        <f>'Emission-Waste Transport Vehicl'!P74</f>
        <v>8.0539418361599999</v>
      </c>
      <c r="K632" s="1157">
        <f>'Emission-Waste Transport Vehicl'!Q74</f>
        <v>6.2549177011200001</v>
      </c>
      <c r="L632" s="1157">
        <f>'Emission-Waste Transport Vehicl'!R74</f>
        <v>0.62255058624000004</v>
      </c>
      <c r="M632" s="1159">
        <f t="shared" si="158"/>
        <v>2208934.093129206</v>
      </c>
      <c r="N632" s="1159">
        <f t="shared" si="164"/>
        <v>140573.20587492321</v>
      </c>
      <c r="O632" s="1159">
        <f t="shared" si="165"/>
        <v>488828.68534646707</v>
      </c>
      <c r="P632" s="1159">
        <f t="shared" si="166"/>
        <v>4100.0915076217861</v>
      </c>
      <c r="Q632" s="1159">
        <f t="shared" si="167"/>
        <v>12998.142182237649</v>
      </c>
      <c r="R632" s="2773"/>
    </row>
    <row r="633" spans="1:18" x14ac:dyDescent="0.25">
      <c r="A633" s="2862"/>
      <c r="B633" s="706">
        <v>2061</v>
      </c>
      <c r="C633" s="1134">
        <f t="shared" si="168"/>
        <v>22772516.424012434</v>
      </c>
      <c r="D633" s="1156">
        <f t="shared" si="169"/>
        <v>9711.0944238858992</v>
      </c>
      <c r="E633" s="1156">
        <f t="shared" si="170"/>
        <v>60694.340149286865</v>
      </c>
      <c r="F633" s="1156">
        <f t="shared" si="171"/>
        <v>655.49887361229821</v>
      </c>
      <c r="G633" s="1156">
        <f t="shared" si="172"/>
        <v>20878.853011354684</v>
      </c>
      <c r="H633" s="827">
        <v>97</v>
      </c>
      <c r="I633" s="1157">
        <f>'Emission-Waste Transport Vehicl'!N75</f>
        <v>14.191884547632004</v>
      </c>
      <c r="J633" s="1157">
        <f>'Emission-Waste Transport Vehicl'!P75</f>
        <v>7.8961281109920014</v>
      </c>
      <c r="K633" s="1157">
        <f>'Emission-Waste Transport Vehicl'!Q75</f>
        <v>6.1323551245440004</v>
      </c>
      <c r="L633" s="1157">
        <f>'Emission-Waste Transport Vehicl'!R75</f>
        <v>0.61035195988800006</v>
      </c>
      <c r="M633" s="1159">
        <f t="shared" si="158"/>
        <v>2208934.093129206</v>
      </c>
      <c r="N633" s="1159">
        <f t="shared" si="164"/>
        <v>137818.7308949416</v>
      </c>
      <c r="O633" s="1159">
        <f t="shared" si="165"/>
        <v>479250.28543089447</v>
      </c>
      <c r="P633" s="1159">
        <f t="shared" si="166"/>
        <v>4019.7518767291972</v>
      </c>
      <c r="Q633" s="1159">
        <f t="shared" si="167"/>
        <v>12743.448855693803</v>
      </c>
      <c r="R633" s="2773"/>
    </row>
    <row r="634" spans="1:18" x14ac:dyDescent="0.25">
      <c r="A634" s="2862"/>
      <c r="B634" s="706">
        <v>2062</v>
      </c>
      <c r="C634" s="1134">
        <f t="shared" si="168"/>
        <v>22772516.424012434</v>
      </c>
      <c r="D634" s="1156">
        <f t="shared" si="169"/>
        <v>9711.0944238858992</v>
      </c>
      <c r="E634" s="1156">
        <f t="shared" si="170"/>
        <v>60694.340149286865</v>
      </c>
      <c r="F634" s="1156">
        <f t="shared" si="171"/>
        <v>655.49887361229821</v>
      </c>
      <c r="G634" s="1156">
        <f t="shared" si="172"/>
        <v>20878.853011354684</v>
      </c>
      <c r="H634" s="827">
        <v>97</v>
      </c>
      <c r="I634" s="1157">
        <f>'Emission-Waste Transport Vehicl'!N76</f>
        <v>13.914762979392002</v>
      </c>
      <c r="J634" s="1157">
        <f>'Emission-Waste Transport Vehicl'!P76</f>
        <v>7.7419422875520008</v>
      </c>
      <c r="K634" s="1157">
        <f>'Emission-Waste Transport Vehicl'!Q76</f>
        <v>6.0126100784640002</v>
      </c>
      <c r="L634" s="1157">
        <f>'Emission-Waste Transport Vehicl'!R76</f>
        <v>0.59843376172800011</v>
      </c>
      <c r="M634" s="1159">
        <f t="shared" si="158"/>
        <v>2208934.093129206</v>
      </c>
      <c r="N634" s="1159">
        <f t="shared" si="164"/>
        <v>135127.57717886762</v>
      </c>
      <c r="O634" s="1159">
        <f t="shared" si="165"/>
        <v>469892.07861682918</v>
      </c>
      <c r="P634" s="1159">
        <f t="shared" si="166"/>
        <v>3941.2591339031042</v>
      </c>
      <c r="Q634" s="1159">
        <f t="shared" si="167"/>
        <v>12494.610548150966</v>
      </c>
      <c r="R634" s="2773"/>
    </row>
    <row r="635" spans="1:18" x14ac:dyDescent="0.25">
      <c r="A635" s="2862"/>
      <c r="B635" s="706">
        <v>2063</v>
      </c>
      <c r="C635" s="1134">
        <f t="shared" si="168"/>
        <v>22772516.424012434</v>
      </c>
      <c r="D635" s="1156">
        <f t="shared" si="169"/>
        <v>9711.0944238858992</v>
      </c>
      <c r="E635" s="1156">
        <f t="shared" si="170"/>
        <v>60694.340149286865</v>
      </c>
      <c r="F635" s="1156">
        <f t="shared" si="171"/>
        <v>655.49887361229821</v>
      </c>
      <c r="G635" s="1156">
        <f t="shared" si="172"/>
        <v>20878.853011354684</v>
      </c>
      <c r="H635" s="827">
        <v>97</v>
      </c>
      <c r="I635" s="1157">
        <f>'Emission-Waste Transport Vehicl'!N77</f>
        <v>13.640901664896001</v>
      </c>
      <c r="J635" s="1157">
        <f>'Emission-Waste Transport Vehicl'!P77</f>
        <v>7.5895704149760004</v>
      </c>
      <c r="K635" s="1157">
        <f>'Emission-Waste Transport Vehicl'!Q77</f>
        <v>5.8942737976319997</v>
      </c>
      <c r="L635" s="1157">
        <f>'Emission-Waste Transport Vehicl'!R77</f>
        <v>0.58665577766400001</v>
      </c>
      <c r="M635" s="1159">
        <f t="shared" si="158"/>
        <v>2208934.093129206</v>
      </c>
      <c r="N635" s="1159">
        <f t="shared" si="164"/>
        <v>132468.08409474744</v>
      </c>
      <c r="O635" s="1159">
        <f t="shared" si="165"/>
        <v>460643.96835351764</v>
      </c>
      <c r="P635" s="1159">
        <f t="shared" si="166"/>
        <v>3863.6898351102591</v>
      </c>
      <c r="Q635" s="1159">
        <f t="shared" si="167"/>
        <v>12248.69975010863</v>
      </c>
      <c r="R635" s="2773"/>
    </row>
    <row r="636" spans="1:18" x14ac:dyDescent="0.25">
      <c r="A636" s="2862"/>
      <c r="B636" s="706">
        <v>2064</v>
      </c>
      <c r="C636" s="1134">
        <f t="shared" si="168"/>
        <v>22772516.424012434</v>
      </c>
      <c r="D636" s="1156">
        <f t="shared" si="169"/>
        <v>9711.0944238858992</v>
      </c>
      <c r="E636" s="1156">
        <f t="shared" si="170"/>
        <v>60694.340149286865</v>
      </c>
      <c r="F636" s="1156">
        <f t="shared" si="171"/>
        <v>655.49887361229821</v>
      </c>
      <c r="G636" s="1156">
        <f t="shared" si="172"/>
        <v>20878.853011354684</v>
      </c>
      <c r="H636" s="827">
        <v>97</v>
      </c>
      <c r="I636" s="1157">
        <f>'Emission-Waste Transport Vehicl'!N78</f>
        <v>13.373560857888002</v>
      </c>
      <c r="J636" s="1157">
        <f>'Emission-Waste Transport Vehicl'!P78</f>
        <v>7.4408264441280014</v>
      </c>
      <c r="K636" s="1157">
        <f>'Emission-Waste Transport Vehicl'!Q78</f>
        <v>5.7787550472960003</v>
      </c>
      <c r="L636" s="1157">
        <f>'Emission-Waste Transport Vehicl'!R78</f>
        <v>0.57515822179200005</v>
      </c>
      <c r="M636" s="1159">
        <f t="shared" si="158"/>
        <v>2208934.093129206</v>
      </c>
      <c r="N636" s="1159">
        <f t="shared" si="164"/>
        <v>129871.9122745349</v>
      </c>
      <c r="O636" s="1159">
        <f t="shared" si="165"/>
        <v>451616.0511917136</v>
      </c>
      <c r="P636" s="1159">
        <f t="shared" si="166"/>
        <v>3787.9674243839113</v>
      </c>
      <c r="Q636" s="1159">
        <f t="shared" si="167"/>
        <v>12008.643971067306</v>
      </c>
      <c r="R636" s="2773"/>
    </row>
    <row r="637" spans="1:18" x14ac:dyDescent="0.25">
      <c r="A637" s="2862"/>
      <c r="B637" s="706">
        <v>2065</v>
      </c>
      <c r="C637" s="1134">
        <f t="shared" si="168"/>
        <v>22772516.424012434</v>
      </c>
      <c r="D637" s="1156">
        <f t="shared" si="169"/>
        <v>9711.0944238858992</v>
      </c>
      <c r="E637" s="1156">
        <f t="shared" si="170"/>
        <v>60694.340149286865</v>
      </c>
      <c r="F637" s="1156">
        <f t="shared" si="171"/>
        <v>655.49887361229821</v>
      </c>
      <c r="G637" s="1156">
        <f t="shared" si="172"/>
        <v>20878.853011354684</v>
      </c>
      <c r="H637" s="827">
        <v>97</v>
      </c>
      <c r="I637" s="1157">
        <f>'Emission-Waste Transport Vehicl'!N79</f>
        <v>13.112740558368001</v>
      </c>
      <c r="J637" s="1157">
        <f>'Emission-Waste Transport Vehicl'!P79</f>
        <v>7.2957103750080003</v>
      </c>
      <c r="K637" s="1157">
        <f>'Emission-Waste Transport Vehicl'!Q79</f>
        <v>5.6660538274560004</v>
      </c>
      <c r="L637" s="1157">
        <f>'Emission-Waste Transport Vehicl'!R79</f>
        <v>0.56394109411200011</v>
      </c>
      <c r="M637" s="1159">
        <f t="shared" si="158"/>
        <v>2208934.093129206</v>
      </c>
      <c r="N637" s="1159">
        <f t="shared" si="164"/>
        <v>127339.06171822998</v>
      </c>
      <c r="O637" s="1159">
        <f t="shared" si="165"/>
        <v>442808.32713141682</v>
      </c>
      <c r="P637" s="1159">
        <f t="shared" si="166"/>
        <v>3714.0919017240594</v>
      </c>
      <c r="Q637" s="1159">
        <f t="shared" si="167"/>
        <v>11774.443211026988</v>
      </c>
      <c r="R637" s="2773"/>
    </row>
    <row r="638" spans="1:18" x14ac:dyDescent="0.25">
      <c r="A638" s="2862"/>
      <c r="B638" s="706">
        <v>2066</v>
      </c>
      <c r="C638" s="1134">
        <f t="shared" si="168"/>
        <v>22772516.424012434</v>
      </c>
      <c r="D638" s="1156">
        <f t="shared" si="169"/>
        <v>9711.0944238858992</v>
      </c>
      <c r="E638" s="1156">
        <f t="shared" si="170"/>
        <v>60694.340149286865</v>
      </c>
      <c r="F638" s="1156">
        <f t="shared" si="171"/>
        <v>655.49887361229821</v>
      </c>
      <c r="G638" s="1156">
        <f t="shared" si="172"/>
        <v>20878.853011354684</v>
      </c>
      <c r="H638" s="827">
        <v>97</v>
      </c>
      <c r="I638" s="1157">
        <f>'Emission-Waste Transport Vehicl'!N80</f>
        <v>12.855180512592</v>
      </c>
      <c r="J638" s="1157">
        <f>'Emission-Waste Transport Vehicl'!P80</f>
        <v>7.1524082567520004</v>
      </c>
      <c r="K638" s="1157">
        <f>'Emission-Waste Transport Vehicl'!Q80</f>
        <v>5.5547613728639993</v>
      </c>
      <c r="L638" s="1157">
        <f>'Emission-Waste Transport Vehicl'!R80</f>
        <v>0.55286418052800002</v>
      </c>
      <c r="M638" s="1159">
        <f t="shared" si="158"/>
        <v>2208934.093129206</v>
      </c>
      <c r="N638" s="1159">
        <f t="shared" si="164"/>
        <v>124837.87179387885</v>
      </c>
      <c r="O638" s="1159">
        <f t="shared" si="165"/>
        <v>434110.69962187379</v>
      </c>
      <c r="P638" s="1159">
        <f t="shared" si="166"/>
        <v>3641.1398230974546</v>
      </c>
      <c r="Q638" s="1159">
        <f t="shared" si="167"/>
        <v>11543.169960487172</v>
      </c>
      <c r="R638" s="2773"/>
    </row>
    <row r="639" spans="1:18" x14ac:dyDescent="0.25">
      <c r="A639" s="2862"/>
      <c r="B639" s="706">
        <v>2067</v>
      </c>
      <c r="C639" s="1134">
        <f t="shared" si="168"/>
        <v>22772516.424012434</v>
      </c>
      <c r="D639" s="1156">
        <f t="shared" si="169"/>
        <v>9711.0944238858992</v>
      </c>
      <c r="E639" s="1156">
        <f t="shared" si="170"/>
        <v>60694.340149286865</v>
      </c>
      <c r="F639" s="1156">
        <f t="shared" si="171"/>
        <v>655.49887361229821</v>
      </c>
      <c r="G639" s="1156">
        <f t="shared" si="172"/>
        <v>20878.853011354684</v>
      </c>
      <c r="H639" s="827">
        <v>97</v>
      </c>
      <c r="I639" s="1157">
        <f>'Emission-Waste Transport Vehicl'!N81</f>
        <v>12.600880720560001</v>
      </c>
      <c r="J639" s="1157">
        <f>'Emission-Waste Transport Vehicl'!P81</f>
        <v>7.0109200893600008</v>
      </c>
      <c r="K639" s="1157">
        <f>'Emission-Waste Transport Vehicl'!Q81</f>
        <v>5.4448776835200006</v>
      </c>
      <c r="L639" s="1157">
        <f>'Emission-Waste Transport Vehicl'!R81</f>
        <v>0.5419274810400001</v>
      </c>
      <c r="M639" s="1159">
        <f t="shared" si="158"/>
        <v>2208934.093129206</v>
      </c>
      <c r="N639" s="1159">
        <f t="shared" si="164"/>
        <v>122368.34250148156</v>
      </c>
      <c r="O639" s="1159">
        <f t="shared" si="165"/>
        <v>425523.16866308457</v>
      </c>
      <c r="P639" s="1159">
        <f t="shared" si="166"/>
        <v>3569.1111885041</v>
      </c>
      <c r="Q639" s="1159">
        <f t="shared" si="167"/>
        <v>11314.824219447864</v>
      </c>
      <c r="R639" s="2773"/>
    </row>
    <row r="640" spans="1:18" x14ac:dyDescent="0.25">
      <c r="A640" s="2862"/>
      <c r="B640" s="706">
        <v>2068</v>
      </c>
      <c r="C640" s="1134">
        <f t="shared" si="168"/>
        <v>22772516.424012434</v>
      </c>
      <c r="D640" s="1156">
        <f t="shared" si="169"/>
        <v>9711.0944238858992</v>
      </c>
      <c r="E640" s="1156">
        <f t="shared" si="170"/>
        <v>60694.340149286865</v>
      </c>
      <c r="F640" s="1156">
        <f t="shared" si="171"/>
        <v>655.49887361229821</v>
      </c>
      <c r="G640" s="1156">
        <f t="shared" si="172"/>
        <v>20878.853011354684</v>
      </c>
      <c r="H640" s="827">
        <v>97</v>
      </c>
      <c r="I640" s="1157">
        <f>'Emission-Waste Transport Vehicl'!N82</f>
        <v>12.356361689760002</v>
      </c>
      <c r="J640" s="1157">
        <f>'Emission-Waste Transport Vehicl'!P82</f>
        <v>6.8748737745600002</v>
      </c>
      <c r="K640" s="1157">
        <f>'Emission-Waste Transport Vehicl'!Q82</f>
        <v>5.339220289920001</v>
      </c>
      <c r="L640" s="1157">
        <f>'Emission-Waste Transport Vehicl'!R82</f>
        <v>0.53141142384000006</v>
      </c>
      <c r="M640" s="1159">
        <f>(C640/1000)*H640</f>
        <v>2208934.093129206</v>
      </c>
      <c r="N640" s="1159">
        <f t="shared" si="164"/>
        <v>119993.7951049457</v>
      </c>
      <c r="O640" s="1159">
        <f t="shared" si="165"/>
        <v>417265.92735655635</v>
      </c>
      <c r="P640" s="1159">
        <f t="shared" si="166"/>
        <v>3499.8528860104889</v>
      </c>
      <c r="Q640" s="1159">
        <f t="shared" si="167"/>
        <v>11095.261006910066</v>
      </c>
      <c r="R640" s="2773"/>
    </row>
    <row r="641" spans="1:18" ht="15.75" thickBot="1" x14ac:dyDescent="0.3">
      <c r="A641" s="2863"/>
      <c r="B641" s="55">
        <v>2069</v>
      </c>
      <c r="C641" s="1135">
        <f t="shared" si="168"/>
        <v>22772516.424012434</v>
      </c>
      <c r="D641" s="1160">
        <f t="shared" si="169"/>
        <v>9711.0944238858992</v>
      </c>
      <c r="E641" s="1160">
        <f t="shared" si="170"/>
        <v>60694.340149286865</v>
      </c>
      <c r="F641" s="1160">
        <f t="shared" si="171"/>
        <v>655.49887361229821</v>
      </c>
      <c r="G641" s="1160">
        <f t="shared" si="172"/>
        <v>20878.853011354684</v>
      </c>
      <c r="H641" s="1062">
        <v>97</v>
      </c>
      <c r="I641" s="1161">
        <f>'Emission-Waste Transport Vehicl'!N83</f>
        <v>12.111842658960002</v>
      </c>
      <c r="J641" s="1161">
        <f>'Emission-Waste Transport Vehicl'!P83</f>
        <v>6.7388274597600004</v>
      </c>
      <c r="K641" s="1161">
        <f>'Emission-Waste Transport Vehicl'!Q83</f>
        <v>5.2335628963200005</v>
      </c>
      <c r="L641" s="1161">
        <f>'Emission-Waste Transport Vehicl'!R83</f>
        <v>0.52089536664000002</v>
      </c>
      <c r="M641" s="1163">
        <f t="shared" si="158"/>
        <v>2208934.093129206</v>
      </c>
      <c r="N641" s="1163">
        <f t="shared" si="164"/>
        <v>117619.24770840984</v>
      </c>
      <c r="O641" s="1163">
        <f t="shared" si="165"/>
        <v>409008.68605002819</v>
      </c>
      <c r="P641" s="1163">
        <f t="shared" si="166"/>
        <v>3430.5945835168773</v>
      </c>
      <c r="Q641" s="1163">
        <f t="shared" si="167"/>
        <v>10875.697794372267</v>
      </c>
      <c r="R641" s="2774"/>
    </row>
    <row r="642" spans="1:18" x14ac:dyDescent="0.25">
      <c r="A642" s="498"/>
      <c r="B642" s="498"/>
      <c r="C642" s="498"/>
      <c r="D642" s="498"/>
      <c r="E642" s="498"/>
      <c r="F642" s="498"/>
      <c r="G642" s="498"/>
      <c r="H642" s="498"/>
      <c r="I642" s="498"/>
      <c r="J642" s="498"/>
      <c r="K642" s="498"/>
      <c r="L642" s="498"/>
      <c r="M642" s="498"/>
      <c r="N642" s="498"/>
      <c r="O642" s="498"/>
      <c r="P642" s="498"/>
      <c r="Q642" s="498"/>
      <c r="R642" s="498"/>
    </row>
  </sheetData>
  <mergeCells count="47">
    <mergeCell ref="B18:B21"/>
    <mergeCell ref="B22:B23"/>
    <mergeCell ref="H16:L16"/>
    <mergeCell ref="A231:A281"/>
    <mergeCell ref="R231:R281"/>
    <mergeCell ref="B16:B17"/>
    <mergeCell ref="A282:A332"/>
    <mergeCell ref="R282:R332"/>
    <mergeCell ref="A25:R25"/>
    <mergeCell ref="A129:A179"/>
    <mergeCell ref="R129:R179"/>
    <mergeCell ref="A180:A230"/>
    <mergeCell ref="R180:R230"/>
    <mergeCell ref="A27:A77"/>
    <mergeCell ref="R27:R77"/>
    <mergeCell ref="A78:A128"/>
    <mergeCell ref="R78:R128"/>
    <mergeCell ref="A334:R334"/>
    <mergeCell ref="A336:A386"/>
    <mergeCell ref="R336:R386"/>
    <mergeCell ref="A540:A590"/>
    <mergeCell ref="R540:R590"/>
    <mergeCell ref="A591:A641"/>
    <mergeCell ref="R591:R641"/>
    <mergeCell ref="A387:A437"/>
    <mergeCell ref="R387:R437"/>
    <mergeCell ref="A438:A488"/>
    <mergeCell ref="R438:R488"/>
    <mergeCell ref="A489:A539"/>
    <mergeCell ref="R489:R539"/>
    <mergeCell ref="A1:L1"/>
    <mergeCell ref="C5:G5"/>
    <mergeCell ref="A5:A6"/>
    <mergeCell ref="B5:B6"/>
    <mergeCell ref="B7:B10"/>
    <mergeCell ref="W16:AA16"/>
    <mergeCell ref="W5:AA5"/>
    <mergeCell ref="B11:B12"/>
    <mergeCell ref="A3:V4"/>
    <mergeCell ref="R5:V5"/>
    <mergeCell ref="H5:L5"/>
    <mergeCell ref="M5:Q5"/>
    <mergeCell ref="A16:A17"/>
    <mergeCell ref="M16:Q16"/>
    <mergeCell ref="A14:V15"/>
    <mergeCell ref="C16:G16"/>
    <mergeCell ref="R16:V16"/>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ABDA7F-FD57-4419-94DA-DC1BE483B3B5}">
  <dimension ref="A1:AG641"/>
  <sheetViews>
    <sheetView workbookViewId="0">
      <selection activeCell="C5" sqref="C5:G6"/>
    </sheetView>
  </sheetViews>
  <sheetFormatPr defaultRowHeight="15" x14ac:dyDescent="0.25"/>
  <cols>
    <col min="1" max="1" width="55.7109375" style="498" customWidth="1"/>
    <col min="2" max="2" width="18.28515625" style="498" customWidth="1"/>
    <col min="3" max="3" width="16.85546875" style="498" bestFit="1" customWidth="1"/>
    <col min="4" max="4" width="20.28515625" style="498" customWidth="1"/>
    <col min="5" max="5" width="16.42578125" style="498" bestFit="1" customWidth="1"/>
    <col min="6" max="6" width="18" style="498" customWidth="1"/>
    <col min="7" max="7" width="13.85546875" style="498" customWidth="1"/>
    <col min="8" max="8" width="18.28515625" style="498" customWidth="1"/>
    <col min="9" max="9" width="20.28515625" style="498" customWidth="1"/>
    <col min="10" max="10" width="17.28515625" style="498" customWidth="1"/>
    <col min="11" max="11" width="18.7109375" style="498" customWidth="1"/>
    <col min="12" max="17" width="16.42578125" style="498" customWidth="1"/>
    <col min="18" max="18" width="15.42578125" style="498" customWidth="1"/>
    <col min="19" max="20" width="14" style="498" customWidth="1"/>
    <col min="21" max="21" width="13.28515625" style="498" customWidth="1"/>
    <col min="22" max="22" width="12.140625" style="498" customWidth="1"/>
    <col min="23" max="23" width="20" style="498" customWidth="1"/>
    <col min="24" max="16384" width="9.140625" style="498"/>
  </cols>
  <sheetData>
    <row r="1" spans="1:33" ht="61.5" customHeight="1" thickBot="1" x14ac:dyDescent="0.3">
      <c r="A1" s="2627" t="s">
        <v>1912</v>
      </c>
      <c r="B1" s="2628"/>
      <c r="C1" s="2628"/>
      <c r="D1" s="2628"/>
      <c r="E1" s="2628"/>
      <c r="F1" s="2628"/>
      <c r="G1" s="2628"/>
      <c r="H1" s="2628"/>
      <c r="I1" s="2628"/>
      <c r="J1" s="2628"/>
      <c r="K1" s="2628"/>
      <c r="L1" s="2628"/>
      <c r="M1" s="2628"/>
      <c r="N1" s="2628"/>
      <c r="O1" s="2628"/>
      <c r="P1" s="2628"/>
      <c r="Q1" s="2628"/>
      <c r="R1" s="2628"/>
      <c r="S1" s="2628"/>
      <c r="T1" s="2628"/>
      <c r="U1" s="2628"/>
      <c r="V1" s="2629"/>
    </row>
    <row r="2" spans="1:33" ht="15.75" thickBot="1" x14ac:dyDescent="0.3"/>
    <row r="3" spans="1:33" x14ac:dyDescent="0.25">
      <c r="A3" s="2785" t="s">
        <v>1376</v>
      </c>
      <c r="B3" s="2795"/>
      <c r="C3" s="2795"/>
      <c r="D3" s="2795"/>
      <c r="E3" s="2795"/>
      <c r="F3" s="2795"/>
      <c r="G3" s="2795"/>
      <c r="H3" s="2795"/>
      <c r="I3" s="2795"/>
      <c r="J3" s="2795"/>
      <c r="K3" s="2795"/>
      <c r="L3" s="2795"/>
      <c r="M3" s="2795"/>
      <c r="N3" s="2795"/>
      <c r="O3" s="2795"/>
      <c r="P3" s="2795"/>
      <c r="Q3" s="2795"/>
      <c r="R3" s="2795"/>
      <c r="S3" s="2795"/>
      <c r="T3" s="2795"/>
      <c r="U3" s="2795"/>
      <c r="V3" s="2796"/>
      <c r="W3" s="1078"/>
      <c r="X3" s="1078"/>
      <c r="Y3" s="1078"/>
      <c r="Z3" s="1078"/>
      <c r="AA3" s="1078"/>
    </row>
    <row r="4" spans="1:33" ht="28.5" customHeight="1" thickBot="1" x14ac:dyDescent="0.3">
      <c r="A4" s="2791"/>
      <c r="B4" s="2920"/>
      <c r="C4" s="2920"/>
      <c r="D4" s="2920"/>
      <c r="E4" s="2920"/>
      <c r="F4" s="2920"/>
      <c r="G4" s="2920"/>
      <c r="H4" s="2920"/>
      <c r="I4" s="2920"/>
      <c r="J4" s="2920"/>
      <c r="K4" s="2920"/>
      <c r="L4" s="2920"/>
      <c r="M4" s="2920"/>
      <c r="N4" s="2920"/>
      <c r="O4" s="2920"/>
      <c r="P4" s="2920"/>
      <c r="Q4" s="2920"/>
      <c r="R4" s="2920"/>
      <c r="S4" s="2920"/>
      <c r="T4" s="2920"/>
      <c r="U4" s="2920"/>
      <c r="V4" s="2792"/>
      <c r="W4" s="1078"/>
      <c r="X4" s="1078"/>
      <c r="Y4" s="1078"/>
      <c r="Z4" s="1078"/>
      <c r="AA4" s="1078"/>
    </row>
    <row r="5" spans="1:33" ht="37.5" customHeight="1" x14ac:dyDescent="0.25">
      <c r="A5" s="2924" t="s">
        <v>1031</v>
      </c>
      <c r="B5" s="2926" t="s">
        <v>1038</v>
      </c>
      <c r="C5" s="2926" t="s">
        <v>1464</v>
      </c>
      <c r="D5" s="2949"/>
      <c r="E5" s="2949"/>
      <c r="F5" s="2949"/>
      <c r="G5" s="2950"/>
      <c r="H5" s="2926" t="s">
        <v>1533</v>
      </c>
      <c r="I5" s="2949"/>
      <c r="J5" s="2949"/>
      <c r="K5" s="2949"/>
      <c r="L5" s="2950"/>
      <c r="M5" s="2954" t="s">
        <v>1419</v>
      </c>
      <c r="N5" s="2747"/>
      <c r="O5" s="2747"/>
      <c r="P5" s="2747"/>
      <c r="Q5" s="2748"/>
      <c r="R5" s="2746" t="s">
        <v>1401</v>
      </c>
      <c r="S5" s="2747"/>
      <c r="T5" s="2747"/>
      <c r="U5" s="2747"/>
      <c r="V5" s="2748"/>
      <c r="W5" s="2372"/>
      <c r="X5" s="2372"/>
      <c r="Y5" s="2372"/>
      <c r="Z5" s="2372"/>
      <c r="AA5" s="2372"/>
    </row>
    <row r="6" spans="1:33" ht="8.25" customHeight="1" x14ac:dyDescent="0.25">
      <c r="A6" s="2925"/>
      <c r="B6" s="2927"/>
      <c r="C6" s="2927"/>
      <c r="D6" s="2928"/>
      <c r="E6" s="2928"/>
      <c r="F6" s="2928"/>
      <c r="G6" s="2929"/>
      <c r="H6" s="2927"/>
      <c r="I6" s="2928"/>
      <c r="J6" s="2928"/>
      <c r="K6" s="2928"/>
      <c r="L6" s="2929"/>
      <c r="M6" s="2927"/>
      <c r="N6" s="2928"/>
      <c r="O6" s="2928"/>
      <c r="P6" s="2928"/>
      <c r="Q6" s="2929"/>
      <c r="R6" s="2927"/>
      <c r="S6" s="2928"/>
      <c r="T6" s="2928"/>
      <c r="U6" s="2928"/>
      <c r="V6" s="2929"/>
      <c r="W6" s="2372"/>
      <c r="X6" s="2372"/>
      <c r="Y6" s="2372"/>
      <c r="Z6" s="2372"/>
      <c r="AA6" s="2372"/>
    </row>
    <row r="7" spans="1:33" x14ac:dyDescent="0.25">
      <c r="A7" s="1097" t="s">
        <v>1037</v>
      </c>
      <c r="B7" s="2936">
        <f>(' QUICK OVERVIEW- Inputs&amp;Outputs'!$W$14)/1000</f>
        <v>2581.4000008966314</v>
      </c>
      <c r="C7" s="2933">
        <f>-248.9*(((LN(B7))*1000)/(365*24))+3930.2</f>
        <v>3706.9830940863371</v>
      </c>
      <c r="D7" s="2934"/>
      <c r="E7" s="2934"/>
      <c r="F7" s="2934"/>
      <c r="G7" s="2935"/>
      <c r="H7" s="2933">
        <f>((7590*1000)/(453592))*B7</f>
        <v>43194.822675015057</v>
      </c>
      <c r="I7" s="2934"/>
      <c r="J7" s="2934"/>
      <c r="K7" s="2934"/>
      <c r="L7" s="2935"/>
      <c r="M7" s="2933">
        <f>((7590*1000)/(453592))*B7</f>
        <v>43194.822675015057</v>
      </c>
      <c r="N7" s="2934"/>
      <c r="O7" s="2934"/>
      <c r="P7" s="2934"/>
      <c r="Q7" s="2935"/>
      <c r="R7" s="2933">
        <f>((C7+H7)-M7)*B7/(2.2)</f>
        <v>4349639.1647264874</v>
      </c>
      <c r="S7" s="2934"/>
      <c r="T7" s="2934"/>
      <c r="U7" s="2934"/>
      <c r="V7" s="2935"/>
      <c r="W7" s="2955"/>
      <c r="X7" s="2955"/>
      <c r="Y7" s="2955"/>
      <c r="Z7" s="2955"/>
      <c r="AA7" s="2955"/>
    </row>
    <row r="8" spans="1:33" x14ac:dyDescent="0.25">
      <c r="A8" s="1097" t="s">
        <v>1036</v>
      </c>
      <c r="B8" s="2902"/>
      <c r="C8" s="2933">
        <f>-562.9*(LN(B7)/(365*24))+7218.3</f>
        <v>7217.7951836225848</v>
      </c>
      <c r="D8" s="2934"/>
      <c r="E8" s="2934"/>
      <c r="F8" s="2934"/>
      <c r="G8" s="2935"/>
      <c r="H8" s="2933">
        <f>((7590*1000)/(453592))*B7</f>
        <v>43194.822675015057</v>
      </c>
      <c r="I8" s="2934"/>
      <c r="J8" s="2934"/>
      <c r="K8" s="2934"/>
      <c r="L8" s="2935"/>
      <c r="M8" s="2933">
        <f>((7590*1000)/(453592))*B7</f>
        <v>43194.822675015057</v>
      </c>
      <c r="N8" s="2934"/>
      <c r="O8" s="2934"/>
      <c r="P8" s="2934"/>
      <c r="Q8" s="2935"/>
      <c r="R8" s="2933">
        <f>((C8+H8)-M8)*B7/(2.2)</f>
        <v>8469098.4061250165</v>
      </c>
      <c r="S8" s="2934"/>
      <c r="T8" s="2934"/>
      <c r="U8" s="2934"/>
      <c r="V8" s="2935"/>
      <c r="W8" s="2955"/>
      <c r="X8" s="2955"/>
      <c r="Y8" s="2955"/>
      <c r="Z8" s="2955"/>
      <c r="AA8" s="2955"/>
    </row>
    <row r="9" spans="1:33" x14ac:dyDescent="0.25">
      <c r="A9" s="1097" t="s">
        <v>1035</v>
      </c>
      <c r="B9" s="2902"/>
      <c r="C9" s="2946">
        <f>-328.5*((LN(B7))*1000)/(365*24) + 4575.7</f>
        <v>4281.0967312469338</v>
      </c>
      <c r="D9" s="2947"/>
      <c r="E9" s="2947"/>
      <c r="F9" s="2947"/>
      <c r="G9" s="2948"/>
      <c r="H9" s="2946">
        <f>((7590*1000)/(453592))*B7</f>
        <v>43194.822675015057</v>
      </c>
      <c r="I9" s="2947"/>
      <c r="J9" s="2947"/>
      <c r="K9" s="2947"/>
      <c r="L9" s="2948"/>
      <c r="M9" s="2933">
        <f>((7590*1000)/(453592))*B7</f>
        <v>43194.822675015057</v>
      </c>
      <c r="N9" s="2934"/>
      <c r="O9" s="2934"/>
      <c r="P9" s="2934"/>
      <c r="Q9" s="2935"/>
      <c r="R9" s="2933">
        <f>((C9+H9)-M9)*B7/(2.2)</f>
        <v>5023283.2299451847</v>
      </c>
      <c r="S9" s="2934"/>
      <c r="T9" s="2934"/>
      <c r="U9" s="2934"/>
      <c r="V9" s="2935"/>
      <c r="W9" s="2955"/>
      <c r="X9" s="2955"/>
      <c r="Y9" s="2955"/>
      <c r="Z9" s="2955"/>
      <c r="AA9" s="2955"/>
    </row>
    <row r="10" spans="1:33" ht="15.75" thickBot="1" x14ac:dyDescent="0.3">
      <c r="A10" s="1097" t="s">
        <v>1034</v>
      </c>
      <c r="B10" s="2937"/>
      <c r="C10" s="2946">
        <f>1451</f>
        <v>1451</v>
      </c>
      <c r="D10" s="2947"/>
      <c r="E10" s="2947"/>
      <c r="F10" s="2947"/>
      <c r="G10" s="2948"/>
      <c r="H10" s="2946">
        <f>((7590*1000)/(453592))*B7</f>
        <v>43194.822675015057</v>
      </c>
      <c r="I10" s="2947"/>
      <c r="J10" s="2947"/>
      <c r="K10" s="2947"/>
      <c r="L10" s="2948"/>
      <c r="M10" s="2933">
        <f>((7590*1000)/(453592))*B7</f>
        <v>43194.822675015057</v>
      </c>
      <c r="N10" s="2934"/>
      <c r="O10" s="2934"/>
      <c r="P10" s="2934"/>
      <c r="Q10" s="2935"/>
      <c r="R10" s="2933">
        <f>((C10+H10)-M10)*B7/(2.2)</f>
        <v>1702550.6369550053</v>
      </c>
      <c r="S10" s="2934"/>
      <c r="T10" s="2934"/>
      <c r="U10" s="2934"/>
      <c r="V10" s="2935"/>
      <c r="W10" s="2955"/>
      <c r="X10" s="2955"/>
      <c r="Y10" s="2955"/>
      <c r="Z10" s="2955"/>
      <c r="AA10" s="2955"/>
    </row>
    <row r="11" spans="1:33" x14ac:dyDescent="0.25">
      <c r="A11" s="1903" t="s">
        <v>1826</v>
      </c>
      <c r="B11" s="2936">
        <f>' QUICK OVERVIEW- Inputs&amp;Outputs'!W12/1000000</f>
        <v>30111.920694219847</v>
      </c>
      <c r="C11" s="2946">
        <v>122</v>
      </c>
      <c r="D11" s="2947"/>
      <c r="E11" s="2947"/>
      <c r="F11" s="2947"/>
      <c r="G11" s="2948"/>
      <c r="H11" s="2946" t="s">
        <v>897</v>
      </c>
      <c r="I11" s="2947"/>
      <c r="J11" s="2947"/>
      <c r="K11" s="2947"/>
      <c r="L11" s="2948"/>
      <c r="M11" s="2933" t="s">
        <v>897</v>
      </c>
      <c r="N11" s="2934"/>
      <c r="O11" s="2934"/>
      <c r="P11" s="2934"/>
      <c r="Q11" s="2935"/>
      <c r="R11" s="2933">
        <f>((C11)*B11/(2.2))</f>
        <v>1669842.8748612823</v>
      </c>
      <c r="S11" s="2934"/>
      <c r="T11" s="2934"/>
      <c r="U11" s="2934"/>
      <c r="V11" s="2935"/>
      <c r="W11" s="2955"/>
      <c r="X11" s="2955"/>
      <c r="Y11" s="2955"/>
      <c r="Z11" s="2955"/>
      <c r="AA11" s="2955"/>
    </row>
    <row r="12" spans="1:33" ht="15.75" thickBot="1" x14ac:dyDescent="0.3">
      <c r="A12" s="1574" t="s">
        <v>1827</v>
      </c>
      <c r="B12" s="2938"/>
      <c r="C12" s="2965">
        <v>101</v>
      </c>
      <c r="D12" s="2966"/>
      <c r="E12" s="2966"/>
      <c r="F12" s="2966"/>
      <c r="G12" s="2967"/>
      <c r="H12" s="2965" t="s">
        <v>897</v>
      </c>
      <c r="I12" s="2966"/>
      <c r="J12" s="2966"/>
      <c r="K12" s="2966"/>
      <c r="L12" s="2967"/>
      <c r="M12" s="2963" t="s">
        <v>897</v>
      </c>
      <c r="N12" s="2964"/>
      <c r="O12" s="2964"/>
      <c r="P12" s="2964"/>
      <c r="Q12" s="2968"/>
      <c r="R12" s="2963">
        <f>((C12)*B11/(2.2))</f>
        <v>1382410.9045982747</v>
      </c>
      <c r="S12" s="2964"/>
      <c r="T12" s="2964"/>
      <c r="U12" s="2964"/>
      <c r="V12" s="2968"/>
      <c r="W12" s="2955"/>
      <c r="X12" s="2955"/>
      <c r="Y12" s="2955"/>
      <c r="Z12" s="2955"/>
      <c r="AA12" s="2955"/>
    </row>
    <row r="13" spans="1:33" ht="15.75" thickBot="1" x14ac:dyDescent="0.3">
      <c r="A13" s="1045"/>
      <c r="B13" s="994"/>
      <c r="C13" s="1184"/>
      <c r="D13" s="1184"/>
      <c r="E13" s="1184"/>
      <c r="F13" s="1184"/>
      <c r="G13" s="1184"/>
      <c r="H13" s="995"/>
      <c r="I13" s="995"/>
      <c r="J13" s="995"/>
      <c r="K13" s="995"/>
      <c r="L13" s="1246"/>
      <c r="M13" s="995"/>
      <c r="N13" s="995"/>
      <c r="O13" s="995"/>
      <c r="P13" s="995"/>
      <c r="Q13" s="995"/>
    </row>
    <row r="14" spans="1:33" x14ac:dyDescent="0.25">
      <c r="A14" s="2893" t="s">
        <v>1380</v>
      </c>
      <c r="B14" s="2894"/>
      <c r="C14" s="2894"/>
      <c r="D14" s="2894"/>
      <c r="E14" s="2894"/>
      <c r="F14" s="2894"/>
      <c r="G14" s="2894"/>
      <c r="H14" s="2894"/>
      <c r="I14" s="2894"/>
      <c r="J14" s="2894"/>
      <c r="K14" s="2894"/>
      <c r="L14" s="2894"/>
      <c r="M14" s="2894"/>
      <c r="N14" s="2894"/>
      <c r="O14" s="2894"/>
      <c r="P14" s="2894"/>
      <c r="Q14" s="2894"/>
      <c r="R14" s="2894"/>
      <c r="S14" s="2894"/>
      <c r="T14" s="2894"/>
      <c r="U14" s="2894"/>
      <c r="V14" s="2895"/>
      <c r="W14" s="251"/>
      <c r="X14" s="251"/>
      <c r="Y14" s="251"/>
      <c r="Z14" s="251"/>
      <c r="AA14" s="251"/>
    </row>
    <row r="15" spans="1:33" ht="27.75" customHeight="1" thickBot="1" x14ac:dyDescent="0.3">
      <c r="A15" s="2896"/>
      <c r="B15" s="2897"/>
      <c r="C15" s="2897"/>
      <c r="D15" s="2897"/>
      <c r="E15" s="2897"/>
      <c r="F15" s="2897"/>
      <c r="G15" s="2897"/>
      <c r="H15" s="2897"/>
      <c r="I15" s="2897"/>
      <c r="J15" s="2897"/>
      <c r="K15" s="2897"/>
      <c r="L15" s="2897"/>
      <c r="M15" s="2897"/>
      <c r="N15" s="2897"/>
      <c r="O15" s="2897"/>
      <c r="P15" s="2897"/>
      <c r="Q15" s="2897"/>
      <c r="R15" s="2897"/>
      <c r="S15" s="2897"/>
      <c r="T15" s="2897"/>
      <c r="U15" s="2897"/>
      <c r="V15" s="2898"/>
      <c r="W15" s="251"/>
      <c r="X15" s="251"/>
      <c r="Y15" s="251"/>
      <c r="Z15" s="251"/>
      <c r="AA15" s="251"/>
      <c r="AB15" s="1186"/>
      <c r="AC15" s="1186"/>
      <c r="AD15" s="1186"/>
      <c r="AE15" s="1186"/>
      <c r="AF15" s="1186"/>
      <c r="AG15" s="1088"/>
    </row>
    <row r="16" spans="1:33" x14ac:dyDescent="0.25">
      <c r="A16" s="2891" t="s">
        <v>1031</v>
      </c>
      <c r="B16" s="2951" t="s">
        <v>1038</v>
      </c>
      <c r="C16" s="2951" t="s">
        <v>1381</v>
      </c>
      <c r="D16" s="2942"/>
      <c r="E16" s="2942"/>
      <c r="F16" s="2942"/>
      <c r="G16" s="2943"/>
      <c r="H16" s="2951" t="s">
        <v>1379</v>
      </c>
      <c r="I16" s="2942"/>
      <c r="J16" s="2942"/>
      <c r="K16" s="2942"/>
      <c r="L16" s="2943"/>
      <c r="M16" s="2954" t="s">
        <v>1419</v>
      </c>
      <c r="N16" s="2747"/>
      <c r="O16" s="2747"/>
      <c r="P16" s="2747"/>
      <c r="Q16" s="2747"/>
      <c r="R16" s="2941" t="s">
        <v>1401</v>
      </c>
      <c r="S16" s="2942"/>
      <c r="T16" s="2942"/>
      <c r="U16" s="2942"/>
      <c r="V16" s="2943"/>
      <c r="W16" s="2372"/>
      <c r="X16" s="2372"/>
      <c r="Y16" s="2372"/>
      <c r="Z16" s="2372"/>
      <c r="AA16" s="2372"/>
      <c r="AC16" s="974"/>
      <c r="AD16" s="974"/>
      <c r="AE16" s="520"/>
      <c r="AF16" s="974"/>
      <c r="AG16" s="974"/>
    </row>
    <row r="17" spans="1:33" ht="15.75" thickBot="1" x14ac:dyDescent="0.3">
      <c r="A17" s="2980"/>
      <c r="B17" s="2944"/>
      <c r="C17" s="2944"/>
      <c r="D17" s="2372"/>
      <c r="E17" s="2372"/>
      <c r="F17" s="2372"/>
      <c r="G17" s="2945"/>
      <c r="H17" s="2944"/>
      <c r="I17" s="2372"/>
      <c r="J17" s="2372"/>
      <c r="K17" s="2372"/>
      <c r="L17" s="2945"/>
      <c r="M17" s="2927"/>
      <c r="N17" s="2928"/>
      <c r="O17" s="2928"/>
      <c r="P17" s="2928"/>
      <c r="Q17" s="2928"/>
      <c r="R17" s="2944"/>
      <c r="S17" s="2372"/>
      <c r="T17" s="2372"/>
      <c r="U17" s="2372"/>
      <c r="V17" s="2945"/>
      <c r="W17" s="2372"/>
      <c r="X17" s="2372"/>
      <c r="Y17" s="2372"/>
      <c r="Z17" s="2372"/>
      <c r="AA17" s="2372"/>
      <c r="AC17" s="974"/>
      <c r="AD17" s="974"/>
      <c r="AE17" s="1193"/>
      <c r="AF17" s="974"/>
      <c r="AG17" s="974"/>
    </row>
    <row r="18" spans="1:33" x14ac:dyDescent="0.25">
      <c r="A18" s="1185" t="s">
        <v>1037</v>
      </c>
      <c r="B18" s="2978">
        <f>((' QUICK OVERVIEW- Inputs&amp;Outputs'!$W$14)/1000)*0.5</f>
        <v>1290.7000004483157</v>
      </c>
      <c r="C18" s="2952">
        <f>938</f>
        <v>938</v>
      </c>
      <c r="D18" s="2953"/>
      <c r="E18" s="2953"/>
      <c r="F18" s="2953"/>
      <c r="G18" s="2979"/>
      <c r="H18" s="2952">
        <f>938*(2.4+4.75/100)</f>
        <v>2295.7549999999997</v>
      </c>
      <c r="I18" s="2953"/>
      <c r="J18" s="2953"/>
      <c r="K18" s="2953"/>
      <c r="L18" s="2953"/>
      <c r="M18" s="2975">
        <f>((7590*1000)/(453592))*B7</f>
        <v>43194.822675015057</v>
      </c>
      <c r="N18" s="2976"/>
      <c r="O18" s="2976"/>
      <c r="P18" s="2976"/>
      <c r="Q18" s="2976"/>
      <c r="R18" s="2930">
        <f>(((C18+H18)-(M18))*B18)/(2.2)</f>
        <v>-23444431.848207776</v>
      </c>
      <c r="S18" s="2931"/>
      <c r="T18" s="2931"/>
      <c r="U18" s="2931"/>
      <c r="V18" s="2932"/>
      <c r="W18" s="2955"/>
      <c r="X18" s="2955"/>
      <c r="Y18" s="2955"/>
      <c r="Z18" s="2955"/>
      <c r="AA18" s="2955"/>
      <c r="AC18" s="974"/>
      <c r="AD18" s="974"/>
      <c r="AE18" s="1193"/>
      <c r="AF18" s="974"/>
      <c r="AG18" s="974"/>
    </row>
    <row r="19" spans="1:33" x14ac:dyDescent="0.25">
      <c r="A19" s="1097" t="s">
        <v>1036</v>
      </c>
      <c r="B19" s="2902"/>
      <c r="C19" s="2933">
        <f>938</f>
        <v>938</v>
      </c>
      <c r="D19" s="2934"/>
      <c r="E19" s="2934"/>
      <c r="F19" s="2934"/>
      <c r="G19" s="2935"/>
      <c r="H19" s="2933">
        <f>938*(2.4+4.75/100)</f>
        <v>2295.7549999999997</v>
      </c>
      <c r="I19" s="2934"/>
      <c r="J19" s="2934"/>
      <c r="K19" s="2934"/>
      <c r="L19" s="2934"/>
      <c r="M19" s="2933">
        <f>((7590*1000)/(453592))*B7</f>
        <v>43194.822675015057</v>
      </c>
      <c r="N19" s="2934"/>
      <c r="O19" s="2934"/>
      <c r="P19" s="2934"/>
      <c r="Q19" s="2934"/>
      <c r="R19" s="2930">
        <f>(((C19+H19)-(M19))*B18)/(2.2)</f>
        <v>-23444431.848207776</v>
      </c>
      <c r="S19" s="2931"/>
      <c r="T19" s="2931"/>
      <c r="U19" s="2931"/>
      <c r="V19" s="2932"/>
      <c r="W19" s="2955"/>
      <c r="X19" s="2955"/>
      <c r="Y19" s="2955"/>
      <c r="Z19" s="2955"/>
      <c r="AA19" s="2955"/>
      <c r="AC19" s="974"/>
      <c r="AD19" s="974"/>
      <c r="AE19" s="1193"/>
      <c r="AF19" s="974"/>
      <c r="AG19" s="974"/>
    </row>
    <row r="20" spans="1:33" x14ac:dyDescent="0.25">
      <c r="A20" s="1097" t="s">
        <v>1035</v>
      </c>
      <c r="B20" s="2902"/>
      <c r="C20" s="2933">
        <f>938</f>
        <v>938</v>
      </c>
      <c r="D20" s="2934"/>
      <c r="E20" s="2934"/>
      <c r="F20" s="2934"/>
      <c r="G20" s="2935"/>
      <c r="H20" s="2933">
        <f>938*(4.4+4.75/100)</f>
        <v>4171.755000000001</v>
      </c>
      <c r="I20" s="2934"/>
      <c r="J20" s="2934"/>
      <c r="K20" s="2934"/>
      <c r="L20" s="2934"/>
      <c r="M20" s="2933">
        <f>((7590*1000)/(453592))*B7</f>
        <v>43194.822675015057</v>
      </c>
      <c r="N20" s="2934"/>
      <c r="O20" s="2934"/>
      <c r="P20" s="2934"/>
      <c r="Q20" s="2934"/>
      <c r="R20" s="2930">
        <f>(((C20+H20)-(M20))*B18)/(2.2)</f>
        <v>-22343816.756916393</v>
      </c>
      <c r="S20" s="2931"/>
      <c r="T20" s="2931"/>
      <c r="U20" s="2931"/>
      <c r="V20" s="2932"/>
      <c r="W20" s="2955"/>
      <c r="X20" s="2955"/>
      <c r="Y20" s="2955"/>
      <c r="Z20" s="2955"/>
      <c r="AA20" s="2955"/>
      <c r="AC20" s="974"/>
      <c r="AD20" s="974"/>
      <c r="AE20" s="1193"/>
      <c r="AF20" s="974"/>
      <c r="AG20" s="974"/>
    </row>
    <row r="21" spans="1:33" ht="15.75" thickBot="1" x14ac:dyDescent="0.3">
      <c r="A21" s="1099" t="s">
        <v>1034</v>
      </c>
      <c r="B21" s="2938"/>
      <c r="C21" s="2963">
        <f>938</f>
        <v>938</v>
      </c>
      <c r="D21" s="2964"/>
      <c r="E21" s="2964"/>
      <c r="F21" s="2964"/>
      <c r="G21" s="2968"/>
      <c r="H21" s="2963">
        <f>938*(2+4.75/100)</f>
        <v>1920.5549999999998</v>
      </c>
      <c r="I21" s="2964"/>
      <c r="J21" s="2964"/>
      <c r="K21" s="2964"/>
      <c r="L21" s="2964"/>
      <c r="M21" s="2939">
        <f>((7590*1000)/(453592))*B7</f>
        <v>43194.822675015057</v>
      </c>
      <c r="N21" s="2940"/>
      <c r="O21" s="2940"/>
      <c r="P21" s="2940"/>
      <c r="Q21" s="2940"/>
      <c r="R21" s="2960">
        <f>(((C21+H21)-(M21))*B18)/(2.2)</f>
        <v>-23664554.866466049</v>
      </c>
      <c r="S21" s="2961"/>
      <c r="T21" s="2961"/>
      <c r="U21" s="2961"/>
      <c r="V21" s="2962"/>
      <c r="W21" s="2955"/>
      <c r="X21" s="2955"/>
      <c r="Y21" s="2955"/>
      <c r="Z21" s="2955"/>
      <c r="AA21" s="2955"/>
      <c r="AC21" s="974"/>
      <c r="AD21" s="974"/>
      <c r="AE21" s="1193"/>
      <c r="AF21" s="974"/>
      <c r="AG21" s="974"/>
    </row>
    <row r="22" spans="1:33" x14ac:dyDescent="0.25">
      <c r="A22" s="1903" t="s">
        <v>1826</v>
      </c>
      <c r="B22" s="2902">
        <f>(' QUICK OVERVIEW- Inputs&amp;Outputs'!W12/1000000)*0.5</f>
        <v>15055.960347109924</v>
      </c>
      <c r="C22" s="2975">
        <v>938</v>
      </c>
      <c r="D22" s="2976"/>
      <c r="E22" s="2976"/>
      <c r="F22" s="2976"/>
      <c r="G22" s="2977"/>
      <c r="H22" s="2975">
        <f>938*(2+4.75/100)</f>
        <v>1920.5549999999998</v>
      </c>
      <c r="I22" s="2976"/>
      <c r="J22" s="2976"/>
      <c r="K22" s="2976"/>
      <c r="L22" s="2977"/>
      <c r="M22" s="2952" t="s">
        <v>897</v>
      </c>
      <c r="N22" s="2953"/>
      <c r="O22" s="2953"/>
      <c r="P22" s="2953"/>
      <c r="Q22" s="2953"/>
      <c r="R22" s="2969">
        <f>(((C22+H22))*B22)/(2.2)</f>
        <v>19562859.422742181</v>
      </c>
      <c r="S22" s="2970"/>
      <c r="T22" s="2970"/>
      <c r="U22" s="2970"/>
      <c r="V22" s="2971"/>
      <c r="W22" s="2955"/>
      <c r="X22" s="2955"/>
      <c r="Y22" s="2955"/>
      <c r="Z22" s="2955"/>
      <c r="AA22" s="2955"/>
      <c r="AC22" s="974"/>
      <c r="AD22" s="974"/>
      <c r="AE22" s="1193"/>
      <c r="AF22" s="974"/>
      <c r="AG22" s="974"/>
    </row>
    <row r="23" spans="1:33" ht="15.75" thickBot="1" x14ac:dyDescent="0.3">
      <c r="A23" s="1574" t="s">
        <v>1827</v>
      </c>
      <c r="B23" s="2938"/>
      <c r="C23" s="2963">
        <v>938</v>
      </c>
      <c r="D23" s="2964"/>
      <c r="E23" s="2964"/>
      <c r="F23" s="2964"/>
      <c r="G23" s="2968"/>
      <c r="H23" s="2963">
        <f>938*(2.5+4.75/100)</f>
        <v>2389.5549999999998</v>
      </c>
      <c r="I23" s="2964"/>
      <c r="J23" s="2964"/>
      <c r="K23" s="2964"/>
      <c r="L23" s="2968"/>
      <c r="M23" s="2963" t="s">
        <v>897</v>
      </c>
      <c r="N23" s="2964"/>
      <c r="O23" s="2964"/>
      <c r="P23" s="2964"/>
      <c r="Q23" s="2964"/>
      <c r="R23" s="2972">
        <f>(((C23+H23))*B22)/(2.2)</f>
        <v>22772516.424012434</v>
      </c>
      <c r="S23" s="2973"/>
      <c r="T23" s="2973"/>
      <c r="U23" s="2973"/>
      <c r="V23" s="2974"/>
      <c r="W23" s="2955"/>
      <c r="X23" s="2955"/>
      <c r="Y23" s="2955"/>
      <c r="Z23" s="2955"/>
      <c r="AA23" s="2955"/>
      <c r="AC23" s="974"/>
      <c r="AD23" s="974"/>
      <c r="AE23" s="1193"/>
      <c r="AF23" s="974"/>
      <c r="AG23" s="974"/>
    </row>
    <row r="24" spans="1:33" ht="15.75" thickBot="1" x14ac:dyDescent="0.3">
      <c r="A24" s="1045"/>
      <c r="B24" s="994"/>
      <c r="C24" s="995"/>
      <c r="D24" s="995"/>
      <c r="E24" s="995"/>
      <c r="F24" s="995"/>
      <c r="G24" s="995"/>
      <c r="H24" s="995"/>
      <c r="I24" s="995"/>
      <c r="J24" s="995"/>
      <c r="K24" s="995"/>
      <c r="L24" s="1246"/>
      <c r="M24" s="995"/>
      <c r="N24" s="995"/>
      <c r="O24" s="995"/>
      <c r="P24" s="995"/>
      <c r="Q24" s="995"/>
      <c r="R24" s="1191"/>
      <c r="S24" s="1191"/>
      <c r="T24" s="1191"/>
      <c r="U24" s="1191"/>
      <c r="V24" s="1191"/>
      <c r="W24" s="1358"/>
      <c r="X24" s="1190"/>
      <c r="Y24" s="1088"/>
      <c r="Z24" s="1088"/>
      <c r="AA24" s="1191"/>
      <c r="AB24" s="974"/>
      <c r="AC24" s="974"/>
      <c r="AD24" s="974"/>
      <c r="AE24" s="1193"/>
      <c r="AF24" s="974"/>
      <c r="AG24" s="974"/>
    </row>
    <row r="25" spans="1:33" ht="48.75" customHeight="1" thickBot="1" x14ac:dyDescent="0.3">
      <c r="A25" s="2788" t="s">
        <v>1420</v>
      </c>
      <c r="B25" s="2910"/>
      <c r="C25" s="2910"/>
      <c r="D25" s="2910"/>
      <c r="E25" s="2910"/>
      <c r="F25" s="2911"/>
      <c r="G25" s="1186"/>
      <c r="H25" s="1186"/>
      <c r="I25" s="1186"/>
      <c r="J25" s="1186"/>
      <c r="K25" s="1186"/>
      <c r="L25" s="1186"/>
      <c r="M25" s="1186"/>
      <c r="N25" s="1186"/>
      <c r="O25" s="1186"/>
      <c r="P25" s="1186"/>
      <c r="Q25" s="1186"/>
      <c r="R25" s="1191"/>
      <c r="S25" s="1191"/>
      <c r="T25" s="1191"/>
      <c r="U25" s="1191"/>
      <c r="V25" s="1191"/>
      <c r="W25" s="1358"/>
      <c r="X25" s="1190"/>
      <c r="Y25" s="1088"/>
      <c r="Z25" s="1088"/>
      <c r="AA25" s="1191"/>
      <c r="AB25" s="974"/>
      <c r="AC25" s="974"/>
      <c r="AD25" s="974"/>
      <c r="AE25" s="1193"/>
      <c r="AF25" s="974"/>
      <c r="AG25" s="974"/>
    </row>
    <row r="26" spans="1:33" ht="66.75" thickBot="1" x14ac:dyDescent="0.3">
      <c r="A26" s="1009" t="s">
        <v>28</v>
      </c>
      <c r="B26" s="1102" t="s">
        <v>177</v>
      </c>
      <c r="C26" s="1010" t="s">
        <v>1193</v>
      </c>
      <c r="D26" s="128" t="s">
        <v>272</v>
      </c>
      <c r="E26" s="262" t="s">
        <v>1117</v>
      </c>
      <c r="F26" s="1187" t="s">
        <v>316</v>
      </c>
      <c r="G26" s="520"/>
      <c r="H26" s="98"/>
      <c r="I26" s="98"/>
      <c r="J26" s="98"/>
      <c r="K26" s="98"/>
      <c r="L26" s="98"/>
      <c r="M26" s="98"/>
      <c r="N26" s="98"/>
      <c r="O26" s="98"/>
      <c r="P26" s="98"/>
      <c r="Q26" s="98"/>
      <c r="R26" s="1191"/>
      <c r="S26" s="1191"/>
      <c r="T26" s="1191"/>
      <c r="U26" s="1191"/>
      <c r="V26" s="1191"/>
      <c r="W26" s="1358"/>
      <c r="X26" s="1190"/>
      <c r="Y26" s="1088"/>
      <c r="Z26" s="1088"/>
      <c r="AA26" s="1191"/>
      <c r="AB26" s="974"/>
      <c r="AC26" s="974"/>
      <c r="AD26" s="974"/>
      <c r="AE26" s="1193"/>
      <c r="AF26" s="974"/>
      <c r="AG26" s="974"/>
    </row>
    <row r="27" spans="1:33" x14ac:dyDescent="0.25">
      <c r="A27" s="2912" t="s">
        <v>1078</v>
      </c>
      <c r="B27" s="881">
        <v>2019</v>
      </c>
      <c r="C27" s="1133">
        <f>R7</f>
        <v>4349639.1647264874</v>
      </c>
      <c r="D27" s="1056">
        <v>62</v>
      </c>
      <c r="E27" s="1153">
        <f>(C27/1000)*D27</f>
        <v>269677.62821304222</v>
      </c>
      <c r="F27" s="2921">
        <f>SUM(E27:E77)*1.2682</f>
        <v>24243753.448363449</v>
      </c>
      <c r="G27" s="1188"/>
      <c r="H27" s="1189"/>
      <c r="I27" s="1190"/>
      <c r="J27" s="1190"/>
      <c r="K27" s="1190"/>
      <c r="L27" s="1190"/>
      <c r="M27" s="1190"/>
      <c r="N27" s="1190"/>
      <c r="O27" s="1190"/>
      <c r="P27" s="1190"/>
      <c r="Q27" s="1190"/>
      <c r="R27" s="1191"/>
      <c r="S27" s="1191"/>
      <c r="T27" s="1191"/>
      <c r="U27" s="1191"/>
      <c r="V27" s="1191"/>
      <c r="W27" s="1358"/>
      <c r="X27" s="1190"/>
      <c r="Y27" s="1088"/>
      <c r="Z27" s="1088"/>
      <c r="AA27" s="1191"/>
      <c r="AB27" s="974"/>
      <c r="AC27" s="974"/>
      <c r="AD27" s="974"/>
      <c r="AE27" s="1193"/>
      <c r="AF27" s="974"/>
      <c r="AG27" s="974"/>
    </row>
    <row r="28" spans="1:33" x14ac:dyDescent="0.25">
      <c r="A28" s="2913"/>
      <c r="B28" s="775">
        <v>2020</v>
      </c>
      <c r="C28" s="1134">
        <f>R7</f>
        <v>4349639.1647264874</v>
      </c>
      <c r="D28" s="827">
        <v>64</v>
      </c>
      <c r="E28" s="1156">
        <f t="shared" ref="E28:E77" si="0">(C28/1000)*D28</f>
        <v>278376.90654249518</v>
      </c>
      <c r="F28" s="2922"/>
      <c r="G28" s="1188"/>
      <c r="H28" s="1189"/>
      <c r="I28" s="1190"/>
      <c r="J28" s="1190"/>
      <c r="K28" s="1190"/>
      <c r="L28" s="1190"/>
      <c r="M28" s="1190"/>
      <c r="N28" s="1190"/>
      <c r="O28" s="1190"/>
      <c r="P28" s="1190"/>
      <c r="Q28" s="1190"/>
      <c r="R28" s="1191"/>
      <c r="S28" s="1191"/>
      <c r="T28" s="1191"/>
      <c r="U28" s="1191"/>
      <c r="V28" s="1191"/>
      <c r="W28" s="1251"/>
      <c r="X28" s="1192"/>
      <c r="Y28" s="974"/>
      <c r="Z28" s="974"/>
      <c r="AA28" s="1193"/>
      <c r="AB28" s="974"/>
      <c r="AC28" s="974"/>
      <c r="AD28" s="974"/>
      <c r="AE28" s="1193"/>
      <c r="AF28" s="974"/>
      <c r="AG28" s="974"/>
    </row>
    <row r="29" spans="1:33" x14ac:dyDescent="0.25">
      <c r="A29" s="2913"/>
      <c r="B29" s="775">
        <v>2021</v>
      </c>
      <c r="C29" s="1134">
        <f>R7</f>
        <v>4349639.1647264874</v>
      </c>
      <c r="D29" s="827">
        <v>65</v>
      </c>
      <c r="E29" s="1156">
        <f t="shared" si="0"/>
        <v>282726.54570722167</v>
      </c>
      <c r="F29" s="2922"/>
      <c r="G29" s="1188"/>
      <c r="H29" s="1189"/>
      <c r="I29" s="1190"/>
      <c r="J29" s="1190"/>
      <c r="K29" s="1190"/>
      <c r="L29" s="1190"/>
      <c r="M29" s="1190"/>
      <c r="N29" s="1190"/>
      <c r="O29" s="1190"/>
      <c r="P29" s="1190"/>
      <c r="Q29" s="1190"/>
      <c r="R29" s="1191"/>
      <c r="S29" s="1191"/>
      <c r="T29" s="1191"/>
      <c r="U29" s="1191"/>
      <c r="V29" s="1191"/>
      <c r="W29" s="1251"/>
      <c r="X29" s="1192"/>
      <c r="Y29" s="974"/>
      <c r="Z29" s="974"/>
      <c r="AA29" s="1193"/>
      <c r="AB29" s="974"/>
      <c r="AC29" s="974"/>
      <c r="AD29" s="974"/>
      <c r="AE29" s="1193"/>
      <c r="AF29" s="974"/>
      <c r="AG29" s="974"/>
    </row>
    <row r="30" spans="1:33" x14ac:dyDescent="0.25">
      <c r="A30" s="2913"/>
      <c r="B30" s="775">
        <v>2022</v>
      </c>
      <c r="C30" s="1134">
        <f>R7</f>
        <v>4349639.1647264874</v>
      </c>
      <c r="D30" s="827">
        <v>66</v>
      </c>
      <c r="E30" s="1156">
        <f t="shared" si="0"/>
        <v>287076.18487194815</v>
      </c>
      <c r="F30" s="2922"/>
      <c r="G30" s="1188"/>
      <c r="H30" s="1189"/>
      <c r="I30" s="1190"/>
      <c r="J30" s="1190"/>
      <c r="K30" s="1190"/>
      <c r="L30" s="1190"/>
      <c r="M30" s="1190"/>
      <c r="N30" s="1190"/>
      <c r="O30" s="1190"/>
      <c r="P30" s="1190"/>
      <c r="Q30" s="1190"/>
      <c r="R30" s="1191"/>
      <c r="S30" s="1191"/>
      <c r="T30" s="1191"/>
      <c r="U30" s="1191"/>
      <c r="V30" s="1191"/>
      <c r="W30" s="1251"/>
      <c r="X30" s="1192"/>
      <c r="Y30" s="974"/>
      <c r="Z30" s="974"/>
      <c r="AA30" s="1193"/>
      <c r="AB30" s="974"/>
      <c r="AC30" s="974"/>
      <c r="AD30" s="974"/>
      <c r="AE30" s="1193"/>
      <c r="AF30" s="974"/>
      <c r="AG30" s="974"/>
    </row>
    <row r="31" spans="1:33" x14ac:dyDescent="0.25">
      <c r="A31" s="2913"/>
      <c r="B31" s="775">
        <v>2023</v>
      </c>
      <c r="C31" s="1134">
        <f>R7</f>
        <v>4349639.1647264874</v>
      </c>
      <c r="D31" s="827">
        <v>67</v>
      </c>
      <c r="E31" s="1156">
        <f t="shared" si="0"/>
        <v>291425.82403667463</v>
      </c>
      <c r="F31" s="2922"/>
      <c r="G31" s="1188"/>
      <c r="H31" s="1189"/>
      <c r="I31" s="1190"/>
      <c r="J31" s="1190"/>
      <c r="K31" s="1190"/>
      <c r="L31" s="1190"/>
      <c r="M31" s="1190"/>
      <c r="N31" s="1190"/>
      <c r="O31" s="1190"/>
      <c r="P31" s="1190"/>
      <c r="Q31" s="1190"/>
      <c r="R31" s="1191"/>
      <c r="S31" s="1191"/>
      <c r="T31" s="1191"/>
      <c r="U31" s="1191"/>
      <c r="V31" s="1191"/>
      <c r="W31" s="1251"/>
      <c r="X31" s="1192"/>
      <c r="Y31" s="974"/>
      <c r="Z31" s="974"/>
      <c r="AA31" s="1193"/>
      <c r="AB31" s="974"/>
      <c r="AC31" s="974"/>
      <c r="AD31" s="974"/>
      <c r="AE31" s="1193"/>
      <c r="AF31" s="974"/>
      <c r="AG31" s="974"/>
    </row>
    <row r="32" spans="1:33" x14ac:dyDescent="0.25">
      <c r="A32" s="2913"/>
      <c r="B32" s="775">
        <v>2024</v>
      </c>
      <c r="C32" s="1134">
        <f>R7</f>
        <v>4349639.1647264874</v>
      </c>
      <c r="D32" s="827">
        <v>68</v>
      </c>
      <c r="E32" s="1156">
        <f t="shared" si="0"/>
        <v>295775.46320140111</v>
      </c>
      <c r="F32" s="2922"/>
      <c r="G32" s="1188"/>
      <c r="H32" s="1189"/>
      <c r="I32" s="1190"/>
      <c r="J32" s="1190"/>
      <c r="K32" s="1190"/>
      <c r="L32" s="1190"/>
      <c r="M32" s="1190"/>
      <c r="N32" s="1190"/>
      <c r="O32" s="1190"/>
      <c r="P32" s="1190"/>
      <c r="Q32" s="1190"/>
      <c r="R32" s="1191"/>
      <c r="S32" s="1191"/>
      <c r="T32" s="1191"/>
      <c r="U32" s="1191"/>
      <c r="V32" s="1191"/>
      <c r="W32" s="1251"/>
      <c r="X32" s="1192"/>
      <c r="Y32" s="974"/>
      <c r="Z32" s="974"/>
      <c r="AA32" s="1193"/>
      <c r="AB32" s="974"/>
      <c r="AC32" s="974"/>
      <c r="AD32" s="974"/>
      <c r="AE32" s="1193"/>
      <c r="AF32" s="974"/>
      <c r="AG32" s="974"/>
    </row>
    <row r="33" spans="1:33" x14ac:dyDescent="0.25">
      <c r="A33" s="2913"/>
      <c r="B33" s="775">
        <v>2025</v>
      </c>
      <c r="C33" s="1134">
        <f>R7</f>
        <v>4349639.1647264874</v>
      </c>
      <c r="D33" s="827">
        <v>69</v>
      </c>
      <c r="E33" s="1156">
        <f t="shared" si="0"/>
        <v>300125.1023661276</v>
      </c>
      <c r="F33" s="2922"/>
      <c r="G33" s="1188"/>
      <c r="H33" s="1189"/>
      <c r="I33" s="1190"/>
      <c r="J33" s="1190"/>
      <c r="K33" s="1190"/>
      <c r="L33" s="1190"/>
      <c r="M33" s="1190"/>
      <c r="N33" s="1190"/>
      <c r="O33" s="1190"/>
      <c r="P33" s="1190"/>
      <c r="Q33" s="1190"/>
      <c r="R33" s="1191"/>
      <c r="S33" s="1191"/>
      <c r="T33" s="1191"/>
      <c r="U33" s="1191"/>
      <c r="V33" s="1191"/>
      <c r="W33" s="1251"/>
      <c r="X33" s="1192"/>
      <c r="Y33" s="974"/>
      <c r="Z33" s="974"/>
      <c r="AA33" s="1193"/>
      <c r="AB33" s="974"/>
      <c r="AC33" s="974"/>
      <c r="AD33" s="974"/>
      <c r="AE33" s="1193"/>
      <c r="AF33" s="974"/>
      <c r="AG33" s="974"/>
    </row>
    <row r="34" spans="1:33" x14ac:dyDescent="0.25">
      <c r="A34" s="2913"/>
      <c r="B34" s="775">
        <v>2026</v>
      </c>
      <c r="C34" s="1134">
        <f>R7</f>
        <v>4349639.1647264874</v>
      </c>
      <c r="D34" s="827">
        <v>70</v>
      </c>
      <c r="E34" s="1156">
        <f t="shared" si="0"/>
        <v>304474.74153085408</v>
      </c>
      <c r="F34" s="2922"/>
      <c r="G34" s="1188"/>
      <c r="H34" s="1189"/>
      <c r="I34" s="1190"/>
      <c r="J34" s="1190"/>
      <c r="K34" s="1190"/>
      <c r="L34" s="1190"/>
      <c r="M34" s="1190"/>
      <c r="N34" s="1190"/>
      <c r="O34" s="1190"/>
      <c r="P34" s="1190"/>
      <c r="Q34" s="1190"/>
      <c r="R34" s="1191"/>
      <c r="S34" s="1191"/>
      <c r="T34" s="1191"/>
      <c r="U34" s="1191"/>
      <c r="V34" s="1191"/>
      <c r="W34" s="1251"/>
      <c r="X34" s="1192"/>
      <c r="Y34" s="974"/>
      <c r="Z34" s="974"/>
      <c r="AA34" s="1193"/>
      <c r="AB34" s="974"/>
      <c r="AC34" s="974"/>
      <c r="AD34" s="974"/>
      <c r="AE34" s="1193"/>
      <c r="AF34" s="974"/>
      <c r="AG34" s="974"/>
    </row>
    <row r="35" spans="1:33" x14ac:dyDescent="0.25">
      <c r="A35" s="2913"/>
      <c r="B35" s="775">
        <v>2027</v>
      </c>
      <c r="C35" s="1134">
        <f>R7</f>
        <v>4349639.1647264874</v>
      </c>
      <c r="D35" s="827">
        <v>71</v>
      </c>
      <c r="E35" s="1156">
        <f t="shared" si="0"/>
        <v>308824.38069558062</v>
      </c>
      <c r="F35" s="2922"/>
      <c r="G35" s="1188"/>
      <c r="H35" s="1189"/>
      <c r="I35" s="1190"/>
      <c r="J35" s="1190"/>
      <c r="K35" s="1190"/>
      <c r="L35" s="1190"/>
      <c r="M35" s="1190"/>
      <c r="N35" s="1190"/>
      <c r="O35" s="1190"/>
      <c r="P35" s="1190"/>
      <c r="Q35" s="1190"/>
      <c r="R35" s="1191"/>
      <c r="S35" s="1191"/>
      <c r="T35" s="1191"/>
      <c r="U35" s="1191"/>
      <c r="V35" s="1191"/>
      <c r="W35" s="1251"/>
      <c r="X35" s="1192"/>
      <c r="Y35" s="974"/>
      <c r="Z35" s="974"/>
      <c r="AA35" s="1193"/>
      <c r="AB35" s="974"/>
      <c r="AC35" s="974"/>
      <c r="AD35" s="974"/>
      <c r="AE35" s="1193"/>
      <c r="AF35" s="974"/>
      <c r="AG35" s="974"/>
    </row>
    <row r="36" spans="1:33" x14ac:dyDescent="0.25">
      <c r="A36" s="2913"/>
      <c r="B36" s="775">
        <v>2028</v>
      </c>
      <c r="C36" s="1134">
        <f>R7</f>
        <v>4349639.1647264874</v>
      </c>
      <c r="D36" s="827">
        <v>72</v>
      </c>
      <c r="E36" s="1156">
        <f t="shared" si="0"/>
        <v>313174.0198603071</v>
      </c>
      <c r="F36" s="2922"/>
      <c r="G36" s="1188"/>
      <c r="H36" s="1189"/>
      <c r="I36" s="1190"/>
      <c r="J36" s="1190"/>
      <c r="K36" s="1190"/>
      <c r="L36" s="1190"/>
      <c r="M36" s="1190"/>
      <c r="N36" s="1190"/>
      <c r="O36" s="1190"/>
      <c r="P36" s="1190"/>
      <c r="Q36" s="1190"/>
      <c r="R36" s="1191"/>
      <c r="S36" s="1191"/>
      <c r="T36" s="1191"/>
      <c r="U36" s="1191"/>
      <c r="V36" s="1191"/>
      <c r="W36" s="1251"/>
      <c r="X36" s="1192"/>
      <c r="Y36" s="974"/>
      <c r="Z36" s="974"/>
      <c r="AA36" s="1193"/>
      <c r="AB36" s="974"/>
      <c r="AC36" s="974"/>
      <c r="AD36" s="974"/>
      <c r="AE36" s="1193"/>
      <c r="AF36" s="974"/>
      <c r="AG36" s="974"/>
    </row>
    <row r="37" spans="1:33" x14ac:dyDescent="0.25">
      <c r="A37" s="2913"/>
      <c r="B37" s="775">
        <v>2029</v>
      </c>
      <c r="C37" s="1134">
        <f>R7</f>
        <v>4349639.1647264874</v>
      </c>
      <c r="D37" s="827">
        <v>73</v>
      </c>
      <c r="E37" s="1156">
        <f t="shared" si="0"/>
        <v>317523.65902503359</v>
      </c>
      <c r="F37" s="2922"/>
      <c r="G37" s="1188"/>
      <c r="H37" s="1189"/>
      <c r="I37" s="1190"/>
      <c r="J37" s="1190"/>
      <c r="K37" s="1190"/>
      <c r="L37" s="1190"/>
      <c r="M37" s="1190"/>
      <c r="N37" s="1190"/>
      <c r="O37" s="1190"/>
      <c r="P37" s="1190"/>
      <c r="Q37" s="1190"/>
      <c r="R37" s="1191"/>
      <c r="S37" s="1191"/>
      <c r="T37" s="1191"/>
      <c r="U37" s="1191"/>
      <c r="V37" s="1191"/>
      <c r="W37" s="1251"/>
      <c r="X37" s="1192"/>
      <c r="Y37" s="974"/>
      <c r="Z37" s="974"/>
      <c r="AA37" s="1193"/>
      <c r="AB37" s="974"/>
      <c r="AC37" s="974"/>
      <c r="AD37" s="974"/>
      <c r="AE37" s="1193"/>
      <c r="AF37" s="974"/>
      <c r="AG37" s="974"/>
    </row>
    <row r="38" spans="1:33" x14ac:dyDescent="0.25">
      <c r="A38" s="2913"/>
      <c r="B38" s="775">
        <v>2030</v>
      </c>
      <c r="C38" s="1134">
        <f>R7</f>
        <v>4349639.1647264874</v>
      </c>
      <c r="D38" s="827">
        <v>75</v>
      </c>
      <c r="E38" s="1156">
        <f t="shared" si="0"/>
        <v>326222.93735448655</v>
      </c>
      <c r="F38" s="2922"/>
      <c r="G38" s="1188"/>
      <c r="H38" s="1189"/>
      <c r="I38" s="1190"/>
      <c r="J38" s="1190"/>
      <c r="K38" s="1190"/>
      <c r="L38" s="1190"/>
      <c r="M38" s="1190"/>
      <c r="N38" s="1190"/>
      <c r="O38" s="1190"/>
      <c r="P38" s="1190"/>
      <c r="Q38" s="1190"/>
      <c r="R38" s="1191"/>
      <c r="S38" s="1191"/>
      <c r="T38" s="1191"/>
      <c r="U38" s="1191"/>
      <c r="V38" s="1191"/>
      <c r="W38" s="1251"/>
      <c r="X38" s="1192"/>
      <c r="Y38" s="974"/>
      <c r="Z38" s="974"/>
      <c r="AA38" s="1193"/>
      <c r="AB38" s="974"/>
      <c r="AC38" s="974"/>
      <c r="AD38" s="974"/>
      <c r="AE38" s="1193"/>
      <c r="AF38" s="974"/>
      <c r="AG38" s="974"/>
    </row>
    <row r="39" spans="1:33" x14ac:dyDescent="0.25">
      <c r="A39" s="2913"/>
      <c r="B39" s="775">
        <v>2031</v>
      </c>
      <c r="C39" s="1134">
        <f>R7</f>
        <v>4349639.1647264874</v>
      </c>
      <c r="D39" s="827">
        <v>76</v>
      </c>
      <c r="E39" s="1156">
        <f t="shared" si="0"/>
        <v>330572.57651921303</v>
      </c>
      <c r="F39" s="2922"/>
      <c r="G39" s="1188"/>
      <c r="H39" s="1189"/>
      <c r="I39" s="1190"/>
      <c r="J39" s="1190"/>
      <c r="K39" s="1190"/>
      <c r="L39" s="1190"/>
      <c r="M39" s="1190"/>
      <c r="N39" s="1190"/>
      <c r="O39" s="1190"/>
      <c r="P39" s="1190"/>
      <c r="Q39" s="1190"/>
      <c r="R39" s="1191"/>
      <c r="S39" s="1191"/>
      <c r="T39" s="1191"/>
      <c r="U39" s="1191"/>
      <c r="V39" s="1191"/>
      <c r="W39" s="1251"/>
      <c r="X39" s="1192"/>
      <c r="Y39" s="974"/>
      <c r="Z39" s="974"/>
      <c r="AA39" s="1193"/>
      <c r="AB39" s="974"/>
      <c r="AC39" s="974"/>
      <c r="AD39" s="974"/>
      <c r="AE39" s="1193"/>
      <c r="AF39" s="974"/>
      <c r="AG39" s="974"/>
    </row>
    <row r="40" spans="1:33" x14ac:dyDescent="0.25">
      <c r="A40" s="2913"/>
      <c r="B40" s="775">
        <v>2032</v>
      </c>
      <c r="C40" s="1134">
        <f>R7</f>
        <v>4349639.1647264874</v>
      </c>
      <c r="D40" s="827">
        <v>77</v>
      </c>
      <c r="E40" s="1156">
        <f t="shared" si="0"/>
        <v>334922.21568393952</v>
      </c>
      <c r="F40" s="2922"/>
      <c r="G40" s="1188"/>
      <c r="H40" s="1189"/>
      <c r="I40" s="1190"/>
      <c r="J40" s="1190"/>
      <c r="K40" s="1190"/>
      <c r="L40" s="1190"/>
      <c r="M40" s="1190"/>
      <c r="N40" s="1190"/>
      <c r="O40" s="1190"/>
      <c r="P40" s="1190"/>
      <c r="Q40" s="1190"/>
      <c r="R40" s="1191"/>
      <c r="S40" s="1191"/>
      <c r="T40" s="1191"/>
      <c r="U40" s="1191"/>
      <c r="V40" s="1191"/>
      <c r="W40" s="1251"/>
      <c r="X40" s="1192"/>
      <c r="Y40" s="974"/>
      <c r="Z40" s="974"/>
      <c r="AA40" s="1193"/>
      <c r="AB40" s="974"/>
      <c r="AC40" s="974"/>
      <c r="AD40" s="974"/>
      <c r="AE40" s="1193"/>
      <c r="AF40" s="974"/>
      <c r="AG40" s="974"/>
    </row>
    <row r="41" spans="1:33" x14ac:dyDescent="0.25">
      <c r="A41" s="2913"/>
      <c r="B41" s="775">
        <v>2033</v>
      </c>
      <c r="C41" s="1134">
        <f>R7</f>
        <v>4349639.1647264874</v>
      </c>
      <c r="D41" s="827">
        <v>78</v>
      </c>
      <c r="E41" s="1156">
        <f t="shared" si="0"/>
        <v>339271.854848666</v>
      </c>
      <c r="F41" s="2922"/>
      <c r="G41" s="1188"/>
      <c r="H41" s="1189"/>
      <c r="I41" s="1190"/>
      <c r="J41" s="1190"/>
      <c r="K41" s="1190"/>
      <c r="L41" s="1190"/>
      <c r="M41" s="1190"/>
      <c r="N41" s="1190"/>
      <c r="O41" s="1190"/>
      <c r="P41" s="1190"/>
      <c r="Q41" s="1190"/>
      <c r="R41" s="1191"/>
      <c r="S41" s="1191"/>
      <c r="T41" s="1191"/>
      <c r="U41" s="1191"/>
      <c r="V41" s="1191"/>
      <c r="W41" s="1251"/>
      <c r="X41" s="1192"/>
      <c r="Y41" s="974"/>
      <c r="Z41" s="974"/>
      <c r="AA41" s="1193"/>
      <c r="AB41" s="974"/>
      <c r="AC41" s="974"/>
      <c r="AD41" s="974"/>
      <c r="AE41" s="1193"/>
      <c r="AF41" s="974"/>
      <c r="AG41" s="974"/>
    </row>
    <row r="42" spans="1:33" x14ac:dyDescent="0.25">
      <c r="A42" s="2913"/>
      <c r="B42" s="775">
        <v>2034</v>
      </c>
      <c r="C42" s="1134">
        <f>R7</f>
        <v>4349639.1647264874</v>
      </c>
      <c r="D42" s="827">
        <v>79</v>
      </c>
      <c r="E42" s="1156">
        <f t="shared" si="0"/>
        <v>343621.49401339248</v>
      </c>
      <c r="F42" s="2922"/>
      <c r="G42" s="1188"/>
      <c r="H42" s="1189"/>
      <c r="I42" s="1190"/>
      <c r="J42" s="1190"/>
      <c r="K42" s="1190"/>
      <c r="L42" s="1190"/>
      <c r="M42" s="1190"/>
      <c r="N42" s="1190"/>
      <c r="O42" s="1190"/>
      <c r="P42" s="1190"/>
      <c r="Q42" s="1190"/>
      <c r="R42" s="1191"/>
      <c r="S42" s="1191"/>
      <c r="T42" s="1191"/>
      <c r="U42" s="1191"/>
      <c r="V42" s="1191"/>
      <c r="W42" s="1251"/>
      <c r="X42" s="1192"/>
      <c r="Y42" s="974"/>
      <c r="Z42" s="974"/>
      <c r="AA42" s="1193"/>
      <c r="AB42" s="974"/>
      <c r="AC42" s="974"/>
      <c r="AD42" s="974"/>
      <c r="AE42" s="1193"/>
      <c r="AF42" s="974"/>
      <c r="AG42" s="974"/>
    </row>
    <row r="43" spans="1:33" x14ac:dyDescent="0.25">
      <c r="A43" s="2913"/>
      <c r="B43" s="775">
        <v>2035</v>
      </c>
      <c r="C43" s="1134">
        <f>R7</f>
        <v>4349639.1647264874</v>
      </c>
      <c r="D43" s="827">
        <v>80</v>
      </c>
      <c r="E43" s="1156">
        <f t="shared" si="0"/>
        <v>347971.13317811897</v>
      </c>
      <c r="F43" s="2922"/>
      <c r="G43" s="1188"/>
      <c r="H43" s="1189"/>
      <c r="I43" s="1190"/>
      <c r="J43" s="1190"/>
      <c r="K43" s="1190"/>
      <c r="L43" s="1190"/>
      <c r="M43" s="1190"/>
      <c r="N43" s="1190"/>
      <c r="O43" s="1190"/>
      <c r="P43" s="1190"/>
      <c r="Q43" s="1190"/>
      <c r="R43" s="1191"/>
      <c r="S43" s="1191"/>
      <c r="T43" s="1191"/>
      <c r="U43" s="1191"/>
      <c r="V43" s="1191"/>
      <c r="W43" s="1251"/>
      <c r="X43" s="1192"/>
      <c r="Y43" s="974"/>
      <c r="Z43" s="974"/>
      <c r="AA43" s="1193"/>
      <c r="AB43" s="974"/>
      <c r="AC43" s="974"/>
      <c r="AD43" s="974"/>
      <c r="AE43" s="1193"/>
      <c r="AF43" s="974"/>
      <c r="AG43" s="974"/>
    </row>
    <row r="44" spans="1:33" x14ac:dyDescent="0.25">
      <c r="A44" s="2913"/>
      <c r="B44" s="775">
        <v>2036</v>
      </c>
      <c r="C44" s="1134">
        <f>R7</f>
        <v>4349639.1647264874</v>
      </c>
      <c r="D44" s="827">
        <v>81</v>
      </c>
      <c r="E44" s="1156">
        <f t="shared" si="0"/>
        <v>352320.77234284545</v>
      </c>
      <c r="F44" s="2922"/>
      <c r="G44" s="1188"/>
      <c r="H44" s="1189"/>
      <c r="I44" s="1190"/>
      <c r="J44" s="1190"/>
      <c r="K44" s="1190"/>
      <c r="L44" s="1190"/>
      <c r="M44" s="1190"/>
      <c r="N44" s="1190"/>
      <c r="O44" s="1190"/>
      <c r="P44" s="1190"/>
      <c r="Q44" s="1190"/>
      <c r="R44" s="1191"/>
      <c r="S44" s="1191"/>
      <c r="T44" s="1191"/>
      <c r="U44" s="1191"/>
      <c r="V44" s="1191"/>
      <c r="W44" s="1251"/>
      <c r="X44" s="1192"/>
      <c r="Y44" s="974"/>
      <c r="Z44" s="974"/>
      <c r="AA44" s="1193"/>
      <c r="AB44" s="974"/>
      <c r="AC44" s="974"/>
      <c r="AD44" s="974"/>
      <c r="AE44" s="1193"/>
      <c r="AF44" s="974"/>
      <c r="AG44" s="974"/>
    </row>
    <row r="45" spans="1:33" x14ac:dyDescent="0.25">
      <c r="A45" s="2913"/>
      <c r="B45" s="775">
        <v>2037</v>
      </c>
      <c r="C45" s="1134">
        <f>R7</f>
        <v>4349639.1647264874</v>
      </c>
      <c r="D45" s="827">
        <v>83</v>
      </c>
      <c r="E45" s="1156">
        <f t="shared" si="0"/>
        <v>361020.05067229841</v>
      </c>
      <c r="F45" s="2922"/>
      <c r="G45" s="1188"/>
      <c r="H45" s="1189"/>
      <c r="I45" s="1190"/>
      <c r="J45" s="1190"/>
      <c r="K45" s="1190"/>
      <c r="L45" s="1190"/>
      <c r="M45" s="1190"/>
      <c r="N45" s="1190"/>
      <c r="O45" s="1190"/>
      <c r="P45" s="1190"/>
      <c r="Q45" s="1190"/>
      <c r="R45" s="1191"/>
      <c r="S45" s="1191"/>
      <c r="T45" s="1191"/>
      <c r="U45" s="1191"/>
      <c r="V45" s="1191"/>
      <c r="W45" s="1251"/>
      <c r="X45" s="1192"/>
      <c r="Y45" s="974"/>
      <c r="Z45" s="974"/>
      <c r="AA45" s="1193"/>
      <c r="AB45" s="974"/>
      <c r="AC45" s="974"/>
      <c r="AD45" s="974"/>
      <c r="AE45" s="1193"/>
      <c r="AF45" s="974"/>
      <c r="AG45" s="974"/>
    </row>
    <row r="46" spans="1:33" x14ac:dyDescent="0.25">
      <c r="A46" s="2913"/>
      <c r="B46" s="775">
        <v>2038</v>
      </c>
      <c r="C46" s="1134">
        <f>R7</f>
        <v>4349639.1647264874</v>
      </c>
      <c r="D46" s="827">
        <v>84</v>
      </c>
      <c r="E46" s="1156">
        <f t="shared" si="0"/>
        <v>365369.68983702495</v>
      </c>
      <c r="F46" s="2922"/>
      <c r="G46" s="1188"/>
      <c r="H46" s="1189"/>
      <c r="I46" s="1190"/>
      <c r="J46" s="1190"/>
      <c r="K46" s="1190"/>
      <c r="L46" s="1190"/>
      <c r="M46" s="1190"/>
      <c r="N46" s="1190"/>
      <c r="O46" s="1190"/>
      <c r="P46" s="1190"/>
      <c r="Q46" s="1190"/>
      <c r="R46" s="1191"/>
      <c r="S46" s="1191"/>
      <c r="T46" s="1191"/>
      <c r="U46" s="1191"/>
      <c r="V46" s="1191"/>
      <c r="W46" s="1251"/>
      <c r="X46" s="1192"/>
      <c r="Y46" s="974"/>
      <c r="Z46" s="974"/>
      <c r="AA46" s="1193"/>
      <c r="AB46" s="974"/>
      <c r="AC46" s="974"/>
      <c r="AD46" s="974"/>
      <c r="AE46" s="1193"/>
      <c r="AF46" s="974"/>
      <c r="AG46" s="974"/>
    </row>
    <row r="47" spans="1:33" x14ac:dyDescent="0.25">
      <c r="A47" s="2913"/>
      <c r="B47" s="775">
        <v>2039</v>
      </c>
      <c r="C47" s="1134">
        <f>R7</f>
        <v>4349639.1647264874</v>
      </c>
      <c r="D47" s="827">
        <v>85</v>
      </c>
      <c r="E47" s="1156">
        <f t="shared" si="0"/>
        <v>369719.32900175144</v>
      </c>
      <c r="F47" s="2922"/>
      <c r="G47" s="1188"/>
      <c r="H47" s="1189"/>
      <c r="I47" s="1190"/>
      <c r="J47" s="1190"/>
      <c r="K47" s="1190"/>
      <c r="L47" s="1190"/>
      <c r="M47" s="1190"/>
      <c r="N47" s="1190"/>
      <c r="O47" s="1190"/>
      <c r="P47" s="1190"/>
      <c r="Q47" s="1190"/>
      <c r="R47" s="1191"/>
      <c r="S47" s="1191"/>
      <c r="T47" s="1191"/>
      <c r="U47" s="1191"/>
      <c r="V47" s="1191"/>
      <c r="W47" s="1251"/>
      <c r="X47" s="1192"/>
      <c r="Y47" s="974"/>
      <c r="Z47" s="974"/>
      <c r="AA47" s="1193"/>
      <c r="AB47" s="974"/>
      <c r="AC47" s="974"/>
      <c r="AD47" s="974"/>
      <c r="AE47" s="1193"/>
      <c r="AF47" s="974"/>
      <c r="AG47" s="974"/>
    </row>
    <row r="48" spans="1:33" x14ac:dyDescent="0.25">
      <c r="A48" s="2913"/>
      <c r="B48" s="775">
        <v>2040</v>
      </c>
      <c r="C48" s="1134">
        <f>R7</f>
        <v>4349639.1647264874</v>
      </c>
      <c r="D48" s="827">
        <v>86</v>
      </c>
      <c r="E48" s="1156">
        <f t="shared" si="0"/>
        <v>374068.96816647792</v>
      </c>
      <c r="F48" s="2922"/>
      <c r="G48" s="1188"/>
      <c r="H48" s="1189"/>
      <c r="I48" s="1190"/>
      <c r="J48" s="1190"/>
      <c r="K48" s="1190"/>
      <c r="L48" s="1190"/>
      <c r="M48" s="1190"/>
      <c r="N48" s="1190"/>
      <c r="O48" s="1190"/>
      <c r="P48" s="1190"/>
      <c r="Q48" s="1190"/>
      <c r="R48" s="1191"/>
      <c r="S48" s="1191"/>
      <c r="T48" s="1191"/>
      <c r="U48" s="1191"/>
      <c r="V48" s="1191"/>
      <c r="W48" s="1251"/>
      <c r="X48" s="1192"/>
      <c r="Y48" s="974"/>
      <c r="Z48" s="974"/>
      <c r="AA48" s="1193"/>
      <c r="AB48" s="974"/>
      <c r="AC48" s="974"/>
      <c r="AD48" s="974"/>
      <c r="AE48" s="1193"/>
      <c r="AF48" s="974"/>
      <c r="AG48" s="974"/>
    </row>
    <row r="49" spans="1:33" x14ac:dyDescent="0.25">
      <c r="A49" s="2913"/>
      <c r="B49" s="775">
        <v>2041</v>
      </c>
      <c r="C49" s="1134">
        <f>R7</f>
        <v>4349639.1647264874</v>
      </c>
      <c r="D49" s="827">
        <v>87</v>
      </c>
      <c r="E49" s="1156">
        <f t="shared" si="0"/>
        <v>378418.6073312044</v>
      </c>
      <c r="F49" s="2922"/>
      <c r="G49" s="1188"/>
      <c r="H49" s="1189"/>
      <c r="I49" s="1190"/>
      <c r="J49" s="1190"/>
      <c r="K49" s="1190"/>
      <c r="L49" s="1190"/>
      <c r="M49" s="1190"/>
      <c r="N49" s="1190"/>
      <c r="O49" s="1190"/>
      <c r="P49" s="1190"/>
      <c r="Q49" s="1190"/>
      <c r="R49" s="1191"/>
      <c r="S49" s="1191"/>
      <c r="T49" s="1191"/>
      <c r="U49" s="1191"/>
      <c r="V49" s="1191"/>
      <c r="W49" s="1251"/>
      <c r="X49" s="1192"/>
      <c r="Y49" s="974"/>
      <c r="Z49" s="974"/>
      <c r="AA49" s="1193"/>
      <c r="AB49" s="974"/>
      <c r="AC49" s="974"/>
      <c r="AD49" s="974"/>
      <c r="AE49" s="1193"/>
      <c r="AF49" s="974"/>
      <c r="AG49" s="974"/>
    </row>
    <row r="50" spans="1:33" x14ac:dyDescent="0.25">
      <c r="A50" s="2913"/>
      <c r="B50" s="775">
        <v>2042</v>
      </c>
      <c r="C50" s="1134">
        <f>R7</f>
        <v>4349639.1647264874</v>
      </c>
      <c r="D50" s="827">
        <v>88</v>
      </c>
      <c r="E50" s="1156">
        <f t="shared" si="0"/>
        <v>382768.24649593089</v>
      </c>
      <c r="F50" s="2922"/>
      <c r="G50" s="1188"/>
      <c r="H50" s="1189"/>
      <c r="I50" s="1190"/>
      <c r="J50" s="1190"/>
      <c r="K50" s="1190"/>
      <c r="L50" s="1190"/>
      <c r="M50" s="1190"/>
      <c r="N50" s="1190"/>
      <c r="O50" s="1190"/>
      <c r="P50" s="1190"/>
      <c r="Q50" s="1190"/>
      <c r="R50" s="1191"/>
      <c r="S50" s="1191"/>
      <c r="T50" s="1191"/>
      <c r="U50" s="1191"/>
      <c r="V50" s="1191"/>
      <c r="W50" s="1251"/>
      <c r="X50" s="1192"/>
      <c r="Y50" s="974"/>
      <c r="Z50" s="974"/>
      <c r="AA50" s="1193"/>
      <c r="AB50" s="974"/>
      <c r="AC50" s="974"/>
      <c r="AD50" s="974"/>
      <c r="AE50" s="1193"/>
      <c r="AF50" s="974"/>
      <c r="AG50" s="974"/>
    </row>
    <row r="51" spans="1:33" x14ac:dyDescent="0.25">
      <c r="A51" s="2913"/>
      <c r="B51" s="775">
        <v>2043</v>
      </c>
      <c r="C51" s="1134">
        <f>R7</f>
        <v>4349639.1647264874</v>
      </c>
      <c r="D51" s="827">
        <v>89</v>
      </c>
      <c r="E51" s="1156">
        <f t="shared" si="0"/>
        <v>387117.88566065737</v>
      </c>
      <c r="F51" s="2922"/>
      <c r="G51" s="1188"/>
      <c r="H51" s="1189"/>
      <c r="I51" s="1190"/>
      <c r="J51" s="1190"/>
      <c r="K51" s="1190"/>
      <c r="L51" s="1190"/>
      <c r="M51" s="1190"/>
      <c r="N51" s="1190"/>
      <c r="O51" s="1190"/>
      <c r="P51" s="1190"/>
      <c r="Q51" s="1190"/>
      <c r="R51" s="1191"/>
      <c r="S51" s="1191"/>
      <c r="T51" s="1191"/>
      <c r="U51" s="1191"/>
      <c r="V51" s="1191"/>
      <c r="W51" s="1251"/>
      <c r="X51" s="1192"/>
      <c r="Y51" s="974"/>
      <c r="Z51" s="974"/>
      <c r="AA51" s="1193"/>
      <c r="AB51" s="974"/>
      <c r="AC51" s="974"/>
      <c r="AD51" s="974"/>
      <c r="AE51" s="1193"/>
      <c r="AF51" s="974"/>
      <c r="AG51" s="974"/>
    </row>
    <row r="52" spans="1:33" x14ac:dyDescent="0.25">
      <c r="A52" s="2913"/>
      <c r="B52" s="775">
        <v>2044</v>
      </c>
      <c r="C52" s="1134">
        <f>R7</f>
        <v>4349639.1647264874</v>
      </c>
      <c r="D52" s="827">
        <v>90</v>
      </c>
      <c r="E52" s="1156">
        <f t="shared" si="0"/>
        <v>391467.52482538385</v>
      </c>
      <c r="F52" s="2922"/>
      <c r="G52" s="1188"/>
      <c r="H52" s="1189"/>
      <c r="I52" s="1190"/>
      <c r="J52" s="1190"/>
      <c r="K52" s="1190"/>
      <c r="L52" s="1190"/>
      <c r="M52" s="1190"/>
      <c r="N52" s="1190"/>
      <c r="O52" s="1190"/>
      <c r="P52" s="1190"/>
      <c r="Q52" s="1190"/>
      <c r="R52" s="1191"/>
      <c r="S52" s="1191"/>
      <c r="T52" s="1191"/>
      <c r="U52" s="1191"/>
      <c r="V52" s="1191"/>
      <c r="W52" s="1251"/>
      <c r="X52" s="1192"/>
      <c r="Y52" s="974"/>
      <c r="Z52" s="974"/>
      <c r="AA52" s="1193"/>
      <c r="AB52" s="974"/>
      <c r="AC52" s="974"/>
      <c r="AD52" s="974"/>
      <c r="AE52" s="1193"/>
      <c r="AF52" s="974"/>
      <c r="AG52" s="974"/>
    </row>
    <row r="53" spans="1:33" x14ac:dyDescent="0.25">
      <c r="A53" s="2913"/>
      <c r="B53" s="775">
        <v>2045</v>
      </c>
      <c r="C53" s="1134">
        <f>R7</f>
        <v>4349639.1647264874</v>
      </c>
      <c r="D53" s="827">
        <v>92</v>
      </c>
      <c r="E53" s="1156">
        <f t="shared" si="0"/>
        <v>400166.80315483682</v>
      </c>
      <c r="F53" s="2922"/>
      <c r="G53" s="1188"/>
      <c r="H53" s="1189"/>
      <c r="I53" s="1190"/>
      <c r="J53" s="1190"/>
      <c r="K53" s="1190"/>
      <c r="L53" s="1190"/>
      <c r="M53" s="1190"/>
      <c r="N53" s="1190"/>
      <c r="O53" s="1190"/>
      <c r="P53" s="1190"/>
      <c r="Q53" s="1190"/>
      <c r="R53" s="1191"/>
      <c r="S53" s="1191"/>
      <c r="T53" s="1191"/>
      <c r="U53" s="1191"/>
      <c r="V53" s="1191"/>
      <c r="W53" s="1251"/>
      <c r="X53" s="1192"/>
      <c r="Y53" s="974"/>
      <c r="Z53" s="974"/>
      <c r="AA53" s="1193"/>
      <c r="AB53" s="974"/>
      <c r="AC53" s="974"/>
      <c r="AD53" s="974"/>
      <c r="AE53" s="1193"/>
      <c r="AF53" s="974"/>
      <c r="AG53" s="974"/>
    </row>
    <row r="54" spans="1:33" x14ac:dyDescent="0.25">
      <c r="A54" s="2913"/>
      <c r="B54" s="775">
        <v>2046</v>
      </c>
      <c r="C54" s="1134">
        <f>R7</f>
        <v>4349639.1647264874</v>
      </c>
      <c r="D54" s="827">
        <v>93</v>
      </c>
      <c r="E54" s="1156">
        <f t="shared" si="0"/>
        <v>404516.4423195633</v>
      </c>
      <c r="F54" s="2922"/>
      <c r="G54" s="1188"/>
      <c r="H54" s="1189"/>
      <c r="I54" s="1190"/>
      <c r="J54" s="1190"/>
      <c r="K54" s="1190"/>
      <c r="L54" s="1190"/>
      <c r="M54" s="1190"/>
      <c r="N54" s="1190"/>
      <c r="O54" s="1190"/>
      <c r="P54" s="1190"/>
      <c r="Q54" s="1190"/>
      <c r="R54" s="1191"/>
      <c r="S54" s="1191"/>
      <c r="T54" s="1191"/>
      <c r="U54" s="1191"/>
      <c r="V54" s="1191"/>
      <c r="W54" s="1251"/>
      <c r="X54" s="1192"/>
      <c r="Y54" s="974"/>
      <c r="Z54" s="974"/>
      <c r="AA54" s="1193"/>
      <c r="AB54" s="974"/>
      <c r="AC54" s="974"/>
      <c r="AD54" s="974"/>
      <c r="AE54" s="1193"/>
      <c r="AF54" s="974"/>
      <c r="AG54" s="974"/>
    </row>
    <row r="55" spans="1:33" x14ac:dyDescent="0.25">
      <c r="A55" s="2913"/>
      <c r="B55" s="775">
        <v>2047</v>
      </c>
      <c r="C55" s="1134">
        <f>R7</f>
        <v>4349639.1647264874</v>
      </c>
      <c r="D55" s="827">
        <v>94</v>
      </c>
      <c r="E55" s="1156">
        <f t="shared" si="0"/>
        <v>408866.08148428978</v>
      </c>
      <c r="F55" s="2922"/>
      <c r="G55" s="1188"/>
      <c r="H55" s="1189"/>
      <c r="I55" s="1190"/>
      <c r="J55" s="1190"/>
      <c r="K55" s="1190"/>
      <c r="L55" s="1190"/>
      <c r="M55" s="1190"/>
      <c r="N55" s="1190"/>
      <c r="O55" s="1190"/>
      <c r="P55" s="1190"/>
      <c r="Q55" s="1190"/>
      <c r="R55" s="1191"/>
      <c r="S55" s="1191"/>
      <c r="T55" s="1191"/>
      <c r="U55" s="1191"/>
      <c r="V55" s="1191"/>
      <c r="W55" s="1251"/>
      <c r="X55" s="1192"/>
      <c r="Y55" s="974"/>
      <c r="Z55" s="974"/>
      <c r="AA55" s="1193"/>
      <c r="AB55" s="974"/>
      <c r="AC55" s="974"/>
      <c r="AD55" s="974"/>
      <c r="AE55" s="1193"/>
      <c r="AF55" s="974"/>
      <c r="AG55" s="974"/>
    </row>
    <row r="56" spans="1:33" x14ac:dyDescent="0.25">
      <c r="A56" s="2913"/>
      <c r="B56" s="775">
        <v>2048</v>
      </c>
      <c r="C56" s="1134">
        <f>R7</f>
        <v>4349639.1647264874</v>
      </c>
      <c r="D56" s="827">
        <v>95</v>
      </c>
      <c r="E56" s="1156">
        <f t="shared" si="0"/>
        <v>413215.72064901626</v>
      </c>
      <c r="F56" s="2922"/>
      <c r="G56" s="1188"/>
      <c r="H56" s="1189"/>
      <c r="I56" s="1190"/>
      <c r="J56" s="1190"/>
      <c r="K56" s="1190"/>
      <c r="L56" s="1190"/>
      <c r="M56" s="1190"/>
      <c r="N56" s="1190"/>
      <c r="O56" s="1190"/>
      <c r="P56" s="1190"/>
      <c r="Q56" s="1190"/>
      <c r="R56" s="1191"/>
      <c r="S56" s="1191"/>
      <c r="T56" s="1191"/>
      <c r="U56" s="1191"/>
      <c r="V56" s="1191"/>
      <c r="W56" s="1251"/>
      <c r="X56" s="1192"/>
      <c r="Y56" s="974"/>
      <c r="Z56" s="974"/>
      <c r="AA56" s="1193"/>
      <c r="AB56" s="974"/>
      <c r="AC56" s="974"/>
      <c r="AD56" s="974"/>
      <c r="AE56" s="1193"/>
      <c r="AF56" s="974"/>
      <c r="AG56" s="974"/>
    </row>
    <row r="57" spans="1:33" x14ac:dyDescent="0.25">
      <c r="A57" s="2913"/>
      <c r="B57" s="775">
        <v>2049</v>
      </c>
      <c r="C57" s="1134">
        <f>R7</f>
        <v>4349639.1647264874</v>
      </c>
      <c r="D57" s="827">
        <v>96</v>
      </c>
      <c r="E57" s="1156">
        <f t="shared" si="0"/>
        <v>417565.35981374281</v>
      </c>
      <c r="F57" s="2922"/>
      <c r="G57" s="1188"/>
      <c r="H57" s="1189"/>
      <c r="I57" s="1190"/>
      <c r="J57" s="1190"/>
      <c r="K57" s="1190"/>
      <c r="L57" s="1190"/>
      <c r="M57" s="1190"/>
      <c r="N57" s="1190"/>
      <c r="O57" s="1190"/>
      <c r="P57" s="1190"/>
      <c r="Q57" s="1190"/>
      <c r="R57" s="1191"/>
      <c r="S57" s="1191"/>
      <c r="T57" s="1191"/>
      <c r="U57" s="1191"/>
      <c r="V57" s="1191"/>
      <c r="W57" s="1251"/>
      <c r="X57" s="1192"/>
      <c r="Y57" s="974"/>
      <c r="Z57" s="974"/>
      <c r="AA57" s="1193"/>
      <c r="AB57" s="974"/>
      <c r="AC57" s="974"/>
      <c r="AD57" s="974"/>
      <c r="AE57" s="1193"/>
      <c r="AF57" s="974"/>
      <c r="AG57" s="974"/>
    </row>
    <row r="58" spans="1:33" x14ac:dyDescent="0.25">
      <c r="A58" s="2913"/>
      <c r="B58" s="775">
        <v>2050</v>
      </c>
      <c r="C58" s="1134">
        <f>R7</f>
        <v>4349639.1647264874</v>
      </c>
      <c r="D58" s="827">
        <v>97</v>
      </c>
      <c r="E58" s="1156">
        <f t="shared" si="0"/>
        <v>421914.99897846929</v>
      </c>
      <c r="F58" s="2922"/>
      <c r="G58" s="1188"/>
      <c r="H58" s="1189"/>
      <c r="I58" s="1190"/>
      <c r="J58" s="1190"/>
      <c r="K58" s="1190"/>
      <c r="L58" s="1190"/>
      <c r="M58" s="1190"/>
      <c r="N58" s="1190"/>
      <c r="O58" s="1190"/>
      <c r="P58" s="1190"/>
      <c r="Q58" s="1190"/>
      <c r="R58" s="1191"/>
      <c r="S58" s="1191"/>
      <c r="T58" s="1191"/>
      <c r="U58" s="1191"/>
      <c r="V58" s="1191"/>
      <c r="W58" s="2956"/>
      <c r="X58" s="1192"/>
      <c r="Y58" s="974"/>
      <c r="Z58" s="974"/>
      <c r="AA58" s="1193"/>
      <c r="AB58" s="974"/>
      <c r="AC58" s="974"/>
      <c r="AD58" s="974"/>
      <c r="AE58" s="1193"/>
      <c r="AF58" s="974"/>
      <c r="AG58" s="974"/>
    </row>
    <row r="59" spans="1:33" x14ac:dyDescent="0.25">
      <c r="A59" s="2913"/>
      <c r="B59" s="775">
        <v>2051</v>
      </c>
      <c r="C59" s="1134">
        <f>R7</f>
        <v>4349639.1647264874</v>
      </c>
      <c r="D59" s="827">
        <v>97</v>
      </c>
      <c r="E59" s="1156">
        <f t="shared" si="0"/>
        <v>421914.99897846929</v>
      </c>
      <c r="F59" s="2922"/>
      <c r="G59" s="1188"/>
      <c r="H59" s="1189"/>
      <c r="I59" s="1190"/>
      <c r="J59" s="1190"/>
      <c r="K59" s="1190"/>
      <c r="L59" s="1190"/>
      <c r="M59" s="1190"/>
      <c r="N59" s="1190"/>
      <c r="O59" s="1190"/>
      <c r="P59" s="1190"/>
      <c r="Q59" s="1190"/>
      <c r="R59" s="1191"/>
      <c r="S59" s="1191"/>
      <c r="T59" s="1191"/>
      <c r="U59" s="1191"/>
      <c r="V59" s="1191"/>
      <c r="W59" s="2956"/>
      <c r="X59" s="1192"/>
      <c r="Y59" s="974"/>
      <c r="Z59" s="974"/>
      <c r="AA59" s="1193"/>
      <c r="AB59" s="974"/>
      <c r="AC59" s="974"/>
      <c r="AD59" s="974"/>
      <c r="AE59" s="1193"/>
      <c r="AF59" s="974"/>
      <c r="AG59" s="974"/>
    </row>
    <row r="60" spans="1:33" x14ac:dyDescent="0.25">
      <c r="A60" s="2913"/>
      <c r="B60" s="775">
        <v>2052</v>
      </c>
      <c r="C60" s="1134">
        <f>R7</f>
        <v>4349639.1647264874</v>
      </c>
      <c r="D60" s="827">
        <v>97</v>
      </c>
      <c r="E60" s="1156">
        <f t="shared" si="0"/>
        <v>421914.99897846929</v>
      </c>
      <c r="F60" s="2922"/>
      <c r="G60" s="1188"/>
      <c r="H60" s="1189"/>
      <c r="I60" s="1190"/>
      <c r="J60" s="1190"/>
      <c r="K60" s="1190"/>
      <c r="L60" s="1190"/>
      <c r="M60" s="1190"/>
      <c r="N60" s="1190"/>
      <c r="O60" s="1190"/>
      <c r="P60" s="1190"/>
      <c r="Q60" s="1190"/>
      <c r="R60" s="1191"/>
      <c r="S60" s="1191"/>
      <c r="T60" s="1191"/>
      <c r="U60" s="1191"/>
      <c r="V60" s="1191"/>
      <c r="W60" s="2956"/>
      <c r="X60" s="1192"/>
      <c r="Y60" s="974"/>
      <c r="Z60" s="974"/>
      <c r="AA60" s="1193"/>
      <c r="AB60" s="974"/>
      <c r="AC60" s="974"/>
      <c r="AD60" s="974"/>
      <c r="AE60" s="1193"/>
      <c r="AF60" s="974"/>
      <c r="AG60" s="974"/>
    </row>
    <row r="61" spans="1:33" x14ac:dyDescent="0.25">
      <c r="A61" s="2913"/>
      <c r="B61" s="775">
        <v>2053</v>
      </c>
      <c r="C61" s="1134">
        <f>R7</f>
        <v>4349639.1647264874</v>
      </c>
      <c r="D61" s="827">
        <v>97</v>
      </c>
      <c r="E61" s="1156">
        <f t="shared" si="0"/>
        <v>421914.99897846929</v>
      </c>
      <c r="F61" s="2922"/>
      <c r="G61" s="1188"/>
      <c r="H61" s="1189"/>
      <c r="I61" s="1190"/>
      <c r="J61" s="1190"/>
      <c r="K61" s="1190"/>
      <c r="L61" s="1190"/>
      <c r="M61" s="1190"/>
      <c r="N61" s="1190"/>
      <c r="O61" s="1190"/>
      <c r="P61" s="1190"/>
      <c r="Q61" s="1190"/>
      <c r="R61" s="1191"/>
      <c r="S61" s="1191"/>
      <c r="T61" s="1191"/>
      <c r="U61" s="1191"/>
      <c r="V61" s="1191"/>
      <c r="W61" s="2956"/>
      <c r="X61" s="1192"/>
      <c r="Y61" s="974"/>
      <c r="Z61" s="974"/>
      <c r="AA61" s="1193"/>
      <c r="AB61" s="974"/>
      <c r="AC61" s="974"/>
      <c r="AD61" s="974"/>
      <c r="AE61" s="1193"/>
      <c r="AF61" s="974"/>
      <c r="AG61" s="974"/>
    </row>
    <row r="62" spans="1:33" x14ac:dyDescent="0.25">
      <c r="A62" s="2913"/>
      <c r="B62" s="775">
        <v>2054</v>
      </c>
      <c r="C62" s="1134">
        <f>R7</f>
        <v>4349639.1647264874</v>
      </c>
      <c r="D62" s="827">
        <v>97</v>
      </c>
      <c r="E62" s="1156">
        <f t="shared" si="0"/>
        <v>421914.99897846929</v>
      </c>
      <c r="F62" s="2922"/>
      <c r="G62" s="1188"/>
      <c r="H62" s="1189"/>
      <c r="I62" s="1190"/>
      <c r="J62" s="1190"/>
      <c r="K62" s="1190"/>
      <c r="L62" s="1190"/>
      <c r="M62" s="1190"/>
      <c r="N62" s="1190"/>
      <c r="O62" s="1190"/>
      <c r="P62" s="1190"/>
      <c r="Q62" s="1190"/>
      <c r="R62" s="1191"/>
      <c r="S62" s="1191"/>
      <c r="T62" s="1191"/>
      <c r="U62" s="1191"/>
      <c r="V62" s="1191"/>
      <c r="W62" s="2956"/>
      <c r="X62" s="1192"/>
      <c r="Y62" s="974"/>
      <c r="Z62" s="974"/>
      <c r="AA62" s="1193"/>
      <c r="AB62" s="974"/>
      <c r="AC62" s="974"/>
      <c r="AD62" s="974"/>
      <c r="AE62" s="1193"/>
      <c r="AF62" s="974"/>
      <c r="AG62" s="974"/>
    </row>
    <row r="63" spans="1:33" x14ac:dyDescent="0.25">
      <c r="A63" s="2913"/>
      <c r="B63" s="775">
        <v>2055</v>
      </c>
      <c r="C63" s="1134">
        <f>R7</f>
        <v>4349639.1647264874</v>
      </c>
      <c r="D63" s="827">
        <v>97</v>
      </c>
      <c r="E63" s="1156">
        <f t="shared" si="0"/>
        <v>421914.99897846929</v>
      </c>
      <c r="F63" s="2922"/>
      <c r="G63" s="1188"/>
      <c r="H63" s="1189"/>
      <c r="I63" s="1190"/>
      <c r="J63" s="1190"/>
      <c r="K63" s="1190"/>
      <c r="L63" s="1190"/>
      <c r="M63" s="1190"/>
      <c r="N63" s="1190"/>
      <c r="O63" s="1190"/>
      <c r="P63" s="1190"/>
      <c r="Q63" s="1190"/>
      <c r="R63" s="1191"/>
      <c r="S63" s="1191"/>
      <c r="T63" s="1191"/>
      <c r="U63" s="1191"/>
      <c r="V63" s="1191"/>
      <c r="W63" s="2956"/>
      <c r="X63" s="1192"/>
      <c r="Y63" s="974"/>
      <c r="Z63" s="974"/>
      <c r="AA63" s="1193"/>
      <c r="AB63" s="974"/>
      <c r="AC63" s="974"/>
      <c r="AD63" s="974"/>
      <c r="AE63" s="1193"/>
      <c r="AF63" s="974"/>
      <c r="AG63" s="974"/>
    </row>
    <row r="64" spans="1:33" x14ac:dyDescent="0.25">
      <c r="A64" s="2913"/>
      <c r="B64" s="775">
        <v>2056</v>
      </c>
      <c r="C64" s="1134">
        <f>R7</f>
        <v>4349639.1647264874</v>
      </c>
      <c r="D64" s="827">
        <v>97</v>
      </c>
      <c r="E64" s="1156">
        <f t="shared" si="0"/>
        <v>421914.99897846929</v>
      </c>
      <c r="F64" s="2922"/>
      <c r="G64" s="1188"/>
      <c r="H64" s="1189"/>
      <c r="I64" s="1190"/>
      <c r="J64" s="1190"/>
      <c r="K64" s="1190"/>
      <c r="L64" s="1190"/>
      <c r="M64" s="1190"/>
      <c r="N64" s="1190"/>
      <c r="O64" s="1190"/>
      <c r="P64" s="1190"/>
      <c r="Q64" s="1190"/>
      <c r="R64" s="1191"/>
      <c r="S64" s="1191"/>
      <c r="T64" s="1191"/>
      <c r="U64" s="1191"/>
      <c r="V64" s="1191"/>
      <c r="W64" s="2956"/>
      <c r="X64" s="1192"/>
      <c r="Y64" s="974"/>
      <c r="Z64" s="974"/>
      <c r="AA64" s="1193"/>
      <c r="AB64" s="974"/>
      <c r="AC64" s="974"/>
      <c r="AD64" s="974"/>
      <c r="AE64" s="1193"/>
      <c r="AF64" s="974"/>
      <c r="AG64" s="974"/>
    </row>
    <row r="65" spans="1:33" x14ac:dyDescent="0.25">
      <c r="A65" s="2913"/>
      <c r="B65" s="775">
        <v>2057</v>
      </c>
      <c r="C65" s="1134">
        <f>R7</f>
        <v>4349639.1647264874</v>
      </c>
      <c r="D65" s="827">
        <v>97</v>
      </c>
      <c r="E65" s="1156">
        <f t="shared" si="0"/>
        <v>421914.99897846929</v>
      </c>
      <c r="F65" s="2922"/>
      <c r="G65" s="1188"/>
      <c r="H65" s="1189"/>
      <c r="I65" s="1190"/>
      <c r="J65" s="1190"/>
      <c r="K65" s="1190"/>
      <c r="L65" s="1190"/>
      <c r="M65" s="1190"/>
      <c r="N65" s="1190"/>
      <c r="O65" s="1190"/>
      <c r="P65" s="1190"/>
      <c r="Q65" s="1190"/>
      <c r="R65" s="1191"/>
      <c r="S65" s="1191"/>
      <c r="T65" s="1191"/>
      <c r="U65" s="1191"/>
      <c r="V65" s="1191"/>
      <c r="W65" s="2956"/>
      <c r="X65" s="1192"/>
      <c r="Y65" s="974"/>
      <c r="Z65" s="974"/>
      <c r="AA65" s="1193"/>
      <c r="AB65" s="974"/>
      <c r="AC65" s="974"/>
      <c r="AD65" s="974"/>
      <c r="AE65" s="1193"/>
      <c r="AF65" s="974"/>
      <c r="AG65" s="974"/>
    </row>
    <row r="66" spans="1:33" x14ac:dyDescent="0.25">
      <c r="A66" s="2913"/>
      <c r="B66" s="775">
        <v>2058</v>
      </c>
      <c r="C66" s="1134">
        <f>R7</f>
        <v>4349639.1647264874</v>
      </c>
      <c r="D66" s="827">
        <v>97</v>
      </c>
      <c r="E66" s="1156">
        <f t="shared" si="0"/>
        <v>421914.99897846929</v>
      </c>
      <c r="F66" s="2922"/>
      <c r="G66" s="1188"/>
      <c r="H66" s="1189"/>
      <c r="I66" s="1190"/>
      <c r="J66" s="1190"/>
      <c r="K66" s="1190"/>
      <c r="L66" s="1190"/>
      <c r="M66" s="1190"/>
      <c r="N66" s="1190"/>
      <c r="O66" s="1190"/>
      <c r="P66" s="1190"/>
      <c r="Q66" s="1190"/>
      <c r="R66" s="1191"/>
      <c r="S66" s="1191"/>
      <c r="T66" s="1191"/>
      <c r="U66" s="1191"/>
      <c r="V66" s="1191"/>
      <c r="W66" s="2956"/>
      <c r="X66" s="1192"/>
      <c r="Y66" s="974"/>
      <c r="Z66" s="974"/>
      <c r="AA66" s="1193"/>
      <c r="AB66" s="974"/>
      <c r="AC66" s="974"/>
      <c r="AD66" s="974"/>
      <c r="AE66" s="1193"/>
      <c r="AF66" s="974"/>
      <c r="AG66" s="974"/>
    </row>
    <row r="67" spans="1:33" x14ac:dyDescent="0.25">
      <c r="A67" s="2913"/>
      <c r="B67" s="775">
        <v>2059</v>
      </c>
      <c r="C67" s="1134">
        <f>R7</f>
        <v>4349639.1647264874</v>
      </c>
      <c r="D67" s="827">
        <v>97</v>
      </c>
      <c r="E67" s="1156">
        <f t="shared" si="0"/>
        <v>421914.99897846929</v>
      </c>
      <c r="F67" s="2922"/>
      <c r="G67" s="1188"/>
      <c r="H67" s="1189"/>
      <c r="I67" s="1190"/>
      <c r="J67" s="1190"/>
      <c r="K67" s="1190"/>
      <c r="L67" s="1190"/>
      <c r="M67" s="1190"/>
      <c r="N67" s="1190"/>
      <c r="O67" s="1190"/>
      <c r="P67" s="1190"/>
      <c r="Q67" s="1190"/>
      <c r="R67" s="1191"/>
      <c r="S67" s="1191"/>
      <c r="T67" s="1191"/>
      <c r="U67" s="1191"/>
      <c r="V67" s="1191"/>
      <c r="W67" s="2956"/>
      <c r="X67" s="1192"/>
      <c r="Y67" s="974"/>
      <c r="Z67" s="974"/>
      <c r="AA67" s="1193"/>
      <c r="AB67" s="974"/>
      <c r="AC67" s="974"/>
      <c r="AD67" s="974"/>
      <c r="AE67" s="1193"/>
      <c r="AF67" s="974"/>
      <c r="AG67" s="974"/>
    </row>
    <row r="68" spans="1:33" x14ac:dyDescent="0.25">
      <c r="A68" s="2913"/>
      <c r="B68" s="775">
        <v>2060</v>
      </c>
      <c r="C68" s="1134">
        <f>R7</f>
        <v>4349639.1647264874</v>
      </c>
      <c r="D68" s="827">
        <v>97</v>
      </c>
      <c r="E68" s="1156">
        <f t="shared" si="0"/>
        <v>421914.99897846929</v>
      </c>
      <c r="F68" s="2922"/>
      <c r="G68" s="1188"/>
      <c r="H68" s="1189"/>
      <c r="I68" s="1190"/>
      <c r="J68" s="1190"/>
      <c r="K68" s="1190"/>
      <c r="L68" s="1190"/>
      <c r="M68" s="1190"/>
      <c r="N68" s="1190"/>
      <c r="O68" s="1190"/>
      <c r="P68" s="1190"/>
      <c r="Q68" s="1190"/>
      <c r="R68" s="1191"/>
      <c r="S68" s="1191"/>
      <c r="T68" s="1191"/>
      <c r="U68" s="1191"/>
      <c r="V68" s="1191"/>
      <c r="W68" s="2956"/>
      <c r="X68" s="1192"/>
      <c r="Y68" s="974"/>
      <c r="Z68" s="974"/>
      <c r="AA68" s="1193"/>
      <c r="AB68" s="974"/>
      <c r="AC68" s="974"/>
      <c r="AD68" s="974"/>
      <c r="AE68" s="1193"/>
      <c r="AF68" s="974"/>
      <c r="AG68" s="974"/>
    </row>
    <row r="69" spans="1:33" x14ac:dyDescent="0.25">
      <c r="A69" s="2913"/>
      <c r="B69" s="775">
        <v>2061</v>
      </c>
      <c r="C69" s="1134">
        <f>R7</f>
        <v>4349639.1647264874</v>
      </c>
      <c r="D69" s="827">
        <v>97</v>
      </c>
      <c r="E69" s="1156">
        <f t="shared" si="0"/>
        <v>421914.99897846929</v>
      </c>
      <c r="F69" s="2922"/>
      <c r="G69" s="1188"/>
      <c r="H69" s="1189"/>
      <c r="I69" s="1190"/>
      <c r="J69" s="1190"/>
      <c r="K69" s="1190"/>
      <c r="L69" s="1190"/>
      <c r="M69" s="1190"/>
      <c r="N69" s="1190"/>
      <c r="O69" s="1190"/>
      <c r="P69" s="1190"/>
      <c r="Q69" s="1190"/>
      <c r="R69" s="1191"/>
      <c r="S69" s="1191"/>
      <c r="T69" s="1191"/>
      <c r="U69" s="1191"/>
      <c r="V69" s="1191"/>
      <c r="W69" s="2956"/>
      <c r="X69" s="1192"/>
      <c r="Y69" s="974"/>
      <c r="Z69" s="974"/>
      <c r="AA69" s="1193"/>
      <c r="AB69" s="974"/>
      <c r="AC69" s="974"/>
      <c r="AD69" s="974"/>
      <c r="AE69" s="1193"/>
      <c r="AF69" s="974"/>
      <c r="AG69" s="974"/>
    </row>
    <row r="70" spans="1:33" x14ac:dyDescent="0.25">
      <c r="A70" s="2913"/>
      <c r="B70" s="775">
        <v>2062</v>
      </c>
      <c r="C70" s="1134">
        <f>R7</f>
        <v>4349639.1647264874</v>
      </c>
      <c r="D70" s="827">
        <v>97</v>
      </c>
      <c r="E70" s="1156">
        <f t="shared" si="0"/>
        <v>421914.99897846929</v>
      </c>
      <c r="F70" s="2922"/>
      <c r="G70" s="1188"/>
      <c r="H70" s="1189"/>
      <c r="I70" s="1190"/>
      <c r="J70" s="1190"/>
      <c r="K70" s="1190"/>
      <c r="L70" s="1190"/>
      <c r="M70" s="1190"/>
      <c r="N70" s="1190"/>
      <c r="O70" s="1190"/>
      <c r="P70" s="1190"/>
      <c r="Q70" s="1190"/>
      <c r="R70" s="1191"/>
      <c r="S70" s="1191"/>
      <c r="T70" s="1191"/>
      <c r="U70" s="1191"/>
      <c r="V70" s="1191"/>
      <c r="W70" s="2956"/>
      <c r="X70" s="1192"/>
      <c r="Y70" s="974"/>
      <c r="Z70" s="974"/>
      <c r="AA70" s="1193"/>
      <c r="AB70" s="974"/>
      <c r="AC70" s="974"/>
      <c r="AD70" s="974"/>
      <c r="AE70" s="1193"/>
      <c r="AF70" s="974"/>
      <c r="AG70" s="974"/>
    </row>
    <row r="71" spans="1:33" x14ac:dyDescent="0.25">
      <c r="A71" s="2913"/>
      <c r="B71" s="775">
        <v>2063</v>
      </c>
      <c r="C71" s="1134">
        <f>R7</f>
        <v>4349639.1647264874</v>
      </c>
      <c r="D71" s="827">
        <v>97</v>
      </c>
      <c r="E71" s="1156">
        <f t="shared" si="0"/>
        <v>421914.99897846929</v>
      </c>
      <c r="F71" s="2922"/>
      <c r="G71" s="1188"/>
      <c r="H71" s="1189"/>
      <c r="I71" s="1190"/>
      <c r="J71" s="1190"/>
      <c r="K71" s="1190"/>
      <c r="L71" s="1190"/>
      <c r="M71" s="1190"/>
      <c r="N71" s="1190"/>
      <c r="O71" s="1190"/>
      <c r="P71" s="1190"/>
      <c r="Q71" s="1190"/>
      <c r="R71" s="1191"/>
      <c r="S71" s="1191"/>
      <c r="T71" s="1191"/>
      <c r="U71" s="1191"/>
      <c r="V71" s="1191"/>
      <c r="W71" s="2956"/>
      <c r="X71" s="1192"/>
      <c r="Y71" s="974"/>
      <c r="Z71" s="974"/>
      <c r="AA71" s="1193"/>
      <c r="AB71" s="974"/>
      <c r="AC71" s="974"/>
      <c r="AD71" s="974"/>
      <c r="AE71" s="1193"/>
      <c r="AF71" s="974"/>
      <c r="AG71" s="974"/>
    </row>
    <row r="72" spans="1:33" x14ac:dyDescent="0.25">
      <c r="A72" s="2913"/>
      <c r="B72" s="775">
        <v>2064</v>
      </c>
      <c r="C72" s="1134">
        <f>R7</f>
        <v>4349639.1647264874</v>
      </c>
      <c r="D72" s="827">
        <v>97</v>
      </c>
      <c r="E72" s="1156">
        <f t="shared" si="0"/>
        <v>421914.99897846929</v>
      </c>
      <c r="F72" s="2922"/>
      <c r="G72" s="1188"/>
      <c r="H72" s="1189"/>
      <c r="I72" s="1190"/>
      <c r="J72" s="1190"/>
      <c r="K72" s="1190"/>
      <c r="L72" s="1190"/>
      <c r="M72" s="1190"/>
      <c r="N72" s="1190"/>
      <c r="O72" s="1190"/>
      <c r="P72" s="1190"/>
      <c r="Q72" s="1190"/>
      <c r="R72" s="1191"/>
      <c r="S72" s="1191"/>
      <c r="T72" s="1191"/>
      <c r="U72" s="1191"/>
      <c r="V72" s="1191"/>
      <c r="W72" s="2956"/>
      <c r="X72" s="1192"/>
      <c r="Y72" s="974"/>
      <c r="Z72" s="974"/>
      <c r="AA72" s="1193"/>
      <c r="AB72" s="974"/>
      <c r="AC72" s="974"/>
      <c r="AD72" s="974"/>
      <c r="AE72" s="1193"/>
      <c r="AF72" s="974"/>
      <c r="AG72" s="974"/>
    </row>
    <row r="73" spans="1:33" x14ac:dyDescent="0.25">
      <c r="A73" s="2913"/>
      <c r="B73" s="775">
        <v>2065</v>
      </c>
      <c r="C73" s="1134">
        <f>R7</f>
        <v>4349639.1647264874</v>
      </c>
      <c r="D73" s="827">
        <v>97</v>
      </c>
      <c r="E73" s="1156">
        <f t="shared" si="0"/>
        <v>421914.99897846929</v>
      </c>
      <c r="F73" s="2922"/>
      <c r="G73" s="1188"/>
      <c r="H73" s="1189"/>
      <c r="I73" s="1190"/>
      <c r="J73" s="1190"/>
      <c r="K73" s="1190"/>
      <c r="L73" s="1190"/>
      <c r="M73" s="1190"/>
      <c r="N73" s="1190"/>
      <c r="O73" s="1190"/>
      <c r="P73" s="1190"/>
      <c r="Q73" s="1190"/>
      <c r="R73" s="1191"/>
      <c r="S73" s="1191"/>
      <c r="T73" s="1191"/>
      <c r="U73" s="1191"/>
      <c r="V73" s="1191"/>
      <c r="W73" s="2956"/>
      <c r="X73" s="1192"/>
      <c r="Y73" s="974"/>
      <c r="Z73" s="974"/>
      <c r="AA73" s="1193"/>
      <c r="AB73" s="974"/>
      <c r="AC73" s="974"/>
      <c r="AD73" s="974"/>
      <c r="AE73" s="1193"/>
      <c r="AF73" s="974"/>
      <c r="AG73" s="974"/>
    </row>
    <row r="74" spans="1:33" x14ac:dyDescent="0.25">
      <c r="A74" s="2913"/>
      <c r="B74" s="775">
        <v>2066</v>
      </c>
      <c r="C74" s="1134">
        <f>R7</f>
        <v>4349639.1647264874</v>
      </c>
      <c r="D74" s="827">
        <v>97</v>
      </c>
      <c r="E74" s="1156">
        <f t="shared" si="0"/>
        <v>421914.99897846929</v>
      </c>
      <c r="F74" s="2922"/>
      <c r="G74" s="1188"/>
      <c r="H74" s="1189"/>
      <c r="I74" s="1190"/>
      <c r="J74" s="1190"/>
      <c r="K74" s="1190"/>
      <c r="L74" s="1190"/>
      <c r="M74" s="1190"/>
      <c r="N74" s="1190"/>
      <c r="O74" s="1190"/>
      <c r="P74" s="1190"/>
      <c r="Q74" s="1190"/>
      <c r="R74" s="1191"/>
      <c r="S74" s="1191"/>
      <c r="T74" s="1191"/>
      <c r="U74" s="1191"/>
      <c r="V74" s="1191"/>
      <c r="W74" s="2956"/>
      <c r="X74" s="1192"/>
      <c r="Y74" s="974"/>
      <c r="Z74" s="974"/>
      <c r="AA74" s="1193"/>
      <c r="AB74" s="974"/>
      <c r="AC74" s="974"/>
      <c r="AD74" s="974"/>
      <c r="AE74" s="1193"/>
      <c r="AF74" s="974"/>
      <c r="AG74" s="974"/>
    </row>
    <row r="75" spans="1:33" x14ac:dyDescent="0.25">
      <c r="A75" s="2913"/>
      <c r="B75" s="775">
        <v>2067</v>
      </c>
      <c r="C75" s="1134">
        <f>R7</f>
        <v>4349639.1647264874</v>
      </c>
      <c r="D75" s="827">
        <v>97</v>
      </c>
      <c r="E75" s="1156">
        <f t="shared" si="0"/>
        <v>421914.99897846929</v>
      </c>
      <c r="F75" s="2922"/>
      <c r="G75" s="1188"/>
      <c r="H75" s="1189"/>
      <c r="I75" s="1190"/>
      <c r="J75" s="1190"/>
      <c r="K75" s="1190"/>
      <c r="L75" s="1190"/>
      <c r="M75" s="1190"/>
      <c r="N75" s="1190"/>
      <c r="O75" s="1190"/>
      <c r="P75" s="1190"/>
      <c r="Q75" s="1190"/>
      <c r="R75" s="1191"/>
      <c r="S75" s="1191"/>
      <c r="T75" s="1191"/>
      <c r="U75" s="1191"/>
      <c r="V75" s="1191"/>
      <c r="W75" s="2956"/>
      <c r="X75" s="1192"/>
      <c r="Y75" s="974"/>
      <c r="Z75" s="974"/>
      <c r="AA75" s="1193"/>
      <c r="AB75" s="974"/>
      <c r="AC75" s="974"/>
      <c r="AD75" s="974"/>
      <c r="AE75" s="1193"/>
      <c r="AF75" s="974"/>
      <c r="AG75" s="974"/>
    </row>
    <row r="76" spans="1:33" x14ac:dyDescent="0.25">
      <c r="A76" s="2913"/>
      <c r="B76" s="775">
        <v>2068</v>
      </c>
      <c r="C76" s="1134">
        <f>R7</f>
        <v>4349639.1647264874</v>
      </c>
      <c r="D76" s="827">
        <v>97</v>
      </c>
      <c r="E76" s="1156">
        <f t="shared" si="0"/>
        <v>421914.99897846929</v>
      </c>
      <c r="F76" s="2922"/>
      <c r="G76" s="1188"/>
      <c r="H76" s="1189"/>
      <c r="I76" s="1190"/>
      <c r="J76" s="1190"/>
      <c r="K76" s="1190"/>
      <c r="L76" s="1190"/>
      <c r="M76" s="1190"/>
      <c r="N76" s="1190"/>
      <c r="O76" s="1190"/>
      <c r="P76" s="1190"/>
      <c r="Q76" s="1190"/>
      <c r="R76" s="1191"/>
      <c r="S76" s="1191"/>
      <c r="T76" s="1191"/>
      <c r="U76" s="1191"/>
      <c r="V76" s="1191"/>
      <c r="W76" s="2956"/>
      <c r="X76" s="1192"/>
      <c r="Y76" s="974"/>
      <c r="Z76" s="974"/>
      <c r="AA76" s="1193"/>
      <c r="AB76" s="974"/>
      <c r="AC76" s="974"/>
      <c r="AD76" s="974"/>
      <c r="AE76" s="1193"/>
      <c r="AF76" s="974"/>
      <c r="AG76" s="974"/>
    </row>
    <row r="77" spans="1:33" ht="15.75" thickBot="1" x14ac:dyDescent="0.3">
      <c r="A77" s="2914"/>
      <c r="B77" s="776">
        <v>2069</v>
      </c>
      <c r="C77" s="1135">
        <f>R7</f>
        <v>4349639.1647264874</v>
      </c>
      <c r="D77" s="1062">
        <v>97</v>
      </c>
      <c r="E77" s="1160">
        <f t="shared" si="0"/>
        <v>421914.99897846929</v>
      </c>
      <c r="F77" s="2923"/>
      <c r="G77" s="1188"/>
      <c r="H77" s="1189"/>
      <c r="I77" s="1190"/>
      <c r="J77" s="1190"/>
      <c r="K77" s="1190"/>
      <c r="L77" s="1190"/>
      <c r="M77" s="1190"/>
      <c r="N77" s="1190"/>
      <c r="O77" s="1190"/>
      <c r="P77" s="1190"/>
      <c r="Q77" s="1190"/>
      <c r="R77" s="1191"/>
      <c r="S77" s="1191"/>
      <c r="T77" s="1191"/>
      <c r="U77" s="1191"/>
      <c r="V77" s="1191"/>
      <c r="W77" s="2956"/>
      <c r="X77" s="1192"/>
      <c r="Y77" s="974"/>
      <c r="Z77" s="974"/>
      <c r="AA77" s="1193"/>
      <c r="AB77" s="974"/>
      <c r="AC77" s="974"/>
      <c r="AD77" s="974"/>
      <c r="AE77" s="1193"/>
      <c r="AF77" s="974"/>
      <c r="AG77" s="974"/>
    </row>
    <row r="78" spans="1:33" x14ac:dyDescent="0.25">
      <c r="A78" s="2903" t="s">
        <v>1077</v>
      </c>
      <c r="B78" s="888">
        <v>2019</v>
      </c>
      <c r="C78" s="1153">
        <f t="shared" ref="C78:C109" si="1">$R$8</f>
        <v>8469098.4061250165</v>
      </c>
      <c r="D78" s="1056">
        <v>62</v>
      </c>
      <c r="E78" s="1153">
        <f>(C78/1000)*D78</f>
        <v>525084.10117975099</v>
      </c>
      <c r="F78" s="2921">
        <f>SUM(E78:E128)*1.2682</f>
        <v>47204544.081056863</v>
      </c>
      <c r="G78" s="1188"/>
      <c r="H78" s="1189"/>
      <c r="I78" s="1190"/>
      <c r="J78" s="1190"/>
      <c r="K78" s="1190"/>
      <c r="L78" s="1190"/>
      <c r="M78" s="1190"/>
      <c r="N78" s="1190"/>
      <c r="O78" s="1190"/>
      <c r="P78" s="1190"/>
      <c r="Q78" s="1190"/>
      <c r="R78" s="1191"/>
      <c r="S78" s="1191"/>
      <c r="T78" s="1191"/>
      <c r="U78" s="1191"/>
      <c r="V78" s="1191"/>
      <c r="W78" s="2956"/>
      <c r="X78" s="1192"/>
      <c r="Y78" s="974"/>
      <c r="Z78" s="974"/>
      <c r="AA78" s="1193"/>
      <c r="AB78" s="974"/>
      <c r="AC78" s="974"/>
      <c r="AD78" s="974"/>
      <c r="AE78" s="1193"/>
      <c r="AF78" s="974"/>
      <c r="AG78" s="974"/>
    </row>
    <row r="79" spans="1:33" x14ac:dyDescent="0.25">
      <c r="A79" s="2862"/>
      <c r="B79" s="706">
        <v>2020</v>
      </c>
      <c r="C79" s="1156">
        <f t="shared" si="1"/>
        <v>8469098.4061250165</v>
      </c>
      <c r="D79" s="827">
        <v>64</v>
      </c>
      <c r="E79" s="1156">
        <f>(C79/1000)*D79</f>
        <v>542022.29799200105</v>
      </c>
      <c r="F79" s="2922"/>
      <c r="G79" s="1188"/>
      <c r="H79" s="1189"/>
      <c r="I79" s="1190"/>
      <c r="J79" s="1190"/>
      <c r="K79" s="1190"/>
      <c r="L79" s="1190"/>
      <c r="M79" s="1190"/>
      <c r="N79" s="1190"/>
      <c r="O79" s="1190"/>
      <c r="P79" s="1190"/>
      <c r="Q79" s="1190"/>
      <c r="R79" s="1191"/>
      <c r="S79" s="1191"/>
      <c r="T79" s="1191"/>
      <c r="U79" s="1191"/>
      <c r="V79" s="1191"/>
      <c r="W79" s="2956"/>
      <c r="X79" s="1192"/>
      <c r="Y79" s="974"/>
      <c r="Z79" s="974"/>
      <c r="AA79" s="1193"/>
      <c r="AB79" s="974"/>
      <c r="AC79" s="974"/>
      <c r="AD79" s="974"/>
      <c r="AE79" s="1193"/>
      <c r="AF79" s="974"/>
      <c r="AG79" s="974"/>
    </row>
    <row r="80" spans="1:33" x14ac:dyDescent="0.25">
      <c r="A80" s="2862"/>
      <c r="B80" s="706">
        <v>2021</v>
      </c>
      <c r="C80" s="1156">
        <f t="shared" si="1"/>
        <v>8469098.4061250165</v>
      </c>
      <c r="D80" s="827">
        <v>65</v>
      </c>
      <c r="E80" s="1156">
        <f>(C80/1000)*D80</f>
        <v>550491.39639812603</v>
      </c>
      <c r="F80" s="2922"/>
      <c r="G80" s="1188"/>
      <c r="H80" s="1189"/>
      <c r="I80" s="1190"/>
      <c r="J80" s="1190"/>
      <c r="K80" s="1190"/>
      <c r="L80" s="1190"/>
      <c r="M80" s="1190"/>
      <c r="N80" s="1190"/>
      <c r="O80" s="1190"/>
      <c r="P80" s="1190"/>
      <c r="Q80" s="1190"/>
      <c r="R80" s="1191"/>
      <c r="S80" s="1191"/>
      <c r="T80" s="1191"/>
      <c r="U80" s="1191"/>
      <c r="V80" s="1191"/>
      <c r="W80" s="2956"/>
      <c r="X80" s="1192"/>
      <c r="Y80" s="974"/>
      <c r="Z80" s="974"/>
      <c r="AA80" s="1193"/>
      <c r="AB80" s="974"/>
      <c r="AC80" s="974"/>
      <c r="AD80" s="974"/>
      <c r="AE80" s="1193"/>
      <c r="AF80" s="974"/>
      <c r="AG80" s="974"/>
    </row>
    <row r="81" spans="1:33" x14ac:dyDescent="0.25">
      <c r="A81" s="2862"/>
      <c r="B81" s="706">
        <v>2022</v>
      </c>
      <c r="C81" s="1156">
        <f t="shared" si="1"/>
        <v>8469098.4061250165</v>
      </c>
      <c r="D81" s="827">
        <v>66</v>
      </c>
      <c r="E81" s="1156">
        <f t="shared" ref="E81:E128" si="2">(C81/1000)*D81</f>
        <v>558960.49480425112</v>
      </c>
      <c r="F81" s="2922"/>
      <c r="G81" s="1188"/>
      <c r="H81" s="1189"/>
      <c r="I81" s="1190"/>
      <c r="J81" s="1190"/>
      <c r="K81" s="1190"/>
      <c r="L81" s="1190"/>
      <c r="M81" s="1190"/>
      <c r="N81" s="1190"/>
      <c r="O81" s="1190"/>
      <c r="P81" s="1190"/>
      <c r="Q81" s="1190"/>
      <c r="R81" s="1191"/>
      <c r="S81" s="1191"/>
      <c r="T81" s="1191"/>
      <c r="U81" s="1191"/>
      <c r="V81" s="1191"/>
      <c r="W81" s="2956"/>
      <c r="X81" s="1192"/>
      <c r="Y81" s="974"/>
      <c r="Z81" s="974"/>
      <c r="AA81" s="1193"/>
      <c r="AB81" s="974"/>
      <c r="AC81" s="974"/>
      <c r="AD81" s="974"/>
      <c r="AE81" s="1193"/>
      <c r="AF81" s="974"/>
      <c r="AG81" s="974"/>
    </row>
    <row r="82" spans="1:33" x14ac:dyDescent="0.25">
      <c r="A82" s="2862"/>
      <c r="B82" s="706">
        <v>2023</v>
      </c>
      <c r="C82" s="1156">
        <f t="shared" si="1"/>
        <v>8469098.4061250165</v>
      </c>
      <c r="D82" s="827">
        <v>67</v>
      </c>
      <c r="E82" s="1156">
        <f t="shared" si="2"/>
        <v>567429.5932103761</v>
      </c>
      <c r="F82" s="2922"/>
      <c r="G82" s="1188"/>
      <c r="H82" s="1189"/>
      <c r="I82" s="1190"/>
      <c r="J82" s="1190"/>
      <c r="K82" s="1190"/>
      <c r="L82" s="1190"/>
      <c r="M82" s="1190"/>
      <c r="N82" s="1190"/>
      <c r="O82" s="1190"/>
      <c r="P82" s="1190"/>
      <c r="Q82" s="1190"/>
      <c r="R82" s="1191"/>
      <c r="S82" s="1191"/>
      <c r="T82" s="1191"/>
      <c r="U82" s="1191"/>
      <c r="V82" s="1191"/>
      <c r="W82" s="2956"/>
      <c r="X82" s="1192"/>
      <c r="Y82" s="974"/>
      <c r="Z82" s="974"/>
      <c r="AA82" s="1193"/>
      <c r="AB82" s="974"/>
      <c r="AC82" s="974"/>
      <c r="AD82" s="974"/>
      <c r="AE82" s="1193"/>
      <c r="AF82" s="974"/>
      <c r="AG82" s="974"/>
    </row>
    <row r="83" spans="1:33" x14ac:dyDescent="0.25">
      <c r="A83" s="2862"/>
      <c r="B83" s="706">
        <v>2024</v>
      </c>
      <c r="C83" s="1156">
        <f t="shared" si="1"/>
        <v>8469098.4061250165</v>
      </c>
      <c r="D83" s="827">
        <v>68</v>
      </c>
      <c r="E83" s="1156">
        <f t="shared" si="2"/>
        <v>575898.69161650108</v>
      </c>
      <c r="F83" s="2922"/>
      <c r="G83" s="1188"/>
      <c r="H83" s="1189"/>
      <c r="I83" s="1190"/>
      <c r="J83" s="1190"/>
      <c r="K83" s="1190"/>
      <c r="L83" s="1190"/>
      <c r="M83" s="1190"/>
      <c r="N83" s="1190"/>
      <c r="O83" s="1190"/>
      <c r="P83" s="1190"/>
      <c r="Q83" s="1190"/>
      <c r="R83" s="1191"/>
      <c r="S83" s="1191"/>
      <c r="T83" s="1191"/>
      <c r="U83" s="1191"/>
      <c r="V83" s="1191"/>
      <c r="W83" s="2956"/>
      <c r="X83" s="1192"/>
      <c r="Y83" s="974"/>
      <c r="Z83" s="974"/>
      <c r="AA83" s="1193"/>
      <c r="AB83" s="974"/>
      <c r="AC83" s="974"/>
      <c r="AD83" s="974"/>
      <c r="AE83" s="1193"/>
      <c r="AF83" s="974"/>
      <c r="AG83" s="974"/>
    </row>
    <row r="84" spans="1:33" x14ac:dyDescent="0.25">
      <c r="A84" s="2862"/>
      <c r="B84" s="706">
        <v>2025</v>
      </c>
      <c r="C84" s="1156">
        <f t="shared" si="1"/>
        <v>8469098.4061250165</v>
      </c>
      <c r="D84" s="827">
        <v>69</v>
      </c>
      <c r="E84" s="1156">
        <f t="shared" si="2"/>
        <v>584367.79002262617</v>
      </c>
      <c r="F84" s="2922"/>
      <c r="G84" s="1188"/>
      <c r="H84" s="1189"/>
      <c r="I84" s="1190"/>
      <c r="J84" s="1190"/>
      <c r="K84" s="1190"/>
      <c r="L84" s="1190"/>
      <c r="M84" s="1190"/>
      <c r="N84" s="1190"/>
      <c r="O84" s="1190"/>
      <c r="P84" s="1190"/>
      <c r="Q84" s="1190"/>
      <c r="R84" s="1191"/>
      <c r="S84" s="1191"/>
      <c r="T84" s="1191"/>
      <c r="U84" s="1191"/>
      <c r="V84" s="1191"/>
      <c r="W84" s="2956"/>
      <c r="X84" s="1192"/>
      <c r="Y84" s="974"/>
      <c r="Z84" s="974"/>
      <c r="AA84" s="1193"/>
      <c r="AB84" s="974"/>
      <c r="AC84" s="974"/>
      <c r="AD84" s="974"/>
      <c r="AE84" s="1193"/>
      <c r="AF84" s="974"/>
      <c r="AG84" s="974"/>
    </row>
    <row r="85" spans="1:33" x14ac:dyDescent="0.25">
      <c r="A85" s="2862"/>
      <c r="B85" s="706">
        <v>2026</v>
      </c>
      <c r="C85" s="1156">
        <f t="shared" si="1"/>
        <v>8469098.4061250165</v>
      </c>
      <c r="D85" s="827">
        <v>70</v>
      </c>
      <c r="E85" s="1156">
        <f t="shared" si="2"/>
        <v>592836.88842875115</v>
      </c>
      <c r="F85" s="2922"/>
      <c r="G85" s="1188"/>
      <c r="H85" s="1189"/>
      <c r="I85" s="1190"/>
      <c r="J85" s="1190"/>
      <c r="K85" s="1190"/>
      <c r="L85" s="1190"/>
      <c r="M85" s="1190"/>
      <c r="N85" s="1190"/>
      <c r="O85" s="1190"/>
      <c r="P85" s="1190"/>
      <c r="Q85" s="1190"/>
      <c r="R85" s="1191"/>
      <c r="S85" s="1191"/>
      <c r="T85" s="1191"/>
      <c r="U85" s="1191"/>
      <c r="V85" s="1191"/>
      <c r="W85" s="2956"/>
      <c r="X85" s="1192"/>
      <c r="Y85" s="974"/>
      <c r="Z85" s="974"/>
      <c r="AA85" s="1193"/>
      <c r="AB85" s="974"/>
      <c r="AC85" s="974"/>
      <c r="AD85" s="974"/>
      <c r="AE85" s="1193"/>
      <c r="AF85" s="974"/>
      <c r="AG85" s="974"/>
    </row>
    <row r="86" spans="1:33" x14ac:dyDescent="0.25">
      <c r="A86" s="2862"/>
      <c r="B86" s="706">
        <v>2027</v>
      </c>
      <c r="C86" s="1156">
        <f t="shared" si="1"/>
        <v>8469098.4061250165</v>
      </c>
      <c r="D86" s="827">
        <v>71</v>
      </c>
      <c r="E86" s="1156">
        <f t="shared" si="2"/>
        <v>601305.98683487612</v>
      </c>
      <c r="F86" s="2922"/>
      <c r="G86" s="1188"/>
      <c r="H86" s="1189"/>
      <c r="I86" s="1190"/>
      <c r="J86" s="1190"/>
      <c r="K86" s="1190"/>
      <c r="L86" s="1190"/>
      <c r="M86" s="1190"/>
      <c r="N86" s="1190"/>
      <c r="O86" s="1190"/>
      <c r="P86" s="1190"/>
      <c r="Q86" s="1190"/>
      <c r="R86" s="1191"/>
      <c r="S86" s="1191"/>
      <c r="T86" s="1191"/>
      <c r="U86" s="1191"/>
      <c r="V86" s="1191"/>
      <c r="W86" s="2956"/>
      <c r="X86" s="1192"/>
      <c r="Y86" s="974"/>
      <c r="Z86" s="974"/>
      <c r="AA86" s="1193"/>
      <c r="AB86" s="974"/>
      <c r="AC86" s="974"/>
      <c r="AD86" s="974"/>
      <c r="AE86" s="1193"/>
      <c r="AF86" s="974"/>
      <c r="AG86" s="974"/>
    </row>
    <row r="87" spans="1:33" x14ac:dyDescent="0.25">
      <c r="A87" s="2862"/>
      <c r="B87" s="706">
        <v>2028</v>
      </c>
      <c r="C87" s="1156">
        <f t="shared" si="1"/>
        <v>8469098.4061250165</v>
      </c>
      <c r="D87" s="827">
        <v>72</v>
      </c>
      <c r="E87" s="1156">
        <f t="shared" si="2"/>
        <v>609775.08524100122</v>
      </c>
      <c r="F87" s="2922"/>
      <c r="G87" s="1188"/>
      <c r="H87" s="1189"/>
      <c r="I87" s="1190"/>
      <c r="J87" s="1190"/>
      <c r="K87" s="1190"/>
      <c r="L87" s="1190"/>
      <c r="M87" s="1190"/>
      <c r="N87" s="1190"/>
      <c r="O87" s="1190"/>
      <c r="P87" s="1190"/>
      <c r="Q87" s="1190"/>
      <c r="R87" s="1191"/>
      <c r="S87" s="1191"/>
      <c r="T87" s="1191"/>
      <c r="U87" s="1191"/>
      <c r="V87" s="1191"/>
      <c r="W87" s="2956"/>
      <c r="X87" s="1192"/>
      <c r="Y87" s="974"/>
      <c r="Z87" s="974"/>
      <c r="AA87" s="1193"/>
      <c r="AB87" s="974"/>
      <c r="AC87" s="974"/>
      <c r="AD87" s="974"/>
      <c r="AE87" s="1193"/>
      <c r="AF87" s="974"/>
      <c r="AG87" s="974"/>
    </row>
    <row r="88" spans="1:33" x14ac:dyDescent="0.25">
      <c r="A88" s="2862"/>
      <c r="B88" s="706">
        <v>2029</v>
      </c>
      <c r="C88" s="1156">
        <f t="shared" si="1"/>
        <v>8469098.4061250165</v>
      </c>
      <c r="D88" s="827">
        <v>73</v>
      </c>
      <c r="E88" s="1156">
        <f t="shared" si="2"/>
        <v>618244.18364712619</v>
      </c>
      <c r="F88" s="2922"/>
      <c r="G88" s="1188"/>
      <c r="H88" s="1189"/>
      <c r="I88" s="1190"/>
      <c r="J88" s="1190"/>
      <c r="K88" s="1190"/>
      <c r="L88" s="1190"/>
      <c r="M88" s="1190"/>
      <c r="N88" s="1190"/>
      <c r="O88" s="1190"/>
      <c r="P88" s="1190"/>
      <c r="Q88" s="1190"/>
      <c r="R88" s="1191"/>
      <c r="S88" s="1191"/>
      <c r="T88" s="1191"/>
      <c r="U88" s="1191"/>
      <c r="V88" s="1191"/>
      <c r="W88" s="2956"/>
      <c r="X88" s="1192"/>
      <c r="Y88" s="974"/>
      <c r="Z88" s="974"/>
      <c r="AA88" s="1193"/>
      <c r="AB88" s="974"/>
      <c r="AC88" s="974"/>
      <c r="AD88" s="974"/>
      <c r="AE88" s="1193"/>
      <c r="AF88" s="974"/>
      <c r="AG88" s="974"/>
    </row>
    <row r="89" spans="1:33" x14ac:dyDescent="0.25">
      <c r="A89" s="2862"/>
      <c r="B89" s="706">
        <v>2030</v>
      </c>
      <c r="C89" s="1156">
        <f t="shared" si="1"/>
        <v>8469098.4061250165</v>
      </c>
      <c r="D89" s="827">
        <v>75</v>
      </c>
      <c r="E89" s="1156">
        <f t="shared" si="2"/>
        <v>635182.38045937626</v>
      </c>
      <c r="F89" s="2922"/>
      <c r="G89" s="1188"/>
      <c r="H89" s="1189"/>
      <c r="I89" s="1190"/>
      <c r="J89" s="1190"/>
      <c r="K89" s="1190"/>
      <c r="L89" s="1190"/>
      <c r="M89" s="1190"/>
      <c r="N89" s="1190"/>
      <c r="O89" s="1190"/>
      <c r="P89" s="1190"/>
      <c r="Q89" s="1190"/>
      <c r="R89" s="1191"/>
      <c r="S89" s="1191"/>
      <c r="T89" s="1191"/>
      <c r="U89" s="1191"/>
      <c r="V89" s="1191"/>
      <c r="W89" s="2956"/>
      <c r="X89" s="1192"/>
      <c r="Y89" s="974"/>
      <c r="Z89" s="974"/>
      <c r="AA89" s="1193"/>
      <c r="AB89" s="974"/>
      <c r="AC89" s="974"/>
      <c r="AD89" s="974"/>
      <c r="AE89" s="1193"/>
      <c r="AF89" s="974"/>
      <c r="AG89" s="974"/>
    </row>
    <row r="90" spans="1:33" x14ac:dyDescent="0.25">
      <c r="A90" s="2862"/>
      <c r="B90" s="706">
        <v>2031</v>
      </c>
      <c r="C90" s="1156">
        <f t="shared" si="1"/>
        <v>8469098.4061250165</v>
      </c>
      <c r="D90" s="827">
        <v>76</v>
      </c>
      <c r="E90" s="1156">
        <f t="shared" si="2"/>
        <v>643651.47886550124</v>
      </c>
      <c r="F90" s="2922"/>
      <c r="G90" s="1188"/>
      <c r="H90" s="1189"/>
      <c r="I90" s="1190"/>
      <c r="J90" s="1190"/>
      <c r="K90" s="1190"/>
      <c r="L90" s="1190"/>
      <c r="M90" s="1190"/>
      <c r="N90" s="1190"/>
      <c r="O90" s="1190"/>
      <c r="P90" s="1190"/>
      <c r="Q90" s="1190"/>
      <c r="R90" s="1191"/>
      <c r="S90" s="1191"/>
      <c r="T90" s="1191"/>
      <c r="U90" s="1191"/>
      <c r="V90" s="1191"/>
      <c r="W90" s="2956"/>
      <c r="X90" s="1192"/>
      <c r="Y90" s="974"/>
      <c r="Z90" s="974"/>
      <c r="AA90" s="1193"/>
      <c r="AB90" s="974"/>
      <c r="AC90" s="974"/>
      <c r="AD90" s="974"/>
      <c r="AE90" s="1193"/>
      <c r="AF90" s="974"/>
      <c r="AG90" s="974"/>
    </row>
    <row r="91" spans="1:33" x14ac:dyDescent="0.25">
      <c r="A91" s="2862"/>
      <c r="B91" s="706">
        <v>2032</v>
      </c>
      <c r="C91" s="1156">
        <f t="shared" si="1"/>
        <v>8469098.4061250165</v>
      </c>
      <c r="D91" s="827">
        <v>77</v>
      </c>
      <c r="E91" s="1156">
        <f t="shared" si="2"/>
        <v>652120.57727162621</v>
      </c>
      <c r="F91" s="2922"/>
      <c r="G91" s="1188"/>
      <c r="H91" s="1189"/>
      <c r="I91" s="1190"/>
      <c r="J91" s="1190"/>
      <c r="K91" s="1190"/>
      <c r="L91" s="1190"/>
      <c r="M91" s="1190"/>
      <c r="N91" s="1190"/>
      <c r="O91" s="1190"/>
      <c r="P91" s="1190"/>
      <c r="Q91" s="1190"/>
      <c r="R91" s="1191"/>
      <c r="S91" s="1191"/>
      <c r="T91" s="1191"/>
      <c r="U91" s="1191"/>
      <c r="V91" s="1191"/>
      <c r="W91" s="2956"/>
      <c r="X91" s="1192"/>
      <c r="Y91" s="974"/>
      <c r="Z91" s="974"/>
      <c r="AA91" s="1193"/>
      <c r="AB91" s="974"/>
      <c r="AC91" s="974"/>
      <c r="AD91" s="974"/>
      <c r="AE91" s="1193"/>
      <c r="AF91" s="974"/>
      <c r="AG91" s="974"/>
    </row>
    <row r="92" spans="1:33" x14ac:dyDescent="0.25">
      <c r="A92" s="2862"/>
      <c r="B92" s="706">
        <v>2033</v>
      </c>
      <c r="C92" s="1156">
        <f t="shared" si="1"/>
        <v>8469098.4061250165</v>
      </c>
      <c r="D92" s="827">
        <v>78</v>
      </c>
      <c r="E92" s="1156">
        <f t="shared" si="2"/>
        <v>660589.67567775131</v>
      </c>
      <c r="F92" s="2922"/>
      <c r="G92" s="1188"/>
      <c r="H92" s="1189"/>
      <c r="I92" s="1190"/>
      <c r="J92" s="1190"/>
      <c r="K92" s="1190"/>
      <c r="L92" s="1190"/>
      <c r="M92" s="1190"/>
      <c r="N92" s="1190"/>
      <c r="O92" s="1190"/>
      <c r="P92" s="1190"/>
      <c r="Q92" s="1190"/>
      <c r="R92" s="1191"/>
      <c r="S92" s="1191"/>
      <c r="T92" s="1191"/>
      <c r="U92" s="1191"/>
      <c r="V92" s="1191"/>
      <c r="W92" s="2956"/>
      <c r="X92" s="1192"/>
      <c r="Y92" s="974"/>
      <c r="Z92" s="974"/>
      <c r="AA92" s="1193"/>
      <c r="AB92" s="974"/>
      <c r="AC92" s="974"/>
      <c r="AD92" s="974"/>
      <c r="AE92" s="1193"/>
      <c r="AF92" s="974"/>
      <c r="AG92" s="974"/>
    </row>
    <row r="93" spans="1:33" x14ac:dyDescent="0.25">
      <c r="A93" s="2862"/>
      <c r="B93" s="706">
        <v>2034</v>
      </c>
      <c r="C93" s="1156">
        <f t="shared" si="1"/>
        <v>8469098.4061250165</v>
      </c>
      <c r="D93" s="827">
        <v>79</v>
      </c>
      <c r="E93" s="1156">
        <f t="shared" si="2"/>
        <v>669058.77408387628</v>
      </c>
      <c r="F93" s="2922"/>
      <c r="G93" s="1188"/>
      <c r="H93" s="1189"/>
      <c r="I93" s="1190"/>
      <c r="J93" s="1190"/>
      <c r="K93" s="1190"/>
      <c r="L93" s="1190"/>
      <c r="M93" s="1190"/>
      <c r="N93" s="1190"/>
      <c r="O93" s="1190"/>
      <c r="P93" s="1190"/>
      <c r="Q93" s="1190"/>
      <c r="R93" s="1191"/>
      <c r="S93" s="1191"/>
      <c r="T93" s="1191"/>
      <c r="U93" s="1191"/>
      <c r="V93" s="1191"/>
      <c r="W93" s="2956"/>
      <c r="X93" s="1192"/>
      <c r="Y93" s="974"/>
      <c r="Z93" s="974"/>
      <c r="AA93" s="1193"/>
      <c r="AB93" s="974"/>
      <c r="AC93" s="974"/>
      <c r="AD93" s="974"/>
      <c r="AE93" s="1193"/>
      <c r="AF93" s="974"/>
      <c r="AG93" s="974"/>
    </row>
    <row r="94" spans="1:33" x14ac:dyDescent="0.25">
      <c r="A94" s="2862"/>
      <c r="B94" s="706">
        <v>2035</v>
      </c>
      <c r="C94" s="1156">
        <f t="shared" si="1"/>
        <v>8469098.4061250165</v>
      </c>
      <c r="D94" s="827">
        <v>80</v>
      </c>
      <c r="E94" s="1156">
        <f t="shared" si="2"/>
        <v>677527.87249000138</v>
      </c>
      <c r="F94" s="2922"/>
      <c r="G94" s="1188"/>
      <c r="H94" s="1189"/>
      <c r="I94" s="1190"/>
      <c r="J94" s="1190"/>
      <c r="K94" s="1190"/>
      <c r="L94" s="1190"/>
      <c r="M94" s="1190"/>
      <c r="N94" s="1190"/>
      <c r="O94" s="1190"/>
      <c r="P94" s="1190"/>
      <c r="Q94" s="1190"/>
      <c r="R94" s="1191"/>
      <c r="S94" s="1191"/>
      <c r="T94" s="1191"/>
      <c r="U94" s="1191"/>
      <c r="V94" s="1191"/>
      <c r="W94" s="2956"/>
      <c r="X94" s="1192"/>
      <c r="Y94" s="974"/>
      <c r="Z94" s="974"/>
      <c r="AA94" s="1193"/>
      <c r="AB94" s="974"/>
      <c r="AC94" s="974"/>
      <c r="AD94" s="974"/>
      <c r="AE94" s="1193"/>
      <c r="AF94" s="974"/>
      <c r="AG94" s="974"/>
    </row>
    <row r="95" spans="1:33" x14ac:dyDescent="0.25">
      <c r="A95" s="2862"/>
      <c r="B95" s="706">
        <v>2036</v>
      </c>
      <c r="C95" s="1156">
        <f t="shared" si="1"/>
        <v>8469098.4061250165</v>
      </c>
      <c r="D95" s="827">
        <v>81</v>
      </c>
      <c r="E95" s="1156">
        <f t="shared" si="2"/>
        <v>685996.97089612635</v>
      </c>
      <c r="F95" s="2922"/>
      <c r="G95" s="1188"/>
      <c r="H95" s="1189"/>
      <c r="I95" s="1190"/>
      <c r="J95" s="1190"/>
      <c r="K95" s="1190"/>
      <c r="L95" s="1190"/>
      <c r="M95" s="1190"/>
      <c r="N95" s="1190"/>
      <c r="O95" s="1190"/>
      <c r="P95" s="1190"/>
      <c r="Q95" s="1190"/>
      <c r="R95" s="1191"/>
      <c r="S95" s="1191"/>
      <c r="T95" s="1191"/>
      <c r="U95" s="1191"/>
      <c r="V95" s="1191"/>
      <c r="W95" s="2956"/>
      <c r="X95" s="1192"/>
      <c r="Y95" s="974"/>
      <c r="Z95" s="974"/>
      <c r="AA95" s="1193"/>
      <c r="AB95" s="974"/>
      <c r="AC95" s="974"/>
      <c r="AD95" s="974"/>
      <c r="AE95" s="1193"/>
      <c r="AF95" s="974"/>
      <c r="AG95" s="974"/>
    </row>
    <row r="96" spans="1:33" x14ac:dyDescent="0.25">
      <c r="A96" s="2862"/>
      <c r="B96" s="706">
        <v>2037</v>
      </c>
      <c r="C96" s="1156">
        <f t="shared" si="1"/>
        <v>8469098.4061250165</v>
      </c>
      <c r="D96" s="827">
        <v>83</v>
      </c>
      <c r="E96" s="1156">
        <f t="shared" si="2"/>
        <v>702935.16770837642</v>
      </c>
      <c r="F96" s="2922"/>
      <c r="G96" s="1188"/>
      <c r="H96" s="1189"/>
      <c r="I96" s="1190"/>
      <c r="J96" s="1190"/>
      <c r="K96" s="1190"/>
      <c r="L96" s="1190"/>
      <c r="M96" s="1190"/>
      <c r="N96" s="1190"/>
      <c r="O96" s="1190"/>
      <c r="P96" s="1190"/>
      <c r="Q96" s="1190"/>
      <c r="R96" s="1191"/>
      <c r="S96" s="1191"/>
      <c r="T96" s="1191"/>
      <c r="U96" s="1191"/>
      <c r="V96" s="1191"/>
      <c r="W96" s="2956"/>
      <c r="X96" s="1192"/>
      <c r="Y96" s="974"/>
      <c r="Z96" s="974"/>
      <c r="AA96" s="1193"/>
      <c r="AB96" s="974"/>
      <c r="AC96" s="974"/>
      <c r="AD96" s="974"/>
      <c r="AE96" s="1193"/>
      <c r="AF96" s="974"/>
      <c r="AG96" s="974"/>
    </row>
    <row r="97" spans="1:33" x14ac:dyDescent="0.25">
      <c r="A97" s="2862"/>
      <c r="B97" s="706">
        <v>2038</v>
      </c>
      <c r="C97" s="1156">
        <f t="shared" si="1"/>
        <v>8469098.4061250165</v>
      </c>
      <c r="D97" s="827">
        <v>84</v>
      </c>
      <c r="E97" s="1156">
        <f t="shared" si="2"/>
        <v>711404.2661145014</v>
      </c>
      <c r="F97" s="2922"/>
      <c r="G97" s="1188"/>
      <c r="H97" s="1189"/>
      <c r="I97" s="1190"/>
      <c r="J97" s="1190"/>
      <c r="K97" s="1190"/>
      <c r="L97" s="1190"/>
      <c r="M97" s="1190"/>
      <c r="N97" s="1190"/>
      <c r="O97" s="1190"/>
      <c r="P97" s="1190"/>
      <c r="Q97" s="1190"/>
      <c r="R97" s="1191"/>
      <c r="S97" s="1191"/>
      <c r="T97" s="1191"/>
      <c r="U97" s="1191"/>
      <c r="V97" s="1191"/>
      <c r="W97" s="2956"/>
      <c r="X97" s="1192"/>
      <c r="Y97" s="974"/>
      <c r="Z97" s="974"/>
      <c r="AA97" s="1193"/>
      <c r="AB97" s="974"/>
      <c r="AC97" s="974"/>
      <c r="AD97" s="974"/>
      <c r="AE97" s="1193"/>
      <c r="AF97" s="974"/>
      <c r="AG97" s="974"/>
    </row>
    <row r="98" spans="1:33" x14ac:dyDescent="0.25">
      <c r="A98" s="2862"/>
      <c r="B98" s="706">
        <v>2039</v>
      </c>
      <c r="C98" s="1156">
        <f t="shared" si="1"/>
        <v>8469098.4061250165</v>
      </c>
      <c r="D98" s="827">
        <v>85</v>
      </c>
      <c r="E98" s="1156">
        <f t="shared" si="2"/>
        <v>719873.36452062638</v>
      </c>
      <c r="F98" s="2922"/>
      <c r="G98" s="1188"/>
      <c r="H98" s="1189"/>
      <c r="I98" s="1190"/>
      <c r="J98" s="1190"/>
      <c r="K98" s="1190"/>
      <c r="L98" s="1190"/>
      <c r="M98" s="1190"/>
      <c r="N98" s="1190"/>
      <c r="O98" s="1190"/>
      <c r="P98" s="1190"/>
      <c r="Q98" s="1190"/>
      <c r="R98" s="1191"/>
      <c r="S98" s="1191"/>
      <c r="T98" s="1191"/>
      <c r="U98" s="1191"/>
      <c r="V98" s="1191"/>
      <c r="W98" s="2956"/>
      <c r="X98" s="1192"/>
      <c r="Y98" s="974"/>
      <c r="Z98" s="974"/>
      <c r="AA98" s="1193"/>
      <c r="AB98" s="974"/>
      <c r="AC98" s="974"/>
      <c r="AD98" s="974"/>
      <c r="AE98" s="1193"/>
      <c r="AF98" s="974"/>
      <c r="AG98" s="974"/>
    </row>
    <row r="99" spans="1:33" x14ac:dyDescent="0.25">
      <c r="A99" s="2862"/>
      <c r="B99" s="706">
        <v>2040</v>
      </c>
      <c r="C99" s="1156">
        <f t="shared" si="1"/>
        <v>8469098.4061250165</v>
      </c>
      <c r="D99" s="827">
        <v>86</v>
      </c>
      <c r="E99" s="1156">
        <f t="shared" si="2"/>
        <v>728342.46292675147</v>
      </c>
      <c r="F99" s="2922"/>
      <c r="G99" s="1188"/>
      <c r="H99" s="1189"/>
      <c r="I99" s="1190"/>
      <c r="J99" s="1190"/>
      <c r="K99" s="1190"/>
      <c r="L99" s="1190"/>
      <c r="M99" s="1190"/>
      <c r="N99" s="1190"/>
      <c r="O99" s="1190"/>
      <c r="P99" s="1190"/>
      <c r="Q99" s="1190"/>
      <c r="R99" s="1191"/>
      <c r="S99" s="1191"/>
      <c r="T99" s="1191"/>
      <c r="U99" s="1191"/>
      <c r="V99" s="1191"/>
      <c r="W99" s="2956"/>
      <c r="X99" s="1192"/>
      <c r="Y99" s="974"/>
      <c r="Z99" s="974"/>
      <c r="AA99" s="1193"/>
      <c r="AB99" s="974"/>
      <c r="AC99" s="974"/>
      <c r="AD99" s="974"/>
      <c r="AE99" s="1193"/>
      <c r="AF99" s="974"/>
      <c r="AG99" s="974"/>
    </row>
    <row r="100" spans="1:33" x14ac:dyDescent="0.25">
      <c r="A100" s="2862"/>
      <c r="B100" s="706">
        <v>2041</v>
      </c>
      <c r="C100" s="1156">
        <f t="shared" si="1"/>
        <v>8469098.4061250165</v>
      </c>
      <c r="D100" s="827">
        <v>87</v>
      </c>
      <c r="E100" s="1156">
        <f t="shared" si="2"/>
        <v>736811.56133287644</v>
      </c>
      <c r="F100" s="2922"/>
      <c r="G100" s="1188"/>
      <c r="H100" s="1189"/>
      <c r="I100" s="1190"/>
      <c r="J100" s="1190"/>
      <c r="K100" s="1190"/>
      <c r="L100" s="1190"/>
      <c r="M100" s="1190"/>
      <c r="N100" s="1190"/>
      <c r="O100" s="1190"/>
      <c r="P100" s="1190"/>
      <c r="Q100" s="1190"/>
      <c r="R100" s="1191"/>
      <c r="S100" s="1191"/>
      <c r="T100" s="1191"/>
      <c r="U100" s="1191"/>
      <c r="V100" s="1191"/>
      <c r="W100" s="2956"/>
      <c r="X100" s="1192"/>
      <c r="Y100" s="974"/>
      <c r="Z100" s="974"/>
      <c r="AA100" s="1193"/>
      <c r="AB100" s="974"/>
      <c r="AC100" s="974"/>
      <c r="AD100" s="974"/>
      <c r="AE100" s="1193"/>
      <c r="AF100" s="974"/>
      <c r="AG100" s="974"/>
    </row>
    <row r="101" spans="1:33" x14ac:dyDescent="0.25">
      <c r="A101" s="2862"/>
      <c r="B101" s="706">
        <v>2042</v>
      </c>
      <c r="C101" s="1156">
        <f t="shared" si="1"/>
        <v>8469098.4061250165</v>
      </c>
      <c r="D101" s="827">
        <v>88</v>
      </c>
      <c r="E101" s="1156">
        <f t="shared" si="2"/>
        <v>745280.65973900142</v>
      </c>
      <c r="F101" s="2922"/>
      <c r="G101" s="1188"/>
      <c r="H101" s="1189"/>
      <c r="I101" s="1190"/>
      <c r="J101" s="1190"/>
      <c r="K101" s="1190"/>
      <c r="L101" s="1190"/>
      <c r="M101" s="1190"/>
      <c r="N101" s="1190"/>
      <c r="O101" s="1190"/>
      <c r="P101" s="1190"/>
      <c r="Q101" s="1190"/>
      <c r="R101" s="1191"/>
      <c r="S101" s="1191"/>
      <c r="T101" s="1191"/>
      <c r="U101" s="1191"/>
      <c r="V101" s="1191"/>
      <c r="W101" s="2956"/>
      <c r="X101" s="1192"/>
      <c r="Y101" s="974"/>
      <c r="Z101" s="974"/>
      <c r="AA101" s="1193"/>
      <c r="AB101" s="974"/>
      <c r="AC101" s="974"/>
      <c r="AD101" s="974"/>
      <c r="AE101" s="1193"/>
      <c r="AF101" s="974"/>
      <c r="AG101" s="974"/>
    </row>
    <row r="102" spans="1:33" x14ac:dyDescent="0.25">
      <c r="A102" s="2862"/>
      <c r="B102" s="706">
        <v>2043</v>
      </c>
      <c r="C102" s="1156">
        <f t="shared" si="1"/>
        <v>8469098.4061250165</v>
      </c>
      <c r="D102" s="827">
        <v>89</v>
      </c>
      <c r="E102" s="1156">
        <f t="shared" si="2"/>
        <v>753749.75814512651</v>
      </c>
      <c r="F102" s="2922"/>
      <c r="G102" s="1188"/>
      <c r="H102" s="1189"/>
      <c r="I102" s="1190"/>
      <c r="J102" s="1190"/>
      <c r="K102" s="1190"/>
      <c r="L102" s="1190"/>
      <c r="M102" s="1190"/>
      <c r="N102" s="1190"/>
      <c r="O102" s="1190"/>
      <c r="P102" s="1190"/>
      <c r="Q102" s="1190"/>
      <c r="R102" s="1191"/>
      <c r="S102" s="1191"/>
      <c r="T102" s="1191"/>
      <c r="U102" s="1191"/>
      <c r="V102" s="1191"/>
      <c r="W102" s="2956"/>
      <c r="X102" s="1192"/>
      <c r="Y102" s="974"/>
      <c r="Z102" s="974"/>
      <c r="AA102" s="1193"/>
      <c r="AB102" s="974"/>
      <c r="AC102" s="974"/>
      <c r="AD102" s="974"/>
      <c r="AE102" s="1193"/>
      <c r="AF102" s="974"/>
      <c r="AG102" s="974"/>
    </row>
    <row r="103" spans="1:33" x14ac:dyDescent="0.25">
      <c r="A103" s="2862"/>
      <c r="B103" s="706">
        <v>2044</v>
      </c>
      <c r="C103" s="1156">
        <f t="shared" si="1"/>
        <v>8469098.4061250165</v>
      </c>
      <c r="D103" s="827">
        <v>90</v>
      </c>
      <c r="E103" s="1156">
        <f t="shared" si="2"/>
        <v>762218.85655125149</v>
      </c>
      <c r="F103" s="2922"/>
      <c r="G103" s="1188"/>
      <c r="H103" s="1189"/>
      <c r="I103" s="1190"/>
      <c r="J103" s="1190"/>
      <c r="K103" s="1190"/>
      <c r="L103" s="1190"/>
      <c r="M103" s="1190"/>
      <c r="N103" s="1190"/>
      <c r="O103" s="1190"/>
      <c r="P103" s="1190"/>
      <c r="Q103" s="1190"/>
      <c r="R103" s="1191"/>
      <c r="S103" s="1191"/>
      <c r="T103" s="1191"/>
      <c r="U103" s="1191"/>
      <c r="V103" s="1191"/>
      <c r="W103" s="2956"/>
      <c r="X103" s="1192"/>
      <c r="Y103" s="974"/>
      <c r="Z103" s="974"/>
      <c r="AA103" s="1193"/>
      <c r="AB103" s="974"/>
      <c r="AC103" s="974"/>
      <c r="AD103" s="974"/>
      <c r="AE103" s="1193"/>
      <c r="AF103" s="974"/>
      <c r="AG103" s="974"/>
    </row>
    <row r="104" spans="1:33" x14ac:dyDescent="0.25">
      <c r="A104" s="2862"/>
      <c r="B104" s="706">
        <v>2045</v>
      </c>
      <c r="C104" s="1156">
        <f t="shared" si="1"/>
        <v>8469098.4061250165</v>
      </c>
      <c r="D104" s="827">
        <v>92</v>
      </c>
      <c r="E104" s="1156">
        <f t="shared" si="2"/>
        <v>779157.05336350156</v>
      </c>
      <c r="F104" s="2922"/>
      <c r="G104" s="1188"/>
      <c r="H104" s="1189"/>
      <c r="I104" s="1190"/>
      <c r="J104" s="1190"/>
      <c r="K104" s="1190"/>
      <c r="L104" s="1190"/>
      <c r="M104" s="1190"/>
      <c r="N104" s="1190"/>
      <c r="O104" s="1190"/>
      <c r="P104" s="1190"/>
      <c r="Q104" s="1190"/>
      <c r="R104" s="1191"/>
      <c r="S104" s="1191"/>
      <c r="T104" s="1191"/>
      <c r="U104" s="1191"/>
      <c r="V104" s="1191"/>
      <c r="W104" s="2956"/>
      <c r="X104" s="1192"/>
      <c r="Y104" s="974"/>
      <c r="Z104" s="974"/>
      <c r="AA104" s="1193"/>
      <c r="AB104" s="974"/>
      <c r="AC104" s="974"/>
      <c r="AD104" s="974"/>
      <c r="AE104" s="1193"/>
      <c r="AF104" s="974"/>
      <c r="AG104" s="974"/>
    </row>
    <row r="105" spans="1:33" x14ac:dyDescent="0.25">
      <c r="A105" s="2862"/>
      <c r="B105" s="706">
        <v>2046</v>
      </c>
      <c r="C105" s="1156">
        <f t="shared" si="1"/>
        <v>8469098.4061250165</v>
      </c>
      <c r="D105" s="827">
        <v>93</v>
      </c>
      <c r="E105" s="1156">
        <f t="shared" si="2"/>
        <v>787626.15176962654</v>
      </c>
      <c r="F105" s="2922"/>
      <c r="G105" s="1188"/>
      <c r="H105" s="1189"/>
      <c r="I105" s="1190"/>
      <c r="J105" s="1190"/>
      <c r="K105" s="1190"/>
      <c r="L105" s="1190"/>
      <c r="M105" s="1190"/>
      <c r="N105" s="1190"/>
      <c r="O105" s="1190"/>
      <c r="P105" s="1190"/>
      <c r="Q105" s="1190"/>
      <c r="R105" s="1191"/>
      <c r="S105" s="1191"/>
      <c r="T105" s="1191"/>
      <c r="U105" s="1191"/>
      <c r="V105" s="1191"/>
      <c r="W105" s="2956"/>
      <c r="X105" s="1192"/>
      <c r="Y105" s="974"/>
      <c r="Z105" s="974"/>
      <c r="AA105" s="1193"/>
      <c r="AB105" s="974"/>
      <c r="AC105" s="974"/>
      <c r="AD105" s="974"/>
      <c r="AE105" s="1193"/>
      <c r="AF105" s="974"/>
      <c r="AG105" s="974"/>
    </row>
    <row r="106" spans="1:33" x14ac:dyDescent="0.25">
      <c r="A106" s="2862"/>
      <c r="B106" s="706">
        <v>2047</v>
      </c>
      <c r="C106" s="1156">
        <f t="shared" si="1"/>
        <v>8469098.4061250165</v>
      </c>
      <c r="D106" s="827">
        <v>94</v>
      </c>
      <c r="E106" s="1156">
        <f t="shared" si="2"/>
        <v>796095.25017575151</v>
      </c>
      <c r="F106" s="2922"/>
      <c r="G106" s="1188"/>
      <c r="H106" s="1189"/>
      <c r="I106" s="1190"/>
      <c r="J106" s="1190"/>
      <c r="K106" s="1190"/>
      <c r="L106" s="1190"/>
      <c r="M106" s="1190"/>
      <c r="N106" s="1190"/>
      <c r="O106" s="1190"/>
      <c r="P106" s="1190"/>
      <c r="Q106" s="1190"/>
      <c r="R106" s="1191"/>
      <c r="S106" s="1191"/>
      <c r="T106" s="1191"/>
      <c r="U106" s="1191"/>
      <c r="V106" s="1191"/>
      <c r="W106" s="2956"/>
      <c r="X106" s="1192"/>
      <c r="Y106" s="974"/>
      <c r="Z106" s="974"/>
      <c r="AA106" s="1193"/>
      <c r="AB106" s="974"/>
      <c r="AC106" s="974"/>
      <c r="AD106" s="974"/>
      <c r="AE106" s="1193"/>
      <c r="AF106" s="974"/>
      <c r="AG106" s="974"/>
    </row>
    <row r="107" spans="1:33" x14ac:dyDescent="0.25">
      <c r="A107" s="2862"/>
      <c r="B107" s="706">
        <v>2048</v>
      </c>
      <c r="C107" s="1156">
        <f t="shared" si="1"/>
        <v>8469098.4061250165</v>
      </c>
      <c r="D107" s="827">
        <v>95</v>
      </c>
      <c r="E107" s="1156">
        <f t="shared" si="2"/>
        <v>804564.34858187661</v>
      </c>
      <c r="F107" s="2922"/>
      <c r="G107" s="1188"/>
      <c r="H107" s="1189"/>
      <c r="I107" s="1190"/>
      <c r="J107" s="1190"/>
      <c r="K107" s="1190"/>
      <c r="L107" s="1190"/>
      <c r="M107" s="1190"/>
      <c r="N107" s="1190"/>
      <c r="O107" s="1190"/>
      <c r="P107" s="1190"/>
      <c r="Q107" s="1190"/>
      <c r="R107" s="1191"/>
      <c r="S107" s="1191"/>
      <c r="T107" s="1191"/>
      <c r="U107" s="1191"/>
      <c r="V107" s="1191"/>
      <c r="W107" s="2956"/>
      <c r="X107" s="1192"/>
      <c r="Y107" s="974"/>
      <c r="Z107" s="974"/>
      <c r="AA107" s="1193"/>
      <c r="AB107" s="974"/>
      <c r="AC107" s="974"/>
      <c r="AD107" s="974"/>
      <c r="AE107" s="1193"/>
      <c r="AF107" s="974"/>
      <c r="AG107" s="974"/>
    </row>
    <row r="108" spans="1:33" x14ac:dyDescent="0.25">
      <c r="A108" s="2862"/>
      <c r="B108" s="706">
        <v>2049</v>
      </c>
      <c r="C108" s="1156">
        <f t="shared" si="1"/>
        <v>8469098.4061250165</v>
      </c>
      <c r="D108" s="827">
        <v>96</v>
      </c>
      <c r="E108" s="1156">
        <f t="shared" si="2"/>
        <v>813033.44698800158</v>
      </c>
      <c r="F108" s="2922"/>
      <c r="G108" s="1188"/>
      <c r="H108" s="1189"/>
      <c r="I108" s="1190"/>
      <c r="J108" s="1190"/>
      <c r="K108" s="1190"/>
      <c r="L108" s="1190"/>
      <c r="M108" s="1190"/>
      <c r="N108" s="1190"/>
      <c r="O108" s="1190"/>
      <c r="P108" s="1190"/>
      <c r="Q108" s="1190"/>
      <c r="R108" s="1191"/>
      <c r="S108" s="1191"/>
      <c r="T108" s="1191"/>
      <c r="U108" s="1191"/>
      <c r="V108" s="1191"/>
      <c r="W108" s="2956"/>
      <c r="X108" s="1192"/>
      <c r="Y108" s="974"/>
      <c r="Z108" s="974"/>
      <c r="AA108" s="1193"/>
      <c r="AB108" s="974"/>
      <c r="AC108" s="974"/>
      <c r="AD108" s="974"/>
      <c r="AE108" s="1193"/>
      <c r="AF108" s="974"/>
      <c r="AG108" s="974"/>
    </row>
    <row r="109" spans="1:33" x14ac:dyDescent="0.25">
      <c r="A109" s="2862"/>
      <c r="B109" s="706">
        <v>2050</v>
      </c>
      <c r="C109" s="1156">
        <f t="shared" si="1"/>
        <v>8469098.4061250165</v>
      </c>
      <c r="D109" s="827">
        <v>97</v>
      </c>
      <c r="E109" s="1156">
        <f t="shared" si="2"/>
        <v>821502.54539412656</v>
      </c>
      <c r="F109" s="2922"/>
      <c r="G109" s="1188"/>
      <c r="H109" s="1189"/>
      <c r="I109" s="1190"/>
      <c r="J109" s="1190"/>
      <c r="K109" s="1190"/>
      <c r="L109" s="1190"/>
      <c r="M109" s="1190"/>
      <c r="N109" s="1190"/>
      <c r="O109" s="1190"/>
      <c r="P109" s="1190"/>
      <c r="Q109" s="1190"/>
      <c r="R109" s="1191"/>
      <c r="S109" s="1191"/>
      <c r="T109" s="1191"/>
      <c r="U109" s="1191"/>
      <c r="V109" s="1191"/>
      <c r="W109" s="2956"/>
      <c r="X109" s="1192"/>
      <c r="Y109" s="974"/>
      <c r="Z109" s="974"/>
      <c r="AA109" s="1193"/>
      <c r="AB109" s="974"/>
      <c r="AC109" s="974"/>
      <c r="AD109" s="974"/>
      <c r="AE109" s="1193"/>
      <c r="AF109" s="974"/>
      <c r="AG109" s="974"/>
    </row>
    <row r="110" spans="1:33" x14ac:dyDescent="0.25">
      <c r="A110" s="2862"/>
      <c r="B110" s="706">
        <v>2051</v>
      </c>
      <c r="C110" s="1156">
        <f t="shared" ref="C110:C128" si="3">$R$8</f>
        <v>8469098.4061250165</v>
      </c>
      <c r="D110" s="827">
        <v>97</v>
      </c>
      <c r="E110" s="1156">
        <f t="shared" si="2"/>
        <v>821502.54539412656</v>
      </c>
      <c r="F110" s="2922"/>
      <c r="G110" s="1188"/>
      <c r="H110" s="1189"/>
      <c r="I110" s="1190"/>
      <c r="J110" s="1190"/>
      <c r="K110" s="1190"/>
      <c r="L110" s="1190"/>
      <c r="M110" s="1190"/>
      <c r="N110" s="1190"/>
      <c r="O110" s="1190"/>
      <c r="P110" s="1190"/>
      <c r="Q110" s="1190"/>
      <c r="R110" s="1191"/>
      <c r="S110" s="1191"/>
      <c r="T110" s="1191"/>
      <c r="U110" s="1191"/>
      <c r="V110" s="1191"/>
      <c r="W110" s="2956"/>
      <c r="X110" s="1192"/>
      <c r="Y110" s="974"/>
      <c r="Z110" s="974"/>
      <c r="AA110" s="1193"/>
      <c r="AB110" s="974"/>
      <c r="AC110" s="974"/>
      <c r="AD110" s="974"/>
      <c r="AE110" s="1193"/>
      <c r="AF110" s="974"/>
      <c r="AG110" s="974"/>
    </row>
    <row r="111" spans="1:33" x14ac:dyDescent="0.25">
      <c r="A111" s="2862"/>
      <c r="B111" s="706">
        <v>2052</v>
      </c>
      <c r="C111" s="1156">
        <f t="shared" si="3"/>
        <v>8469098.4061250165</v>
      </c>
      <c r="D111" s="827">
        <v>97</v>
      </c>
      <c r="E111" s="1156">
        <f t="shared" si="2"/>
        <v>821502.54539412656</v>
      </c>
      <c r="F111" s="2922"/>
      <c r="G111" s="1188"/>
      <c r="H111" s="1189"/>
      <c r="I111" s="1190"/>
      <c r="J111" s="1190"/>
      <c r="K111" s="1190"/>
      <c r="L111" s="1190"/>
      <c r="M111" s="1190"/>
      <c r="N111" s="1190"/>
      <c r="O111" s="1190"/>
      <c r="P111" s="1190"/>
      <c r="Q111" s="1190"/>
      <c r="R111" s="1191"/>
      <c r="S111" s="1191"/>
      <c r="T111" s="1191"/>
      <c r="U111" s="1191"/>
      <c r="V111" s="1191"/>
      <c r="W111" s="2956"/>
      <c r="X111" s="1192"/>
      <c r="Y111" s="974"/>
      <c r="Z111" s="974"/>
      <c r="AA111" s="1193"/>
      <c r="AB111" s="974"/>
      <c r="AC111" s="974"/>
      <c r="AD111" s="974"/>
      <c r="AE111" s="1193"/>
      <c r="AF111" s="974"/>
      <c r="AG111" s="974"/>
    </row>
    <row r="112" spans="1:33" x14ac:dyDescent="0.25">
      <c r="A112" s="2862"/>
      <c r="B112" s="706">
        <v>2053</v>
      </c>
      <c r="C112" s="1156">
        <f t="shared" si="3"/>
        <v>8469098.4061250165</v>
      </c>
      <c r="D112" s="827">
        <v>97</v>
      </c>
      <c r="E112" s="1156">
        <f t="shared" si="2"/>
        <v>821502.54539412656</v>
      </c>
      <c r="F112" s="2922"/>
      <c r="G112" s="1188"/>
      <c r="H112" s="1189"/>
      <c r="I112" s="1190"/>
      <c r="J112" s="1190"/>
      <c r="K112" s="1190"/>
      <c r="L112" s="1190"/>
      <c r="M112" s="1190"/>
      <c r="N112" s="1190"/>
      <c r="O112" s="1190"/>
      <c r="P112" s="1190"/>
      <c r="Q112" s="1190"/>
      <c r="R112" s="1191"/>
      <c r="S112" s="1191"/>
      <c r="T112" s="1191"/>
      <c r="U112" s="1191"/>
      <c r="V112" s="1191"/>
      <c r="W112" s="2956"/>
      <c r="X112" s="1192"/>
      <c r="Y112" s="974"/>
      <c r="Z112" s="974"/>
      <c r="AA112" s="1193"/>
      <c r="AB112" s="974"/>
      <c r="AC112" s="974"/>
      <c r="AD112" s="974"/>
      <c r="AE112" s="1193"/>
      <c r="AF112" s="974"/>
      <c r="AG112" s="974"/>
    </row>
    <row r="113" spans="1:33" x14ac:dyDescent="0.25">
      <c r="A113" s="2862"/>
      <c r="B113" s="706">
        <v>2054</v>
      </c>
      <c r="C113" s="1156">
        <f t="shared" si="3"/>
        <v>8469098.4061250165</v>
      </c>
      <c r="D113" s="827">
        <v>97</v>
      </c>
      <c r="E113" s="1156">
        <f t="shared" si="2"/>
        <v>821502.54539412656</v>
      </c>
      <c r="F113" s="2922"/>
      <c r="G113" s="1188"/>
      <c r="H113" s="1189"/>
      <c r="I113" s="1190"/>
      <c r="J113" s="1190"/>
      <c r="K113" s="1190"/>
      <c r="L113" s="1190"/>
      <c r="M113" s="1190"/>
      <c r="N113" s="1190"/>
      <c r="O113" s="1190"/>
      <c r="P113" s="1190"/>
      <c r="Q113" s="1190"/>
      <c r="R113" s="1191"/>
      <c r="S113" s="1191"/>
      <c r="T113" s="1191"/>
      <c r="U113" s="1191"/>
      <c r="V113" s="1191"/>
      <c r="W113" s="2956"/>
      <c r="X113" s="1192"/>
      <c r="Y113" s="974"/>
      <c r="Z113" s="974"/>
      <c r="AA113" s="1193"/>
      <c r="AB113" s="974"/>
      <c r="AC113" s="974"/>
      <c r="AD113" s="974"/>
      <c r="AE113" s="1193"/>
      <c r="AF113" s="974"/>
      <c r="AG113" s="974"/>
    </row>
    <row r="114" spans="1:33" x14ac:dyDescent="0.25">
      <c r="A114" s="2862"/>
      <c r="B114" s="706">
        <v>2055</v>
      </c>
      <c r="C114" s="1156">
        <f t="shared" si="3"/>
        <v>8469098.4061250165</v>
      </c>
      <c r="D114" s="827">
        <v>97</v>
      </c>
      <c r="E114" s="1156">
        <f t="shared" si="2"/>
        <v>821502.54539412656</v>
      </c>
      <c r="F114" s="2922"/>
      <c r="G114" s="1188"/>
      <c r="H114" s="1189"/>
      <c r="I114" s="1190"/>
      <c r="J114" s="1190"/>
      <c r="K114" s="1190"/>
      <c r="L114" s="1190"/>
      <c r="M114" s="1190"/>
      <c r="N114" s="1190"/>
      <c r="O114" s="1190"/>
      <c r="P114" s="1190"/>
      <c r="Q114" s="1190"/>
      <c r="R114" s="1191"/>
      <c r="S114" s="1191"/>
      <c r="T114" s="1191"/>
      <c r="U114" s="1191"/>
      <c r="V114" s="1191"/>
      <c r="W114" s="2956"/>
      <c r="X114" s="1192"/>
      <c r="Y114" s="974"/>
      <c r="Z114" s="974"/>
      <c r="AA114" s="1193"/>
      <c r="AB114" s="974"/>
      <c r="AC114" s="974"/>
      <c r="AD114" s="974"/>
      <c r="AE114" s="1193"/>
      <c r="AF114" s="974"/>
      <c r="AG114" s="974"/>
    </row>
    <row r="115" spans="1:33" x14ac:dyDescent="0.25">
      <c r="A115" s="2862"/>
      <c r="B115" s="706">
        <v>2056</v>
      </c>
      <c r="C115" s="1156">
        <f t="shared" si="3"/>
        <v>8469098.4061250165</v>
      </c>
      <c r="D115" s="827">
        <v>97</v>
      </c>
      <c r="E115" s="1156">
        <f t="shared" si="2"/>
        <v>821502.54539412656</v>
      </c>
      <c r="F115" s="2922"/>
      <c r="G115" s="1188"/>
      <c r="H115" s="1189"/>
      <c r="I115" s="1190"/>
      <c r="J115" s="1190"/>
      <c r="K115" s="1190"/>
      <c r="L115" s="1190"/>
      <c r="M115" s="1190"/>
      <c r="N115" s="1190"/>
      <c r="O115" s="1190"/>
      <c r="P115" s="1190"/>
      <c r="Q115" s="1190"/>
      <c r="R115" s="1191"/>
      <c r="S115" s="1191"/>
      <c r="T115" s="1191"/>
      <c r="U115" s="1191"/>
      <c r="V115" s="1191"/>
      <c r="W115" s="2956"/>
      <c r="X115" s="1192"/>
      <c r="Y115" s="974"/>
      <c r="Z115" s="974"/>
      <c r="AA115" s="1193"/>
      <c r="AB115" s="974"/>
      <c r="AC115" s="974"/>
      <c r="AD115" s="974"/>
      <c r="AE115" s="1193"/>
      <c r="AF115" s="974"/>
      <c r="AG115" s="974"/>
    </row>
    <row r="116" spans="1:33" x14ac:dyDescent="0.25">
      <c r="A116" s="2862"/>
      <c r="B116" s="706">
        <v>2057</v>
      </c>
      <c r="C116" s="1156">
        <f t="shared" si="3"/>
        <v>8469098.4061250165</v>
      </c>
      <c r="D116" s="827">
        <v>97</v>
      </c>
      <c r="E116" s="1156">
        <f t="shared" si="2"/>
        <v>821502.54539412656</v>
      </c>
      <c r="F116" s="2922"/>
      <c r="G116" s="1188"/>
      <c r="H116" s="1189"/>
      <c r="I116" s="1190"/>
      <c r="J116" s="1190"/>
      <c r="K116" s="1190"/>
      <c r="L116" s="1190"/>
      <c r="M116" s="1190"/>
      <c r="N116" s="1190"/>
      <c r="O116" s="1190"/>
      <c r="P116" s="1190"/>
      <c r="Q116" s="1190"/>
      <c r="R116" s="1191"/>
      <c r="S116" s="1191"/>
      <c r="T116" s="1191"/>
      <c r="U116" s="1191"/>
      <c r="V116" s="1191"/>
      <c r="W116" s="2956"/>
      <c r="X116" s="1192"/>
      <c r="Y116" s="974"/>
      <c r="Z116" s="974"/>
      <c r="AA116" s="1193"/>
      <c r="AB116" s="974"/>
      <c r="AC116" s="974"/>
      <c r="AD116" s="974"/>
      <c r="AE116" s="1193"/>
      <c r="AF116" s="974"/>
      <c r="AG116" s="974"/>
    </row>
    <row r="117" spans="1:33" x14ac:dyDescent="0.25">
      <c r="A117" s="2862"/>
      <c r="B117" s="706">
        <v>2058</v>
      </c>
      <c r="C117" s="1156">
        <f t="shared" si="3"/>
        <v>8469098.4061250165</v>
      </c>
      <c r="D117" s="827">
        <v>97</v>
      </c>
      <c r="E117" s="1156">
        <f t="shared" si="2"/>
        <v>821502.54539412656</v>
      </c>
      <c r="F117" s="2922"/>
      <c r="G117" s="1188"/>
      <c r="H117" s="1189"/>
      <c r="I117" s="1190"/>
      <c r="J117" s="1190"/>
      <c r="K117" s="1190"/>
      <c r="L117" s="1190"/>
      <c r="M117" s="1190"/>
      <c r="N117" s="1190"/>
      <c r="O117" s="1190"/>
      <c r="P117" s="1190"/>
      <c r="Q117" s="1190"/>
      <c r="R117" s="1191"/>
      <c r="S117" s="1191"/>
      <c r="T117" s="1191"/>
      <c r="U117" s="1191"/>
      <c r="V117" s="1191"/>
      <c r="W117" s="2956"/>
      <c r="X117" s="1192"/>
      <c r="Y117" s="974"/>
      <c r="Z117" s="974"/>
      <c r="AA117" s="1193"/>
      <c r="AB117" s="974"/>
      <c r="AC117" s="974"/>
      <c r="AD117" s="974"/>
      <c r="AE117" s="1193"/>
      <c r="AF117" s="974"/>
      <c r="AG117" s="974"/>
    </row>
    <row r="118" spans="1:33" x14ac:dyDescent="0.25">
      <c r="A118" s="2862"/>
      <c r="B118" s="706">
        <v>2059</v>
      </c>
      <c r="C118" s="1156">
        <f t="shared" si="3"/>
        <v>8469098.4061250165</v>
      </c>
      <c r="D118" s="827">
        <v>97</v>
      </c>
      <c r="E118" s="1156">
        <f t="shared" si="2"/>
        <v>821502.54539412656</v>
      </c>
      <c r="F118" s="2922"/>
      <c r="G118" s="1188"/>
      <c r="H118" s="1189"/>
      <c r="I118" s="1190"/>
      <c r="J118" s="1190"/>
      <c r="K118" s="1190"/>
      <c r="L118" s="1190"/>
      <c r="M118" s="1190"/>
      <c r="N118" s="1190"/>
      <c r="O118" s="1190"/>
      <c r="P118" s="1190"/>
      <c r="Q118" s="1190"/>
      <c r="R118" s="1191"/>
      <c r="S118" s="1191"/>
      <c r="T118" s="1191"/>
      <c r="U118" s="1191"/>
      <c r="V118" s="1191"/>
      <c r="W118" s="2956"/>
      <c r="X118" s="1192"/>
      <c r="Y118" s="974"/>
      <c r="Z118" s="974"/>
      <c r="AA118" s="1193"/>
      <c r="AB118" s="974"/>
      <c r="AC118" s="974"/>
      <c r="AD118" s="974"/>
      <c r="AE118" s="1193"/>
      <c r="AF118" s="974"/>
      <c r="AG118" s="974"/>
    </row>
    <row r="119" spans="1:33" x14ac:dyDescent="0.25">
      <c r="A119" s="2862"/>
      <c r="B119" s="706">
        <v>2060</v>
      </c>
      <c r="C119" s="1156">
        <f t="shared" si="3"/>
        <v>8469098.4061250165</v>
      </c>
      <c r="D119" s="827">
        <v>97</v>
      </c>
      <c r="E119" s="1156">
        <f t="shared" si="2"/>
        <v>821502.54539412656</v>
      </c>
      <c r="F119" s="2922"/>
      <c r="G119" s="1188"/>
      <c r="H119" s="1189"/>
      <c r="I119" s="1190"/>
      <c r="J119" s="1190"/>
      <c r="K119" s="1190"/>
      <c r="L119" s="1190"/>
      <c r="M119" s="1190"/>
      <c r="N119" s="1190"/>
      <c r="O119" s="1190"/>
      <c r="P119" s="1190"/>
      <c r="Q119" s="1190"/>
      <c r="R119" s="1191"/>
      <c r="S119" s="1191"/>
      <c r="T119" s="1191"/>
      <c r="U119" s="1191"/>
      <c r="V119" s="1191"/>
      <c r="W119" s="2956"/>
      <c r="X119" s="1192"/>
      <c r="Y119" s="974"/>
      <c r="Z119" s="974"/>
      <c r="AA119" s="1193"/>
      <c r="AB119" s="974"/>
      <c r="AC119" s="974"/>
      <c r="AD119" s="974"/>
      <c r="AE119" s="1193"/>
      <c r="AF119" s="974"/>
      <c r="AG119" s="974"/>
    </row>
    <row r="120" spans="1:33" x14ac:dyDescent="0.25">
      <c r="A120" s="2862"/>
      <c r="B120" s="706">
        <v>2061</v>
      </c>
      <c r="C120" s="1156">
        <f t="shared" si="3"/>
        <v>8469098.4061250165</v>
      </c>
      <c r="D120" s="827">
        <v>97</v>
      </c>
      <c r="E120" s="1156">
        <f t="shared" si="2"/>
        <v>821502.54539412656</v>
      </c>
      <c r="F120" s="2922"/>
      <c r="G120" s="1188"/>
      <c r="H120" s="1189"/>
      <c r="I120" s="1190"/>
      <c r="J120" s="1190"/>
      <c r="K120" s="1190"/>
      <c r="L120" s="1190"/>
      <c r="M120" s="1190"/>
      <c r="N120" s="1190"/>
      <c r="O120" s="1190"/>
      <c r="P120" s="1190"/>
      <c r="Q120" s="1190"/>
      <c r="R120" s="1191"/>
      <c r="S120" s="1191"/>
      <c r="T120" s="1191"/>
      <c r="U120" s="1191"/>
      <c r="V120" s="1191"/>
      <c r="W120" s="2956"/>
      <c r="X120" s="1192"/>
      <c r="Y120" s="974"/>
      <c r="Z120" s="974"/>
      <c r="AA120" s="1193"/>
      <c r="AB120" s="974"/>
      <c r="AC120" s="974"/>
      <c r="AD120" s="974"/>
      <c r="AE120" s="1193"/>
      <c r="AF120" s="974"/>
      <c r="AG120" s="974"/>
    </row>
    <row r="121" spans="1:33" x14ac:dyDescent="0.25">
      <c r="A121" s="2862"/>
      <c r="B121" s="706">
        <v>2062</v>
      </c>
      <c r="C121" s="1156">
        <f t="shared" si="3"/>
        <v>8469098.4061250165</v>
      </c>
      <c r="D121" s="827">
        <v>97</v>
      </c>
      <c r="E121" s="1156">
        <f t="shared" si="2"/>
        <v>821502.54539412656</v>
      </c>
      <c r="F121" s="2922"/>
      <c r="G121" s="1188"/>
      <c r="H121" s="1189"/>
      <c r="I121" s="1190"/>
      <c r="J121" s="1190"/>
      <c r="K121" s="1190"/>
      <c r="L121" s="1190"/>
      <c r="M121" s="1190"/>
      <c r="N121" s="1190"/>
      <c r="O121" s="1190"/>
      <c r="P121" s="1190"/>
      <c r="Q121" s="1190"/>
      <c r="R121" s="1191"/>
      <c r="S121" s="1191"/>
      <c r="T121" s="1191"/>
      <c r="U121" s="1191"/>
      <c r="V121" s="1191"/>
      <c r="W121" s="2956"/>
      <c r="X121" s="1192"/>
      <c r="Y121" s="974"/>
      <c r="Z121" s="974"/>
      <c r="AA121" s="1193"/>
      <c r="AB121" s="974"/>
      <c r="AC121" s="974"/>
      <c r="AD121" s="974"/>
      <c r="AE121" s="1193"/>
      <c r="AF121" s="974"/>
      <c r="AG121" s="974"/>
    </row>
    <row r="122" spans="1:33" x14ac:dyDescent="0.25">
      <c r="A122" s="2862"/>
      <c r="B122" s="706">
        <v>2063</v>
      </c>
      <c r="C122" s="1156">
        <f t="shared" si="3"/>
        <v>8469098.4061250165</v>
      </c>
      <c r="D122" s="827">
        <v>97</v>
      </c>
      <c r="E122" s="1156">
        <f t="shared" si="2"/>
        <v>821502.54539412656</v>
      </c>
      <c r="F122" s="2922"/>
      <c r="G122" s="1188"/>
      <c r="H122" s="1189"/>
      <c r="I122" s="1190"/>
      <c r="J122" s="1190"/>
      <c r="K122" s="1190"/>
      <c r="L122" s="1190"/>
      <c r="M122" s="1190"/>
      <c r="N122" s="1190"/>
      <c r="O122" s="1190"/>
      <c r="P122" s="1190"/>
      <c r="Q122" s="1190"/>
      <c r="R122" s="1191"/>
      <c r="S122" s="1191"/>
      <c r="T122" s="1191"/>
      <c r="U122" s="1191"/>
      <c r="V122" s="1191"/>
      <c r="W122" s="2956"/>
      <c r="X122" s="1192"/>
      <c r="Y122" s="974"/>
      <c r="Z122" s="974"/>
      <c r="AA122" s="1193"/>
      <c r="AB122" s="974"/>
      <c r="AC122" s="974"/>
      <c r="AD122" s="974"/>
      <c r="AE122" s="1193"/>
      <c r="AF122" s="974"/>
      <c r="AG122" s="974"/>
    </row>
    <row r="123" spans="1:33" x14ac:dyDescent="0.25">
      <c r="A123" s="2862"/>
      <c r="B123" s="706">
        <v>2064</v>
      </c>
      <c r="C123" s="1156">
        <f t="shared" si="3"/>
        <v>8469098.4061250165</v>
      </c>
      <c r="D123" s="827">
        <v>97</v>
      </c>
      <c r="E123" s="1156">
        <f t="shared" si="2"/>
        <v>821502.54539412656</v>
      </c>
      <c r="F123" s="2922"/>
      <c r="G123" s="1188"/>
      <c r="H123" s="1189"/>
      <c r="I123" s="1190"/>
      <c r="J123" s="1190"/>
      <c r="K123" s="1190"/>
      <c r="L123" s="1190"/>
      <c r="M123" s="1190"/>
      <c r="N123" s="1190"/>
      <c r="O123" s="1190"/>
      <c r="P123" s="1190"/>
      <c r="Q123" s="1190"/>
      <c r="R123" s="1191"/>
      <c r="S123" s="1191"/>
      <c r="T123" s="1191"/>
      <c r="U123" s="1191"/>
      <c r="V123" s="1191"/>
      <c r="W123" s="2956"/>
      <c r="X123" s="1192"/>
      <c r="Y123" s="974"/>
      <c r="Z123" s="974"/>
      <c r="AA123" s="1193"/>
      <c r="AB123" s="974"/>
      <c r="AC123" s="974"/>
      <c r="AD123" s="974"/>
      <c r="AE123" s="1193"/>
      <c r="AF123" s="974"/>
      <c r="AG123" s="974"/>
    </row>
    <row r="124" spans="1:33" x14ac:dyDescent="0.25">
      <c r="A124" s="2862"/>
      <c r="B124" s="706">
        <v>2065</v>
      </c>
      <c r="C124" s="1156">
        <f t="shared" si="3"/>
        <v>8469098.4061250165</v>
      </c>
      <c r="D124" s="827">
        <v>97</v>
      </c>
      <c r="E124" s="1156">
        <f t="shared" si="2"/>
        <v>821502.54539412656</v>
      </c>
      <c r="F124" s="2922"/>
      <c r="G124" s="1188"/>
      <c r="H124" s="1189"/>
      <c r="I124" s="1190"/>
      <c r="J124" s="1190"/>
      <c r="K124" s="1190"/>
      <c r="L124" s="1190"/>
      <c r="M124" s="1190"/>
      <c r="N124" s="1190"/>
      <c r="O124" s="1190"/>
      <c r="P124" s="1190"/>
      <c r="Q124" s="1190"/>
      <c r="R124" s="1191"/>
      <c r="S124" s="1191"/>
      <c r="T124" s="1191"/>
      <c r="U124" s="1191"/>
      <c r="V124" s="1191"/>
      <c r="W124" s="2956"/>
      <c r="X124" s="1192"/>
      <c r="Y124" s="974"/>
      <c r="Z124" s="974"/>
      <c r="AA124" s="1193"/>
      <c r="AB124" s="974"/>
      <c r="AC124" s="974"/>
      <c r="AD124" s="974"/>
      <c r="AE124" s="1193"/>
      <c r="AF124" s="974"/>
      <c r="AG124" s="974"/>
    </row>
    <row r="125" spans="1:33" x14ac:dyDescent="0.25">
      <c r="A125" s="2862"/>
      <c r="B125" s="706">
        <v>2066</v>
      </c>
      <c r="C125" s="1156">
        <f t="shared" si="3"/>
        <v>8469098.4061250165</v>
      </c>
      <c r="D125" s="827">
        <v>97</v>
      </c>
      <c r="E125" s="1156">
        <f t="shared" si="2"/>
        <v>821502.54539412656</v>
      </c>
      <c r="F125" s="2922"/>
      <c r="G125" s="1188"/>
      <c r="H125" s="1189"/>
      <c r="I125" s="1190"/>
      <c r="J125" s="1190"/>
      <c r="K125" s="1190"/>
      <c r="L125" s="1190"/>
      <c r="M125" s="1190"/>
      <c r="N125" s="1190"/>
      <c r="O125" s="1190"/>
      <c r="P125" s="1190"/>
      <c r="Q125" s="1190"/>
      <c r="R125" s="1191"/>
      <c r="S125" s="1191"/>
      <c r="T125" s="1191"/>
      <c r="U125" s="1191"/>
      <c r="V125" s="1191"/>
      <c r="W125" s="2956"/>
      <c r="X125" s="1192"/>
      <c r="Y125" s="974"/>
      <c r="Z125" s="974"/>
      <c r="AA125" s="1193"/>
      <c r="AB125" s="974"/>
      <c r="AC125" s="974"/>
      <c r="AD125" s="974"/>
      <c r="AE125" s="1193"/>
      <c r="AF125" s="974"/>
      <c r="AG125" s="974"/>
    </row>
    <row r="126" spans="1:33" x14ac:dyDescent="0.25">
      <c r="A126" s="2862"/>
      <c r="B126" s="706">
        <v>2067</v>
      </c>
      <c r="C126" s="1156">
        <f t="shared" si="3"/>
        <v>8469098.4061250165</v>
      </c>
      <c r="D126" s="827">
        <v>97</v>
      </c>
      <c r="E126" s="1156">
        <f t="shared" si="2"/>
        <v>821502.54539412656</v>
      </c>
      <c r="F126" s="2922"/>
      <c r="G126" s="1188"/>
      <c r="H126" s="1189"/>
      <c r="I126" s="1190"/>
      <c r="J126" s="1190"/>
      <c r="K126" s="1190"/>
      <c r="L126" s="1190"/>
      <c r="M126" s="1190"/>
      <c r="N126" s="1190"/>
      <c r="O126" s="1190"/>
      <c r="P126" s="1190"/>
      <c r="Q126" s="1190"/>
      <c r="R126" s="1191"/>
      <c r="S126" s="1191"/>
      <c r="T126" s="1191"/>
      <c r="U126" s="1191"/>
      <c r="V126" s="1191"/>
      <c r="W126" s="2956"/>
      <c r="X126" s="1192"/>
      <c r="Y126" s="974"/>
      <c r="Z126" s="974"/>
      <c r="AA126" s="1193"/>
      <c r="AB126" s="974"/>
      <c r="AC126" s="974"/>
      <c r="AD126" s="974"/>
      <c r="AE126" s="1193"/>
      <c r="AF126" s="974"/>
      <c r="AG126" s="974"/>
    </row>
    <row r="127" spans="1:33" x14ac:dyDescent="0.25">
      <c r="A127" s="2862"/>
      <c r="B127" s="706">
        <v>2068</v>
      </c>
      <c r="C127" s="1156">
        <f t="shared" si="3"/>
        <v>8469098.4061250165</v>
      </c>
      <c r="D127" s="827">
        <v>97</v>
      </c>
      <c r="E127" s="1156">
        <f t="shared" si="2"/>
        <v>821502.54539412656</v>
      </c>
      <c r="F127" s="2922"/>
      <c r="G127" s="1188"/>
      <c r="H127" s="1189"/>
      <c r="I127" s="1190"/>
      <c r="J127" s="1190"/>
      <c r="K127" s="1190"/>
      <c r="L127" s="1190"/>
      <c r="M127" s="1190"/>
      <c r="N127" s="1190"/>
      <c r="O127" s="1190"/>
      <c r="P127" s="1190"/>
      <c r="Q127" s="1190"/>
      <c r="R127" s="1191"/>
      <c r="S127" s="1191"/>
      <c r="T127" s="1191"/>
      <c r="U127" s="1191"/>
      <c r="V127" s="1191"/>
      <c r="W127" s="2956"/>
      <c r="X127" s="1192"/>
      <c r="Y127" s="974"/>
      <c r="Z127" s="974"/>
      <c r="AA127" s="1193"/>
      <c r="AB127" s="974"/>
      <c r="AC127" s="974"/>
      <c r="AD127" s="974"/>
      <c r="AE127" s="1193"/>
      <c r="AF127" s="974"/>
      <c r="AG127" s="974"/>
    </row>
    <row r="128" spans="1:33" ht="15.75" thickBot="1" x14ac:dyDescent="0.3">
      <c r="A128" s="2863"/>
      <c r="B128" s="55">
        <v>2069</v>
      </c>
      <c r="C128" s="1160">
        <f t="shared" si="3"/>
        <v>8469098.4061250165</v>
      </c>
      <c r="D128" s="1062">
        <v>97</v>
      </c>
      <c r="E128" s="1160">
        <f t="shared" si="2"/>
        <v>821502.54539412656</v>
      </c>
      <c r="F128" s="2923"/>
      <c r="G128" s="1188"/>
      <c r="H128" s="1189"/>
      <c r="I128" s="1190"/>
      <c r="J128" s="1190"/>
      <c r="K128" s="1190"/>
      <c r="L128" s="1190"/>
      <c r="M128" s="1190"/>
      <c r="N128" s="1190"/>
      <c r="O128" s="1190"/>
      <c r="P128" s="1190"/>
      <c r="Q128" s="1190"/>
      <c r="R128" s="1191"/>
      <c r="S128" s="1191"/>
      <c r="T128" s="1191"/>
      <c r="U128" s="1191"/>
      <c r="V128" s="1191"/>
      <c r="W128" s="2956"/>
      <c r="X128" s="1192"/>
      <c r="Y128" s="974"/>
      <c r="Z128" s="974"/>
      <c r="AA128" s="1193"/>
      <c r="AB128" s="974"/>
      <c r="AC128" s="974"/>
      <c r="AD128" s="974"/>
      <c r="AE128" s="1193"/>
      <c r="AF128" s="974"/>
      <c r="AG128" s="974"/>
    </row>
    <row r="129" spans="1:33" x14ac:dyDescent="0.25">
      <c r="A129" s="2903" t="s">
        <v>704</v>
      </c>
      <c r="B129" s="888">
        <v>2019</v>
      </c>
      <c r="C129" s="1153">
        <f t="shared" ref="C129:C160" si="4">$R$9</f>
        <v>5023283.2299451847</v>
      </c>
      <c r="D129" s="1056">
        <v>62</v>
      </c>
      <c r="E129" s="1153">
        <f>(C129/1000)*D129</f>
        <v>311443.56025660143</v>
      </c>
      <c r="F129" s="2921">
        <f>SUM(E129:E179)*1.2682</f>
        <v>27998469.646791428</v>
      </c>
      <c r="G129" s="1188"/>
      <c r="H129" s="1189"/>
      <c r="I129" s="1190"/>
      <c r="J129" s="1190"/>
      <c r="K129" s="1190"/>
      <c r="L129" s="1190"/>
      <c r="M129" s="1190"/>
      <c r="N129" s="1190"/>
      <c r="O129" s="1190"/>
      <c r="P129" s="1190"/>
      <c r="Q129" s="1190"/>
      <c r="R129" s="1191"/>
      <c r="S129" s="1191"/>
      <c r="T129" s="1191"/>
      <c r="U129" s="1191"/>
      <c r="V129" s="1191"/>
      <c r="W129" s="2956"/>
      <c r="X129" s="1192"/>
      <c r="Y129" s="974"/>
      <c r="Z129" s="974"/>
      <c r="AA129" s="1193"/>
      <c r="AB129" s="974"/>
      <c r="AC129" s="974"/>
      <c r="AD129" s="974"/>
      <c r="AE129" s="1193"/>
      <c r="AF129" s="974"/>
      <c r="AG129" s="974"/>
    </row>
    <row r="130" spans="1:33" x14ac:dyDescent="0.25">
      <c r="A130" s="2862"/>
      <c r="B130" s="706">
        <v>2020</v>
      </c>
      <c r="C130" s="1164">
        <f t="shared" si="4"/>
        <v>5023283.2299451847</v>
      </c>
      <c r="D130" s="827">
        <v>64</v>
      </c>
      <c r="E130" s="1156">
        <f t="shared" ref="E130:E178" si="5">(C130/1000)*D130</f>
        <v>321490.12671649182</v>
      </c>
      <c r="F130" s="2922"/>
      <c r="G130" s="1188"/>
      <c r="H130" s="1189"/>
      <c r="I130" s="1190"/>
      <c r="J130" s="1190"/>
      <c r="K130" s="1190"/>
      <c r="L130" s="1190"/>
      <c r="M130" s="1190"/>
      <c r="N130" s="1190"/>
      <c r="O130" s="1190"/>
      <c r="P130" s="1190"/>
      <c r="Q130" s="1190"/>
      <c r="R130" s="1191"/>
      <c r="S130" s="1191"/>
      <c r="T130" s="1191"/>
      <c r="U130" s="1191"/>
      <c r="V130" s="1191"/>
      <c r="W130" s="2956"/>
      <c r="X130" s="1192"/>
      <c r="Y130" s="974"/>
      <c r="Z130" s="974"/>
      <c r="AA130" s="1193"/>
      <c r="AB130" s="974"/>
      <c r="AC130" s="974"/>
      <c r="AD130" s="974"/>
      <c r="AE130" s="1193"/>
      <c r="AF130" s="974"/>
      <c r="AG130" s="974"/>
    </row>
    <row r="131" spans="1:33" x14ac:dyDescent="0.25">
      <c r="A131" s="2862"/>
      <c r="B131" s="706">
        <v>2021</v>
      </c>
      <c r="C131" s="1164">
        <f t="shared" si="4"/>
        <v>5023283.2299451847</v>
      </c>
      <c r="D131" s="827">
        <v>65</v>
      </c>
      <c r="E131" s="1156">
        <f t="shared" si="5"/>
        <v>326513.40994643699</v>
      </c>
      <c r="F131" s="2922"/>
      <c r="G131" s="1188"/>
      <c r="H131" s="1189"/>
      <c r="I131" s="1190"/>
      <c r="J131" s="1190"/>
      <c r="K131" s="1190"/>
      <c r="L131" s="1190"/>
      <c r="M131" s="1190"/>
      <c r="N131" s="1190"/>
      <c r="O131" s="1190"/>
      <c r="P131" s="1190"/>
      <c r="Q131" s="1190"/>
      <c r="R131" s="1191"/>
      <c r="S131" s="1191"/>
      <c r="T131" s="1191"/>
      <c r="U131" s="1191"/>
      <c r="V131" s="1191"/>
      <c r="W131" s="2956"/>
      <c r="X131" s="1192"/>
      <c r="Y131" s="974"/>
      <c r="Z131" s="974"/>
      <c r="AA131" s="1193"/>
      <c r="AB131" s="974"/>
      <c r="AC131" s="974"/>
      <c r="AD131" s="974"/>
      <c r="AE131" s="1193"/>
      <c r="AF131" s="974"/>
      <c r="AG131" s="974"/>
    </row>
    <row r="132" spans="1:33" x14ac:dyDescent="0.25">
      <c r="A132" s="2862"/>
      <c r="B132" s="706">
        <v>2022</v>
      </c>
      <c r="C132" s="1164">
        <f t="shared" si="4"/>
        <v>5023283.2299451847</v>
      </c>
      <c r="D132" s="827">
        <v>66</v>
      </c>
      <c r="E132" s="1156">
        <f t="shared" si="5"/>
        <v>331536.69317638222</v>
      </c>
      <c r="F132" s="2922"/>
      <c r="G132" s="1188"/>
      <c r="H132" s="1189"/>
      <c r="I132" s="1190"/>
      <c r="J132" s="1190"/>
      <c r="K132" s="1190"/>
      <c r="L132" s="1190"/>
      <c r="M132" s="1190"/>
      <c r="N132" s="1190"/>
      <c r="O132" s="1190"/>
      <c r="P132" s="1190"/>
      <c r="Q132" s="1190"/>
      <c r="R132" s="1191"/>
      <c r="S132" s="1191"/>
      <c r="T132" s="1191"/>
      <c r="U132" s="1191"/>
      <c r="V132" s="1191"/>
      <c r="W132" s="2956"/>
      <c r="X132" s="1192"/>
      <c r="Y132" s="974"/>
      <c r="Z132" s="974"/>
      <c r="AA132" s="1193"/>
      <c r="AB132" s="974"/>
      <c r="AC132" s="974"/>
      <c r="AD132" s="974"/>
      <c r="AE132" s="1193"/>
      <c r="AF132" s="974"/>
      <c r="AG132" s="974"/>
    </row>
    <row r="133" spans="1:33" x14ac:dyDescent="0.25">
      <c r="A133" s="2862"/>
      <c r="B133" s="706">
        <v>2023</v>
      </c>
      <c r="C133" s="1164">
        <f t="shared" si="4"/>
        <v>5023283.2299451847</v>
      </c>
      <c r="D133" s="827">
        <v>67</v>
      </c>
      <c r="E133" s="1156">
        <f t="shared" si="5"/>
        <v>336559.97640632739</v>
      </c>
      <c r="F133" s="2922"/>
      <c r="G133" s="1188"/>
      <c r="H133" s="1189"/>
      <c r="I133" s="1190"/>
      <c r="J133" s="1190"/>
      <c r="K133" s="1190"/>
      <c r="L133" s="1190"/>
      <c r="M133" s="1190"/>
      <c r="N133" s="1190"/>
      <c r="O133" s="1190"/>
      <c r="P133" s="1190"/>
      <c r="Q133" s="1190"/>
      <c r="R133" s="1191"/>
      <c r="S133" s="1191"/>
      <c r="T133" s="1191"/>
      <c r="U133" s="1191"/>
      <c r="V133" s="1191"/>
      <c r="W133" s="2956"/>
      <c r="X133" s="1192"/>
      <c r="Y133" s="974"/>
      <c r="Z133" s="974"/>
      <c r="AA133" s="1193"/>
      <c r="AB133" s="974"/>
      <c r="AC133" s="974"/>
      <c r="AD133" s="974"/>
      <c r="AE133" s="1193"/>
      <c r="AF133" s="974"/>
      <c r="AG133" s="974"/>
    </row>
    <row r="134" spans="1:33" x14ac:dyDescent="0.25">
      <c r="A134" s="2862"/>
      <c r="B134" s="706">
        <v>2024</v>
      </c>
      <c r="C134" s="1164">
        <f t="shared" si="4"/>
        <v>5023283.2299451847</v>
      </c>
      <c r="D134" s="827">
        <v>68</v>
      </c>
      <c r="E134" s="1156">
        <f t="shared" si="5"/>
        <v>341583.25963627256</v>
      </c>
      <c r="F134" s="2922"/>
      <c r="G134" s="1188"/>
      <c r="H134" s="1189"/>
      <c r="I134" s="1190"/>
      <c r="J134" s="1190"/>
      <c r="K134" s="1190"/>
      <c r="L134" s="1190"/>
      <c r="M134" s="1190"/>
      <c r="N134" s="1190"/>
      <c r="O134" s="1190"/>
      <c r="P134" s="1190"/>
      <c r="Q134" s="1190"/>
      <c r="R134" s="1191"/>
      <c r="S134" s="1191"/>
      <c r="T134" s="1191"/>
      <c r="U134" s="1191"/>
      <c r="V134" s="1191"/>
      <c r="W134" s="2956"/>
      <c r="X134" s="1192"/>
      <c r="Y134" s="974"/>
      <c r="Z134" s="974"/>
      <c r="AA134" s="1193"/>
      <c r="AB134" s="974"/>
      <c r="AC134" s="974"/>
      <c r="AD134" s="974"/>
      <c r="AE134" s="1193"/>
      <c r="AF134" s="974"/>
      <c r="AG134" s="974"/>
    </row>
    <row r="135" spans="1:33" x14ac:dyDescent="0.25">
      <c r="A135" s="2862"/>
      <c r="B135" s="706">
        <v>2025</v>
      </c>
      <c r="C135" s="1164">
        <f t="shared" si="4"/>
        <v>5023283.2299451847</v>
      </c>
      <c r="D135" s="827">
        <v>69</v>
      </c>
      <c r="E135" s="1156">
        <f t="shared" si="5"/>
        <v>346606.54286621773</v>
      </c>
      <c r="F135" s="2922"/>
      <c r="G135" s="1188"/>
      <c r="H135" s="1189"/>
      <c r="I135" s="1190"/>
      <c r="J135" s="1190"/>
      <c r="K135" s="1190"/>
      <c r="L135" s="1190"/>
      <c r="M135" s="1190"/>
      <c r="N135" s="1190"/>
      <c r="O135" s="1190"/>
      <c r="P135" s="1190"/>
      <c r="Q135" s="1190"/>
      <c r="R135" s="1191"/>
      <c r="S135" s="1191"/>
      <c r="T135" s="1191"/>
      <c r="U135" s="1191"/>
      <c r="V135" s="1191"/>
      <c r="W135" s="2956"/>
      <c r="X135" s="1192"/>
      <c r="Y135" s="974"/>
      <c r="Z135" s="974"/>
      <c r="AA135" s="1193"/>
      <c r="AB135" s="974"/>
      <c r="AC135" s="974"/>
      <c r="AD135" s="974"/>
      <c r="AE135" s="1193"/>
      <c r="AF135" s="974"/>
      <c r="AG135" s="974"/>
    </row>
    <row r="136" spans="1:33" x14ac:dyDescent="0.25">
      <c r="A136" s="2862"/>
      <c r="B136" s="706">
        <v>2026</v>
      </c>
      <c r="C136" s="1164">
        <f t="shared" si="4"/>
        <v>5023283.2299451847</v>
      </c>
      <c r="D136" s="827">
        <v>70</v>
      </c>
      <c r="E136" s="1156">
        <f t="shared" si="5"/>
        <v>351629.82609616296</v>
      </c>
      <c r="F136" s="2922"/>
      <c r="G136" s="1188"/>
      <c r="H136" s="1189"/>
      <c r="I136" s="1190"/>
      <c r="J136" s="1190"/>
      <c r="K136" s="1190"/>
      <c r="L136" s="1190"/>
      <c r="M136" s="1190"/>
      <c r="N136" s="1190"/>
      <c r="O136" s="1190"/>
      <c r="P136" s="1190"/>
      <c r="Q136" s="1190"/>
      <c r="R136" s="1191"/>
      <c r="S136" s="1191"/>
      <c r="T136" s="1191"/>
      <c r="U136" s="1191"/>
      <c r="V136" s="1191"/>
      <c r="W136" s="2956"/>
      <c r="X136" s="1192"/>
      <c r="Y136" s="974"/>
      <c r="Z136" s="974"/>
      <c r="AA136" s="1193"/>
      <c r="AB136" s="974"/>
      <c r="AC136" s="974"/>
      <c r="AD136" s="974"/>
      <c r="AE136" s="1193"/>
      <c r="AF136" s="974"/>
      <c r="AG136" s="974"/>
    </row>
    <row r="137" spans="1:33" x14ac:dyDescent="0.25">
      <c r="A137" s="2862"/>
      <c r="B137" s="706">
        <v>2027</v>
      </c>
      <c r="C137" s="1164">
        <f t="shared" si="4"/>
        <v>5023283.2299451847</v>
      </c>
      <c r="D137" s="827">
        <v>71</v>
      </c>
      <c r="E137" s="1156">
        <f t="shared" si="5"/>
        <v>356653.10932610813</v>
      </c>
      <c r="F137" s="2922"/>
      <c r="G137" s="1188"/>
      <c r="H137" s="1189"/>
      <c r="I137" s="1190"/>
      <c r="J137" s="1190"/>
      <c r="K137" s="1190"/>
      <c r="L137" s="1190"/>
      <c r="M137" s="1190"/>
      <c r="N137" s="1190"/>
      <c r="O137" s="1190"/>
      <c r="P137" s="1190"/>
      <c r="Q137" s="1190"/>
      <c r="R137" s="1191"/>
      <c r="S137" s="1191"/>
      <c r="T137" s="1191"/>
      <c r="U137" s="1191"/>
      <c r="V137" s="1191"/>
      <c r="W137" s="2956"/>
      <c r="X137" s="1192"/>
      <c r="Y137" s="974"/>
      <c r="Z137" s="974"/>
      <c r="AA137" s="1193"/>
      <c r="AB137" s="974"/>
      <c r="AC137" s="974"/>
      <c r="AD137" s="974"/>
      <c r="AE137" s="1193"/>
      <c r="AF137" s="974"/>
      <c r="AG137" s="974"/>
    </row>
    <row r="138" spans="1:33" x14ac:dyDescent="0.25">
      <c r="A138" s="2862"/>
      <c r="B138" s="706">
        <v>2028</v>
      </c>
      <c r="C138" s="1164">
        <f t="shared" si="4"/>
        <v>5023283.2299451847</v>
      </c>
      <c r="D138" s="827">
        <v>72</v>
      </c>
      <c r="E138" s="1156">
        <f t="shared" si="5"/>
        <v>361676.3925560533</v>
      </c>
      <c r="F138" s="2922"/>
      <c r="G138" s="1188"/>
      <c r="H138" s="1189"/>
      <c r="I138" s="1190"/>
      <c r="J138" s="1190"/>
      <c r="K138" s="1190"/>
      <c r="L138" s="1190"/>
      <c r="M138" s="1190"/>
      <c r="N138" s="1190"/>
      <c r="O138" s="1190"/>
      <c r="P138" s="1190"/>
      <c r="Q138" s="1190"/>
      <c r="R138" s="1191"/>
      <c r="S138" s="1191"/>
      <c r="T138" s="1191"/>
      <c r="U138" s="1191"/>
      <c r="V138" s="1191"/>
      <c r="W138" s="2956"/>
      <c r="X138" s="1192"/>
      <c r="Y138" s="974"/>
      <c r="Z138" s="974"/>
      <c r="AA138" s="1193"/>
      <c r="AB138" s="974"/>
      <c r="AC138" s="974"/>
      <c r="AD138" s="974"/>
      <c r="AE138" s="1193"/>
      <c r="AF138" s="974"/>
      <c r="AG138" s="974"/>
    </row>
    <row r="139" spans="1:33" x14ac:dyDescent="0.25">
      <c r="A139" s="2862"/>
      <c r="B139" s="706">
        <v>2029</v>
      </c>
      <c r="C139" s="1164">
        <f t="shared" si="4"/>
        <v>5023283.2299451847</v>
      </c>
      <c r="D139" s="827">
        <v>73</v>
      </c>
      <c r="E139" s="1156">
        <f t="shared" si="5"/>
        <v>366699.67578599846</v>
      </c>
      <c r="F139" s="2922"/>
      <c r="G139" s="1188"/>
      <c r="H139" s="1189"/>
      <c r="I139" s="1190"/>
      <c r="J139" s="1190"/>
      <c r="K139" s="1190"/>
      <c r="L139" s="1190"/>
      <c r="M139" s="1190"/>
      <c r="N139" s="1190"/>
      <c r="O139" s="1190"/>
      <c r="P139" s="1190"/>
      <c r="Q139" s="1190"/>
      <c r="R139" s="1191"/>
      <c r="S139" s="1191"/>
      <c r="T139" s="1191"/>
      <c r="U139" s="1191"/>
      <c r="V139" s="1191"/>
      <c r="W139" s="2956"/>
      <c r="X139" s="1192"/>
      <c r="Y139" s="974"/>
      <c r="Z139" s="974"/>
      <c r="AA139" s="1193"/>
      <c r="AB139" s="974"/>
      <c r="AC139" s="974"/>
      <c r="AD139" s="974"/>
      <c r="AE139" s="1193"/>
      <c r="AF139" s="974"/>
      <c r="AG139" s="974"/>
    </row>
    <row r="140" spans="1:33" x14ac:dyDescent="0.25">
      <c r="A140" s="2862"/>
      <c r="B140" s="706">
        <v>2030</v>
      </c>
      <c r="C140" s="1164">
        <f t="shared" si="4"/>
        <v>5023283.2299451847</v>
      </c>
      <c r="D140" s="827">
        <v>75</v>
      </c>
      <c r="E140" s="1156">
        <f t="shared" si="5"/>
        <v>376746.24224588886</v>
      </c>
      <c r="F140" s="2922"/>
      <c r="G140" s="1188"/>
      <c r="H140" s="1189"/>
      <c r="I140" s="1190"/>
      <c r="J140" s="1190"/>
      <c r="K140" s="1190"/>
      <c r="L140" s="1190"/>
      <c r="M140" s="1190"/>
      <c r="N140" s="1190"/>
      <c r="O140" s="1190"/>
      <c r="P140" s="1190"/>
      <c r="Q140" s="1190"/>
      <c r="R140" s="1191"/>
      <c r="S140" s="1191"/>
      <c r="T140" s="1191"/>
      <c r="U140" s="1191"/>
      <c r="V140" s="1191"/>
      <c r="W140" s="2956"/>
      <c r="X140" s="1192"/>
      <c r="Y140" s="974"/>
      <c r="Z140" s="974"/>
      <c r="AA140" s="1193"/>
      <c r="AB140" s="974"/>
      <c r="AC140" s="974"/>
      <c r="AD140" s="974"/>
      <c r="AE140" s="1193"/>
      <c r="AF140" s="974"/>
      <c r="AG140" s="974"/>
    </row>
    <row r="141" spans="1:33" x14ac:dyDescent="0.25">
      <c r="A141" s="2862"/>
      <c r="B141" s="706">
        <v>2031</v>
      </c>
      <c r="C141" s="1164">
        <f t="shared" si="4"/>
        <v>5023283.2299451847</v>
      </c>
      <c r="D141" s="827">
        <v>76</v>
      </c>
      <c r="E141" s="1156">
        <f t="shared" si="5"/>
        <v>381769.52547583403</v>
      </c>
      <c r="F141" s="2922"/>
      <c r="G141" s="1188"/>
      <c r="H141" s="1189"/>
      <c r="I141" s="1190"/>
      <c r="J141" s="1190"/>
      <c r="K141" s="1190"/>
      <c r="L141" s="1190"/>
      <c r="M141" s="1190"/>
      <c r="N141" s="1190"/>
      <c r="O141" s="1190"/>
      <c r="P141" s="1190"/>
      <c r="Q141" s="1190"/>
      <c r="R141" s="1191"/>
      <c r="S141" s="1191"/>
      <c r="T141" s="1191"/>
      <c r="U141" s="1191"/>
      <c r="V141" s="1191"/>
      <c r="W141" s="2956"/>
      <c r="X141" s="1192"/>
      <c r="Y141" s="974"/>
      <c r="Z141" s="974"/>
      <c r="AA141" s="1193"/>
      <c r="AB141" s="974"/>
      <c r="AC141" s="974"/>
      <c r="AD141" s="974"/>
      <c r="AE141" s="1193"/>
      <c r="AF141" s="974"/>
      <c r="AG141" s="974"/>
    </row>
    <row r="142" spans="1:33" x14ac:dyDescent="0.25">
      <c r="A142" s="2862"/>
      <c r="B142" s="706">
        <v>2032</v>
      </c>
      <c r="C142" s="1164">
        <f t="shared" si="4"/>
        <v>5023283.2299451847</v>
      </c>
      <c r="D142" s="827">
        <v>77</v>
      </c>
      <c r="E142" s="1156">
        <f t="shared" si="5"/>
        <v>386792.8087057792</v>
      </c>
      <c r="F142" s="2922"/>
      <c r="G142" s="1188"/>
      <c r="H142" s="1189"/>
      <c r="I142" s="1190"/>
      <c r="J142" s="1190"/>
      <c r="K142" s="1190"/>
      <c r="L142" s="1190"/>
      <c r="M142" s="1190"/>
      <c r="N142" s="1190"/>
      <c r="O142" s="1190"/>
      <c r="P142" s="1190"/>
      <c r="Q142" s="1190"/>
      <c r="R142" s="1191"/>
      <c r="S142" s="1191"/>
      <c r="T142" s="1191"/>
      <c r="U142" s="1191"/>
      <c r="V142" s="1191"/>
      <c r="W142" s="2956"/>
      <c r="X142" s="1192"/>
      <c r="Y142" s="974"/>
      <c r="Z142" s="974"/>
      <c r="AA142" s="1193"/>
      <c r="AB142" s="974"/>
      <c r="AC142" s="974"/>
      <c r="AD142" s="974"/>
      <c r="AE142" s="1193"/>
      <c r="AF142" s="974"/>
      <c r="AG142" s="974"/>
    </row>
    <row r="143" spans="1:33" x14ac:dyDescent="0.25">
      <c r="A143" s="2862"/>
      <c r="B143" s="706">
        <v>2033</v>
      </c>
      <c r="C143" s="1164">
        <f t="shared" si="4"/>
        <v>5023283.2299451847</v>
      </c>
      <c r="D143" s="827">
        <v>78</v>
      </c>
      <c r="E143" s="1156">
        <f t="shared" si="5"/>
        <v>391816.09193572443</v>
      </c>
      <c r="F143" s="2922"/>
      <c r="G143" s="1188"/>
      <c r="H143" s="1189"/>
      <c r="I143" s="1190"/>
      <c r="J143" s="1190"/>
      <c r="K143" s="1190"/>
      <c r="L143" s="1190"/>
      <c r="M143" s="1190"/>
      <c r="N143" s="1190"/>
      <c r="O143" s="1190"/>
      <c r="P143" s="1190"/>
      <c r="Q143" s="1190"/>
      <c r="R143" s="1191"/>
      <c r="S143" s="1191"/>
      <c r="T143" s="1191"/>
      <c r="U143" s="1191"/>
      <c r="V143" s="1191"/>
      <c r="W143" s="2956"/>
      <c r="X143" s="1192"/>
      <c r="Y143" s="974"/>
      <c r="Z143" s="974"/>
      <c r="AA143" s="1193"/>
      <c r="AB143" s="974"/>
      <c r="AC143" s="974"/>
      <c r="AD143" s="974"/>
      <c r="AE143" s="1193"/>
      <c r="AF143" s="974"/>
      <c r="AG143" s="974"/>
    </row>
    <row r="144" spans="1:33" x14ac:dyDescent="0.25">
      <c r="A144" s="2862"/>
      <c r="B144" s="706">
        <v>2034</v>
      </c>
      <c r="C144" s="1164">
        <f t="shared" si="4"/>
        <v>5023283.2299451847</v>
      </c>
      <c r="D144" s="827">
        <v>79</v>
      </c>
      <c r="E144" s="1156">
        <f t="shared" si="5"/>
        <v>396839.3751656696</v>
      </c>
      <c r="F144" s="2922"/>
      <c r="G144" s="1188"/>
      <c r="H144" s="1189"/>
      <c r="I144" s="1190"/>
      <c r="J144" s="1190"/>
      <c r="K144" s="1190"/>
      <c r="L144" s="1190"/>
      <c r="M144" s="1190"/>
      <c r="N144" s="1190"/>
      <c r="O144" s="1190"/>
      <c r="P144" s="1190"/>
      <c r="Q144" s="1190"/>
      <c r="R144" s="1191"/>
      <c r="S144" s="1191"/>
      <c r="T144" s="1191"/>
      <c r="U144" s="1191"/>
      <c r="V144" s="1191"/>
      <c r="W144" s="2956"/>
      <c r="X144" s="1192"/>
      <c r="Y144" s="974"/>
      <c r="Z144" s="974"/>
      <c r="AA144" s="1193"/>
      <c r="AB144" s="974"/>
      <c r="AC144" s="974"/>
      <c r="AD144" s="974"/>
      <c r="AE144" s="1193"/>
      <c r="AF144" s="974"/>
      <c r="AG144" s="974"/>
    </row>
    <row r="145" spans="1:33" x14ac:dyDescent="0.25">
      <c r="A145" s="2862"/>
      <c r="B145" s="706">
        <v>2035</v>
      </c>
      <c r="C145" s="1164">
        <f t="shared" si="4"/>
        <v>5023283.2299451847</v>
      </c>
      <c r="D145" s="827">
        <v>80</v>
      </c>
      <c r="E145" s="1156">
        <f t="shared" si="5"/>
        <v>401862.65839561477</v>
      </c>
      <c r="F145" s="2922"/>
      <c r="G145" s="1188"/>
      <c r="H145" s="1189"/>
      <c r="I145" s="1190"/>
      <c r="J145" s="1190"/>
      <c r="K145" s="1190"/>
      <c r="L145" s="1190"/>
      <c r="M145" s="1190"/>
      <c r="N145" s="1190"/>
      <c r="O145" s="1190"/>
      <c r="P145" s="1190"/>
      <c r="Q145" s="1190"/>
      <c r="R145" s="1191"/>
      <c r="S145" s="1191"/>
      <c r="T145" s="1191"/>
      <c r="U145" s="1191"/>
      <c r="V145" s="1191"/>
      <c r="W145" s="2956"/>
      <c r="X145" s="1192"/>
      <c r="Y145" s="974"/>
      <c r="Z145" s="974"/>
      <c r="AA145" s="1193"/>
      <c r="AB145" s="974"/>
      <c r="AC145" s="974"/>
      <c r="AD145" s="974"/>
      <c r="AE145" s="1193"/>
      <c r="AF145" s="974"/>
      <c r="AG145" s="974"/>
    </row>
    <row r="146" spans="1:33" x14ac:dyDescent="0.25">
      <c r="A146" s="2862"/>
      <c r="B146" s="706">
        <v>2036</v>
      </c>
      <c r="C146" s="1164">
        <f t="shared" si="4"/>
        <v>5023283.2299451847</v>
      </c>
      <c r="D146" s="827">
        <v>81</v>
      </c>
      <c r="E146" s="1156">
        <f t="shared" si="5"/>
        <v>406885.94162555999</v>
      </c>
      <c r="F146" s="2922"/>
      <c r="G146" s="1188"/>
      <c r="H146" s="1189"/>
      <c r="I146" s="1190"/>
      <c r="J146" s="1190"/>
      <c r="K146" s="1190"/>
      <c r="L146" s="1190"/>
      <c r="M146" s="1190"/>
      <c r="N146" s="1190"/>
      <c r="O146" s="1190"/>
      <c r="P146" s="1190"/>
      <c r="Q146" s="1190"/>
      <c r="R146" s="1191"/>
      <c r="S146" s="1191"/>
      <c r="T146" s="1191"/>
      <c r="U146" s="1191"/>
      <c r="V146" s="1191"/>
      <c r="W146" s="2956"/>
      <c r="X146" s="1192"/>
      <c r="Y146" s="974"/>
      <c r="Z146" s="974"/>
      <c r="AA146" s="1193"/>
      <c r="AB146" s="974"/>
      <c r="AC146" s="974"/>
      <c r="AD146" s="974"/>
      <c r="AE146" s="1193"/>
      <c r="AF146" s="974"/>
      <c r="AG146" s="974"/>
    </row>
    <row r="147" spans="1:33" x14ac:dyDescent="0.25">
      <c r="A147" s="2862"/>
      <c r="B147" s="706">
        <v>2037</v>
      </c>
      <c r="C147" s="1164">
        <f t="shared" si="4"/>
        <v>5023283.2299451847</v>
      </c>
      <c r="D147" s="827">
        <v>83</v>
      </c>
      <c r="E147" s="1156">
        <f t="shared" si="5"/>
        <v>416932.50808545033</v>
      </c>
      <c r="F147" s="2922"/>
      <c r="G147" s="1188"/>
      <c r="H147" s="1189"/>
      <c r="I147" s="1190"/>
      <c r="J147" s="1190"/>
      <c r="K147" s="1190"/>
      <c r="L147" s="1190"/>
      <c r="M147" s="1190"/>
      <c r="N147" s="1190"/>
      <c r="O147" s="1190"/>
      <c r="P147" s="1190"/>
      <c r="Q147" s="1190"/>
      <c r="R147" s="1191"/>
      <c r="S147" s="1191"/>
      <c r="T147" s="1191"/>
      <c r="U147" s="1191"/>
      <c r="V147" s="1191"/>
      <c r="W147" s="2956"/>
      <c r="X147" s="1192"/>
      <c r="Y147" s="974"/>
      <c r="Z147" s="974"/>
      <c r="AA147" s="1193"/>
      <c r="AB147" s="974"/>
      <c r="AC147" s="974"/>
      <c r="AD147" s="974"/>
      <c r="AE147" s="1193"/>
      <c r="AF147" s="974"/>
      <c r="AG147" s="974"/>
    </row>
    <row r="148" spans="1:33" x14ac:dyDescent="0.25">
      <c r="A148" s="2862"/>
      <c r="B148" s="706">
        <v>2038</v>
      </c>
      <c r="C148" s="1164">
        <f t="shared" si="4"/>
        <v>5023283.2299451847</v>
      </c>
      <c r="D148" s="827">
        <v>84</v>
      </c>
      <c r="E148" s="1156">
        <f t="shared" si="5"/>
        <v>421955.7913153955</v>
      </c>
      <c r="F148" s="2922"/>
      <c r="G148" s="1188"/>
      <c r="H148" s="1189"/>
      <c r="I148" s="1190"/>
      <c r="J148" s="1190"/>
      <c r="K148" s="1190"/>
      <c r="L148" s="1190"/>
      <c r="M148" s="1190"/>
      <c r="N148" s="1190"/>
      <c r="O148" s="1190"/>
      <c r="P148" s="1190"/>
      <c r="Q148" s="1190"/>
      <c r="R148" s="1191"/>
      <c r="S148" s="1191"/>
      <c r="T148" s="1191"/>
      <c r="U148" s="1191"/>
      <c r="V148" s="1191"/>
      <c r="W148" s="2956"/>
      <c r="X148" s="1192"/>
      <c r="Y148" s="974"/>
      <c r="Z148" s="974"/>
      <c r="AA148" s="1193"/>
      <c r="AB148" s="974"/>
      <c r="AC148" s="974"/>
      <c r="AD148" s="974"/>
      <c r="AE148" s="1193"/>
      <c r="AF148" s="974"/>
      <c r="AG148" s="974"/>
    </row>
    <row r="149" spans="1:33" x14ac:dyDescent="0.25">
      <c r="A149" s="2862"/>
      <c r="B149" s="706">
        <v>2039</v>
      </c>
      <c r="C149" s="1164">
        <f t="shared" si="4"/>
        <v>5023283.2299451847</v>
      </c>
      <c r="D149" s="827">
        <v>85</v>
      </c>
      <c r="E149" s="1156">
        <f t="shared" si="5"/>
        <v>426979.07454534073</v>
      </c>
      <c r="F149" s="2922"/>
      <c r="G149" s="1188"/>
      <c r="H149" s="1189"/>
      <c r="I149" s="1190"/>
      <c r="J149" s="1190"/>
      <c r="K149" s="1190"/>
      <c r="L149" s="1190"/>
      <c r="M149" s="1190"/>
      <c r="N149" s="1190"/>
      <c r="O149" s="1190"/>
      <c r="P149" s="1190"/>
      <c r="Q149" s="1190"/>
      <c r="R149" s="1191"/>
      <c r="S149" s="1191"/>
      <c r="T149" s="1191"/>
      <c r="U149" s="1191"/>
      <c r="V149" s="1191"/>
      <c r="W149" s="2956"/>
      <c r="X149" s="1192"/>
      <c r="Y149" s="974"/>
      <c r="Z149" s="974"/>
      <c r="AA149" s="1193"/>
      <c r="AB149" s="974"/>
      <c r="AC149" s="974"/>
      <c r="AD149" s="974"/>
      <c r="AE149" s="1193"/>
      <c r="AF149" s="974"/>
      <c r="AG149" s="974"/>
    </row>
    <row r="150" spans="1:33" x14ac:dyDescent="0.25">
      <c r="A150" s="2862"/>
      <c r="B150" s="706">
        <v>2040</v>
      </c>
      <c r="C150" s="1164">
        <f t="shared" si="4"/>
        <v>5023283.2299451847</v>
      </c>
      <c r="D150" s="827">
        <v>86</v>
      </c>
      <c r="E150" s="1156">
        <f t="shared" si="5"/>
        <v>432002.3577752859</v>
      </c>
      <c r="F150" s="2922"/>
      <c r="G150" s="1188"/>
      <c r="H150" s="1189"/>
      <c r="I150" s="1190"/>
      <c r="J150" s="1190"/>
      <c r="K150" s="1190"/>
      <c r="L150" s="1190"/>
      <c r="M150" s="1190"/>
      <c r="N150" s="1190"/>
      <c r="O150" s="1190"/>
      <c r="P150" s="1190"/>
      <c r="Q150" s="1190"/>
      <c r="R150" s="1191"/>
      <c r="S150" s="1191"/>
      <c r="T150" s="1191"/>
      <c r="U150" s="1191"/>
      <c r="V150" s="1191"/>
      <c r="W150" s="2956"/>
      <c r="X150" s="1192"/>
      <c r="Y150" s="974"/>
      <c r="Z150" s="974"/>
      <c r="AA150" s="1193"/>
      <c r="AB150" s="974"/>
      <c r="AC150" s="974"/>
      <c r="AD150" s="974"/>
      <c r="AE150" s="1193"/>
      <c r="AF150" s="974"/>
      <c r="AG150" s="974"/>
    </row>
    <row r="151" spans="1:33" x14ac:dyDescent="0.25">
      <c r="A151" s="2862"/>
      <c r="B151" s="706">
        <v>2041</v>
      </c>
      <c r="C151" s="1164">
        <f t="shared" si="4"/>
        <v>5023283.2299451847</v>
      </c>
      <c r="D151" s="827">
        <v>87</v>
      </c>
      <c r="E151" s="1156">
        <f t="shared" si="5"/>
        <v>437025.64100523107</v>
      </c>
      <c r="F151" s="2922"/>
      <c r="G151" s="1188"/>
      <c r="H151" s="1189"/>
      <c r="I151" s="1190"/>
      <c r="J151" s="1190"/>
      <c r="K151" s="1190"/>
      <c r="L151" s="1190"/>
      <c r="M151" s="1190"/>
      <c r="N151" s="1190"/>
      <c r="O151" s="1190"/>
      <c r="P151" s="1190"/>
      <c r="Q151" s="1190"/>
      <c r="R151" s="1191"/>
      <c r="S151" s="1191"/>
      <c r="T151" s="1191"/>
      <c r="U151" s="1191"/>
      <c r="V151" s="1191"/>
      <c r="W151" s="2956"/>
      <c r="X151" s="1192"/>
      <c r="Y151" s="974"/>
      <c r="Z151" s="974"/>
      <c r="AA151" s="1193"/>
      <c r="AB151" s="974"/>
      <c r="AC151" s="974"/>
      <c r="AD151" s="974"/>
      <c r="AE151" s="1193"/>
      <c r="AF151" s="974"/>
      <c r="AG151" s="974"/>
    </row>
    <row r="152" spans="1:33" x14ac:dyDescent="0.25">
      <c r="A152" s="2862"/>
      <c r="B152" s="706">
        <v>2042</v>
      </c>
      <c r="C152" s="1164">
        <f t="shared" si="4"/>
        <v>5023283.2299451847</v>
      </c>
      <c r="D152" s="827">
        <v>88</v>
      </c>
      <c r="E152" s="1156">
        <f t="shared" si="5"/>
        <v>442048.92423517624</v>
      </c>
      <c r="F152" s="2922"/>
      <c r="G152" s="1188"/>
      <c r="H152" s="1189"/>
      <c r="I152" s="1190"/>
      <c r="J152" s="1190"/>
      <c r="K152" s="1190"/>
      <c r="L152" s="1190"/>
      <c r="M152" s="1190"/>
      <c r="N152" s="1190"/>
      <c r="O152" s="1190"/>
      <c r="P152" s="1190"/>
      <c r="Q152" s="1190"/>
      <c r="R152" s="1191"/>
      <c r="S152" s="1191"/>
      <c r="T152" s="1191"/>
      <c r="U152" s="1191"/>
      <c r="V152" s="1191"/>
      <c r="W152" s="2956"/>
      <c r="X152" s="1192"/>
      <c r="Y152" s="974"/>
      <c r="Z152" s="974"/>
      <c r="AA152" s="1193"/>
      <c r="AB152" s="974"/>
      <c r="AC152" s="974"/>
      <c r="AD152" s="974"/>
      <c r="AE152" s="1193"/>
      <c r="AF152" s="974"/>
      <c r="AG152" s="974"/>
    </row>
    <row r="153" spans="1:33" x14ac:dyDescent="0.25">
      <c r="A153" s="2862"/>
      <c r="B153" s="706">
        <v>2043</v>
      </c>
      <c r="C153" s="1164">
        <f t="shared" si="4"/>
        <v>5023283.2299451847</v>
      </c>
      <c r="D153" s="827">
        <v>89</v>
      </c>
      <c r="E153" s="1156">
        <f t="shared" si="5"/>
        <v>447072.20746512146</v>
      </c>
      <c r="F153" s="2922"/>
      <c r="G153" s="1188"/>
      <c r="H153" s="1189"/>
      <c r="I153" s="1190"/>
      <c r="J153" s="1190"/>
      <c r="K153" s="1190"/>
      <c r="L153" s="1190"/>
      <c r="M153" s="1190"/>
      <c r="N153" s="1190"/>
      <c r="O153" s="1190"/>
      <c r="P153" s="1190"/>
      <c r="Q153" s="1190"/>
      <c r="R153" s="1191"/>
      <c r="S153" s="1191"/>
      <c r="T153" s="1191"/>
      <c r="U153" s="1191"/>
      <c r="V153" s="1191"/>
      <c r="W153" s="2956"/>
      <c r="X153" s="1192"/>
      <c r="Y153" s="974"/>
      <c r="Z153" s="974"/>
      <c r="AA153" s="1193"/>
      <c r="AB153" s="974"/>
      <c r="AC153" s="974"/>
      <c r="AD153" s="974"/>
      <c r="AE153" s="1193"/>
      <c r="AF153" s="974"/>
      <c r="AG153" s="974"/>
    </row>
    <row r="154" spans="1:33" x14ac:dyDescent="0.25">
      <c r="A154" s="2862"/>
      <c r="B154" s="706">
        <v>2044</v>
      </c>
      <c r="C154" s="1164">
        <f t="shared" si="4"/>
        <v>5023283.2299451847</v>
      </c>
      <c r="D154" s="827">
        <v>90</v>
      </c>
      <c r="E154" s="1156">
        <f t="shared" si="5"/>
        <v>452095.49069506663</v>
      </c>
      <c r="F154" s="2922"/>
      <c r="G154" s="1188"/>
      <c r="H154" s="1189"/>
      <c r="I154" s="1190"/>
      <c r="J154" s="1190"/>
      <c r="K154" s="1190"/>
      <c r="L154" s="1190"/>
      <c r="M154" s="1190"/>
      <c r="N154" s="1190"/>
      <c r="O154" s="1190"/>
      <c r="P154" s="1190"/>
      <c r="Q154" s="1190"/>
      <c r="R154" s="1191"/>
      <c r="S154" s="1191"/>
      <c r="T154" s="1191"/>
      <c r="U154" s="1191"/>
      <c r="V154" s="1191"/>
      <c r="W154" s="2956"/>
      <c r="X154" s="1192"/>
      <c r="Y154" s="974"/>
      <c r="Z154" s="974"/>
      <c r="AA154" s="1193"/>
      <c r="AB154" s="974"/>
      <c r="AC154" s="974"/>
      <c r="AD154" s="974"/>
      <c r="AE154" s="1193"/>
      <c r="AF154" s="974"/>
      <c r="AG154" s="974"/>
    </row>
    <row r="155" spans="1:33" x14ac:dyDescent="0.25">
      <c r="A155" s="2862"/>
      <c r="B155" s="706">
        <v>2045</v>
      </c>
      <c r="C155" s="1164">
        <f t="shared" si="4"/>
        <v>5023283.2299451847</v>
      </c>
      <c r="D155" s="827">
        <v>92</v>
      </c>
      <c r="E155" s="1156">
        <f t="shared" si="5"/>
        <v>462142.05715495697</v>
      </c>
      <c r="F155" s="2922"/>
      <c r="G155" s="1188"/>
      <c r="H155" s="1189"/>
      <c r="I155" s="1190"/>
      <c r="J155" s="1190"/>
      <c r="K155" s="1190"/>
      <c r="L155" s="1190"/>
      <c r="M155" s="1190"/>
      <c r="N155" s="1190"/>
      <c r="O155" s="1190"/>
      <c r="P155" s="1190"/>
      <c r="Q155" s="1190"/>
      <c r="R155" s="1191"/>
      <c r="S155" s="1191"/>
      <c r="T155" s="1191"/>
      <c r="U155" s="1191"/>
      <c r="V155" s="1191"/>
      <c r="W155" s="2956"/>
      <c r="X155" s="1192"/>
      <c r="Y155" s="974"/>
      <c r="Z155" s="974"/>
      <c r="AA155" s="1193"/>
      <c r="AB155" s="974"/>
      <c r="AC155" s="974"/>
      <c r="AD155" s="974"/>
      <c r="AE155" s="1193"/>
      <c r="AF155" s="974"/>
      <c r="AG155" s="974"/>
    </row>
    <row r="156" spans="1:33" x14ac:dyDescent="0.25">
      <c r="A156" s="2862"/>
      <c r="B156" s="706">
        <v>2046</v>
      </c>
      <c r="C156" s="1164">
        <f t="shared" si="4"/>
        <v>5023283.2299451847</v>
      </c>
      <c r="D156" s="827">
        <v>93</v>
      </c>
      <c r="E156" s="1156">
        <f t="shared" si="5"/>
        <v>467165.3403849022</v>
      </c>
      <c r="F156" s="2922"/>
      <c r="G156" s="1188"/>
      <c r="H156" s="1189"/>
      <c r="I156" s="1190"/>
      <c r="J156" s="1190"/>
      <c r="K156" s="1190"/>
      <c r="L156" s="1190"/>
      <c r="M156" s="1190"/>
      <c r="N156" s="1190"/>
      <c r="O156" s="1190"/>
      <c r="P156" s="1190"/>
      <c r="Q156" s="1190"/>
      <c r="R156" s="1191"/>
      <c r="S156" s="1191"/>
      <c r="T156" s="1191"/>
      <c r="U156" s="1191"/>
      <c r="V156" s="1191"/>
      <c r="W156" s="2956"/>
      <c r="X156" s="1192"/>
      <c r="Y156" s="974"/>
      <c r="Z156" s="974"/>
      <c r="AA156" s="1193"/>
      <c r="AB156" s="974"/>
      <c r="AC156" s="974"/>
      <c r="AD156" s="974"/>
      <c r="AE156" s="1193"/>
      <c r="AF156" s="974"/>
      <c r="AG156" s="974"/>
    </row>
    <row r="157" spans="1:33" x14ac:dyDescent="0.25">
      <c r="A157" s="2862"/>
      <c r="B157" s="706">
        <v>2047</v>
      </c>
      <c r="C157" s="1164">
        <f t="shared" si="4"/>
        <v>5023283.2299451847</v>
      </c>
      <c r="D157" s="827">
        <v>94</v>
      </c>
      <c r="E157" s="1156">
        <f t="shared" si="5"/>
        <v>472188.62361484737</v>
      </c>
      <c r="F157" s="2922"/>
      <c r="G157" s="1188"/>
      <c r="H157" s="1189"/>
      <c r="I157" s="1190"/>
      <c r="J157" s="1190"/>
      <c r="K157" s="1190"/>
      <c r="L157" s="1190"/>
      <c r="M157" s="1190"/>
      <c r="N157" s="1190"/>
      <c r="O157" s="1190"/>
      <c r="P157" s="1190"/>
      <c r="Q157" s="1190"/>
      <c r="R157" s="1191"/>
      <c r="S157" s="1191"/>
      <c r="T157" s="1191"/>
      <c r="U157" s="1191"/>
      <c r="V157" s="1191"/>
      <c r="W157" s="2956"/>
      <c r="X157" s="1192"/>
      <c r="Y157" s="974"/>
      <c r="Z157" s="974"/>
      <c r="AA157" s="1193"/>
      <c r="AB157" s="974"/>
      <c r="AC157" s="974"/>
      <c r="AD157" s="974"/>
      <c r="AE157" s="1193"/>
      <c r="AF157" s="974"/>
      <c r="AG157" s="974"/>
    </row>
    <row r="158" spans="1:33" x14ac:dyDescent="0.25">
      <c r="A158" s="2862"/>
      <c r="B158" s="706">
        <v>2048</v>
      </c>
      <c r="C158" s="1164">
        <f t="shared" si="4"/>
        <v>5023283.2299451847</v>
      </c>
      <c r="D158" s="827">
        <v>95</v>
      </c>
      <c r="E158" s="1156">
        <f t="shared" si="5"/>
        <v>477211.90684479254</v>
      </c>
      <c r="F158" s="2922"/>
      <c r="G158" s="1188"/>
      <c r="H158" s="1189"/>
      <c r="I158" s="1190"/>
      <c r="J158" s="1190"/>
      <c r="K158" s="1190"/>
      <c r="L158" s="1190"/>
      <c r="M158" s="1190"/>
      <c r="N158" s="1190"/>
      <c r="O158" s="1190"/>
      <c r="P158" s="1190"/>
      <c r="Q158" s="1190"/>
      <c r="R158" s="1191"/>
      <c r="S158" s="1191"/>
      <c r="T158" s="1191"/>
      <c r="U158" s="1191"/>
      <c r="V158" s="1191"/>
      <c r="W158" s="2956"/>
      <c r="X158" s="1192"/>
      <c r="Y158" s="974"/>
      <c r="Z158" s="974"/>
      <c r="AA158" s="1193"/>
      <c r="AB158" s="974"/>
      <c r="AC158" s="974"/>
      <c r="AD158" s="974"/>
      <c r="AE158" s="1193"/>
      <c r="AF158" s="974"/>
      <c r="AG158" s="974"/>
    </row>
    <row r="159" spans="1:33" x14ac:dyDescent="0.25">
      <c r="A159" s="2862"/>
      <c r="B159" s="706">
        <v>2049</v>
      </c>
      <c r="C159" s="1164">
        <f t="shared" si="4"/>
        <v>5023283.2299451847</v>
      </c>
      <c r="D159" s="827">
        <v>96</v>
      </c>
      <c r="E159" s="1156">
        <f t="shared" si="5"/>
        <v>482235.19007473777</v>
      </c>
      <c r="F159" s="2922"/>
      <c r="G159" s="1188"/>
      <c r="H159" s="1189"/>
      <c r="I159" s="1190"/>
      <c r="J159" s="1190"/>
      <c r="K159" s="1190"/>
      <c r="L159" s="1190"/>
      <c r="M159" s="1190"/>
      <c r="N159" s="1190"/>
      <c r="O159" s="1190"/>
      <c r="P159" s="1190"/>
      <c r="Q159" s="1190"/>
      <c r="R159" s="1191"/>
      <c r="S159" s="1191"/>
      <c r="T159" s="1191"/>
      <c r="U159" s="1191"/>
      <c r="V159" s="1191"/>
      <c r="W159" s="2956"/>
      <c r="X159" s="1192"/>
      <c r="Y159" s="974"/>
      <c r="Z159" s="974"/>
      <c r="AA159" s="1193"/>
      <c r="AB159" s="974"/>
      <c r="AC159" s="974"/>
      <c r="AD159" s="974"/>
      <c r="AE159" s="1193"/>
      <c r="AF159" s="974"/>
      <c r="AG159" s="974"/>
    </row>
    <row r="160" spans="1:33" x14ac:dyDescent="0.25">
      <c r="A160" s="2862"/>
      <c r="B160" s="706">
        <v>2050</v>
      </c>
      <c r="C160" s="1164">
        <f t="shared" si="4"/>
        <v>5023283.2299451847</v>
      </c>
      <c r="D160" s="827">
        <v>97</v>
      </c>
      <c r="E160" s="1156">
        <f t="shared" si="5"/>
        <v>487258.47330468294</v>
      </c>
      <c r="F160" s="2922"/>
      <c r="G160" s="1188"/>
      <c r="H160" s="1189"/>
      <c r="I160" s="1190"/>
      <c r="J160" s="1190"/>
      <c r="K160" s="1190"/>
      <c r="L160" s="1190"/>
      <c r="M160" s="1190"/>
      <c r="N160" s="1190"/>
      <c r="O160" s="1190"/>
      <c r="P160" s="1190"/>
      <c r="Q160" s="1190"/>
      <c r="R160" s="1191"/>
      <c r="S160" s="1191"/>
      <c r="T160" s="1191"/>
      <c r="U160" s="1191"/>
      <c r="V160" s="1191"/>
      <c r="W160" s="2956"/>
      <c r="X160" s="1192"/>
      <c r="Y160" s="974"/>
      <c r="Z160" s="974"/>
      <c r="AA160" s="1193"/>
      <c r="AB160" s="974"/>
      <c r="AC160" s="974"/>
      <c r="AD160" s="974"/>
      <c r="AE160" s="1193"/>
      <c r="AF160" s="974"/>
      <c r="AG160" s="974"/>
    </row>
    <row r="161" spans="1:33" x14ac:dyDescent="0.25">
      <c r="A161" s="2862"/>
      <c r="B161" s="706">
        <v>2051</v>
      </c>
      <c r="C161" s="1164">
        <f t="shared" ref="C161:C179" si="6">$R$9</f>
        <v>5023283.2299451847</v>
      </c>
      <c r="D161" s="827">
        <v>97</v>
      </c>
      <c r="E161" s="1156">
        <f t="shared" si="5"/>
        <v>487258.47330468294</v>
      </c>
      <c r="F161" s="2922"/>
      <c r="G161" s="1188"/>
      <c r="H161" s="1189"/>
      <c r="I161" s="1190"/>
      <c r="J161" s="1190"/>
      <c r="K161" s="1190"/>
      <c r="L161" s="1190"/>
      <c r="M161" s="1190"/>
      <c r="N161" s="1190"/>
      <c r="O161" s="1190"/>
      <c r="P161" s="1190"/>
      <c r="Q161" s="1190"/>
      <c r="R161" s="1191"/>
      <c r="S161" s="1191"/>
      <c r="T161" s="1191"/>
      <c r="U161" s="1191"/>
      <c r="V161" s="1191"/>
      <c r="W161" s="2956"/>
      <c r="X161" s="1192"/>
      <c r="Y161" s="974"/>
      <c r="Z161" s="974"/>
      <c r="AA161" s="1193"/>
      <c r="AB161" s="974"/>
      <c r="AC161" s="974"/>
      <c r="AD161" s="974"/>
      <c r="AE161" s="1193"/>
      <c r="AF161" s="974"/>
      <c r="AG161" s="974"/>
    </row>
    <row r="162" spans="1:33" x14ac:dyDescent="0.25">
      <c r="A162" s="2862"/>
      <c r="B162" s="706">
        <v>2052</v>
      </c>
      <c r="C162" s="1164">
        <f t="shared" si="6"/>
        <v>5023283.2299451847</v>
      </c>
      <c r="D162" s="827">
        <v>97</v>
      </c>
      <c r="E162" s="1156">
        <f t="shared" si="5"/>
        <v>487258.47330468294</v>
      </c>
      <c r="F162" s="2922"/>
      <c r="G162" s="1188"/>
      <c r="H162" s="1189"/>
      <c r="I162" s="1190"/>
      <c r="J162" s="1190"/>
      <c r="K162" s="1190"/>
      <c r="L162" s="1190"/>
      <c r="M162" s="1190"/>
      <c r="N162" s="1190"/>
      <c r="O162" s="1190"/>
      <c r="P162" s="1190"/>
      <c r="Q162" s="1190"/>
      <c r="R162" s="1191"/>
      <c r="S162" s="1191"/>
      <c r="T162" s="1191"/>
      <c r="U162" s="1191"/>
      <c r="V162" s="1191"/>
      <c r="W162" s="2956"/>
      <c r="X162" s="1192"/>
      <c r="Y162" s="974"/>
      <c r="Z162" s="974"/>
      <c r="AA162" s="1193"/>
      <c r="AB162" s="974"/>
      <c r="AC162" s="974"/>
      <c r="AD162" s="974"/>
      <c r="AE162" s="1193"/>
      <c r="AF162" s="974"/>
      <c r="AG162" s="974"/>
    </row>
    <row r="163" spans="1:33" x14ac:dyDescent="0.25">
      <c r="A163" s="2862"/>
      <c r="B163" s="706">
        <v>2053</v>
      </c>
      <c r="C163" s="1164">
        <f t="shared" si="6"/>
        <v>5023283.2299451847</v>
      </c>
      <c r="D163" s="827">
        <v>97</v>
      </c>
      <c r="E163" s="1156">
        <f t="shared" si="5"/>
        <v>487258.47330468294</v>
      </c>
      <c r="F163" s="2922"/>
      <c r="G163" s="1188"/>
      <c r="H163" s="1189"/>
      <c r="I163" s="1190"/>
      <c r="J163" s="1190"/>
      <c r="K163" s="1190"/>
      <c r="L163" s="1190"/>
      <c r="M163" s="1190"/>
      <c r="N163" s="1190"/>
      <c r="O163" s="1190"/>
      <c r="P163" s="1190"/>
      <c r="Q163" s="1190"/>
      <c r="R163" s="1191"/>
      <c r="S163" s="1191"/>
      <c r="T163" s="1191"/>
      <c r="U163" s="1191"/>
      <c r="V163" s="1191"/>
      <c r="W163" s="2956"/>
      <c r="X163" s="1192"/>
      <c r="Y163" s="974"/>
      <c r="Z163" s="974"/>
      <c r="AA163" s="1193"/>
      <c r="AB163" s="974"/>
      <c r="AC163" s="974"/>
      <c r="AD163" s="974"/>
      <c r="AE163" s="1193"/>
      <c r="AF163" s="974"/>
      <c r="AG163" s="974"/>
    </row>
    <row r="164" spans="1:33" x14ac:dyDescent="0.25">
      <c r="A164" s="2862"/>
      <c r="B164" s="706">
        <v>2054</v>
      </c>
      <c r="C164" s="1164">
        <f t="shared" si="6"/>
        <v>5023283.2299451847</v>
      </c>
      <c r="D164" s="827">
        <v>97</v>
      </c>
      <c r="E164" s="1156">
        <f t="shared" si="5"/>
        <v>487258.47330468294</v>
      </c>
      <c r="F164" s="2922"/>
      <c r="G164" s="1188"/>
      <c r="H164" s="1189"/>
      <c r="I164" s="1190"/>
      <c r="J164" s="1190"/>
      <c r="K164" s="1190"/>
      <c r="L164" s="1190"/>
      <c r="M164" s="1190"/>
      <c r="N164" s="1190"/>
      <c r="O164" s="1190"/>
      <c r="P164" s="1190"/>
      <c r="Q164" s="1190"/>
      <c r="R164" s="1191"/>
      <c r="S164" s="1191"/>
      <c r="T164" s="1191"/>
      <c r="U164" s="1191"/>
      <c r="V164" s="1191"/>
      <c r="W164" s="2956"/>
      <c r="X164" s="1192"/>
      <c r="Y164" s="974"/>
      <c r="Z164" s="974"/>
      <c r="AA164" s="1193"/>
      <c r="AB164" s="974"/>
      <c r="AC164" s="974"/>
      <c r="AD164" s="974"/>
      <c r="AE164" s="1193"/>
      <c r="AF164" s="974"/>
      <c r="AG164" s="974"/>
    </row>
    <row r="165" spans="1:33" x14ac:dyDescent="0.25">
      <c r="A165" s="2862"/>
      <c r="B165" s="706">
        <v>2055</v>
      </c>
      <c r="C165" s="1164">
        <f t="shared" si="6"/>
        <v>5023283.2299451847</v>
      </c>
      <c r="D165" s="827">
        <v>97</v>
      </c>
      <c r="E165" s="1156">
        <f t="shared" si="5"/>
        <v>487258.47330468294</v>
      </c>
      <c r="F165" s="2922"/>
      <c r="G165" s="1188"/>
      <c r="H165" s="1189"/>
      <c r="I165" s="1190"/>
      <c r="J165" s="1190"/>
      <c r="K165" s="1190"/>
      <c r="L165" s="1190"/>
      <c r="M165" s="1190"/>
      <c r="N165" s="1190"/>
      <c r="O165" s="1190"/>
      <c r="P165" s="1190"/>
      <c r="Q165" s="1190"/>
      <c r="R165" s="1191"/>
      <c r="S165" s="1191"/>
      <c r="T165" s="1191"/>
      <c r="U165" s="1191"/>
      <c r="V165" s="1191"/>
      <c r="W165" s="2956"/>
      <c r="X165" s="1192"/>
      <c r="Y165" s="974"/>
      <c r="Z165" s="974"/>
      <c r="AA165" s="1193"/>
      <c r="AB165" s="974"/>
      <c r="AC165" s="974"/>
      <c r="AD165" s="974"/>
      <c r="AE165" s="1193"/>
      <c r="AF165" s="974"/>
      <c r="AG165" s="974"/>
    </row>
    <row r="166" spans="1:33" x14ac:dyDescent="0.25">
      <c r="A166" s="2862"/>
      <c r="B166" s="706">
        <v>2056</v>
      </c>
      <c r="C166" s="1164">
        <f t="shared" si="6"/>
        <v>5023283.2299451847</v>
      </c>
      <c r="D166" s="827">
        <v>97</v>
      </c>
      <c r="E166" s="1156">
        <f t="shared" si="5"/>
        <v>487258.47330468294</v>
      </c>
      <c r="F166" s="2922"/>
      <c r="G166" s="1188"/>
      <c r="H166" s="1189"/>
      <c r="I166" s="1190"/>
      <c r="J166" s="1190"/>
      <c r="K166" s="1190"/>
      <c r="L166" s="1190"/>
      <c r="M166" s="1190"/>
      <c r="N166" s="1190"/>
      <c r="O166" s="1190"/>
      <c r="P166" s="1190"/>
      <c r="Q166" s="1190"/>
      <c r="R166" s="1191"/>
      <c r="S166" s="1191"/>
      <c r="T166" s="1191"/>
      <c r="U166" s="1191"/>
      <c r="V166" s="1191"/>
      <c r="W166" s="2956"/>
      <c r="X166" s="1192"/>
      <c r="Y166" s="974"/>
      <c r="Z166" s="974"/>
      <c r="AA166" s="1193"/>
      <c r="AB166" s="974"/>
      <c r="AC166" s="974"/>
      <c r="AD166" s="974"/>
      <c r="AE166" s="1193"/>
      <c r="AF166" s="974"/>
      <c r="AG166" s="974"/>
    </row>
    <row r="167" spans="1:33" x14ac:dyDescent="0.25">
      <c r="A167" s="2862"/>
      <c r="B167" s="706">
        <v>2057</v>
      </c>
      <c r="C167" s="1164">
        <f t="shared" si="6"/>
        <v>5023283.2299451847</v>
      </c>
      <c r="D167" s="827">
        <v>97</v>
      </c>
      <c r="E167" s="1156">
        <f t="shared" si="5"/>
        <v>487258.47330468294</v>
      </c>
      <c r="F167" s="2922"/>
      <c r="G167" s="1188"/>
      <c r="H167" s="1189"/>
      <c r="I167" s="1190"/>
      <c r="J167" s="1190"/>
      <c r="K167" s="1190"/>
      <c r="L167" s="1190"/>
      <c r="M167" s="1190"/>
      <c r="N167" s="1190"/>
      <c r="O167" s="1190"/>
      <c r="P167" s="1190"/>
      <c r="Q167" s="1190"/>
      <c r="R167" s="1191"/>
      <c r="S167" s="1191"/>
      <c r="T167" s="1191"/>
      <c r="U167" s="1191"/>
      <c r="V167" s="1191"/>
      <c r="W167" s="2956"/>
      <c r="X167" s="1192"/>
      <c r="Y167" s="974"/>
      <c r="Z167" s="974"/>
      <c r="AA167" s="1193"/>
      <c r="AB167" s="974"/>
      <c r="AC167" s="974"/>
      <c r="AD167" s="974"/>
      <c r="AE167" s="1193"/>
      <c r="AF167" s="974"/>
      <c r="AG167" s="974"/>
    </row>
    <row r="168" spans="1:33" x14ac:dyDescent="0.25">
      <c r="A168" s="2862"/>
      <c r="B168" s="706">
        <v>2058</v>
      </c>
      <c r="C168" s="1164">
        <f t="shared" si="6"/>
        <v>5023283.2299451847</v>
      </c>
      <c r="D168" s="827">
        <v>97</v>
      </c>
      <c r="E168" s="1156">
        <f t="shared" si="5"/>
        <v>487258.47330468294</v>
      </c>
      <c r="F168" s="2922"/>
      <c r="G168" s="1188"/>
      <c r="H168" s="1189"/>
      <c r="I168" s="1190"/>
      <c r="J168" s="1190"/>
      <c r="K168" s="1190"/>
      <c r="L168" s="1190"/>
      <c r="M168" s="1190"/>
      <c r="N168" s="1190"/>
      <c r="O168" s="1190"/>
      <c r="P168" s="1190"/>
      <c r="Q168" s="1190"/>
      <c r="R168" s="1191"/>
      <c r="S168" s="1191"/>
      <c r="T168" s="1191"/>
      <c r="U168" s="1191"/>
      <c r="V168" s="1191"/>
      <c r="W168" s="2956"/>
      <c r="X168" s="1192"/>
      <c r="Y168" s="974"/>
      <c r="Z168" s="974"/>
      <c r="AA168" s="1193"/>
      <c r="AB168" s="974"/>
      <c r="AC168" s="974"/>
      <c r="AD168" s="974"/>
      <c r="AE168" s="1193"/>
      <c r="AF168" s="974"/>
      <c r="AG168" s="974"/>
    </row>
    <row r="169" spans="1:33" x14ac:dyDescent="0.25">
      <c r="A169" s="2862"/>
      <c r="B169" s="706">
        <v>2059</v>
      </c>
      <c r="C169" s="1164">
        <f t="shared" si="6"/>
        <v>5023283.2299451847</v>
      </c>
      <c r="D169" s="827">
        <v>97</v>
      </c>
      <c r="E169" s="1156">
        <f t="shared" si="5"/>
        <v>487258.47330468294</v>
      </c>
      <c r="F169" s="2922"/>
      <c r="G169" s="1188"/>
      <c r="H169" s="1189"/>
      <c r="I169" s="1190"/>
      <c r="J169" s="1190"/>
      <c r="K169" s="1190"/>
      <c r="L169" s="1190"/>
      <c r="M169" s="1190"/>
      <c r="N169" s="1190"/>
      <c r="O169" s="1190"/>
      <c r="P169" s="1190"/>
      <c r="Q169" s="1190"/>
      <c r="R169" s="1191"/>
      <c r="S169" s="1191"/>
      <c r="T169" s="1191"/>
      <c r="U169" s="1191"/>
      <c r="V169" s="1191"/>
      <c r="W169" s="2956"/>
      <c r="X169" s="1192"/>
      <c r="Y169" s="974"/>
      <c r="Z169" s="974"/>
      <c r="AA169" s="1193"/>
      <c r="AB169" s="974"/>
      <c r="AC169" s="974"/>
      <c r="AD169" s="974"/>
      <c r="AE169" s="1193"/>
      <c r="AF169" s="974"/>
      <c r="AG169" s="974"/>
    </row>
    <row r="170" spans="1:33" x14ac:dyDescent="0.25">
      <c r="A170" s="2862"/>
      <c r="B170" s="706">
        <v>2060</v>
      </c>
      <c r="C170" s="1164">
        <f t="shared" si="6"/>
        <v>5023283.2299451847</v>
      </c>
      <c r="D170" s="827">
        <v>97</v>
      </c>
      <c r="E170" s="1156">
        <f t="shared" si="5"/>
        <v>487258.47330468294</v>
      </c>
      <c r="F170" s="2922"/>
      <c r="G170" s="1188"/>
      <c r="H170" s="1189"/>
      <c r="I170" s="1190"/>
      <c r="J170" s="1190"/>
      <c r="K170" s="1190"/>
      <c r="L170" s="1190"/>
      <c r="M170" s="1190"/>
      <c r="N170" s="1190"/>
      <c r="O170" s="1190"/>
      <c r="P170" s="1190"/>
      <c r="Q170" s="1190"/>
      <c r="R170" s="1191"/>
      <c r="S170" s="1191"/>
      <c r="T170" s="1191"/>
      <c r="U170" s="1191"/>
      <c r="V170" s="1191"/>
      <c r="W170" s="2956"/>
      <c r="X170" s="1192"/>
      <c r="Y170" s="974"/>
      <c r="Z170" s="974"/>
      <c r="AA170" s="1193"/>
      <c r="AB170" s="974"/>
      <c r="AC170" s="974"/>
      <c r="AD170" s="974"/>
      <c r="AE170" s="1193"/>
      <c r="AF170" s="974"/>
      <c r="AG170" s="974"/>
    </row>
    <row r="171" spans="1:33" x14ac:dyDescent="0.25">
      <c r="A171" s="2862"/>
      <c r="B171" s="706">
        <v>2061</v>
      </c>
      <c r="C171" s="1164">
        <f t="shared" si="6"/>
        <v>5023283.2299451847</v>
      </c>
      <c r="D171" s="827">
        <v>97</v>
      </c>
      <c r="E171" s="1156">
        <f t="shared" si="5"/>
        <v>487258.47330468294</v>
      </c>
      <c r="F171" s="2922"/>
      <c r="G171" s="1188"/>
      <c r="H171" s="1189"/>
      <c r="I171" s="1190"/>
      <c r="J171" s="1190"/>
      <c r="K171" s="1190"/>
      <c r="L171" s="1190"/>
      <c r="M171" s="1190"/>
      <c r="N171" s="1190"/>
      <c r="O171" s="1190"/>
      <c r="P171" s="1190"/>
      <c r="Q171" s="1190"/>
      <c r="R171" s="1191"/>
      <c r="S171" s="1191"/>
      <c r="T171" s="1191"/>
      <c r="U171" s="1191"/>
      <c r="V171" s="1191"/>
      <c r="W171" s="2956"/>
      <c r="X171" s="1192"/>
      <c r="Y171" s="974"/>
      <c r="Z171" s="974"/>
      <c r="AA171" s="1193"/>
      <c r="AB171" s="974"/>
      <c r="AC171" s="974"/>
      <c r="AD171" s="974"/>
      <c r="AE171" s="1193"/>
      <c r="AF171" s="974"/>
      <c r="AG171" s="974"/>
    </row>
    <row r="172" spans="1:33" x14ac:dyDescent="0.25">
      <c r="A172" s="2862"/>
      <c r="B172" s="706">
        <v>2062</v>
      </c>
      <c r="C172" s="1164">
        <f t="shared" si="6"/>
        <v>5023283.2299451847</v>
      </c>
      <c r="D172" s="827">
        <v>97</v>
      </c>
      <c r="E172" s="1156">
        <f t="shared" si="5"/>
        <v>487258.47330468294</v>
      </c>
      <c r="F172" s="2922"/>
      <c r="G172" s="1188"/>
      <c r="H172" s="1189"/>
      <c r="I172" s="1190"/>
      <c r="J172" s="1190"/>
      <c r="K172" s="1190"/>
      <c r="L172" s="1190"/>
      <c r="M172" s="1190"/>
      <c r="N172" s="1190"/>
      <c r="O172" s="1190"/>
      <c r="P172" s="1190"/>
      <c r="Q172" s="1190"/>
      <c r="R172" s="1191"/>
      <c r="S172" s="1191"/>
      <c r="T172" s="1191"/>
      <c r="U172" s="1191"/>
      <c r="V172" s="1191"/>
      <c r="W172" s="2956"/>
      <c r="X172" s="1192"/>
      <c r="Y172" s="974"/>
      <c r="Z172" s="974"/>
      <c r="AA172" s="1193"/>
      <c r="AB172" s="974"/>
      <c r="AC172" s="974"/>
      <c r="AD172" s="974"/>
      <c r="AE172" s="1193"/>
      <c r="AF172" s="974"/>
      <c r="AG172" s="974"/>
    </row>
    <row r="173" spans="1:33" x14ac:dyDescent="0.25">
      <c r="A173" s="2862"/>
      <c r="B173" s="706">
        <v>2063</v>
      </c>
      <c r="C173" s="1164">
        <f t="shared" si="6"/>
        <v>5023283.2299451847</v>
      </c>
      <c r="D173" s="827">
        <v>97</v>
      </c>
      <c r="E173" s="1156">
        <f t="shared" si="5"/>
        <v>487258.47330468294</v>
      </c>
      <c r="F173" s="2922"/>
      <c r="G173" s="1188"/>
      <c r="H173" s="1189"/>
      <c r="I173" s="1190"/>
      <c r="J173" s="1190"/>
      <c r="K173" s="1190"/>
      <c r="L173" s="1190"/>
      <c r="M173" s="1190"/>
      <c r="N173" s="1190"/>
      <c r="O173" s="1190"/>
      <c r="P173" s="1190"/>
      <c r="Q173" s="1190"/>
      <c r="R173" s="1191"/>
      <c r="S173" s="1191"/>
      <c r="T173" s="1191"/>
      <c r="U173" s="1191"/>
      <c r="V173" s="1191"/>
      <c r="W173" s="2956"/>
      <c r="X173" s="1192"/>
      <c r="Y173" s="974"/>
      <c r="Z173" s="974"/>
      <c r="AA173" s="1193"/>
      <c r="AB173" s="974"/>
      <c r="AC173" s="974"/>
      <c r="AD173" s="974"/>
      <c r="AE173" s="1193"/>
      <c r="AF173" s="974"/>
      <c r="AG173" s="974"/>
    </row>
    <row r="174" spans="1:33" x14ac:dyDescent="0.25">
      <c r="A174" s="2862"/>
      <c r="B174" s="706">
        <v>2064</v>
      </c>
      <c r="C174" s="1164">
        <f t="shared" si="6"/>
        <v>5023283.2299451847</v>
      </c>
      <c r="D174" s="827">
        <v>97</v>
      </c>
      <c r="E174" s="1156">
        <f t="shared" si="5"/>
        <v>487258.47330468294</v>
      </c>
      <c r="F174" s="2922"/>
      <c r="G174" s="1188"/>
      <c r="H174" s="1189"/>
      <c r="I174" s="1190"/>
      <c r="J174" s="1190"/>
      <c r="K174" s="1190"/>
      <c r="L174" s="1190"/>
      <c r="M174" s="1190"/>
      <c r="N174" s="1190"/>
      <c r="O174" s="1190"/>
      <c r="P174" s="1190"/>
      <c r="Q174" s="1190"/>
      <c r="R174" s="1191"/>
      <c r="S174" s="1191"/>
      <c r="T174" s="1191"/>
      <c r="U174" s="1191"/>
      <c r="V174" s="1191"/>
      <c r="W174" s="2956"/>
      <c r="X174" s="1192"/>
      <c r="Y174" s="974"/>
      <c r="Z174" s="974"/>
      <c r="AA174" s="1193"/>
      <c r="AB174" s="974"/>
      <c r="AC174" s="974"/>
      <c r="AD174" s="974"/>
      <c r="AE174" s="1193"/>
      <c r="AF174" s="974"/>
      <c r="AG174" s="974"/>
    </row>
    <row r="175" spans="1:33" x14ac:dyDescent="0.25">
      <c r="A175" s="2862"/>
      <c r="B175" s="706">
        <v>2065</v>
      </c>
      <c r="C175" s="1164">
        <f t="shared" si="6"/>
        <v>5023283.2299451847</v>
      </c>
      <c r="D175" s="827">
        <v>97</v>
      </c>
      <c r="E175" s="1156">
        <f t="shared" si="5"/>
        <v>487258.47330468294</v>
      </c>
      <c r="F175" s="2922"/>
      <c r="G175" s="1188"/>
      <c r="H175" s="1189"/>
      <c r="I175" s="1190"/>
      <c r="J175" s="1190"/>
      <c r="K175" s="1190"/>
      <c r="L175" s="1190"/>
      <c r="M175" s="1190"/>
      <c r="N175" s="1190"/>
      <c r="O175" s="1190"/>
      <c r="P175" s="1190"/>
      <c r="Q175" s="1190"/>
      <c r="R175" s="1191"/>
      <c r="S175" s="1191"/>
      <c r="T175" s="1191"/>
      <c r="U175" s="1191"/>
      <c r="V175" s="1191"/>
      <c r="W175" s="2956"/>
      <c r="X175" s="1192"/>
      <c r="Y175" s="974"/>
      <c r="Z175" s="974"/>
      <c r="AA175" s="1193"/>
      <c r="AB175" s="974"/>
      <c r="AC175" s="974"/>
      <c r="AD175" s="974"/>
      <c r="AE175" s="1193"/>
      <c r="AF175" s="974"/>
      <c r="AG175" s="974"/>
    </row>
    <row r="176" spans="1:33" x14ac:dyDescent="0.25">
      <c r="A176" s="2862"/>
      <c r="B176" s="706">
        <v>2066</v>
      </c>
      <c r="C176" s="1164">
        <f t="shared" si="6"/>
        <v>5023283.2299451847</v>
      </c>
      <c r="D176" s="827">
        <v>97</v>
      </c>
      <c r="E176" s="1156">
        <f t="shared" si="5"/>
        <v>487258.47330468294</v>
      </c>
      <c r="F176" s="2922"/>
      <c r="G176" s="1188"/>
      <c r="H176" s="1189"/>
      <c r="I176" s="1190"/>
      <c r="J176" s="1190"/>
      <c r="K176" s="1190"/>
      <c r="L176" s="1190"/>
      <c r="M176" s="1190"/>
      <c r="N176" s="1190"/>
      <c r="O176" s="1190"/>
      <c r="P176" s="1190"/>
      <c r="Q176" s="1190"/>
      <c r="R176" s="1191"/>
      <c r="S176" s="1191"/>
      <c r="T176" s="1191"/>
      <c r="U176" s="1191"/>
      <c r="V176" s="1191"/>
      <c r="W176" s="2956"/>
      <c r="X176" s="1192"/>
      <c r="Y176" s="974"/>
      <c r="Z176" s="974"/>
      <c r="AA176" s="1193"/>
      <c r="AB176" s="974"/>
      <c r="AC176" s="974"/>
      <c r="AD176" s="974"/>
      <c r="AE176" s="1193"/>
      <c r="AF176" s="974"/>
      <c r="AG176" s="974"/>
    </row>
    <row r="177" spans="1:33" x14ac:dyDescent="0.25">
      <c r="A177" s="2862"/>
      <c r="B177" s="706">
        <v>2067</v>
      </c>
      <c r="C177" s="1164">
        <f t="shared" si="6"/>
        <v>5023283.2299451847</v>
      </c>
      <c r="D177" s="827">
        <v>97</v>
      </c>
      <c r="E177" s="1156">
        <f t="shared" si="5"/>
        <v>487258.47330468294</v>
      </c>
      <c r="F177" s="2922"/>
      <c r="G177" s="1188"/>
      <c r="H177" s="1189"/>
      <c r="I177" s="1190"/>
      <c r="J177" s="1190"/>
      <c r="K177" s="1190"/>
      <c r="L177" s="1190"/>
      <c r="M177" s="1190"/>
      <c r="N177" s="1190"/>
      <c r="O177" s="1190"/>
      <c r="P177" s="1190"/>
      <c r="Q177" s="1190"/>
      <c r="R177" s="1191"/>
      <c r="S177" s="1191"/>
      <c r="T177" s="1191"/>
      <c r="U177" s="1191"/>
      <c r="V177" s="1191"/>
      <c r="W177" s="2956"/>
      <c r="X177" s="1192"/>
      <c r="Y177" s="974"/>
      <c r="Z177" s="974"/>
      <c r="AA177" s="1193"/>
      <c r="AB177" s="974"/>
      <c r="AC177" s="974"/>
      <c r="AD177" s="974"/>
      <c r="AE177" s="1193"/>
      <c r="AF177" s="974"/>
      <c r="AG177" s="974"/>
    </row>
    <row r="178" spans="1:33" x14ac:dyDescent="0.25">
      <c r="A178" s="2862"/>
      <c r="B178" s="706">
        <v>2068</v>
      </c>
      <c r="C178" s="1164">
        <f t="shared" si="6"/>
        <v>5023283.2299451847</v>
      </c>
      <c r="D178" s="827">
        <v>97</v>
      </c>
      <c r="E178" s="1156">
        <f t="shared" si="5"/>
        <v>487258.47330468294</v>
      </c>
      <c r="F178" s="2922"/>
      <c r="G178" s="1188"/>
      <c r="H178" s="1189"/>
      <c r="I178" s="1190"/>
      <c r="J178" s="1190"/>
      <c r="K178" s="1190"/>
      <c r="L178" s="1190"/>
      <c r="M178" s="1190"/>
      <c r="N178" s="1190"/>
      <c r="O178" s="1190"/>
      <c r="P178" s="1190"/>
      <c r="Q178" s="1190"/>
      <c r="R178" s="1191"/>
      <c r="S178" s="1191"/>
      <c r="T178" s="1191"/>
      <c r="U178" s="1191"/>
      <c r="V178" s="1191"/>
      <c r="W178" s="2956"/>
      <c r="X178" s="1192"/>
      <c r="Y178" s="974"/>
      <c r="Z178" s="974"/>
      <c r="AA178" s="1193"/>
      <c r="AB178" s="974"/>
      <c r="AC178" s="974"/>
      <c r="AD178" s="974"/>
      <c r="AE178" s="1193"/>
      <c r="AF178" s="974"/>
      <c r="AG178" s="974"/>
    </row>
    <row r="179" spans="1:33" ht="15.75" thickBot="1" x14ac:dyDescent="0.3">
      <c r="A179" s="2863"/>
      <c r="B179" s="55">
        <v>2069</v>
      </c>
      <c r="C179" s="1165">
        <f t="shared" si="6"/>
        <v>5023283.2299451847</v>
      </c>
      <c r="D179" s="1062">
        <v>97</v>
      </c>
      <c r="E179" s="1160">
        <f>(C179/1000)*D179</f>
        <v>487258.47330468294</v>
      </c>
      <c r="F179" s="2923"/>
      <c r="G179" s="1188"/>
      <c r="H179" s="1189"/>
      <c r="I179" s="1190"/>
      <c r="J179" s="1190"/>
      <c r="K179" s="1190"/>
      <c r="L179" s="1190"/>
      <c r="M179" s="1190"/>
      <c r="N179" s="1190"/>
      <c r="O179" s="1190"/>
      <c r="P179" s="1190"/>
      <c r="Q179" s="1190"/>
      <c r="R179" s="1191"/>
      <c r="S179" s="1191"/>
      <c r="T179" s="1191"/>
      <c r="U179" s="1191"/>
      <c r="V179" s="1191"/>
      <c r="W179" s="2956"/>
      <c r="X179" s="1192"/>
      <c r="Y179" s="974"/>
      <c r="Z179" s="974"/>
      <c r="AA179" s="1193"/>
      <c r="AB179" s="974"/>
      <c r="AC179" s="974"/>
      <c r="AD179" s="974"/>
      <c r="AE179" s="1193"/>
      <c r="AF179" s="974"/>
      <c r="AG179" s="974"/>
    </row>
    <row r="180" spans="1:33" x14ac:dyDescent="0.25">
      <c r="A180" s="2903" t="s">
        <v>997</v>
      </c>
      <c r="B180" s="888">
        <v>2019</v>
      </c>
      <c r="C180" s="1153">
        <f t="shared" ref="C180:C211" si="7">$R$10</f>
        <v>1702550.6369550053</v>
      </c>
      <c r="D180" s="1056">
        <v>62</v>
      </c>
      <c r="E180" s="1153">
        <f>(C180/1000)*D180</f>
        <v>105558.13949121033</v>
      </c>
      <c r="F180" s="2921">
        <f>SUM(E180:E230)*1.2682</f>
        <v>9489572.8846709635</v>
      </c>
      <c r="G180" s="1188"/>
      <c r="H180" s="1189"/>
      <c r="I180" s="1190"/>
      <c r="J180" s="1190"/>
      <c r="K180" s="1190"/>
      <c r="L180" s="1190"/>
      <c r="M180" s="1190"/>
      <c r="N180" s="1190"/>
      <c r="O180" s="1190"/>
      <c r="P180" s="1190"/>
      <c r="Q180" s="1190"/>
      <c r="R180" s="1191"/>
      <c r="S180" s="1191"/>
      <c r="T180" s="1191"/>
      <c r="U180" s="1191"/>
      <c r="V180" s="1191"/>
      <c r="W180" s="2956"/>
      <c r="X180" s="1192"/>
      <c r="Y180" s="974"/>
      <c r="Z180" s="974"/>
      <c r="AA180" s="1193"/>
      <c r="AB180" s="974"/>
      <c r="AC180" s="974"/>
      <c r="AD180" s="974"/>
      <c r="AE180" s="1193"/>
      <c r="AF180" s="974"/>
      <c r="AG180" s="974"/>
    </row>
    <row r="181" spans="1:33" x14ac:dyDescent="0.25">
      <c r="A181" s="2862"/>
      <c r="B181" s="706">
        <v>2020</v>
      </c>
      <c r="C181" s="1156">
        <f t="shared" si="7"/>
        <v>1702550.6369550053</v>
      </c>
      <c r="D181" s="827">
        <v>64</v>
      </c>
      <c r="E181" s="1156">
        <f t="shared" ref="E181:E230" si="8">(C181/1000)*D181</f>
        <v>108963.24076512034</v>
      </c>
      <c r="F181" s="2922"/>
      <c r="G181" s="1188"/>
      <c r="H181" s="1189"/>
      <c r="I181" s="1190"/>
      <c r="J181" s="1190"/>
      <c r="K181" s="1190"/>
      <c r="L181" s="1190"/>
      <c r="M181" s="1190"/>
      <c r="N181" s="1190"/>
      <c r="O181" s="1190"/>
      <c r="P181" s="1190"/>
      <c r="Q181" s="1190"/>
      <c r="R181" s="1191"/>
      <c r="S181" s="1191"/>
      <c r="T181" s="1191"/>
      <c r="U181" s="1191"/>
      <c r="V181" s="1191"/>
      <c r="W181" s="2956"/>
      <c r="X181" s="1192"/>
      <c r="Y181" s="974"/>
      <c r="Z181" s="974"/>
      <c r="AA181" s="1193"/>
      <c r="AB181" s="974"/>
      <c r="AC181" s="974"/>
      <c r="AD181" s="974"/>
      <c r="AE181" s="1193"/>
      <c r="AF181" s="974"/>
      <c r="AG181" s="974"/>
    </row>
    <row r="182" spans="1:33" x14ac:dyDescent="0.25">
      <c r="A182" s="2862"/>
      <c r="B182" s="706">
        <v>2021</v>
      </c>
      <c r="C182" s="1156">
        <f t="shared" si="7"/>
        <v>1702550.6369550053</v>
      </c>
      <c r="D182" s="827">
        <v>65</v>
      </c>
      <c r="E182" s="1156">
        <f t="shared" si="8"/>
        <v>110665.79140207534</v>
      </c>
      <c r="F182" s="2922"/>
      <c r="G182" s="1188"/>
      <c r="H182" s="1189"/>
      <c r="I182" s="1190"/>
      <c r="J182" s="1190"/>
      <c r="K182" s="1190"/>
      <c r="L182" s="1190"/>
      <c r="M182" s="1190"/>
      <c r="N182" s="1190"/>
      <c r="O182" s="1190"/>
      <c r="P182" s="1190"/>
      <c r="Q182" s="1190"/>
      <c r="R182" s="1191"/>
      <c r="S182" s="1191"/>
      <c r="T182" s="1191"/>
      <c r="U182" s="1191"/>
      <c r="V182" s="1191"/>
      <c r="W182" s="2956"/>
      <c r="X182" s="1192"/>
      <c r="Y182" s="974"/>
      <c r="Z182" s="974"/>
      <c r="AA182" s="1193"/>
      <c r="AB182" s="974"/>
      <c r="AC182" s="974"/>
      <c r="AD182" s="974"/>
      <c r="AE182" s="1193"/>
      <c r="AF182" s="974"/>
      <c r="AG182" s="974"/>
    </row>
    <row r="183" spans="1:33" x14ac:dyDescent="0.25">
      <c r="A183" s="2862"/>
      <c r="B183" s="706">
        <v>2022</v>
      </c>
      <c r="C183" s="1156">
        <f t="shared" si="7"/>
        <v>1702550.6369550053</v>
      </c>
      <c r="D183" s="827">
        <v>66</v>
      </c>
      <c r="E183" s="1156">
        <f t="shared" si="8"/>
        <v>112368.34203903035</v>
      </c>
      <c r="F183" s="2922"/>
      <c r="G183" s="1188"/>
      <c r="H183" s="1189"/>
      <c r="I183" s="1190"/>
      <c r="J183" s="1190"/>
      <c r="K183" s="1190"/>
      <c r="L183" s="1190"/>
      <c r="M183" s="1190"/>
      <c r="N183" s="1190"/>
      <c r="O183" s="1190"/>
      <c r="P183" s="1190"/>
      <c r="Q183" s="1190"/>
      <c r="R183" s="1191"/>
      <c r="S183" s="1191"/>
      <c r="T183" s="1191"/>
      <c r="U183" s="1191"/>
      <c r="V183" s="1191"/>
      <c r="W183" s="2956"/>
      <c r="X183" s="1192"/>
      <c r="Y183" s="974"/>
      <c r="Z183" s="974"/>
      <c r="AA183" s="1193"/>
      <c r="AB183" s="974"/>
      <c r="AC183" s="974"/>
      <c r="AD183" s="974"/>
      <c r="AE183" s="1193"/>
      <c r="AF183" s="974"/>
      <c r="AG183" s="974"/>
    </row>
    <row r="184" spans="1:33" x14ac:dyDescent="0.25">
      <c r="A184" s="2862"/>
      <c r="B184" s="706">
        <v>2023</v>
      </c>
      <c r="C184" s="1156">
        <f t="shared" si="7"/>
        <v>1702550.6369550053</v>
      </c>
      <c r="D184" s="827">
        <v>67</v>
      </c>
      <c r="E184" s="1156">
        <f t="shared" si="8"/>
        <v>114070.89267598535</v>
      </c>
      <c r="F184" s="2922"/>
      <c r="G184" s="1188"/>
      <c r="H184" s="1189"/>
      <c r="I184" s="1190"/>
      <c r="J184" s="1190"/>
      <c r="K184" s="1190"/>
      <c r="L184" s="1190"/>
      <c r="M184" s="1190"/>
      <c r="N184" s="1190"/>
      <c r="O184" s="1190"/>
      <c r="P184" s="1190"/>
      <c r="Q184" s="1190"/>
      <c r="R184" s="1191"/>
      <c r="S184" s="1191"/>
      <c r="T184" s="1191"/>
      <c r="U184" s="1191"/>
      <c r="V184" s="1191"/>
      <c r="W184" s="2956"/>
      <c r="X184" s="1192"/>
      <c r="Y184" s="974"/>
      <c r="Z184" s="974"/>
      <c r="AA184" s="1193"/>
      <c r="AB184" s="974"/>
      <c r="AC184" s="974"/>
      <c r="AD184" s="974"/>
      <c r="AE184" s="1193"/>
      <c r="AF184" s="974"/>
      <c r="AG184" s="974"/>
    </row>
    <row r="185" spans="1:33" x14ac:dyDescent="0.25">
      <c r="A185" s="2862"/>
      <c r="B185" s="706">
        <v>2024</v>
      </c>
      <c r="C185" s="1156">
        <f t="shared" si="7"/>
        <v>1702550.6369550053</v>
      </c>
      <c r="D185" s="827">
        <v>68</v>
      </c>
      <c r="E185" s="1156">
        <f t="shared" si="8"/>
        <v>115773.44331294036</v>
      </c>
      <c r="F185" s="2922"/>
      <c r="G185" s="1188"/>
      <c r="H185" s="1189"/>
      <c r="I185" s="1190"/>
      <c r="J185" s="1190"/>
      <c r="K185" s="1190"/>
      <c r="L185" s="1190"/>
      <c r="M185" s="1190"/>
      <c r="N185" s="1190"/>
      <c r="O185" s="1190"/>
      <c r="P185" s="1190"/>
      <c r="Q185" s="1190"/>
      <c r="R185" s="1191"/>
      <c r="S185" s="1191"/>
      <c r="T185" s="1191"/>
      <c r="U185" s="1191"/>
      <c r="V185" s="1191"/>
      <c r="W185" s="2956"/>
      <c r="X185" s="1192"/>
      <c r="Y185" s="974"/>
      <c r="Z185" s="974"/>
      <c r="AA185" s="1193"/>
      <c r="AB185" s="974"/>
      <c r="AC185" s="974"/>
      <c r="AD185" s="974"/>
      <c r="AE185" s="1193"/>
      <c r="AF185" s="974"/>
      <c r="AG185" s="974"/>
    </row>
    <row r="186" spans="1:33" x14ac:dyDescent="0.25">
      <c r="A186" s="2862"/>
      <c r="B186" s="706">
        <v>2025</v>
      </c>
      <c r="C186" s="1156">
        <f t="shared" si="7"/>
        <v>1702550.6369550053</v>
      </c>
      <c r="D186" s="827">
        <v>69</v>
      </c>
      <c r="E186" s="1156">
        <f t="shared" si="8"/>
        <v>117475.99394989536</v>
      </c>
      <c r="F186" s="2922"/>
      <c r="G186" s="1188"/>
      <c r="H186" s="1189"/>
      <c r="I186" s="1190"/>
      <c r="J186" s="1190"/>
      <c r="K186" s="1190"/>
      <c r="L186" s="1190"/>
      <c r="M186" s="1190"/>
      <c r="N186" s="1190"/>
      <c r="O186" s="1190"/>
      <c r="P186" s="1190"/>
      <c r="Q186" s="1190"/>
      <c r="R186" s="1191"/>
      <c r="S186" s="1191"/>
      <c r="T186" s="1191"/>
      <c r="U186" s="1191"/>
      <c r="V186" s="1191"/>
      <c r="W186" s="2956"/>
      <c r="X186" s="1192"/>
      <c r="Y186" s="974"/>
      <c r="Z186" s="974"/>
      <c r="AA186" s="1193"/>
      <c r="AB186" s="974"/>
      <c r="AC186" s="974"/>
      <c r="AD186" s="974"/>
      <c r="AE186" s="1193"/>
      <c r="AF186" s="974"/>
      <c r="AG186" s="974"/>
    </row>
    <row r="187" spans="1:33" x14ac:dyDescent="0.25">
      <c r="A187" s="2862"/>
      <c r="B187" s="706">
        <v>2026</v>
      </c>
      <c r="C187" s="1156">
        <f t="shared" si="7"/>
        <v>1702550.6369550053</v>
      </c>
      <c r="D187" s="827">
        <v>70</v>
      </c>
      <c r="E187" s="1156">
        <f t="shared" si="8"/>
        <v>119178.54458685037</v>
      </c>
      <c r="F187" s="2922"/>
      <c r="G187" s="1188"/>
      <c r="H187" s="1189"/>
      <c r="I187" s="1190"/>
      <c r="J187" s="1190"/>
      <c r="K187" s="1190"/>
      <c r="L187" s="1190"/>
      <c r="M187" s="1190"/>
      <c r="N187" s="1190"/>
      <c r="O187" s="1190"/>
      <c r="P187" s="1190"/>
      <c r="Q187" s="1190"/>
      <c r="R187" s="1191"/>
      <c r="S187" s="1191"/>
      <c r="T187" s="1191"/>
      <c r="U187" s="1191"/>
      <c r="V187" s="1191"/>
      <c r="W187" s="2956"/>
      <c r="X187" s="1192"/>
      <c r="Y187" s="974"/>
      <c r="Z187" s="974"/>
      <c r="AA187" s="1193"/>
      <c r="AB187" s="974"/>
      <c r="AC187" s="974"/>
      <c r="AD187" s="974"/>
      <c r="AE187" s="1193"/>
      <c r="AF187" s="974"/>
      <c r="AG187" s="974"/>
    </row>
    <row r="188" spans="1:33" x14ac:dyDescent="0.25">
      <c r="A188" s="2862"/>
      <c r="B188" s="706">
        <v>2027</v>
      </c>
      <c r="C188" s="1156">
        <f t="shared" si="7"/>
        <v>1702550.6369550053</v>
      </c>
      <c r="D188" s="827">
        <v>71</v>
      </c>
      <c r="E188" s="1156">
        <f t="shared" si="8"/>
        <v>120881.09522380537</v>
      </c>
      <c r="F188" s="2922"/>
      <c r="G188" s="1188"/>
      <c r="H188" s="1189"/>
      <c r="I188" s="1190"/>
      <c r="J188" s="1190"/>
      <c r="K188" s="1190"/>
      <c r="L188" s="1190"/>
      <c r="M188" s="1190"/>
      <c r="N188" s="1190"/>
      <c r="O188" s="1190"/>
      <c r="P188" s="1190"/>
      <c r="Q188" s="1190"/>
      <c r="R188" s="1191"/>
      <c r="S188" s="1191"/>
      <c r="T188" s="1191"/>
      <c r="U188" s="1191"/>
      <c r="V188" s="1191"/>
      <c r="W188" s="2956"/>
      <c r="X188" s="1192"/>
      <c r="Y188" s="974"/>
      <c r="Z188" s="974"/>
      <c r="AA188" s="1193"/>
      <c r="AB188" s="974"/>
      <c r="AC188" s="974"/>
      <c r="AD188" s="974"/>
      <c r="AE188" s="1193"/>
      <c r="AF188" s="974"/>
      <c r="AG188" s="974"/>
    </row>
    <row r="189" spans="1:33" x14ac:dyDescent="0.25">
      <c r="A189" s="2862"/>
      <c r="B189" s="706">
        <v>2028</v>
      </c>
      <c r="C189" s="1156">
        <f t="shared" si="7"/>
        <v>1702550.6369550053</v>
      </c>
      <c r="D189" s="827">
        <v>72</v>
      </c>
      <c r="E189" s="1156">
        <f t="shared" si="8"/>
        <v>122583.64586076039</v>
      </c>
      <c r="F189" s="2922"/>
      <c r="G189" s="1188"/>
      <c r="H189" s="1189"/>
      <c r="I189" s="1190"/>
      <c r="J189" s="1190"/>
      <c r="K189" s="1190"/>
      <c r="L189" s="1190"/>
      <c r="M189" s="1190"/>
      <c r="N189" s="1190"/>
      <c r="O189" s="1190"/>
      <c r="P189" s="1190"/>
      <c r="Q189" s="1190"/>
      <c r="R189" s="1191"/>
      <c r="S189" s="1191"/>
      <c r="T189" s="1191"/>
      <c r="U189" s="1191"/>
      <c r="V189" s="1191"/>
      <c r="W189" s="2956"/>
      <c r="X189" s="1192"/>
      <c r="Y189" s="974"/>
      <c r="Z189" s="974"/>
      <c r="AA189" s="1193"/>
      <c r="AB189" s="974"/>
      <c r="AC189" s="974"/>
      <c r="AD189" s="974"/>
      <c r="AE189" s="1193"/>
      <c r="AF189" s="974"/>
      <c r="AG189" s="974"/>
    </row>
    <row r="190" spans="1:33" x14ac:dyDescent="0.25">
      <c r="A190" s="2862"/>
      <c r="B190" s="706">
        <v>2029</v>
      </c>
      <c r="C190" s="1156">
        <f t="shared" si="7"/>
        <v>1702550.6369550053</v>
      </c>
      <c r="D190" s="827">
        <v>73</v>
      </c>
      <c r="E190" s="1156">
        <f t="shared" si="8"/>
        <v>124286.19649771538</v>
      </c>
      <c r="F190" s="2922"/>
      <c r="G190" s="1188"/>
      <c r="H190" s="1189"/>
      <c r="I190" s="1190"/>
      <c r="J190" s="1190"/>
      <c r="K190" s="1190"/>
      <c r="L190" s="1190"/>
      <c r="M190" s="1190"/>
      <c r="N190" s="1190"/>
      <c r="O190" s="1190"/>
      <c r="P190" s="1190"/>
      <c r="Q190" s="1190"/>
      <c r="R190" s="1191"/>
      <c r="S190" s="1191"/>
      <c r="T190" s="1191"/>
      <c r="U190" s="1191"/>
      <c r="V190" s="1191"/>
      <c r="W190" s="2956"/>
      <c r="X190" s="1192"/>
      <c r="Y190" s="974"/>
      <c r="Z190" s="974"/>
      <c r="AA190" s="1193"/>
      <c r="AB190" s="974"/>
      <c r="AC190" s="974"/>
      <c r="AD190" s="974"/>
      <c r="AE190" s="1193"/>
      <c r="AF190" s="974"/>
      <c r="AG190" s="974"/>
    </row>
    <row r="191" spans="1:33" x14ac:dyDescent="0.25">
      <c r="A191" s="2862"/>
      <c r="B191" s="706">
        <v>2030</v>
      </c>
      <c r="C191" s="1156">
        <f t="shared" si="7"/>
        <v>1702550.6369550053</v>
      </c>
      <c r="D191" s="827">
        <v>75</v>
      </c>
      <c r="E191" s="1156">
        <f t="shared" si="8"/>
        <v>127691.2977716254</v>
      </c>
      <c r="F191" s="2922"/>
      <c r="G191" s="1188"/>
      <c r="H191" s="1189"/>
      <c r="I191" s="1190"/>
      <c r="J191" s="1190"/>
      <c r="K191" s="1190"/>
      <c r="L191" s="1190"/>
      <c r="M191" s="1190"/>
      <c r="N191" s="1190"/>
      <c r="O191" s="1190"/>
      <c r="P191" s="1190"/>
      <c r="Q191" s="1190"/>
      <c r="R191" s="1191"/>
      <c r="S191" s="1191"/>
      <c r="T191" s="1191"/>
      <c r="U191" s="1191"/>
      <c r="V191" s="1191"/>
      <c r="W191" s="2956"/>
      <c r="X191" s="1192"/>
      <c r="Y191" s="974"/>
      <c r="Z191" s="974"/>
      <c r="AA191" s="1193"/>
      <c r="AB191" s="974"/>
      <c r="AC191" s="974"/>
      <c r="AD191" s="974"/>
      <c r="AE191" s="1193"/>
      <c r="AF191" s="974"/>
      <c r="AG191" s="974"/>
    </row>
    <row r="192" spans="1:33" x14ac:dyDescent="0.25">
      <c r="A192" s="2862"/>
      <c r="B192" s="706">
        <v>2031</v>
      </c>
      <c r="C192" s="1156">
        <f t="shared" si="7"/>
        <v>1702550.6369550053</v>
      </c>
      <c r="D192" s="827">
        <v>76</v>
      </c>
      <c r="E192" s="1156">
        <f t="shared" si="8"/>
        <v>129393.84840858041</v>
      </c>
      <c r="F192" s="2922"/>
      <c r="G192" s="1188"/>
      <c r="H192" s="1189"/>
      <c r="I192" s="1190"/>
      <c r="J192" s="1190"/>
      <c r="K192" s="1190"/>
      <c r="L192" s="1190"/>
      <c r="M192" s="1190"/>
      <c r="N192" s="1190"/>
      <c r="O192" s="1190"/>
      <c r="P192" s="1190"/>
      <c r="Q192" s="1190"/>
      <c r="R192" s="1191"/>
      <c r="S192" s="1191"/>
      <c r="T192" s="1191"/>
      <c r="U192" s="1191"/>
      <c r="V192" s="1191"/>
      <c r="W192" s="2956"/>
      <c r="X192" s="1192"/>
      <c r="Y192" s="974"/>
      <c r="Z192" s="974"/>
      <c r="AA192" s="1193"/>
      <c r="AB192" s="974"/>
      <c r="AC192" s="974"/>
      <c r="AD192" s="974"/>
      <c r="AE192" s="1193"/>
      <c r="AF192" s="974"/>
      <c r="AG192" s="974"/>
    </row>
    <row r="193" spans="1:33" x14ac:dyDescent="0.25">
      <c r="A193" s="2862"/>
      <c r="B193" s="706">
        <v>2032</v>
      </c>
      <c r="C193" s="1156">
        <f t="shared" si="7"/>
        <v>1702550.6369550053</v>
      </c>
      <c r="D193" s="827">
        <v>77</v>
      </c>
      <c r="E193" s="1156">
        <f t="shared" si="8"/>
        <v>131096.39904553542</v>
      </c>
      <c r="F193" s="2922"/>
      <c r="G193" s="1188"/>
      <c r="H193" s="1189"/>
      <c r="I193" s="1190"/>
      <c r="J193" s="1190"/>
      <c r="K193" s="1190"/>
      <c r="L193" s="1190"/>
      <c r="M193" s="1190"/>
      <c r="N193" s="1190"/>
      <c r="O193" s="1190"/>
      <c r="P193" s="1190"/>
      <c r="Q193" s="1190"/>
      <c r="R193" s="1191"/>
      <c r="S193" s="1191"/>
      <c r="T193" s="1191"/>
      <c r="U193" s="1191"/>
      <c r="V193" s="1191"/>
      <c r="W193" s="2956"/>
      <c r="X193" s="1192"/>
      <c r="Y193" s="974"/>
      <c r="Z193" s="974"/>
      <c r="AA193" s="1193"/>
      <c r="AB193" s="974"/>
      <c r="AC193" s="974"/>
      <c r="AD193" s="974"/>
      <c r="AE193" s="1193"/>
      <c r="AF193" s="974"/>
      <c r="AG193" s="974"/>
    </row>
    <row r="194" spans="1:33" x14ac:dyDescent="0.25">
      <c r="A194" s="2862"/>
      <c r="B194" s="706">
        <v>2033</v>
      </c>
      <c r="C194" s="1156">
        <f t="shared" si="7"/>
        <v>1702550.6369550053</v>
      </c>
      <c r="D194" s="827">
        <v>78</v>
      </c>
      <c r="E194" s="1156">
        <f t="shared" si="8"/>
        <v>132798.94968249041</v>
      </c>
      <c r="F194" s="2922"/>
      <c r="G194" s="1188"/>
      <c r="H194" s="1189"/>
      <c r="I194" s="1190"/>
      <c r="J194" s="1190"/>
      <c r="K194" s="1190"/>
      <c r="L194" s="1190"/>
      <c r="M194" s="1190"/>
      <c r="N194" s="1190"/>
      <c r="O194" s="1190"/>
      <c r="P194" s="1190"/>
      <c r="Q194" s="1190"/>
      <c r="R194" s="1191"/>
      <c r="S194" s="1191"/>
      <c r="T194" s="1191"/>
      <c r="U194" s="1191"/>
      <c r="V194" s="1191"/>
      <c r="W194" s="2956"/>
      <c r="X194" s="1192"/>
      <c r="Y194" s="974"/>
      <c r="Z194" s="974"/>
      <c r="AA194" s="1193"/>
      <c r="AB194" s="974"/>
      <c r="AC194" s="974"/>
      <c r="AD194" s="974"/>
      <c r="AE194" s="1193"/>
      <c r="AF194" s="974"/>
      <c r="AG194" s="974"/>
    </row>
    <row r="195" spans="1:33" x14ac:dyDescent="0.25">
      <c r="A195" s="2862"/>
      <c r="B195" s="706">
        <v>2034</v>
      </c>
      <c r="C195" s="1156">
        <f t="shared" si="7"/>
        <v>1702550.6369550053</v>
      </c>
      <c r="D195" s="827">
        <v>79</v>
      </c>
      <c r="E195" s="1156">
        <f t="shared" si="8"/>
        <v>134501.50031944542</v>
      </c>
      <c r="F195" s="2922"/>
      <c r="G195" s="1188"/>
      <c r="H195" s="1189"/>
      <c r="I195" s="1190"/>
      <c r="J195" s="1190"/>
      <c r="K195" s="1190"/>
      <c r="L195" s="1190"/>
      <c r="M195" s="1190"/>
      <c r="N195" s="1190"/>
      <c r="O195" s="1190"/>
      <c r="P195" s="1190"/>
      <c r="Q195" s="1190"/>
      <c r="R195" s="1191"/>
      <c r="S195" s="1191"/>
      <c r="T195" s="1191"/>
      <c r="U195" s="1191"/>
      <c r="V195" s="1191"/>
      <c r="W195" s="2956"/>
      <c r="X195" s="1192"/>
      <c r="Y195" s="974"/>
      <c r="Z195" s="974"/>
      <c r="AA195" s="1193"/>
      <c r="AB195" s="974"/>
      <c r="AC195" s="974"/>
      <c r="AD195" s="974"/>
      <c r="AE195" s="1193"/>
      <c r="AF195" s="974"/>
      <c r="AG195" s="974"/>
    </row>
    <row r="196" spans="1:33" x14ac:dyDescent="0.25">
      <c r="A196" s="2862"/>
      <c r="B196" s="706">
        <v>2035</v>
      </c>
      <c r="C196" s="1156">
        <f t="shared" si="7"/>
        <v>1702550.6369550053</v>
      </c>
      <c r="D196" s="827">
        <v>80</v>
      </c>
      <c r="E196" s="1156">
        <f t="shared" si="8"/>
        <v>136204.05095640043</v>
      </c>
      <c r="F196" s="2922"/>
      <c r="G196" s="1188"/>
      <c r="H196" s="1189"/>
      <c r="I196" s="1190"/>
      <c r="J196" s="1190"/>
      <c r="K196" s="1190"/>
      <c r="L196" s="1190"/>
      <c r="M196" s="1190"/>
      <c r="N196" s="1190"/>
      <c r="O196" s="1190"/>
      <c r="P196" s="1190"/>
      <c r="Q196" s="1190"/>
      <c r="R196" s="1191"/>
      <c r="S196" s="1191"/>
      <c r="T196" s="1191"/>
      <c r="U196" s="1191"/>
      <c r="V196" s="1191"/>
      <c r="W196" s="2956"/>
      <c r="X196" s="1192"/>
      <c r="Y196" s="974"/>
      <c r="Z196" s="974"/>
      <c r="AA196" s="1193"/>
      <c r="AB196" s="974"/>
      <c r="AC196" s="974"/>
      <c r="AD196" s="974"/>
      <c r="AE196" s="1193"/>
      <c r="AF196" s="974"/>
      <c r="AG196" s="974"/>
    </row>
    <row r="197" spans="1:33" x14ac:dyDescent="0.25">
      <c r="A197" s="2862"/>
      <c r="B197" s="706">
        <v>2036</v>
      </c>
      <c r="C197" s="1156">
        <f t="shared" si="7"/>
        <v>1702550.6369550053</v>
      </c>
      <c r="D197" s="827">
        <v>81</v>
      </c>
      <c r="E197" s="1156">
        <f t="shared" si="8"/>
        <v>137906.60159335542</v>
      </c>
      <c r="F197" s="2922"/>
      <c r="G197" s="1188"/>
      <c r="H197" s="1189"/>
      <c r="I197" s="1190"/>
      <c r="J197" s="1190"/>
      <c r="K197" s="1190"/>
      <c r="L197" s="1190"/>
      <c r="M197" s="1190"/>
      <c r="N197" s="1190"/>
      <c r="O197" s="1190"/>
      <c r="P197" s="1190"/>
      <c r="Q197" s="1190"/>
      <c r="R197" s="1191"/>
      <c r="S197" s="1191"/>
      <c r="T197" s="1191"/>
      <c r="U197" s="1191"/>
      <c r="V197" s="1191"/>
      <c r="W197" s="2956"/>
      <c r="X197" s="1192"/>
      <c r="Y197" s="974"/>
      <c r="Z197" s="974"/>
      <c r="AA197" s="1193"/>
      <c r="AB197" s="974"/>
      <c r="AC197" s="974"/>
      <c r="AD197" s="974"/>
      <c r="AE197" s="1193"/>
      <c r="AF197" s="974"/>
      <c r="AG197" s="974"/>
    </row>
    <row r="198" spans="1:33" x14ac:dyDescent="0.25">
      <c r="A198" s="2862"/>
      <c r="B198" s="706">
        <v>2037</v>
      </c>
      <c r="C198" s="1156">
        <f t="shared" si="7"/>
        <v>1702550.6369550053</v>
      </c>
      <c r="D198" s="827">
        <v>83</v>
      </c>
      <c r="E198" s="1156">
        <f t="shared" si="8"/>
        <v>141311.70286726544</v>
      </c>
      <c r="F198" s="2922"/>
      <c r="G198" s="1188"/>
      <c r="H198" s="1189"/>
      <c r="I198" s="1190"/>
      <c r="J198" s="1190"/>
      <c r="K198" s="1190"/>
      <c r="L198" s="1190"/>
      <c r="M198" s="1190"/>
      <c r="N198" s="1190"/>
      <c r="O198" s="1190"/>
      <c r="P198" s="1190"/>
      <c r="Q198" s="1190"/>
      <c r="R198" s="1191"/>
      <c r="S198" s="1191"/>
      <c r="T198" s="1191"/>
      <c r="U198" s="1191"/>
      <c r="V198" s="1191"/>
      <c r="W198" s="2956"/>
      <c r="X198" s="1192"/>
      <c r="Y198" s="974"/>
      <c r="Z198" s="974"/>
      <c r="AA198" s="1193"/>
      <c r="AB198" s="974"/>
      <c r="AC198" s="974"/>
      <c r="AD198" s="974"/>
      <c r="AE198" s="1193"/>
      <c r="AF198" s="974"/>
      <c r="AG198" s="974"/>
    </row>
    <row r="199" spans="1:33" x14ac:dyDescent="0.25">
      <c r="A199" s="2862"/>
      <c r="B199" s="706">
        <v>2038</v>
      </c>
      <c r="C199" s="1156">
        <f t="shared" si="7"/>
        <v>1702550.6369550053</v>
      </c>
      <c r="D199" s="827">
        <v>84</v>
      </c>
      <c r="E199" s="1156">
        <f t="shared" si="8"/>
        <v>143014.25350422045</v>
      </c>
      <c r="F199" s="2922"/>
      <c r="G199" s="1188"/>
      <c r="H199" s="1189"/>
      <c r="I199" s="1190"/>
      <c r="J199" s="1190"/>
      <c r="K199" s="1190"/>
      <c r="L199" s="1190"/>
      <c r="M199" s="1190"/>
      <c r="N199" s="1190"/>
      <c r="O199" s="1190"/>
      <c r="P199" s="1190"/>
      <c r="Q199" s="1190"/>
      <c r="R199" s="1191"/>
      <c r="S199" s="1191"/>
      <c r="T199" s="1191"/>
      <c r="U199" s="1191"/>
      <c r="V199" s="1191"/>
      <c r="W199" s="2956"/>
      <c r="X199" s="1192"/>
      <c r="Y199" s="974"/>
      <c r="Z199" s="974"/>
      <c r="AA199" s="1193"/>
      <c r="AB199" s="974"/>
      <c r="AC199" s="974"/>
      <c r="AD199" s="974"/>
      <c r="AE199" s="1193"/>
      <c r="AF199" s="974"/>
      <c r="AG199" s="974"/>
    </row>
    <row r="200" spans="1:33" x14ac:dyDescent="0.25">
      <c r="A200" s="2862"/>
      <c r="B200" s="706">
        <v>2039</v>
      </c>
      <c r="C200" s="1156">
        <f t="shared" si="7"/>
        <v>1702550.6369550053</v>
      </c>
      <c r="D200" s="827">
        <v>85</v>
      </c>
      <c r="E200" s="1156">
        <f t="shared" si="8"/>
        <v>144716.80414117544</v>
      </c>
      <c r="F200" s="2922"/>
      <c r="G200" s="1188"/>
      <c r="H200" s="1189"/>
      <c r="I200" s="1190"/>
      <c r="J200" s="1190"/>
      <c r="K200" s="1190"/>
      <c r="L200" s="1190"/>
      <c r="M200" s="1190"/>
      <c r="N200" s="1190"/>
      <c r="O200" s="1190"/>
      <c r="P200" s="1190"/>
      <c r="Q200" s="1190"/>
      <c r="R200" s="1191"/>
      <c r="S200" s="1191"/>
      <c r="T200" s="1191"/>
      <c r="U200" s="1191"/>
      <c r="V200" s="1191"/>
      <c r="W200" s="2956"/>
      <c r="X200" s="1192"/>
      <c r="Y200" s="974"/>
      <c r="Z200" s="974"/>
      <c r="AA200" s="1193"/>
      <c r="AB200" s="974"/>
      <c r="AC200" s="974"/>
      <c r="AD200" s="974"/>
      <c r="AE200" s="1193"/>
      <c r="AF200" s="974"/>
      <c r="AG200" s="974"/>
    </row>
    <row r="201" spans="1:33" x14ac:dyDescent="0.25">
      <c r="A201" s="2862"/>
      <c r="B201" s="706">
        <v>2040</v>
      </c>
      <c r="C201" s="1156">
        <f t="shared" si="7"/>
        <v>1702550.6369550053</v>
      </c>
      <c r="D201" s="827">
        <v>86</v>
      </c>
      <c r="E201" s="1156">
        <f t="shared" si="8"/>
        <v>146419.35477813045</v>
      </c>
      <c r="F201" s="2922"/>
      <c r="G201" s="1188"/>
      <c r="H201" s="1189"/>
      <c r="I201" s="1190"/>
      <c r="J201" s="1190"/>
      <c r="K201" s="1190"/>
      <c r="L201" s="1190"/>
      <c r="M201" s="1190"/>
      <c r="N201" s="1190"/>
      <c r="O201" s="1190"/>
      <c r="P201" s="1190"/>
      <c r="Q201" s="1190"/>
      <c r="R201" s="1191"/>
      <c r="S201" s="1191"/>
      <c r="T201" s="1191"/>
      <c r="U201" s="1191"/>
      <c r="V201" s="1191"/>
      <c r="W201" s="2956"/>
      <c r="X201" s="1192"/>
      <c r="Y201" s="974"/>
      <c r="Z201" s="974"/>
      <c r="AA201" s="1193"/>
      <c r="AB201" s="974"/>
      <c r="AC201" s="974"/>
      <c r="AD201" s="974"/>
      <c r="AE201" s="1193"/>
      <c r="AF201" s="974"/>
      <c r="AG201" s="974"/>
    </row>
    <row r="202" spans="1:33" x14ac:dyDescent="0.25">
      <c r="A202" s="2862"/>
      <c r="B202" s="706">
        <v>2041</v>
      </c>
      <c r="C202" s="1156">
        <f t="shared" si="7"/>
        <v>1702550.6369550053</v>
      </c>
      <c r="D202" s="827">
        <v>87</v>
      </c>
      <c r="E202" s="1156">
        <f t="shared" si="8"/>
        <v>148121.90541508546</v>
      </c>
      <c r="F202" s="2922"/>
      <c r="G202" s="1188"/>
      <c r="H202" s="1189"/>
      <c r="I202" s="1190"/>
      <c r="J202" s="1190"/>
      <c r="K202" s="1190"/>
      <c r="L202" s="1190"/>
      <c r="M202" s="1190"/>
      <c r="N202" s="1190"/>
      <c r="O202" s="1190"/>
      <c r="P202" s="1190"/>
      <c r="Q202" s="1190"/>
      <c r="R202" s="1191"/>
      <c r="S202" s="1191"/>
      <c r="T202" s="1191"/>
      <c r="U202" s="1191"/>
      <c r="V202" s="1191"/>
      <c r="W202" s="2956"/>
      <c r="X202" s="1192"/>
      <c r="Y202" s="974"/>
      <c r="Z202" s="974"/>
      <c r="AA202" s="1193"/>
      <c r="AB202" s="974"/>
      <c r="AC202" s="974"/>
      <c r="AD202" s="974"/>
      <c r="AE202" s="1193"/>
      <c r="AF202" s="974"/>
      <c r="AG202" s="974"/>
    </row>
    <row r="203" spans="1:33" x14ac:dyDescent="0.25">
      <c r="A203" s="2862"/>
      <c r="B203" s="706">
        <v>2042</v>
      </c>
      <c r="C203" s="1156">
        <f t="shared" si="7"/>
        <v>1702550.6369550053</v>
      </c>
      <c r="D203" s="827">
        <v>88</v>
      </c>
      <c r="E203" s="1156">
        <f t="shared" si="8"/>
        <v>149824.45605204048</v>
      </c>
      <c r="F203" s="2922"/>
      <c r="G203" s="1188"/>
      <c r="H203" s="1189"/>
      <c r="I203" s="1190"/>
      <c r="J203" s="1190"/>
      <c r="K203" s="1190"/>
      <c r="L203" s="1190"/>
      <c r="M203" s="1190"/>
      <c r="N203" s="1190"/>
      <c r="O203" s="1190"/>
      <c r="P203" s="1190"/>
      <c r="Q203" s="1190"/>
      <c r="R203" s="1191"/>
      <c r="S203" s="1191"/>
      <c r="T203" s="1191"/>
      <c r="U203" s="1191"/>
      <c r="V203" s="1191"/>
      <c r="W203" s="2956"/>
      <c r="X203" s="1192"/>
      <c r="Y203" s="974"/>
      <c r="Z203" s="974"/>
      <c r="AA203" s="1193"/>
      <c r="AB203" s="974"/>
      <c r="AC203" s="974"/>
      <c r="AD203" s="974"/>
      <c r="AE203" s="1193"/>
      <c r="AF203" s="974"/>
      <c r="AG203" s="974"/>
    </row>
    <row r="204" spans="1:33" x14ac:dyDescent="0.25">
      <c r="A204" s="2862"/>
      <c r="B204" s="706">
        <v>2043</v>
      </c>
      <c r="C204" s="1156">
        <f t="shared" si="7"/>
        <v>1702550.6369550053</v>
      </c>
      <c r="D204" s="827">
        <v>89</v>
      </c>
      <c r="E204" s="1156">
        <f t="shared" si="8"/>
        <v>151527.00668899546</v>
      </c>
      <c r="F204" s="2922"/>
      <c r="G204" s="1188"/>
      <c r="H204" s="1189"/>
      <c r="I204" s="1190"/>
      <c r="J204" s="1190"/>
      <c r="K204" s="1190"/>
      <c r="L204" s="1190"/>
      <c r="M204" s="1190"/>
      <c r="N204" s="1190"/>
      <c r="O204" s="1190"/>
      <c r="P204" s="1190"/>
      <c r="Q204" s="1190"/>
      <c r="R204" s="1191"/>
      <c r="S204" s="1191"/>
      <c r="T204" s="1191"/>
      <c r="U204" s="1191"/>
      <c r="V204" s="1191"/>
      <c r="W204" s="2956"/>
      <c r="X204" s="1192"/>
      <c r="Y204" s="974"/>
      <c r="Z204" s="974"/>
      <c r="AA204" s="1193"/>
      <c r="AB204" s="974"/>
      <c r="AC204" s="974"/>
      <c r="AD204" s="974"/>
      <c r="AE204" s="1193"/>
      <c r="AF204" s="974"/>
      <c r="AG204" s="974"/>
    </row>
    <row r="205" spans="1:33" x14ac:dyDescent="0.25">
      <c r="A205" s="2862"/>
      <c r="B205" s="706">
        <v>2044</v>
      </c>
      <c r="C205" s="1156">
        <f t="shared" si="7"/>
        <v>1702550.6369550053</v>
      </c>
      <c r="D205" s="827">
        <v>90</v>
      </c>
      <c r="E205" s="1156">
        <f t="shared" si="8"/>
        <v>153229.55732595047</v>
      </c>
      <c r="F205" s="2922"/>
      <c r="G205" s="1188"/>
      <c r="H205" s="1189"/>
      <c r="I205" s="1190"/>
      <c r="J205" s="1190"/>
      <c r="K205" s="1190"/>
      <c r="L205" s="1190"/>
      <c r="M205" s="1190"/>
      <c r="N205" s="1190"/>
      <c r="O205" s="1190"/>
      <c r="P205" s="1190"/>
      <c r="Q205" s="1190"/>
      <c r="R205" s="1191"/>
      <c r="S205" s="1191"/>
      <c r="T205" s="1191"/>
      <c r="U205" s="1191"/>
      <c r="V205" s="1191"/>
      <c r="W205" s="2956"/>
      <c r="X205" s="1192"/>
      <c r="Y205" s="974"/>
      <c r="Z205" s="974"/>
      <c r="AA205" s="1193"/>
      <c r="AB205" s="974"/>
      <c r="AC205" s="974"/>
      <c r="AD205" s="974"/>
      <c r="AE205" s="1193"/>
      <c r="AF205" s="974"/>
      <c r="AG205" s="974"/>
    </row>
    <row r="206" spans="1:33" x14ac:dyDescent="0.25">
      <c r="A206" s="2862"/>
      <c r="B206" s="706">
        <v>2045</v>
      </c>
      <c r="C206" s="1156">
        <f t="shared" si="7"/>
        <v>1702550.6369550053</v>
      </c>
      <c r="D206" s="827">
        <v>92</v>
      </c>
      <c r="E206" s="1156">
        <f t="shared" si="8"/>
        <v>156634.6585998605</v>
      </c>
      <c r="F206" s="2922"/>
      <c r="G206" s="1188"/>
      <c r="H206" s="1189"/>
      <c r="I206" s="1190"/>
      <c r="J206" s="1190"/>
      <c r="K206" s="1190"/>
      <c r="L206" s="1190"/>
      <c r="M206" s="1190"/>
      <c r="N206" s="1190"/>
      <c r="O206" s="1190"/>
      <c r="P206" s="1190"/>
      <c r="Q206" s="1190"/>
      <c r="R206" s="1191"/>
      <c r="S206" s="1191"/>
      <c r="T206" s="1191"/>
      <c r="U206" s="1191"/>
      <c r="V206" s="1191"/>
      <c r="W206" s="2956"/>
      <c r="X206" s="1192"/>
      <c r="Y206" s="974"/>
      <c r="Z206" s="974"/>
      <c r="AA206" s="1193"/>
      <c r="AB206" s="974"/>
      <c r="AC206" s="974"/>
      <c r="AD206" s="974"/>
      <c r="AE206" s="1193"/>
      <c r="AF206" s="974"/>
      <c r="AG206" s="974"/>
    </row>
    <row r="207" spans="1:33" x14ac:dyDescent="0.25">
      <c r="A207" s="2862"/>
      <c r="B207" s="706">
        <v>2046</v>
      </c>
      <c r="C207" s="1156">
        <f t="shared" si="7"/>
        <v>1702550.6369550053</v>
      </c>
      <c r="D207" s="827">
        <v>93</v>
      </c>
      <c r="E207" s="1156">
        <f t="shared" si="8"/>
        <v>158337.20923681548</v>
      </c>
      <c r="F207" s="2922"/>
      <c r="G207" s="1188"/>
      <c r="H207" s="1189"/>
      <c r="I207" s="1190"/>
      <c r="J207" s="1190"/>
      <c r="K207" s="1190"/>
      <c r="L207" s="1190"/>
      <c r="M207" s="1190"/>
      <c r="N207" s="1190"/>
      <c r="O207" s="1190"/>
      <c r="P207" s="1190"/>
      <c r="Q207" s="1190"/>
      <c r="R207" s="1191"/>
      <c r="S207" s="1191"/>
      <c r="T207" s="1191"/>
      <c r="U207" s="1191"/>
      <c r="V207" s="1191"/>
      <c r="W207" s="2956"/>
      <c r="X207" s="1192"/>
      <c r="Y207" s="974"/>
      <c r="Z207" s="974"/>
      <c r="AA207" s="1193"/>
      <c r="AB207" s="974"/>
      <c r="AC207" s="974"/>
      <c r="AD207" s="974"/>
      <c r="AE207" s="1193"/>
      <c r="AF207" s="974"/>
      <c r="AG207" s="974"/>
    </row>
    <row r="208" spans="1:33" x14ac:dyDescent="0.25">
      <c r="A208" s="2862"/>
      <c r="B208" s="706">
        <v>2047</v>
      </c>
      <c r="C208" s="1156">
        <f t="shared" si="7"/>
        <v>1702550.6369550053</v>
      </c>
      <c r="D208" s="827">
        <v>94</v>
      </c>
      <c r="E208" s="1156">
        <f t="shared" si="8"/>
        <v>160039.7598737705</v>
      </c>
      <c r="F208" s="2922"/>
      <c r="G208" s="1188"/>
      <c r="H208" s="1189"/>
      <c r="I208" s="1190"/>
      <c r="J208" s="1190"/>
      <c r="K208" s="1190"/>
      <c r="L208" s="1190"/>
      <c r="M208" s="1190"/>
      <c r="N208" s="1190"/>
      <c r="O208" s="1190"/>
      <c r="P208" s="1190"/>
      <c r="Q208" s="1190"/>
      <c r="R208" s="1191"/>
      <c r="S208" s="1191"/>
      <c r="T208" s="1191"/>
      <c r="U208" s="1191"/>
      <c r="V208" s="1191"/>
      <c r="W208" s="2956"/>
      <c r="X208" s="1192"/>
      <c r="Y208" s="974"/>
      <c r="Z208" s="974"/>
      <c r="AA208" s="1193"/>
      <c r="AB208" s="974"/>
      <c r="AC208" s="974"/>
      <c r="AD208" s="974"/>
      <c r="AE208" s="1193"/>
      <c r="AF208" s="974"/>
      <c r="AG208" s="974"/>
    </row>
    <row r="209" spans="1:33" x14ac:dyDescent="0.25">
      <c r="A209" s="2862"/>
      <c r="B209" s="706">
        <v>2048</v>
      </c>
      <c r="C209" s="1156">
        <f t="shared" si="7"/>
        <v>1702550.6369550053</v>
      </c>
      <c r="D209" s="827">
        <v>95</v>
      </c>
      <c r="E209" s="1156">
        <f t="shared" si="8"/>
        <v>161742.31051072551</v>
      </c>
      <c r="F209" s="2922"/>
      <c r="G209" s="1188"/>
      <c r="H209" s="1189"/>
      <c r="I209" s="1190"/>
      <c r="J209" s="1190"/>
      <c r="K209" s="1190"/>
      <c r="L209" s="1190"/>
      <c r="M209" s="1190"/>
      <c r="N209" s="1190"/>
      <c r="O209" s="1190"/>
      <c r="P209" s="1190"/>
      <c r="Q209" s="1190"/>
      <c r="R209" s="1191"/>
      <c r="S209" s="1191"/>
      <c r="T209" s="1191"/>
      <c r="U209" s="1191"/>
      <c r="V209" s="1191"/>
      <c r="W209" s="2956"/>
      <c r="X209" s="1192"/>
      <c r="Y209" s="974"/>
      <c r="Z209" s="974"/>
      <c r="AA209" s="1193"/>
      <c r="AB209" s="974"/>
      <c r="AC209" s="974"/>
      <c r="AD209" s="974"/>
      <c r="AE209" s="1193"/>
      <c r="AF209" s="974"/>
      <c r="AG209" s="974"/>
    </row>
    <row r="210" spans="1:33" x14ac:dyDescent="0.25">
      <c r="A210" s="2862"/>
      <c r="B210" s="706">
        <v>2049</v>
      </c>
      <c r="C210" s="1156">
        <f t="shared" si="7"/>
        <v>1702550.6369550053</v>
      </c>
      <c r="D210" s="827">
        <v>96</v>
      </c>
      <c r="E210" s="1156">
        <f t="shared" si="8"/>
        <v>163444.86114768049</v>
      </c>
      <c r="F210" s="2922"/>
      <c r="G210" s="1188"/>
      <c r="H210" s="1189"/>
      <c r="I210" s="1190"/>
      <c r="J210" s="1190"/>
      <c r="K210" s="1190"/>
      <c r="L210" s="1190"/>
      <c r="M210" s="1190"/>
      <c r="N210" s="1190"/>
      <c r="O210" s="1190"/>
      <c r="P210" s="1190"/>
      <c r="Q210" s="1190"/>
      <c r="R210" s="1191"/>
      <c r="S210" s="1191"/>
      <c r="T210" s="1191"/>
      <c r="U210" s="1191"/>
      <c r="V210" s="1191"/>
      <c r="W210" s="2956"/>
      <c r="X210" s="1192"/>
      <c r="Y210" s="974"/>
      <c r="Z210" s="974"/>
      <c r="AA210" s="1193"/>
      <c r="AB210" s="974"/>
      <c r="AC210" s="974"/>
      <c r="AD210" s="974"/>
      <c r="AE210" s="1193"/>
      <c r="AF210" s="974"/>
      <c r="AG210" s="974"/>
    </row>
    <row r="211" spans="1:33" x14ac:dyDescent="0.25">
      <c r="A211" s="2862"/>
      <c r="B211" s="706">
        <v>2050</v>
      </c>
      <c r="C211" s="1156">
        <f t="shared" si="7"/>
        <v>1702550.6369550053</v>
      </c>
      <c r="D211" s="827">
        <v>97</v>
      </c>
      <c r="E211" s="1156">
        <f t="shared" si="8"/>
        <v>165147.41178463551</v>
      </c>
      <c r="F211" s="2922"/>
      <c r="G211" s="1188"/>
      <c r="H211" s="1189"/>
      <c r="I211" s="1190"/>
      <c r="J211" s="1190"/>
      <c r="K211" s="1190"/>
      <c r="L211" s="1190"/>
      <c r="M211" s="1190"/>
      <c r="N211" s="1190"/>
      <c r="O211" s="1190"/>
      <c r="P211" s="1190"/>
      <c r="Q211" s="1190"/>
      <c r="R211" s="1191"/>
      <c r="S211" s="1191"/>
      <c r="T211" s="1191"/>
      <c r="U211" s="1191"/>
      <c r="V211" s="1191"/>
      <c r="W211" s="2956"/>
      <c r="X211" s="974"/>
      <c r="Y211" s="974"/>
      <c r="Z211" s="974"/>
      <c r="AA211" s="974"/>
      <c r="AB211" s="974"/>
      <c r="AC211" s="974"/>
      <c r="AD211" s="974"/>
      <c r="AE211" s="974"/>
      <c r="AF211" s="974"/>
      <c r="AG211" s="974"/>
    </row>
    <row r="212" spans="1:33" x14ac:dyDescent="0.25">
      <c r="A212" s="2862"/>
      <c r="B212" s="706">
        <v>2051</v>
      </c>
      <c r="C212" s="1156">
        <f t="shared" ref="C212:C230" si="9">$R$10</f>
        <v>1702550.6369550053</v>
      </c>
      <c r="D212" s="827">
        <v>97</v>
      </c>
      <c r="E212" s="1156">
        <f t="shared" si="8"/>
        <v>165147.41178463551</v>
      </c>
      <c r="F212" s="2922"/>
      <c r="G212" s="1188"/>
      <c r="H212" s="1189"/>
      <c r="I212" s="1190"/>
      <c r="J212" s="1190"/>
      <c r="K212" s="1190"/>
      <c r="L212" s="1190"/>
      <c r="M212" s="1190"/>
      <c r="N212" s="1190"/>
      <c r="O212" s="1190"/>
      <c r="P212" s="1190"/>
      <c r="Q212" s="1190"/>
      <c r="R212" s="1191"/>
      <c r="S212" s="1191"/>
      <c r="T212" s="1191"/>
      <c r="U212" s="1191"/>
      <c r="V212" s="1191"/>
      <c r="W212" s="2956"/>
    </row>
    <row r="213" spans="1:33" x14ac:dyDescent="0.25">
      <c r="A213" s="2862"/>
      <c r="B213" s="706">
        <v>2052</v>
      </c>
      <c r="C213" s="1156">
        <f t="shared" si="9"/>
        <v>1702550.6369550053</v>
      </c>
      <c r="D213" s="827">
        <v>97</v>
      </c>
      <c r="E213" s="1156">
        <f t="shared" si="8"/>
        <v>165147.41178463551</v>
      </c>
      <c r="F213" s="2922"/>
      <c r="G213" s="1188"/>
      <c r="H213" s="1189"/>
      <c r="I213" s="1190"/>
      <c r="J213" s="1190"/>
      <c r="K213" s="1190"/>
      <c r="L213" s="1190"/>
      <c r="M213" s="1190"/>
      <c r="N213" s="1190"/>
      <c r="O213" s="1190"/>
      <c r="P213" s="1190"/>
      <c r="Q213" s="1190"/>
      <c r="R213" s="1191"/>
      <c r="S213" s="1191"/>
      <c r="T213" s="1191"/>
      <c r="U213" s="1191"/>
      <c r="V213" s="1191"/>
      <c r="W213" s="2956"/>
    </row>
    <row r="214" spans="1:33" x14ac:dyDescent="0.25">
      <c r="A214" s="2862"/>
      <c r="B214" s="706">
        <v>2053</v>
      </c>
      <c r="C214" s="1156">
        <f t="shared" si="9"/>
        <v>1702550.6369550053</v>
      </c>
      <c r="D214" s="827">
        <v>97</v>
      </c>
      <c r="E214" s="1156">
        <f t="shared" si="8"/>
        <v>165147.41178463551</v>
      </c>
      <c r="F214" s="2922"/>
      <c r="G214" s="1188"/>
      <c r="H214" s="1189"/>
      <c r="I214" s="1190"/>
      <c r="J214" s="1190"/>
      <c r="K214" s="1190"/>
      <c r="L214" s="1190"/>
      <c r="M214" s="1190"/>
      <c r="N214" s="1190"/>
      <c r="O214" s="1190"/>
      <c r="P214" s="1190"/>
      <c r="Q214" s="1190"/>
      <c r="R214" s="1191"/>
      <c r="S214" s="1191"/>
      <c r="T214" s="1191"/>
      <c r="U214" s="1191"/>
      <c r="V214" s="1191"/>
      <c r="W214" s="2956"/>
    </row>
    <row r="215" spans="1:33" x14ac:dyDescent="0.25">
      <c r="A215" s="2862"/>
      <c r="B215" s="706">
        <v>2054</v>
      </c>
      <c r="C215" s="1156">
        <f t="shared" si="9"/>
        <v>1702550.6369550053</v>
      </c>
      <c r="D215" s="827">
        <v>97</v>
      </c>
      <c r="E215" s="1156">
        <f t="shared" si="8"/>
        <v>165147.41178463551</v>
      </c>
      <c r="F215" s="2922"/>
      <c r="G215" s="1188"/>
      <c r="H215" s="1189"/>
      <c r="I215" s="1190"/>
      <c r="J215" s="1190"/>
      <c r="K215" s="1190"/>
      <c r="L215" s="1190"/>
      <c r="M215" s="1190"/>
      <c r="N215" s="1190"/>
      <c r="O215" s="1190"/>
      <c r="P215" s="1190"/>
      <c r="Q215" s="1190"/>
      <c r="R215" s="1191"/>
      <c r="S215" s="1191"/>
      <c r="T215" s="1191"/>
      <c r="U215" s="1191"/>
      <c r="V215" s="1191"/>
      <c r="W215" s="2956"/>
    </row>
    <row r="216" spans="1:33" x14ac:dyDescent="0.25">
      <c r="A216" s="2862"/>
      <c r="B216" s="706">
        <v>2055</v>
      </c>
      <c r="C216" s="1156">
        <f t="shared" si="9"/>
        <v>1702550.6369550053</v>
      </c>
      <c r="D216" s="827">
        <v>97</v>
      </c>
      <c r="E216" s="1156">
        <f t="shared" si="8"/>
        <v>165147.41178463551</v>
      </c>
      <c r="F216" s="2922"/>
      <c r="G216" s="1188"/>
      <c r="H216" s="1189"/>
      <c r="I216" s="1190"/>
      <c r="J216" s="1190"/>
      <c r="K216" s="1190"/>
      <c r="L216" s="1190"/>
      <c r="M216" s="1190"/>
      <c r="N216" s="1190"/>
      <c r="O216" s="1190"/>
      <c r="P216" s="1190"/>
      <c r="Q216" s="1190"/>
      <c r="R216" s="1191"/>
      <c r="S216" s="1191"/>
      <c r="T216" s="1191"/>
      <c r="U216" s="1191"/>
      <c r="V216" s="1191"/>
      <c r="W216" s="2956"/>
    </row>
    <row r="217" spans="1:33" x14ac:dyDescent="0.25">
      <c r="A217" s="2862"/>
      <c r="B217" s="706">
        <v>2056</v>
      </c>
      <c r="C217" s="1156">
        <f t="shared" si="9"/>
        <v>1702550.6369550053</v>
      </c>
      <c r="D217" s="827">
        <v>97</v>
      </c>
      <c r="E217" s="1156">
        <f t="shared" si="8"/>
        <v>165147.41178463551</v>
      </c>
      <c r="F217" s="2922"/>
      <c r="G217" s="1188"/>
      <c r="H217" s="1189"/>
      <c r="I217" s="1190"/>
      <c r="J217" s="1190"/>
      <c r="K217" s="1190"/>
      <c r="L217" s="1190"/>
      <c r="M217" s="1190"/>
      <c r="N217" s="1190"/>
      <c r="O217" s="1190"/>
      <c r="P217" s="1190"/>
      <c r="Q217" s="1190"/>
      <c r="R217" s="1191"/>
      <c r="S217" s="1191"/>
      <c r="T217" s="1191"/>
      <c r="U217" s="1191"/>
      <c r="V217" s="1191"/>
      <c r="W217" s="2956"/>
    </row>
    <row r="218" spans="1:33" x14ac:dyDescent="0.25">
      <c r="A218" s="2862"/>
      <c r="B218" s="706">
        <v>2057</v>
      </c>
      <c r="C218" s="1156">
        <f t="shared" si="9"/>
        <v>1702550.6369550053</v>
      </c>
      <c r="D218" s="827">
        <v>97</v>
      </c>
      <c r="E218" s="1156">
        <f t="shared" si="8"/>
        <v>165147.41178463551</v>
      </c>
      <c r="F218" s="2922"/>
      <c r="G218" s="1188"/>
      <c r="H218" s="1189"/>
      <c r="I218" s="1190"/>
      <c r="J218" s="1190"/>
      <c r="K218" s="1190"/>
      <c r="L218" s="1190"/>
      <c r="M218" s="1190"/>
      <c r="N218" s="1190"/>
      <c r="O218" s="1190"/>
      <c r="P218" s="1190"/>
      <c r="Q218" s="1190"/>
      <c r="R218" s="1191"/>
      <c r="S218" s="1191"/>
      <c r="T218" s="1191"/>
      <c r="U218" s="1191"/>
      <c r="V218" s="1191"/>
      <c r="W218" s="2956"/>
    </row>
    <row r="219" spans="1:33" x14ac:dyDescent="0.25">
      <c r="A219" s="2862"/>
      <c r="B219" s="706">
        <v>2058</v>
      </c>
      <c r="C219" s="1156">
        <f t="shared" si="9"/>
        <v>1702550.6369550053</v>
      </c>
      <c r="D219" s="827">
        <v>97</v>
      </c>
      <c r="E219" s="1156">
        <f t="shared" si="8"/>
        <v>165147.41178463551</v>
      </c>
      <c r="F219" s="2922"/>
      <c r="G219" s="1188"/>
      <c r="H219" s="1189"/>
      <c r="I219" s="1190"/>
      <c r="J219" s="1190"/>
      <c r="K219" s="1190"/>
      <c r="L219" s="1190"/>
      <c r="M219" s="1190"/>
      <c r="N219" s="1190"/>
      <c r="O219" s="1190"/>
      <c r="P219" s="1190"/>
      <c r="Q219" s="1190"/>
      <c r="R219" s="1191"/>
      <c r="S219" s="1191"/>
      <c r="T219" s="1191"/>
      <c r="U219" s="1191"/>
      <c r="V219" s="1191"/>
      <c r="W219" s="2956"/>
    </row>
    <row r="220" spans="1:33" x14ac:dyDescent="0.25">
      <c r="A220" s="2862"/>
      <c r="B220" s="706">
        <v>2059</v>
      </c>
      <c r="C220" s="1156">
        <f t="shared" si="9"/>
        <v>1702550.6369550053</v>
      </c>
      <c r="D220" s="827">
        <v>97</v>
      </c>
      <c r="E220" s="1156">
        <f t="shared" si="8"/>
        <v>165147.41178463551</v>
      </c>
      <c r="F220" s="2922"/>
      <c r="G220" s="1188"/>
      <c r="H220" s="1189"/>
      <c r="I220" s="1190"/>
      <c r="J220" s="1190"/>
      <c r="K220" s="1190"/>
      <c r="L220" s="1190"/>
      <c r="M220" s="1190"/>
      <c r="N220" s="1190"/>
      <c r="O220" s="1190"/>
      <c r="P220" s="1190"/>
      <c r="Q220" s="1190"/>
      <c r="R220" s="1191"/>
      <c r="S220" s="1191"/>
      <c r="T220" s="1191"/>
      <c r="U220" s="1191"/>
      <c r="V220" s="1191"/>
      <c r="W220" s="2956"/>
    </row>
    <row r="221" spans="1:33" x14ac:dyDescent="0.25">
      <c r="A221" s="2862"/>
      <c r="B221" s="706">
        <v>2060</v>
      </c>
      <c r="C221" s="1156">
        <f t="shared" si="9"/>
        <v>1702550.6369550053</v>
      </c>
      <c r="D221" s="827">
        <v>97</v>
      </c>
      <c r="E221" s="1156">
        <f t="shared" si="8"/>
        <v>165147.41178463551</v>
      </c>
      <c r="F221" s="2922"/>
      <c r="G221" s="1188"/>
      <c r="H221" s="1189"/>
      <c r="I221" s="1190"/>
      <c r="J221" s="1190"/>
      <c r="K221" s="1190"/>
      <c r="L221" s="1190"/>
      <c r="M221" s="1190"/>
      <c r="N221" s="1190"/>
      <c r="O221" s="1190"/>
      <c r="P221" s="1190"/>
      <c r="Q221" s="1190"/>
      <c r="R221" s="1191"/>
      <c r="S221" s="1191"/>
      <c r="T221" s="1191"/>
      <c r="U221" s="1191"/>
      <c r="V221" s="1191"/>
      <c r="W221" s="2956"/>
    </row>
    <row r="222" spans="1:33" x14ac:dyDescent="0.25">
      <c r="A222" s="2862"/>
      <c r="B222" s="706">
        <v>2061</v>
      </c>
      <c r="C222" s="1156">
        <f t="shared" si="9"/>
        <v>1702550.6369550053</v>
      </c>
      <c r="D222" s="827">
        <v>97</v>
      </c>
      <c r="E222" s="1156">
        <f t="shared" si="8"/>
        <v>165147.41178463551</v>
      </c>
      <c r="F222" s="2922"/>
      <c r="G222" s="1188"/>
      <c r="H222" s="1189"/>
      <c r="I222" s="1190"/>
      <c r="J222" s="1190"/>
      <c r="K222" s="1190"/>
      <c r="L222" s="1190"/>
      <c r="M222" s="1190"/>
      <c r="N222" s="1190"/>
      <c r="O222" s="1190"/>
      <c r="P222" s="1190"/>
      <c r="Q222" s="1190"/>
      <c r="R222" s="1191"/>
      <c r="S222" s="1191"/>
      <c r="T222" s="1191"/>
      <c r="U222" s="1191"/>
      <c r="V222" s="1191"/>
      <c r="W222" s="2956"/>
    </row>
    <row r="223" spans="1:33" x14ac:dyDescent="0.25">
      <c r="A223" s="2862"/>
      <c r="B223" s="706">
        <v>2062</v>
      </c>
      <c r="C223" s="1156">
        <f t="shared" si="9"/>
        <v>1702550.6369550053</v>
      </c>
      <c r="D223" s="827">
        <v>97</v>
      </c>
      <c r="E223" s="1156">
        <f t="shared" si="8"/>
        <v>165147.41178463551</v>
      </c>
      <c r="F223" s="2922"/>
      <c r="G223" s="1188"/>
      <c r="H223" s="1189"/>
      <c r="I223" s="1190"/>
      <c r="J223" s="1190"/>
      <c r="K223" s="1190"/>
      <c r="L223" s="1190"/>
      <c r="M223" s="1190"/>
      <c r="N223" s="1190"/>
      <c r="O223" s="1190"/>
      <c r="P223" s="1190"/>
      <c r="Q223" s="1190"/>
      <c r="R223" s="1191"/>
      <c r="S223" s="1191"/>
      <c r="T223" s="1191"/>
      <c r="U223" s="1191"/>
      <c r="V223" s="1191"/>
      <c r="W223" s="2956"/>
    </row>
    <row r="224" spans="1:33" x14ac:dyDescent="0.25">
      <c r="A224" s="2862"/>
      <c r="B224" s="706">
        <v>2063</v>
      </c>
      <c r="C224" s="1156">
        <f t="shared" si="9"/>
        <v>1702550.6369550053</v>
      </c>
      <c r="D224" s="827">
        <v>97</v>
      </c>
      <c r="E224" s="1156">
        <f t="shared" si="8"/>
        <v>165147.41178463551</v>
      </c>
      <c r="F224" s="2922"/>
      <c r="G224" s="1188"/>
      <c r="H224" s="1189"/>
      <c r="I224" s="1190"/>
      <c r="J224" s="1190"/>
      <c r="K224" s="1190"/>
      <c r="L224" s="1190"/>
      <c r="M224" s="1190"/>
      <c r="N224" s="1190"/>
      <c r="O224" s="1190"/>
      <c r="P224" s="1190"/>
      <c r="Q224" s="1190"/>
      <c r="R224" s="1191"/>
      <c r="S224" s="1191"/>
      <c r="T224" s="1191"/>
      <c r="U224" s="1191"/>
      <c r="V224" s="1191"/>
      <c r="W224" s="2956"/>
    </row>
    <row r="225" spans="1:23" x14ac:dyDescent="0.25">
      <c r="A225" s="2862"/>
      <c r="B225" s="706">
        <v>2064</v>
      </c>
      <c r="C225" s="1156">
        <f t="shared" si="9"/>
        <v>1702550.6369550053</v>
      </c>
      <c r="D225" s="827">
        <v>97</v>
      </c>
      <c r="E225" s="1156">
        <f t="shared" si="8"/>
        <v>165147.41178463551</v>
      </c>
      <c r="F225" s="2922"/>
      <c r="G225" s="1188"/>
      <c r="H225" s="1189"/>
      <c r="I225" s="1190"/>
      <c r="J225" s="1190"/>
      <c r="K225" s="1190"/>
      <c r="L225" s="1190"/>
      <c r="M225" s="1190"/>
      <c r="N225" s="1190"/>
      <c r="O225" s="1190"/>
      <c r="P225" s="1190"/>
      <c r="Q225" s="1190"/>
      <c r="R225" s="1191"/>
      <c r="S225" s="1191"/>
      <c r="T225" s="1191"/>
      <c r="U225" s="1191"/>
      <c r="V225" s="1191"/>
      <c r="W225" s="2956"/>
    </row>
    <row r="226" spans="1:23" x14ac:dyDescent="0.25">
      <c r="A226" s="2862"/>
      <c r="B226" s="706">
        <v>2065</v>
      </c>
      <c r="C226" s="1156">
        <f t="shared" si="9"/>
        <v>1702550.6369550053</v>
      </c>
      <c r="D226" s="827">
        <v>97</v>
      </c>
      <c r="E226" s="1156">
        <f t="shared" si="8"/>
        <v>165147.41178463551</v>
      </c>
      <c r="F226" s="2922"/>
      <c r="G226" s="1188"/>
      <c r="H226" s="1189"/>
      <c r="I226" s="1190"/>
      <c r="J226" s="1190"/>
      <c r="K226" s="1190"/>
      <c r="L226" s="1190"/>
      <c r="M226" s="1190"/>
      <c r="N226" s="1190"/>
      <c r="O226" s="1190"/>
      <c r="P226" s="1190"/>
      <c r="Q226" s="1190"/>
      <c r="R226" s="1191"/>
      <c r="S226" s="1191"/>
      <c r="T226" s="1191"/>
      <c r="U226" s="1191"/>
      <c r="V226" s="1191"/>
      <c r="W226" s="2956"/>
    </row>
    <row r="227" spans="1:23" x14ac:dyDescent="0.25">
      <c r="A227" s="2862"/>
      <c r="B227" s="706">
        <v>2066</v>
      </c>
      <c r="C227" s="1156">
        <f t="shared" si="9"/>
        <v>1702550.6369550053</v>
      </c>
      <c r="D227" s="827">
        <v>97</v>
      </c>
      <c r="E227" s="1156">
        <f t="shared" si="8"/>
        <v>165147.41178463551</v>
      </c>
      <c r="F227" s="2922"/>
      <c r="G227" s="1188"/>
      <c r="H227" s="1189"/>
      <c r="I227" s="1190"/>
      <c r="J227" s="1190"/>
      <c r="K227" s="1190"/>
      <c r="L227" s="1190"/>
      <c r="M227" s="1190"/>
      <c r="N227" s="1190"/>
      <c r="O227" s="1190"/>
      <c r="P227" s="1190"/>
      <c r="Q227" s="1190"/>
      <c r="R227" s="1191"/>
      <c r="S227" s="1191"/>
      <c r="T227" s="1191"/>
      <c r="U227" s="1191"/>
      <c r="V227" s="1191"/>
      <c r="W227" s="2956"/>
    </row>
    <row r="228" spans="1:23" x14ac:dyDescent="0.25">
      <c r="A228" s="2862"/>
      <c r="B228" s="706">
        <v>2067</v>
      </c>
      <c r="C228" s="1156">
        <f t="shared" si="9"/>
        <v>1702550.6369550053</v>
      </c>
      <c r="D228" s="827">
        <v>97</v>
      </c>
      <c r="E228" s="1156">
        <f t="shared" si="8"/>
        <v>165147.41178463551</v>
      </c>
      <c r="F228" s="2922"/>
      <c r="G228" s="1188"/>
      <c r="H228" s="1189"/>
      <c r="I228" s="1190"/>
      <c r="J228" s="1190"/>
      <c r="K228" s="1190"/>
      <c r="L228" s="1190"/>
      <c r="M228" s="1190"/>
      <c r="N228" s="1190"/>
      <c r="O228" s="1190"/>
      <c r="P228" s="1190"/>
      <c r="Q228" s="1190"/>
      <c r="R228" s="1191"/>
      <c r="S228" s="1191"/>
      <c r="T228" s="1191"/>
      <c r="U228" s="1191"/>
      <c r="V228" s="1191"/>
      <c r="W228" s="2956"/>
    </row>
    <row r="229" spans="1:23" x14ac:dyDescent="0.25">
      <c r="A229" s="2862"/>
      <c r="B229" s="706">
        <v>2068</v>
      </c>
      <c r="C229" s="1156">
        <f t="shared" si="9"/>
        <v>1702550.6369550053</v>
      </c>
      <c r="D229" s="827">
        <v>97</v>
      </c>
      <c r="E229" s="1156">
        <f t="shared" si="8"/>
        <v>165147.41178463551</v>
      </c>
      <c r="F229" s="2922"/>
      <c r="G229" s="1188"/>
      <c r="H229" s="1189"/>
      <c r="I229" s="1190"/>
      <c r="J229" s="1190"/>
      <c r="K229" s="1190"/>
      <c r="L229" s="1190"/>
      <c r="M229" s="1190"/>
      <c r="N229" s="1190"/>
      <c r="O229" s="1190"/>
      <c r="P229" s="1190"/>
      <c r="Q229" s="1190"/>
      <c r="R229" s="1191"/>
      <c r="S229" s="1191"/>
      <c r="T229" s="1191"/>
      <c r="U229" s="1191"/>
      <c r="V229" s="1191"/>
      <c r="W229" s="2956"/>
    </row>
    <row r="230" spans="1:23" ht="15.75" thickBot="1" x14ac:dyDescent="0.3">
      <c r="A230" s="2863"/>
      <c r="B230" s="55">
        <v>2069</v>
      </c>
      <c r="C230" s="1160">
        <f t="shared" si="9"/>
        <v>1702550.6369550053</v>
      </c>
      <c r="D230" s="1062">
        <v>97</v>
      </c>
      <c r="E230" s="1160">
        <f t="shared" si="8"/>
        <v>165147.41178463551</v>
      </c>
      <c r="F230" s="2923"/>
      <c r="G230" s="1188"/>
      <c r="H230" s="1189"/>
      <c r="I230" s="1190"/>
      <c r="J230" s="1190"/>
      <c r="K230" s="1190"/>
      <c r="L230" s="1190"/>
      <c r="M230" s="1190"/>
      <c r="N230" s="1190"/>
      <c r="O230" s="1190"/>
      <c r="P230" s="1190"/>
      <c r="Q230" s="1190"/>
      <c r="R230" s="1191"/>
      <c r="S230" s="1191"/>
      <c r="T230" s="1191"/>
      <c r="U230" s="1191"/>
      <c r="V230" s="1191"/>
      <c r="W230" s="2956"/>
    </row>
    <row r="231" spans="1:23" x14ac:dyDescent="0.25">
      <c r="A231" s="2903" t="s">
        <v>1831</v>
      </c>
      <c r="B231" s="888">
        <v>2019</v>
      </c>
      <c r="C231" s="1153">
        <f t="shared" ref="C231:C262" si="10">$R$11</f>
        <v>1669842.8748612823</v>
      </c>
      <c r="D231" s="1056">
        <v>62</v>
      </c>
      <c r="E231" s="1153">
        <f>(C231/1000)*D231</f>
        <v>103530.25824139951</v>
      </c>
      <c r="F231" s="2921">
        <f>SUM(E231:E281)*1.2682</f>
        <v>9307268.3554864526</v>
      </c>
      <c r="G231" s="1188"/>
      <c r="H231" s="1189"/>
      <c r="I231" s="1190"/>
      <c r="J231" s="1190"/>
      <c r="K231" s="1190"/>
      <c r="L231" s="1190"/>
      <c r="M231" s="1190"/>
      <c r="N231" s="1190"/>
      <c r="O231" s="1190"/>
      <c r="P231" s="1190"/>
      <c r="Q231" s="1190"/>
      <c r="R231" s="1191"/>
      <c r="S231" s="1191"/>
      <c r="T231" s="1191"/>
      <c r="U231" s="1191"/>
      <c r="V231" s="1191"/>
      <c r="W231" s="2956"/>
    </row>
    <row r="232" spans="1:23" x14ac:dyDescent="0.25">
      <c r="A232" s="2862"/>
      <c r="B232" s="706">
        <v>2020</v>
      </c>
      <c r="C232" s="1164">
        <f t="shared" si="10"/>
        <v>1669842.8748612823</v>
      </c>
      <c r="D232" s="827">
        <v>64</v>
      </c>
      <c r="E232" s="1156">
        <f t="shared" ref="E232:E281" si="11">(C232/1000)*D232</f>
        <v>106869.94399112207</v>
      </c>
      <c r="F232" s="2922"/>
      <c r="G232" s="1188"/>
      <c r="H232" s="1189"/>
      <c r="I232" s="1190"/>
      <c r="J232" s="1190"/>
      <c r="K232" s="1190"/>
      <c r="L232" s="1190"/>
      <c r="M232" s="1190"/>
      <c r="N232" s="1190"/>
      <c r="O232" s="1190"/>
      <c r="P232" s="1190"/>
      <c r="Q232" s="1190"/>
      <c r="R232" s="1191"/>
      <c r="S232" s="1191"/>
      <c r="T232" s="1191"/>
      <c r="U232" s="1191"/>
      <c r="V232" s="1191"/>
      <c r="W232" s="2956"/>
    </row>
    <row r="233" spans="1:23" x14ac:dyDescent="0.25">
      <c r="A233" s="2862"/>
      <c r="B233" s="706">
        <v>2021</v>
      </c>
      <c r="C233" s="1164">
        <f t="shared" si="10"/>
        <v>1669842.8748612823</v>
      </c>
      <c r="D233" s="827">
        <v>65</v>
      </c>
      <c r="E233" s="1156">
        <f t="shared" si="11"/>
        <v>108539.78686598335</v>
      </c>
      <c r="F233" s="2922"/>
      <c r="G233" s="1188"/>
      <c r="H233" s="1189"/>
      <c r="I233" s="1190"/>
      <c r="J233" s="1190"/>
      <c r="K233" s="1190"/>
      <c r="L233" s="1190"/>
      <c r="M233" s="1190"/>
      <c r="N233" s="1190"/>
      <c r="O233" s="1190"/>
      <c r="P233" s="1190"/>
      <c r="Q233" s="1190"/>
      <c r="R233" s="1191"/>
      <c r="S233" s="1191"/>
      <c r="T233" s="1191"/>
      <c r="U233" s="1191"/>
      <c r="V233" s="1191"/>
      <c r="W233" s="2956"/>
    </row>
    <row r="234" spans="1:23" x14ac:dyDescent="0.25">
      <c r="A234" s="2862"/>
      <c r="B234" s="706">
        <v>2022</v>
      </c>
      <c r="C234" s="1164">
        <f t="shared" si="10"/>
        <v>1669842.8748612823</v>
      </c>
      <c r="D234" s="827">
        <v>66</v>
      </c>
      <c r="E234" s="1156">
        <f t="shared" si="11"/>
        <v>110209.62974084463</v>
      </c>
      <c r="F234" s="2922"/>
      <c r="G234" s="1188"/>
      <c r="H234" s="1189"/>
      <c r="I234" s="1190"/>
      <c r="J234" s="1190"/>
      <c r="K234" s="1190"/>
      <c r="L234" s="1190"/>
      <c r="M234" s="1190"/>
      <c r="N234" s="1190"/>
      <c r="O234" s="1190"/>
      <c r="P234" s="1190"/>
      <c r="Q234" s="1190"/>
      <c r="R234" s="1191"/>
      <c r="S234" s="1191"/>
      <c r="T234" s="1191"/>
      <c r="U234" s="1191"/>
      <c r="V234" s="1191"/>
      <c r="W234" s="2956"/>
    </row>
    <row r="235" spans="1:23" x14ac:dyDescent="0.25">
      <c r="A235" s="2862"/>
      <c r="B235" s="706">
        <v>2023</v>
      </c>
      <c r="C235" s="1164">
        <f t="shared" si="10"/>
        <v>1669842.8748612823</v>
      </c>
      <c r="D235" s="827">
        <v>67</v>
      </c>
      <c r="E235" s="1156">
        <f t="shared" si="11"/>
        <v>111879.47261570592</v>
      </c>
      <c r="F235" s="2922"/>
      <c r="G235" s="1188"/>
      <c r="H235" s="1189"/>
      <c r="I235" s="1190"/>
      <c r="J235" s="1190"/>
      <c r="K235" s="1190"/>
      <c r="L235" s="1190"/>
      <c r="M235" s="1190"/>
      <c r="N235" s="1190"/>
      <c r="O235" s="1190"/>
      <c r="P235" s="1190"/>
      <c r="Q235" s="1190"/>
      <c r="R235" s="1191"/>
      <c r="S235" s="1191"/>
      <c r="T235" s="1191"/>
      <c r="U235" s="1191"/>
      <c r="V235" s="1191"/>
      <c r="W235" s="2956"/>
    </row>
    <row r="236" spans="1:23" x14ac:dyDescent="0.25">
      <c r="A236" s="2862"/>
      <c r="B236" s="706">
        <v>2024</v>
      </c>
      <c r="C236" s="1164">
        <f t="shared" si="10"/>
        <v>1669842.8748612823</v>
      </c>
      <c r="D236" s="827">
        <v>68</v>
      </c>
      <c r="E236" s="1156">
        <f t="shared" si="11"/>
        <v>113549.3154905672</v>
      </c>
      <c r="F236" s="2922"/>
      <c r="G236" s="1188"/>
      <c r="H236" s="1189"/>
      <c r="I236" s="1190"/>
      <c r="J236" s="1190"/>
      <c r="K236" s="1190"/>
      <c r="L236" s="1190"/>
      <c r="M236" s="1190"/>
      <c r="N236" s="1190"/>
      <c r="O236" s="1190"/>
      <c r="P236" s="1190"/>
      <c r="Q236" s="1190"/>
      <c r="R236" s="1191"/>
      <c r="S236" s="1191"/>
      <c r="T236" s="1191"/>
      <c r="U236" s="1191"/>
      <c r="V236" s="1191"/>
      <c r="W236" s="2956"/>
    </row>
    <row r="237" spans="1:23" x14ac:dyDescent="0.25">
      <c r="A237" s="2862"/>
      <c r="B237" s="706">
        <v>2025</v>
      </c>
      <c r="C237" s="1164">
        <f t="shared" si="10"/>
        <v>1669842.8748612823</v>
      </c>
      <c r="D237" s="827">
        <v>69</v>
      </c>
      <c r="E237" s="1156">
        <f t="shared" si="11"/>
        <v>115219.15836542848</v>
      </c>
      <c r="F237" s="2922"/>
      <c r="G237" s="1188"/>
      <c r="H237" s="1189"/>
      <c r="I237" s="1190"/>
      <c r="J237" s="1190"/>
      <c r="K237" s="1190"/>
      <c r="L237" s="1190"/>
      <c r="M237" s="1190"/>
      <c r="N237" s="1190"/>
      <c r="O237" s="1190"/>
      <c r="P237" s="1190"/>
      <c r="Q237" s="1190"/>
      <c r="R237" s="1191"/>
      <c r="S237" s="1191"/>
      <c r="T237" s="1191"/>
      <c r="U237" s="1191"/>
      <c r="V237" s="1191"/>
      <c r="W237" s="2956"/>
    </row>
    <row r="238" spans="1:23" x14ac:dyDescent="0.25">
      <c r="A238" s="2862"/>
      <c r="B238" s="706">
        <v>2026</v>
      </c>
      <c r="C238" s="1164">
        <f t="shared" si="10"/>
        <v>1669842.8748612823</v>
      </c>
      <c r="D238" s="827">
        <v>70</v>
      </c>
      <c r="E238" s="1156">
        <f t="shared" si="11"/>
        <v>116889.00124028977</v>
      </c>
      <c r="F238" s="2922"/>
      <c r="G238" s="1188"/>
      <c r="H238" s="1189"/>
      <c r="I238" s="1190"/>
      <c r="J238" s="1190"/>
      <c r="K238" s="1190"/>
      <c r="L238" s="1190"/>
      <c r="M238" s="1190"/>
      <c r="N238" s="1190"/>
      <c r="O238" s="1190"/>
      <c r="P238" s="1190"/>
      <c r="Q238" s="1190"/>
      <c r="R238" s="1191"/>
      <c r="S238" s="1191"/>
      <c r="T238" s="1191"/>
      <c r="U238" s="1191"/>
      <c r="V238" s="1191"/>
      <c r="W238" s="2956"/>
    </row>
    <row r="239" spans="1:23" x14ac:dyDescent="0.25">
      <c r="A239" s="2862"/>
      <c r="B239" s="706">
        <v>2027</v>
      </c>
      <c r="C239" s="1164">
        <f t="shared" si="10"/>
        <v>1669842.8748612823</v>
      </c>
      <c r="D239" s="827">
        <v>71</v>
      </c>
      <c r="E239" s="1156">
        <f t="shared" si="11"/>
        <v>118558.84411515105</v>
      </c>
      <c r="F239" s="2922"/>
      <c r="G239" s="1188"/>
      <c r="H239" s="1189"/>
      <c r="I239" s="1190"/>
      <c r="J239" s="1190"/>
      <c r="K239" s="1190"/>
      <c r="L239" s="1190"/>
      <c r="M239" s="1190"/>
      <c r="N239" s="1190"/>
      <c r="O239" s="1190"/>
      <c r="P239" s="1190"/>
      <c r="Q239" s="1190"/>
      <c r="R239" s="1191"/>
      <c r="S239" s="1191"/>
      <c r="T239" s="1191"/>
      <c r="U239" s="1191"/>
      <c r="V239" s="1191"/>
      <c r="W239" s="2956"/>
    </row>
    <row r="240" spans="1:23" x14ac:dyDescent="0.25">
      <c r="A240" s="2862"/>
      <c r="B240" s="706">
        <v>2028</v>
      </c>
      <c r="C240" s="1164">
        <f t="shared" si="10"/>
        <v>1669842.8748612823</v>
      </c>
      <c r="D240" s="827">
        <v>72</v>
      </c>
      <c r="E240" s="1156">
        <f t="shared" si="11"/>
        <v>120228.68699001233</v>
      </c>
      <c r="F240" s="2922"/>
      <c r="G240" s="1188"/>
      <c r="H240" s="1189"/>
      <c r="I240" s="1190"/>
      <c r="J240" s="1190"/>
      <c r="K240" s="1190"/>
      <c r="L240" s="1190"/>
      <c r="M240" s="1190"/>
      <c r="N240" s="1190"/>
      <c r="O240" s="1190"/>
      <c r="P240" s="1190"/>
      <c r="Q240" s="1190"/>
      <c r="R240" s="1191"/>
      <c r="S240" s="1191"/>
      <c r="T240" s="1191"/>
      <c r="U240" s="1191"/>
      <c r="V240" s="1191"/>
      <c r="W240" s="2956"/>
    </row>
    <row r="241" spans="1:23" x14ac:dyDescent="0.25">
      <c r="A241" s="2862"/>
      <c r="B241" s="706">
        <v>2029</v>
      </c>
      <c r="C241" s="1164">
        <f t="shared" si="10"/>
        <v>1669842.8748612823</v>
      </c>
      <c r="D241" s="827">
        <v>73</v>
      </c>
      <c r="E241" s="1156">
        <f t="shared" si="11"/>
        <v>121898.52986487361</v>
      </c>
      <c r="F241" s="2922"/>
      <c r="G241" s="1188"/>
      <c r="H241" s="1189"/>
      <c r="I241" s="1190"/>
      <c r="J241" s="1190"/>
      <c r="K241" s="1190"/>
      <c r="L241" s="1190"/>
      <c r="M241" s="1190"/>
      <c r="N241" s="1190"/>
      <c r="O241" s="1190"/>
      <c r="P241" s="1190"/>
      <c r="Q241" s="1190"/>
      <c r="R241" s="1191"/>
      <c r="S241" s="1191"/>
      <c r="T241" s="1191"/>
      <c r="U241" s="1191"/>
      <c r="V241" s="1191"/>
      <c r="W241" s="2956"/>
    </row>
    <row r="242" spans="1:23" x14ac:dyDescent="0.25">
      <c r="A242" s="2862"/>
      <c r="B242" s="706">
        <v>2030</v>
      </c>
      <c r="C242" s="1164">
        <f t="shared" si="10"/>
        <v>1669842.8748612823</v>
      </c>
      <c r="D242" s="827">
        <v>75</v>
      </c>
      <c r="E242" s="1156">
        <f t="shared" si="11"/>
        <v>125238.21561459618</v>
      </c>
      <c r="F242" s="2922"/>
      <c r="G242" s="1188"/>
      <c r="H242" s="1189"/>
      <c r="I242" s="1190"/>
      <c r="J242" s="1190"/>
      <c r="K242" s="1190"/>
      <c r="L242" s="1190"/>
      <c r="M242" s="1190"/>
      <c r="N242" s="1190"/>
      <c r="O242" s="1190"/>
      <c r="P242" s="1190"/>
      <c r="Q242" s="1190"/>
      <c r="R242" s="1191"/>
      <c r="S242" s="1191"/>
      <c r="T242" s="1191"/>
      <c r="U242" s="1191"/>
      <c r="V242" s="1191"/>
      <c r="W242" s="2956"/>
    </row>
    <row r="243" spans="1:23" x14ac:dyDescent="0.25">
      <c r="A243" s="2862"/>
      <c r="B243" s="706">
        <v>2031</v>
      </c>
      <c r="C243" s="1164">
        <f t="shared" si="10"/>
        <v>1669842.8748612823</v>
      </c>
      <c r="D243" s="827">
        <v>76</v>
      </c>
      <c r="E243" s="1156">
        <f t="shared" si="11"/>
        <v>126908.05848945746</v>
      </c>
      <c r="F243" s="2922"/>
      <c r="G243" s="1188"/>
      <c r="H243" s="1189"/>
      <c r="I243" s="1190"/>
      <c r="J243" s="1190"/>
      <c r="K243" s="1190"/>
      <c r="L243" s="1190"/>
      <c r="M243" s="1190"/>
      <c r="N243" s="1190"/>
      <c r="O243" s="1190"/>
      <c r="P243" s="1190"/>
      <c r="Q243" s="1190"/>
      <c r="R243" s="1191"/>
      <c r="S243" s="1191"/>
      <c r="T243" s="1191"/>
      <c r="U243" s="1191"/>
      <c r="V243" s="1191"/>
      <c r="W243" s="2956"/>
    </row>
    <row r="244" spans="1:23" x14ac:dyDescent="0.25">
      <c r="A244" s="2862"/>
      <c r="B244" s="706">
        <v>2032</v>
      </c>
      <c r="C244" s="1164">
        <f t="shared" si="10"/>
        <v>1669842.8748612823</v>
      </c>
      <c r="D244" s="827">
        <v>77</v>
      </c>
      <c r="E244" s="1156">
        <f t="shared" si="11"/>
        <v>128577.90136431874</v>
      </c>
      <c r="F244" s="2922"/>
      <c r="G244" s="1188"/>
      <c r="H244" s="1189"/>
      <c r="I244" s="1190"/>
      <c r="J244" s="1190"/>
      <c r="K244" s="1190"/>
      <c r="L244" s="1190"/>
      <c r="M244" s="1190"/>
      <c r="N244" s="1190"/>
      <c r="O244" s="1190"/>
      <c r="P244" s="1190"/>
      <c r="Q244" s="1190"/>
      <c r="R244" s="1191"/>
      <c r="S244" s="1191"/>
      <c r="T244" s="1191"/>
      <c r="U244" s="1191"/>
      <c r="V244" s="1191"/>
      <c r="W244" s="2956"/>
    </row>
    <row r="245" spans="1:23" x14ac:dyDescent="0.25">
      <c r="A245" s="2862"/>
      <c r="B245" s="706">
        <v>2033</v>
      </c>
      <c r="C245" s="1164">
        <f t="shared" si="10"/>
        <v>1669842.8748612823</v>
      </c>
      <c r="D245" s="827">
        <v>78</v>
      </c>
      <c r="E245" s="1156">
        <f t="shared" si="11"/>
        <v>130247.74423918003</v>
      </c>
      <c r="F245" s="2922"/>
      <c r="G245" s="1188"/>
      <c r="H245" s="1189"/>
      <c r="I245" s="1190"/>
      <c r="J245" s="1190"/>
      <c r="K245" s="1190"/>
      <c r="L245" s="1190"/>
      <c r="M245" s="1190"/>
      <c r="N245" s="1190"/>
      <c r="O245" s="1190"/>
      <c r="P245" s="1190"/>
      <c r="Q245" s="1190"/>
      <c r="R245" s="1191"/>
      <c r="S245" s="1191"/>
      <c r="T245" s="1191"/>
      <c r="U245" s="1191"/>
      <c r="V245" s="1191"/>
      <c r="W245" s="2956"/>
    </row>
    <row r="246" spans="1:23" x14ac:dyDescent="0.25">
      <c r="A246" s="2862"/>
      <c r="B246" s="706">
        <v>2034</v>
      </c>
      <c r="C246" s="1164">
        <f t="shared" si="10"/>
        <v>1669842.8748612823</v>
      </c>
      <c r="D246" s="827">
        <v>79</v>
      </c>
      <c r="E246" s="1156">
        <f t="shared" si="11"/>
        <v>131917.58711404129</v>
      </c>
      <c r="F246" s="2922"/>
      <c r="G246" s="1188"/>
      <c r="H246" s="1189"/>
      <c r="I246" s="1190"/>
      <c r="J246" s="1190"/>
      <c r="K246" s="1190"/>
      <c r="L246" s="1190"/>
      <c r="M246" s="1190"/>
      <c r="N246" s="1190"/>
      <c r="O246" s="1190"/>
      <c r="P246" s="1190"/>
      <c r="Q246" s="1190"/>
      <c r="R246" s="1191"/>
      <c r="S246" s="1191"/>
      <c r="T246" s="1191"/>
      <c r="U246" s="1191"/>
      <c r="V246" s="1191"/>
      <c r="W246" s="2956"/>
    </row>
    <row r="247" spans="1:23" x14ac:dyDescent="0.25">
      <c r="A247" s="2862"/>
      <c r="B247" s="706">
        <v>2035</v>
      </c>
      <c r="C247" s="1164">
        <f t="shared" si="10"/>
        <v>1669842.8748612823</v>
      </c>
      <c r="D247" s="827">
        <v>80</v>
      </c>
      <c r="E247" s="1156">
        <f t="shared" si="11"/>
        <v>133587.42998890259</v>
      </c>
      <c r="F247" s="2922"/>
      <c r="G247" s="1188"/>
      <c r="H247" s="1189"/>
      <c r="I247" s="1190"/>
      <c r="J247" s="1190"/>
      <c r="K247" s="1190"/>
      <c r="L247" s="1190"/>
      <c r="M247" s="1190"/>
      <c r="N247" s="1190"/>
      <c r="O247" s="1190"/>
      <c r="P247" s="1190"/>
      <c r="Q247" s="1190"/>
      <c r="R247" s="1191"/>
      <c r="S247" s="1191"/>
      <c r="T247" s="1191"/>
      <c r="U247" s="1191"/>
      <c r="V247" s="1191"/>
      <c r="W247" s="2956"/>
    </row>
    <row r="248" spans="1:23" x14ac:dyDescent="0.25">
      <c r="A248" s="2862"/>
      <c r="B248" s="706">
        <v>2036</v>
      </c>
      <c r="C248" s="1164">
        <f t="shared" si="10"/>
        <v>1669842.8748612823</v>
      </c>
      <c r="D248" s="827">
        <v>81</v>
      </c>
      <c r="E248" s="1156">
        <f t="shared" si="11"/>
        <v>135257.27286376388</v>
      </c>
      <c r="F248" s="2922"/>
      <c r="G248" s="1188"/>
      <c r="H248" s="1189"/>
      <c r="I248" s="1190"/>
      <c r="J248" s="1190"/>
      <c r="K248" s="1190"/>
      <c r="L248" s="1190"/>
      <c r="M248" s="1190"/>
      <c r="N248" s="1190"/>
      <c r="O248" s="1190"/>
      <c r="P248" s="1190"/>
      <c r="Q248" s="1190"/>
      <c r="R248" s="1191"/>
      <c r="S248" s="1191"/>
      <c r="T248" s="1191"/>
      <c r="U248" s="1191"/>
      <c r="V248" s="1191"/>
      <c r="W248" s="2956"/>
    </row>
    <row r="249" spans="1:23" x14ac:dyDescent="0.25">
      <c r="A249" s="2862"/>
      <c r="B249" s="706">
        <v>2037</v>
      </c>
      <c r="C249" s="1164">
        <f t="shared" si="10"/>
        <v>1669842.8748612823</v>
      </c>
      <c r="D249" s="827">
        <v>83</v>
      </c>
      <c r="E249" s="1156">
        <f t="shared" si="11"/>
        <v>138596.95861348644</v>
      </c>
      <c r="F249" s="2922"/>
      <c r="G249" s="1188"/>
      <c r="H249" s="1189"/>
      <c r="I249" s="1190"/>
      <c r="J249" s="1190"/>
      <c r="K249" s="1190"/>
      <c r="L249" s="1190"/>
      <c r="M249" s="1190"/>
      <c r="N249" s="1190"/>
      <c r="O249" s="1190"/>
      <c r="P249" s="1190"/>
      <c r="Q249" s="1190"/>
      <c r="R249" s="1191"/>
      <c r="S249" s="1191"/>
      <c r="T249" s="1191"/>
      <c r="U249" s="1191"/>
      <c r="V249" s="1191"/>
      <c r="W249" s="2956"/>
    </row>
    <row r="250" spans="1:23" x14ac:dyDescent="0.25">
      <c r="A250" s="2862"/>
      <c r="B250" s="706">
        <v>2038</v>
      </c>
      <c r="C250" s="1164">
        <f t="shared" si="10"/>
        <v>1669842.8748612823</v>
      </c>
      <c r="D250" s="827">
        <v>84</v>
      </c>
      <c r="E250" s="1156">
        <f t="shared" si="11"/>
        <v>140266.8014883477</v>
      </c>
      <c r="F250" s="2922"/>
      <c r="G250" s="1188"/>
      <c r="H250" s="1189"/>
      <c r="I250" s="1190"/>
      <c r="J250" s="1190"/>
      <c r="K250" s="1190"/>
      <c r="L250" s="1190"/>
      <c r="M250" s="1190"/>
      <c r="N250" s="1190"/>
      <c r="O250" s="1190"/>
      <c r="P250" s="1190"/>
      <c r="Q250" s="1190"/>
      <c r="R250" s="1191"/>
      <c r="S250" s="1191"/>
      <c r="T250" s="1191"/>
      <c r="U250" s="1191"/>
      <c r="V250" s="1191"/>
      <c r="W250" s="2956"/>
    </row>
    <row r="251" spans="1:23" x14ac:dyDescent="0.25">
      <c r="A251" s="2862"/>
      <c r="B251" s="706">
        <v>2039</v>
      </c>
      <c r="C251" s="1164">
        <f t="shared" si="10"/>
        <v>1669842.8748612823</v>
      </c>
      <c r="D251" s="827">
        <v>85</v>
      </c>
      <c r="E251" s="1156">
        <f t="shared" si="11"/>
        <v>141936.64436320899</v>
      </c>
      <c r="F251" s="2922"/>
      <c r="G251" s="1188"/>
      <c r="H251" s="1189"/>
      <c r="I251" s="1190"/>
      <c r="J251" s="1190"/>
      <c r="K251" s="1190"/>
      <c r="L251" s="1190"/>
      <c r="M251" s="1190"/>
      <c r="N251" s="1190"/>
      <c r="O251" s="1190"/>
      <c r="P251" s="1190"/>
      <c r="Q251" s="1190"/>
      <c r="R251" s="1191"/>
      <c r="S251" s="1191"/>
      <c r="T251" s="1191"/>
      <c r="U251" s="1191"/>
      <c r="V251" s="1191"/>
      <c r="W251" s="2956"/>
    </row>
    <row r="252" spans="1:23" x14ac:dyDescent="0.25">
      <c r="A252" s="2862"/>
      <c r="B252" s="706">
        <v>2040</v>
      </c>
      <c r="C252" s="1164">
        <f t="shared" si="10"/>
        <v>1669842.8748612823</v>
      </c>
      <c r="D252" s="827">
        <v>86</v>
      </c>
      <c r="E252" s="1156">
        <f t="shared" si="11"/>
        <v>143606.48723807029</v>
      </c>
      <c r="F252" s="2922"/>
      <c r="G252" s="1188"/>
      <c r="H252" s="1189"/>
      <c r="I252" s="1190"/>
      <c r="J252" s="1190"/>
      <c r="K252" s="1190"/>
      <c r="L252" s="1190"/>
      <c r="M252" s="1190"/>
      <c r="N252" s="1190"/>
      <c r="O252" s="1190"/>
      <c r="P252" s="1190"/>
      <c r="Q252" s="1190"/>
      <c r="R252" s="1191"/>
      <c r="S252" s="1191"/>
      <c r="T252" s="1191"/>
      <c r="U252" s="1191"/>
      <c r="V252" s="1191"/>
      <c r="W252" s="2956"/>
    </row>
    <row r="253" spans="1:23" x14ac:dyDescent="0.25">
      <c r="A253" s="2862"/>
      <c r="B253" s="706">
        <v>2041</v>
      </c>
      <c r="C253" s="1164">
        <f t="shared" si="10"/>
        <v>1669842.8748612823</v>
      </c>
      <c r="D253" s="827">
        <v>87</v>
      </c>
      <c r="E253" s="1156">
        <f t="shared" si="11"/>
        <v>145276.33011293155</v>
      </c>
      <c r="F253" s="2922"/>
      <c r="G253" s="1188"/>
      <c r="H253" s="1189"/>
      <c r="I253" s="1190"/>
      <c r="J253" s="1190"/>
      <c r="K253" s="1190"/>
      <c r="L253" s="1190"/>
      <c r="M253" s="1190"/>
      <c r="N253" s="1190"/>
      <c r="O253" s="1190"/>
      <c r="P253" s="1190"/>
      <c r="Q253" s="1190"/>
      <c r="R253" s="1191"/>
      <c r="S253" s="1191"/>
      <c r="T253" s="1191"/>
      <c r="U253" s="1191"/>
      <c r="V253" s="1191"/>
      <c r="W253" s="2956"/>
    </row>
    <row r="254" spans="1:23" x14ac:dyDescent="0.25">
      <c r="A254" s="2862"/>
      <c r="B254" s="706">
        <v>2042</v>
      </c>
      <c r="C254" s="1164">
        <f t="shared" si="10"/>
        <v>1669842.8748612823</v>
      </c>
      <c r="D254" s="827">
        <v>88</v>
      </c>
      <c r="E254" s="1156">
        <f t="shared" si="11"/>
        <v>146946.17298779284</v>
      </c>
      <c r="F254" s="2922"/>
      <c r="G254" s="1188"/>
      <c r="H254" s="1189"/>
      <c r="I254" s="1190"/>
      <c r="J254" s="1190"/>
      <c r="K254" s="1190"/>
      <c r="L254" s="1190"/>
      <c r="M254" s="1190"/>
      <c r="N254" s="1190"/>
      <c r="O254" s="1190"/>
      <c r="P254" s="1190"/>
      <c r="Q254" s="1190"/>
      <c r="R254" s="1191"/>
      <c r="S254" s="1191"/>
      <c r="T254" s="1191"/>
      <c r="U254" s="1191"/>
      <c r="V254" s="1191"/>
      <c r="W254" s="2956"/>
    </row>
    <row r="255" spans="1:23" x14ac:dyDescent="0.25">
      <c r="A255" s="2862"/>
      <c r="B255" s="706">
        <v>2043</v>
      </c>
      <c r="C255" s="1164">
        <f t="shared" si="10"/>
        <v>1669842.8748612823</v>
      </c>
      <c r="D255" s="827">
        <v>89</v>
      </c>
      <c r="E255" s="1156">
        <f t="shared" si="11"/>
        <v>148616.01586265414</v>
      </c>
      <c r="F255" s="2922"/>
      <c r="G255" s="1188"/>
      <c r="H255" s="1189"/>
      <c r="I255" s="1190"/>
      <c r="J255" s="1190"/>
      <c r="K255" s="1190"/>
      <c r="L255" s="1190"/>
      <c r="M255" s="1190"/>
      <c r="N255" s="1190"/>
      <c r="O255" s="1190"/>
      <c r="P255" s="1190"/>
      <c r="Q255" s="1190"/>
      <c r="R255" s="1191"/>
      <c r="S255" s="1191"/>
      <c r="T255" s="1191"/>
      <c r="U255" s="1191"/>
      <c r="V255" s="1191"/>
      <c r="W255" s="2956"/>
    </row>
    <row r="256" spans="1:23" x14ac:dyDescent="0.25">
      <c r="A256" s="2862"/>
      <c r="B256" s="706">
        <v>2044</v>
      </c>
      <c r="C256" s="1164">
        <f t="shared" si="10"/>
        <v>1669842.8748612823</v>
      </c>
      <c r="D256" s="827">
        <v>90</v>
      </c>
      <c r="E256" s="1156">
        <f t="shared" si="11"/>
        <v>150285.8587375154</v>
      </c>
      <c r="F256" s="2922"/>
      <c r="G256" s="1188"/>
      <c r="H256" s="1189"/>
      <c r="I256" s="1190"/>
      <c r="J256" s="1190"/>
      <c r="K256" s="1190"/>
      <c r="L256" s="1190"/>
      <c r="M256" s="1190"/>
      <c r="N256" s="1190"/>
      <c r="O256" s="1190"/>
      <c r="P256" s="1190"/>
      <c r="Q256" s="1190"/>
      <c r="R256" s="1191"/>
      <c r="S256" s="1191"/>
      <c r="T256" s="1191"/>
      <c r="U256" s="1191"/>
      <c r="V256" s="1191"/>
      <c r="W256" s="2956"/>
    </row>
    <row r="257" spans="1:23" x14ac:dyDescent="0.25">
      <c r="A257" s="2862"/>
      <c r="B257" s="706">
        <v>2045</v>
      </c>
      <c r="C257" s="1164">
        <f t="shared" si="10"/>
        <v>1669842.8748612823</v>
      </c>
      <c r="D257" s="827">
        <v>92</v>
      </c>
      <c r="E257" s="1156">
        <f t="shared" si="11"/>
        <v>153625.54448723799</v>
      </c>
      <c r="F257" s="2922"/>
      <c r="G257" s="1188"/>
      <c r="H257" s="1189"/>
      <c r="I257" s="1190"/>
      <c r="J257" s="1190"/>
      <c r="K257" s="1190"/>
      <c r="L257" s="1190"/>
      <c r="M257" s="1190"/>
      <c r="N257" s="1190"/>
      <c r="O257" s="1190"/>
      <c r="P257" s="1190"/>
      <c r="Q257" s="1190"/>
      <c r="R257" s="1191"/>
      <c r="S257" s="1191"/>
      <c r="T257" s="1191"/>
      <c r="U257" s="1191"/>
      <c r="V257" s="1191"/>
      <c r="W257" s="2956"/>
    </row>
    <row r="258" spans="1:23" x14ac:dyDescent="0.25">
      <c r="A258" s="2862"/>
      <c r="B258" s="706">
        <v>2046</v>
      </c>
      <c r="C258" s="1164">
        <f t="shared" si="10"/>
        <v>1669842.8748612823</v>
      </c>
      <c r="D258" s="827">
        <v>93</v>
      </c>
      <c r="E258" s="1156">
        <f t="shared" si="11"/>
        <v>155295.38736209925</v>
      </c>
      <c r="F258" s="2922"/>
      <c r="G258" s="1188"/>
      <c r="H258" s="1189"/>
      <c r="I258" s="1190"/>
      <c r="J258" s="1190"/>
      <c r="K258" s="1190"/>
      <c r="L258" s="1190"/>
      <c r="M258" s="1190"/>
      <c r="N258" s="1190"/>
      <c r="O258" s="1190"/>
      <c r="P258" s="1190"/>
      <c r="Q258" s="1190"/>
      <c r="R258" s="1191"/>
      <c r="S258" s="1191"/>
      <c r="T258" s="1191"/>
      <c r="U258" s="1191"/>
      <c r="V258" s="1191"/>
      <c r="W258" s="2956"/>
    </row>
    <row r="259" spans="1:23" x14ac:dyDescent="0.25">
      <c r="A259" s="2862"/>
      <c r="B259" s="706">
        <v>2047</v>
      </c>
      <c r="C259" s="1164">
        <f t="shared" si="10"/>
        <v>1669842.8748612823</v>
      </c>
      <c r="D259" s="827">
        <v>94</v>
      </c>
      <c r="E259" s="1156">
        <f t="shared" si="11"/>
        <v>156965.23023696055</v>
      </c>
      <c r="F259" s="2922"/>
      <c r="G259" s="1188"/>
      <c r="H259" s="1189"/>
      <c r="I259" s="1190"/>
      <c r="J259" s="1190"/>
      <c r="K259" s="1190"/>
      <c r="L259" s="1190"/>
      <c r="M259" s="1190"/>
      <c r="N259" s="1190"/>
      <c r="O259" s="1190"/>
      <c r="P259" s="1190"/>
      <c r="Q259" s="1190"/>
      <c r="R259" s="1191"/>
      <c r="S259" s="1191"/>
      <c r="T259" s="1191"/>
      <c r="U259" s="1191"/>
      <c r="V259" s="1191"/>
      <c r="W259" s="2956"/>
    </row>
    <row r="260" spans="1:23" x14ac:dyDescent="0.25">
      <c r="A260" s="2862"/>
      <c r="B260" s="706">
        <v>2048</v>
      </c>
      <c r="C260" s="1164">
        <f t="shared" si="10"/>
        <v>1669842.8748612823</v>
      </c>
      <c r="D260" s="827">
        <v>95</v>
      </c>
      <c r="E260" s="1156">
        <f t="shared" si="11"/>
        <v>158635.07311182181</v>
      </c>
      <c r="F260" s="2922"/>
      <c r="G260" s="1188"/>
      <c r="H260" s="1189"/>
      <c r="I260" s="1190"/>
      <c r="J260" s="1190"/>
      <c r="K260" s="1190"/>
      <c r="L260" s="1190"/>
      <c r="M260" s="1190"/>
      <c r="N260" s="1190"/>
      <c r="O260" s="1190"/>
      <c r="P260" s="1190"/>
      <c r="Q260" s="1190"/>
      <c r="R260" s="1191"/>
      <c r="S260" s="1191"/>
      <c r="T260" s="1191"/>
      <c r="U260" s="1191"/>
      <c r="V260" s="1191"/>
      <c r="W260" s="2956"/>
    </row>
    <row r="261" spans="1:23" x14ac:dyDescent="0.25">
      <c r="A261" s="2862"/>
      <c r="B261" s="706">
        <v>2049</v>
      </c>
      <c r="C261" s="1164">
        <f t="shared" si="10"/>
        <v>1669842.8748612823</v>
      </c>
      <c r="D261" s="827">
        <v>96</v>
      </c>
      <c r="E261" s="1156">
        <f t="shared" si="11"/>
        <v>160304.9159866831</v>
      </c>
      <c r="F261" s="2922"/>
      <c r="G261" s="1188"/>
      <c r="H261" s="1189"/>
      <c r="I261" s="1190"/>
      <c r="J261" s="1190"/>
      <c r="K261" s="1190"/>
      <c r="L261" s="1190"/>
      <c r="M261" s="1190"/>
      <c r="N261" s="1190"/>
      <c r="O261" s="1190"/>
      <c r="P261" s="1190"/>
      <c r="Q261" s="1190"/>
      <c r="R261" s="1191"/>
      <c r="S261" s="1191"/>
      <c r="T261" s="1191"/>
      <c r="U261" s="1191"/>
      <c r="V261" s="1191"/>
      <c r="W261" s="2956"/>
    </row>
    <row r="262" spans="1:23" x14ac:dyDescent="0.25">
      <c r="A262" s="2862"/>
      <c r="B262" s="706">
        <v>2050</v>
      </c>
      <c r="C262" s="1164">
        <f t="shared" si="10"/>
        <v>1669842.8748612823</v>
      </c>
      <c r="D262" s="827">
        <v>97</v>
      </c>
      <c r="E262" s="1156">
        <f t="shared" si="11"/>
        <v>161974.7588615444</v>
      </c>
      <c r="F262" s="2922"/>
      <c r="G262" s="1188"/>
      <c r="H262" s="1189"/>
      <c r="I262" s="1190"/>
      <c r="J262" s="1190"/>
      <c r="K262" s="1190"/>
      <c r="L262" s="1190"/>
      <c r="M262" s="1190"/>
      <c r="N262" s="1190"/>
      <c r="O262" s="1190"/>
      <c r="P262" s="1190"/>
      <c r="Q262" s="1190"/>
      <c r="R262" s="1191"/>
      <c r="S262" s="1191"/>
      <c r="T262" s="1191"/>
      <c r="U262" s="1191"/>
      <c r="V262" s="1191"/>
      <c r="W262" s="2956"/>
    </row>
    <row r="263" spans="1:23" x14ac:dyDescent="0.25">
      <c r="A263" s="2862"/>
      <c r="B263" s="706">
        <v>2051</v>
      </c>
      <c r="C263" s="1164">
        <f t="shared" ref="C263:C281" si="12">$R$11</f>
        <v>1669842.8748612823</v>
      </c>
      <c r="D263" s="827">
        <v>97</v>
      </c>
      <c r="E263" s="1156">
        <f t="shared" si="11"/>
        <v>161974.7588615444</v>
      </c>
      <c r="F263" s="2922"/>
      <c r="G263" s="1188"/>
      <c r="H263" s="1189"/>
      <c r="I263" s="1190"/>
      <c r="J263" s="1190"/>
      <c r="K263" s="1190"/>
      <c r="L263" s="1190"/>
      <c r="M263" s="1190"/>
      <c r="N263" s="1190"/>
      <c r="O263" s="1190"/>
      <c r="P263" s="1190"/>
      <c r="Q263" s="1190"/>
      <c r="R263" s="1191"/>
      <c r="S263" s="1191"/>
      <c r="T263" s="1191"/>
      <c r="U263" s="1191"/>
      <c r="V263" s="1191"/>
      <c r="W263" s="2956"/>
    </row>
    <row r="264" spans="1:23" x14ac:dyDescent="0.25">
      <c r="A264" s="2862"/>
      <c r="B264" s="706">
        <v>2052</v>
      </c>
      <c r="C264" s="1164">
        <f t="shared" si="12"/>
        <v>1669842.8748612823</v>
      </c>
      <c r="D264" s="827">
        <v>97</v>
      </c>
      <c r="E264" s="1156">
        <f t="shared" si="11"/>
        <v>161974.7588615444</v>
      </c>
      <c r="F264" s="2922"/>
      <c r="G264" s="1188"/>
      <c r="H264" s="1189"/>
      <c r="I264" s="1190"/>
      <c r="J264" s="1190"/>
      <c r="K264" s="1190"/>
      <c r="L264" s="1190"/>
      <c r="M264" s="1190"/>
      <c r="N264" s="1190"/>
      <c r="O264" s="1190"/>
      <c r="P264" s="1190"/>
      <c r="Q264" s="1190"/>
      <c r="R264" s="1191"/>
      <c r="S264" s="1191"/>
      <c r="T264" s="1191"/>
      <c r="U264" s="1191"/>
      <c r="V264" s="1191"/>
      <c r="W264" s="2956"/>
    </row>
    <row r="265" spans="1:23" x14ac:dyDescent="0.25">
      <c r="A265" s="2862"/>
      <c r="B265" s="706">
        <v>2053</v>
      </c>
      <c r="C265" s="1164">
        <f t="shared" si="12"/>
        <v>1669842.8748612823</v>
      </c>
      <c r="D265" s="827">
        <v>97</v>
      </c>
      <c r="E265" s="1156">
        <f t="shared" si="11"/>
        <v>161974.7588615444</v>
      </c>
      <c r="F265" s="2922"/>
      <c r="G265" s="1188"/>
      <c r="H265" s="1189"/>
      <c r="I265" s="1190"/>
      <c r="J265" s="1190"/>
      <c r="K265" s="1190"/>
      <c r="L265" s="1190"/>
      <c r="M265" s="1190"/>
      <c r="N265" s="1190"/>
      <c r="O265" s="1190"/>
      <c r="P265" s="1190"/>
      <c r="Q265" s="1190"/>
      <c r="R265" s="1191"/>
      <c r="S265" s="1191"/>
      <c r="T265" s="1191"/>
      <c r="U265" s="1191"/>
      <c r="V265" s="1191"/>
      <c r="W265" s="2956"/>
    </row>
    <row r="266" spans="1:23" x14ac:dyDescent="0.25">
      <c r="A266" s="2862"/>
      <c r="B266" s="706">
        <v>2054</v>
      </c>
      <c r="C266" s="1164">
        <f t="shared" si="12"/>
        <v>1669842.8748612823</v>
      </c>
      <c r="D266" s="827">
        <v>97</v>
      </c>
      <c r="E266" s="1156">
        <f t="shared" si="11"/>
        <v>161974.7588615444</v>
      </c>
      <c r="F266" s="2922"/>
      <c r="G266" s="1188"/>
      <c r="H266" s="1189"/>
      <c r="I266" s="1190"/>
      <c r="J266" s="1190"/>
      <c r="K266" s="1190"/>
      <c r="L266" s="1190"/>
      <c r="M266" s="1190"/>
      <c r="N266" s="1190"/>
      <c r="O266" s="1190"/>
      <c r="P266" s="1190"/>
      <c r="Q266" s="1190"/>
      <c r="R266" s="1191"/>
      <c r="S266" s="1191"/>
      <c r="T266" s="1191"/>
      <c r="U266" s="1191"/>
      <c r="V266" s="1191"/>
      <c r="W266" s="2956"/>
    </row>
    <row r="267" spans="1:23" x14ac:dyDescent="0.25">
      <c r="A267" s="2862"/>
      <c r="B267" s="706">
        <v>2055</v>
      </c>
      <c r="C267" s="1164">
        <f t="shared" si="12"/>
        <v>1669842.8748612823</v>
      </c>
      <c r="D267" s="827">
        <v>97</v>
      </c>
      <c r="E267" s="1156">
        <f t="shared" si="11"/>
        <v>161974.7588615444</v>
      </c>
      <c r="F267" s="2922"/>
      <c r="G267" s="1188"/>
      <c r="H267" s="1189"/>
      <c r="I267" s="1190"/>
      <c r="J267" s="1190"/>
      <c r="K267" s="1190"/>
      <c r="L267" s="1190"/>
      <c r="M267" s="1190"/>
      <c r="N267" s="1190"/>
      <c r="O267" s="1190"/>
      <c r="P267" s="1190"/>
      <c r="Q267" s="1190"/>
      <c r="R267" s="1191"/>
      <c r="S267" s="1191"/>
      <c r="T267" s="1191"/>
      <c r="U267" s="1191"/>
      <c r="V267" s="1191"/>
      <c r="W267" s="2956"/>
    </row>
    <row r="268" spans="1:23" x14ac:dyDescent="0.25">
      <c r="A268" s="2862"/>
      <c r="B268" s="706">
        <v>2056</v>
      </c>
      <c r="C268" s="1164">
        <f t="shared" si="12"/>
        <v>1669842.8748612823</v>
      </c>
      <c r="D268" s="827">
        <v>97</v>
      </c>
      <c r="E268" s="1156">
        <f t="shared" si="11"/>
        <v>161974.7588615444</v>
      </c>
      <c r="F268" s="2922"/>
      <c r="G268" s="1188"/>
      <c r="H268" s="1189"/>
      <c r="I268" s="1190"/>
      <c r="J268" s="1190"/>
      <c r="K268" s="1190"/>
      <c r="L268" s="1190"/>
      <c r="M268" s="1190"/>
      <c r="N268" s="1190"/>
      <c r="O268" s="1190"/>
      <c r="P268" s="1190"/>
      <c r="Q268" s="1190"/>
      <c r="R268" s="1191"/>
      <c r="S268" s="1191"/>
      <c r="T268" s="1191"/>
      <c r="U268" s="1191"/>
      <c r="V268" s="1191"/>
      <c r="W268" s="2956"/>
    </row>
    <row r="269" spans="1:23" x14ac:dyDescent="0.25">
      <c r="A269" s="2862"/>
      <c r="B269" s="706">
        <v>2057</v>
      </c>
      <c r="C269" s="1164">
        <f t="shared" si="12"/>
        <v>1669842.8748612823</v>
      </c>
      <c r="D269" s="827">
        <v>97</v>
      </c>
      <c r="E269" s="1156">
        <f t="shared" si="11"/>
        <v>161974.7588615444</v>
      </c>
      <c r="F269" s="2922"/>
      <c r="G269" s="1188"/>
      <c r="H269" s="1189"/>
      <c r="I269" s="1190"/>
      <c r="J269" s="1190"/>
      <c r="K269" s="1190"/>
      <c r="L269" s="1190"/>
      <c r="M269" s="1190"/>
      <c r="N269" s="1190"/>
      <c r="O269" s="1190"/>
      <c r="P269" s="1190"/>
      <c r="Q269" s="1190"/>
      <c r="R269" s="1191"/>
      <c r="S269" s="1191"/>
      <c r="T269" s="1191"/>
      <c r="U269" s="1191"/>
      <c r="V269" s="1191"/>
      <c r="W269" s="2956"/>
    </row>
    <row r="270" spans="1:23" x14ac:dyDescent="0.25">
      <c r="A270" s="2862"/>
      <c r="B270" s="706">
        <v>2058</v>
      </c>
      <c r="C270" s="1164">
        <f t="shared" si="12"/>
        <v>1669842.8748612823</v>
      </c>
      <c r="D270" s="827">
        <v>97</v>
      </c>
      <c r="E270" s="1156">
        <f t="shared" si="11"/>
        <v>161974.7588615444</v>
      </c>
      <c r="F270" s="2922"/>
      <c r="G270" s="1188"/>
      <c r="H270" s="1189"/>
      <c r="I270" s="1190"/>
      <c r="J270" s="1190"/>
      <c r="K270" s="1190"/>
      <c r="L270" s="1190"/>
      <c r="M270" s="1190"/>
      <c r="N270" s="1190"/>
      <c r="O270" s="1190"/>
      <c r="P270" s="1190"/>
      <c r="Q270" s="1190"/>
      <c r="R270" s="1191"/>
      <c r="S270" s="1191"/>
      <c r="T270" s="1191"/>
      <c r="U270" s="1191"/>
      <c r="V270" s="1191"/>
      <c r="W270" s="2956"/>
    </row>
    <row r="271" spans="1:23" x14ac:dyDescent="0.25">
      <c r="A271" s="2862"/>
      <c r="B271" s="706">
        <v>2059</v>
      </c>
      <c r="C271" s="1164">
        <f t="shared" si="12"/>
        <v>1669842.8748612823</v>
      </c>
      <c r="D271" s="827">
        <v>97</v>
      </c>
      <c r="E271" s="1156">
        <f t="shared" si="11"/>
        <v>161974.7588615444</v>
      </c>
      <c r="F271" s="2922"/>
      <c r="G271" s="1188"/>
      <c r="H271" s="1189"/>
      <c r="I271" s="1190"/>
      <c r="J271" s="1190"/>
      <c r="K271" s="1190"/>
      <c r="L271" s="1190"/>
      <c r="M271" s="1190"/>
      <c r="N271" s="1190"/>
      <c r="O271" s="1190"/>
      <c r="P271" s="1190"/>
      <c r="Q271" s="1190"/>
      <c r="R271" s="1191"/>
      <c r="S271" s="1191"/>
      <c r="T271" s="1191"/>
      <c r="U271" s="1191"/>
      <c r="V271" s="1191"/>
      <c r="W271" s="2956"/>
    </row>
    <row r="272" spans="1:23" x14ac:dyDescent="0.25">
      <c r="A272" s="2862"/>
      <c r="B272" s="706">
        <v>2060</v>
      </c>
      <c r="C272" s="1164">
        <f t="shared" si="12"/>
        <v>1669842.8748612823</v>
      </c>
      <c r="D272" s="827">
        <v>97</v>
      </c>
      <c r="E272" s="1156">
        <f t="shared" si="11"/>
        <v>161974.7588615444</v>
      </c>
      <c r="F272" s="2922"/>
      <c r="G272" s="1188"/>
      <c r="H272" s="1189"/>
      <c r="I272" s="1190"/>
      <c r="J272" s="1190"/>
      <c r="K272" s="1190"/>
      <c r="L272" s="1190"/>
      <c r="M272" s="1190"/>
      <c r="N272" s="1190"/>
      <c r="O272" s="1190"/>
      <c r="P272" s="1190"/>
      <c r="Q272" s="1190"/>
      <c r="R272" s="1191"/>
      <c r="S272" s="1191"/>
      <c r="T272" s="1191"/>
      <c r="U272" s="1191"/>
      <c r="V272" s="1191"/>
      <c r="W272" s="2956"/>
    </row>
    <row r="273" spans="1:23" x14ac:dyDescent="0.25">
      <c r="A273" s="2862"/>
      <c r="B273" s="706">
        <v>2061</v>
      </c>
      <c r="C273" s="1164">
        <f t="shared" si="12"/>
        <v>1669842.8748612823</v>
      </c>
      <c r="D273" s="827">
        <v>97</v>
      </c>
      <c r="E273" s="1156">
        <f t="shared" si="11"/>
        <v>161974.7588615444</v>
      </c>
      <c r="F273" s="2922"/>
      <c r="G273" s="1188"/>
      <c r="H273" s="1189"/>
      <c r="I273" s="1190"/>
      <c r="J273" s="1190"/>
      <c r="K273" s="1190"/>
      <c r="L273" s="1190"/>
      <c r="M273" s="1190"/>
      <c r="N273" s="1190"/>
      <c r="O273" s="1190"/>
      <c r="P273" s="1190"/>
      <c r="Q273" s="1190"/>
      <c r="R273" s="1191"/>
      <c r="S273" s="1191"/>
      <c r="T273" s="1191"/>
      <c r="U273" s="1191"/>
      <c r="V273" s="1191"/>
      <c r="W273" s="2956"/>
    </row>
    <row r="274" spans="1:23" x14ac:dyDescent="0.25">
      <c r="A274" s="2862"/>
      <c r="B274" s="706">
        <v>2062</v>
      </c>
      <c r="C274" s="1164">
        <f t="shared" si="12"/>
        <v>1669842.8748612823</v>
      </c>
      <c r="D274" s="827">
        <v>97</v>
      </c>
      <c r="E274" s="1156">
        <f t="shared" si="11"/>
        <v>161974.7588615444</v>
      </c>
      <c r="F274" s="2922"/>
      <c r="G274" s="1188"/>
      <c r="H274" s="1189"/>
      <c r="I274" s="1190"/>
      <c r="J274" s="1190"/>
      <c r="K274" s="1190"/>
      <c r="L274" s="1190"/>
      <c r="M274" s="1190"/>
      <c r="N274" s="1190"/>
      <c r="O274" s="1190"/>
      <c r="P274" s="1190"/>
      <c r="Q274" s="1190"/>
      <c r="R274" s="1191"/>
      <c r="S274" s="1191"/>
      <c r="T274" s="1191"/>
      <c r="U274" s="1191"/>
      <c r="V274" s="1191"/>
      <c r="W274" s="2956"/>
    </row>
    <row r="275" spans="1:23" x14ac:dyDescent="0.25">
      <c r="A275" s="2862"/>
      <c r="B275" s="706">
        <v>2063</v>
      </c>
      <c r="C275" s="1164">
        <f t="shared" si="12"/>
        <v>1669842.8748612823</v>
      </c>
      <c r="D275" s="827">
        <v>97</v>
      </c>
      <c r="E275" s="1156">
        <f t="shared" si="11"/>
        <v>161974.7588615444</v>
      </c>
      <c r="F275" s="2922"/>
      <c r="G275" s="1188"/>
      <c r="H275" s="1189"/>
      <c r="I275" s="1190"/>
      <c r="J275" s="1190"/>
      <c r="K275" s="1190"/>
      <c r="L275" s="1190"/>
      <c r="M275" s="1190"/>
      <c r="N275" s="1190"/>
      <c r="O275" s="1190"/>
      <c r="P275" s="1190"/>
      <c r="Q275" s="1190"/>
      <c r="R275" s="1191"/>
      <c r="S275" s="1191"/>
      <c r="T275" s="1191"/>
      <c r="U275" s="1191"/>
      <c r="V275" s="1191"/>
      <c r="W275" s="2956"/>
    </row>
    <row r="276" spans="1:23" x14ac:dyDescent="0.25">
      <c r="A276" s="2862"/>
      <c r="B276" s="706">
        <v>2064</v>
      </c>
      <c r="C276" s="1164">
        <f t="shared" si="12"/>
        <v>1669842.8748612823</v>
      </c>
      <c r="D276" s="827">
        <v>97</v>
      </c>
      <c r="E276" s="1156">
        <f t="shared" si="11"/>
        <v>161974.7588615444</v>
      </c>
      <c r="F276" s="2922"/>
      <c r="G276" s="1188"/>
      <c r="H276" s="1189"/>
      <c r="I276" s="1190"/>
      <c r="J276" s="1190"/>
      <c r="K276" s="1190"/>
      <c r="L276" s="1190"/>
      <c r="M276" s="1190"/>
      <c r="N276" s="1190"/>
      <c r="O276" s="1190"/>
      <c r="P276" s="1190"/>
      <c r="Q276" s="1190"/>
      <c r="R276" s="1191"/>
      <c r="S276" s="1191"/>
      <c r="T276" s="1191"/>
      <c r="U276" s="1191"/>
      <c r="V276" s="1191"/>
      <c r="W276" s="2956"/>
    </row>
    <row r="277" spans="1:23" x14ac:dyDescent="0.25">
      <c r="A277" s="2862"/>
      <c r="B277" s="706">
        <v>2065</v>
      </c>
      <c r="C277" s="1164">
        <f t="shared" si="12"/>
        <v>1669842.8748612823</v>
      </c>
      <c r="D277" s="827">
        <v>97</v>
      </c>
      <c r="E277" s="1156">
        <f t="shared" si="11"/>
        <v>161974.7588615444</v>
      </c>
      <c r="F277" s="2922"/>
      <c r="G277" s="1188"/>
      <c r="H277" s="1189"/>
      <c r="I277" s="1190"/>
      <c r="J277" s="1190"/>
      <c r="K277" s="1190"/>
      <c r="L277" s="1190"/>
      <c r="M277" s="1190"/>
      <c r="N277" s="1190"/>
      <c r="O277" s="1190"/>
      <c r="P277" s="1190"/>
      <c r="Q277" s="1190"/>
      <c r="R277" s="1191"/>
      <c r="S277" s="1191"/>
      <c r="T277" s="1191"/>
      <c r="U277" s="1191"/>
      <c r="V277" s="1191"/>
      <c r="W277" s="2956"/>
    </row>
    <row r="278" spans="1:23" x14ac:dyDescent="0.25">
      <c r="A278" s="2862"/>
      <c r="B278" s="706">
        <v>2066</v>
      </c>
      <c r="C278" s="1164">
        <f t="shared" si="12"/>
        <v>1669842.8748612823</v>
      </c>
      <c r="D278" s="827">
        <v>97</v>
      </c>
      <c r="E278" s="1156">
        <f t="shared" si="11"/>
        <v>161974.7588615444</v>
      </c>
      <c r="F278" s="2922"/>
      <c r="G278" s="1188"/>
      <c r="H278" s="1189"/>
      <c r="I278" s="1190"/>
      <c r="J278" s="1190"/>
      <c r="K278" s="1190"/>
      <c r="L278" s="1190"/>
      <c r="M278" s="1190"/>
      <c r="N278" s="1190"/>
      <c r="O278" s="1190"/>
      <c r="P278" s="1190"/>
      <c r="Q278" s="1190"/>
      <c r="R278" s="1191"/>
      <c r="S278" s="1191"/>
      <c r="T278" s="1191"/>
      <c r="U278" s="1191"/>
      <c r="V278" s="1191"/>
      <c r="W278" s="2956"/>
    </row>
    <row r="279" spans="1:23" x14ac:dyDescent="0.25">
      <c r="A279" s="2862"/>
      <c r="B279" s="706">
        <v>2067</v>
      </c>
      <c r="C279" s="1164">
        <f t="shared" si="12"/>
        <v>1669842.8748612823</v>
      </c>
      <c r="D279" s="827">
        <v>97</v>
      </c>
      <c r="E279" s="1156">
        <f t="shared" si="11"/>
        <v>161974.7588615444</v>
      </c>
      <c r="F279" s="2922"/>
      <c r="G279" s="1188"/>
      <c r="H279" s="1189"/>
      <c r="I279" s="1190"/>
      <c r="J279" s="1190"/>
      <c r="K279" s="1190"/>
      <c r="L279" s="1190"/>
      <c r="M279" s="1190"/>
      <c r="N279" s="1190"/>
      <c r="O279" s="1190"/>
      <c r="P279" s="1190"/>
      <c r="Q279" s="1190"/>
      <c r="R279" s="1191"/>
      <c r="S279" s="1191"/>
      <c r="T279" s="1191"/>
      <c r="U279" s="1191"/>
      <c r="V279" s="1191"/>
      <c r="W279" s="2956"/>
    </row>
    <row r="280" spans="1:23" x14ac:dyDescent="0.25">
      <c r="A280" s="2862"/>
      <c r="B280" s="706">
        <v>2068</v>
      </c>
      <c r="C280" s="1164">
        <f t="shared" si="12"/>
        <v>1669842.8748612823</v>
      </c>
      <c r="D280" s="827">
        <v>97</v>
      </c>
      <c r="E280" s="1156">
        <f t="shared" si="11"/>
        <v>161974.7588615444</v>
      </c>
      <c r="F280" s="2922"/>
      <c r="G280" s="1188"/>
      <c r="H280" s="1189"/>
      <c r="I280" s="1190"/>
      <c r="J280" s="1190"/>
      <c r="K280" s="1190"/>
      <c r="L280" s="1190"/>
      <c r="M280" s="1190"/>
      <c r="N280" s="1190"/>
      <c r="O280" s="1190"/>
      <c r="P280" s="1190"/>
      <c r="Q280" s="1190"/>
      <c r="R280" s="1191"/>
      <c r="S280" s="1191"/>
      <c r="T280" s="1191"/>
      <c r="U280" s="1191"/>
      <c r="V280" s="1191"/>
      <c r="W280" s="2956"/>
    </row>
    <row r="281" spans="1:23" ht="15.75" thickBot="1" x14ac:dyDescent="0.3">
      <c r="A281" s="2863"/>
      <c r="B281" s="55">
        <v>2069</v>
      </c>
      <c r="C281" s="1165">
        <f t="shared" si="12"/>
        <v>1669842.8748612823</v>
      </c>
      <c r="D281" s="1062">
        <v>97</v>
      </c>
      <c r="E281" s="1160">
        <f t="shared" si="11"/>
        <v>161974.7588615444</v>
      </c>
      <c r="F281" s="2923"/>
      <c r="G281" s="1188"/>
      <c r="H281" s="1189"/>
      <c r="I281" s="1190"/>
      <c r="J281" s="1190"/>
      <c r="K281" s="1190"/>
      <c r="L281" s="1190"/>
      <c r="M281" s="1190"/>
      <c r="N281" s="1190"/>
      <c r="O281" s="1190"/>
      <c r="P281" s="1190"/>
      <c r="Q281" s="1190"/>
      <c r="R281" s="1191"/>
      <c r="S281" s="1191"/>
      <c r="T281" s="1191"/>
      <c r="U281" s="1191"/>
      <c r="V281" s="1191"/>
      <c r="W281" s="2956"/>
    </row>
    <row r="282" spans="1:23" x14ac:dyDescent="0.25">
      <c r="A282" s="2903" t="s">
        <v>1832</v>
      </c>
      <c r="B282" s="888">
        <v>2019</v>
      </c>
      <c r="C282" s="1153">
        <f t="shared" ref="C282:C313" si="13">$R$12</f>
        <v>1382410.9045982747</v>
      </c>
      <c r="D282" s="1056">
        <v>62</v>
      </c>
      <c r="E282" s="1153">
        <f>(C282/1000)*D282</f>
        <v>85709.476085093032</v>
      </c>
      <c r="F282" s="2957">
        <f>SUM(E282:E332)*1.2682</f>
        <v>7705197.5729846898</v>
      </c>
      <c r="G282" s="1188"/>
      <c r="H282" s="1189"/>
      <c r="I282" s="1190"/>
      <c r="J282" s="1190"/>
      <c r="K282" s="1190"/>
      <c r="L282" s="1190"/>
      <c r="M282" s="1190"/>
      <c r="N282" s="1190"/>
      <c r="O282" s="1190"/>
      <c r="P282" s="1190"/>
      <c r="Q282" s="1190"/>
      <c r="R282" s="1191"/>
      <c r="S282" s="1191"/>
      <c r="T282" s="1191"/>
      <c r="U282" s="1191"/>
      <c r="V282" s="1191"/>
      <c r="W282" s="2956"/>
    </row>
    <row r="283" spans="1:23" x14ac:dyDescent="0.25">
      <c r="A283" s="2862"/>
      <c r="B283" s="706">
        <v>2020</v>
      </c>
      <c r="C283" s="1156">
        <f t="shared" si="13"/>
        <v>1382410.9045982747</v>
      </c>
      <c r="D283" s="827">
        <v>64</v>
      </c>
      <c r="E283" s="1156">
        <f t="shared" ref="E283:E332" si="14">(C283/1000)*D283</f>
        <v>88474.297894289586</v>
      </c>
      <c r="F283" s="2958"/>
      <c r="G283" s="1188"/>
      <c r="H283" s="1189"/>
      <c r="I283" s="1190"/>
      <c r="J283" s="1190"/>
      <c r="K283" s="1190"/>
      <c r="L283" s="1190"/>
      <c r="M283" s="1190"/>
      <c r="N283" s="1190"/>
      <c r="O283" s="1190"/>
      <c r="P283" s="1190"/>
      <c r="Q283" s="1190"/>
      <c r="R283" s="1191"/>
      <c r="S283" s="1191"/>
      <c r="T283" s="1191"/>
      <c r="U283" s="1191"/>
      <c r="V283" s="1191"/>
      <c r="W283" s="2956"/>
    </row>
    <row r="284" spans="1:23" x14ac:dyDescent="0.25">
      <c r="A284" s="2862"/>
      <c r="B284" s="706">
        <v>2021</v>
      </c>
      <c r="C284" s="1156">
        <f t="shared" si="13"/>
        <v>1382410.9045982747</v>
      </c>
      <c r="D284" s="827">
        <v>65</v>
      </c>
      <c r="E284" s="1156">
        <f t="shared" si="14"/>
        <v>89856.708798887863</v>
      </c>
      <c r="F284" s="2958"/>
      <c r="G284" s="1188"/>
      <c r="H284" s="1189"/>
      <c r="I284" s="1190"/>
      <c r="J284" s="1190"/>
      <c r="K284" s="1190"/>
      <c r="L284" s="1190"/>
      <c r="M284" s="1190"/>
      <c r="N284" s="1190"/>
      <c r="O284" s="1190"/>
      <c r="P284" s="1190"/>
      <c r="Q284" s="1190"/>
      <c r="R284" s="1191"/>
      <c r="S284" s="1191"/>
      <c r="T284" s="1191"/>
      <c r="U284" s="1191"/>
      <c r="V284" s="1191"/>
      <c r="W284" s="2956"/>
    </row>
    <row r="285" spans="1:23" x14ac:dyDescent="0.25">
      <c r="A285" s="2862"/>
      <c r="B285" s="706">
        <v>2022</v>
      </c>
      <c r="C285" s="1156">
        <f t="shared" si="13"/>
        <v>1382410.9045982747</v>
      </c>
      <c r="D285" s="827">
        <v>66</v>
      </c>
      <c r="E285" s="1156">
        <f t="shared" si="14"/>
        <v>91239.11970348614</v>
      </c>
      <c r="F285" s="2958"/>
      <c r="G285" s="1188"/>
      <c r="H285" s="1189"/>
      <c r="I285" s="1190"/>
      <c r="J285" s="1190"/>
      <c r="K285" s="1190"/>
      <c r="L285" s="1190"/>
      <c r="M285" s="1190"/>
      <c r="N285" s="1190"/>
      <c r="O285" s="1190"/>
      <c r="P285" s="1190"/>
      <c r="Q285" s="1190"/>
      <c r="R285" s="1191"/>
      <c r="S285" s="1191"/>
      <c r="T285" s="1191"/>
      <c r="U285" s="1191"/>
      <c r="V285" s="1191"/>
      <c r="W285" s="2956"/>
    </row>
    <row r="286" spans="1:23" x14ac:dyDescent="0.25">
      <c r="A286" s="2862"/>
      <c r="B286" s="706">
        <v>2023</v>
      </c>
      <c r="C286" s="1156">
        <f t="shared" si="13"/>
        <v>1382410.9045982747</v>
      </c>
      <c r="D286" s="827">
        <v>67</v>
      </c>
      <c r="E286" s="1156">
        <f t="shared" si="14"/>
        <v>92621.530608084417</v>
      </c>
      <c r="F286" s="2958"/>
      <c r="G286" s="1188"/>
      <c r="H286" s="1189"/>
      <c r="I286" s="1190"/>
      <c r="J286" s="1190"/>
      <c r="K286" s="1190"/>
      <c r="L286" s="1190"/>
      <c r="M286" s="1190"/>
      <c r="N286" s="1190"/>
      <c r="O286" s="1190"/>
      <c r="P286" s="1190"/>
      <c r="Q286" s="1190"/>
      <c r="R286" s="1191"/>
      <c r="S286" s="1191"/>
      <c r="T286" s="1191"/>
      <c r="U286" s="1191"/>
      <c r="V286" s="1191"/>
      <c r="W286" s="2956"/>
    </row>
    <row r="287" spans="1:23" x14ac:dyDescent="0.25">
      <c r="A287" s="2862"/>
      <c r="B287" s="706">
        <v>2024</v>
      </c>
      <c r="C287" s="1156">
        <f t="shared" si="13"/>
        <v>1382410.9045982747</v>
      </c>
      <c r="D287" s="827">
        <v>68</v>
      </c>
      <c r="E287" s="1156">
        <f t="shared" si="14"/>
        <v>94003.941512682679</v>
      </c>
      <c r="F287" s="2958"/>
      <c r="G287" s="1188"/>
      <c r="H287" s="1189"/>
      <c r="I287" s="1190"/>
      <c r="J287" s="1190"/>
      <c r="K287" s="1190"/>
      <c r="L287" s="1190"/>
      <c r="M287" s="1190"/>
      <c r="N287" s="1190"/>
      <c r="O287" s="1190"/>
      <c r="P287" s="1190"/>
      <c r="Q287" s="1190"/>
      <c r="R287" s="1191"/>
      <c r="S287" s="1191"/>
      <c r="T287" s="1191"/>
      <c r="U287" s="1191"/>
      <c r="V287" s="1191"/>
      <c r="W287" s="2956"/>
    </row>
    <row r="288" spans="1:23" x14ac:dyDescent="0.25">
      <c r="A288" s="2862"/>
      <c r="B288" s="706">
        <v>2025</v>
      </c>
      <c r="C288" s="1156">
        <f t="shared" si="13"/>
        <v>1382410.9045982747</v>
      </c>
      <c r="D288" s="827">
        <v>69</v>
      </c>
      <c r="E288" s="1156">
        <f t="shared" si="14"/>
        <v>95386.352417280956</v>
      </c>
      <c r="F288" s="2958"/>
      <c r="G288" s="1188"/>
      <c r="H288" s="1189"/>
      <c r="I288" s="1190"/>
      <c r="J288" s="1190"/>
      <c r="K288" s="1190"/>
      <c r="L288" s="1190"/>
      <c r="M288" s="1190"/>
      <c r="N288" s="1190"/>
      <c r="O288" s="1190"/>
      <c r="P288" s="1190"/>
      <c r="Q288" s="1190"/>
      <c r="R288" s="1191"/>
      <c r="S288" s="1191"/>
      <c r="T288" s="1191"/>
      <c r="U288" s="1191"/>
      <c r="V288" s="1191"/>
      <c r="W288" s="2956"/>
    </row>
    <row r="289" spans="1:23" x14ac:dyDescent="0.25">
      <c r="A289" s="2862"/>
      <c r="B289" s="706">
        <v>2026</v>
      </c>
      <c r="C289" s="1156">
        <f t="shared" si="13"/>
        <v>1382410.9045982747</v>
      </c>
      <c r="D289" s="827">
        <v>70</v>
      </c>
      <c r="E289" s="1156">
        <f t="shared" si="14"/>
        <v>96768.763321879233</v>
      </c>
      <c r="F289" s="2958"/>
      <c r="G289" s="1188"/>
      <c r="H289" s="1189"/>
      <c r="I289" s="1190"/>
      <c r="J289" s="1190"/>
      <c r="K289" s="1190"/>
      <c r="L289" s="1190"/>
      <c r="M289" s="1190"/>
      <c r="N289" s="1190"/>
      <c r="O289" s="1190"/>
      <c r="P289" s="1190"/>
      <c r="Q289" s="1190"/>
      <c r="R289" s="1191"/>
      <c r="S289" s="1191"/>
      <c r="T289" s="1191"/>
      <c r="U289" s="1191"/>
      <c r="V289" s="1191"/>
      <c r="W289" s="2956"/>
    </row>
    <row r="290" spans="1:23" x14ac:dyDescent="0.25">
      <c r="A290" s="2862"/>
      <c r="B290" s="706">
        <v>2027</v>
      </c>
      <c r="C290" s="1156">
        <f t="shared" si="13"/>
        <v>1382410.9045982747</v>
      </c>
      <c r="D290" s="827">
        <v>71</v>
      </c>
      <c r="E290" s="1156">
        <f t="shared" si="14"/>
        <v>98151.174226477509</v>
      </c>
      <c r="F290" s="2958"/>
      <c r="G290" s="1188"/>
      <c r="H290" s="1189"/>
      <c r="I290" s="1190"/>
      <c r="J290" s="1190"/>
      <c r="K290" s="1190"/>
      <c r="L290" s="1190"/>
      <c r="M290" s="1190"/>
      <c r="N290" s="1190"/>
      <c r="O290" s="1190"/>
      <c r="P290" s="1190"/>
      <c r="Q290" s="1190"/>
      <c r="R290" s="1191"/>
      <c r="S290" s="1191"/>
      <c r="T290" s="1191"/>
      <c r="U290" s="1191"/>
      <c r="V290" s="1191"/>
      <c r="W290" s="2956"/>
    </row>
    <row r="291" spans="1:23" x14ac:dyDescent="0.25">
      <c r="A291" s="2862"/>
      <c r="B291" s="706">
        <v>2028</v>
      </c>
      <c r="C291" s="1156">
        <f t="shared" si="13"/>
        <v>1382410.9045982747</v>
      </c>
      <c r="D291" s="827">
        <v>72</v>
      </c>
      <c r="E291" s="1156">
        <f t="shared" si="14"/>
        <v>99533.585131075786</v>
      </c>
      <c r="F291" s="2958"/>
      <c r="G291" s="1188"/>
      <c r="H291" s="1189"/>
      <c r="I291" s="1190"/>
      <c r="J291" s="1190"/>
      <c r="K291" s="1190"/>
      <c r="L291" s="1190"/>
      <c r="M291" s="1190"/>
      <c r="N291" s="1190"/>
      <c r="O291" s="1190"/>
      <c r="P291" s="1190"/>
      <c r="Q291" s="1190"/>
      <c r="R291" s="1191"/>
      <c r="S291" s="1191"/>
      <c r="T291" s="1191"/>
      <c r="U291" s="1191"/>
      <c r="V291" s="1191"/>
      <c r="W291" s="2956"/>
    </row>
    <row r="292" spans="1:23" x14ac:dyDescent="0.25">
      <c r="A292" s="2862"/>
      <c r="B292" s="706">
        <v>2029</v>
      </c>
      <c r="C292" s="1156">
        <f t="shared" si="13"/>
        <v>1382410.9045982747</v>
      </c>
      <c r="D292" s="827">
        <v>73</v>
      </c>
      <c r="E292" s="1156">
        <f t="shared" si="14"/>
        <v>100915.99603567406</v>
      </c>
      <c r="F292" s="2958"/>
      <c r="G292" s="1188"/>
      <c r="H292" s="1189"/>
      <c r="I292" s="1190"/>
      <c r="J292" s="1190"/>
      <c r="K292" s="1190"/>
      <c r="L292" s="1190"/>
      <c r="M292" s="1190"/>
      <c r="N292" s="1190"/>
      <c r="O292" s="1190"/>
      <c r="P292" s="1190"/>
      <c r="Q292" s="1190"/>
      <c r="R292" s="1191"/>
      <c r="S292" s="1191"/>
      <c r="T292" s="1191"/>
      <c r="U292" s="1191"/>
      <c r="V292" s="1191"/>
      <c r="W292" s="2956"/>
    </row>
    <row r="293" spans="1:23" x14ac:dyDescent="0.25">
      <c r="A293" s="2862"/>
      <c r="B293" s="706">
        <v>2030</v>
      </c>
      <c r="C293" s="1156">
        <f t="shared" si="13"/>
        <v>1382410.9045982747</v>
      </c>
      <c r="D293" s="827">
        <v>75</v>
      </c>
      <c r="E293" s="1156">
        <f t="shared" si="14"/>
        <v>103680.8178448706</v>
      </c>
      <c r="F293" s="2958"/>
      <c r="G293" s="1188"/>
      <c r="H293" s="1189"/>
      <c r="I293" s="1190"/>
      <c r="J293" s="1190"/>
      <c r="K293" s="1190"/>
      <c r="L293" s="1190"/>
      <c r="M293" s="1190"/>
      <c r="N293" s="1190"/>
      <c r="O293" s="1190"/>
      <c r="P293" s="1190"/>
      <c r="Q293" s="1190"/>
      <c r="R293" s="1191"/>
      <c r="S293" s="1191"/>
      <c r="T293" s="1191"/>
      <c r="U293" s="1191"/>
      <c r="V293" s="1191"/>
      <c r="W293" s="2956"/>
    </row>
    <row r="294" spans="1:23" x14ac:dyDescent="0.25">
      <c r="A294" s="2862"/>
      <c r="B294" s="706">
        <v>2031</v>
      </c>
      <c r="C294" s="1156">
        <f t="shared" si="13"/>
        <v>1382410.9045982747</v>
      </c>
      <c r="D294" s="827">
        <v>76</v>
      </c>
      <c r="E294" s="1156">
        <f t="shared" si="14"/>
        <v>105063.22874946888</v>
      </c>
      <c r="F294" s="2958"/>
      <c r="G294" s="1188"/>
      <c r="H294" s="1189"/>
      <c r="I294" s="1190"/>
      <c r="J294" s="1190"/>
      <c r="K294" s="1190"/>
      <c r="L294" s="1190"/>
      <c r="M294" s="1190"/>
      <c r="N294" s="1190"/>
      <c r="O294" s="1190"/>
      <c r="P294" s="1190"/>
      <c r="Q294" s="1190"/>
      <c r="R294" s="1191"/>
      <c r="S294" s="1191"/>
      <c r="T294" s="1191"/>
      <c r="U294" s="1191"/>
      <c r="V294" s="1191"/>
      <c r="W294" s="2956"/>
    </row>
    <row r="295" spans="1:23" x14ac:dyDescent="0.25">
      <c r="A295" s="2862"/>
      <c r="B295" s="706">
        <v>2032</v>
      </c>
      <c r="C295" s="1156">
        <f t="shared" si="13"/>
        <v>1382410.9045982747</v>
      </c>
      <c r="D295" s="827">
        <v>77</v>
      </c>
      <c r="E295" s="1156">
        <f t="shared" si="14"/>
        <v>106445.63965406716</v>
      </c>
      <c r="F295" s="2958"/>
      <c r="G295" s="1188"/>
      <c r="H295" s="1189"/>
      <c r="I295" s="1190"/>
      <c r="J295" s="1190"/>
      <c r="K295" s="1190"/>
      <c r="L295" s="1190"/>
      <c r="M295" s="1190"/>
      <c r="N295" s="1190"/>
      <c r="O295" s="1190"/>
      <c r="P295" s="1190"/>
      <c r="Q295" s="1190"/>
      <c r="R295" s="1191"/>
      <c r="S295" s="1191"/>
      <c r="T295" s="1191"/>
      <c r="U295" s="1191"/>
      <c r="V295" s="1191"/>
      <c r="W295" s="2956"/>
    </row>
    <row r="296" spans="1:23" x14ac:dyDescent="0.25">
      <c r="A296" s="2862"/>
      <c r="B296" s="706">
        <v>2033</v>
      </c>
      <c r="C296" s="1156">
        <f t="shared" si="13"/>
        <v>1382410.9045982747</v>
      </c>
      <c r="D296" s="827">
        <v>78</v>
      </c>
      <c r="E296" s="1156">
        <f t="shared" si="14"/>
        <v>107828.05055866543</v>
      </c>
      <c r="F296" s="2958"/>
      <c r="G296" s="1188"/>
      <c r="H296" s="1189"/>
      <c r="I296" s="1190"/>
      <c r="J296" s="1190"/>
      <c r="K296" s="1190"/>
      <c r="L296" s="1190"/>
      <c r="M296" s="1190"/>
      <c r="N296" s="1190"/>
      <c r="O296" s="1190"/>
      <c r="P296" s="1190"/>
      <c r="Q296" s="1190"/>
      <c r="R296" s="1191"/>
      <c r="S296" s="1191"/>
      <c r="T296" s="1191"/>
      <c r="U296" s="1191"/>
      <c r="V296" s="1191"/>
      <c r="W296" s="2956"/>
    </row>
    <row r="297" spans="1:23" x14ac:dyDescent="0.25">
      <c r="A297" s="2862"/>
      <c r="B297" s="706">
        <v>2034</v>
      </c>
      <c r="C297" s="1156">
        <f t="shared" si="13"/>
        <v>1382410.9045982747</v>
      </c>
      <c r="D297" s="827">
        <v>79</v>
      </c>
      <c r="E297" s="1156">
        <f t="shared" si="14"/>
        <v>109210.46146326371</v>
      </c>
      <c r="F297" s="2958"/>
      <c r="G297" s="1188"/>
      <c r="H297" s="1189"/>
      <c r="I297" s="1190"/>
      <c r="J297" s="1190"/>
      <c r="K297" s="1190"/>
      <c r="L297" s="1190"/>
      <c r="M297" s="1190"/>
      <c r="N297" s="1190"/>
      <c r="O297" s="1190"/>
      <c r="P297" s="1190"/>
      <c r="Q297" s="1190"/>
      <c r="R297" s="1191"/>
      <c r="S297" s="1191"/>
      <c r="T297" s="1191"/>
      <c r="U297" s="1191"/>
      <c r="V297" s="1191"/>
      <c r="W297" s="2956"/>
    </row>
    <row r="298" spans="1:23" x14ac:dyDescent="0.25">
      <c r="A298" s="2862"/>
      <c r="B298" s="706">
        <v>2035</v>
      </c>
      <c r="C298" s="1156">
        <f t="shared" si="13"/>
        <v>1382410.9045982747</v>
      </c>
      <c r="D298" s="827">
        <v>80</v>
      </c>
      <c r="E298" s="1156">
        <f t="shared" si="14"/>
        <v>110592.87236786199</v>
      </c>
      <c r="F298" s="2958"/>
      <c r="G298" s="1188"/>
      <c r="H298" s="1189"/>
      <c r="I298" s="1190"/>
      <c r="J298" s="1190"/>
      <c r="K298" s="1190"/>
      <c r="L298" s="1190"/>
      <c r="M298" s="1190"/>
      <c r="N298" s="1190"/>
      <c r="O298" s="1190"/>
      <c r="P298" s="1190"/>
      <c r="Q298" s="1190"/>
      <c r="R298" s="1191"/>
      <c r="S298" s="1191"/>
      <c r="T298" s="1191"/>
      <c r="U298" s="1191"/>
      <c r="V298" s="1191"/>
      <c r="W298" s="2956"/>
    </row>
    <row r="299" spans="1:23" x14ac:dyDescent="0.25">
      <c r="A299" s="2862"/>
      <c r="B299" s="706">
        <v>2036</v>
      </c>
      <c r="C299" s="1156">
        <f t="shared" si="13"/>
        <v>1382410.9045982747</v>
      </c>
      <c r="D299" s="827">
        <v>81</v>
      </c>
      <c r="E299" s="1156">
        <f t="shared" si="14"/>
        <v>111975.28327246026</v>
      </c>
      <c r="F299" s="2958"/>
      <c r="G299" s="1188"/>
      <c r="H299" s="1189"/>
      <c r="I299" s="1190"/>
      <c r="J299" s="1190"/>
      <c r="K299" s="1190"/>
      <c r="L299" s="1190"/>
      <c r="M299" s="1190"/>
      <c r="N299" s="1190"/>
      <c r="O299" s="1190"/>
      <c r="P299" s="1190"/>
      <c r="Q299" s="1190"/>
      <c r="R299" s="1191"/>
      <c r="S299" s="1191"/>
      <c r="T299" s="1191"/>
      <c r="U299" s="1191"/>
      <c r="V299" s="1191"/>
      <c r="W299" s="2956"/>
    </row>
    <row r="300" spans="1:23" x14ac:dyDescent="0.25">
      <c r="A300" s="2862"/>
      <c r="B300" s="706">
        <v>2037</v>
      </c>
      <c r="C300" s="1156">
        <f t="shared" si="13"/>
        <v>1382410.9045982747</v>
      </c>
      <c r="D300" s="827">
        <v>83</v>
      </c>
      <c r="E300" s="1156">
        <f t="shared" si="14"/>
        <v>114740.1050816568</v>
      </c>
      <c r="F300" s="2958"/>
      <c r="G300" s="1188"/>
      <c r="H300" s="1189"/>
      <c r="I300" s="1190"/>
      <c r="J300" s="1190"/>
      <c r="K300" s="1190"/>
      <c r="L300" s="1190"/>
      <c r="M300" s="1190"/>
      <c r="N300" s="1190"/>
      <c r="O300" s="1190"/>
      <c r="P300" s="1190"/>
      <c r="Q300" s="1190"/>
      <c r="R300" s="1191"/>
      <c r="S300" s="1191"/>
      <c r="T300" s="1191"/>
      <c r="U300" s="1191"/>
      <c r="V300" s="1191"/>
      <c r="W300" s="2956"/>
    </row>
    <row r="301" spans="1:23" x14ac:dyDescent="0.25">
      <c r="A301" s="2862"/>
      <c r="B301" s="706">
        <v>2038</v>
      </c>
      <c r="C301" s="1156">
        <f t="shared" si="13"/>
        <v>1382410.9045982747</v>
      </c>
      <c r="D301" s="827">
        <v>84</v>
      </c>
      <c r="E301" s="1156">
        <f t="shared" si="14"/>
        <v>116122.51598625508</v>
      </c>
      <c r="F301" s="2958"/>
      <c r="G301" s="1188"/>
      <c r="H301" s="1189"/>
      <c r="I301" s="1190"/>
      <c r="J301" s="1190"/>
      <c r="K301" s="1190"/>
      <c r="L301" s="1190"/>
      <c r="M301" s="1190"/>
      <c r="N301" s="1190"/>
      <c r="O301" s="1190"/>
      <c r="P301" s="1190"/>
      <c r="Q301" s="1190"/>
      <c r="R301" s="1191"/>
      <c r="S301" s="1191"/>
      <c r="T301" s="1191"/>
      <c r="U301" s="1191"/>
      <c r="V301" s="1191"/>
      <c r="W301" s="2956"/>
    </row>
    <row r="302" spans="1:23" x14ac:dyDescent="0.25">
      <c r="A302" s="2862"/>
      <c r="B302" s="706">
        <v>2039</v>
      </c>
      <c r="C302" s="1156">
        <f t="shared" si="13"/>
        <v>1382410.9045982747</v>
      </c>
      <c r="D302" s="827">
        <v>85</v>
      </c>
      <c r="E302" s="1156">
        <f t="shared" si="14"/>
        <v>117504.92689085336</v>
      </c>
      <c r="F302" s="2958"/>
      <c r="G302" s="1188"/>
      <c r="H302" s="1189"/>
      <c r="I302" s="1190"/>
      <c r="J302" s="1190"/>
      <c r="K302" s="1190"/>
      <c r="L302" s="1190"/>
      <c r="M302" s="1190"/>
      <c r="N302" s="1190"/>
      <c r="O302" s="1190"/>
      <c r="P302" s="1190"/>
      <c r="Q302" s="1190"/>
      <c r="R302" s="1191"/>
      <c r="S302" s="1191"/>
      <c r="T302" s="1191"/>
      <c r="U302" s="1191"/>
      <c r="V302" s="1191"/>
      <c r="W302" s="2956"/>
    </row>
    <row r="303" spans="1:23" x14ac:dyDescent="0.25">
      <c r="A303" s="2862"/>
      <c r="B303" s="706">
        <v>2040</v>
      </c>
      <c r="C303" s="1156">
        <f t="shared" si="13"/>
        <v>1382410.9045982747</v>
      </c>
      <c r="D303" s="827">
        <v>86</v>
      </c>
      <c r="E303" s="1156">
        <f t="shared" si="14"/>
        <v>118887.33779545163</v>
      </c>
      <c r="F303" s="2958"/>
      <c r="G303" s="1188"/>
      <c r="H303" s="1189"/>
      <c r="I303" s="1190"/>
      <c r="J303" s="1190"/>
      <c r="K303" s="1190"/>
      <c r="L303" s="1190"/>
      <c r="M303" s="1190"/>
      <c r="N303" s="1190"/>
      <c r="O303" s="1190"/>
      <c r="P303" s="1190"/>
      <c r="Q303" s="1190"/>
      <c r="R303" s="1191"/>
      <c r="S303" s="1191"/>
      <c r="T303" s="1191"/>
      <c r="U303" s="1191"/>
      <c r="V303" s="1191"/>
      <c r="W303" s="2956"/>
    </row>
    <row r="304" spans="1:23" x14ac:dyDescent="0.25">
      <c r="A304" s="2862"/>
      <c r="B304" s="706">
        <v>2041</v>
      </c>
      <c r="C304" s="1156">
        <f t="shared" si="13"/>
        <v>1382410.9045982747</v>
      </c>
      <c r="D304" s="827">
        <v>87</v>
      </c>
      <c r="E304" s="1156">
        <f t="shared" si="14"/>
        <v>120269.74870004991</v>
      </c>
      <c r="F304" s="2958"/>
      <c r="G304" s="1188"/>
      <c r="H304" s="1189"/>
      <c r="I304" s="1190"/>
      <c r="J304" s="1190"/>
      <c r="K304" s="1190"/>
      <c r="L304" s="1190"/>
      <c r="M304" s="1190"/>
      <c r="N304" s="1190"/>
      <c r="O304" s="1190"/>
      <c r="P304" s="1190"/>
      <c r="Q304" s="1190"/>
      <c r="R304" s="1191"/>
      <c r="S304" s="1191"/>
      <c r="T304" s="1191"/>
      <c r="U304" s="1191"/>
      <c r="V304" s="1191"/>
      <c r="W304" s="2956"/>
    </row>
    <row r="305" spans="1:23" x14ac:dyDescent="0.25">
      <c r="A305" s="2862"/>
      <c r="B305" s="706">
        <v>2042</v>
      </c>
      <c r="C305" s="1156">
        <f t="shared" si="13"/>
        <v>1382410.9045982747</v>
      </c>
      <c r="D305" s="827">
        <v>88</v>
      </c>
      <c r="E305" s="1156">
        <f t="shared" si="14"/>
        <v>121652.15960464819</v>
      </c>
      <c r="F305" s="2958"/>
      <c r="G305" s="1188"/>
      <c r="H305" s="1189"/>
      <c r="I305" s="1190"/>
      <c r="J305" s="1190"/>
      <c r="K305" s="1190"/>
      <c r="L305" s="1190"/>
      <c r="M305" s="1190"/>
      <c r="N305" s="1190"/>
      <c r="O305" s="1190"/>
      <c r="P305" s="1190"/>
      <c r="Q305" s="1190"/>
      <c r="R305" s="1191"/>
      <c r="S305" s="1191"/>
      <c r="T305" s="1191"/>
      <c r="U305" s="1191"/>
      <c r="V305" s="1191"/>
      <c r="W305" s="2956"/>
    </row>
    <row r="306" spans="1:23" x14ac:dyDescent="0.25">
      <c r="A306" s="2862"/>
      <c r="B306" s="706">
        <v>2043</v>
      </c>
      <c r="C306" s="1156">
        <f t="shared" si="13"/>
        <v>1382410.9045982747</v>
      </c>
      <c r="D306" s="827">
        <v>89</v>
      </c>
      <c r="E306" s="1156">
        <f t="shared" si="14"/>
        <v>123034.57050924645</v>
      </c>
      <c r="F306" s="2958"/>
      <c r="G306" s="1188"/>
      <c r="H306" s="1189"/>
      <c r="I306" s="1190"/>
      <c r="J306" s="1190"/>
      <c r="K306" s="1190"/>
      <c r="L306" s="1190"/>
      <c r="M306" s="1190"/>
      <c r="N306" s="1190"/>
      <c r="O306" s="1190"/>
      <c r="P306" s="1190"/>
      <c r="Q306" s="1190"/>
      <c r="R306" s="1191"/>
      <c r="S306" s="1191"/>
      <c r="T306" s="1191"/>
      <c r="U306" s="1191"/>
      <c r="V306" s="1191"/>
      <c r="W306" s="2956"/>
    </row>
    <row r="307" spans="1:23" x14ac:dyDescent="0.25">
      <c r="A307" s="2862"/>
      <c r="B307" s="706">
        <v>2044</v>
      </c>
      <c r="C307" s="1156">
        <f t="shared" si="13"/>
        <v>1382410.9045982747</v>
      </c>
      <c r="D307" s="827">
        <v>90</v>
      </c>
      <c r="E307" s="1156">
        <f t="shared" si="14"/>
        <v>124416.98141384473</v>
      </c>
      <c r="F307" s="2958"/>
      <c r="G307" s="1188"/>
      <c r="H307" s="1189"/>
      <c r="I307" s="1190"/>
      <c r="J307" s="1190"/>
      <c r="K307" s="1190"/>
      <c r="L307" s="1190"/>
      <c r="M307" s="1190"/>
      <c r="N307" s="1190"/>
      <c r="O307" s="1190"/>
      <c r="P307" s="1190"/>
      <c r="Q307" s="1190"/>
      <c r="R307" s="1191"/>
      <c r="S307" s="1191"/>
      <c r="T307" s="1191"/>
      <c r="U307" s="1191"/>
      <c r="V307" s="1191"/>
      <c r="W307" s="2956"/>
    </row>
    <row r="308" spans="1:23" x14ac:dyDescent="0.25">
      <c r="A308" s="2862"/>
      <c r="B308" s="706">
        <v>2045</v>
      </c>
      <c r="C308" s="1156">
        <f t="shared" si="13"/>
        <v>1382410.9045982747</v>
      </c>
      <c r="D308" s="827">
        <v>92</v>
      </c>
      <c r="E308" s="1156">
        <f t="shared" si="14"/>
        <v>127181.80322304128</v>
      </c>
      <c r="F308" s="2958"/>
      <c r="G308" s="1188"/>
      <c r="H308" s="1189"/>
      <c r="I308" s="1190"/>
      <c r="J308" s="1190"/>
      <c r="K308" s="1190"/>
      <c r="L308" s="1190"/>
      <c r="M308" s="1190"/>
      <c r="N308" s="1190"/>
      <c r="O308" s="1190"/>
      <c r="P308" s="1190"/>
      <c r="Q308" s="1190"/>
      <c r="R308" s="1191"/>
      <c r="S308" s="1191"/>
      <c r="T308" s="1191"/>
      <c r="U308" s="1191"/>
      <c r="V308" s="1191"/>
      <c r="W308" s="2956"/>
    </row>
    <row r="309" spans="1:23" x14ac:dyDescent="0.25">
      <c r="A309" s="2862"/>
      <c r="B309" s="706">
        <v>2046</v>
      </c>
      <c r="C309" s="1156">
        <f t="shared" si="13"/>
        <v>1382410.9045982747</v>
      </c>
      <c r="D309" s="827">
        <v>93</v>
      </c>
      <c r="E309" s="1156">
        <f t="shared" si="14"/>
        <v>128564.21412763956</v>
      </c>
      <c r="F309" s="2958"/>
      <c r="G309" s="1188"/>
      <c r="H309" s="1189"/>
      <c r="I309" s="1190"/>
      <c r="J309" s="1190"/>
      <c r="K309" s="1190"/>
      <c r="L309" s="1190"/>
      <c r="M309" s="1190"/>
      <c r="N309" s="1190"/>
      <c r="O309" s="1190"/>
      <c r="P309" s="1190"/>
      <c r="Q309" s="1190"/>
      <c r="R309" s="1191"/>
      <c r="S309" s="1191"/>
      <c r="T309" s="1191"/>
      <c r="U309" s="1191"/>
      <c r="V309" s="1191"/>
      <c r="W309" s="2956"/>
    </row>
    <row r="310" spans="1:23" x14ac:dyDescent="0.25">
      <c r="A310" s="2862"/>
      <c r="B310" s="706">
        <v>2047</v>
      </c>
      <c r="C310" s="1156">
        <f t="shared" si="13"/>
        <v>1382410.9045982747</v>
      </c>
      <c r="D310" s="827">
        <v>94</v>
      </c>
      <c r="E310" s="1156">
        <f t="shared" si="14"/>
        <v>129946.62503223783</v>
      </c>
      <c r="F310" s="2958"/>
      <c r="G310" s="1188"/>
      <c r="H310" s="1189"/>
      <c r="I310" s="1190"/>
      <c r="J310" s="1190"/>
      <c r="K310" s="1190"/>
      <c r="L310" s="1190"/>
      <c r="M310" s="1190"/>
      <c r="N310" s="1190"/>
      <c r="O310" s="1190"/>
      <c r="P310" s="1190"/>
      <c r="Q310" s="1190"/>
      <c r="R310" s="1191"/>
      <c r="S310" s="1191"/>
      <c r="T310" s="1191"/>
      <c r="U310" s="1191"/>
      <c r="V310" s="1191"/>
      <c r="W310" s="2956"/>
    </row>
    <row r="311" spans="1:23" x14ac:dyDescent="0.25">
      <c r="A311" s="2862"/>
      <c r="B311" s="706">
        <v>2048</v>
      </c>
      <c r="C311" s="1156">
        <f t="shared" si="13"/>
        <v>1382410.9045982747</v>
      </c>
      <c r="D311" s="827">
        <v>95</v>
      </c>
      <c r="E311" s="1156">
        <f t="shared" si="14"/>
        <v>131329.0359368361</v>
      </c>
      <c r="F311" s="2958"/>
      <c r="G311" s="1188"/>
      <c r="H311" s="1189"/>
      <c r="I311" s="1190"/>
      <c r="J311" s="1190"/>
      <c r="K311" s="1190"/>
      <c r="L311" s="1190"/>
      <c r="M311" s="1190"/>
      <c r="N311" s="1190"/>
      <c r="O311" s="1190"/>
      <c r="P311" s="1190"/>
      <c r="Q311" s="1190"/>
      <c r="R311" s="1191"/>
      <c r="S311" s="1191"/>
      <c r="T311" s="1191"/>
      <c r="U311" s="1191"/>
      <c r="V311" s="1191"/>
      <c r="W311" s="2956"/>
    </row>
    <row r="312" spans="1:23" x14ac:dyDescent="0.25">
      <c r="A312" s="2862"/>
      <c r="B312" s="706">
        <v>2049</v>
      </c>
      <c r="C312" s="1156">
        <f t="shared" si="13"/>
        <v>1382410.9045982747</v>
      </c>
      <c r="D312" s="827">
        <v>96</v>
      </c>
      <c r="E312" s="1156">
        <f t="shared" si="14"/>
        <v>132711.44684143437</v>
      </c>
      <c r="F312" s="2958"/>
      <c r="G312" s="1188"/>
      <c r="H312" s="1189"/>
      <c r="I312" s="1190"/>
      <c r="J312" s="1190"/>
      <c r="K312" s="1190"/>
      <c r="L312" s="1190"/>
      <c r="M312" s="1190"/>
      <c r="N312" s="1190"/>
      <c r="O312" s="1190"/>
      <c r="P312" s="1190"/>
      <c r="Q312" s="1190"/>
      <c r="R312" s="1191"/>
      <c r="S312" s="1191"/>
      <c r="T312" s="1191"/>
      <c r="U312" s="1191"/>
      <c r="V312" s="1191"/>
      <c r="W312" s="2956"/>
    </row>
    <row r="313" spans="1:23" x14ac:dyDescent="0.25">
      <c r="A313" s="2862"/>
      <c r="B313" s="706">
        <v>2050</v>
      </c>
      <c r="C313" s="1156">
        <f t="shared" si="13"/>
        <v>1382410.9045982747</v>
      </c>
      <c r="D313" s="827">
        <v>97</v>
      </c>
      <c r="E313" s="1156">
        <f t="shared" si="14"/>
        <v>134093.85774603265</v>
      </c>
      <c r="F313" s="2958"/>
      <c r="G313" s="1188"/>
      <c r="H313" s="1189"/>
      <c r="I313" s="1190"/>
      <c r="J313" s="1190"/>
      <c r="K313" s="1190"/>
      <c r="L313" s="1190"/>
      <c r="M313" s="1190"/>
      <c r="N313" s="1190"/>
      <c r="O313" s="1190"/>
      <c r="P313" s="1190"/>
      <c r="Q313" s="1190"/>
    </row>
    <row r="314" spans="1:23" ht="17.25" customHeight="1" x14ac:dyDescent="0.25">
      <c r="A314" s="2862"/>
      <c r="B314" s="706">
        <v>2051</v>
      </c>
      <c r="C314" s="1134">
        <f t="shared" ref="C314:C332" si="15">$R$12</f>
        <v>1382410.9045982747</v>
      </c>
      <c r="D314" s="1357">
        <v>97</v>
      </c>
      <c r="E314" s="1134">
        <f t="shared" si="14"/>
        <v>134093.85774603265</v>
      </c>
      <c r="F314" s="2958"/>
      <c r="G314" s="1188"/>
      <c r="H314" s="1189"/>
      <c r="I314" s="1190"/>
      <c r="J314" s="1190"/>
      <c r="K314" s="1190"/>
      <c r="L314" s="1190"/>
      <c r="M314" s="1190"/>
      <c r="N314" s="1190"/>
      <c r="O314" s="1190"/>
      <c r="P314" s="1190"/>
      <c r="Q314" s="1190"/>
    </row>
    <row r="315" spans="1:23" x14ac:dyDescent="0.25">
      <c r="A315" s="2862"/>
      <c r="B315" s="706">
        <v>2052</v>
      </c>
      <c r="C315" s="1156">
        <f t="shared" si="15"/>
        <v>1382410.9045982747</v>
      </c>
      <c r="D315" s="827">
        <v>97</v>
      </c>
      <c r="E315" s="1156">
        <f t="shared" si="14"/>
        <v>134093.85774603265</v>
      </c>
      <c r="F315" s="2958"/>
      <c r="G315" s="1188"/>
      <c r="H315" s="1189"/>
      <c r="I315" s="1190"/>
      <c r="J315" s="1190"/>
      <c r="K315" s="1190"/>
      <c r="L315" s="1190"/>
      <c r="M315" s="1190"/>
      <c r="N315" s="1190"/>
      <c r="O315" s="1190"/>
      <c r="P315" s="1190"/>
      <c r="Q315" s="1190"/>
    </row>
    <row r="316" spans="1:23" x14ac:dyDescent="0.25">
      <c r="A316" s="2862"/>
      <c r="B316" s="706">
        <v>2053</v>
      </c>
      <c r="C316" s="1156">
        <f t="shared" si="15"/>
        <v>1382410.9045982747</v>
      </c>
      <c r="D316" s="827">
        <v>97</v>
      </c>
      <c r="E316" s="1156">
        <f t="shared" si="14"/>
        <v>134093.85774603265</v>
      </c>
      <c r="F316" s="2958"/>
      <c r="G316" s="1188"/>
      <c r="H316" s="1189"/>
      <c r="I316" s="1190"/>
      <c r="J316" s="1190"/>
      <c r="K316" s="1190"/>
      <c r="L316" s="1190"/>
      <c r="M316" s="1190"/>
      <c r="N316" s="1190"/>
      <c r="O316" s="1190"/>
      <c r="P316" s="1190"/>
      <c r="Q316" s="1190"/>
    </row>
    <row r="317" spans="1:23" x14ac:dyDescent="0.25">
      <c r="A317" s="2862"/>
      <c r="B317" s="706">
        <v>2054</v>
      </c>
      <c r="C317" s="1156">
        <f t="shared" si="15"/>
        <v>1382410.9045982747</v>
      </c>
      <c r="D317" s="827">
        <v>97</v>
      </c>
      <c r="E317" s="1156">
        <f t="shared" si="14"/>
        <v>134093.85774603265</v>
      </c>
      <c r="F317" s="2958"/>
      <c r="G317" s="1188"/>
      <c r="H317" s="1189"/>
      <c r="I317" s="1190"/>
      <c r="J317" s="1190"/>
      <c r="K317" s="1190"/>
      <c r="L317" s="1190"/>
      <c r="M317" s="1190"/>
      <c r="N317" s="1190"/>
      <c r="O317" s="1190"/>
      <c r="P317" s="1190"/>
      <c r="Q317" s="1190"/>
    </row>
    <row r="318" spans="1:23" x14ac:dyDescent="0.25">
      <c r="A318" s="2862"/>
      <c r="B318" s="706">
        <v>2055</v>
      </c>
      <c r="C318" s="1156">
        <f t="shared" si="15"/>
        <v>1382410.9045982747</v>
      </c>
      <c r="D318" s="827">
        <v>97</v>
      </c>
      <c r="E318" s="1156">
        <f t="shared" si="14"/>
        <v>134093.85774603265</v>
      </c>
      <c r="F318" s="2958"/>
      <c r="G318" s="1188"/>
      <c r="H318" s="1189"/>
      <c r="I318" s="1190"/>
      <c r="J318" s="1190"/>
      <c r="K318" s="1190"/>
      <c r="L318" s="1190"/>
      <c r="M318" s="1190"/>
      <c r="N318" s="1190"/>
      <c r="O318" s="1190"/>
      <c r="P318" s="1190"/>
      <c r="Q318" s="1190"/>
    </row>
    <row r="319" spans="1:23" x14ac:dyDescent="0.25">
      <c r="A319" s="2862"/>
      <c r="B319" s="706">
        <v>2056</v>
      </c>
      <c r="C319" s="1156">
        <f t="shared" si="15"/>
        <v>1382410.9045982747</v>
      </c>
      <c r="D319" s="827">
        <v>97</v>
      </c>
      <c r="E319" s="1156">
        <f t="shared" si="14"/>
        <v>134093.85774603265</v>
      </c>
      <c r="F319" s="2958"/>
      <c r="G319" s="1188"/>
      <c r="H319" s="1189"/>
      <c r="I319" s="1190"/>
      <c r="J319" s="1190"/>
      <c r="K319" s="1190"/>
      <c r="L319" s="1190"/>
      <c r="M319" s="1190"/>
      <c r="N319" s="1190"/>
      <c r="O319" s="1190"/>
      <c r="P319" s="1190"/>
      <c r="Q319" s="1190"/>
    </row>
    <row r="320" spans="1:23" x14ac:dyDescent="0.25">
      <c r="A320" s="2862"/>
      <c r="B320" s="706">
        <v>2057</v>
      </c>
      <c r="C320" s="1156">
        <f t="shared" si="15"/>
        <v>1382410.9045982747</v>
      </c>
      <c r="D320" s="827">
        <v>97</v>
      </c>
      <c r="E320" s="1156">
        <f t="shared" si="14"/>
        <v>134093.85774603265</v>
      </c>
      <c r="F320" s="2958"/>
      <c r="G320" s="1188"/>
      <c r="H320" s="1189"/>
      <c r="I320" s="1190"/>
      <c r="J320" s="1190"/>
      <c r="K320" s="1190"/>
      <c r="L320" s="1190"/>
      <c r="M320" s="1190"/>
      <c r="N320" s="1190"/>
      <c r="O320" s="1190"/>
      <c r="P320" s="1190"/>
      <c r="Q320" s="1190"/>
    </row>
    <row r="321" spans="1:17" x14ac:dyDescent="0.25">
      <c r="A321" s="2862"/>
      <c r="B321" s="706">
        <v>2058</v>
      </c>
      <c r="C321" s="1156">
        <f t="shared" si="15"/>
        <v>1382410.9045982747</v>
      </c>
      <c r="D321" s="827">
        <v>97</v>
      </c>
      <c r="E321" s="1156">
        <f t="shared" si="14"/>
        <v>134093.85774603265</v>
      </c>
      <c r="F321" s="2958"/>
      <c r="G321" s="1188"/>
      <c r="H321" s="1189"/>
      <c r="I321" s="1190"/>
      <c r="J321" s="1190"/>
      <c r="K321" s="1190"/>
      <c r="L321" s="1190"/>
      <c r="M321" s="1190"/>
      <c r="N321" s="1190"/>
      <c r="O321" s="1190"/>
      <c r="P321" s="1190"/>
      <c r="Q321" s="1190"/>
    </row>
    <row r="322" spans="1:17" x14ac:dyDescent="0.25">
      <c r="A322" s="2862"/>
      <c r="B322" s="706">
        <v>2059</v>
      </c>
      <c r="C322" s="1156">
        <f t="shared" si="15"/>
        <v>1382410.9045982747</v>
      </c>
      <c r="D322" s="827">
        <v>97</v>
      </c>
      <c r="E322" s="1156">
        <f t="shared" si="14"/>
        <v>134093.85774603265</v>
      </c>
      <c r="F322" s="2958"/>
      <c r="G322" s="1188"/>
      <c r="H322" s="1189"/>
      <c r="I322" s="1190"/>
      <c r="J322" s="1190"/>
      <c r="K322" s="1190"/>
      <c r="L322" s="1190"/>
      <c r="M322" s="1190"/>
      <c r="N322" s="1190"/>
      <c r="O322" s="1190"/>
      <c r="P322" s="1190"/>
      <c r="Q322" s="1190"/>
    </row>
    <row r="323" spans="1:17" x14ac:dyDescent="0.25">
      <c r="A323" s="2862"/>
      <c r="B323" s="706">
        <v>2060</v>
      </c>
      <c r="C323" s="1156">
        <f t="shared" si="15"/>
        <v>1382410.9045982747</v>
      </c>
      <c r="D323" s="827">
        <v>97</v>
      </c>
      <c r="E323" s="1156">
        <f t="shared" si="14"/>
        <v>134093.85774603265</v>
      </c>
      <c r="F323" s="2958"/>
      <c r="G323" s="1188"/>
      <c r="H323" s="1189"/>
      <c r="I323" s="1190"/>
      <c r="J323" s="1190"/>
      <c r="K323" s="1190"/>
      <c r="L323" s="1190"/>
      <c r="M323" s="1190"/>
      <c r="N323" s="1190"/>
      <c r="O323" s="1190"/>
      <c r="P323" s="1190"/>
      <c r="Q323" s="1190"/>
    </row>
    <row r="324" spans="1:17" x14ac:dyDescent="0.25">
      <c r="A324" s="2862"/>
      <c r="B324" s="706">
        <v>2061</v>
      </c>
      <c r="C324" s="1156">
        <f t="shared" si="15"/>
        <v>1382410.9045982747</v>
      </c>
      <c r="D324" s="827">
        <v>97</v>
      </c>
      <c r="E324" s="1156">
        <f t="shared" si="14"/>
        <v>134093.85774603265</v>
      </c>
      <c r="F324" s="2958"/>
      <c r="G324" s="1188"/>
      <c r="H324" s="1189"/>
      <c r="I324" s="1190"/>
      <c r="J324" s="1190"/>
      <c r="K324" s="1190"/>
      <c r="L324" s="1190"/>
      <c r="M324" s="1190"/>
      <c r="N324" s="1190"/>
      <c r="O324" s="1190"/>
      <c r="P324" s="1190"/>
      <c r="Q324" s="1190"/>
    </row>
    <row r="325" spans="1:17" x14ac:dyDescent="0.25">
      <c r="A325" s="2862"/>
      <c r="B325" s="706">
        <v>2062</v>
      </c>
      <c r="C325" s="1156">
        <f t="shared" si="15"/>
        <v>1382410.9045982747</v>
      </c>
      <c r="D325" s="827">
        <v>97</v>
      </c>
      <c r="E325" s="1156">
        <f t="shared" si="14"/>
        <v>134093.85774603265</v>
      </c>
      <c r="F325" s="2958"/>
      <c r="G325" s="1188"/>
      <c r="H325" s="1189"/>
      <c r="I325" s="1190"/>
      <c r="J325" s="1190"/>
      <c r="K325" s="1190"/>
      <c r="L325" s="1190"/>
      <c r="M325" s="1190"/>
      <c r="N325" s="1190"/>
      <c r="O325" s="1190"/>
      <c r="P325" s="1190"/>
      <c r="Q325" s="1190"/>
    </row>
    <row r="326" spans="1:17" x14ac:dyDescent="0.25">
      <c r="A326" s="2862"/>
      <c r="B326" s="706">
        <v>2063</v>
      </c>
      <c r="C326" s="1156">
        <f t="shared" si="15"/>
        <v>1382410.9045982747</v>
      </c>
      <c r="D326" s="827">
        <v>97</v>
      </c>
      <c r="E326" s="1156">
        <f t="shared" si="14"/>
        <v>134093.85774603265</v>
      </c>
      <c r="F326" s="2958"/>
      <c r="G326" s="1188"/>
      <c r="H326" s="1189"/>
      <c r="I326" s="1190"/>
      <c r="J326" s="1190"/>
      <c r="K326" s="1190"/>
      <c r="L326" s="1190"/>
      <c r="M326" s="1190"/>
      <c r="N326" s="1190"/>
      <c r="O326" s="1190"/>
      <c r="P326" s="1190"/>
      <c r="Q326" s="1190"/>
    </row>
    <row r="327" spans="1:17" x14ac:dyDescent="0.25">
      <c r="A327" s="2862"/>
      <c r="B327" s="706">
        <v>2064</v>
      </c>
      <c r="C327" s="1156">
        <f t="shared" si="15"/>
        <v>1382410.9045982747</v>
      </c>
      <c r="D327" s="827">
        <v>97</v>
      </c>
      <c r="E327" s="1156">
        <f t="shared" si="14"/>
        <v>134093.85774603265</v>
      </c>
      <c r="F327" s="2958"/>
      <c r="G327" s="1188"/>
      <c r="H327" s="1189"/>
      <c r="I327" s="1190"/>
      <c r="J327" s="1190"/>
      <c r="K327" s="1190"/>
      <c r="L327" s="1190"/>
      <c r="M327" s="1190"/>
      <c r="N327" s="1190"/>
      <c r="O327" s="1190"/>
      <c r="P327" s="1190"/>
      <c r="Q327" s="1190"/>
    </row>
    <row r="328" spans="1:17" x14ac:dyDescent="0.25">
      <c r="A328" s="2862"/>
      <c r="B328" s="706">
        <v>2065</v>
      </c>
      <c r="C328" s="1156">
        <f t="shared" si="15"/>
        <v>1382410.9045982747</v>
      </c>
      <c r="D328" s="827">
        <v>97</v>
      </c>
      <c r="E328" s="1156">
        <f t="shared" si="14"/>
        <v>134093.85774603265</v>
      </c>
      <c r="F328" s="2958"/>
      <c r="G328" s="1188"/>
      <c r="H328" s="1189"/>
      <c r="I328" s="1190"/>
      <c r="J328" s="1190"/>
      <c r="K328" s="1190"/>
      <c r="L328" s="1190"/>
      <c r="M328" s="1190"/>
      <c r="N328" s="1190"/>
      <c r="O328" s="1190"/>
      <c r="P328" s="1190"/>
      <c r="Q328" s="1190"/>
    </row>
    <row r="329" spans="1:17" x14ac:dyDescent="0.25">
      <c r="A329" s="2862"/>
      <c r="B329" s="706">
        <v>2066</v>
      </c>
      <c r="C329" s="1156">
        <f t="shared" si="15"/>
        <v>1382410.9045982747</v>
      </c>
      <c r="D329" s="827">
        <v>97</v>
      </c>
      <c r="E329" s="1156">
        <f t="shared" si="14"/>
        <v>134093.85774603265</v>
      </c>
      <c r="F329" s="2958"/>
      <c r="G329" s="1188"/>
      <c r="H329" s="1189"/>
      <c r="I329" s="1190"/>
      <c r="J329" s="1190"/>
      <c r="K329" s="1190"/>
      <c r="L329" s="1190"/>
      <c r="M329" s="1190"/>
      <c r="N329" s="1190"/>
      <c r="O329" s="1190"/>
      <c r="P329" s="1190"/>
      <c r="Q329" s="1190"/>
    </row>
    <row r="330" spans="1:17" x14ac:dyDescent="0.25">
      <c r="A330" s="2862"/>
      <c r="B330" s="706">
        <v>2067</v>
      </c>
      <c r="C330" s="1156">
        <f t="shared" si="15"/>
        <v>1382410.9045982747</v>
      </c>
      <c r="D330" s="827">
        <v>97</v>
      </c>
      <c r="E330" s="1156">
        <f t="shared" si="14"/>
        <v>134093.85774603265</v>
      </c>
      <c r="F330" s="2958"/>
      <c r="G330" s="1188"/>
      <c r="H330" s="1189"/>
      <c r="I330" s="1190"/>
      <c r="J330" s="1190"/>
      <c r="K330" s="1190"/>
      <c r="L330" s="1190"/>
      <c r="M330" s="1190"/>
      <c r="N330" s="1190"/>
      <c r="O330" s="1190"/>
      <c r="P330" s="1190"/>
      <c r="Q330" s="1190"/>
    </row>
    <row r="331" spans="1:17" x14ac:dyDescent="0.25">
      <c r="A331" s="2862"/>
      <c r="B331" s="706">
        <v>2068</v>
      </c>
      <c r="C331" s="1156">
        <f t="shared" si="15"/>
        <v>1382410.9045982747</v>
      </c>
      <c r="D331" s="827">
        <v>97</v>
      </c>
      <c r="E331" s="1156">
        <f t="shared" si="14"/>
        <v>134093.85774603265</v>
      </c>
      <c r="F331" s="2958"/>
      <c r="G331" s="1188"/>
      <c r="H331" s="1189"/>
      <c r="I331" s="1190"/>
      <c r="J331" s="1190"/>
      <c r="K331" s="1190"/>
      <c r="L331" s="1190"/>
      <c r="M331" s="1190"/>
      <c r="N331" s="1190"/>
      <c r="O331" s="1190"/>
      <c r="P331" s="1190"/>
      <c r="Q331" s="1190"/>
    </row>
    <row r="332" spans="1:17" ht="15.75" thickBot="1" x14ac:dyDescent="0.3">
      <c r="A332" s="2863"/>
      <c r="B332" s="55">
        <v>2069</v>
      </c>
      <c r="C332" s="1160">
        <f t="shared" si="15"/>
        <v>1382410.9045982747</v>
      </c>
      <c r="D332" s="1062">
        <v>97</v>
      </c>
      <c r="E332" s="1160">
        <f t="shared" si="14"/>
        <v>134093.85774603265</v>
      </c>
      <c r="F332" s="2959"/>
      <c r="G332" s="1188"/>
      <c r="H332" s="1189"/>
      <c r="I332" s="1190"/>
      <c r="J332" s="1190"/>
      <c r="K332" s="1190"/>
      <c r="L332" s="1190"/>
      <c r="M332" s="1190"/>
      <c r="N332" s="1190"/>
      <c r="O332" s="1190"/>
      <c r="P332" s="1190"/>
      <c r="Q332" s="1190"/>
    </row>
    <row r="333" spans="1:17" ht="15.75" thickBot="1" x14ac:dyDescent="0.3">
      <c r="A333" s="1177"/>
      <c r="B333" s="1065"/>
      <c r="C333" s="1178"/>
      <c r="D333" s="1068"/>
      <c r="E333" s="1178"/>
      <c r="F333" s="1422"/>
      <c r="G333" s="1188"/>
      <c r="H333" s="1189"/>
      <c r="I333" s="1190"/>
      <c r="J333" s="1190"/>
      <c r="K333" s="1190"/>
      <c r="L333" s="1190"/>
      <c r="M333" s="1190"/>
      <c r="N333" s="1190"/>
      <c r="O333" s="1190"/>
      <c r="P333" s="1190"/>
      <c r="Q333" s="1190"/>
    </row>
    <row r="334" spans="1:17" ht="57.75" customHeight="1" thickBot="1" x14ac:dyDescent="0.3">
      <c r="A334" s="2904" t="s">
        <v>1421</v>
      </c>
      <c r="B334" s="2905"/>
      <c r="C334" s="2905"/>
      <c r="D334" s="2905"/>
      <c r="E334" s="2905"/>
      <c r="F334" s="2906"/>
    </row>
    <row r="335" spans="1:17" ht="66.75" thickBot="1" x14ac:dyDescent="0.3">
      <c r="A335" s="861" t="s">
        <v>28</v>
      </c>
      <c r="B335" s="1071" t="s">
        <v>177</v>
      </c>
      <c r="C335" s="1010" t="s">
        <v>1193</v>
      </c>
      <c r="D335" s="1028" t="s">
        <v>272</v>
      </c>
      <c r="E335" s="821" t="s">
        <v>1117</v>
      </c>
      <c r="F335" s="836" t="s">
        <v>316</v>
      </c>
    </row>
    <row r="336" spans="1:17" x14ac:dyDescent="0.25">
      <c r="A336" s="2912" t="s">
        <v>1078</v>
      </c>
      <c r="B336" s="1194">
        <v>2019</v>
      </c>
      <c r="C336" s="1134">
        <f t="shared" ref="C336:C367" si="16">$R$18</f>
        <v>-23444431.848207776</v>
      </c>
      <c r="D336" s="1195">
        <v>62</v>
      </c>
      <c r="E336" s="1153">
        <f>(C336/1000)*D336</f>
        <v>-1453554.7745888822</v>
      </c>
      <c r="F336" s="2921">
        <f>SUM(E336:E386)*1.2682</f>
        <v>-130673144.12519762</v>
      </c>
    </row>
    <row r="337" spans="1:6" x14ac:dyDescent="0.25">
      <c r="A337" s="2913"/>
      <c r="B337" s="1196">
        <v>2020</v>
      </c>
      <c r="C337" s="1134">
        <f t="shared" si="16"/>
        <v>-23444431.848207776</v>
      </c>
      <c r="D337" s="1197">
        <v>64</v>
      </c>
      <c r="E337" s="1156">
        <f t="shared" ref="E337:E386" si="17">(C337/1000)*D337</f>
        <v>-1500443.6382852977</v>
      </c>
      <c r="F337" s="2922"/>
    </row>
    <row r="338" spans="1:6" x14ac:dyDescent="0.25">
      <c r="A338" s="2913"/>
      <c r="B338" s="1196">
        <v>2021</v>
      </c>
      <c r="C338" s="1134">
        <f t="shared" si="16"/>
        <v>-23444431.848207776</v>
      </c>
      <c r="D338" s="1197">
        <v>65</v>
      </c>
      <c r="E338" s="1156">
        <f t="shared" si="17"/>
        <v>-1523888.0701335054</v>
      </c>
      <c r="F338" s="2922"/>
    </row>
    <row r="339" spans="1:6" x14ac:dyDescent="0.25">
      <c r="A339" s="2913"/>
      <c r="B339" s="1196">
        <v>2022</v>
      </c>
      <c r="C339" s="1134">
        <f t="shared" si="16"/>
        <v>-23444431.848207776</v>
      </c>
      <c r="D339" s="1197">
        <v>66</v>
      </c>
      <c r="E339" s="1156">
        <f t="shared" si="17"/>
        <v>-1547332.5019817131</v>
      </c>
      <c r="F339" s="2922"/>
    </row>
    <row r="340" spans="1:6" x14ac:dyDescent="0.25">
      <c r="A340" s="2913"/>
      <c r="B340" s="1196">
        <v>2023</v>
      </c>
      <c r="C340" s="1134">
        <f t="shared" si="16"/>
        <v>-23444431.848207776</v>
      </c>
      <c r="D340" s="1197">
        <v>67</v>
      </c>
      <c r="E340" s="1156">
        <f t="shared" si="17"/>
        <v>-1570776.9338299211</v>
      </c>
      <c r="F340" s="2922"/>
    </row>
    <row r="341" spans="1:6" x14ac:dyDescent="0.25">
      <c r="A341" s="2913"/>
      <c r="B341" s="1196">
        <v>2024</v>
      </c>
      <c r="C341" s="1134">
        <f t="shared" si="16"/>
        <v>-23444431.848207776</v>
      </c>
      <c r="D341" s="1197">
        <v>68</v>
      </c>
      <c r="E341" s="1156">
        <f t="shared" si="17"/>
        <v>-1594221.3656781288</v>
      </c>
      <c r="F341" s="2922"/>
    </row>
    <row r="342" spans="1:6" x14ac:dyDescent="0.25">
      <c r="A342" s="2913"/>
      <c r="B342" s="1196">
        <v>2025</v>
      </c>
      <c r="C342" s="1134">
        <f t="shared" si="16"/>
        <v>-23444431.848207776</v>
      </c>
      <c r="D342" s="1197">
        <v>69</v>
      </c>
      <c r="E342" s="1156">
        <f t="shared" si="17"/>
        <v>-1617665.7975263365</v>
      </c>
      <c r="F342" s="2922"/>
    </row>
    <row r="343" spans="1:6" x14ac:dyDescent="0.25">
      <c r="A343" s="2913"/>
      <c r="B343" s="1196">
        <v>2026</v>
      </c>
      <c r="C343" s="1134">
        <f t="shared" si="16"/>
        <v>-23444431.848207776</v>
      </c>
      <c r="D343" s="1197">
        <v>70</v>
      </c>
      <c r="E343" s="1156">
        <f t="shared" si="17"/>
        <v>-1641110.2293745442</v>
      </c>
      <c r="F343" s="2922"/>
    </row>
    <row r="344" spans="1:6" x14ac:dyDescent="0.25">
      <c r="A344" s="2913"/>
      <c r="B344" s="1196">
        <v>2027</v>
      </c>
      <c r="C344" s="1134">
        <f t="shared" si="16"/>
        <v>-23444431.848207776</v>
      </c>
      <c r="D344" s="1197">
        <v>71</v>
      </c>
      <c r="E344" s="1156">
        <f t="shared" si="17"/>
        <v>-1664554.6612227522</v>
      </c>
      <c r="F344" s="2922"/>
    </row>
    <row r="345" spans="1:6" x14ac:dyDescent="0.25">
      <c r="A345" s="2913"/>
      <c r="B345" s="1196">
        <v>2028</v>
      </c>
      <c r="C345" s="1134">
        <f t="shared" si="16"/>
        <v>-23444431.848207776</v>
      </c>
      <c r="D345" s="1197">
        <v>72</v>
      </c>
      <c r="E345" s="1156">
        <f t="shared" si="17"/>
        <v>-1687999.0930709599</v>
      </c>
      <c r="F345" s="2922"/>
    </row>
    <row r="346" spans="1:6" x14ac:dyDescent="0.25">
      <c r="A346" s="2913"/>
      <c r="B346" s="1196">
        <v>2029</v>
      </c>
      <c r="C346" s="1134">
        <f t="shared" si="16"/>
        <v>-23444431.848207776</v>
      </c>
      <c r="D346" s="1197">
        <v>73</v>
      </c>
      <c r="E346" s="1156">
        <f t="shared" si="17"/>
        <v>-1711443.5249191676</v>
      </c>
      <c r="F346" s="2922"/>
    </row>
    <row r="347" spans="1:6" x14ac:dyDescent="0.25">
      <c r="A347" s="2913"/>
      <c r="B347" s="1196">
        <v>2030</v>
      </c>
      <c r="C347" s="1134">
        <f t="shared" si="16"/>
        <v>-23444431.848207776</v>
      </c>
      <c r="D347" s="1197">
        <v>75</v>
      </c>
      <c r="E347" s="1156">
        <f t="shared" si="17"/>
        <v>-1758332.3886155833</v>
      </c>
      <c r="F347" s="2922"/>
    </row>
    <row r="348" spans="1:6" x14ac:dyDescent="0.25">
      <c r="A348" s="2913"/>
      <c r="B348" s="1196">
        <v>2031</v>
      </c>
      <c r="C348" s="1134">
        <f t="shared" si="16"/>
        <v>-23444431.848207776</v>
      </c>
      <c r="D348" s="1197">
        <v>76</v>
      </c>
      <c r="E348" s="1156">
        <f t="shared" si="17"/>
        <v>-1781776.820463791</v>
      </c>
      <c r="F348" s="2922"/>
    </row>
    <row r="349" spans="1:6" x14ac:dyDescent="0.25">
      <c r="A349" s="2913"/>
      <c r="B349" s="1196">
        <v>2032</v>
      </c>
      <c r="C349" s="1134">
        <f t="shared" si="16"/>
        <v>-23444431.848207776</v>
      </c>
      <c r="D349" s="1197">
        <v>77</v>
      </c>
      <c r="E349" s="1156">
        <f t="shared" si="17"/>
        <v>-1805221.2523119987</v>
      </c>
      <c r="F349" s="2922"/>
    </row>
    <row r="350" spans="1:6" x14ac:dyDescent="0.25">
      <c r="A350" s="2913"/>
      <c r="B350" s="1196">
        <v>2033</v>
      </c>
      <c r="C350" s="1134">
        <f t="shared" si="16"/>
        <v>-23444431.848207776</v>
      </c>
      <c r="D350" s="1197">
        <v>78</v>
      </c>
      <c r="E350" s="1156">
        <f t="shared" si="17"/>
        <v>-1828665.6841602065</v>
      </c>
      <c r="F350" s="2922"/>
    </row>
    <row r="351" spans="1:6" x14ac:dyDescent="0.25">
      <c r="A351" s="2913"/>
      <c r="B351" s="1196">
        <v>2034</v>
      </c>
      <c r="C351" s="1134">
        <f t="shared" si="16"/>
        <v>-23444431.848207776</v>
      </c>
      <c r="D351" s="1197">
        <v>79</v>
      </c>
      <c r="E351" s="1156">
        <f t="shared" si="17"/>
        <v>-1852110.1160084144</v>
      </c>
      <c r="F351" s="2922"/>
    </row>
    <row r="352" spans="1:6" x14ac:dyDescent="0.25">
      <c r="A352" s="2913"/>
      <c r="B352" s="1196">
        <v>2035</v>
      </c>
      <c r="C352" s="1134">
        <f t="shared" si="16"/>
        <v>-23444431.848207776</v>
      </c>
      <c r="D352" s="1197">
        <v>80</v>
      </c>
      <c r="E352" s="1156">
        <f t="shared" si="17"/>
        <v>-1875554.5478566221</v>
      </c>
      <c r="F352" s="2922"/>
    </row>
    <row r="353" spans="1:6" x14ac:dyDescent="0.25">
      <c r="A353" s="2913"/>
      <c r="B353" s="1196">
        <v>2036</v>
      </c>
      <c r="C353" s="1134">
        <f t="shared" si="16"/>
        <v>-23444431.848207776</v>
      </c>
      <c r="D353" s="1197">
        <v>81</v>
      </c>
      <c r="E353" s="1156">
        <f t="shared" si="17"/>
        <v>-1898998.9797048299</v>
      </c>
      <c r="F353" s="2922"/>
    </row>
    <row r="354" spans="1:6" x14ac:dyDescent="0.25">
      <c r="A354" s="2913"/>
      <c r="B354" s="1196">
        <v>2037</v>
      </c>
      <c r="C354" s="1134">
        <f t="shared" si="16"/>
        <v>-23444431.848207776</v>
      </c>
      <c r="D354" s="1197">
        <v>83</v>
      </c>
      <c r="E354" s="1156">
        <f t="shared" si="17"/>
        <v>-1945887.8434012453</v>
      </c>
      <c r="F354" s="2922"/>
    </row>
    <row r="355" spans="1:6" x14ac:dyDescent="0.25">
      <c r="A355" s="2913"/>
      <c r="B355" s="1196">
        <v>2038</v>
      </c>
      <c r="C355" s="1134">
        <f t="shared" si="16"/>
        <v>-23444431.848207776</v>
      </c>
      <c r="D355" s="1197">
        <v>84</v>
      </c>
      <c r="E355" s="1156">
        <f t="shared" si="17"/>
        <v>-1969332.2752494533</v>
      </c>
      <c r="F355" s="2922"/>
    </row>
    <row r="356" spans="1:6" x14ac:dyDescent="0.25">
      <c r="A356" s="2913"/>
      <c r="B356" s="1196">
        <v>2039</v>
      </c>
      <c r="C356" s="1134">
        <f t="shared" si="16"/>
        <v>-23444431.848207776</v>
      </c>
      <c r="D356" s="1197">
        <v>85</v>
      </c>
      <c r="E356" s="1156">
        <f t="shared" si="17"/>
        <v>-1992776.707097661</v>
      </c>
      <c r="F356" s="2922"/>
    </row>
    <row r="357" spans="1:6" x14ac:dyDescent="0.25">
      <c r="A357" s="2913"/>
      <c r="B357" s="1196">
        <v>2040</v>
      </c>
      <c r="C357" s="1134">
        <f t="shared" si="16"/>
        <v>-23444431.848207776</v>
      </c>
      <c r="D357" s="1197">
        <v>86</v>
      </c>
      <c r="E357" s="1156">
        <f t="shared" si="17"/>
        <v>-2016221.1389458687</v>
      </c>
      <c r="F357" s="2922"/>
    </row>
    <row r="358" spans="1:6" x14ac:dyDescent="0.25">
      <c r="A358" s="2913"/>
      <c r="B358" s="1196">
        <v>2041</v>
      </c>
      <c r="C358" s="1134">
        <f t="shared" si="16"/>
        <v>-23444431.848207776</v>
      </c>
      <c r="D358" s="1197">
        <v>87</v>
      </c>
      <c r="E358" s="1156">
        <f t="shared" si="17"/>
        <v>-2039665.5707940764</v>
      </c>
      <c r="F358" s="2922"/>
    </row>
    <row r="359" spans="1:6" x14ac:dyDescent="0.25">
      <c r="A359" s="2913"/>
      <c r="B359" s="1196">
        <v>2042</v>
      </c>
      <c r="C359" s="1134">
        <f t="shared" si="16"/>
        <v>-23444431.848207776</v>
      </c>
      <c r="D359" s="1197">
        <v>88</v>
      </c>
      <c r="E359" s="1156">
        <f t="shared" si="17"/>
        <v>-2063110.0026422844</v>
      </c>
      <c r="F359" s="2922"/>
    </row>
    <row r="360" spans="1:6" x14ac:dyDescent="0.25">
      <c r="A360" s="2913"/>
      <c r="B360" s="1196">
        <v>2043</v>
      </c>
      <c r="C360" s="1134">
        <f t="shared" si="16"/>
        <v>-23444431.848207776</v>
      </c>
      <c r="D360" s="1197">
        <v>89</v>
      </c>
      <c r="E360" s="1156">
        <f t="shared" si="17"/>
        <v>-2086554.4344904921</v>
      </c>
      <c r="F360" s="2922"/>
    </row>
    <row r="361" spans="1:6" x14ac:dyDescent="0.25">
      <c r="A361" s="2913"/>
      <c r="B361" s="1196">
        <v>2044</v>
      </c>
      <c r="C361" s="1134">
        <f t="shared" si="16"/>
        <v>-23444431.848207776</v>
      </c>
      <c r="D361" s="1197">
        <v>90</v>
      </c>
      <c r="E361" s="1156">
        <f t="shared" si="17"/>
        <v>-2109998.8663387001</v>
      </c>
      <c r="F361" s="2922"/>
    </row>
    <row r="362" spans="1:6" x14ac:dyDescent="0.25">
      <c r="A362" s="2913"/>
      <c r="B362" s="1196">
        <v>2045</v>
      </c>
      <c r="C362" s="1134">
        <f t="shared" si="16"/>
        <v>-23444431.848207776</v>
      </c>
      <c r="D362" s="1197">
        <v>92</v>
      </c>
      <c r="E362" s="1156">
        <f t="shared" si="17"/>
        <v>-2156887.7300351155</v>
      </c>
      <c r="F362" s="2922"/>
    </row>
    <row r="363" spans="1:6" x14ac:dyDescent="0.25">
      <c r="A363" s="2913"/>
      <c r="B363" s="1196">
        <v>2046</v>
      </c>
      <c r="C363" s="1134">
        <f t="shared" si="16"/>
        <v>-23444431.848207776</v>
      </c>
      <c r="D363" s="1197">
        <v>93</v>
      </c>
      <c r="E363" s="1156">
        <f t="shared" si="17"/>
        <v>-2180332.161883323</v>
      </c>
      <c r="F363" s="2922"/>
    </row>
    <row r="364" spans="1:6" x14ac:dyDescent="0.25">
      <c r="A364" s="2913"/>
      <c r="B364" s="1196">
        <v>2047</v>
      </c>
      <c r="C364" s="1134">
        <f t="shared" si="16"/>
        <v>-23444431.848207776</v>
      </c>
      <c r="D364" s="1197">
        <v>94</v>
      </c>
      <c r="E364" s="1156">
        <f t="shared" si="17"/>
        <v>-2203776.5937315309</v>
      </c>
      <c r="F364" s="2922"/>
    </row>
    <row r="365" spans="1:6" x14ac:dyDescent="0.25">
      <c r="A365" s="2913"/>
      <c r="B365" s="1196">
        <v>2048</v>
      </c>
      <c r="C365" s="1134">
        <f t="shared" si="16"/>
        <v>-23444431.848207776</v>
      </c>
      <c r="D365" s="1197">
        <v>95</v>
      </c>
      <c r="E365" s="1156">
        <f t="shared" si="17"/>
        <v>-2227221.0255797389</v>
      </c>
      <c r="F365" s="2922"/>
    </row>
    <row r="366" spans="1:6" x14ac:dyDescent="0.25">
      <c r="A366" s="2913"/>
      <c r="B366" s="1196">
        <v>2049</v>
      </c>
      <c r="C366" s="1134">
        <f t="shared" si="16"/>
        <v>-23444431.848207776</v>
      </c>
      <c r="D366" s="1197">
        <v>96</v>
      </c>
      <c r="E366" s="1156">
        <f t="shared" si="17"/>
        <v>-2250665.4574279464</v>
      </c>
      <c r="F366" s="2922"/>
    </row>
    <row r="367" spans="1:6" x14ac:dyDescent="0.25">
      <c r="A367" s="2913"/>
      <c r="B367" s="1196">
        <v>2050</v>
      </c>
      <c r="C367" s="1134">
        <f t="shared" si="16"/>
        <v>-23444431.848207776</v>
      </c>
      <c r="D367" s="1197">
        <v>97</v>
      </c>
      <c r="E367" s="1156">
        <f t="shared" si="17"/>
        <v>-2274109.8892761543</v>
      </c>
      <c r="F367" s="2922"/>
    </row>
    <row r="368" spans="1:6" x14ac:dyDescent="0.25">
      <c r="A368" s="2913"/>
      <c r="B368" s="1196">
        <v>2051</v>
      </c>
      <c r="C368" s="1134">
        <f t="shared" ref="C368:C386" si="18">$R$18</f>
        <v>-23444431.848207776</v>
      </c>
      <c r="D368" s="1197">
        <v>97</v>
      </c>
      <c r="E368" s="1156">
        <f t="shared" si="17"/>
        <v>-2274109.8892761543</v>
      </c>
      <c r="F368" s="2922"/>
    </row>
    <row r="369" spans="1:6" x14ac:dyDescent="0.25">
      <c r="A369" s="2913"/>
      <c r="B369" s="1196">
        <v>2052</v>
      </c>
      <c r="C369" s="1134">
        <f t="shared" si="18"/>
        <v>-23444431.848207776</v>
      </c>
      <c r="D369" s="1197">
        <v>97</v>
      </c>
      <c r="E369" s="1156">
        <f t="shared" si="17"/>
        <v>-2274109.8892761543</v>
      </c>
      <c r="F369" s="2922"/>
    </row>
    <row r="370" spans="1:6" x14ac:dyDescent="0.25">
      <c r="A370" s="2913"/>
      <c r="B370" s="1196">
        <v>2053</v>
      </c>
      <c r="C370" s="1134">
        <f t="shared" si="18"/>
        <v>-23444431.848207776</v>
      </c>
      <c r="D370" s="1197">
        <v>97</v>
      </c>
      <c r="E370" s="1156">
        <f t="shared" si="17"/>
        <v>-2274109.8892761543</v>
      </c>
      <c r="F370" s="2922"/>
    </row>
    <row r="371" spans="1:6" x14ac:dyDescent="0.25">
      <c r="A371" s="2913"/>
      <c r="B371" s="1196">
        <v>2054</v>
      </c>
      <c r="C371" s="1134">
        <f t="shared" si="18"/>
        <v>-23444431.848207776</v>
      </c>
      <c r="D371" s="1197">
        <v>97</v>
      </c>
      <c r="E371" s="1156">
        <f t="shared" si="17"/>
        <v>-2274109.8892761543</v>
      </c>
      <c r="F371" s="2922"/>
    </row>
    <row r="372" spans="1:6" x14ac:dyDescent="0.25">
      <c r="A372" s="2913"/>
      <c r="B372" s="1196">
        <v>2055</v>
      </c>
      <c r="C372" s="1134">
        <f t="shared" si="18"/>
        <v>-23444431.848207776</v>
      </c>
      <c r="D372" s="1197">
        <v>97</v>
      </c>
      <c r="E372" s="1156">
        <f t="shared" si="17"/>
        <v>-2274109.8892761543</v>
      </c>
      <c r="F372" s="2922"/>
    </row>
    <row r="373" spans="1:6" x14ac:dyDescent="0.25">
      <c r="A373" s="2913"/>
      <c r="B373" s="1196">
        <v>2056</v>
      </c>
      <c r="C373" s="1134">
        <f t="shared" si="18"/>
        <v>-23444431.848207776</v>
      </c>
      <c r="D373" s="1197">
        <v>97</v>
      </c>
      <c r="E373" s="1156">
        <f t="shared" si="17"/>
        <v>-2274109.8892761543</v>
      </c>
      <c r="F373" s="2922"/>
    </row>
    <row r="374" spans="1:6" x14ac:dyDescent="0.25">
      <c r="A374" s="2913"/>
      <c r="B374" s="1196">
        <v>2057</v>
      </c>
      <c r="C374" s="1134">
        <f t="shared" si="18"/>
        <v>-23444431.848207776</v>
      </c>
      <c r="D374" s="1197">
        <v>97</v>
      </c>
      <c r="E374" s="1156">
        <f t="shared" si="17"/>
        <v>-2274109.8892761543</v>
      </c>
      <c r="F374" s="2922"/>
    </row>
    <row r="375" spans="1:6" x14ac:dyDescent="0.25">
      <c r="A375" s="2913"/>
      <c r="B375" s="1196">
        <v>2058</v>
      </c>
      <c r="C375" s="1134">
        <f t="shared" si="18"/>
        <v>-23444431.848207776</v>
      </c>
      <c r="D375" s="1197">
        <v>97</v>
      </c>
      <c r="E375" s="1156">
        <f t="shared" si="17"/>
        <v>-2274109.8892761543</v>
      </c>
      <c r="F375" s="2922"/>
    </row>
    <row r="376" spans="1:6" x14ac:dyDescent="0.25">
      <c r="A376" s="2913"/>
      <c r="B376" s="1196">
        <v>2059</v>
      </c>
      <c r="C376" s="1134">
        <f t="shared" si="18"/>
        <v>-23444431.848207776</v>
      </c>
      <c r="D376" s="1197">
        <v>97</v>
      </c>
      <c r="E376" s="1156">
        <f t="shared" si="17"/>
        <v>-2274109.8892761543</v>
      </c>
      <c r="F376" s="2922"/>
    </row>
    <row r="377" spans="1:6" x14ac:dyDescent="0.25">
      <c r="A377" s="2913"/>
      <c r="B377" s="1196">
        <v>2060</v>
      </c>
      <c r="C377" s="1134">
        <f t="shared" si="18"/>
        <v>-23444431.848207776</v>
      </c>
      <c r="D377" s="1197">
        <v>97</v>
      </c>
      <c r="E377" s="1156">
        <f t="shared" si="17"/>
        <v>-2274109.8892761543</v>
      </c>
      <c r="F377" s="2922"/>
    </row>
    <row r="378" spans="1:6" x14ac:dyDescent="0.25">
      <c r="A378" s="2913"/>
      <c r="B378" s="1196">
        <v>2061</v>
      </c>
      <c r="C378" s="1134">
        <f t="shared" si="18"/>
        <v>-23444431.848207776</v>
      </c>
      <c r="D378" s="1197">
        <v>97</v>
      </c>
      <c r="E378" s="1156">
        <f t="shared" si="17"/>
        <v>-2274109.8892761543</v>
      </c>
      <c r="F378" s="2922"/>
    </row>
    <row r="379" spans="1:6" x14ac:dyDescent="0.25">
      <c r="A379" s="2913"/>
      <c r="B379" s="1196">
        <v>2062</v>
      </c>
      <c r="C379" s="1134">
        <f t="shared" si="18"/>
        <v>-23444431.848207776</v>
      </c>
      <c r="D379" s="1197">
        <v>97</v>
      </c>
      <c r="E379" s="1156">
        <f t="shared" si="17"/>
        <v>-2274109.8892761543</v>
      </c>
      <c r="F379" s="2922"/>
    </row>
    <row r="380" spans="1:6" x14ac:dyDescent="0.25">
      <c r="A380" s="2913"/>
      <c r="B380" s="1196">
        <v>2063</v>
      </c>
      <c r="C380" s="1134">
        <f t="shared" si="18"/>
        <v>-23444431.848207776</v>
      </c>
      <c r="D380" s="1197">
        <v>97</v>
      </c>
      <c r="E380" s="1156">
        <f t="shared" si="17"/>
        <v>-2274109.8892761543</v>
      </c>
      <c r="F380" s="2922"/>
    </row>
    <row r="381" spans="1:6" x14ac:dyDescent="0.25">
      <c r="A381" s="2913"/>
      <c r="B381" s="1196">
        <v>2064</v>
      </c>
      <c r="C381" s="1134">
        <f t="shared" si="18"/>
        <v>-23444431.848207776</v>
      </c>
      <c r="D381" s="1197">
        <v>97</v>
      </c>
      <c r="E381" s="1156">
        <f t="shared" si="17"/>
        <v>-2274109.8892761543</v>
      </c>
      <c r="F381" s="2922"/>
    </row>
    <row r="382" spans="1:6" x14ac:dyDescent="0.25">
      <c r="A382" s="2913"/>
      <c r="B382" s="1196">
        <v>2065</v>
      </c>
      <c r="C382" s="1134">
        <f t="shared" si="18"/>
        <v>-23444431.848207776</v>
      </c>
      <c r="D382" s="1197">
        <v>97</v>
      </c>
      <c r="E382" s="1156">
        <f t="shared" si="17"/>
        <v>-2274109.8892761543</v>
      </c>
      <c r="F382" s="2922"/>
    </row>
    <row r="383" spans="1:6" x14ac:dyDescent="0.25">
      <c r="A383" s="2913"/>
      <c r="B383" s="1196">
        <v>2066</v>
      </c>
      <c r="C383" s="1134">
        <f t="shared" si="18"/>
        <v>-23444431.848207776</v>
      </c>
      <c r="D383" s="1197">
        <v>97</v>
      </c>
      <c r="E383" s="1156">
        <f t="shared" si="17"/>
        <v>-2274109.8892761543</v>
      </c>
      <c r="F383" s="2922"/>
    </row>
    <row r="384" spans="1:6" x14ac:dyDescent="0.25">
      <c r="A384" s="2913"/>
      <c r="B384" s="1196">
        <v>2067</v>
      </c>
      <c r="C384" s="1134">
        <f t="shared" si="18"/>
        <v>-23444431.848207776</v>
      </c>
      <c r="D384" s="1197">
        <v>97</v>
      </c>
      <c r="E384" s="1156">
        <f t="shared" si="17"/>
        <v>-2274109.8892761543</v>
      </c>
      <c r="F384" s="2922"/>
    </row>
    <row r="385" spans="1:6" x14ac:dyDescent="0.25">
      <c r="A385" s="2913"/>
      <c r="B385" s="1196">
        <v>2068</v>
      </c>
      <c r="C385" s="1134">
        <f t="shared" si="18"/>
        <v>-23444431.848207776</v>
      </c>
      <c r="D385" s="1197">
        <v>97</v>
      </c>
      <c r="E385" s="1156">
        <f t="shared" si="17"/>
        <v>-2274109.8892761543</v>
      </c>
      <c r="F385" s="2922"/>
    </row>
    <row r="386" spans="1:6" ht="15.75" thickBot="1" x14ac:dyDescent="0.3">
      <c r="A386" s="2914"/>
      <c r="B386" s="1198">
        <v>2069</v>
      </c>
      <c r="C386" s="1134">
        <f t="shared" si="18"/>
        <v>-23444431.848207776</v>
      </c>
      <c r="D386" s="1199">
        <v>97</v>
      </c>
      <c r="E386" s="1160">
        <f t="shared" si="17"/>
        <v>-2274109.8892761543</v>
      </c>
      <c r="F386" s="2923"/>
    </row>
    <row r="387" spans="1:6" x14ac:dyDescent="0.25">
      <c r="A387" s="2780" t="s">
        <v>1077</v>
      </c>
      <c r="B387" s="888">
        <v>2019</v>
      </c>
      <c r="C387" s="1200">
        <f t="shared" ref="C387:C418" si="19">$R$19</f>
        <v>-23444431.848207776</v>
      </c>
      <c r="D387" s="1056">
        <v>62</v>
      </c>
      <c r="E387" s="1153">
        <f>(C387/1000)*D387</f>
        <v>-1453554.7745888822</v>
      </c>
      <c r="F387" s="2921">
        <f>SUM(E387:E437)*1.2682</f>
        <v>-130673144.12519762</v>
      </c>
    </row>
    <row r="388" spans="1:6" x14ac:dyDescent="0.25">
      <c r="A388" s="2781"/>
      <c r="B388" s="706">
        <v>2020</v>
      </c>
      <c r="C388" s="1200">
        <f t="shared" si="19"/>
        <v>-23444431.848207776</v>
      </c>
      <c r="D388" s="827">
        <v>64</v>
      </c>
      <c r="E388" s="1156">
        <f>(C388/1000)*D388</f>
        <v>-1500443.6382852977</v>
      </c>
      <c r="F388" s="2922"/>
    </row>
    <row r="389" spans="1:6" x14ac:dyDescent="0.25">
      <c r="A389" s="2781"/>
      <c r="B389" s="706">
        <v>2021</v>
      </c>
      <c r="C389" s="1200">
        <f t="shared" si="19"/>
        <v>-23444431.848207776</v>
      </c>
      <c r="D389" s="827">
        <v>65</v>
      </c>
      <c r="E389" s="1156">
        <f>(C389/1000)*D389</f>
        <v>-1523888.0701335054</v>
      </c>
      <c r="F389" s="2922"/>
    </row>
    <row r="390" spans="1:6" x14ac:dyDescent="0.25">
      <c r="A390" s="2781"/>
      <c r="B390" s="706">
        <v>2022</v>
      </c>
      <c r="C390" s="1200">
        <f t="shared" si="19"/>
        <v>-23444431.848207776</v>
      </c>
      <c r="D390" s="827">
        <v>66</v>
      </c>
      <c r="E390" s="1156">
        <f t="shared" ref="E390:E437" si="20">(C390/1000)*D390</f>
        <v>-1547332.5019817131</v>
      </c>
      <c r="F390" s="2922"/>
    </row>
    <row r="391" spans="1:6" x14ac:dyDescent="0.25">
      <c r="A391" s="2781"/>
      <c r="B391" s="706">
        <v>2023</v>
      </c>
      <c r="C391" s="1200">
        <f t="shared" si="19"/>
        <v>-23444431.848207776</v>
      </c>
      <c r="D391" s="827">
        <v>67</v>
      </c>
      <c r="E391" s="1156">
        <f t="shared" si="20"/>
        <v>-1570776.9338299211</v>
      </c>
      <c r="F391" s="2922"/>
    </row>
    <row r="392" spans="1:6" x14ac:dyDescent="0.25">
      <c r="A392" s="2781"/>
      <c r="B392" s="706">
        <v>2024</v>
      </c>
      <c r="C392" s="1200">
        <f t="shared" si="19"/>
        <v>-23444431.848207776</v>
      </c>
      <c r="D392" s="827">
        <v>68</v>
      </c>
      <c r="E392" s="1156">
        <f t="shared" si="20"/>
        <v>-1594221.3656781288</v>
      </c>
      <c r="F392" s="2922"/>
    </row>
    <row r="393" spans="1:6" x14ac:dyDescent="0.25">
      <c r="A393" s="2781"/>
      <c r="B393" s="706">
        <v>2025</v>
      </c>
      <c r="C393" s="1200">
        <f t="shared" si="19"/>
        <v>-23444431.848207776</v>
      </c>
      <c r="D393" s="827">
        <v>69</v>
      </c>
      <c r="E393" s="1156">
        <f t="shared" si="20"/>
        <v>-1617665.7975263365</v>
      </c>
      <c r="F393" s="2922"/>
    </row>
    <row r="394" spans="1:6" x14ac:dyDescent="0.25">
      <c r="A394" s="2781"/>
      <c r="B394" s="706">
        <v>2026</v>
      </c>
      <c r="C394" s="1200">
        <f t="shared" si="19"/>
        <v>-23444431.848207776</v>
      </c>
      <c r="D394" s="827">
        <v>70</v>
      </c>
      <c r="E394" s="1156">
        <f t="shared" si="20"/>
        <v>-1641110.2293745442</v>
      </c>
      <c r="F394" s="2922"/>
    </row>
    <row r="395" spans="1:6" x14ac:dyDescent="0.25">
      <c r="A395" s="2781"/>
      <c r="B395" s="706">
        <v>2027</v>
      </c>
      <c r="C395" s="1200">
        <f t="shared" si="19"/>
        <v>-23444431.848207776</v>
      </c>
      <c r="D395" s="827">
        <v>71</v>
      </c>
      <c r="E395" s="1156">
        <f t="shared" si="20"/>
        <v>-1664554.6612227522</v>
      </c>
      <c r="F395" s="2922"/>
    </row>
    <row r="396" spans="1:6" x14ac:dyDescent="0.25">
      <c r="A396" s="2781"/>
      <c r="B396" s="706">
        <v>2028</v>
      </c>
      <c r="C396" s="1200">
        <f t="shared" si="19"/>
        <v>-23444431.848207776</v>
      </c>
      <c r="D396" s="827">
        <v>72</v>
      </c>
      <c r="E396" s="1156">
        <f t="shared" si="20"/>
        <v>-1687999.0930709599</v>
      </c>
      <c r="F396" s="2922"/>
    </row>
    <row r="397" spans="1:6" x14ac:dyDescent="0.25">
      <c r="A397" s="2781"/>
      <c r="B397" s="706">
        <v>2029</v>
      </c>
      <c r="C397" s="1200">
        <f t="shared" si="19"/>
        <v>-23444431.848207776</v>
      </c>
      <c r="D397" s="827">
        <v>73</v>
      </c>
      <c r="E397" s="1156">
        <f t="shared" si="20"/>
        <v>-1711443.5249191676</v>
      </c>
      <c r="F397" s="2922"/>
    </row>
    <row r="398" spans="1:6" x14ac:dyDescent="0.25">
      <c r="A398" s="2781"/>
      <c r="B398" s="706">
        <v>2030</v>
      </c>
      <c r="C398" s="1200">
        <f t="shared" si="19"/>
        <v>-23444431.848207776</v>
      </c>
      <c r="D398" s="827">
        <v>75</v>
      </c>
      <c r="E398" s="1156">
        <f t="shared" si="20"/>
        <v>-1758332.3886155833</v>
      </c>
      <c r="F398" s="2922"/>
    </row>
    <row r="399" spans="1:6" x14ac:dyDescent="0.25">
      <c r="A399" s="2781"/>
      <c r="B399" s="706">
        <v>2031</v>
      </c>
      <c r="C399" s="1200">
        <f t="shared" si="19"/>
        <v>-23444431.848207776</v>
      </c>
      <c r="D399" s="827">
        <v>76</v>
      </c>
      <c r="E399" s="1156">
        <f t="shared" si="20"/>
        <v>-1781776.820463791</v>
      </c>
      <c r="F399" s="2922"/>
    </row>
    <row r="400" spans="1:6" x14ac:dyDescent="0.25">
      <c r="A400" s="2781"/>
      <c r="B400" s="706">
        <v>2032</v>
      </c>
      <c r="C400" s="1200">
        <f t="shared" si="19"/>
        <v>-23444431.848207776</v>
      </c>
      <c r="D400" s="827">
        <v>77</v>
      </c>
      <c r="E400" s="1156">
        <f t="shared" si="20"/>
        <v>-1805221.2523119987</v>
      </c>
      <c r="F400" s="2922"/>
    </row>
    <row r="401" spans="1:6" x14ac:dyDescent="0.25">
      <c r="A401" s="2781"/>
      <c r="B401" s="706">
        <v>2033</v>
      </c>
      <c r="C401" s="1200">
        <f t="shared" si="19"/>
        <v>-23444431.848207776</v>
      </c>
      <c r="D401" s="827">
        <v>78</v>
      </c>
      <c r="E401" s="1156">
        <f t="shared" si="20"/>
        <v>-1828665.6841602065</v>
      </c>
      <c r="F401" s="2922"/>
    </row>
    <row r="402" spans="1:6" x14ac:dyDescent="0.25">
      <c r="A402" s="2781"/>
      <c r="B402" s="706">
        <v>2034</v>
      </c>
      <c r="C402" s="1200">
        <f t="shared" si="19"/>
        <v>-23444431.848207776</v>
      </c>
      <c r="D402" s="827">
        <v>79</v>
      </c>
      <c r="E402" s="1156">
        <f t="shared" si="20"/>
        <v>-1852110.1160084144</v>
      </c>
      <c r="F402" s="2922"/>
    </row>
    <row r="403" spans="1:6" x14ac:dyDescent="0.25">
      <c r="A403" s="2781"/>
      <c r="B403" s="706">
        <v>2035</v>
      </c>
      <c r="C403" s="1200">
        <f t="shared" si="19"/>
        <v>-23444431.848207776</v>
      </c>
      <c r="D403" s="827">
        <v>80</v>
      </c>
      <c r="E403" s="1156">
        <f t="shared" si="20"/>
        <v>-1875554.5478566221</v>
      </c>
      <c r="F403" s="2922"/>
    </row>
    <row r="404" spans="1:6" x14ac:dyDescent="0.25">
      <c r="A404" s="2781"/>
      <c r="B404" s="706">
        <v>2036</v>
      </c>
      <c r="C404" s="1200">
        <f t="shared" si="19"/>
        <v>-23444431.848207776</v>
      </c>
      <c r="D404" s="827">
        <v>81</v>
      </c>
      <c r="E404" s="1156">
        <f t="shared" si="20"/>
        <v>-1898998.9797048299</v>
      </c>
      <c r="F404" s="2922"/>
    </row>
    <row r="405" spans="1:6" x14ac:dyDescent="0.25">
      <c r="A405" s="2781"/>
      <c r="B405" s="706">
        <v>2037</v>
      </c>
      <c r="C405" s="1200">
        <f t="shared" si="19"/>
        <v>-23444431.848207776</v>
      </c>
      <c r="D405" s="827">
        <v>83</v>
      </c>
      <c r="E405" s="1156">
        <f t="shared" si="20"/>
        <v>-1945887.8434012453</v>
      </c>
      <c r="F405" s="2922"/>
    </row>
    <row r="406" spans="1:6" x14ac:dyDescent="0.25">
      <c r="A406" s="2781"/>
      <c r="B406" s="706">
        <v>2038</v>
      </c>
      <c r="C406" s="1200">
        <f t="shared" si="19"/>
        <v>-23444431.848207776</v>
      </c>
      <c r="D406" s="827">
        <v>84</v>
      </c>
      <c r="E406" s="1156">
        <f t="shared" si="20"/>
        <v>-1969332.2752494533</v>
      </c>
      <c r="F406" s="2922"/>
    </row>
    <row r="407" spans="1:6" x14ac:dyDescent="0.25">
      <c r="A407" s="2781"/>
      <c r="B407" s="706">
        <v>2039</v>
      </c>
      <c r="C407" s="1200">
        <f t="shared" si="19"/>
        <v>-23444431.848207776</v>
      </c>
      <c r="D407" s="827">
        <v>85</v>
      </c>
      <c r="E407" s="1156">
        <f t="shared" si="20"/>
        <v>-1992776.707097661</v>
      </c>
      <c r="F407" s="2922"/>
    </row>
    <row r="408" spans="1:6" x14ac:dyDescent="0.25">
      <c r="A408" s="2781"/>
      <c r="B408" s="706">
        <v>2040</v>
      </c>
      <c r="C408" s="1200">
        <f t="shared" si="19"/>
        <v>-23444431.848207776</v>
      </c>
      <c r="D408" s="827">
        <v>86</v>
      </c>
      <c r="E408" s="1156">
        <f t="shared" si="20"/>
        <v>-2016221.1389458687</v>
      </c>
      <c r="F408" s="2922"/>
    </row>
    <row r="409" spans="1:6" x14ac:dyDescent="0.25">
      <c r="A409" s="2781"/>
      <c r="B409" s="706">
        <v>2041</v>
      </c>
      <c r="C409" s="1200">
        <f t="shared" si="19"/>
        <v>-23444431.848207776</v>
      </c>
      <c r="D409" s="827">
        <v>87</v>
      </c>
      <c r="E409" s="1156">
        <f t="shared" si="20"/>
        <v>-2039665.5707940764</v>
      </c>
      <c r="F409" s="2922"/>
    </row>
    <row r="410" spans="1:6" x14ac:dyDescent="0.25">
      <c r="A410" s="2781"/>
      <c r="B410" s="706">
        <v>2042</v>
      </c>
      <c r="C410" s="1200">
        <f t="shared" si="19"/>
        <v>-23444431.848207776</v>
      </c>
      <c r="D410" s="827">
        <v>88</v>
      </c>
      <c r="E410" s="1156">
        <f t="shared" si="20"/>
        <v>-2063110.0026422844</v>
      </c>
      <c r="F410" s="2922"/>
    </row>
    <row r="411" spans="1:6" x14ac:dyDescent="0.25">
      <c r="A411" s="2781"/>
      <c r="B411" s="706">
        <v>2043</v>
      </c>
      <c r="C411" s="1200">
        <f t="shared" si="19"/>
        <v>-23444431.848207776</v>
      </c>
      <c r="D411" s="827">
        <v>89</v>
      </c>
      <c r="E411" s="1156">
        <f t="shared" si="20"/>
        <v>-2086554.4344904921</v>
      </c>
      <c r="F411" s="2922"/>
    </row>
    <row r="412" spans="1:6" x14ac:dyDescent="0.25">
      <c r="A412" s="2781"/>
      <c r="B412" s="706">
        <v>2044</v>
      </c>
      <c r="C412" s="1200">
        <f t="shared" si="19"/>
        <v>-23444431.848207776</v>
      </c>
      <c r="D412" s="827">
        <v>90</v>
      </c>
      <c r="E412" s="1156">
        <f t="shared" si="20"/>
        <v>-2109998.8663387001</v>
      </c>
      <c r="F412" s="2922"/>
    </row>
    <row r="413" spans="1:6" x14ac:dyDescent="0.25">
      <c r="A413" s="2781"/>
      <c r="B413" s="706">
        <v>2045</v>
      </c>
      <c r="C413" s="1200">
        <f t="shared" si="19"/>
        <v>-23444431.848207776</v>
      </c>
      <c r="D413" s="827">
        <v>92</v>
      </c>
      <c r="E413" s="1156">
        <f t="shared" si="20"/>
        <v>-2156887.7300351155</v>
      </c>
      <c r="F413" s="2922"/>
    </row>
    <row r="414" spans="1:6" x14ac:dyDescent="0.25">
      <c r="A414" s="2781"/>
      <c r="B414" s="706">
        <v>2046</v>
      </c>
      <c r="C414" s="1200">
        <f t="shared" si="19"/>
        <v>-23444431.848207776</v>
      </c>
      <c r="D414" s="827">
        <v>93</v>
      </c>
      <c r="E414" s="1156">
        <f t="shared" si="20"/>
        <v>-2180332.161883323</v>
      </c>
      <c r="F414" s="2922"/>
    </row>
    <row r="415" spans="1:6" x14ac:dyDescent="0.25">
      <c r="A415" s="2781"/>
      <c r="B415" s="706">
        <v>2047</v>
      </c>
      <c r="C415" s="1200">
        <f t="shared" si="19"/>
        <v>-23444431.848207776</v>
      </c>
      <c r="D415" s="827">
        <v>94</v>
      </c>
      <c r="E415" s="1156">
        <f t="shared" si="20"/>
        <v>-2203776.5937315309</v>
      </c>
      <c r="F415" s="2922"/>
    </row>
    <row r="416" spans="1:6" x14ac:dyDescent="0.25">
      <c r="A416" s="2781"/>
      <c r="B416" s="706">
        <v>2048</v>
      </c>
      <c r="C416" s="1200">
        <f t="shared" si="19"/>
        <v>-23444431.848207776</v>
      </c>
      <c r="D416" s="827">
        <v>95</v>
      </c>
      <c r="E416" s="1156">
        <f t="shared" si="20"/>
        <v>-2227221.0255797389</v>
      </c>
      <c r="F416" s="2922"/>
    </row>
    <row r="417" spans="1:6" x14ac:dyDescent="0.25">
      <c r="A417" s="2781"/>
      <c r="B417" s="706">
        <v>2049</v>
      </c>
      <c r="C417" s="1200">
        <f t="shared" si="19"/>
        <v>-23444431.848207776</v>
      </c>
      <c r="D417" s="827">
        <v>96</v>
      </c>
      <c r="E417" s="1156">
        <f t="shared" si="20"/>
        <v>-2250665.4574279464</v>
      </c>
      <c r="F417" s="2922"/>
    </row>
    <row r="418" spans="1:6" x14ac:dyDescent="0.25">
      <c r="A418" s="2781"/>
      <c r="B418" s="706">
        <v>2050</v>
      </c>
      <c r="C418" s="1200">
        <f t="shared" si="19"/>
        <v>-23444431.848207776</v>
      </c>
      <c r="D418" s="827">
        <v>97</v>
      </c>
      <c r="E418" s="1156">
        <f t="shared" si="20"/>
        <v>-2274109.8892761543</v>
      </c>
      <c r="F418" s="2922"/>
    </row>
    <row r="419" spans="1:6" x14ac:dyDescent="0.25">
      <c r="A419" s="2781"/>
      <c r="B419" s="706">
        <v>2051</v>
      </c>
      <c r="C419" s="1200">
        <f t="shared" ref="C419:C437" si="21">$R$19</f>
        <v>-23444431.848207776</v>
      </c>
      <c r="D419" s="827">
        <v>97</v>
      </c>
      <c r="E419" s="1156">
        <f t="shared" si="20"/>
        <v>-2274109.8892761543</v>
      </c>
      <c r="F419" s="2922"/>
    </row>
    <row r="420" spans="1:6" x14ac:dyDescent="0.25">
      <c r="A420" s="2781"/>
      <c r="B420" s="706">
        <v>2052</v>
      </c>
      <c r="C420" s="1200">
        <f t="shared" si="21"/>
        <v>-23444431.848207776</v>
      </c>
      <c r="D420" s="827">
        <v>97</v>
      </c>
      <c r="E420" s="1156">
        <f t="shared" si="20"/>
        <v>-2274109.8892761543</v>
      </c>
      <c r="F420" s="2922"/>
    </row>
    <row r="421" spans="1:6" x14ac:dyDescent="0.25">
      <c r="A421" s="2781"/>
      <c r="B421" s="706">
        <v>2053</v>
      </c>
      <c r="C421" s="1200">
        <f t="shared" si="21"/>
        <v>-23444431.848207776</v>
      </c>
      <c r="D421" s="827">
        <v>97</v>
      </c>
      <c r="E421" s="1156">
        <f t="shared" si="20"/>
        <v>-2274109.8892761543</v>
      </c>
      <c r="F421" s="2922"/>
    </row>
    <row r="422" spans="1:6" x14ac:dyDescent="0.25">
      <c r="A422" s="2781"/>
      <c r="B422" s="706">
        <v>2054</v>
      </c>
      <c r="C422" s="1200">
        <f t="shared" si="21"/>
        <v>-23444431.848207776</v>
      </c>
      <c r="D422" s="827">
        <v>97</v>
      </c>
      <c r="E422" s="1156">
        <f t="shared" si="20"/>
        <v>-2274109.8892761543</v>
      </c>
      <c r="F422" s="2922"/>
    </row>
    <row r="423" spans="1:6" x14ac:dyDescent="0.25">
      <c r="A423" s="2781"/>
      <c r="B423" s="706">
        <v>2055</v>
      </c>
      <c r="C423" s="1200">
        <f t="shared" si="21"/>
        <v>-23444431.848207776</v>
      </c>
      <c r="D423" s="827">
        <v>97</v>
      </c>
      <c r="E423" s="1156">
        <f t="shared" si="20"/>
        <v>-2274109.8892761543</v>
      </c>
      <c r="F423" s="2922"/>
    </row>
    <row r="424" spans="1:6" x14ac:dyDescent="0.25">
      <c r="A424" s="2781"/>
      <c r="B424" s="706">
        <v>2056</v>
      </c>
      <c r="C424" s="1200">
        <f t="shared" si="21"/>
        <v>-23444431.848207776</v>
      </c>
      <c r="D424" s="827">
        <v>97</v>
      </c>
      <c r="E424" s="1156">
        <f t="shared" si="20"/>
        <v>-2274109.8892761543</v>
      </c>
      <c r="F424" s="2922"/>
    </row>
    <row r="425" spans="1:6" x14ac:dyDescent="0.25">
      <c r="A425" s="2781"/>
      <c r="B425" s="706">
        <v>2057</v>
      </c>
      <c r="C425" s="1200">
        <f t="shared" si="21"/>
        <v>-23444431.848207776</v>
      </c>
      <c r="D425" s="827">
        <v>97</v>
      </c>
      <c r="E425" s="1156">
        <f t="shared" si="20"/>
        <v>-2274109.8892761543</v>
      </c>
      <c r="F425" s="2922"/>
    </row>
    <row r="426" spans="1:6" x14ac:dyDescent="0.25">
      <c r="A426" s="2781"/>
      <c r="B426" s="706">
        <v>2058</v>
      </c>
      <c r="C426" s="1200">
        <f t="shared" si="21"/>
        <v>-23444431.848207776</v>
      </c>
      <c r="D426" s="827">
        <v>97</v>
      </c>
      <c r="E426" s="1156">
        <f t="shared" si="20"/>
        <v>-2274109.8892761543</v>
      </c>
      <c r="F426" s="2922"/>
    </row>
    <row r="427" spans="1:6" x14ac:dyDescent="0.25">
      <c r="A427" s="2781"/>
      <c r="B427" s="706">
        <v>2059</v>
      </c>
      <c r="C427" s="1200">
        <f t="shared" si="21"/>
        <v>-23444431.848207776</v>
      </c>
      <c r="D427" s="827">
        <v>97</v>
      </c>
      <c r="E427" s="1156">
        <f t="shared" si="20"/>
        <v>-2274109.8892761543</v>
      </c>
      <c r="F427" s="2922"/>
    </row>
    <row r="428" spans="1:6" x14ac:dyDescent="0.25">
      <c r="A428" s="2781"/>
      <c r="B428" s="706">
        <v>2060</v>
      </c>
      <c r="C428" s="1200">
        <f t="shared" si="21"/>
        <v>-23444431.848207776</v>
      </c>
      <c r="D428" s="827">
        <v>97</v>
      </c>
      <c r="E428" s="1156">
        <f t="shared" si="20"/>
        <v>-2274109.8892761543</v>
      </c>
      <c r="F428" s="2922"/>
    </row>
    <row r="429" spans="1:6" x14ac:dyDescent="0.25">
      <c r="A429" s="2781"/>
      <c r="B429" s="706">
        <v>2061</v>
      </c>
      <c r="C429" s="1200">
        <f t="shared" si="21"/>
        <v>-23444431.848207776</v>
      </c>
      <c r="D429" s="827">
        <v>97</v>
      </c>
      <c r="E429" s="1156">
        <f t="shared" si="20"/>
        <v>-2274109.8892761543</v>
      </c>
      <c r="F429" s="2922"/>
    </row>
    <row r="430" spans="1:6" x14ac:dyDescent="0.25">
      <c r="A430" s="2781"/>
      <c r="B430" s="706">
        <v>2062</v>
      </c>
      <c r="C430" s="1200">
        <f t="shared" si="21"/>
        <v>-23444431.848207776</v>
      </c>
      <c r="D430" s="827">
        <v>97</v>
      </c>
      <c r="E430" s="1156">
        <f t="shared" si="20"/>
        <v>-2274109.8892761543</v>
      </c>
      <c r="F430" s="2922"/>
    </row>
    <row r="431" spans="1:6" x14ac:dyDescent="0.25">
      <c r="A431" s="2781"/>
      <c r="B431" s="706">
        <v>2063</v>
      </c>
      <c r="C431" s="1200">
        <f t="shared" si="21"/>
        <v>-23444431.848207776</v>
      </c>
      <c r="D431" s="827">
        <v>97</v>
      </c>
      <c r="E431" s="1156">
        <f t="shared" si="20"/>
        <v>-2274109.8892761543</v>
      </c>
      <c r="F431" s="2922"/>
    </row>
    <row r="432" spans="1:6" x14ac:dyDescent="0.25">
      <c r="A432" s="2781"/>
      <c r="B432" s="706">
        <v>2064</v>
      </c>
      <c r="C432" s="1200">
        <f t="shared" si="21"/>
        <v>-23444431.848207776</v>
      </c>
      <c r="D432" s="827">
        <v>97</v>
      </c>
      <c r="E432" s="1156">
        <f t="shared" si="20"/>
        <v>-2274109.8892761543</v>
      </c>
      <c r="F432" s="2922"/>
    </row>
    <row r="433" spans="1:6" x14ac:dyDescent="0.25">
      <c r="A433" s="2781"/>
      <c r="B433" s="706">
        <v>2065</v>
      </c>
      <c r="C433" s="1200">
        <f t="shared" si="21"/>
        <v>-23444431.848207776</v>
      </c>
      <c r="D433" s="827">
        <v>97</v>
      </c>
      <c r="E433" s="1156">
        <f t="shared" si="20"/>
        <v>-2274109.8892761543</v>
      </c>
      <c r="F433" s="2922"/>
    </row>
    <row r="434" spans="1:6" x14ac:dyDescent="0.25">
      <c r="A434" s="2781"/>
      <c r="B434" s="706">
        <v>2066</v>
      </c>
      <c r="C434" s="1200">
        <f t="shared" si="21"/>
        <v>-23444431.848207776</v>
      </c>
      <c r="D434" s="827">
        <v>97</v>
      </c>
      <c r="E434" s="1156">
        <f t="shared" si="20"/>
        <v>-2274109.8892761543</v>
      </c>
      <c r="F434" s="2922"/>
    </row>
    <row r="435" spans="1:6" x14ac:dyDescent="0.25">
      <c r="A435" s="2781"/>
      <c r="B435" s="706">
        <v>2067</v>
      </c>
      <c r="C435" s="1200">
        <f t="shared" si="21"/>
        <v>-23444431.848207776</v>
      </c>
      <c r="D435" s="827">
        <v>97</v>
      </c>
      <c r="E435" s="1156">
        <f t="shared" si="20"/>
        <v>-2274109.8892761543</v>
      </c>
      <c r="F435" s="2922"/>
    </row>
    <row r="436" spans="1:6" x14ac:dyDescent="0.25">
      <c r="A436" s="2781"/>
      <c r="B436" s="706">
        <v>2068</v>
      </c>
      <c r="C436" s="1200">
        <f t="shared" si="21"/>
        <v>-23444431.848207776</v>
      </c>
      <c r="D436" s="827">
        <v>97</v>
      </c>
      <c r="E436" s="1156">
        <f t="shared" si="20"/>
        <v>-2274109.8892761543</v>
      </c>
      <c r="F436" s="2922"/>
    </row>
    <row r="437" spans="1:6" ht="15.75" thickBot="1" x14ac:dyDescent="0.3">
      <c r="A437" s="2680"/>
      <c r="B437" s="85">
        <v>2069</v>
      </c>
      <c r="C437" s="1201">
        <f t="shared" si="21"/>
        <v>-23444431.848207776</v>
      </c>
      <c r="D437" s="1073">
        <v>97</v>
      </c>
      <c r="E437" s="1182">
        <f t="shared" si="20"/>
        <v>-2274109.8892761543</v>
      </c>
      <c r="F437" s="2923"/>
    </row>
    <row r="438" spans="1:6" x14ac:dyDescent="0.25">
      <c r="A438" s="2780" t="s">
        <v>704</v>
      </c>
      <c r="B438" s="888">
        <v>2019</v>
      </c>
      <c r="C438" s="1133">
        <f t="shared" ref="C438:C469" si="22">$R$20</f>
        <v>-22343816.756916393</v>
      </c>
      <c r="D438" s="1056">
        <v>62</v>
      </c>
      <c r="E438" s="1153">
        <f>(C438/1000)*D438</f>
        <v>-1385316.6389288164</v>
      </c>
      <c r="F438" s="2921">
        <f>SUM(E438:E488)*1.2682</f>
        <v>-124538602.86687846</v>
      </c>
    </row>
    <row r="439" spans="1:6" x14ac:dyDescent="0.25">
      <c r="A439" s="2781"/>
      <c r="B439" s="706">
        <v>2020</v>
      </c>
      <c r="C439" s="1134">
        <f t="shared" si="22"/>
        <v>-22343816.756916393</v>
      </c>
      <c r="D439" s="827">
        <v>64</v>
      </c>
      <c r="E439" s="1156">
        <f t="shared" ref="E439:E487" si="23">(C439/1000)*D439</f>
        <v>-1430004.2724426491</v>
      </c>
      <c r="F439" s="2922"/>
    </row>
    <row r="440" spans="1:6" x14ac:dyDescent="0.25">
      <c r="A440" s="2781"/>
      <c r="B440" s="706">
        <v>2021</v>
      </c>
      <c r="C440" s="1134">
        <f t="shared" si="22"/>
        <v>-22343816.756916393</v>
      </c>
      <c r="D440" s="827">
        <v>65</v>
      </c>
      <c r="E440" s="1156">
        <f t="shared" si="23"/>
        <v>-1452348.0891995656</v>
      </c>
      <c r="F440" s="2922"/>
    </row>
    <row r="441" spans="1:6" x14ac:dyDescent="0.25">
      <c r="A441" s="2781"/>
      <c r="B441" s="706">
        <v>2022</v>
      </c>
      <c r="C441" s="1134">
        <f t="shared" si="22"/>
        <v>-22343816.756916393</v>
      </c>
      <c r="D441" s="827">
        <v>66</v>
      </c>
      <c r="E441" s="1156">
        <f t="shared" si="23"/>
        <v>-1474691.9059564818</v>
      </c>
      <c r="F441" s="2922"/>
    </row>
    <row r="442" spans="1:6" x14ac:dyDescent="0.25">
      <c r="A442" s="2781"/>
      <c r="B442" s="706">
        <v>2023</v>
      </c>
      <c r="C442" s="1134">
        <f t="shared" si="22"/>
        <v>-22343816.756916393</v>
      </c>
      <c r="D442" s="827">
        <v>67</v>
      </c>
      <c r="E442" s="1156">
        <f t="shared" si="23"/>
        <v>-1497035.7227133983</v>
      </c>
      <c r="F442" s="2922"/>
    </row>
    <row r="443" spans="1:6" x14ac:dyDescent="0.25">
      <c r="A443" s="2781"/>
      <c r="B443" s="706">
        <v>2024</v>
      </c>
      <c r="C443" s="1134">
        <f t="shared" si="22"/>
        <v>-22343816.756916393</v>
      </c>
      <c r="D443" s="827">
        <v>68</v>
      </c>
      <c r="E443" s="1156">
        <f t="shared" si="23"/>
        <v>-1519379.5394703147</v>
      </c>
      <c r="F443" s="2922"/>
    </row>
    <row r="444" spans="1:6" x14ac:dyDescent="0.25">
      <c r="A444" s="2781"/>
      <c r="B444" s="706">
        <v>2025</v>
      </c>
      <c r="C444" s="1134">
        <f t="shared" si="22"/>
        <v>-22343816.756916393</v>
      </c>
      <c r="D444" s="827">
        <v>69</v>
      </c>
      <c r="E444" s="1156">
        <f t="shared" si="23"/>
        <v>-1541723.356227231</v>
      </c>
      <c r="F444" s="2922"/>
    </row>
    <row r="445" spans="1:6" x14ac:dyDescent="0.25">
      <c r="A445" s="2781"/>
      <c r="B445" s="706">
        <v>2026</v>
      </c>
      <c r="C445" s="1134">
        <f t="shared" si="22"/>
        <v>-22343816.756916393</v>
      </c>
      <c r="D445" s="827">
        <v>70</v>
      </c>
      <c r="E445" s="1156">
        <f t="shared" si="23"/>
        <v>-1564067.1729841474</v>
      </c>
      <c r="F445" s="2922"/>
    </row>
    <row r="446" spans="1:6" x14ac:dyDescent="0.25">
      <c r="A446" s="2781"/>
      <c r="B446" s="706">
        <v>2027</v>
      </c>
      <c r="C446" s="1134">
        <f t="shared" si="22"/>
        <v>-22343816.756916393</v>
      </c>
      <c r="D446" s="827">
        <v>71</v>
      </c>
      <c r="E446" s="1156">
        <f t="shared" si="23"/>
        <v>-1586410.9897410639</v>
      </c>
      <c r="F446" s="2922"/>
    </row>
    <row r="447" spans="1:6" x14ac:dyDescent="0.25">
      <c r="A447" s="2781"/>
      <c r="B447" s="706">
        <v>2028</v>
      </c>
      <c r="C447" s="1134">
        <f t="shared" si="22"/>
        <v>-22343816.756916393</v>
      </c>
      <c r="D447" s="827">
        <v>72</v>
      </c>
      <c r="E447" s="1156">
        <f t="shared" si="23"/>
        <v>-1608754.8064979804</v>
      </c>
      <c r="F447" s="2922"/>
    </row>
    <row r="448" spans="1:6" x14ac:dyDescent="0.25">
      <c r="A448" s="2781"/>
      <c r="B448" s="706">
        <v>2029</v>
      </c>
      <c r="C448" s="1134">
        <f t="shared" si="22"/>
        <v>-22343816.756916393</v>
      </c>
      <c r="D448" s="827">
        <v>73</v>
      </c>
      <c r="E448" s="1156">
        <f t="shared" si="23"/>
        <v>-1631098.6232548966</v>
      </c>
      <c r="F448" s="2922"/>
    </row>
    <row r="449" spans="1:6" x14ac:dyDescent="0.25">
      <c r="A449" s="2781"/>
      <c r="B449" s="706">
        <v>2030</v>
      </c>
      <c r="C449" s="1134">
        <f t="shared" si="22"/>
        <v>-22343816.756916393</v>
      </c>
      <c r="D449" s="827">
        <v>75</v>
      </c>
      <c r="E449" s="1156">
        <f t="shared" si="23"/>
        <v>-1675786.2567687295</v>
      </c>
      <c r="F449" s="2922"/>
    </row>
    <row r="450" spans="1:6" x14ac:dyDescent="0.25">
      <c r="A450" s="2781"/>
      <c r="B450" s="706">
        <v>2031</v>
      </c>
      <c r="C450" s="1134">
        <f t="shared" si="22"/>
        <v>-22343816.756916393</v>
      </c>
      <c r="D450" s="827">
        <v>76</v>
      </c>
      <c r="E450" s="1156">
        <f t="shared" si="23"/>
        <v>-1698130.0735256458</v>
      </c>
      <c r="F450" s="2922"/>
    </row>
    <row r="451" spans="1:6" x14ac:dyDescent="0.25">
      <c r="A451" s="2781"/>
      <c r="B451" s="706">
        <v>2032</v>
      </c>
      <c r="C451" s="1134">
        <f t="shared" si="22"/>
        <v>-22343816.756916393</v>
      </c>
      <c r="D451" s="827">
        <v>77</v>
      </c>
      <c r="E451" s="1156">
        <f t="shared" si="23"/>
        <v>-1720473.8902825622</v>
      </c>
      <c r="F451" s="2922"/>
    </row>
    <row r="452" spans="1:6" x14ac:dyDescent="0.25">
      <c r="A452" s="2781"/>
      <c r="B452" s="706">
        <v>2033</v>
      </c>
      <c r="C452" s="1134">
        <f t="shared" si="22"/>
        <v>-22343816.756916393</v>
      </c>
      <c r="D452" s="827">
        <v>78</v>
      </c>
      <c r="E452" s="1156">
        <f t="shared" si="23"/>
        <v>-1742817.7070394787</v>
      </c>
      <c r="F452" s="2922"/>
    </row>
    <row r="453" spans="1:6" x14ac:dyDescent="0.25">
      <c r="A453" s="2781"/>
      <c r="B453" s="706">
        <v>2034</v>
      </c>
      <c r="C453" s="1134">
        <f t="shared" si="22"/>
        <v>-22343816.756916393</v>
      </c>
      <c r="D453" s="827">
        <v>79</v>
      </c>
      <c r="E453" s="1156">
        <f t="shared" si="23"/>
        <v>-1765161.5237963949</v>
      </c>
      <c r="F453" s="2922"/>
    </row>
    <row r="454" spans="1:6" x14ac:dyDescent="0.25">
      <c r="A454" s="2781"/>
      <c r="B454" s="706">
        <v>2035</v>
      </c>
      <c r="C454" s="1134">
        <f t="shared" si="22"/>
        <v>-22343816.756916393</v>
      </c>
      <c r="D454" s="827">
        <v>80</v>
      </c>
      <c r="E454" s="1156">
        <f t="shared" si="23"/>
        <v>-1787505.3405533114</v>
      </c>
      <c r="F454" s="2922"/>
    </row>
    <row r="455" spans="1:6" x14ac:dyDescent="0.25">
      <c r="A455" s="2781"/>
      <c r="B455" s="706">
        <v>2036</v>
      </c>
      <c r="C455" s="1134">
        <f t="shared" si="22"/>
        <v>-22343816.756916393</v>
      </c>
      <c r="D455" s="827">
        <v>81</v>
      </c>
      <c r="E455" s="1156">
        <f t="shared" si="23"/>
        <v>-1809849.1573102279</v>
      </c>
      <c r="F455" s="2922"/>
    </row>
    <row r="456" spans="1:6" x14ac:dyDescent="0.25">
      <c r="A456" s="2781"/>
      <c r="B456" s="706">
        <v>2037</v>
      </c>
      <c r="C456" s="1134">
        <f t="shared" si="22"/>
        <v>-22343816.756916393</v>
      </c>
      <c r="D456" s="827">
        <v>83</v>
      </c>
      <c r="E456" s="1156">
        <f t="shared" si="23"/>
        <v>-1854536.7908240606</v>
      </c>
      <c r="F456" s="2922"/>
    </row>
    <row r="457" spans="1:6" x14ac:dyDescent="0.25">
      <c r="A457" s="2781"/>
      <c r="B457" s="706">
        <v>2038</v>
      </c>
      <c r="C457" s="1134">
        <f t="shared" si="22"/>
        <v>-22343816.756916393</v>
      </c>
      <c r="D457" s="827">
        <v>84</v>
      </c>
      <c r="E457" s="1156">
        <f t="shared" si="23"/>
        <v>-1876880.607580977</v>
      </c>
      <c r="F457" s="2922"/>
    </row>
    <row r="458" spans="1:6" x14ac:dyDescent="0.25">
      <c r="A458" s="2781"/>
      <c r="B458" s="706">
        <v>2039</v>
      </c>
      <c r="C458" s="1134">
        <f t="shared" si="22"/>
        <v>-22343816.756916393</v>
      </c>
      <c r="D458" s="827">
        <v>85</v>
      </c>
      <c r="E458" s="1156">
        <f t="shared" si="23"/>
        <v>-1899224.4243378933</v>
      </c>
      <c r="F458" s="2922"/>
    </row>
    <row r="459" spans="1:6" x14ac:dyDescent="0.25">
      <c r="A459" s="2781"/>
      <c r="B459" s="706">
        <v>2040</v>
      </c>
      <c r="C459" s="1134">
        <f t="shared" si="22"/>
        <v>-22343816.756916393</v>
      </c>
      <c r="D459" s="827">
        <v>86</v>
      </c>
      <c r="E459" s="1156">
        <f t="shared" si="23"/>
        <v>-1921568.2410948097</v>
      </c>
      <c r="F459" s="2922"/>
    </row>
    <row r="460" spans="1:6" x14ac:dyDescent="0.25">
      <c r="A460" s="2781"/>
      <c r="B460" s="706">
        <v>2041</v>
      </c>
      <c r="C460" s="1134">
        <f t="shared" si="22"/>
        <v>-22343816.756916393</v>
      </c>
      <c r="D460" s="827">
        <v>87</v>
      </c>
      <c r="E460" s="1156">
        <f t="shared" si="23"/>
        <v>-1943912.0578517262</v>
      </c>
      <c r="F460" s="2922"/>
    </row>
    <row r="461" spans="1:6" x14ac:dyDescent="0.25">
      <c r="A461" s="2781"/>
      <c r="B461" s="706">
        <v>2042</v>
      </c>
      <c r="C461" s="1134">
        <f t="shared" si="22"/>
        <v>-22343816.756916393</v>
      </c>
      <c r="D461" s="827">
        <v>88</v>
      </c>
      <c r="E461" s="1156">
        <f t="shared" si="23"/>
        <v>-1966255.8746086424</v>
      </c>
      <c r="F461" s="2922"/>
    </row>
    <row r="462" spans="1:6" x14ac:dyDescent="0.25">
      <c r="A462" s="2781"/>
      <c r="B462" s="706">
        <v>2043</v>
      </c>
      <c r="C462" s="1134">
        <f t="shared" si="22"/>
        <v>-22343816.756916393</v>
      </c>
      <c r="D462" s="827">
        <v>89</v>
      </c>
      <c r="E462" s="1156">
        <f t="shared" si="23"/>
        <v>-1988599.6913655589</v>
      </c>
      <c r="F462" s="2922"/>
    </row>
    <row r="463" spans="1:6" x14ac:dyDescent="0.25">
      <c r="A463" s="2781"/>
      <c r="B463" s="706">
        <v>2044</v>
      </c>
      <c r="C463" s="1134">
        <f t="shared" si="22"/>
        <v>-22343816.756916393</v>
      </c>
      <c r="D463" s="827">
        <v>90</v>
      </c>
      <c r="E463" s="1156">
        <f t="shared" si="23"/>
        <v>-2010943.5081224754</v>
      </c>
      <c r="F463" s="2922"/>
    </row>
    <row r="464" spans="1:6" x14ac:dyDescent="0.25">
      <c r="A464" s="2781"/>
      <c r="B464" s="706">
        <v>2045</v>
      </c>
      <c r="C464" s="1134">
        <f t="shared" si="22"/>
        <v>-22343816.756916393</v>
      </c>
      <c r="D464" s="827">
        <v>92</v>
      </c>
      <c r="E464" s="1156">
        <f t="shared" si="23"/>
        <v>-2055631.141636308</v>
      </c>
      <c r="F464" s="2922"/>
    </row>
    <row r="465" spans="1:6" x14ac:dyDescent="0.25">
      <c r="A465" s="2781"/>
      <c r="B465" s="706">
        <v>2046</v>
      </c>
      <c r="C465" s="1134">
        <f t="shared" si="22"/>
        <v>-22343816.756916393</v>
      </c>
      <c r="D465" s="827">
        <v>93</v>
      </c>
      <c r="E465" s="1156">
        <f t="shared" si="23"/>
        <v>-2077974.9583932245</v>
      </c>
      <c r="F465" s="2922"/>
    </row>
    <row r="466" spans="1:6" x14ac:dyDescent="0.25">
      <c r="A466" s="2781"/>
      <c r="B466" s="706">
        <v>2047</v>
      </c>
      <c r="C466" s="1134">
        <f t="shared" si="22"/>
        <v>-22343816.756916393</v>
      </c>
      <c r="D466" s="827">
        <v>94</v>
      </c>
      <c r="E466" s="1156">
        <f t="shared" si="23"/>
        <v>-2100318.7751501407</v>
      </c>
      <c r="F466" s="2922"/>
    </row>
    <row r="467" spans="1:6" x14ac:dyDescent="0.25">
      <c r="A467" s="2781"/>
      <c r="B467" s="706">
        <v>2048</v>
      </c>
      <c r="C467" s="1134">
        <f t="shared" si="22"/>
        <v>-22343816.756916393</v>
      </c>
      <c r="D467" s="827">
        <v>95</v>
      </c>
      <c r="E467" s="1156">
        <f t="shared" si="23"/>
        <v>-2122662.5919070574</v>
      </c>
      <c r="F467" s="2922"/>
    </row>
    <row r="468" spans="1:6" x14ac:dyDescent="0.25">
      <c r="A468" s="2781"/>
      <c r="B468" s="706">
        <v>2049</v>
      </c>
      <c r="C468" s="1134">
        <f t="shared" si="22"/>
        <v>-22343816.756916393</v>
      </c>
      <c r="D468" s="827">
        <v>96</v>
      </c>
      <c r="E468" s="1156">
        <f t="shared" si="23"/>
        <v>-2145006.4086639737</v>
      </c>
      <c r="F468" s="2922"/>
    </row>
    <row r="469" spans="1:6" x14ac:dyDescent="0.25">
      <c r="A469" s="2781"/>
      <c r="B469" s="706">
        <v>2050</v>
      </c>
      <c r="C469" s="1134">
        <f t="shared" si="22"/>
        <v>-22343816.756916393</v>
      </c>
      <c r="D469" s="827">
        <v>97</v>
      </c>
      <c r="E469" s="1156">
        <f t="shared" si="23"/>
        <v>-2167350.2254208899</v>
      </c>
      <c r="F469" s="2922"/>
    </row>
    <row r="470" spans="1:6" x14ac:dyDescent="0.25">
      <c r="A470" s="2781"/>
      <c r="B470" s="706">
        <v>2051</v>
      </c>
      <c r="C470" s="1134">
        <f t="shared" ref="C470:C488" si="24">$R$20</f>
        <v>-22343816.756916393</v>
      </c>
      <c r="D470" s="827">
        <v>97</v>
      </c>
      <c r="E470" s="1156">
        <f t="shared" si="23"/>
        <v>-2167350.2254208899</v>
      </c>
      <c r="F470" s="2922"/>
    </row>
    <row r="471" spans="1:6" x14ac:dyDescent="0.25">
      <c r="A471" s="2781"/>
      <c r="B471" s="706">
        <v>2052</v>
      </c>
      <c r="C471" s="1134">
        <f t="shared" si="24"/>
        <v>-22343816.756916393</v>
      </c>
      <c r="D471" s="827">
        <v>97</v>
      </c>
      <c r="E471" s="1156">
        <f t="shared" si="23"/>
        <v>-2167350.2254208899</v>
      </c>
      <c r="F471" s="2922"/>
    </row>
    <row r="472" spans="1:6" x14ac:dyDescent="0.25">
      <c r="A472" s="2781"/>
      <c r="B472" s="706">
        <v>2053</v>
      </c>
      <c r="C472" s="1134">
        <f t="shared" si="24"/>
        <v>-22343816.756916393</v>
      </c>
      <c r="D472" s="827">
        <v>97</v>
      </c>
      <c r="E472" s="1156">
        <f t="shared" si="23"/>
        <v>-2167350.2254208899</v>
      </c>
      <c r="F472" s="2922"/>
    </row>
    <row r="473" spans="1:6" x14ac:dyDescent="0.25">
      <c r="A473" s="2781"/>
      <c r="B473" s="706">
        <v>2054</v>
      </c>
      <c r="C473" s="1134">
        <f t="shared" si="24"/>
        <v>-22343816.756916393</v>
      </c>
      <c r="D473" s="827">
        <v>97</v>
      </c>
      <c r="E473" s="1156">
        <f t="shared" si="23"/>
        <v>-2167350.2254208899</v>
      </c>
      <c r="F473" s="2922"/>
    </row>
    <row r="474" spans="1:6" x14ac:dyDescent="0.25">
      <c r="A474" s="2781"/>
      <c r="B474" s="706">
        <v>2055</v>
      </c>
      <c r="C474" s="1134">
        <f t="shared" si="24"/>
        <v>-22343816.756916393</v>
      </c>
      <c r="D474" s="827">
        <v>97</v>
      </c>
      <c r="E474" s="1156">
        <f t="shared" si="23"/>
        <v>-2167350.2254208899</v>
      </c>
      <c r="F474" s="2922"/>
    </row>
    <row r="475" spans="1:6" x14ac:dyDescent="0.25">
      <c r="A475" s="2781"/>
      <c r="B475" s="706">
        <v>2056</v>
      </c>
      <c r="C475" s="1134">
        <f t="shared" si="24"/>
        <v>-22343816.756916393</v>
      </c>
      <c r="D475" s="827">
        <v>97</v>
      </c>
      <c r="E475" s="1156">
        <f t="shared" si="23"/>
        <v>-2167350.2254208899</v>
      </c>
      <c r="F475" s="2922"/>
    </row>
    <row r="476" spans="1:6" x14ac:dyDescent="0.25">
      <c r="A476" s="2781"/>
      <c r="B476" s="706">
        <v>2057</v>
      </c>
      <c r="C476" s="1134">
        <f t="shared" si="24"/>
        <v>-22343816.756916393</v>
      </c>
      <c r="D476" s="827">
        <v>97</v>
      </c>
      <c r="E476" s="1156">
        <f t="shared" si="23"/>
        <v>-2167350.2254208899</v>
      </c>
      <c r="F476" s="2922"/>
    </row>
    <row r="477" spans="1:6" x14ac:dyDescent="0.25">
      <c r="A477" s="2781"/>
      <c r="B477" s="706">
        <v>2058</v>
      </c>
      <c r="C477" s="1134">
        <f t="shared" si="24"/>
        <v>-22343816.756916393</v>
      </c>
      <c r="D477" s="827">
        <v>97</v>
      </c>
      <c r="E477" s="1156">
        <f t="shared" si="23"/>
        <v>-2167350.2254208899</v>
      </c>
      <c r="F477" s="2922"/>
    </row>
    <row r="478" spans="1:6" x14ac:dyDescent="0.25">
      <c r="A478" s="2781"/>
      <c r="B478" s="706">
        <v>2059</v>
      </c>
      <c r="C478" s="1134">
        <f t="shared" si="24"/>
        <v>-22343816.756916393</v>
      </c>
      <c r="D478" s="827">
        <v>97</v>
      </c>
      <c r="E478" s="1156">
        <f t="shared" si="23"/>
        <v>-2167350.2254208899</v>
      </c>
      <c r="F478" s="2922"/>
    </row>
    <row r="479" spans="1:6" x14ac:dyDescent="0.25">
      <c r="A479" s="2781"/>
      <c r="B479" s="706">
        <v>2060</v>
      </c>
      <c r="C479" s="1134">
        <f t="shared" si="24"/>
        <v>-22343816.756916393</v>
      </c>
      <c r="D479" s="827">
        <v>97</v>
      </c>
      <c r="E479" s="1156">
        <f t="shared" si="23"/>
        <v>-2167350.2254208899</v>
      </c>
      <c r="F479" s="2922"/>
    </row>
    <row r="480" spans="1:6" x14ac:dyDescent="0.25">
      <c r="A480" s="2781"/>
      <c r="B480" s="706">
        <v>2061</v>
      </c>
      <c r="C480" s="1134">
        <f t="shared" si="24"/>
        <v>-22343816.756916393</v>
      </c>
      <c r="D480" s="827">
        <v>97</v>
      </c>
      <c r="E480" s="1156">
        <f t="shared" si="23"/>
        <v>-2167350.2254208899</v>
      </c>
      <c r="F480" s="2922"/>
    </row>
    <row r="481" spans="1:6" x14ac:dyDescent="0.25">
      <c r="A481" s="2781"/>
      <c r="B481" s="706">
        <v>2062</v>
      </c>
      <c r="C481" s="1134">
        <f t="shared" si="24"/>
        <v>-22343816.756916393</v>
      </c>
      <c r="D481" s="827">
        <v>97</v>
      </c>
      <c r="E481" s="1156">
        <f t="shared" si="23"/>
        <v>-2167350.2254208899</v>
      </c>
      <c r="F481" s="2922"/>
    </row>
    <row r="482" spans="1:6" x14ac:dyDescent="0.25">
      <c r="A482" s="2781"/>
      <c r="B482" s="706">
        <v>2063</v>
      </c>
      <c r="C482" s="1134">
        <f t="shared" si="24"/>
        <v>-22343816.756916393</v>
      </c>
      <c r="D482" s="827">
        <v>97</v>
      </c>
      <c r="E482" s="1156">
        <f t="shared" si="23"/>
        <v>-2167350.2254208899</v>
      </c>
      <c r="F482" s="2922"/>
    </row>
    <row r="483" spans="1:6" x14ac:dyDescent="0.25">
      <c r="A483" s="2781"/>
      <c r="B483" s="706">
        <v>2064</v>
      </c>
      <c r="C483" s="1134">
        <f t="shared" si="24"/>
        <v>-22343816.756916393</v>
      </c>
      <c r="D483" s="827">
        <v>97</v>
      </c>
      <c r="E483" s="1156">
        <f t="shared" si="23"/>
        <v>-2167350.2254208899</v>
      </c>
      <c r="F483" s="2922"/>
    </row>
    <row r="484" spans="1:6" x14ac:dyDescent="0.25">
      <c r="A484" s="2781"/>
      <c r="B484" s="706">
        <v>2065</v>
      </c>
      <c r="C484" s="1134">
        <f t="shared" si="24"/>
        <v>-22343816.756916393</v>
      </c>
      <c r="D484" s="827">
        <v>97</v>
      </c>
      <c r="E484" s="1156">
        <f t="shared" si="23"/>
        <v>-2167350.2254208899</v>
      </c>
      <c r="F484" s="2922"/>
    </row>
    <row r="485" spans="1:6" x14ac:dyDescent="0.25">
      <c r="A485" s="2781"/>
      <c r="B485" s="706">
        <v>2066</v>
      </c>
      <c r="C485" s="1134">
        <f t="shared" si="24"/>
        <v>-22343816.756916393</v>
      </c>
      <c r="D485" s="827">
        <v>97</v>
      </c>
      <c r="E485" s="1156">
        <f t="shared" si="23"/>
        <v>-2167350.2254208899</v>
      </c>
      <c r="F485" s="2922"/>
    </row>
    <row r="486" spans="1:6" x14ac:dyDescent="0.25">
      <c r="A486" s="2781"/>
      <c r="B486" s="706">
        <v>2067</v>
      </c>
      <c r="C486" s="1134">
        <f t="shared" si="24"/>
        <v>-22343816.756916393</v>
      </c>
      <c r="D486" s="827">
        <v>97</v>
      </c>
      <c r="E486" s="1156">
        <f t="shared" si="23"/>
        <v>-2167350.2254208899</v>
      </c>
      <c r="F486" s="2922"/>
    </row>
    <row r="487" spans="1:6" x14ac:dyDescent="0.25">
      <c r="A487" s="2781"/>
      <c r="B487" s="706">
        <v>2068</v>
      </c>
      <c r="C487" s="1134">
        <f t="shared" si="24"/>
        <v>-22343816.756916393</v>
      </c>
      <c r="D487" s="827">
        <v>97</v>
      </c>
      <c r="E487" s="1156">
        <f t="shared" si="23"/>
        <v>-2167350.2254208899</v>
      </c>
      <c r="F487" s="2922"/>
    </row>
    <row r="488" spans="1:6" ht="15.75" thickBot="1" x14ac:dyDescent="0.3">
      <c r="A488" s="2680"/>
      <c r="B488" s="55">
        <v>2069</v>
      </c>
      <c r="C488" s="1135">
        <f t="shared" si="24"/>
        <v>-22343816.756916393</v>
      </c>
      <c r="D488" s="1062">
        <v>97</v>
      </c>
      <c r="E488" s="1160">
        <f>(C488/1000)*D488</f>
        <v>-2167350.2254208899</v>
      </c>
      <c r="F488" s="2923"/>
    </row>
    <row r="489" spans="1:6" x14ac:dyDescent="0.25">
      <c r="A489" s="2780" t="s">
        <v>997</v>
      </c>
      <c r="B489" s="888">
        <v>2019</v>
      </c>
      <c r="C489" s="1202">
        <f t="shared" ref="C489:C520" si="25">$R$21</f>
        <v>-23664554.866466049</v>
      </c>
      <c r="D489" s="1056">
        <v>62</v>
      </c>
      <c r="E489" s="1153">
        <f>(C489/1000)*D489</f>
        <v>-1467202.401720895</v>
      </c>
      <c r="F489" s="2921">
        <f>SUM(E489:E539)*1.2682</f>
        <v>-131900052.37686153</v>
      </c>
    </row>
    <row r="490" spans="1:6" x14ac:dyDescent="0.25">
      <c r="A490" s="2781"/>
      <c r="B490" s="706">
        <v>2020</v>
      </c>
      <c r="C490" s="1182">
        <f t="shared" si="25"/>
        <v>-23664554.866466049</v>
      </c>
      <c r="D490" s="827">
        <v>64</v>
      </c>
      <c r="E490" s="1156">
        <f t="shared" ref="E490:E539" si="26">(C490/1000)*D490</f>
        <v>-1514531.5114538271</v>
      </c>
      <c r="F490" s="2922"/>
    </row>
    <row r="491" spans="1:6" x14ac:dyDescent="0.25">
      <c r="A491" s="2781"/>
      <c r="B491" s="706">
        <v>2021</v>
      </c>
      <c r="C491" s="1182">
        <f t="shared" si="25"/>
        <v>-23664554.866466049</v>
      </c>
      <c r="D491" s="827">
        <v>65</v>
      </c>
      <c r="E491" s="1156">
        <f t="shared" si="26"/>
        <v>-1538196.0663202931</v>
      </c>
      <c r="F491" s="2922"/>
    </row>
    <row r="492" spans="1:6" x14ac:dyDescent="0.25">
      <c r="A492" s="2781"/>
      <c r="B492" s="706">
        <v>2022</v>
      </c>
      <c r="C492" s="1182">
        <f t="shared" si="25"/>
        <v>-23664554.866466049</v>
      </c>
      <c r="D492" s="827">
        <v>66</v>
      </c>
      <c r="E492" s="1156">
        <f t="shared" si="26"/>
        <v>-1561860.6211867593</v>
      </c>
      <c r="F492" s="2922"/>
    </row>
    <row r="493" spans="1:6" x14ac:dyDescent="0.25">
      <c r="A493" s="2781"/>
      <c r="B493" s="706">
        <v>2023</v>
      </c>
      <c r="C493" s="1182">
        <f t="shared" si="25"/>
        <v>-23664554.866466049</v>
      </c>
      <c r="D493" s="827">
        <v>67</v>
      </c>
      <c r="E493" s="1156">
        <f t="shared" si="26"/>
        <v>-1585525.1760532253</v>
      </c>
      <c r="F493" s="2922"/>
    </row>
    <row r="494" spans="1:6" x14ac:dyDescent="0.25">
      <c r="A494" s="2781"/>
      <c r="B494" s="706">
        <v>2024</v>
      </c>
      <c r="C494" s="1182">
        <f t="shared" si="25"/>
        <v>-23664554.866466049</v>
      </c>
      <c r="D494" s="827">
        <v>68</v>
      </c>
      <c r="E494" s="1156">
        <f t="shared" si="26"/>
        <v>-1609189.7309196913</v>
      </c>
      <c r="F494" s="2922"/>
    </row>
    <row r="495" spans="1:6" x14ac:dyDescent="0.25">
      <c r="A495" s="2781"/>
      <c r="B495" s="706">
        <v>2025</v>
      </c>
      <c r="C495" s="1182">
        <f t="shared" si="25"/>
        <v>-23664554.866466049</v>
      </c>
      <c r="D495" s="827">
        <v>69</v>
      </c>
      <c r="E495" s="1156">
        <f t="shared" si="26"/>
        <v>-1632854.2857861575</v>
      </c>
      <c r="F495" s="2922"/>
    </row>
    <row r="496" spans="1:6" x14ac:dyDescent="0.25">
      <c r="A496" s="2781"/>
      <c r="B496" s="706">
        <v>2026</v>
      </c>
      <c r="C496" s="1182">
        <f t="shared" si="25"/>
        <v>-23664554.866466049</v>
      </c>
      <c r="D496" s="827">
        <v>70</v>
      </c>
      <c r="E496" s="1156">
        <f t="shared" si="26"/>
        <v>-1656518.8406526234</v>
      </c>
      <c r="F496" s="2922"/>
    </row>
    <row r="497" spans="1:6" x14ac:dyDescent="0.25">
      <c r="A497" s="2781"/>
      <c r="B497" s="706">
        <v>2027</v>
      </c>
      <c r="C497" s="1182">
        <f t="shared" si="25"/>
        <v>-23664554.866466049</v>
      </c>
      <c r="D497" s="827">
        <v>71</v>
      </c>
      <c r="E497" s="1156">
        <f t="shared" si="26"/>
        <v>-1680183.3955190894</v>
      </c>
      <c r="F497" s="2922"/>
    </row>
    <row r="498" spans="1:6" x14ac:dyDescent="0.25">
      <c r="A498" s="2781"/>
      <c r="B498" s="706">
        <v>2028</v>
      </c>
      <c r="C498" s="1182">
        <f t="shared" si="25"/>
        <v>-23664554.866466049</v>
      </c>
      <c r="D498" s="827">
        <v>72</v>
      </c>
      <c r="E498" s="1156">
        <f t="shared" si="26"/>
        <v>-1703847.9503855556</v>
      </c>
      <c r="F498" s="2922"/>
    </row>
    <row r="499" spans="1:6" x14ac:dyDescent="0.25">
      <c r="A499" s="2781"/>
      <c r="B499" s="706">
        <v>2029</v>
      </c>
      <c r="C499" s="1182">
        <f t="shared" si="25"/>
        <v>-23664554.866466049</v>
      </c>
      <c r="D499" s="827">
        <v>73</v>
      </c>
      <c r="E499" s="1156">
        <f t="shared" si="26"/>
        <v>-1727512.5052520216</v>
      </c>
      <c r="F499" s="2922"/>
    </row>
    <row r="500" spans="1:6" x14ac:dyDescent="0.25">
      <c r="A500" s="2781"/>
      <c r="B500" s="706">
        <v>2030</v>
      </c>
      <c r="C500" s="1182">
        <f t="shared" si="25"/>
        <v>-23664554.866466049</v>
      </c>
      <c r="D500" s="827">
        <v>75</v>
      </c>
      <c r="E500" s="1156">
        <f t="shared" si="26"/>
        <v>-1774841.6149849538</v>
      </c>
      <c r="F500" s="2922"/>
    </row>
    <row r="501" spans="1:6" x14ac:dyDescent="0.25">
      <c r="A501" s="2781"/>
      <c r="B501" s="706">
        <v>2031</v>
      </c>
      <c r="C501" s="1182">
        <f t="shared" si="25"/>
        <v>-23664554.866466049</v>
      </c>
      <c r="D501" s="827">
        <v>76</v>
      </c>
      <c r="E501" s="1156">
        <f t="shared" si="26"/>
        <v>-1798506.1698514197</v>
      </c>
      <c r="F501" s="2922"/>
    </row>
    <row r="502" spans="1:6" x14ac:dyDescent="0.25">
      <c r="A502" s="2781"/>
      <c r="B502" s="706">
        <v>2032</v>
      </c>
      <c r="C502" s="1182">
        <f t="shared" si="25"/>
        <v>-23664554.866466049</v>
      </c>
      <c r="D502" s="827">
        <v>77</v>
      </c>
      <c r="E502" s="1156">
        <f t="shared" si="26"/>
        <v>-1822170.7247178857</v>
      </c>
      <c r="F502" s="2922"/>
    </row>
    <row r="503" spans="1:6" x14ac:dyDescent="0.25">
      <c r="A503" s="2781"/>
      <c r="B503" s="706">
        <v>2033</v>
      </c>
      <c r="C503" s="1182">
        <f t="shared" si="25"/>
        <v>-23664554.866466049</v>
      </c>
      <c r="D503" s="827">
        <v>78</v>
      </c>
      <c r="E503" s="1156">
        <f t="shared" si="26"/>
        <v>-1845835.2795843519</v>
      </c>
      <c r="F503" s="2922"/>
    </row>
    <row r="504" spans="1:6" x14ac:dyDescent="0.25">
      <c r="A504" s="2781"/>
      <c r="B504" s="706">
        <v>2034</v>
      </c>
      <c r="C504" s="1182">
        <f t="shared" si="25"/>
        <v>-23664554.866466049</v>
      </c>
      <c r="D504" s="827">
        <v>79</v>
      </c>
      <c r="E504" s="1156">
        <f t="shared" si="26"/>
        <v>-1869499.8344508179</v>
      </c>
      <c r="F504" s="2922"/>
    </row>
    <row r="505" spans="1:6" x14ac:dyDescent="0.25">
      <c r="A505" s="2781"/>
      <c r="B505" s="706">
        <v>2035</v>
      </c>
      <c r="C505" s="1182">
        <f t="shared" si="25"/>
        <v>-23664554.866466049</v>
      </c>
      <c r="D505" s="827">
        <v>80</v>
      </c>
      <c r="E505" s="1156">
        <f t="shared" si="26"/>
        <v>-1893164.3893172839</v>
      </c>
      <c r="F505" s="2922"/>
    </row>
    <row r="506" spans="1:6" x14ac:dyDescent="0.25">
      <c r="A506" s="2781"/>
      <c r="B506" s="706">
        <v>2036</v>
      </c>
      <c r="C506" s="1182">
        <f t="shared" si="25"/>
        <v>-23664554.866466049</v>
      </c>
      <c r="D506" s="827">
        <v>81</v>
      </c>
      <c r="E506" s="1156">
        <f t="shared" si="26"/>
        <v>-1916828.9441837501</v>
      </c>
      <c r="F506" s="2922"/>
    </row>
    <row r="507" spans="1:6" x14ac:dyDescent="0.25">
      <c r="A507" s="2781"/>
      <c r="B507" s="706">
        <v>2037</v>
      </c>
      <c r="C507" s="1182">
        <f t="shared" si="25"/>
        <v>-23664554.866466049</v>
      </c>
      <c r="D507" s="827">
        <v>83</v>
      </c>
      <c r="E507" s="1156">
        <f t="shared" si="26"/>
        <v>-1964158.053916682</v>
      </c>
      <c r="F507" s="2922"/>
    </row>
    <row r="508" spans="1:6" x14ac:dyDescent="0.25">
      <c r="A508" s="2781"/>
      <c r="B508" s="706">
        <v>2038</v>
      </c>
      <c r="C508" s="1182">
        <f t="shared" si="25"/>
        <v>-23664554.866466049</v>
      </c>
      <c r="D508" s="827">
        <v>84</v>
      </c>
      <c r="E508" s="1156">
        <f t="shared" si="26"/>
        <v>-1987822.6087831482</v>
      </c>
      <c r="F508" s="2922"/>
    </row>
    <row r="509" spans="1:6" x14ac:dyDescent="0.25">
      <c r="A509" s="2781"/>
      <c r="B509" s="706">
        <v>2039</v>
      </c>
      <c r="C509" s="1182">
        <f t="shared" si="25"/>
        <v>-23664554.866466049</v>
      </c>
      <c r="D509" s="827">
        <v>85</v>
      </c>
      <c r="E509" s="1156">
        <f t="shared" si="26"/>
        <v>-2011487.1636496142</v>
      </c>
      <c r="F509" s="2922"/>
    </row>
    <row r="510" spans="1:6" x14ac:dyDescent="0.25">
      <c r="A510" s="2781"/>
      <c r="B510" s="706">
        <v>2040</v>
      </c>
      <c r="C510" s="1182">
        <f t="shared" si="25"/>
        <v>-23664554.866466049</v>
      </c>
      <c r="D510" s="827">
        <v>86</v>
      </c>
      <c r="E510" s="1156">
        <f t="shared" si="26"/>
        <v>-2035151.7185160802</v>
      </c>
      <c r="F510" s="2922"/>
    </row>
    <row r="511" spans="1:6" x14ac:dyDescent="0.25">
      <c r="A511" s="2781"/>
      <c r="B511" s="706">
        <v>2041</v>
      </c>
      <c r="C511" s="1182">
        <f t="shared" si="25"/>
        <v>-23664554.866466049</v>
      </c>
      <c r="D511" s="827">
        <v>87</v>
      </c>
      <c r="E511" s="1156">
        <f t="shared" si="26"/>
        <v>-2058816.2733825464</v>
      </c>
      <c r="F511" s="2922"/>
    </row>
    <row r="512" spans="1:6" x14ac:dyDescent="0.25">
      <c r="A512" s="2781"/>
      <c r="B512" s="706">
        <v>2042</v>
      </c>
      <c r="C512" s="1182">
        <f t="shared" si="25"/>
        <v>-23664554.866466049</v>
      </c>
      <c r="D512" s="827">
        <v>88</v>
      </c>
      <c r="E512" s="1156">
        <f t="shared" si="26"/>
        <v>-2082480.8282490124</v>
      </c>
      <c r="F512" s="2922"/>
    </row>
    <row r="513" spans="1:6" x14ac:dyDescent="0.25">
      <c r="A513" s="2781"/>
      <c r="B513" s="706">
        <v>2043</v>
      </c>
      <c r="C513" s="1182">
        <f t="shared" si="25"/>
        <v>-23664554.866466049</v>
      </c>
      <c r="D513" s="827">
        <v>89</v>
      </c>
      <c r="E513" s="1156">
        <f t="shared" si="26"/>
        <v>-2106145.3831154783</v>
      </c>
      <c r="F513" s="2922"/>
    </row>
    <row r="514" spans="1:6" x14ac:dyDescent="0.25">
      <c r="A514" s="2781"/>
      <c r="B514" s="706">
        <v>2044</v>
      </c>
      <c r="C514" s="1182">
        <f t="shared" si="25"/>
        <v>-23664554.866466049</v>
      </c>
      <c r="D514" s="827">
        <v>90</v>
      </c>
      <c r="E514" s="1156">
        <f t="shared" si="26"/>
        <v>-2129809.9379819445</v>
      </c>
      <c r="F514" s="2922"/>
    </row>
    <row r="515" spans="1:6" x14ac:dyDescent="0.25">
      <c r="A515" s="2781"/>
      <c r="B515" s="706">
        <v>2045</v>
      </c>
      <c r="C515" s="1182">
        <f t="shared" si="25"/>
        <v>-23664554.866466049</v>
      </c>
      <c r="D515" s="827">
        <v>92</v>
      </c>
      <c r="E515" s="1156">
        <f t="shared" si="26"/>
        <v>-2177139.0477148765</v>
      </c>
      <c r="F515" s="2922"/>
    </row>
    <row r="516" spans="1:6" x14ac:dyDescent="0.25">
      <c r="A516" s="2781"/>
      <c r="B516" s="706">
        <v>2046</v>
      </c>
      <c r="C516" s="1182">
        <f t="shared" si="25"/>
        <v>-23664554.866466049</v>
      </c>
      <c r="D516" s="827">
        <v>93</v>
      </c>
      <c r="E516" s="1156">
        <f t="shared" si="26"/>
        <v>-2200803.6025813427</v>
      </c>
      <c r="F516" s="2922"/>
    </row>
    <row r="517" spans="1:6" x14ac:dyDescent="0.25">
      <c r="A517" s="2781"/>
      <c r="B517" s="706">
        <v>2047</v>
      </c>
      <c r="C517" s="1182">
        <f t="shared" si="25"/>
        <v>-23664554.866466049</v>
      </c>
      <c r="D517" s="827">
        <v>94</v>
      </c>
      <c r="E517" s="1156">
        <f t="shared" si="26"/>
        <v>-2224468.1574478084</v>
      </c>
      <c r="F517" s="2922"/>
    </row>
    <row r="518" spans="1:6" x14ac:dyDescent="0.25">
      <c r="A518" s="2781"/>
      <c r="B518" s="706">
        <v>2048</v>
      </c>
      <c r="C518" s="1182">
        <f t="shared" si="25"/>
        <v>-23664554.866466049</v>
      </c>
      <c r="D518" s="827">
        <v>95</v>
      </c>
      <c r="E518" s="1156">
        <f t="shared" si="26"/>
        <v>-2248132.7123142746</v>
      </c>
      <c r="F518" s="2922"/>
    </row>
    <row r="519" spans="1:6" x14ac:dyDescent="0.25">
      <c r="A519" s="2781"/>
      <c r="B519" s="706">
        <v>2049</v>
      </c>
      <c r="C519" s="1182">
        <f t="shared" si="25"/>
        <v>-23664554.866466049</v>
      </c>
      <c r="D519" s="827">
        <v>96</v>
      </c>
      <c r="E519" s="1156">
        <f t="shared" si="26"/>
        <v>-2271797.2671807408</v>
      </c>
      <c r="F519" s="2922"/>
    </row>
    <row r="520" spans="1:6" x14ac:dyDescent="0.25">
      <c r="A520" s="2781"/>
      <c r="B520" s="706">
        <v>2050</v>
      </c>
      <c r="C520" s="1182">
        <f t="shared" si="25"/>
        <v>-23664554.866466049</v>
      </c>
      <c r="D520" s="827">
        <v>97</v>
      </c>
      <c r="E520" s="1156">
        <f t="shared" si="26"/>
        <v>-2295461.8220472066</v>
      </c>
      <c r="F520" s="2922"/>
    </row>
    <row r="521" spans="1:6" x14ac:dyDescent="0.25">
      <c r="A521" s="2781"/>
      <c r="B521" s="706">
        <v>2051</v>
      </c>
      <c r="C521" s="1182">
        <f t="shared" ref="C521:C539" si="27">$R$21</f>
        <v>-23664554.866466049</v>
      </c>
      <c r="D521" s="827">
        <v>97</v>
      </c>
      <c r="E521" s="1156">
        <f t="shared" si="26"/>
        <v>-2295461.8220472066</v>
      </c>
      <c r="F521" s="2922"/>
    </row>
    <row r="522" spans="1:6" x14ac:dyDescent="0.25">
      <c r="A522" s="2781"/>
      <c r="B522" s="706">
        <v>2052</v>
      </c>
      <c r="C522" s="1182">
        <f t="shared" si="27"/>
        <v>-23664554.866466049</v>
      </c>
      <c r="D522" s="827">
        <v>97</v>
      </c>
      <c r="E522" s="1156">
        <f t="shared" si="26"/>
        <v>-2295461.8220472066</v>
      </c>
      <c r="F522" s="2922"/>
    </row>
    <row r="523" spans="1:6" x14ac:dyDescent="0.25">
      <c r="A523" s="2781"/>
      <c r="B523" s="706">
        <v>2053</v>
      </c>
      <c r="C523" s="1182">
        <f t="shared" si="27"/>
        <v>-23664554.866466049</v>
      </c>
      <c r="D523" s="827">
        <v>97</v>
      </c>
      <c r="E523" s="1156">
        <f t="shared" si="26"/>
        <v>-2295461.8220472066</v>
      </c>
      <c r="F523" s="2922"/>
    </row>
    <row r="524" spans="1:6" x14ac:dyDescent="0.25">
      <c r="A524" s="2781"/>
      <c r="B524" s="706">
        <v>2054</v>
      </c>
      <c r="C524" s="1182">
        <f t="shared" si="27"/>
        <v>-23664554.866466049</v>
      </c>
      <c r="D524" s="827">
        <v>97</v>
      </c>
      <c r="E524" s="1156">
        <f t="shared" si="26"/>
        <v>-2295461.8220472066</v>
      </c>
      <c r="F524" s="2922"/>
    </row>
    <row r="525" spans="1:6" x14ac:dyDescent="0.25">
      <c r="A525" s="2781"/>
      <c r="B525" s="706">
        <v>2055</v>
      </c>
      <c r="C525" s="1182">
        <f t="shared" si="27"/>
        <v>-23664554.866466049</v>
      </c>
      <c r="D525" s="827">
        <v>97</v>
      </c>
      <c r="E525" s="1156">
        <f t="shared" si="26"/>
        <v>-2295461.8220472066</v>
      </c>
      <c r="F525" s="2922"/>
    </row>
    <row r="526" spans="1:6" x14ac:dyDescent="0.25">
      <c r="A526" s="2781"/>
      <c r="B526" s="706">
        <v>2056</v>
      </c>
      <c r="C526" s="1182">
        <f t="shared" si="27"/>
        <v>-23664554.866466049</v>
      </c>
      <c r="D526" s="827">
        <v>97</v>
      </c>
      <c r="E526" s="1156">
        <f t="shared" si="26"/>
        <v>-2295461.8220472066</v>
      </c>
      <c r="F526" s="2922"/>
    </row>
    <row r="527" spans="1:6" x14ac:dyDescent="0.25">
      <c r="A527" s="2781"/>
      <c r="B527" s="706">
        <v>2057</v>
      </c>
      <c r="C527" s="1182">
        <f t="shared" si="27"/>
        <v>-23664554.866466049</v>
      </c>
      <c r="D527" s="827">
        <v>97</v>
      </c>
      <c r="E527" s="1156">
        <f t="shared" si="26"/>
        <v>-2295461.8220472066</v>
      </c>
      <c r="F527" s="2922"/>
    </row>
    <row r="528" spans="1:6" x14ac:dyDescent="0.25">
      <c r="A528" s="2781"/>
      <c r="B528" s="706">
        <v>2058</v>
      </c>
      <c r="C528" s="1182">
        <f t="shared" si="27"/>
        <v>-23664554.866466049</v>
      </c>
      <c r="D528" s="827">
        <v>97</v>
      </c>
      <c r="E528" s="1156">
        <f t="shared" si="26"/>
        <v>-2295461.8220472066</v>
      </c>
      <c r="F528" s="2922"/>
    </row>
    <row r="529" spans="1:6" x14ac:dyDescent="0.25">
      <c r="A529" s="2781"/>
      <c r="B529" s="706">
        <v>2059</v>
      </c>
      <c r="C529" s="1182">
        <f t="shared" si="27"/>
        <v>-23664554.866466049</v>
      </c>
      <c r="D529" s="827">
        <v>97</v>
      </c>
      <c r="E529" s="1156">
        <f t="shared" si="26"/>
        <v>-2295461.8220472066</v>
      </c>
      <c r="F529" s="2922"/>
    </row>
    <row r="530" spans="1:6" x14ac:dyDescent="0.25">
      <c r="A530" s="2781"/>
      <c r="B530" s="706">
        <v>2060</v>
      </c>
      <c r="C530" s="1182">
        <f t="shared" si="27"/>
        <v>-23664554.866466049</v>
      </c>
      <c r="D530" s="827">
        <v>97</v>
      </c>
      <c r="E530" s="1156">
        <f t="shared" si="26"/>
        <v>-2295461.8220472066</v>
      </c>
      <c r="F530" s="2922"/>
    </row>
    <row r="531" spans="1:6" x14ac:dyDescent="0.25">
      <c r="A531" s="2781"/>
      <c r="B531" s="706">
        <v>2061</v>
      </c>
      <c r="C531" s="1182">
        <f t="shared" si="27"/>
        <v>-23664554.866466049</v>
      </c>
      <c r="D531" s="827">
        <v>97</v>
      </c>
      <c r="E531" s="1156">
        <f t="shared" si="26"/>
        <v>-2295461.8220472066</v>
      </c>
      <c r="F531" s="2922"/>
    </row>
    <row r="532" spans="1:6" x14ac:dyDescent="0.25">
      <c r="A532" s="2781"/>
      <c r="B532" s="706">
        <v>2062</v>
      </c>
      <c r="C532" s="1182">
        <f t="shared" si="27"/>
        <v>-23664554.866466049</v>
      </c>
      <c r="D532" s="827">
        <v>97</v>
      </c>
      <c r="E532" s="1156">
        <f t="shared" si="26"/>
        <v>-2295461.8220472066</v>
      </c>
      <c r="F532" s="2922"/>
    </row>
    <row r="533" spans="1:6" x14ac:dyDescent="0.25">
      <c r="A533" s="2781"/>
      <c r="B533" s="706">
        <v>2063</v>
      </c>
      <c r="C533" s="1182">
        <f t="shared" si="27"/>
        <v>-23664554.866466049</v>
      </c>
      <c r="D533" s="827">
        <v>97</v>
      </c>
      <c r="E533" s="1156">
        <f t="shared" si="26"/>
        <v>-2295461.8220472066</v>
      </c>
      <c r="F533" s="2922"/>
    </row>
    <row r="534" spans="1:6" x14ac:dyDescent="0.25">
      <c r="A534" s="2781"/>
      <c r="B534" s="706">
        <v>2064</v>
      </c>
      <c r="C534" s="1182">
        <f t="shared" si="27"/>
        <v>-23664554.866466049</v>
      </c>
      <c r="D534" s="827">
        <v>97</v>
      </c>
      <c r="E534" s="1156">
        <f t="shared" si="26"/>
        <v>-2295461.8220472066</v>
      </c>
      <c r="F534" s="2922"/>
    </row>
    <row r="535" spans="1:6" x14ac:dyDescent="0.25">
      <c r="A535" s="2781"/>
      <c r="B535" s="706">
        <v>2065</v>
      </c>
      <c r="C535" s="1182">
        <f t="shared" si="27"/>
        <v>-23664554.866466049</v>
      </c>
      <c r="D535" s="827">
        <v>97</v>
      </c>
      <c r="E535" s="1156">
        <f t="shared" si="26"/>
        <v>-2295461.8220472066</v>
      </c>
      <c r="F535" s="2922"/>
    </row>
    <row r="536" spans="1:6" x14ac:dyDescent="0.25">
      <c r="A536" s="2781"/>
      <c r="B536" s="706">
        <v>2066</v>
      </c>
      <c r="C536" s="1182">
        <f t="shared" si="27"/>
        <v>-23664554.866466049</v>
      </c>
      <c r="D536" s="827">
        <v>97</v>
      </c>
      <c r="E536" s="1156">
        <f t="shared" si="26"/>
        <v>-2295461.8220472066</v>
      </c>
      <c r="F536" s="2922"/>
    </row>
    <row r="537" spans="1:6" x14ac:dyDescent="0.25">
      <c r="A537" s="2781"/>
      <c r="B537" s="706">
        <v>2067</v>
      </c>
      <c r="C537" s="1182">
        <f t="shared" si="27"/>
        <v>-23664554.866466049</v>
      </c>
      <c r="D537" s="827">
        <v>97</v>
      </c>
      <c r="E537" s="1156">
        <f t="shared" si="26"/>
        <v>-2295461.8220472066</v>
      </c>
      <c r="F537" s="2922"/>
    </row>
    <row r="538" spans="1:6" x14ac:dyDescent="0.25">
      <c r="A538" s="2781"/>
      <c r="B538" s="706">
        <v>2068</v>
      </c>
      <c r="C538" s="1182">
        <f t="shared" si="27"/>
        <v>-23664554.866466049</v>
      </c>
      <c r="D538" s="827">
        <v>97</v>
      </c>
      <c r="E538" s="1156">
        <f t="shared" si="26"/>
        <v>-2295461.8220472066</v>
      </c>
      <c r="F538" s="2922"/>
    </row>
    <row r="539" spans="1:6" ht="15.75" thickBot="1" x14ac:dyDescent="0.3">
      <c r="A539" s="2680"/>
      <c r="B539" s="55">
        <v>2069</v>
      </c>
      <c r="C539" s="1160">
        <f t="shared" si="27"/>
        <v>-23664554.866466049</v>
      </c>
      <c r="D539" s="1062">
        <v>97</v>
      </c>
      <c r="E539" s="1160">
        <f t="shared" si="26"/>
        <v>-2295461.8220472066</v>
      </c>
      <c r="F539" s="2923"/>
    </row>
    <row r="540" spans="1:6" x14ac:dyDescent="0.25">
      <c r="A540" s="2780" t="s">
        <v>1831</v>
      </c>
      <c r="B540" s="888">
        <v>2019</v>
      </c>
      <c r="C540" s="1202">
        <f t="shared" ref="C540:C571" si="28">$R$22</f>
        <v>19562859.422742181</v>
      </c>
      <c r="D540" s="1056">
        <v>62</v>
      </c>
      <c r="E540" s="1153">
        <f>(C540/1000)*D540</f>
        <v>1212897.2842100153</v>
      </c>
      <c r="F540" s="2921">
        <f>SUM(E540:E590)*1.2682</f>
        <v>109038272.51605564</v>
      </c>
    </row>
    <row r="541" spans="1:6" x14ac:dyDescent="0.25">
      <c r="A541" s="2781"/>
      <c r="B541" s="706">
        <v>2020</v>
      </c>
      <c r="C541" s="1182">
        <f t="shared" si="28"/>
        <v>19562859.422742181</v>
      </c>
      <c r="D541" s="827">
        <v>64</v>
      </c>
      <c r="E541" s="1156">
        <f t="shared" ref="E541:E590" si="29">(C541/1000)*D541</f>
        <v>1252023.0030554996</v>
      </c>
      <c r="F541" s="2922"/>
    </row>
    <row r="542" spans="1:6" x14ac:dyDescent="0.25">
      <c r="A542" s="2781"/>
      <c r="B542" s="706">
        <v>2021</v>
      </c>
      <c r="C542" s="1182">
        <f t="shared" si="28"/>
        <v>19562859.422742181</v>
      </c>
      <c r="D542" s="827">
        <v>65</v>
      </c>
      <c r="E542" s="1156">
        <f t="shared" si="29"/>
        <v>1271585.8624782418</v>
      </c>
      <c r="F542" s="2922"/>
    </row>
    <row r="543" spans="1:6" x14ac:dyDescent="0.25">
      <c r="A543" s="2781"/>
      <c r="B543" s="706">
        <v>2022</v>
      </c>
      <c r="C543" s="1182">
        <f t="shared" si="28"/>
        <v>19562859.422742181</v>
      </c>
      <c r="D543" s="827">
        <v>66</v>
      </c>
      <c r="E543" s="1156">
        <f t="shared" si="29"/>
        <v>1291148.7219009839</v>
      </c>
      <c r="F543" s="2922"/>
    </row>
    <row r="544" spans="1:6" x14ac:dyDescent="0.25">
      <c r="A544" s="2781"/>
      <c r="B544" s="706">
        <v>2023</v>
      </c>
      <c r="C544" s="1182">
        <f t="shared" si="28"/>
        <v>19562859.422742181</v>
      </c>
      <c r="D544" s="827">
        <v>67</v>
      </c>
      <c r="E544" s="1156">
        <f t="shared" si="29"/>
        <v>1310711.5813237261</v>
      </c>
      <c r="F544" s="2922"/>
    </row>
    <row r="545" spans="1:6" x14ac:dyDescent="0.25">
      <c r="A545" s="2781"/>
      <c r="B545" s="706">
        <v>2024</v>
      </c>
      <c r="C545" s="1182">
        <f t="shared" si="28"/>
        <v>19562859.422742181</v>
      </c>
      <c r="D545" s="827">
        <v>68</v>
      </c>
      <c r="E545" s="1156">
        <f t="shared" si="29"/>
        <v>1330274.4407464683</v>
      </c>
      <c r="F545" s="2922"/>
    </row>
    <row r="546" spans="1:6" x14ac:dyDescent="0.25">
      <c r="A546" s="2781"/>
      <c r="B546" s="706">
        <v>2025</v>
      </c>
      <c r="C546" s="1182">
        <f t="shared" si="28"/>
        <v>19562859.422742181</v>
      </c>
      <c r="D546" s="827">
        <v>69</v>
      </c>
      <c r="E546" s="1156">
        <f t="shared" si="29"/>
        <v>1349837.3001692106</v>
      </c>
      <c r="F546" s="2922"/>
    </row>
    <row r="547" spans="1:6" x14ac:dyDescent="0.25">
      <c r="A547" s="2781"/>
      <c r="B547" s="706">
        <v>2026</v>
      </c>
      <c r="C547" s="1182">
        <f t="shared" si="28"/>
        <v>19562859.422742181</v>
      </c>
      <c r="D547" s="827">
        <v>70</v>
      </c>
      <c r="E547" s="1156">
        <f t="shared" si="29"/>
        <v>1369400.1595919528</v>
      </c>
      <c r="F547" s="2922"/>
    </row>
    <row r="548" spans="1:6" x14ac:dyDescent="0.25">
      <c r="A548" s="2781"/>
      <c r="B548" s="706">
        <v>2027</v>
      </c>
      <c r="C548" s="1182">
        <f t="shared" si="28"/>
        <v>19562859.422742181</v>
      </c>
      <c r="D548" s="827">
        <v>71</v>
      </c>
      <c r="E548" s="1156">
        <f t="shared" si="29"/>
        <v>1388963.019014695</v>
      </c>
      <c r="F548" s="2922"/>
    </row>
    <row r="549" spans="1:6" x14ac:dyDescent="0.25">
      <c r="A549" s="2781"/>
      <c r="B549" s="706">
        <v>2028</v>
      </c>
      <c r="C549" s="1182">
        <f t="shared" si="28"/>
        <v>19562859.422742181</v>
      </c>
      <c r="D549" s="827">
        <v>72</v>
      </c>
      <c r="E549" s="1156">
        <f t="shared" si="29"/>
        <v>1408525.8784374371</v>
      </c>
      <c r="F549" s="2922"/>
    </row>
    <row r="550" spans="1:6" x14ac:dyDescent="0.25">
      <c r="A550" s="2781"/>
      <c r="B550" s="706">
        <v>2029</v>
      </c>
      <c r="C550" s="1182">
        <f t="shared" si="28"/>
        <v>19562859.422742181</v>
      </c>
      <c r="D550" s="827">
        <v>73</v>
      </c>
      <c r="E550" s="1156">
        <f t="shared" si="29"/>
        <v>1428088.7378601793</v>
      </c>
      <c r="F550" s="2922"/>
    </row>
    <row r="551" spans="1:6" x14ac:dyDescent="0.25">
      <c r="A551" s="2781"/>
      <c r="B551" s="706">
        <v>2030</v>
      </c>
      <c r="C551" s="1182">
        <f t="shared" si="28"/>
        <v>19562859.422742181</v>
      </c>
      <c r="D551" s="827">
        <v>75</v>
      </c>
      <c r="E551" s="1156">
        <f t="shared" si="29"/>
        <v>1467214.4567056636</v>
      </c>
      <c r="F551" s="2922"/>
    </row>
    <row r="552" spans="1:6" x14ac:dyDescent="0.25">
      <c r="A552" s="2781"/>
      <c r="B552" s="706">
        <v>2031</v>
      </c>
      <c r="C552" s="1182">
        <f t="shared" si="28"/>
        <v>19562859.422742181</v>
      </c>
      <c r="D552" s="827">
        <v>76</v>
      </c>
      <c r="E552" s="1156">
        <f t="shared" si="29"/>
        <v>1486777.3161284057</v>
      </c>
      <c r="F552" s="2922"/>
    </row>
    <row r="553" spans="1:6" x14ac:dyDescent="0.25">
      <c r="A553" s="2781"/>
      <c r="B553" s="706">
        <v>2032</v>
      </c>
      <c r="C553" s="1182">
        <f t="shared" si="28"/>
        <v>19562859.422742181</v>
      </c>
      <c r="D553" s="827">
        <v>77</v>
      </c>
      <c r="E553" s="1156">
        <f t="shared" si="29"/>
        <v>1506340.1755511479</v>
      </c>
      <c r="F553" s="2922"/>
    </row>
    <row r="554" spans="1:6" x14ac:dyDescent="0.25">
      <c r="A554" s="2781"/>
      <c r="B554" s="706">
        <v>2033</v>
      </c>
      <c r="C554" s="1182">
        <f t="shared" si="28"/>
        <v>19562859.422742181</v>
      </c>
      <c r="D554" s="827">
        <v>78</v>
      </c>
      <c r="E554" s="1156">
        <f t="shared" si="29"/>
        <v>1525903.0349738903</v>
      </c>
      <c r="F554" s="2922"/>
    </row>
    <row r="555" spans="1:6" x14ac:dyDescent="0.25">
      <c r="A555" s="2781"/>
      <c r="B555" s="706">
        <v>2034</v>
      </c>
      <c r="C555" s="1182">
        <f t="shared" si="28"/>
        <v>19562859.422742181</v>
      </c>
      <c r="D555" s="827">
        <v>79</v>
      </c>
      <c r="E555" s="1156">
        <f t="shared" si="29"/>
        <v>1545465.8943966324</v>
      </c>
      <c r="F555" s="2922"/>
    </row>
    <row r="556" spans="1:6" x14ac:dyDescent="0.25">
      <c r="A556" s="2781"/>
      <c r="B556" s="706">
        <v>2035</v>
      </c>
      <c r="C556" s="1182">
        <f t="shared" si="28"/>
        <v>19562859.422742181</v>
      </c>
      <c r="D556" s="827">
        <v>80</v>
      </c>
      <c r="E556" s="1156">
        <f t="shared" si="29"/>
        <v>1565028.7538193746</v>
      </c>
      <c r="F556" s="2922"/>
    </row>
    <row r="557" spans="1:6" x14ac:dyDescent="0.25">
      <c r="A557" s="2781"/>
      <c r="B557" s="706">
        <v>2036</v>
      </c>
      <c r="C557" s="1182">
        <f t="shared" si="28"/>
        <v>19562859.422742181</v>
      </c>
      <c r="D557" s="827">
        <v>81</v>
      </c>
      <c r="E557" s="1156">
        <f t="shared" si="29"/>
        <v>1584591.6132421168</v>
      </c>
      <c r="F557" s="2922"/>
    </row>
    <row r="558" spans="1:6" x14ac:dyDescent="0.25">
      <c r="A558" s="2781"/>
      <c r="B558" s="706">
        <v>2037</v>
      </c>
      <c r="C558" s="1182">
        <f t="shared" si="28"/>
        <v>19562859.422742181</v>
      </c>
      <c r="D558" s="827">
        <v>83</v>
      </c>
      <c r="E558" s="1156">
        <f t="shared" si="29"/>
        <v>1623717.3320876011</v>
      </c>
      <c r="F558" s="2922"/>
    </row>
    <row r="559" spans="1:6" x14ac:dyDescent="0.25">
      <c r="A559" s="2781"/>
      <c r="B559" s="706">
        <v>2038</v>
      </c>
      <c r="C559" s="1182">
        <f t="shared" si="28"/>
        <v>19562859.422742181</v>
      </c>
      <c r="D559" s="827">
        <v>84</v>
      </c>
      <c r="E559" s="1156">
        <f t="shared" si="29"/>
        <v>1643280.1915103432</v>
      </c>
      <c r="F559" s="2922"/>
    </row>
    <row r="560" spans="1:6" x14ac:dyDescent="0.25">
      <c r="A560" s="2781"/>
      <c r="B560" s="706">
        <v>2039</v>
      </c>
      <c r="C560" s="1182">
        <f t="shared" si="28"/>
        <v>19562859.422742181</v>
      </c>
      <c r="D560" s="827">
        <v>85</v>
      </c>
      <c r="E560" s="1156">
        <f t="shared" si="29"/>
        <v>1662843.0509330854</v>
      </c>
      <c r="F560" s="2922"/>
    </row>
    <row r="561" spans="1:6" x14ac:dyDescent="0.25">
      <c r="A561" s="2781"/>
      <c r="B561" s="706">
        <v>2040</v>
      </c>
      <c r="C561" s="1182">
        <f t="shared" si="28"/>
        <v>19562859.422742181</v>
      </c>
      <c r="D561" s="827">
        <v>86</v>
      </c>
      <c r="E561" s="1156">
        <f t="shared" si="29"/>
        <v>1682405.9103558275</v>
      </c>
      <c r="F561" s="2922"/>
    </row>
    <row r="562" spans="1:6" x14ac:dyDescent="0.25">
      <c r="A562" s="2781"/>
      <c r="B562" s="706">
        <v>2041</v>
      </c>
      <c r="C562" s="1182">
        <f t="shared" si="28"/>
        <v>19562859.422742181</v>
      </c>
      <c r="D562" s="827">
        <v>87</v>
      </c>
      <c r="E562" s="1156">
        <f t="shared" si="29"/>
        <v>1701968.7697785699</v>
      </c>
      <c r="F562" s="2922"/>
    </row>
    <row r="563" spans="1:6" x14ac:dyDescent="0.25">
      <c r="A563" s="2781"/>
      <c r="B563" s="706">
        <v>2042</v>
      </c>
      <c r="C563" s="1182">
        <f t="shared" si="28"/>
        <v>19562859.422742181</v>
      </c>
      <c r="D563" s="827">
        <v>88</v>
      </c>
      <c r="E563" s="1156">
        <f t="shared" si="29"/>
        <v>1721531.6292013121</v>
      </c>
      <c r="F563" s="2922"/>
    </row>
    <row r="564" spans="1:6" x14ac:dyDescent="0.25">
      <c r="A564" s="2781"/>
      <c r="B564" s="706">
        <v>2043</v>
      </c>
      <c r="C564" s="1182">
        <f t="shared" si="28"/>
        <v>19562859.422742181</v>
      </c>
      <c r="D564" s="827">
        <v>89</v>
      </c>
      <c r="E564" s="1156">
        <f t="shared" si="29"/>
        <v>1741094.4886240542</v>
      </c>
      <c r="F564" s="2922"/>
    </row>
    <row r="565" spans="1:6" x14ac:dyDescent="0.25">
      <c r="A565" s="2781"/>
      <c r="B565" s="706">
        <v>2044</v>
      </c>
      <c r="C565" s="1182">
        <f t="shared" si="28"/>
        <v>19562859.422742181</v>
      </c>
      <c r="D565" s="827">
        <v>90</v>
      </c>
      <c r="E565" s="1156">
        <f t="shared" si="29"/>
        <v>1760657.3480467964</v>
      </c>
      <c r="F565" s="2922"/>
    </row>
    <row r="566" spans="1:6" x14ac:dyDescent="0.25">
      <c r="A566" s="2781"/>
      <c r="B566" s="706">
        <v>2045</v>
      </c>
      <c r="C566" s="1182">
        <f t="shared" si="28"/>
        <v>19562859.422742181</v>
      </c>
      <c r="D566" s="827">
        <v>92</v>
      </c>
      <c r="E566" s="1156">
        <f t="shared" si="29"/>
        <v>1799783.0668922807</v>
      </c>
      <c r="F566" s="2922"/>
    </row>
    <row r="567" spans="1:6" x14ac:dyDescent="0.25">
      <c r="A567" s="2781"/>
      <c r="B567" s="706">
        <v>2046</v>
      </c>
      <c r="C567" s="1182">
        <f t="shared" si="28"/>
        <v>19562859.422742181</v>
      </c>
      <c r="D567" s="827">
        <v>93</v>
      </c>
      <c r="E567" s="1156">
        <f t="shared" si="29"/>
        <v>1819345.9263150229</v>
      </c>
      <c r="F567" s="2922"/>
    </row>
    <row r="568" spans="1:6" x14ac:dyDescent="0.25">
      <c r="A568" s="2781"/>
      <c r="B568" s="706">
        <v>2047</v>
      </c>
      <c r="C568" s="1182">
        <f t="shared" si="28"/>
        <v>19562859.422742181</v>
      </c>
      <c r="D568" s="827">
        <v>94</v>
      </c>
      <c r="E568" s="1156">
        <f t="shared" si="29"/>
        <v>1838908.785737765</v>
      </c>
      <c r="F568" s="2922"/>
    </row>
    <row r="569" spans="1:6" x14ac:dyDescent="0.25">
      <c r="A569" s="2781"/>
      <c r="B569" s="706">
        <v>2048</v>
      </c>
      <c r="C569" s="1182">
        <f t="shared" si="28"/>
        <v>19562859.422742181</v>
      </c>
      <c r="D569" s="827">
        <v>95</v>
      </c>
      <c r="E569" s="1156">
        <f t="shared" si="29"/>
        <v>1858471.6451605072</v>
      </c>
      <c r="F569" s="2922"/>
    </row>
    <row r="570" spans="1:6" x14ac:dyDescent="0.25">
      <c r="A570" s="2781"/>
      <c r="B570" s="706">
        <v>2049</v>
      </c>
      <c r="C570" s="1182">
        <f t="shared" si="28"/>
        <v>19562859.422742181</v>
      </c>
      <c r="D570" s="827">
        <v>96</v>
      </c>
      <c r="E570" s="1156">
        <f t="shared" si="29"/>
        <v>1878034.5045832493</v>
      </c>
      <c r="F570" s="2922"/>
    </row>
    <row r="571" spans="1:6" x14ac:dyDescent="0.25">
      <c r="A571" s="2781"/>
      <c r="B571" s="706">
        <v>2050</v>
      </c>
      <c r="C571" s="1182">
        <f t="shared" si="28"/>
        <v>19562859.422742181</v>
      </c>
      <c r="D571" s="827">
        <v>97</v>
      </c>
      <c r="E571" s="1156">
        <f t="shared" si="29"/>
        <v>1897597.3640059917</v>
      </c>
      <c r="F571" s="2922"/>
    </row>
    <row r="572" spans="1:6" x14ac:dyDescent="0.25">
      <c r="A572" s="2781"/>
      <c r="B572" s="706">
        <v>2051</v>
      </c>
      <c r="C572" s="1182">
        <f t="shared" ref="C572:C590" si="30">$R$22</f>
        <v>19562859.422742181</v>
      </c>
      <c r="D572" s="827">
        <v>97</v>
      </c>
      <c r="E572" s="1156">
        <f t="shared" si="29"/>
        <v>1897597.3640059917</v>
      </c>
      <c r="F572" s="2922"/>
    </row>
    <row r="573" spans="1:6" x14ac:dyDescent="0.25">
      <c r="A573" s="2781"/>
      <c r="B573" s="706">
        <v>2052</v>
      </c>
      <c r="C573" s="1182">
        <f t="shared" si="30"/>
        <v>19562859.422742181</v>
      </c>
      <c r="D573" s="827">
        <v>97</v>
      </c>
      <c r="E573" s="1156">
        <f t="shared" si="29"/>
        <v>1897597.3640059917</v>
      </c>
      <c r="F573" s="2922"/>
    </row>
    <row r="574" spans="1:6" x14ac:dyDescent="0.25">
      <c r="A574" s="2781"/>
      <c r="B574" s="706">
        <v>2053</v>
      </c>
      <c r="C574" s="1182">
        <f t="shared" si="30"/>
        <v>19562859.422742181</v>
      </c>
      <c r="D574" s="827">
        <v>97</v>
      </c>
      <c r="E574" s="1156">
        <f t="shared" si="29"/>
        <v>1897597.3640059917</v>
      </c>
      <c r="F574" s="2922"/>
    </row>
    <row r="575" spans="1:6" x14ac:dyDescent="0.25">
      <c r="A575" s="2781"/>
      <c r="B575" s="706">
        <v>2054</v>
      </c>
      <c r="C575" s="1182">
        <f t="shared" si="30"/>
        <v>19562859.422742181</v>
      </c>
      <c r="D575" s="827">
        <v>97</v>
      </c>
      <c r="E575" s="1156">
        <f t="shared" si="29"/>
        <v>1897597.3640059917</v>
      </c>
      <c r="F575" s="2922"/>
    </row>
    <row r="576" spans="1:6" x14ac:dyDescent="0.25">
      <c r="A576" s="2781"/>
      <c r="B576" s="706">
        <v>2055</v>
      </c>
      <c r="C576" s="1182">
        <f t="shared" si="30"/>
        <v>19562859.422742181</v>
      </c>
      <c r="D576" s="827">
        <v>97</v>
      </c>
      <c r="E576" s="1156">
        <f t="shared" si="29"/>
        <v>1897597.3640059917</v>
      </c>
      <c r="F576" s="2922"/>
    </row>
    <row r="577" spans="1:6" x14ac:dyDescent="0.25">
      <c r="A577" s="2781"/>
      <c r="B577" s="706">
        <v>2056</v>
      </c>
      <c r="C577" s="1182">
        <f t="shared" si="30"/>
        <v>19562859.422742181</v>
      </c>
      <c r="D577" s="827">
        <v>97</v>
      </c>
      <c r="E577" s="1156">
        <f t="shared" si="29"/>
        <v>1897597.3640059917</v>
      </c>
      <c r="F577" s="2922"/>
    </row>
    <row r="578" spans="1:6" x14ac:dyDescent="0.25">
      <c r="A578" s="2781"/>
      <c r="B578" s="706">
        <v>2057</v>
      </c>
      <c r="C578" s="1182">
        <f t="shared" si="30"/>
        <v>19562859.422742181</v>
      </c>
      <c r="D578" s="827">
        <v>97</v>
      </c>
      <c r="E578" s="1156">
        <f t="shared" si="29"/>
        <v>1897597.3640059917</v>
      </c>
      <c r="F578" s="2922"/>
    </row>
    <row r="579" spans="1:6" x14ac:dyDescent="0.25">
      <c r="A579" s="2781"/>
      <c r="B579" s="706">
        <v>2058</v>
      </c>
      <c r="C579" s="1182">
        <f t="shared" si="30"/>
        <v>19562859.422742181</v>
      </c>
      <c r="D579" s="827">
        <v>97</v>
      </c>
      <c r="E579" s="1156">
        <f t="shared" si="29"/>
        <v>1897597.3640059917</v>
      </c>
      <c r="F579" s="2922"/>
    </row>
    <row r="580" spans="1:6" x14ac:dyDescent="0.25">
      <c r="A580" s="2781"/>
      <c r="B580" s="706">
        <v>2059</v>
      </c>
      <c r="C580" s="1182">
        <f t="shared" si="30"/>
        <v>19562859.422742181</v>
      </c>
      <c r="D580" s="827">
        <v>97</v>
      </c>
      <c r="E580" s="1156">
        <f t="shared" si="29"/>
        <v>1897597.3640059917</v>
      </c>
      <c r="F580" s="2922"/>
    </row>
    <row r="581" spans="1:6" x14ac:dyDescent="0.25">
      <c r="A581" s="2781"/>
      <c r="B581" s="706">
        <v>2060</v>
      </c>
      <c r="C581" s="1182">
        <f t="shared" si="30"/>
        <v>19562859.422742181</v>
      </c>
      <c r="D581" s="827">
        <v>97</v>
      </c>
      <c r="E581" s="1156">
        <f t="shared" si="29"/>
        <v>1897597.3640059917</v>
      </c>
      <c r="F581" s="2922"/>
    </row>
    <row r="582" spans="1:6" x14ac:dyDescent="0.25">
      <c r="A582" s="2781"/>
      <c r="B582" s="706">
        <v>2061</v>
      </c>
      <c r="C582" s="1182">
        <f t="shared" si="30"/>
        <v>19562859.422742181</v>
      </c>
      <c r="D582" s="827">
        <v>97</v>
      </c>
      <c r="E582" s="1156">
        <f t="shared" si="29"/>
        <v>1897597.3640059917</v>
      </c>
      <c r="F582" s="2922"/>
    </row>
    <row r="583" spans="1:6" x14ac:dyDescent="0.25">
      <c r="A583" s="2781"/>
      <c r="B583" s="706">
        <v>2062</v>
      </c>
      <c r="C583" s="1182">
        <f t="shared" si="30"/>
        <v>19562859.422742181</v>
      </c>
      <c r="D583" s="827">
        <v>97</v>
      </c>
      <c r="E583" s="1156">
        <f t="shared" si="29"/>
        <v>1897597.3640059917</v>
      </c>
      <c r="F583" s="2922"/>
    </row>
    <row r="584" spans="1:6" x14ac:dyDescent="0.25">
      <c r="A584" s="2781"/>
      <c r="B584" s="706">
        <v>2063</v>
      </c>
      <c r="C584" s="1182">
        <f t="shared" si="30"/>
        <v>19562859.422742181</v>
      </c>
      <c r="D584" s="827">
        <v>97</v>
      </c>
      <c r="E584" s="1156">
        <f t="shared" si="29"/>
        <v>1897597.3640059917</v>
      </c>
      <c r="F584" s="2922"/>
    </row>
    <row r="585" spans="1:6" x14ac:dyDescent="0.25">
      <c r="A585" s="2781"/>
      <c r="B585" s="706">
        <v>2064</v>
      </c>
      <c r="C585" s="1182">
        <f t="shared" si="30"/>
        <v>19562859.422742181</v>
      </c>
      <c r="D585" s="827">
        <v>97</v>
      </c>
      <c r="E585" s="1156">
        <f t="shared" si="29"/>
        <v>1897597.3640059917</v>
      </c>
      <c r="F585" s="2922"/>
    </row>
    <row r="586" spans="1:6" x14ac:dyDescent="0.25">
      <c r="A586" s="2781"/>
      <c r="B586" s="706">
        <v>2065</v>
      </c>
      <c r="C586" s="1182">
        <f t="shared" si="30"/>
        <v>19562859.422742181</v>
      </c>
      <c r="D586" s="827">
        <v>97</v>
      </c>
      <c r="E586" s="1156">
        <f t="shared" si="29"/>
        <v>1897597.3640059917</v>
      </c>
      <c r="F586" s="2922"/>
    </row>
    <row r="587" spans="1:6" x14ac:dyDescent="0.25">
      <c r="A587" s="2781"/>
      <c r="B587" s="706">
        <v>2066</v>
      </c>
      <c r="C587" s="1182">
        <f t="shared" si="30"/>
        <v>19562859.422742181</v>
      </c>
      <c r="D587" s="827">
        <v>97</v>
      </c>
      <c r="E587" s="1156">
        <f t="shared" si="29"/>
        <v>1897597.3640059917</v>
      </c>
      <c r="F587" s="2922"/>
    </row>
    <row r="588" spans="1:6" x14ac:dyDescent="0.25">
      <c r="A588" s="2781"/>
      <c r="B588" s="706">
        <v>2067</v>
      </c>
      <c r="C588" s="1182">
        <f t="shared" si="30"/>
        <v>19562859.422742181</v>
      </c>
      <c r="D588" s="827">
        <v>97</v>
      </c>
      <c r="E588" s="1156">
        <f t="shared" si="29"/>
        <v>1897597.3640059917</v>
      </c>
      <c r="F588" s="2922"/>
    </row>
    <row r="589" spans="1:6" x14ac:dyDescent="0.25">
      <c r="A589" s="2781"/>
      <c r="B589" s="706">
        <v>2068</v>
      </c>
      <c r="C589" s="1182">
        <f t="shared" si="30"/>
        <v>19562859.422742181</v>
      </c>
      <c r="D589" s="827">
        <v>97</v>
      </c>
      <c r="E589" s="1156">
        <f t="shared" si="29"/>
        <v>1897597.3640059917</v>
      </c>
      <c r="F589" s="2922"/>
    </row>
    <row r="590" spans="1:6" ht="15.75" thickBot="1" x14ac:dyDescent="0.3">
      <c r="A590" s="2680"/>
      <c r="B590" s="55">
        <v>2069</v>
      </c>
      <c r="C590" s="1160">
        <f t="shared" si="30"/>
        <v>19562859.422742181</v>
      </c>
      <c r="D590" s="1062">
        <v>97</v>
      </c>
      <c r="E590" s="1160">
        <f t="shared" si="29"/>
        <v>1897597.3640059917</v>
      </c>
      <c r="F590" s="2923"/>
    </row>
    <row r="591" spans="1:6" x14ac:dyDescent="0.25">
      <c r="A591" s="2780" t="s">
        <v>1832</v>
      </c>
      <c r="B591" s="888">
        <v>2019</v>
      </c>
      <c r="C591" s="1153">
        <f t="shared" ref="C591:C622" si="31">$R$23</f>
        <v>22772516.424012434</v>
      </c>
      <c r="D591" s="1056">
        <v>62</v>
      </c>
      <c r="E591" s="1153">
        <f>(C591/1000)*D591</f>
        <v>1411896.0182887707</v>
      </c>
      <c r="F591" s="2921">
        <f>SUM(E591:E641)*1.2682</f>
        <v>126928062.92065853</v>
      </c>
    </row>
    <row r="592" spans="1:6" x14ac:dyDescent="0.25">
      <c r="A592" s="2781"/>
      <c r="B592" s="706">
        <v>2020</v>
      </c>
      <c r="C592" s="1156">
        <f t="shared" si="31"/>
        <v>22772516.424012434</v>
      </c>
      <c r="D592" s="827">
        <v>64</v>
      </c>
      <c r="E592" s="1156">
        <f t="shared" ref="E592:E641" si="32">(C592/1000)*D592</f>
        <v>1457441.0511367957</v>
      </c>
      <c r="F592" s="2922"/>
    </row>
    <row r="593" spans="1:6" x14ac:dyDescent="0.25">
      <c r="A593" s="2781"/>
      <c r="B593" s="706">
        <v>2021</v>
      </c>
      <c r="C593" s="1156">
        <f t="shared" si="31"/>
        <v>22772516.424012434</v>
      </c>
      <c r="D593" s="827">
        <v>65</v>
      </c>
      <c r="E593" s="1156">
        <f t="shared" si="32"/>
        <v>1480213.567560808</v>
      </c>
      <c r="F593" s="2922"/>
    </row>
    <row r="594" spans="1:6" x14ac:dyDescent="0.25">
      <c r="A594" s="2781"/>
      <c r="B594" s="706">
        <v>2022</v>
      </c>
      <c r="C594" s="1156">
        <f t="shared" si="31"/>
        <v>22772516.424012434</v>
      </c>
      <c r="D594" s="827">
        <v>66</v>
      </c>
      <c r="E594" s="1156">
        <f t="shared" si="32"/>
        <v>1502986.0839848206</v>
      </c>
      <c r="F594" s="2922"/>
    </row>
    <row r="595" spans="1:6" x14ac:dyDescent="0.25">
      <c r="A595" s="2781"/>
      <c r="B595" s="706">
        <v>2023</v>
      </c>
      <c r="C595" s="1156">
        <f t="shared" si="31"/>
        <v>22772516.424012434</v>
      </c>
      <c r="D595" s="827">
        <v>67</v>
      </c>
      <c r="E595" s="1156">
        <f t="shared" si="32"/>
        <v>1525758.600408833</v>
      </c>
      <c r="F595" s="2922"/>
    </row>
    <row r="596" spans="1:6" x14ac:dyDescent="0.25">
      <c r="A596" s="2781"/>
      <c r="B596" s="706">
        <v>2024</v>
      </c>
      <c r="C596" s="1156">
        <f t="shared" si="31"/>
        <v>22772516.424012434</v>
      </c>
      <c r="D596" s="827">
        <v>68</v>
      </c>
      <c r="E596" s="1156">
        <f t="shared" si="32"/>
        <v>1548531.1168328454</v>
      </c>
      <c r="F596" s="2922"/>
    </row>
    <row r="597" spans="1:6" x14ac:dyDescent="0.25">
      <c r="A597" s="2781"/>
      <c r="B597" s="706">
        <v>2025</v>
      </c>
      <c r="C597" s="1156">
        <f t="shared" si="31"/>
        <v>22772516.424012434</v>
      </c>
      <c r="D597" s="827">
        <v>69</v>
      </c>
      <c r="E597" s="1156">
        <f t="shared" si="32"/>
        <v>1571303.6332568577</v>
      </c>
      <c r="F597" s="2922"/>
    </row>
    <row r="598" spans="1:6" x14ac:dyDescent="0.25">
      <c r="A598" s="2781"/>
      <c r="B598" s="706">
        <v>2026</v>
      </c>
      <c r="C598" s="1156">
        <f t="shared" si="31"/>
        <v>22772516.424012434</v>
      </c>
      <c r="D598" s="827">
        <v>70</v>
      </c>
      <c r="E598" s="1156">
        <f t="shared" si="32"/>
        <v>1594076.1496808704</v>
      </c>
      <c r="F598" s="2922"/>
    </row>
    <row r="599" spans="1:6" x14ac:dyDescent="0.25">
      <c r="A599" s="2781"/>
      <c r="B599" s="706">
        <v>2027</v>
      </c>
      <c r="C599" s="1156">
        <f t="shared" si="31"/>
        <v>22772516.424012434</v>
      </c>
      <c r="D599" s="827">
        <v>71</v>
      </c>
      <c r="E599" s="1156">
        <f t="shared" si="32"/>
        <v>1616848.6661048827</v>
      </c>
      <c r="F599" s="2922"/>
    </row>
    <row r="600" spans="1:6" x14ac:dyDescent="0.25">
      <c r="A600" s="2781"/>
      <c r="B600" s="706">
        <v>2028</v>
      </c>
      <c r="C600" s="1156">
        <f t="shared" si="31"/>
        <v>22772516.424012434</v>
      </c>
      <c r="D600" s="827">
        <v>72</v>
      </c>
      <c r="E600" s="1156">
        <f t="shared" si="32"/>
        <v>1639621.1825288951</v>
      </c>
      <c r="F600" s="2922"/>
    </row>
    <row r="601" spans="1:6" x14ac:dyDescent="0.25">
      <c r="A601" s="2781"/>
      <c r="B601" s="706">
        <v>2029</v>
      </c>
      <c r="C601" s="1156">
        <f t="shared" si="31"/>
        <v>22772516.424012434</v>
      </c>
      <c r="D601" s="827">
        <v>73</v>
      </c>
      <c r="E601" s="1156">
        <f t="shared" si="32"/>
        <v>1662393.6989529075</v>
      </c>
      <c r="F601" s="2922"/>
    </row>
    <row r="602" spans="1:6" x14ac:dyDescent="0.25">
      <c r="A602" s="2781"/>
      <c r="B602" s="706">
        <v>2030</v>
      </c>
      <c r="C602" s="1156">
        <f t="shared" si="31"/>
        <v>22772516.424012434</v>
      </c>
      <c r="D602" s="827">
        <v>75</v>
      </c>
      <c r="E602" s="1156">
        <f t="shared" si="32"/>
        <v>1707938.7318009324</v>
      </c>
      <c r="F602" s="2922"/>
    </row>
    <row r="603" spans="1:6" x14ac:dyDescent="0.25">
      <c r="A603" s="2781"/>
      <c r="B603" s="706">
        <v>2031</v>
      </c>
      <c r="C603" s="1156">
        <f t="shared" si="31"/>
        <v>22772516.424012434</v>
      </c>
      <c r="D603" s="827">
        <v>76</v>
      </c>
      <c r="E603" s="1156">
        <f t="shared" si="32"/>
        <v>1730711.2482249448</v>
      </c>
      <c r="F603" s="2922"/>
    </row>
    <row r="604" spans="1:6" x14ac:dyDescent="0.25">
      <c r="A604" s="2781"/>
      <c r="B604" s="706">
        <v>2032</v>
      </c>
      <c r="C604" s="1156">
        <f t="shared" si="31"/>
        <v>22772516.424012434</v>
      </c>
      <c r="D604" s="827">
        <v>77</v>
      </c>
      <c r="E604" s="1156">
        <f t="shared" si="32"/>
        <v>1753483.7646489572</v>
      </c>
      <c r="F604" s="2922"/>
    </row>
    <row r="605" spans="1:6" x14ac:dyDescent="0.25">
      <c r="A605" s="2781"/>
      <c r="B605" s="706">
        <v>2033</v>
      </c>
      <c r="C605" s="1156">
        <f t="shared" si="31"/>
        <v>22772516.424012434</v>
      </c>
      <c r="D605" s="827">
        <v>78</v>
      </c>
      <c r="E605" s="1156">
        <f t="shared" si="32"/>
        <v>1776256.2810729698</v>
      </c>
      <c r="F605" s="2922"/>
    </row>
    <row r="606" spans="1:6" x14ac:dyDescent="0.25">
      <c r="A606" s="2781"/>
      <c r="B606" s="706">
        <v>2034</v>
      </c>
      <c r="C606" s="1156">
        <f t="shared" si="31"/>
        <v>22772516.424012434</v>
      </c>
      <c r="D606" s="827">
        <v>79</v>
      </c>
      <c r="E606" s="1156">
        <f t="shared" si="32"/>
        <v>1799028.7974969822</v>
      </c>
      <c r="F606" s="2922"/>
    </row>
    <row r="607" spans="1:6" x14ac:dyDescent="0.25">
      <c r="A607" s="2781"/>
      <c r="B607" s="706">
        <v>2035</v>
      </c>
      <c r="C607" s="1156">
        <f t="shared" si="31"/>
        <v>22772516.424012434</v>
      </c>
      <c r="D607" s="827">
        <v>80</v>
      </c>
      <c r="E607" s="1156">
        <f t="shared" si="32"/>
        <v>1821801.3139209945</v>
      </c>
      <c r="F607" s="2922"/>
    </row>
    <row r="608" spans="1:6" x14ac:dyDescent="0.25">
      <c r="A608" s="2781"/>
      <c r="B608" s="706">
        <v>2036</v>
      </c>
      <c r="C608" s="1156">
        <f t="shared" si="31"/>
        <v>22772516.424012434</v>
      </c>
      <c r="D608" s="827">
        <v>81</v>
      </c>
      <c r="E608" s="1156">
        <f t="shared" si="32"/>
        <v>1844573.8303450071</v>
      </c>
      <c r="F608" s="2922"/>
    </row>
    <row r="609" spans="1:6" x14ac:dyDescent="0.25">
      <c r="A609" s="2781"/>
      <c r="B609" s="706">
        <v>2037</v>
      </c>
      <c r="C609" s="1156">
        <f t="shared" si="31"/>
        <v>22772516.424012434</v>
      </c>
      <c r="D609" s="827">
        <v>83</v>
      </c>
      <c r="E609" s="1156">
        <f t="shared" si="32"/>
        <v>1890118.8631930319</v>
      </c>
      <c r="F609" s="2922"/>
    </row>
    <row r="610" spans="1:6" x14ac:dyDescent="0.25">
      <c r="A610" s="2781"/>
      <c r="B610" s="706">
        <v>2038</v>
      </c>
      <c r="C610" s="1156">
        <f t="shared" si="31"/>
        <v>22772516.424012434</v>
      </c>
      <c r="D610" s="827">
        <v>84</v>
      </c>
      <c r="E610" s="1156">
        <f t="shared" si="32"/>
        <v>1912891.3796170442</v>
      </c>
      <c r="F610" s="2922"/>
    </row>
    <row r="611" spans="1:6" x14ac:dyDescent="0.25">
      <c r="A611" s="2781"/>
      <c r="B611" s="706">
        <v>2039</v>
      </c>
      <c r="C611" s="1156">
        <f t="shared" si="31"/>
        <v>22772516.424012434</v>
      </c>
      <c r="D611" s="827">
        <v>85</v>
      </c>
      <c r="E611" s="1156">
        <f t="shared" si="32"/>
        <v>1935663.8960410568</v>
      </c>
      <c r="F611" s="2922"/>
    </row>
    <row r="612" spans="1:6" x14ac:dyDescent="0.25">
      <c r="A612" s="2781"/>
      <c r="B612" s="706">
        <v>2040</v>
      </c>
      <c r="C612" s="1156">
        <f t="shared" si="31"/>
        <v>22772516.424012434</v>
      </c>
      <c r="D612" s="827">
        <v>86</v>
      </c>
      <c r="E612" s="1156">
        <f t="shared" si="32"/>
        <v>1958436.4124650692</v>
      </c>
      <c r="F612" s="2922"/>
    </row>
    <row r="613" spans="1:6" x14ac:dyDescent="0.25">
      <c r="A613" s="2781"/>
      <c r="B613" s="706">
        <v>2041</v>
      </c>
      <c r="C613" s="1156">
        <f t="shared" si="31"/>
        <v>22772516.424012434</v>
      </c>
      <c r="D613" s="827">
        <v>87</v>
      </c>
      <c r="E613" s="1156">
        <f t="shared" si="32"/>
        <v>1981208.9288890816</v>
      </c>
      <c r="F613" s="2922"/>
    </row>
    <row r="614" spans="1:6" x14ac:dyDescent="0.25">
      <c r="A614" s="2781"/>
      <c r="B614" s="706">
        <v>2042</v>
      </c>
      <c r="C614" s="1156">
        <f t="shared" si="31"/>
        <v>22772516.424012434</v>
      </c>
      <c r="D614" s="827">
        <v>88</v>
      </c>
      <c r="E614" s="1156">
        <f t="shared" si="32"/>
        <v>2003981.445313094</v>
      </c>
      <c r="F614" s="2922"/>
    </row>
    <row r="615" spans="1:6" x14ac:dyDescent="0.25">
      <c r="A615" s="2781"/>
      <c r="B615" s="706">
        <v>2043</v>
      </c>
      <c r="C615" s="1156">
        <f t="shared" si="31"/>
        <v>22772516.424012434</v>
      </c>
      <c r="D615" s="827">
        <v>89</v>
      </c>
      <c r="E615" s="1156">
        <f t="shared" si="32"/>
        <v>2026753.9617371066</v>
      </c>
      <c r="F615" s="2922"/>
    </row>
    <row r="616" spans="1:6" x14ac:dyDescent="0.25">
      <c r="A616" s="2781"/>
      <c r="B616" s="706">
        <v>2044</v>
      </c>
      <c r="C616" s="1156">
        <f t="shared" si="31"/>
        <v>22772516.424012434</v>
      </c>
      <c r="D616" s="827">
        <v>90</v>
      </c>
      <c r="E616" s="1156">
        <f t="shared" si="32"/>
        <v>2049526.4781611189</v>
      </c>
      <c r="F616" s="2922"/>
    </row>
    <row r="617" spans="1:6" x14ac:dyDescent="0.25">
      <c r="A617" s="2781"/>
      <c r="B617" s="706">
        <v>2045</v>
      </c>
      <c r="C617" s="1156">
        <f t="shared" si="31"/>
        <v>22772516.424012434</v>
      </c>
      <c r="D617" s="827">
        <v>92</v>
      </c>
      <c r="E617" s="1156">
        <f t="shared" si="32"/>
        <v>2095071.5110091437</v>
      </c>
      <c r="F617" s="2922"/>
    </row>
    <row r="618" spans="1:6" x14ac:dyDescent="0.25">
      <c r="A618" s="2781"/>
      <c r="B618" s="706">
        <v>2046</v>
      </c>
      <c r="C618" s="1156">
        <f t="shared" si="31"/>
        <v>22772516.424012434</v>
      </c>
      <c r="D618" s="827">
        <v>93</v>
      </c>
      <c r="E618" s="1156">
        <f t="shared" si="32"/>
        <v>2117844.027433156</v>
      </c>
      <c r="F618" s="2922"/>
    </row>
    <row r="619" spans="1:6" x14ac:dyDescent="0.25">
      <c r="A619" s="2781"/>
      <c r="B619" s="706">
        <v>2047</v>
      </c>
      <c r="C619" s="1156">
        <f t="shared" si="31"/>
        <v>22772516.424012434</v>
      </c>
      <c r="D619" s="827">
        <v>94</v>
      </c>
      <c r="E619" s="1156">
        <f t="shared" si="32"/>
        <v>2140616.5438571684</v>
      </c>
      <c r="F619" s="2922"/>
    </row>
    <row r="620" spans="1:6" x14ac:dyDescent="0.25">
      <c r="A620" s="2781"/>
      <c r="B620" s="706">
        <v>2048</v>
      </c>
      <c r="C620" s="1156">
        <f t="shared" si="31"/>
        <v>22772516.424012434</v>
      </c>
      <c r="D620" s="827">
        <v>95</v>
      </c>
      <c r="E620" s="1156">
        <f t="shared" si="32"/>
        <v>2163389.0602811812</v>
      </c>
      <c r="F620" s="2922"/>
    </row>
    <row r="621" spans="1:6" x14ac:dyDescent="0.25">
      <c r="A621" s="2781"/>
      <c r="B621" s="706">
        <v>2049</v>
      </c>
      <c r="C621" s="1156">
        <f t="shared" si="31"/>
        <v>22772516.424012434</v>
      </c>
      <c r="D621" s="827">
        <v>96</v>
      </c>
      <c r="E621" s="1156">
        <f t="shared" si="32"/>
        <v>2186161.5767051936</v>
      </c>
      <c r="F621" s="2922"/>
    </row>
    <row r="622" spans="1:6" x14ac:dyDescent="0.25">
      <c r="A622" s="2781"/>
      <c r="B622" s="706">
        <v>2050</v>
      </c>
      <c r="C622" s="1156">
        <f t="shared" si="31"/>
        <v>22772516.424012434</v>
      </c>
      <c r="D622" s="827">
        <v>97</v>
      </c>
      <c r="E622" s="1156">
        <f t="shared" si="32"/>
        <v>2208934.093129206</v>
      </c>
      <c r="F622" s="2922"/>
    </row>
    <row r="623" spans="1:6" x14ac:dyDescent="0.25">
      <c r="A623" s="2781"/>
      <c r="B623" s="706">
        <v>2051</v>
      </c>
      <c r="C623" s="1156">
        <f t="shared" ref="C623:C641" si="33">$R$23</f>
        <v>22772516.424012434</v>
      </c>
      <c r="D623" s="827">
        <v>97</v>
      </c>
      <c r="E623" s="1156">
        <f t="shared" si="32"/>
        <v>2208934.093129206</v>
      </c>
      <c r="F623" s="2922"/>
    </row>
    <row r="624" spans="1:6" x14ac:dyDescent="0.25">
      <c r="A624" s="2781"/>
      <c r="B624" s="706">
        <v>2052</v>
      </c>
      <c r="C624" s="1156">
        <f t="shared" si="33"/>
        <v>22772516.424012434</v>
      </c>
      <c r="D624" s="827">
        <v>97</v>
      </c>
      <c r="E624" s="1156">
        <f t="shared" si="32"/>
        <v>2208934.093129206</v>
      </c>
      <c r="F624" s="2922"/>
    </row>
    <row r="625" spans="1:6" x14ac:dyDescent="0.25">
      <c r="A625" s="2781"/>
      <c r="B625" s="706">
        <v>2053</v>
      </c>
      <c r="C625" s="1156">
        <f t="shared" si="33"/>
        <v>22772516.424012434</v>
      </c>
      <c r="D625" s="827">
        <v>97</v>
      </c>
      <c r="E625" s="1156">
        <f t="shared" si="32"/>
        <v>2208934.093129206</v>
      </c>
      <c r="F625" s="2922"/>
    </row>
    <row r="626" spans="1:6" x14ac:dyDescent="0.25">
      <c r="A626" s="2781"/>
      <c r="B626" s="706">
        <v>2054</v>
      </c>
      <c r="C626" s="1156">
        <f t="shared" si="33"/>
        <v>22772516.424012434</v>
      </c>
      <c r="D626" s="827">
        <v>97</v>
      </c>
      <c r="E626" s="1156">
        <f t="shared" si="32"/>
        <v>2208934.093129206</v>
      </c>
      <c r="F626" s="2922"/>
    </row>
    <row r="627" spans="1:6" x14ac:dyDescent="0.25">
      <c r="A627" s="2781"/>
      <c r="B627" s="706">
        <v>2055</v>
      </c>
      <c r="C627" s="1156">
        <f t="shared" si="33"/>
        <v>22772516.424012434</v>
      </c>
      <c r="D627" s="827">
        <v>97</v>
      </c>
      <c r="E627" s="1156">
        <f t="shared" si="32"/>
        <v>2208934.093129206</v>
      </c>
      <c r="F627" s="2922"/>
    </row>
    <row r="628" spans="1:6" x14ac:dyDescent="0.25">
      <c r="A628" s="2781"/>
      <c r="B628" s="706">
        <v>2056</v>
      </c>
      <c r="C628" s="1156">
        <f t="shared" si="33"/>
        <v>22772516.424012434</v>
      </c>
      <c r="D628" s="827">
        <v>97</v>
      </c>
      <c r="E628" s="1156">
        <f t="shared" si="32"/>
        <v>2208934.093129206</v>
      </c>
      <c r="F628" s="2922"/>
    </row>
    <row r="629" spans="1:6" x14ac:dyDescent="0.25">
      <c r="A629" s="2781"/>
      <c r="B629" s="706">
        <v>2057</v>
      </c>
      <c r="C629" s="1156">
        <f t="shared" si="33"/>
        <v>22772516.424012434</v>
      </c>
      <c r="D629" s="827">
        <v>97</v>
      </c>
      <c r="E629" s="1156">
        <f t="shared" si="32"/>
        <v>2208934.093129206</v>
      </c>
      <c r="F629" s="2922"/>
    </row>
    <row r="630" spans="1:6" x14ac:dyDescent="0.25">
      <c r="A630" s="2781"/>
      <c r="B630" s="706">
        <v>2058</v>
      </c>
      <c r="C630" s="1156">
        <f t="shared" si="33"/>
        <v>22772516.424012434</v>
      </c>
      <c r="D630" s="827">
        <v>97</v>
      </c>
      <c r="E630" s="1156">
        <f t="shared" si="32"/>
        <v>2208934.093129206</v>
      </c>
      <c r="F630" s="2922"/>
    </row>
    <row r="631" spans="1:6" x14ac:dyDescent="0.25">
      <c r="A631" s="2781"/>
      <c r="B631" s="706">
        <v>2059</v>
      </c>
      <c r="C631" s="1156">
        <f t="shared" si="33"/>
        <v>22772516.424012434</v>
      </c>
      <c r="D631" s="827">
        <v>97</v>
      </c>
      <c r="E631" s="1156">
        <f t="shared" si="32"/>
        <v>2208934.093129206</v>
      </c>
      <c r="F631" s="2922"/>
    </row>
    <row r="632" spans="1:6" x14ac:dyDescent="0.25">
      <c r="A632" s="2781"/>
      <c r="B632" s="706">
        <v>2060</v>
      </c>
      <c r="C632" s="1156">
        <f t="shared" si="33"/>
        <v>22772516.424012434</v>
      </c>
      <c r="D632" s="827">
        <v>97</v>
      </c>
      <c r="E632" s="1156">
        <f t="shared" si="32"/>
        <v>2208934.093129206</v>
      </c>
      <c r="F632" s="2922"/>
    </row>
    <row r="633" spans="1:6" x14ac:dyDescent="0.25">
      <c r="A633" s="2781"/>
      <c r="B633" s="706">
        <v>2061</v>
      </c>
      <c r="C633" s="1156">
        <f t="shared" si="33"/>
        <v>22772516.424012434</v>
      </c>
      <c r="D633" s="827">
        <v>97</v>
      </c>
      <c r="E633" s="1156">
        <f t="shared" si="32"/>
        <v>2208934.093129206</v>
      </c>
      <c r="F633" s="2922"/>
    </row>
    <row r="634" spans="1:6" x14ac:dyDescent="0.25">
      <c r="A634" s="2781"/>
      <c r="B634" s="706">
        <v>2062</v>
      </c>
      <c r="C634" s="1156">
        <f t="shared" si="33"/>
        <v>22772516.424012434</v>
      </c>
      <c r="D634" s="827">
        <v>97</v>
      </c>
      <c r="E634" s="1156">
        <f t="shared" si="32"/>
        <v>2208934.093129206</v>
      </c>
      <c r="F634" s="2922"/>
    </row>
    <row r="635" spans="1:6" x14ac:dyDescent="0.25">
      <c r="A635" s="2781"/>
      <c r="B635" s="706">
        <v>2063</v>
      </c>
      <c r="C635" s="1156">
        <f t="shared" si="33"/>
        <v>22772516.424012434</v>
      </c>
      <c r="D635" s="827">
        <v>97</v>
      </c>
      <c r="E635" s="1156">
        <f t="shared" si="32"/>
        <v>2208934.093129206</v>
      </c>
      <c r="F635" s="2922"/>
    </row>
    <row r="636" spans="1:6" x14ac:dyDescent="0.25">
      <c r="A636" s="2781"/>
      <c r="B636" s="706">
        <v>2064</v>
      </c>
      <c r="C636" s="1156">
        <f t="shared" si="33"/>
        <v>22772516.424012434</v>
      </c>
      <c r="D636" s="827">
        <v>97</v>
      </c>
      <c r="E636" s="1156">
        <f t="shared" si="32"/>
        <v>2208934.093129206</v>
      </c>
      <c r="F636" s="2922"/>
    </row>
    <row r="637" spans="1:6" x14ac:dyDescent="0.25">
      <c r="A637" s="2781"/>
      <c r="B637" s="706">
        <v>2065</v>
      </c>
      <c r="C637" s="1156">
        <f t="shared" si="33"/>
        <v>22772516.424012434</v>
      </c>
      <c r="D637" s="827">
        <v>97</v>
      </c>
      <c r="E637" s="1156">
        <f t="shared" si="32"/>
        <v>2208934.093129206</v>
      </c>
      <c r="F637" s="2922"/>
    </row>
    <row r="638" spans="1:6" x14ac:dyDescent="0.25">
      <c r="A638" s="2781"/>
      <c r="B638" s="706">
        <v>2066</v>
      </c>
      <c r="C638" s="1156">
        <f t="shared" si="33"/>
        <v>22772516.424012434</v>
      </c>
      <c r="D638" s="827">
        <v>97</v>
      </c>
      <c r="E638" s="1156">
        <f t="shared" si="32"/>
        <v>2208934.093129206</v>
      </c>
      <c r="F638" s="2922"/>
    </row>
    <row r="639" spans="1:6" x14ac:dyDescent="0.25">
      <c r="A639" s="2781"/>
      <c r="B639" s="706">
        <v>2067</v>
      </c>
      <c r="C639" s="1156">
        <f t="shared" si="33"/>
        <v>22772516.424012434</v>
      </c>
      <c r="D639" s="827">
        <v>97</v>
      </c>
      <c r="E639" s="1156">
        <f t="shared" si="32"/>
        <v>2208934.093129206</v>
      </c>
      <c r="F639" s="2922"/>
    </row>
    <row r="640" spans="1:6" x14ac:dyDescent="0.25">
      <c r="A640" s="2781"/>
      <c r="B640" s="706">
        <v>2068</v>
      </c>
      <c r="C640" s="1156">
        <f t="shared" si="33"/>
        <v>22772516.424012434</v>
      </c>
      <c r="D640" s="827">
        <v>97</v>
      </c>
      <c r="E640" s="1156">
        <f t="shared" si="32"/>
        <v>2208934.093129206</v>
      </c>
      <c r="F640" s="2922"/>
    </row>
    <row r="641" spans="1:6" ht="15.75" thickBot="1" x14ac:dyDescent="0.3">
      <c r="A641" s="2680"/>
      <c r="B641" s="55">
        <v>2069</v>
      </c>
      <c r="C641" s="1160">
        <f t="shared" si="33"/>
        <v>22772516.424012434</v>
      </c>
      <c r="D641" s="1062">
        <v>97</v>
      </c>
      <c r="E641" s="1160">
        <f t="shared" si="32"/>
        <v>2208934.093129206</v>
      </c>
      <c r="F641" s="2923"/>
    </row>
  </sheetData>
  <mergeCells count="112">
    <mergeCell ref="W7:AA7"/>
    <mergeCell ref="W8:AA8"/>
    <mergeCell ref="W9:AA9"/>
    <mergeCell ref="W5:AA6"/>
    <mergeCell ref="W21:AA21"/>
    <mergeCell ref="W22:AA22"/>
    <mergeCell ref="W23:AA23"/>
    <mergeCell ref="A336:A386"/>
    <mergeCell ref="A387:A437"/>
    <mergeCell ref="A282:A332"/>
    <mergeCell ref="C16:G17"/>
    <mergeCell ref="C18:G18"/>
    <mergeCell ref="M8:Q8"/>
    <mergeCell ref="M9:Q9"/>
    <mergeCell ref="M10:Q10"/>
    <mergeCell ref="M11:Q11"/>
    <mergeCell ref="M12:Q12"/>
    <mergeCell ref="A16:A17"/>
    <mergeCell ref="B16:B17"/>
    <mergeCell ref="M5:Q6"/>
    <mergeCell ref="M7:Q7"/>
    <mergeCell ref="H21:L21"/>
    <mergeCell ref="H22:L22"/>
    <mergeCell ref="H23:L23"/>
    <mergeCell ref="C19:G19"/>
    <mergeCell ref="M22:Q22"/>
    <mergeCell ref="M19:Q19"/>
    <mergeCell ref="M20:Q20"/>
    <mergeCell ref="C21:G21"/>
    <mergeCell ref="A25:F25"/>
    <mergeCell ref="F27:F77"/>
    <mergeCell ref="C23:G23"/>
    <mergeCell ref="B18:B21"/>
    <mergeCell ref="B22:B23"/>
    <mergeCell ref="M18:Q18"/>
    <mergeCell ref="C5:G6"/>
    <mergeCell ref="C7:G7"/>
    <mergeCell ref="C8:G8"/>
    <mergeCell ref="C9:G9"/>
    <mergeCell ref="M23:Q23"/>
    <mergeCell ref="W11:AA11"/>
    <mergeCell ref="W12:AA12"/>
    <mergeCell ref="W16:AA17"/>
    <mergeCell ref="W18:AA18"/>
    <mergeCell ref="H19:L19"/>
    <mergeCell ref="H20:L20"/>
    <mergeCell ref="H11:L11"/>
    <mergeCell ref="H12:L12"/>
    <mergeCell ref="R10:V10"/>
    <mergeCell ref="R11:V11"/>
    <mergeCell ref="R12:V12"/>
    <mergeCell ref="C10:G10"/>
    <mergeCell ref="C11:G11"/>
    <mergeCell ref="C12:G12"/>
    <mergeCell ref="R22:V22"/>
    <mergeCell ref="R23:V23"/>
    <mergeCell ref="W10:AA10"/>
    <mergeCell ref="W19:AA19"/>
    <mergeCell ref="C22:G22"/>
    <mergeCell ref="W20:AA20"/>
    <mergeCell ref="W262:W312"/>
    <mergeCell ref="F282:F332"/>
    <mergeCell ref="A129:A179"/>
    <mergeCell ref="W109:W159"/>
    <mergeCell ref="A180:A230"/>
    <mergeCell ref="W160:W210"/>
    <mergeCell ref="A231:A281"/>
    <mergeCell ref="W211:W261"/>
    <mergeCell ref="F129:F179"/>
    <mergeCell ref="F180:F230"/>
    <mergeCell ref="F231:F281"/>
    <mergeCell ref="A78:A128"/>
    <mergeCell ref="W58:W108"/>
    <mergeCell ref="F78:F128"/>
    <mergeCell ref="R20:V20"/>
    <mergeCell ref="R21:V21"/>
    <mergeCell ref="A27:A77"/>
    <mergeCell ref="H7:L7"/>
    <mergeCell ref="H8:L8"/>
    <mergeCell ref="H9:L9"/>
    <mergeCell ref="H10:L10"/>
    <mergeCell ref="H5:L6"/>
    <mergeCell ref="H16:L17"/>
    <mergeCell ref="H18:L18"/>
    <mergeCell ref="R7:V7"/>
    <mergeCell ref="R8:V8"/>
    <mergeCell ref="R9:V9"/>
    <mergeCell ref="M16:Q17"/>
    <mergeCell ref="A1:V1"/>
    <mergeCell ref="A3:V4"/>
    <mergeCell ref="A14:V15"/>
    <mergeCell ref="F591:F641"/>
    <mergeCell ref="F540:F590"/>
    <mergeCell ref="F489:F539"/>
    <mergeCell ref="F438:F488"/>
    <mergeCell ref="F387:F437"/>
    <mergeCell ref="F336:F386"/>
    <mergeCell ref="A540:A590"/>
    <mergeCell ref="A489:A539"/>
    <mergeCell ref="A438:A488"/>
    <mergeCell ref="A591:A641"/>
    <mergeCell ref="A334:F334"/>
    <mergeCell ref="A5:A6"/>
    <mergeCell ref="B5:B6"/>
    <mergeCell ref="R5:V6"/>
    <mergeCell ref="R19:V19"/>
    <mergeCell ref="C20:G20"/>
    <mergeCell ref="B7:B10"/>
    <mergeCell ref="B11:B12"/>
    <mergeCell ref="M21:Q21"/>
    <mergeCell ref="R16:V17"/>
    <mergeCell ref="R18:V18"/>
  </mergeCells>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AO849"/>
  <sheetViews>
    <sheetView zoomScale="78" zoomScaleNormal="78" workbookViewId="0">
      <selection activeCell="O799" sqref="O799:T849"/>
    </sheetView>
  </sheetViews>
  <sheetFormatPr defaultRowHeight="15" x14ac:dyDescent="0.25"/>
  <cols>
    <col min="1" max="1" width="96.28515625" customWidth="1"/>
    <col min="2" max="2" width="54" customWidth="1"/>
    <col min="3" max="3" width="15.85546875" customWidth="1"/>
    <col min="4" max="4" width="22.42578125" customWidth="1"/>
    <col min="5" max="5" width="18" customWidth="1"/>
    <col min="6" max="6" width="13.7109375" customWidth="1"/>
    <col min="7" max="7" width="13.85546875" customWidth="1"/>
    <col min="8" max="8" width="14.7109375" customWidth="1"/>
    <col min="9" max="9" width="20.5703125" customWidth="1"/>
    <col min="10" max="10" width="18" customWidth="1"/>
    <col min="11" max="11" width="16.28515625" customWidth="1"/>
    <col min="12" max="12" width="37.85546875" customWidth="1"/>
    <col min="13" max="13" width="11.28515625" customWidth="1"/>
    <col min="14" max="14" width="12.85546875" customWidth="1"/>
    <col min="15" max="15" width="14.42578125" customWidth="1"/>
    <col min="16" max="16" width="15.7109375" customWidth="1"/>
    <col min="17" max="17" width="15.28515625" customWidth="1"/>
    <col min="18" max="18" width="16.140625" customWidth="1"/>
    <col min="19" max="19" width="16" customWidth="1"/>
    <col min="20" max="20" width="13.7109375" customWidth="1"/>
    <col min="21" max="21" width="17" customWidth="1"/>
    <col min="22" max="22" width="17.28515625" customWidth="1"/>
    <col min="23" max="23" width="12.42578125" customWidth="1"/>
    <col min="24" max="24" width="18.140625" customWidth="1"/>
    <col min="25" max="25" width="14.42578125" customWidth="1"/>
    <col min="26" max="26" width="13.7109375" customWidth="1"/>
    <col min="27" max="27" width="11.85546875" customWidth="1"/>
    <col min="28" max="28" width="21.5703125" customWidth="1"/>
    <col min="29" max="29" width="14.42578125" customWidth="1"/>
    <col min="30" max="30" width="16.85546875" customWidth="1"/>
    <col min="34" max="34" width="14" customWidth="1"/>
  </cols>
  <sheetData>
    <row r="1" spans="1:41" ht="40.5" customHeight="1" thickBot="1" x14ac:dyDescent="0.3">
      <c r="A1" s="3017" t="s">
        <v>1913</v>
      </c>
      <c r="B1" s="2628"/>
      <c r="C1" s="2628"/>
      <c r="D1" s="2628"/>
      <c r="E1" s="2628"/>
      <c r="F1" s="2628"/>
      <c r="G1" s="2628"/>
      <c r="H1" s="2628"/>
      <c r="I1" s="2628"/>
      <c r="J1" s="2628"/>
      <c r="K1" s="2628"/>
      <c r="L1" s="2628"/>
      <c r="M1" s="2628"/>
      <c r="N1" s="2628"/>
      <c r="O1" s="2628"/>
      <c r="P1" s="2628"/>
      <c r="Q1" s="2628"/>
      <c r="R1" s="2628"/>
      <c r="S1" s="2628"/>
      <c r="T1" s="2629"/>
    </row>
    <row r="2" spans="1:41" ht="15.75" thickBot="1" x14ac:dyDescent="0.3">
      <c r="A2" s="230"/>
      <c r="B2" s="230"/>
      <c r="C2" s="230"/>
      <c r="D2" s="230"/>
      <c r="E2" s="230"/>
      <c r="F2" s="230"/>
      <c r="G2" s="230"/>
      <c r="H2" s="230"/>
      <c r="I2" s="230"/>
      <c r="J2" s="230"/>
      <c r="K2" s="230"/>
      <c r="L2" s="230"/>
      <c r="M2" s="230"/>
      <c r="N2" s="230"/>
      <c r="O2" s="230"/>
      <c r="P2" s="230"/>
      <c r="Q2" s="230"/>
      <c r="R2" s="230"/>
      <c r="S2" s="230"/>
      <c r="T2" s="230"/>
    </row>
    <row r="3" spans="1:41" s="230" customFormat="1" ht="15" customHeight="1" x14ac:dyDescent="0.25">
      <c r="A3" s="2275" t="s">
        <v>1195</v>
      </c>
      <c r="B3" s="2438"/>
      <c r="C3" s="2438"/>
      <c r="D3" s="2438"/>
      <c r="E3" s="2438"/>
      <c r="F3" s="2438"/>
      <c r="G3" s="2438"/>
      <c r="H3" s="2438"/>
      <c r="I3" s="2438"/>
      <c r="J3" s="2438"/>
      <c r="K3" s="2438"/>
      <c r="L3" s="2438"/>
      <c r="M3" s="2438"/>
      <c r="N3" s="2438"/>
      <c r="O3" s="2438"/>
      <c r="P3" s="2438"/>
      <c r="Q3" s="2438"/>
      <c r="R3" s="2438"/>
      <c r="S3" s="2438"/>
      <c r="T3" s="2438"/>
      <c r="U3" s="2438"/>
      <c r="V3" s="2438"/>
      <c r="W3" s="2438"/>
      <c r="X3" s="2438"/>
      <c r="Y3" s="2438"/>
      <c r="Z3" s="2438"/>
      <c r="AA3" s="2438"/>
      <c r="AB3" s="2438"/>
      <c r="AC3" s="2438"/>
      <c r="AD3" s="2439"/>
      <c r="AE3" s="97"/>
      <c r="AF3" s="97"/>
      <c r="AG3" s="97"/>
      <c r="AH3" s="97"/>
      <c r="AI3" s="97"/>
      <c r="AJ3" s="97"/>
      <c r="AK3" s="97"/>
      <c r="AL3" s="97"/>
      <c r="AM3" s="97"/>
      <c r="AN3" s="97"/>
      <c r="AO3" s="97"/>
    </row>
    <row r="4" spans="1:41" s="230" customFormat="1" ht="15.75" customHeight="1" thickBot="1" x14ac:dyDescent="0.3">
      <c r="A4" s="2277"/>
      <c r="B4" s="2442"/>
      <c r="C4" s="2442"/>
      <c r="D4" s="2442"/>
      <c r="E4" s="2442"/>
      <c r="F4" s="2442"/>
      <c r="G4" s="2442"/>
      <c r="H4" s="2442"/>
      <c r="I4" s="2442"/>
      <c r="J4" s="2442"/>
      <c r="K4" s="2442"/>
      <c r="L4" s="2442"/>
      <c r="M4" s="2442"/>
      <c r="N4" s="2442"/>
      <c r="O4" s="2442"/>
      <c r="P4" s="2442"/>
      <c r="Q4" s="2442"/>
      <c r="R4" s="2442"/>
      <c r="S4" s="2442"/>
      <c r="T4" s="2442"/>
      <c r="U4" s="2442"/>
      <c r="V4" s="2442"/>
      <c r="W4" s="2442"/>
      <c r="X4" s="2442"/>
      <c r="Y4" s="2442"/>
      <c r="Z4" s="2442"/>
      <c r="AA4" s="2442"/>
      <c r="AB4" s="2442"/>
      <c r="AC4" s="2442"/>
      <c r="AD4" s="2443"/>
      <c r="AE4" s="97"/>
      <c r="AF4" s="97"/>
      <c r="AG4" s="97"/>
      <c r="AH4" s="97"/>
      <c r="AI4" s="97"/>
      <c r="AJ4" s="97"/>
      <c r="AK4" s="97"/>
      <c r="AL4" s="97"/>
      <c r="AM4" s="97"/>
      <c r="AN4" s="97"/>
      <c r="AO4" s="97"/>
    </row>
    <row r="5" spans="1:41" ht="51.75" customHeight="1" thickBot="1" x14ac:dyDescent="0.3">
      <c r="A5" s="3025" t="s">
        <v>1775</v>
      </c>
      <c r="B5" s="3023" t="s">
        <v>1087</v>
      </c>
      <c r="C5" s="3031" t="s">
        <v>1557</v>
      </c>
      <c r="D5" s="3032"/>
      <c r="E5" s="3032"/>
      <c r="F5" s="3032"/>
      <c r="G5" s="3032"/>
      <c r="H5" s="3032"/>
      <c r="I5" s="3032"/>
      <c r="J5" s="3032"/>
      <c r="K5" s="3033"/>
      <c r="L5" s="3021" t="s">
        <v>1465</v>
      </c>
      <c r="M5" s="3061" t="s">
        <v>1470</v>
      </c>
      <c r="N5" s="3061"/>
      <c r="O5" s="3061"/>
      <c r="P5" s="3061"/>
      <c r="Q5" s="3061"/>
      <c r="R5" s="3061"/>
      <c r="S5" s="3061"/>
      <c r="T5" s="3061"/>
      <c r="U5" s="3062"/>
      <c r="V5" s="3054" t="s">
        <v>89</v>
      </c>
      <c r="W5" s="3055"/>
      <c r="X5" s="3055"/>
      <c r="Y5" s="3055"/>
      <c r="Z5" s="3055"/>
      <c r="AA5" s="3055"/>
      <c r="AB5" s="3055"/>
      <c r="AC5" s="3055"/>
      <c r="AD5" s="3056"/>
      <c r="AK5" s="1434"/>
      <c r="AL5" s="1434"/>
      <c r="AM5" s="1434"/>
      <c r="AN5" s="1434"/>
      <c r="AO5" s="1434"/>
    </row>
    <row r="6" spans="1:41" ht="35.25" customHeight="1" thickBot="1" x14ac:dyDescent="0.3">
      <c r="A6" s="3026"/>
      <c r="B6" s="3024"/>
      <c r="C6" s="1041" t="s">
        <v>20</v>
      </c>
      <c r="D6" s="1029" t="s">
        <v>21</v>
      </c>
      <c r="E6" s="1029" t="s">
        <v>79</v>
      </c>
      <c r="F6" s="1029" t="s">
        <v>17</v>
      </c>
      <c r="G6" s="1029" t="s">
        <v>18</v>
      </c>
      <c r="H6" s="1029" t="s">
        <v>19</v>
      </c>
      <c r="I6" s="1029" t="s">
        <v>76</v>
      </c>
      <c r="J6" s="1029" t="s">
        <v>77</v>
      </c>
      <c r="K6" s="1030" t="s">
        <v>78</v>
      </c>
      <c r="L6" s="3022"/>
      <c r="M6" s="1453" t="s">
        <v>20</v>
      </c>
      <c r="N6" s="1447" t="s">
        <v>21</v>
      </c>
      <c r="O6" s="1448" t="s">
        <v>79</v>
      </c>
      <c r="P6" s="1448" t="s">
        <v>17</v>
      </c>
      <c r="Q6" s="1448" t="s">
        <v>18</v>
      </c>
      <c r="R6" s="1448" t="s">
        <v>1466</v>
      </c>
      <c r="S6" s="1448" t="s">
        <v>1467</v>
      </c>
      <c r="T6" s="1448" t="s">
        <v>1468</v>
      </c>
      <c r="U6" s="1449" t="s">
        <v>1469</v>
      </c>
      <c r="V6" s="777" t="s">
        <v>20</v>
      </c>
      <c r="W6" s="1451" t="s">
        <v>21</v>
      </c>
      <c r="X6" s="1451" t="s">
        <v>79</v>
      </c>
      <c r="Y6" s="1451" t="s">
        <v>17</v>
      </c>
      <c r="Z6" s="1451" t="s">
        <v>18</v>
      </c>
      <c r="AA6" s="1451" t="s">
        <v>19</v>
      </c>
      <c r="AB6" s="1451" t="s">
        <v>1387</v>
      </c>
      <c r="AC6" s="1451" t="s">
        <v>1388</v>
      </c>
      <c r="AD6" s="1452" t="s">
        <v>1389</v>
      </c>
      <c r="AK6" s="1434"/>
      <c r="AL6" s="1434"/>
      <c r="AM6" s="1434"/>
      <c r="AN6" s="1434"/>
      <c r="AO6" s="1434"/>
    </row>
    <row r="7" spans="1:41" ht="15" customHeight="1" x14ac:dyDescent="0.25">
      <c r="A7" s="859" t="s">
        <v>284</v>
      </c>
      <c r="B7" s="1460">
        <f>'Digester Methane Calculation'!X80</f>
        <v>5515157.2719453247</v>
      </c>
      <c r="C7" s="1461">
        <f>(8.573*33.7*3412)/('Fleet Information'!D5*1000000)</f>
        <v>1.369112862777778E-2</v>
      </c>
      <c r="D7" s="1462">
        <f>(23.042*33.7*3412)/('Fleet Information'!D5*1000000)</f>
        <v>3.6798202011111114E-2</v>
      </c>
      <c r="E7" s="1462">
        <f>(29.402*33.7*3412)/('Fleet Information'!D5*1000000)</f>
        <v>4.6955157344444449E-2</v>
      </c>
      <c r="F7" s="1462">
        <f>(0.448*33.7*3412)/('Fleet Information'!D5*1000000)</f>
        <v>7.1545848888888899E-4</v>
      </c>
      <c r="G7" s="1462">
        <f>(0.399*33.7*3412)/('Fleet Information'!D5*1000000)</f>
        <v>6.3720521666666677E-4</v>
      </c>
      <c r="H7" s="1462">
        <f>(11.342*33.7*3412)/('Fleet Information'!D5*1000000)</f>
        <v>1.8113237011111113E-2</v>
      </c>
      <c r="I7" s="1462">
        <f>(191.316*33.7*3412)/('Fleet Information'!D5*1000000)</f>
        <v>0.30553271486666667</v>
      </c>
      <c r="J7" s="1462">
        <f>(5.272*33.7*3412)/('Fleet Information'!D5*1000000)</f>
        <v>8.4194132888888908E-3</v>
      </c>
      <c r="K7" s="1463">
        <f>(0.794*33.7*3412)/('Fleet Information'!D5*1000000)</f>
        <v>1.2680224111111112E-3</v>
      </c>
      <c r="L7" s="3057" t="s">
        <v>1384</v>
      </c>
      <c r="M7" s="3048">
        <v>0.25</v>
      </c>
      <c r="N7" s="3037">
        <v>2.77</v>
      </c>
      <c r="O7" s="3039">
        <v>0.3</v>
      </c>
      <c r="P7" s="3039">
        <v>2.2270000000000002E-2</v>
      </c>
      <c r="Q7" s="3039">
        <v>1.7129999999999999E-2</v>
      </c>
      <c r="R7" s="3039">
        <v>0.11</v>
      </c>
      <c r="S7" s="3037">
        <v>0.44</v>
      </c>
      <c r="T7" s="3037">
        <v>350</v>
      </c>
      <c r="U7" s="3046">
        <v>1.8100000000000002E-2</v>
      </c>
      <c r="V7" s="1456">
        <f>(((C7-M7)*('Emission-Vehicle to be refueled'!B7))/(1000))</f>
        <v>-1303.2805903737037</v>
      </c>
      <c r="W7" s="1456">
        <f>(((D7-N7)*('Emission-Vehicle to be refueled'!B7))/(1000))</f>
        <v>-15074.037771872458</v>
      </c>
      <c r="X7" s="1457">
        <f>((E7-O7)*('Emission-Vehicle to be refueled'!B7))/(1000)</f>
        <v>-1395.5821041000477</v>
      </c>
      <c r="Y7" s="1457">
        <f>((F7-P7)*('Emission-Vehicle to be refueled'!B7))/(1000)</f>
        <v>-118.87668635845182</v>
      </c>
      <c r="Z7" s="1457">
        <f>((G7-Q7)*('Emission-Vehicle to be refueled'!B7))/(1000)</f>
        <v>-90.960357084002752</v>
      </c>
      <c r="AA7" s="1457">
        <f>((H7-R7)*('Emission-Vehicle to be refueled'!B7))/(1000)</f>
        <v>-506.76994909368705</v>
      </c>
      <c r="AB7" s="1457">
        <f>((I7-S7)*('Emission-Vehicle to be refueled'!B7))/(1000)</f>
        <v>-741.60822544184884</v>
      </c>
      <c r="AC7" s="1457">
        <f>((J7-T7)*('Emission-Vehicle to be refueled'!B7))/(1000)</f>
        <v>-1930258.610792438</v>
      </c>
      <c r="AD7" s="1437">
        <f>((K7-U7)*('Emission-Vehicle to be refueled'!B7))/(1000)</f>
        <v>-92.831003600581298</v>
      </c>
      <c r="AK7" s="272"/>
      <c r="AL7" s="272"/>
      <c r="AM7" s="272"/>
      <c r="AN7" s="272"/>
      <c r="AO7" s="272"/>
    </row>
    <row r="8" spans="1:41" ht="15" customHeight="1" thickBot="1" x14ac:dyDescent="0.3">
      <c r="A8" s="956" t="s">
        <v>1776</v>
      </c>
      <c r="B8" s="323">
        <f>'Digester Methane Calculation'!X81</f>
        <v>6519885.4372702111</v>
      </c>
      <c r="C8" s="1441">
        <v>0.17</v>
      </c>
      <c r="D8" s="1435">
        <v>2.86</v>
      </c>
      <c r="E8" s="1435">
        <v>0.32</v>
      </c>
      <c r="F8" s="1435">
        <f>9.27/1000</f>
        <v>9.2699999999999987E-3</v>
      </c>
      <c r="G8" s="1435">
        <f>7.45/1000</f>
        <v>7.45E-3</v>
      </c>
      <c r="H8" s="1435">
        <f>79.45/1000</f>
        <v>7.9450000000000007E-2</v>
      </c>
      <c r="I8" s="1435">
        <v>1.28</v>
      </c>
      <c r="J8" s="1435">
        <f>0.31*1000</f>
        <v>310</v>
      </c>
      <c r="K8" s="1464">
        <f>14.89/1000</f>
        <v>1.489E-2</v>
      </c>
      <c r="L8" s="3058"/>
      <c r="M8" s="3049"/>
      <c r="N8" s="3038"/>
      <c r="O8" s="3040"/>
      <c r="P8" s="3040"/>
      <c r="Q8" s="3040"/>
      <c r="R8" s="3040"/>
      <c r="S8" s="3038"/>
      <c r="T8" s="3038"/>
      <c r="U8" s="3047"/>
      <c r="V8" s="322">
        <f>(((C8-M7)*('Emission-Vehicle to be refueled'!B8))/(1000))</f>
        <v>-521.59083498161681</v>
      </c>
      <c r="W8" s="1459">
        <f>(((D8-N7)*('Emission-Vehicle to be refueled'!B8))/(1000))</f>
        <v>586.78968935431806</v>
      </c>
      <c r="X8" s="1458">
        <f>((E8-O7)*('Emission-Vehicle to be refueled'!B8))/(1000)</f>
        <v>130.39770874540434</v>
      </c>
      <c r="Y8" s="1458">
        <f>((F8-P7)*('Emission-Vehicle to be refueled'!B8))/(1000)</f>
        <v>-84.758510684512757</v>
      </c>
      <c r="Z8" s="1458">
        <f>((G8-Q7)*('Emission-Vehicle to be refueled'!B8))/(1000)</f>
        <v>-63.112491032775637</v>
      </c>
      <c r="AA8" s="1458">
        <f>((H8-R7)*('Emission-Vehicle to be refueled'!B8))/(1000)</f>
        <v>-199.1825001086049</v>
      </c>
      <c r="AB8" s="1458">
        <f>((I8-S7)*('Emission-Vehicle to be refueled'!B8))/(1000)</f>
        <v>5476.7037673069781</v>
      </c>
      <c r="AC8" s="1458">
        <f>((J8-T7)*('Emission-Vehicle to be refueled'!B8))/(1000)</f>
        <v>-260795.41749080844</v>
      </c>
      <c r="AD8" s="1436">
        <f>((K8-U7)*('Emission-Vehicle to be refueled'!B8))/(1000)</f>
        <v>-20.928832253637385</v>
      </c>
      <c r="AK8" s="272"/>
      <c r="AL8" s="272"/>
      <c r="AM8" s="272"/>
      <c r="AN8" s="272"/>
      <c r="AO8" s="272"/>
    </row>
    <row r="9" spans="1:41" ht="16.5" customHeight="1" x14ac:dyDescent="0.25">
      <c r="A9" s="1466" t="s">
        <v>285</v>
      </c>
      <c r="B9" s="1460">
        <f>'Digester Methane Calculation'!X83</f>
        <v>324948.78446999838</v>
      </c>
      <c r="C9" s="1440">
        <v>0.35</v>
      </c>
      <c r="D9" s="1445">
        <v>23.93</v>
      </c>
      <c r="E9" s="1445">
        <v>2.09</v>
      </c>
      <c r="F9" s="1445">
        <f>51.78/1000</f>
        <v>5.178E-2</v>
      </c>
      <c r="G9" s="1445">
        <f>41.75/1000</f>
        <v>4.1750000000000002E-2</v>
      </c>
      <c r="H9" s="1445">
        <v>0.47</v>
      </c>
      <c r="I9" s="1445">
        <v>17.32</v>
      </c>
      <c r="J9" s="1445">
        <f>1.77*1000</f>
        <v>1770</v>
      </c>
      <c r="K9" s="1467">
        <f>43.46/1000</f>
        <v>4.3459999999999999E-2</v>
      </c>
      <c r="L9" s="3035" t="s">
        <v>1095</v>
      </c>
      <c r="M9" s="3048">
        <v>0.23</v>
      </c>
      <c r="N9" s="3037">
        <v>0.93</v>
      </c>
      <c r="O9" s="3039">
        <v>1.95</v>
      </c>
      <c r="P9" s="3039">
        <v>7.5190000000000007E-2</v>
      </c>
      <c r="Q9" s="3039">
        <v>6.3500000000000001E-2</v>
      </c>
      <c r="R9" s="3039">
        <v>0.35</v>
      </c>
      <c r="S9" s="3037">
        <v>2.63</v>
      </c>
      <c r="T9" s="3037">
        <v>2120</v>
      </c>
      <c r="U9" s="3050">
        <v>7.5799999999999999E-3</v>
      </c>
      <c r="V9" s="1456">
        <f>(((C9-M9)*('Emission-Vehicle to be refueled'!B9))/(1000))</f>
        <v>38.993854136399797</v>
      </c>
      <c r="W9" s="1457">
        <f>(((D9-N9)*('Emission-Vehicle to be refueled'!B9))/(1000))</f>
        <v>7473.822042809963</v>
      </c>
      <c r="X9" s="1457">
        <f>(((E9-O9)*('Emission-Vehicle to be refueled'!B9))/(1000))</f>
        <v>45.492829825799745</v>
      </c>
      <c r="Y9" s="1457">
        <f>(((F9-P9)*('Emission-Vehicle to be refueled'!B9))/(1000))</f>
        <v>-7.6070510444426649</v>
      </c>
      <c r="Z9" s="1457">
        <f>(((G9-Q9)*('Emission-Vehicle to be refueled'!B9))/(1000))</f>
        <v>-7.0676360622224648</v>
      </c>
      <c r="AA9" s="1457">
        <f>(((H9-R9)*('Emission-Vehicle to be refueled'!B9))/(1000))</f>
        <v>38.993854136399804</v>
      </c>
      <c r="AB9" s="1437">
        <f>(((I9-S9)*('Emission-Vehicle to be refueled'!B9))/(1000))</f>
        <v>4773.4976438642771</v>
      </c>
      <c r="AC9" s="1465">
        <f>(((J9-T9)*('Emission-Vehicle to be refueled'!B9))/(1000))</f>
        <v>-113732.07456449943</v>
      </c>
      <c r="AD9" s="1437">
        <f>(((K9-U9)*('Emission-Vehicle to be refueled'!B9))/(1000))</f>
        <v>11.659162386783541</v>
      </c>
      <c r="AK9" s="272"/>
      <c r="AL9" s="272"/>
      <c r="AM9" s="272"/>
      <c r="AN9" s="272"/>
      <c r="AO9" s="272"/>
    </row>
    <row r="10" spans="1:41" ht="15" customHeight="1" thickBot="1" x14ac:dyDescent="0.3">
      <c r="A10" s="1468" t="s">
        <v>1777</v>
      </c>
      <c r="B10" s="1469">
        <f>'Digester Methane Calculation'!X82</f>
        <v>279070.2703672034</v>
      </c>
      <c r="C10" s="325">
        <f>(8.573*33.7*3412)/('Fleet Information'!D8*1000000)</f>
        <v>0.22403665027272732</v>
      </c>
      <c r="D10" s="232">
        <f>(23.042*33.7*3412)/('Fleet Information'!D8*1000000)</f>
        <v>0.6021523965454546</v>
      </c>
      <c r="E10" s="232">
        <f>(29.402*33.7*3412)/('Fleet Information'!D8*1000000)</f>
        <v>0.76835712018181823</v>
      </c>
      <c r="F10" s="232">
        <f>(0.448*33.7*3412)/('Fleet Information'!D8*1000000)</f>
        <v>1.1707502545454548E-2</v>
      </c>
      <c r="G10" s="232">
        <f>(0.399*33.7*3412)/('Fleet Information'!D8*1000000)</f>
        <v>1.0426994454545457E-2</v>
      </c>
      <c r="H10" s="232">
        <f>(11.342*33.7*3412)/('Fleet Information'!D8*1000000)</f>
        <v>0.29639842381818182</v>
      </c>
      <c r="I10" s="232">
        <f>(191.316*33.7*3412)/('Fleet Information'!D8*1000000)</f>
        <v>4.9996262432727274</v>
      </c>
      <c r="J10" s="232">
        <f>(5.272*33.7*3412)/('Fleet Information'!D8*1000000)</f>
        <v>0.13777221745454549</v>
      </c>
      <c r="K10" s="177">
        <f>(0.794*33.7*3412)/('Fleet Information'!D8*1000000)</f>
        <v>2.0749457636363638E-2</v>
      </c>
      <c r="L10" s="3036"/>
      <c r="M10" s="3049"/>
      <c r="N10" s="3038"/>
      <c r="O10" s="3040"/>
      <c r="P10" s="3040"/>
      <c r="Q10" s="3040"/>
      <c r="R10" s="3040"/>
      <c r="S10" s="3038"/>
      <c r="T10" s="3038"/>
      <c r="U10" s="3051"/>
      <c r="V10" s="322">
        <f>(((C10-M9)*('Emission-Vehicle to be refueled'!B10))/(1000))</f>
        <v>-1.6641936206841792</v>
      </c>
      <c r="W10" s="1458">
        <f>(((D10-N9)*('Emission-Vehicle to be refueled'!B10))/(1000))</f>
        <v>-91.49251933529969</v>
      </c>
      <c r="X10" s="1458">
        <f>(((E10-O9)*('Emission-Vehicle to be refueled'!B10))/(1000))</f>
        <v>-329.7613979483408</v>
      </c>
      <c r="Y10" s="1458">
        <f>(((F10-P9)*('Emission-Vehicle to be refueled'!B10))/(1000))</f>
        <v>-17.716077728225301</v>
      </c>
      <c r="Z10" s="1458">
        <f>(((G10-Q9)*('Emission-Vehicle to be refueled'!B10))/(1000))</f>
        <v>-14.811098006770084</v>
      </c>
      <c r="AA10" s="1458">
        <f>(((H10-R9)*('Emission-Vehicle to be refueled'!B10))/(1000))</f>
        <v>-14.958606357168243</v>
      </c>
      <c r="AB10" s="1436">
        <f>(((I10-S9)*('Emission-Vehicle to be refueled'!B10))/(1000))</f>
        <v>661.29223637934058</v>
      </c>
      <c r="AC10" s="1459">
        <f>(((J10-T9)*('Emission-Vehicle to be refueled'!B10))/(1000))</f>
        <v>-591590.52504849702</v>
      </c>
      <c r="AD10" s="1436">
        <f>(((K10-U9)*('Emission-Vehicle to be refueled'!B10))/(1000))</f>
        <v>3.6752041031694316</v>
      </c>
      <c r="AK10" s="272"/>
      <c r="AL10" s="272"/>
      <c r="AM10" s="272"/>
      <c r="AN10" s="272"/>
      <c r="AO10" s="272"/>
    </row>
    <row r="11" spans="1:41" ht="15.75" customHeight="1" x14ac:dyDescent="0.25">
      <c r="A11" s="859" t="s">
        <v>1099</v>
      </c>
      <c r="B11" s="1460">
        <f>'Digester Methane Calculation'!X84</f>
        <v>3393353.7103774701</v>
      </c>
      <c r="C11" s="1440">
        <v>0</v>
      </c>
      <c r="D11" s="1445">
        <v>0</v>
      </c>
      <c r="E11" s="1445">
        <v>0</v>
      </c>
      <c r="F11" s="1445">
        <v>1.4E-2</v>
      </c>
      <c r="G11" s="1445">
        <v>5.0000000000000001E-3</v>
      </c>
      <c r="H11" s="1462">
        <v>0</v>
      </c>
      <c r="I11" s="1462">
        <v>0</v>
      </c>
      <c r="J11" s="1462">
        <v>0</v>
      </c>
      <c r="K11" s="1463">
        <v>0</v>
      </c>
      <c r="L11" s="3057" t="s">
        <v>1385</v>
      </c>
      <c r="M11" s="3048">
        <v>0.23400000000000001</v>
      </c>
      <c r="N11" s="3037">
        <v>6.2610000000000001</v>
      </c>
      <c r="O11" s="3039">
        <v>0.42099999999999999</v>
      </c>
      <c r="P11" s="3039">
        <v>2.5999999999999999E-2</v>
      </c>
      <c r="Q11" s="3039">
        <v>1.4999999999999999E-2</v>
      </c>
      <c r="R11" s="3039">
        <v>3.0000000000000001E-3</v>
      </c>
      <c r="S11" s="3037">
        <v>1.7000000000000001E-2</v>
      </c>
      <c r="T11" s="3037">
        <v>524</v>
      </c>
      <c r="U11" s="3050">
        <v>4.1000000000000002E-2</v>
      </c>
      <c r="V11" s="1456">
        <f>(((C11-M11)*('Emission-Vehicle to be refueled'!B11))/(1000))</f>
        <v>-794.04476822832805</v>
      </c>
      <c r="W11" s="1457">
        <f>(((D11-N11)*('Emission-Vehicle to be refueled'!B11))/(1000))</f>
        <v>-21245.787580673339</v>
      </c>
      <c r="X11" s="1457">
        <f>(((E11-O11)*('Emission-Vehicle to be refueled'!B11))/(1000))</f>
        <v>-1428.6019120689148</v>
      </c>
      <c r="Y11" s="1457">
        <f>(((F11-P11)*('Emission-Vehicle to be refueled'!B11))/(1000))</f>
        <v>-40.720244524529633</v>
      </c>
      <c r="Z11" s="1457">
        <f>(((G11-Q11)*('Emission-Vehicle to be refueled'!B11))/(1000))</f>
        <v>-33.933537103774697</v>
      </c>
      <c r="AA11" s="1457">
        <f>(((H11-R11)*('Emission-Vehicle to be refueled'!B11))/(1000))</f>
        <v>-10.18006113113241</v>
      </c>
      <c r="AB11" s="1457">
        <f>(((I11-S11)*('Emission-Vehicle to be refueled'!B11))/(1000))</f>
        <v>-57.687013076416996</v>
      </c>
      <c r="AC11" s="1457">
        <f>(((J11-T11)*('Emission-Vehicle to be refueled'!B11))/(1000))</f>
        <v>-1778117.3442377944</v>
      </c>
      <c r="AD11" s="1437">
        <f>(((K11-U11)*('Emission-Vehicle to be refueled'!B11))/(1000))</f>
        <v>-139.12750212547627</v>
      </c>
      <c r="AK11" s="272"/>
      <c r="AL11" s="272"/>
      <c r="AM11" s="272"/>
      <c r="AN11" s="272"/>
      <c r="AO11" s="272"/>
    </row>
    <row r="12" spans="1:41" ht="15.75" customHeight="1" thickBot="1" x14ac:dyDescent="0.3">
      <c r="A12" s="956" t="s">
        <v>1778</v>
      </c>
      <c r="B12" s="323">
        <f>'Digester Methane Calculation'!X85</f>
        <v>4084747.5028680838</v>
      </c>
      <c r="C12" s="325">
        <v>0.114</v>
      </c>
      <c r="D12" s="232">
        <v>5.3440000000000003</v>
      </c>
      <c r="E12" s="232">
        <v>0.35899999999999999</v>
      </c>
      <c r="F12" s="232">
        <v>2.3E-2</v>
      </c>
      <c r="G12" s="232">
        <v>1.2E-2</v>
      </c>
      <c r="H12" s="232">
        <v>1E-3</v>
      </c>
      <c r="I12" s="232">
        <v>0.17</v>
      </c>
      <c r="J12" s="232">
        <v>426</v>
      </c>
      <c r="K12" s="177">
        <v>4.1000000000000002E-2</v>
      </c>
      <c r="L12" s="3058"/>
      <c r="M12" s="3049"/>
      <c r="N12" s="3038"/>
      <c r="O12" s="3040"/>
      <c r="P12" s="3040"/>
      <c r="Q12" s="3040"/>
      <c r="R12" s="3040"/>
      <c r="S12" s="3038"/>
      <c r="T12" s="3038"/>
      <c r="U12" s="3051"/>
      <c r="V12" s="322">
        <f>(((C12-M11)*('Emission-Vehicle to be refueled'!B12))/(1000))</f>
        <v>-490.16970034417011</v>
      </c>
      <c r="W12" s="1458">
        <f>(((D12-N11)*('Emission-Vehicle to be refueled'!B12))/(1000))</f>
        <v>-3745.7134601300322</v>
      </c>
      <c r="X12" s="1458">
        <f>(((E12-O11)*('Emission-Vehicle to be refueled'!B12))/(1000))</f>
        <v>-253.25434517782119</v>
      </c>
      <c r="Y12" s="1458">
        <f>(((F12-P11)*('Emission-Vehicle to be refueled'!B12))/(1000))</f>
        <v>-12.254242508604248</v>
      </c>
      <c r="Z12" s="1458">
        <f>(((G12-Q11)*('Emission-Vehicle to be refueled'!B12))/(1000))</f>
        <v>-12.254242508604248</v>
      </c>
      <c r="AA12" s="1458">
        <f>(((H12-R11)*('Emission-Vehicle to be refueled'!B12))/(1000))</f>
        <v>-8.1694950057361684</v>
      </c>
      <c r="AB12" s="1458">
        <f>(((I12-S11)*('Emission-Vehicle to be refueled'!B12))/(1000))</f>
        <v>624.96636793881692</v>
      </c>
      <c r="AC12" s="1458">
        <f>(((J12-T11)*('Emission-Vehicle to be refueled'!B12))/(1000))</f>
        <v>-400305.25528107223</v>
      </c>
      <c r="AD12" s="1436">
        <f>(((K12-U11)*('Emission-Vehicle to be refueled'!B12))/(1000))</f>
        <v>0</v>
      </c>
      <c r="AK12" s="272"/>
      <c r="AL12" s="272"/>
      <c r="AM12" s="272"/>
      <c r="AN12" s="272"/>
      <c r="AO12" s="272"/>
    </row>
    <row r="13" spans="1:41" ht="15.75" customHeight="1" x14ac:dyDescent="0.25">
      <c r="A13" s="1455" t="s">
        <v>320</v>
      </c>
      <c r="B13" s="1454">
        <f>'Digester Methane Calculation'!X86</f>
        <v>2581400.0008966313</v>
      </c>
      <c r="C13" s="1443">
        <v>0</v>
      </c>
      <c r="D13" s="1444">
        <v>0</v>
      </c>
      <c r="E13" s="1444">
        <v>0</v>
      </c>
      <c r="F13" s="1444">
        <v>1.4E-2</v>
      </c>
      <c r="G13" s="1444">
        <v>5.0000000000000001E-3</v>
      </c>
      <c r="H13" s="1444">
        <v>0</v>
      </c>
      <c r="I13" s="1444">
        <v>0</v>
      </c>
      <c r="J13" s="1444">
        <v>0</v>
      </c>
      <c r="K13" s="1442">
        <v>0</v>
      </c>
      <c r="L13" s="3059" t="s">
        <v>1386</v>
      </c>
      <c r="M13" s="3043">
        <v>0.185</v>
      </c>
      <c r="N13" s="3042">
        <v>2.6240000000000001</v>
      </c>
      <c r="O13" s="3041">
        <v>0.14199999999999999</v>
      </c>
      <c r="P13" s="3041">
        <v>2.3E-2</v>
      </c>
      <c r="Q13" s="3041">
        <v>1.0999999999999999E-2</v>
      </c>
      <c r="R13" s="3041">
        <v>2E-3</v>
      </c>
      <c r="S13" s="3042">
        <v>1.2E-2</v>
      </c>
      <c r="T13" s="3042">
        <v>429</v>
      </c>
      <c r="U13" s="3052">
        <v>0.01</v>
      </c>
      <c r="V13" s="1450">
        <f>(((C13-M13)*('Emission-Vehicle to be refueled'!B13))/(1000))</f>
        <v>-477.55900016587674</v>
      </c>
      <c r="W13" s="1450">
        <f>(((D13-N13)*('Emission-Vehicle to be refueled'!B13))/(1000))</f>
        <v>-6773.5936023527611</v>
      </c>
      <c r="X13" s="1450">
        <f>(((E13-O13)*('Emission-Vehicle to be refueled'!B13))/(1000))</f>
        <v>-366.5588001273216</v>
      </c>
      <c r="Y13" s="1450">
        <f>(((F13-P13)*('Emission-Vehicle to be refueled'!B13))/(1000))</f>
        <v>-23.232600008069678</v>
      </c>
      <c r="Z13" s="1450">
        <f>(((G13-Q13)*('Emission-Vehicle to be refueled'!B13))/(1000))</f>
        <v>-15.488400005379786</v>
      </c>
      <c r="AA13" s="1450">
        <f>(((H13-R13)*('Emission-Vehicle to be refueled'!B13))/(1000))</f>
        <v>-5.1628000017932631</v>
      </c>
      <c r="AB13" s="1450">
        <f>(((I13-S13)*('Emission-Vehicle to be refueled'!B13))/(1000))</f>
        <v>-30.976800010759575</v>
      </c>
      <c r="AC13" s="1450">
        <f>(((J13-T13)*('Emission-Vehicle to be refueled'!B13))/(1000))</f>
        <v>-1107420.6003846547</v>
      </c>
      <c r="AD13" s="1450">
        <f>(((K13-U13)*('Emission-Vehicle to be refueled'!B13))/(1000))</f>
        <v>-25.81400000896631</v>
      </c>
      <c r="AK13" s="272"/>
      <c r="AL13" s="272"/>
      <c r="AM13" s="272"/>
      <c r="AN13" s="272"/>
      <c r="AO13" s="272"/>
    </row>
    <row r="14" spans="1:41" ht="15.75" customHeight="1" thickBot="1" x14ac:dyDescent="0.3">
      <c r="A14" s="737" t="s">
        <v>1779</v>
      </c>
      <c r="B14" s="323">
        <f>'Digester Methane Calculation'!X87</f>
        <v>3220666.3003382972</v>
      </c>
      <c r="C14" s="325">
        <v>7.9000000000000001E-2</v>
      </c>
      <c r="D14" s="232">
        <v>2.2400000000000002</v>
      </c>
      <c r="E14" s="232">
        <v>0.121</v>
      </c>
      <c r="F14" s="232">
        <v>1.9E-2</v>
      </c>
      <c r="G14" s="232">
        <v>0.01</v>
      </c>
      <c r="H14" s="232">
        <v>1E-3</v>
      </c>
      <c r="I14" s="232">
        <v>0.11899999999999999</v>
      </c>
      <c r="J14" s="232">
        <v>350</v>
      </c>
      <c r="K14" s="177">
        <v>0.01</v>
      </c>
      <c r="L14" s="3060"/>
      <c r="M14" s="3044"/>
      <c r="N14" s="3045"/>
      <c r="O14" s="3042"/>
      <c r="P14" s="3042"/>
      <c r="Q14" s="3042"/>
      <c r="R14" s="3042"/>
      <c r="S14" s="3045"/>
      <c r="T14" s="3045"/>
      <c r="U14" s="3053"/>
      <c r="V14" s="1438">
        <f>(((C14-M13)*('Emission-Vehicle to be refueled'!B14))/(1000))</f>
        <v>-341.3906278358595</v>
      </c>
      <c r="W14" s="1450">
        <f>(((D14-N13)*('Emission-Vehicle to be refueled'!B14))/(1000))</f>
        <v>-1236.7358593299059</v>
      </c>
      <c r="X14" s="1450">
        <f>(((E14-O13)*('Emission-Vehicle to be refueled'!B14))/(1000))</f>
        <v>-67.633992307104208</v>
      </c>
      <c r="Y14" s="1450">
        <f>(((F14-P13)*('Emission-Vehicle to be refueled'!B14))/(1000))</f>
        <v>-12.882665201353189</v>
      </c>
      <c r="Z14" s="1450">
        <f>(((G14-Q13)*('Emission-Vehicle to be refueled'!B14))/(1000))</f>
        <v>-3.2206663003382947</v>
      </c>
      <c r="AA14" s="1450">
        <f>(((H14-R13)*('Emission-Vehicle to be refueled'!B14))/(1000))</f>
        <v>-3.2206663003382974</v>
      </c>
      <c r="AB14" s="1450">
        <f>(((I14-S13)*('Emission-Vehicle to be refueled'!B14))/(1000))</f>
        <v>344.61129413619778</v>
      </c>
      <c r="AC14" s="1450">
        <f>(((J14-T13)*('Emission-Vehicle to be refueled'!B14))/(1000))</f>
        <v>-254432.63772672549</v>
      </c>
      <c r="AD14" s="1450">
        <f>(((K14-U13)*('Emission-Vehicle to be refueled'!B14))/(1000))</f>
        <v>0</v>
      </c>
      <c r="AK14" s="272"/>
      <c r="AL14" s="272"/>
      <c r="AM14" s="272"/>
      <c r="AN14" s="272"/>
      <c r="AO14" s="272"/>
    </row>
    <row r="15" spans="1:41" s="230" customFormat="1" ht="15.75" customHeight="1" thickBot="1" x14ac:dyDescent="0.3">
      <c r="A15" s="783"/>
      <c r="B15" s="789"/>
      <c r="C15" s="790"/>
      <c r="D15" s="791"/>
      <c r="E15" s="791"/>
      <c r="F15" s="792"/>
      <c r="G15" s="792"/>
      <c r="H15" s="791"/>
      <c r="I15" s="791"/>
      <c r="J15" s="791"/>
      <c r="K15" s="793"/>
      <c r="L15" s="794"/>
      <c r="M15" s="794"/>
      <c r="N15" s="794"/>
      <c r="O15" s="794"/>
      <c r="P15" s="794"/>
      <c r="Q15" s="794"/>
      <c r="R15" s="794"/>
      <c r="S15" s="794"/>
      <c r="T15" s="794"/>
      <c r="U15" s="149"/>
      <c r="V15" s="286"/>
      <c r="W15" s="750"/>
      <c r="X15" s="751"/>
      <c r="Y15" s="751"/>
      <c r="Z15" s="751"/>
      <c r="AA15" s="752"/>
      <c r="AB15" s="752"/>
      <c r="AC15" s="751"/>
      <c r="AD15" s="751"/>
      <c r="AE15" s="751"/>
      <c r="AF15" s="751"/>
      <c r="AG15" s="272"/>
      <c r="AH15" s="272"/>
      <c r="AI15" s="272"/>
      <c r="AJ15" s="272"/>
      <c r="AK15" s="272"/>
      <c r="AL15" s="272"/>
      <c r="AM15" s="272"/>
      <c r="AN15" s="272"/>
      <c r="AO15" s="272"/>
    </row>
    <row r="16" spans="1:41" s="230" customFormat="1" ht="15.75" customHeight="1" x14ac:dyDescent="0.25">
      <c r="A16" s="2278" t="s">
        <v>1196</v>
      </c>
      <c r="B16" s="2509"/>
      <c r="C16" s="2509"/>
      <c r="D16" s="2509"/>
      <c r="E16" s="2509"/>
      <c r="F16" s="2509"/>
      <c r="G16" s="2509"/>
      <c r="H16" s="2509"/>
      <c r="I16" s="2509"/>
      <c r="J16" s="2509"/>
      <c r="K16" s="2509"/>
      <c r="L16" s="2509"/>
      <c r="M16" s="2509"/>
      <c r="N16" s="2509"/>
      <c r="O16" s="2509"/>
      <c r="P16" s="2509"/>
      <c r="Q16" s="2509"/>
      <c r="R16" s="2509"/>
      <c r="S16" s="2509"/>
      <c r="T16" s="2509"/>
      <c r="U16" s="2509"/>
      <c r="V16" s="2509"/>
      <c r="W16" s="2509"/>
      <c r="X16" s="2509"/>
      <c r="Y16" s="2509"/>
      <c r="Z16" s="2509"/>
      <c r="AA16" s="2509"/>
      <c r="AB16" s="2509"/>
      <c r="AC16" s="2509"/>
      <c r="AD16" s="2510"/>
      <c r="AE16" s="751"/>
      <c r="AF16" s="751"/>
      <c r="AG16" s="272"/>
      <c r="AH16" s="272"/>
      <c r="AI16" s="272"/>
      <c r="AJ16" s="272"/>
      <c r="AK16" s="272"/>
      <c r="AL16" s="272"/>
      <c r="AM16" s="272"/>
      <c r="AN16" s="272"/>
      <c r="AO16" s="272"/>
    </row>
    <row r="17" spans="1:41" s="230" customFormat="1" ht="15.75" customHeight="1" thickBot="1" x14ac:dyDescent="0.3">
      <c r="A17" s="2280"/>
      <c r="B17" s="3063"/>
      <c r="C17" s="3063"/>
      <c r="D17" s="3063"/>
      <c r="E17" s="3063"/>
      <c r="F17" s="3063"/>
      <c r="G17" s="3063"/>
      <c r="H17" s="3063"/>
      <c r="I17" s="3063"/>
      <c r="J17" s="3063"/>
      <c r="K17" s="3063"/>
      <c r="L17" s="3063"/>
      <c r="M17" s="3063"/>
      <c r="N17" s="3063"/>
      <c r="O17" s="3063"/>
      <c r="P17" s="3063"/>
      <c r="Q17" s="3063"/>
      <c r="R17" s="3063"/>
      <c r="S17" s="3063"/>
      <c r="T17" s="3063"/>
      <c r="U17" s="3063"/>
      <c r="V17" s="3063"/>
      <c r="W17" s="3063"/>
      <c r="X17" s="3063"/>
      <c r="Y17" s="3063"/>
      <c r="Z17" s="3063"/>
      <c r="AA17" s="3063"/>
      <c r="AB17" s="3063"/>
      <c r="AC17" s="3063"/>
      <c r="AD17" s="3064"/>
      <c r="AE17" s="751"/>
      <c r="AF17" s="751"/>
      <c r="AG17" s="272"/>
      <c r="AH17" s="272"/>
      <c r="AI17" s="272"/>
      <c r="AJ17" s="272"/>
      <c r="AK17" s="272"/>
      <c r="AL17" s="272"/>
      <c r="AM17" s="272"/>
      <c r="AN17" s="272"/>
      <c r="AO17" s="272"/>
    </row>
    <row r="18" spans="1:41" s="230" customFormat="1" ht="51" customHeight="1" thickBot="1" x14ac:dyDescent="0.3">
      <c r="A18" s="3027" t="str">
        <f>A5</f>
        <v>Emission of pollutants from vehicles 
running by electricity and RNG</v>
      </c>
      <c r="B18" s="3029" t="s">
        <v>1087</v>
      </c>
      <c r="C18" s="3031" t="s">
        <v>1557</v>
      </c>
      <c r="D18" s="3032"/>
      <c r="E18" s="3032"/>
      <c r="F18" s="3032"/>
      <c r="G18" s="3032"/>
      <c r="H18" s="3032"/>
      <c r="I18" s="3032"/>
      <c r="J18" s="3032"/>
      <c r="K18" s="3033"/>
      <c r="L18" s="3021" t="s">
        <v>1465</v>
      </c>
      <c r="M18" s="3061" t="s">
        <v>1470</v>
      </c>
      <c r="N18" s="3061"/>
      <c r="O18" s="3061"/>
      <c r="P18" s="3061"/>
      <c r="Q18" s="3061"/>
      <c r="R18" s="3061"/>
      <c r="S18" s="3061"/>
      <c r="T18" s="3061"/>
      <c r="U18" s="3062"/>
      <c r="V18" s="3034" t="str">
        <f>V5</f>
        <v xml:space="preserve">Emission of each pollutant from each type of vehicle (kg/year) </v>
      </c>
      <c r="W18" s="2844"/>
      <c r="X18" s="2844"/>
      <c r="Y18" s="2844"/>
      <c r="Z18" s="2844"/>
      <c r="AA18" s="2844"/>
      <c r="AB18" s="2844"/>
      <c r="AC18" s="2844"/>
      <c r="AD18" s="2845"/>
      <c r="AE18" s="751"/>
      <c r="AO18" s="272"/>
    </row>
    <row r="19" spans="1:41" s="230" customFormat="1" ht="15.75" customHeight="1" thickBot="1" x14ac:dyDescent="0.3">
      <c r="A19" s="3028"/>
      <c r="B19" s="3030"/>
      <c r="C19" s="1397" t="str">
        <f t="shared" ref="C19:K19" si="0">C6</f>
        <v xml:space="preserve">VOC </v>
      </c>
      <c r="D19" s="1439" t="str">
        <f t="shared" si="0"/>
        <v xml:space="preserve">CO </v>
      </c>
      <c r="E19" s="1439" t="str">
        <f t="shared" si="0"/>
        <v xml:space="preserve">NOx </v>
      </c>
      <c r="F19" s="1439" t="str">
        <f t="shared" si="0"/>
        <v>PM10</v>
      </c>
      <c r="G19" s="1439" t="str">
        <f t="shared" si="0"/>
        <v>PM2.5</v>
      </c>
      <c r="H19" s="1439" t="str">
        <f t="shared" si="0"/>
        <v>SOx</v>
      </c>
      <c r="I19" s="1439" t="str">
        <f t="shared" si="0"/>
        <v>CH4</v>
      </c>
      <c r="J19" s="1439" t="str">
        <f t="shared" si="0"/>
        <v>CO2</v>
      </c>
      <c r="K19" s="707" t="str">
        <f t="shared" si="0"/>
        <v>N2O</v>
      </c>
      <c r="L19" s="3022"/>
      <c r="M19" s="1453" t="s">
        <v>20</v>
      </c>
      <c r="N19" s="1447" t="s">
        <v>21</v>
      </c>
      <c r="O19" s="1448" t="s">
        <v>79</v>
      </c>
      <c r="P19" s="1448" t="s">
        <v>17</v>
      </c>
      <c r="Q19" s="1448" t="s">
        <v>18</v>
      </c>
      <c r="R19" s="1448" t="s">
        <v>1466</v>
      </c>
      <c r="S19" s="1448" t="s">
        <v>1467</v>
      </c>
      <c r="T19" s="1448" t="s">
        <v>1468</v>
      </c>
      <c r="U19" s="1449" t="s">
        <v>1469</v>
      </c>
      <c r="V19" s="1470" t="str">
        <f>V6</f>
        <v xml:space="preserve">VOC </v>
      </c>
      <c r="W19" s="1471" t="str">
        <f t="shared" ref="W19:AD19" si="1">W6</f>
        <v xml:space="preserve">CO </v>
      </c>
      <c r="X19" s="1471" t="str">
        <f t="shared" si="1"/>
        <v xml:space="preserve">NOx </v>
      </c>
      <c r="Y19" s="1471" t="str">
        <f t="shared" si="1"/>
        <v>PM10</v>
      </c>
      <c r="Z19" s="1471" t="str">
        <f t="shared" si="1"/>
        <v>PM2.5</v>
      </c>
      <c r="AA19" s="1471" t="str">
        <f t="shared" si="1"/>
        <v>SOx</v>
      </c>
      <c r="AB19" s="1471" t="str">
        <f t="shared" si="1"/>
        <v>CH4</v>
      </c>
      <c r="AC19" s="1471" t="str">
        <f t="shared" si="1"/>
        <v>CO2</v>
      </c>
      <c r="AD19" s="1472" t="str">
        <f t="shared" si="1"/>
        <v>N2O</v>
      </c>
      <c r="AE19" s="751"/>
      <c r="AO19" s="272"/>
    </row>
    <row r="20" spans="1:41" s="230" customFormat="1" ht="15.75" customHeight="1" x14ac:dyDescent="0.25">
      <c r="A20" s="361" t="str">
        <f t="shared" ref="A20:A27" si="2">A7</f>
        <v>EV Passenger Car</v>
      </c>
      <c r="B20" s="1317">
        <f>'Landfill Methane Calculation'!X80</f>
        <v>2757578.6359726624</v>
      </c>
      <c r="C20" s="1461">
        <f>(8.573*33.7*3412)/('Fleet Information'!D5*1000000)</f>
        <v>1.369112862777778E-2</v>
      </c>
      <c r="D20" s="1462">
        <f>(23.042*33.7*3412)/('Fleet Information'!D5*1000000)</f>
        <v>3.6798202011111114E-2</v>
      </c>
      <c r="E20" s="1462">
        <f>(29.402*33.7*3412)/('Fleet Information'!D5*1000000)</f>
        <v>4.6955157344444449E-2</v>
      </c>
      <c r="F20" s="1462">
        <f>(0.448*33.7*3412)/('Fleet Information'!D5*1000000)</f>
        <v>7.1545848888888899E-4</v>
      </c>
      <c r="G20" s="1462">
        <f>(0.399*33.7*3412)/('Fleet Information'!D5*1000000)</f>
        <v>6.3720521666666677E-4</v>
      </c>
      <c r="H20" s="1462">
        <f>(11.342*33.7*3412)/('Fleet Information'!D5*1000000)</f>
        <v>1.8113237011111113E-2</v>
      </c>
      <c r="I20" s="1462">
        <f>(191.316*33.7*3412)/('Fleet Information'!D5*1000000)</f>
        <v>0.30553271486666667</v>
      </c>
      <c r="J20" s="1462">
        <f>(5.272*33.7*3412)/('Fleet Information'!D5*1000000)</f>
        <v>8.4194132888888908E-3</v>
      </c>
      <c r="K20" s="1463">
        <f>(0.794*33.7*3412)/('Fleet Information'!D5*1000000)</f>
        <v>1.2680224111111112E-3</v>
      </c>
      <c r="L20" s="3057" t="s">
        <v>1384</v>
      </c>
      <c r="M20" s="3048">
        <v>0.25</v>
      </c>
      <c r="N20" s="3037">
        <v>2.77</v>
      </c>
      <c r="O20" s="3039">
        <v>0.3</v>
      </c>
      <c r="P20" s="3039">
        <v>2.2270000000000002E-2</v>
      </c>
      <c r="Q20" s="3039">
        <v>1.7129999999999999E-2</v>
      </c>
      <c r="R20" s="3039">
        <v>0.11</v>
      </c>
      <c r="S20" s="3037">
        <v>0.44</v>
      </c>
      <c r="T20" s="3037">
        <v>350</v>
      </c>
      <c r="U20" s="3046">
        <v>1.8100000000000002E-2</v>
      </c>
      <c r="V20" s="1456">
        <f>((C20-M20)*('Emission-Vehicle to be refueled'!B20))/(1000)</f>
        <v>-651.64029518685186</v>
      </c>
      <c r="W20" s="1456">
        <f>((D20-N20)*('Emission-Vehicle to be refueled'!B20))/(1000)</f>
        <v>-7537.0188859362288</v>
      </c>
      <c r="X20" s="1456">
        <f>((E20-O20)*('Emission-Vehicle to be refueled'!B20))/(1000)</f>
        <v>-697.79105205002384</v>
      </c>
      <c r="Y20" s="1456">
        <f>((F20-P20)*('Emission-Vehicle to be refueled'!B20))/(1000)</f>
        <v>-59.43834317922591</v>
      </c>
      <c r="Z20" s="1456">
        <f>((G20-Q20)*('Emission-Vehicle to be refueled'!B20))/(1000)</f>
        <v>-45.480178542001376</v>
      </c>
      <c r="AA20" s="1456">
        <f>((H20-R20)*('Emission-Vehicle to be refueled'!B20))/(1000)</f>
        <v>-253.38497454684352</v>
      </c>
      <c r="AB20" s="1456">
        <f>((I20-S20)*('Emission-Vehicle to be refueled'!B20))/(1000)</f>
        <v>-370.80411272092442</v>
      </c>
      <c r="AC20" s="1456">
        <f>((J20-T20)*('Emission-Vehicle to be refueled'!B20))/(1000)</f>
        <v>-965129.30539621902</v>
      </c>
      <c r="AD20" s="1473">
        <f>((K20-U20)*('Emission-Vehicle to be refueled'!B20))/(1000)</f>
        <v>-46.415501800290649</v>
      </c>
      <c r="AE20" s="751"/>
      <c r="AO20" s="272"/>
    </row>
    <row r="21" spans="1:41" s="230" customFormat="1" ht="15.75" customHeight="1" thickBot="1" x14ac:dyDescent="0.3">
      <c r="A21" s="319" t="str">
        <f t="shared" si="2"/>
        <v>RNG Passenger car</v>
      </c>
      <c r="B21" s="753">
        <f>'Landfill Methane Calculation'!X81</f>
        <v>3259942.7186351055</v>
      </c>
      <c r="C21" s="1441">
        <v>0.17</v>
      </c>
      <c r="D21" s="1435">
        <v>2.86</v>
      </c>
      <c r="E21" s="1435">
        <v>0.32</v>
      </c>
      <c r="F21" s="1435">
        <f>9.27/1000</f>
        <v>9.2699999999999987E-3</v>
      </c>
      <c r="G21" s="1435">
        <f>7.45/1000</f>
        <v>7.45E-3</v>
      </c>
      <c r="H21" s="1435">
        <f>79.45/1000</f>
        <v>7.9450000000000007E-2</v>
      </c>
      <c r="I21" s="1435">
        <v>1.28</v>
      </c>
      <c r="J21" s="1435">
        <f>0.31*1000</f>
        <v>310</v>
      </c>
      <c r="K21" s="1464">
        <f>14.89/1000</f>
        <v>1.489E-2</v>
      </c>
      <c r="L21" s="3058"/>
      <c r="M21" s="3049"/>
      <c r="N21" s="3038"/>
      <c r="O21" s="3040"/>
      <c r="P21" s="3040"/>
      <c r="Q21" s="3040"/>
      <c r="R21" s="3040"/>
      <c r="S21" s="3038"/>
      <c r="T21" s="3038"/>
      <c r="U21" s="3047"/>
      <c r="V21" s="322">
        <f>((C21-M20)*('Emission-Vehicle to be refueled'!B21))/(1000)</f>
        <v>-260.7954174908084</v>
      </c>
      <c r="W21" s="322">
        <f>((D21-N20)*('Emission-Vehicle to be refueled'!B21))/(1000)</f>
        <v>293.39484467715903</v>
      </c>
      <c r="X21" s="322">
        <f>((E21-O20)*('Emission-Vehicle to be refueled'!B21))/(1000)</f>
        <v>65.198854372702172</v>
      </c>
      <c r="Y21" s="322">
        <f>((F21-P20)*('Emission-Vehicle to be refueled'!B21))/(1000)</f>
        <v>-42.379255342256378</v>
      </c>
      <c r="Z21" s="322">
        <f>((G21-Q20)*('Emission-Vehicle to be refueled'!B21))/(1000)</f>
        <v>-31.556245516387818</v>
      </c>
      <c r="AA21" s="322">
        <f>((H21-R20)*('Emission-Vehicle to be refueled'!B21))/(1000)</f>
        <v>-99.591250054302449</v>
      </c>
      <c r="AB21" s="322">
        <f>((I21-S20)*('Emission-Vehicle to be refueled'!B21))/(1000)</f>
        <v>2738.351883653489</v>
      </c>
      <c r="AC21" s="322">
        <f>((J21-T20)*('Emission-Vehicle to be refueled'!B21))/(1000)</f>
        <v>-130397.70874540422</v>
      </c>
      <c r="AD21" s="1474">
        <f>((K21-U20)*('Emission-Vehicle to be refueled'!B21))/(1000)</f>
        <v>-10.464416126818692</v>
      </c>
      <c r="AE21" s="751"/>
      <c r="AO21" s="272"/>
    </row>
    <row r="22" spans="1:41" s="230" customFormat="1" ht="15.75" customHeight="1" x14ac:dyDescent="0.25">
      <c r="A22" s="319" t="str">
        <f t="shared" si="2"/>
        <v>EV Garbage Truck</v>
      </c>
      <c r="B22" s="753">
        <f>'Landfill Methane Calculation'!X82</f>
        <v>139535.1351836017</v>
      </c>
      <c r="C22" s="1440">
        <v>0.35</v>
      </c>
      <c r="D22" s="1445">
        <v>23.93</v>
      </c>
      <c r="E22" s="1445">
        <v>2.09</v>
      </c>
      <c r="F22" s="1445">
        <f>51.78/1000</f>
        <v>5.178E-2</v>
      </c>
      <c r="G22" s="1445">
        <f>41.75/1000</f>
        <v>4.1750000000000002E-2</v>
      </c>
      <c r="H22" s="1445">
        <v>0.47</v>
      </c>
      <c r="I22" s="1445">
        <v>17.32</v>
      </c>
      <c r="J22" s="1445">
        <f>1.77*1000</f>
        <v>1770</v>
      </c>
      <c r="K22" s="1467">
        <f>43.46/1000</f>
        <v>4.3459999999999999E-2</v>
      </c>
      <c r="L22" s="3035" t="s">
        <v>1095</v>
      </c>
      <c r="M22" s="3048">
        <v>0.23</v>
      </c>
      <c r="N22" s="3037">
        <v>0.93</v>
      </c>
      <c r="O22" s="3039">
        <v>1.95</v>
      </c>
      <c r="P22" s="3039">
        <v>7.5190000000000007E-2</v>
      </c>
      <c r="Q22" s="3039">
        <v>6.3500000000000001E-2</v>
      </c>
      <c r="R22" s="3039">
        <v>0.35</v>
      </c>
      <c r="S22" s="3037">
        <v>2.63</v>
      </c>
      <c r="T22" s="3037">
        <v>2120</v>
      </c>
      <c r="U22" s="3050">
        <v>7.5799999999999999E-3</v>
      </c>
      <c r="V22" s="1456">
        <f>((C22-M22)*('Emission-Vehicle to be refueled'!B22))/(1000)</f>
        <v>16.7442162220322</v>
      </c>
      <c r="W22" s="1456">
        <f>((D22-N22)*('Emission-Vehicle to be refueled'!B22))/(1000)</f>
        <v>3209.308109222839</v>
      </c>
      <c r="X22" s="1456">
        <f>((E22-O22)*('Emission-Vehicle to be refueled'!B22))/(1000)</f>
        <v>19.534918925704222</v>
      </c>
      <c r="Y22" s="1456">
        <f>((F22-P22)*('Emission-Vehicle to be refueled'!B22))/(1000)</f>
        <v>-3.2665175146481169</v>
      </c>
      <c r="Z22" s="1456">
        <f>((G22-Q22)*('Emission-Vehicle to be refueled'!B22))/(1000)</f>
        <v>-3.0348891902433364</v>
      </c>
      <c r="AA22" s="1456">
        <f>((H22-R22)*('Emission-Vehicle to be refueled'!B22))/(1000)</f>
        <v>16.744216222032204</v>
      </c>
      <c r="AB22" s="1456">
        <f>((I22-S22)*('Emission-Vehicle to be refueled'!B22))/(1000)</f>
        <v>2049.7711358471092</v>
      </c>
      <c r="AC22" s="1456">
        <f>((J22-T22)*('Emission-Vehicle to be refueled'!B22))/(1000)</f>
        <v>-48837.297314260592</v>
      </c>
      <c r="AD22" s="1473">
        <f>((K22-U22)*('Emission-Vehicle to be refueled'!B22))/(1000)</f>
        <v>5.0065206503876283</v>
      </c>
      <c r="AE22" s="751"/>
      <c r="AO22" s="272"/>
    </row>
    <row r="23" spans="1:41" s="230" customFormat="1" ht="15.75" customHeight="1" thickBot="1" x14ac:dyDescent="0.3">
      <c r="A23" s="319" t="str">
        <f t="shared" si="2"/>
        <v xml:space="preserve">RNG Garbage truck 
</v>
      </c>
      <c r="B23" s="753">
        <f>'Landfill Methane Calculation'!X83</f>
        <v>162474.39223499919</v>
      </c>
      <c r="C23" s="325">
        <f>(8.573*33.7*3412)/('Fleet Information'!D8*1000000)</f>
        <v>0.22403665027272732</v>
      </c>
      <c r="D23" s="232">
        <f>(23.042*33.7*3412)/('Fleet Information'!D8*1000000)</f>
        <v>0.6021523965454546</v>
      </c>
      <c r="E23" s="232">
        <f>(29.402*33.7*3412)/('Fleet Information'!D8*1000000)</f>
        <v>0.76835712018181823</v>
      </c>
      <c r="F23" s="232">
        <f>(0.448*33.7*3412)/('Fleet Information'!D8*1000000)</f>
        <v>1.1707502545454548E-2</v>
      </c>
      <c r="G23" s="232">
        <f>(0.399*33.7*3412)/('Fleet Information'!D8*1000000)</f>
        <v>1.0426994454545457E-2</v>
      </c>
      <c r="H23" s="232">
        <f>(11.342*33.7*3412)/('Fleet Information'!D8*1000000)</f>
        <v>0.29639842381818182</v>
      </c>
      <c r="I23" s="232">
        <f>(191.316*33.7*3412)/('Fleet Information'!D8*1000000)</f>
        <v>4.9996262432727274</v>
      </c>
      <c r="J23" s="232">
        <f>(5.272*33.7*3412)/('Fleet Information'!D8*1000000)</f>
        <v>0.13777221745454549</v>
      </c>
      <c r="K23" s="177">
        <f>(0.794*33.7*3412)/('Fleet Information'!D8*1000000)</f>
        <v>2.0749457636363638E-2</v>
      </c>
      <c r="L23" s="3036"/>
      <c r="M23" s="3049"/>
      <c r="N23" s="3038"/>
      <c r="O23" s="3040"/>
      <c r="P23" s="3040"/>
      <c r="Q23" s="3040"/>
      <c r="R23" s="3040"/>
      <c r="S23" s="3038"/>
      <c r="T23" s="3038"/>
      <c r="U23" s="3051"/>
      <c r="V23" s="322">
        <f>((C23-M22)*('Emission-Vehicle to be refueled'!B23))/(1000)</f>
        <v>-0.96889162262337902</v>
      </c>
      <c r="W23" s="322">
        <f>((D23-N22)*('Emission-Vehicle to be refueled'!B23))/(1000)</f>
        <v>-53.266840116978294</v>
      </c>
      <c r="X23" s="322">
        <f>((E23-O22)*('Emission-Vehicle to be refueled'!B23))/(1000)</f>
        <v>-191.98670873727326</v>
      </c>
      <c r="Y23" s="322">
        <f>((F23-P22)*('Emission-Vehicle to be refueled'!B23))/(1000)</f>
        <v>-10.314280191487157</v>
      </c>
      <c r="Z23" s="322">
        <f>((G23-Q22)*('Emission-Vehicle to be refueled'!B23))/(1000)</f>
        <v>-8.6230043200824689</v>
      </c>
      <c r="AA23" s="322">
        <f>((H23-R22)*('Emission-Vehicle to be refueled'!B23))/(1000)</f>
        <v>-8.7088835129789128</v>
      </c>
      <c r="AB23" s="322">
        <f>((I23-S22)*('Emission-Vehicle to be refueled'!B23))/(1000)</f>
        <v>385.00358369984076</v>
      </c>
      <c r="AC23" s="322">
        <f>((J23-T22)*('Emission-Vehicle to be refueled'!B23))/(1000)</f>
        <v>-344423.32708090043</v>
      </c>
      <c r="AD23" s="1474">
        <f>((K23-U22)*('Emission-Vehicle to be refueled'!B23))/(1000)</f>
        <v>2.1396996255327512</v>
      </c>
      <c r="AE23" s="751"/>
      <c r="AO23" s="272"/>
    </row>
    <row r="24" spans="1:41" s="230" customFormat="1" ht="15.75" customHeight="1" x14ac:dyDescent="0.25">
      <c r="A24" s="319" t="str">
        <f t="shared" si="2"/>
        <v xml:space="preserve">EV Passenger Truck </v>
      </c>
      <c r="B24" s="753">
        <f>'Landfill Methane Calculation'!X84</f>
        <v>1696676.8551887351</v>
      </c>
      <c r="C24" s="1440">
        <v>0</v>
      </c>
      <c r="D24" s="1445">
        <v>0</v>
      </c>
      <c r="E24" s="1445">
        <v>0</v>
      </c>
      <c r="F24" s="1445">
        <v>1.4E-2</v>
      </c>
      <c r="G24" s="1445">
        <v>5.0000000000000001E-3</v>
      </c>
      <c r="H24" s="1462">
        <v>0</v>
      </c>
      <c r="I24" s="1462">
        <v>0</v>
      </c>
      <c r="J24" s="1462">
        <v>0</v>
      </c>
      <c r="K24" s="1463">
        <v>0</v>
      </c>
      <c r="L24" s="3057" t="s">
        <v>1385</v>
      </c>
      <c r="M24" s="3048">
        <v>0.23400000000000001</v>
      </c>
      <c r="N24" s="3037">
        <v>6.2610000000000001</v>
      </c>
      <c r="O24" s="3039">
        <v>0.42099999999999999</v>
      </c>
      <c r="P24" s="3039">
        <v>2.5999999999999999E-2</v>
      </c>
      <c r="Q24" s="3039">
        <v>1.4999999999999999E-2</v>
      </c>
      <c r="R24" s="3039">
        <v>3.0000000000000001E-3</v>
      </c>
      <c r="S24" s="3037">
        <v>1.7000000000000001E-2</v>
      </c>
      <c r="T24" s="3037">
        <v>524</v>
      </c>
      <c r="U24" s="3050">
        <v>4.1000000000000002E-2</v>
      </c>
      <c r="V24" s="1456">
        <f>((C24-M24)*('Emission-Vehicle to be refueled'!B24))/(1000)</f>
        <v>-397.02238411416403</v>
      </c>
      <c r="W24" s="1456">
        <f>((D24-N24)*('Emission-Vehicle to be refueled'!B24))/(1000)</f>
        <v>-10622.89379033667</v>
      </c>
      <c r="X24" s="1456">
        <f>((E24-O24)*('Emission-Vehicle to be refueled'!B24))/(1000)</f>
        <v>-714.30095603445739</v>
      </c>
      <c r="Y24" s="1456">
        <f>((F24-P24)*('Emission-Vehicle to be refueled'!B24))/(1000)</f>
        <v>-20.360122262264817</v>
      </c>
      <c r="Z24" s="1456">
        <f>((G24-Q24)*('Emission-Vehicle to be refueled'!B24))/(1000)</f>
        <v>-16.966768551887348</v>
      </c>
      <c r="AA24" s="1456">
        <f>((H24-R24)*('Emission-Vehicle to be refueled'!B24))/(1000)</f>
        <v>-5.090030565566205</v>
      </c>
      <c r="AB24" s="1456">
        <f>((I24-S24)*('Emission-Vehicle to be refueled'!B24))/(1000)</f>
        <v>-28.843506538208498</v>
      </c>
      <c r="AC24" s="1456">
        <f>((J24-T24)*('Emission-Vehicle to be refueled'!B24))/(1000)</f>
        <v>-889058.6721188972</v>
      </c>
      <c r="AD24" s="1473">
        <f>((K24-U24)*('Emission-Vehicle to be refueled'!B24))/(1000)</f>
        <v>-69.563751062738135</v>
      </c>
      <c r="AE24" s="751"/>
      <c r="AO24" s="272"/>
    </row>
    <row r="25" spans="1:41" s="230" customFormat="1" ht="15.75" customHeight="1" thickBot="1" x14ac:dyDescent="0.3">
      <c r="A25" s="319" t="str">
        <f t="shared" si="2"/>
        <v>RNG Passenger Truck</v>
      </c>
      <c r="B25" s="753">
        <f>'Landfill Methane Calculation'!X85</f>
        <v>2042373.7514340419</v>
      </c>
      <c r="C25" s="325">
        <v>0.114</v>
      </c>
      <c r="D25" s="232">
        <v>5.3440000000000003</v>
      </c>
      <c r="E25" s="232">
        <v>0.35899999999999999</v>
      </c>
      <c r="F25" s="232">
        <v>2.3E-2</v>
      </c>
      <c r="G25" s="232">
        <v>1.2E-2</v>
      </c>
      <c r="H25" s="232">
        <v>1E-3</v>
      </c>
      <c r="I25" s="232">
        <v>0.17</v>
      </c>
      <c r="J25" s="232">
        <v>426</v>
      </c>
      <c r="K25" s="177">
        <v>4.1000000000000002E-2</v>
      </c>
      <c r="L25" s="3058"/>
      <c r="M25" s="3049"/>
      <c r="N25" s="3038"/>
      <c r="O25" s="3040"/>
      <c r="P25" s="3040"/>
      <c r="Q25" s="3040"/>
      <c r="R25" s="3040"/>
      <c r="S25" s="3038"/>
      <c r="T25" s="3038"/>
      <c r="U25" s="3051"/>
      <c r="V25" s="322">
        <f>((C25-M24)*('Emission-Vehicle to be refueled'!B25))/(1000)</f>
        <v>-245.08485017208505</v>
      </c>
      <c r="W25" s="322">
        <f>((D25-N24)*('Emission-Vehicle to be refueled'!B25))/(1000)</f>
        <v>-1872.8567300650161</v>
      </c>
      <c r="X25" s="322">
        <f>((E25-O24)*('Emission-Vehicle to be refueled'!B25))/(1000)</f>
        <v>-126.6271725889106</v>
      </c>
      <c r="Y25" s="322">
        <f>((F25-P24)*('Emission-Vehicle to be refueled'!B25))/(1000)</f>
        <v>-6.1271212543021241</v>
      </c>
      <c r="Z25" s="322">
        <f>((G25-Q24)*('Emission-Vehicle to be refueled'!B25))/(1000)</f>
        <v>-6.1271212543021241</v>
      </c>
      <c r="AA25" s="322">
        <f>((H25-R24)*('Emission-Vehicle to be refueled'!B25))/(1000)</f>
        <v>-4.0847475028680842</v>
      </c>
      <c r="AB25" s="322">
        <f>((I25-S24)*('Emission-Vehicle to be refueled'!B25))/(1000)</f>
        <v>312.48318396940846</v>
      </c>
      <c r="AC25" s="322">
        <f>((J25-T24)*('Emission-Vehicle to be refueled'!B25))/(1000)</f>
        <v>-200152.62764053611</v>
      </c>
      <c r="AD25" s="1474">
        <f>((K25-U24)*('Emission-Vehicle to be refueled'!B25))/(1000)</f>
        <v>0</v>
      </c>
      <c r="AE25" s="751"/>
      <c r="AO25" s="272"/>
    </row>
    <row r="26" spans="1:41" s="230" customFormat="1" ht="15.75" customHeight="1" x14ac:dyDescent="0.25">
      <c r="A26" s="319" t="str">
        <f t="shared" si="2"/>
        <v>EV Light Commercial Truck</v>
      </c>
      <c r="B26" s="753">
        <f>'Landfill Methane Calculation'!X86</f>
        <v>1290700.0004483156</v>
      </c>
      <c r="C26" s="1443">
        <v>0</v>
      </c>
      <c r="D26" s="1444">
        <v>0</v>
      </c>
      <c r="E26" s="1444">
        <v>0</v>
      </c>
      <c r="F26" s="1444">
        <v>1.4E-2</v>
      </c>
      <c r="G26" s="1444">
        <v>5.0000000000000001E-3</v>
      </c>
      <c r="H26" s="1444">
        <v>0</v>
      </c>
      <c r="I26" s="1444">
        <v>0</v>
      </c>
      <c r="J26" s="1444">
        <v>0</v>
      </c>
      <c r="K26" s="1442">
        <v>0</v>
      </c>
      <c r="L26" s="3059" t="s">
        <v>1386</v>
      </c>
      <c r="M26" s="3043">
        <v>0.185</v>
      </c>
      <c r="N26" s="3042">
        <v>2.6240000000000001</v>
      </c>
      <c r="O26" s="3041">
        <v>0.14199999999999999</v>
      </c>
      <c r="P26" s="3041">
        <v>2.3E-2</v>
      </c>
      <c r="Q26" s="3041">
        <v>1.0999999999999999E-2</v>
      </c>
      <c r="R26" s="3041">
        <v>2E-3</v>
      </c>
      <c r="S26" s="3042">
        <v>1.2E-2</v>
      </c>
      <c r="T26" s="3042">
        <v>429</v>
      </c>
      <c r="U26" s="3052">
        <v>0.01</v>
      </c>
      <c r="V26" s="1456">
        <f>((C26-M26)*('Emission-Vehicle to be refueled'!B26))/(1000)</f>
        <v>-238.77950008293837</v>
      </c>
      <c r="W26" s="1456">
        <f>((D26-N26)*('Emission-Vehicle to be refueled'!B26))/(1000)</f>
        <v>-3386.7968011763805</v>
      </c>
      <c r="X26" s="1456">
        <f>((E26-O26)*('Emission-Vehicle to be refueled'!B26))/(1000)</f>
        <v>-183.2794000636608</v>
      </c>
      <c r="Y26" s="1456">
        <f>((F26-P26)*('Emission-Vehicle to be refueled'!B26))/(1000)</f>
        <v>-11.616300004034839</v>
      </c>
      <c r="Z26" s="1456">
        <f>((G26-Q26)*('Emission-Vehicle to be refueled'!B26))/(1000)</f>
        <v>-7.7442000026898929</v>
      </c>
      <c r="AA26" s="1456">
        <f>((H26-R26)*('Emission-Vehicle to be refueled'!B26))/(1000)</f>
        <v>-2.5814000008966316</v>
      </c>
      <c r="AB26" s="1456">
        <f>((I26-S26)*('Emission-Vehicle to be refueled'!B26))/(1000)</f>
        <v>-15.488400005379788</v>
      </c>
      <c r="AC26" s="1456">
        <f>((J26-T26)*('Emission-Vehicle to be refueled'!B26))/(1000)</f>
        <v>-553710.30019232736</v>
      </c>
      <c r="AD26" s="1473">
        <f>((K26-U26)*('Emission-Vehicle to be refueled'!B26))/(1000)</f>
        <v>-12.907000004483155</v>
      </c>
      <c r="AE26" s="794"/>
      <c r="AO26" s="272"/>
    </row>
    <row r="27" spans="1:41" s="230" customFormat="1" ht="15.75" customHeight="1" thickBot="1" x14ac:dyDescent="0.3">
      <c r="A27" s="742" t="str">
        <f t="shared" si="2"/>
        <v xml:space="preserve"> RNG Light Commercial Truck</v>
      </c>
      <c r="B27" s="754">
        <f>'Landfill Methane Calculation'!X87</f>
        <v>1610333.1501691486</v>
      </c>
      <c r="C27" s="325">
        <v>7.9000000000000001E-2</v>
      </c>
      <c r="D27" s="232">
        <v>2.2400000000000002</v>
      </c>
      <c r="E27" s="232">
        <v>0.121</v>
      </c>
      <c r="F27" s="232">
        <v>1.9E-2</v>
      </c>
      <c r="G27" s="232">
        <v>0.01</v>
      </c>
      <c r="H27" s="232">
        <v>1E-3</v>
      </c>
      <c r="I27" s="232">
        <v>0.11899999999999999</v>
      </c>
      <c r="J27" s="232">
        <v>350</v>
      </c>
      <c r="K27" s="177">
        <v>0.01</v>
      </c>
      <c r="L27" s="3060"/>
      <c r="M27" s="3044"/>
      <c r="N27" s="3045"/>
      <c r="O27" s="3042"/>
      <c r="P27" s="3042"/>
      <c r="Q27" s="3042"/>
      <c r="R27" s="3042"/>
      <c r="S27" s="3045"/>
      <c r="T27" s="3045"/>
      <c r="U27" s="3053"/>
      <c r="V27" s="322">
        <f>((C27-M26)*('Emission-Vehicle to be refueled'!B27))/(1000)</f>
        <v>-170.69531391792975</v>
      </c>
      <c r="W27" s="322">
        <f>((D27-N26)*('Emission-Vehicle to be refueled'!B27))/(1000)</f>
        <v>-618.36792966495295</v>
      </c>
      <c r="X27" s="322">
        <f>((E27-O26)*('Emission-Vehicle to be refueled'!B27))/(1000)</f>
        <v>-33.816996153552104</v>
      </c>
      <c r="Y27" s="322">
        <f>((F27-P26)*('Emission-Vehicle to be refueled'!B27))/(1000)</f>
        <v>-6.4413326006765947</v>
      </c>
      <c r="Z27" s="322">
        <f>((G27-Q26)*('Emission-Vehicle to be refueled'!B27))/(1000)</f>
        <v>-1.6103331501691474</v>
      </c>
      <c r="AA27" s="322">
        <f>((H27-R26)*('Emission-Vehicle to be refueled'!B27))/(1000)</f>
        <v>-1.6103331501691487</v>
      </c>
      <c r="AB27" s="322">
        <f>((I27-S26)*('Emission-Vehicle to be refueled'!B27))/(1000)</f>
        <v>172.30564706809889</v>
      </c>
      <c r="AC27" s="322">
        <f>((J27-T26)*('Emission-Vehicle to be refueled'!B27))/(1000)</f>
        <v>-127216.31886336274</v>
      </c>
      <c r="AD27" s="1474">
        <f>((K27-U26)*('Emission-Vehicle to be refueled'!B27))/(1000)</f>
        <v>0</v>
      </c>
      <c r="AE27" s="751"/>
      <c r="AO27" s="272"/>
    </row>
    <row r="28" spans="1:41" s="230" customFormat="1" ht="15.75" customHeight="1" thickBot="1" x14ac:dyDescent="0.3">
      <c r="A28" s="783"/>
      <c r="B28" s="789"/>
      <c r="C28" s="790"/>
      <c r="D28" s="791"/>
      <c r="E28" s="791"/>
      <c r="F28" s="792"/>
      <c r="G28" s="792"/>
      <c r="H28" s="791"/>
      <c r="I28" s="791"/>
      <c r="J28" s="791"/>
      <c r="K28" s="793"/>
      <c r="L28" s="794"/>
      <c r="M28" s="794"/>
      <c r="N28" s="794"/>
      <c r="O28" s="794"/>
      <c r="P28" s="794"/>
      <c r="Q28" s="794"/>
      <c r="R28" s="794"/>
      <c r="S28" s="794"/>
      <c r="T28" s="794"/>
      <c r="U28" s="149"/>
      <c r="V28" s="286"/>
      <c r="W28" s="750"/>
      <c r="X28" s="751"/>
      <c r="Y28" s="751"/>
      <c r="Z28" s="751"/>
      <c r="AA28" s="752"/>
      <c r="AB28" s="752"/>
      <c r="AC28" s="751"/>
      <c r="AD28" s="751"/>
      <c r="AE28" s="751"/>
      <c r="AF28" s="751"/>
      <c r="AG28" s="272"/>
      <c r="AH28" s="272"/>
      <c r="AI28" s="272"/>
      <c r="AJ28" s="272"/>
      <c r="AK28" s="272"/>
      <c r="AL28" s="272"/>
      <c r="AM28" s="272"/>
      <c r="AN28" s="272"/>
      <c r="AO28" s="272"/>
    </row>
    <row r="29" spans="1:41" ht="75" customHeight="1" thickBot="1" x14ac:dyDescent="0.3">
      <c r="A29" s="2729" t="s">
        <v>1183</v>
      </c>
      <c r="B29" s="2730"/>
      <c r="C29" s="2730"/>
      <c r="D29" s="2730"/>
      <c r="E29" s="2730"/>
      <c r="F29" s="2730"/>
      <c r="G29" s="2730"/>
      <c r="H29" s="2730"/>
      <c r="I29" s="2730"/>
      <c r="J29" s="2730"/>
      <c r="K29" s="2730"/>
      <c r="L29" s="2730"/>
      <c r="M29" s="2730"/>
      <c r="N29" s="2730"/>
      <c r="O29" s="2730"/>
      <c r="P29" s="2730"/>
      <c r="Q29" s="2730"/>
      <c r="R29" s="2730"/>
      <c r="S29" s="2730"/>
      <c r="T29" s="2730"/>
      <c r="U29" s="2730"/>
      <c r="V29" s="2730"/>
      <c r="W29" s="2730"/>
      <c r="X29" s="2730"/>
      <c r="Y29" s="2730"/>
      <c r="Z29" s="2730"/>
      <c r="AA29" s="2730"/>
      <c r="AB29" s="2730"/>
      <c r="AC29" s="2731"/>
    </row>
    <row r="30" spans="1:41" ht="139.5" customHeight="1" thickBot="1" x14ac:dyDescent="0.3">
      <c r="A30" s="78" t="s">
        <v>28</v>
      </c>
      <c r="B30" s="357" t="s">
        <v>176</v>
      </c>
      <c r="C30" s="253" t="s">
        <v>177</v>
      </c>
      <c r="D30" s="82" t="s">
        <v>208</v>
      </c>
      <c r="E30" s="82" t="s">
        <v>209</v>
      </c>
      <c r="F30" s="82" t="s">
        <v>210</v>
      </c>
      <c r="G30" s="82" t="s">
        <v>226</v>
      </c>
      <c r="H30" s="82" t="s">
        <v>227</v>
      </c>
      <c r="I30" s="82" t="s">
        <v>228</v>
      </c>
      <c r="J30" s="82" t="s">
        <v>454</v>
      </c>
      <c r="K30" s="82" t="s">
        <v>229</v>
      </c>
      <c r="L30" s="82" t="s">
        <v>287</v>
      </c>
      <c r="M30" s="262" t="s">
        <v>211</v>
      </c>
      <c r="N30" s="128" t="s">
        <v>272</v>
      </c>
      <c r="O30" s="82" t="s">
        <v>318</v>
      </c>
      <c r="P30" s="82" t="s">
        <v>319</v>
      </c>
      <c r="Q30" s="82" t="s">
        <v>273</v>
      </c>
      <c r="R30" s="82" t="s">
        <v>455</v>
      </c>
      <c r="S30" s="82" t="s">
        <v>274</v>
      </c>
      <c r="T30" s="82" t="s">
        <v>288</v>
      </c>
      <c r="U30" s="82" t="s">
        <v>275</v>
      </c>
      <c r="V30" s="82" t="s">
        <v>276</v>
      </c>
      <c r="W30" s="82" t="s">
        <v>317</v>
      </c>
      <c r="X30" s="82" t="s">
        <v>271</v>
      </c>
      <c r="Y30" s="82" t="s">
        <v>277</v>
      </c>
      <c r="Z30" s="82" t="s">
        <v>278</v>
      </c>
      <c r="AA30" s="82" t="s">
        <v>315</v>
      </c>
      <c r="AB30" s="83" t="s">
        <v>316</v>
      </c>
      <c r="AC30" s="755" t="s">
        <v>1100</v>
      </c>
    </row>
    <row r="31" spans="1:41" ht="18.75" x14ac:dyDescent="0.25">
      <c r="A31" s="3018" t="s">
        <v>167</v>
      </c>
      <c r="B31" s="2752" t="s">
        <v>1797</v>
      </c>
      <c r="C31" s="1867">
        <v>2019</v>
      </c>
      <c r="D31" s="216">
        <f t="shared" ref="D31:D62" si="3">$AC$7</f>
        <v>-1930258.610792438</v>
      </c>
      <c r="E31" s="216">
        <f>$AB$7*28</f>
        <v>-20765.030312371768</v>
      </c>
      <c r="F31" s="216">
        <f>$AD$7*298</f>
        <v>-27663.639072973227</v>
      </c>
      <c r="G31" s="216">
        <f t="shared" ref="G31:G62" si="4">$Y$7</f>
        <v>-118.87668635845182</v>
      </c>
      <c r="H31" s="216">
        <f t="shared" ref="H31:H62" si="5">$Z$7</f>
        <v>-90.960357084002752</v>
      </c>
      <c r="I31" s="216">
        <f t="shared" ref="I31:I62" si="6">$X$7</f>
        <v>-1395.5821041000477</v>
      </c>
      <c r="J31" s="216">
        <f t="shared" ref="J31:J62" si="7">$AA$7</f>
        <v>-506.76994909368705</v>
      </c>
      <c r="K31" s="216">
        <f t="shared" ref="K31:K62" si="8">$V$7</f>
        <v>-1303.2805903737037</v>
      </c>
      <c r="L31" s="216">
        <f t="shared" ref="L31:L62" si="9">$W$7</f>
        <v>-15074.037771872458</v>
      </c>
      <c r="M31" s="217">
        <f>(D31/1000)+(E31/1000)+(F31/1000)</f>
        <v>-1978.6872801777829</v>
      </c>
      <c r="N31" s="643">
        <v>62</v>
      </c>
      <c r="O31" s="643">
        <f>'Emission-Waste Transport Vehicl'!N33</f>
        <v>32.602537440000006</v>
      </c>
      <c r="P31" s="643">
        <f>'Emission-Waste Transport Vehicl'!O33</f>
        <v>47.429902080000005</v>
      </c>
      <c r="Q31" s="643">
        <f>'Emission-Waste Transport Vehicl'!P33</f>
        <v>18.139508640000003</v>
      </c>
      <c r="R31" s="643">
        <f>'Emission-Waste Transport Vehicl'!Q33</f>
        <v>14.087652480000001</v>
      </c>
      <c r="S31" s="643">
        <f>'Emission-Waste Transport Vehicl'!R33</f>
        <v>1.4021409600000001</v>
      </c>
      <c r="T31" s="643">
        <f>'Emission-Waste Transport Vehicl'!S33</f>
        <v>6.4476403200000004E-2</v>
      </c>
      <c r="U31" s="644">
        <f>M31*N31</f>
        <v>-122678.61137102253</v>
      </c>
      <c r="V31" s="644">
        <f t="shared" ref="V31:V94" si="10">G31*O31</f>
        <v>-3875.6816177445635</v>
      </c>
      <c r="W31" s="644">
        <f t="shared" ref="W31:W94" si="11">H31*P31</f>
        <v>-4314.2408296560852</v>
      </c>
      <c r="X31" s="644">
        <f t="shared" ref="X31:X94" si="12">I31*Q31</f>
        <v>-25315.173635152198</v>
      </c>
      <c r="Y31" s="644">
        <f t="shared" ref="Y31:Y94" si="13">J31*R31</f>
        <v>-7139.198930139155</v>
      </c>
      <c r="Z31" s="644">
        <f t="shared" ref="Z31:Z94" si="14">K31*S31</f>
        <v>-1827.3830981359517</v>
      </c>
      <c r="AA31" s="644">
        <f t="shared" ref="AA31:AA94" si="15">T31*L31</f>
        <v>-971.9197372312783</v>
      </c>
      <c r="AB31" s="2732">
        <f>(SUM(U31:U81)*1.2682)+(SUM(V31:V81))+(SUM(W31:W81))+(SUM(X31:X81))+(SUM(Y31:Y81))+(SUM(Z31:Z81))+(SUM(AA31:AA81))</f>
        <v>-12437133.828822872</v>
      </c>
      <c r="AC31" s="3008">
        <f>SUM(AB31:AB438)</f>
        <v>-56772656.883534305</v>
      </c>
    </row>
    <row r="32" spans="1:41" ht="18.75" x14ac:dyDescent="0.25">
      <c r="A32" s="3019"/>
      <c r="B32" s="2753"/>
      <c r="C32" s="1849">
        <v>2020</v>
      </c>
      <c r="D32" s="218">
        <f t="shared" si="3"/>
        <v>-1930258.610792438</v>
      </c>
      <c r="E32" s="218">
        <f t="shared" ref="E32:E81" si="16">$AB$7*28</f>
        <v>-20765.030312371768</v>
      </c>
      <c r="F32" s="218">
        <f t="shared" ref="F32:F81" si="17">$AD$7*298</f>
        <v>-27663.639072973227</v>
      </c>
      <c r="G32" s="218">
        <f t="shared" si="4"/>
        <v>-118.87668635845182</v>
      </c>
      <c r="H32" s="218">
        <f t="shared" si="5"/>
        <v>-90.960357084002752</v>
      </c>
      <c r="I32" s="218">
        <f t="shared" si="6"/>
        <v>-1395.5821041000477</v>
      </c>
      <c r="J32" s="218">
        <f t="shared" si="7"/>
        <v>-506.76994909368705</v>
      </c>
      <c r="K32" s="218">
        <f t="shared" si="8"/>
        <v>-1303.2805903737037</v>
      </c>
      <c r="L32" s="218">
        <f t="shared" si="9"/>
        <v>-15074.037771872458</v>
      </c>
      <c r="M32" s="192">
        <f t="shared" ref="M32:M94" si="18">(D32/1000)+(E32/1000)+(F32/1000)</f>
        <v>-1978.6872801777829</v>
      </c>
      <c r="N32" s="211">
        <v>64</v>
      </c>
      <c r="O32" s="211">
        <f>'Emission-Waste Transport Vehicl'!N34</f>
        <v>31.963527706176006</v>
      </c>
      <c r="P32" s="211">
        <f>'Emission-Waste Transport Vehicl'!O34</f>
        <v>46.500275999232002</v>
      </c>
      <c r="Q32" s="211">
        <f>'Emission-Waste Transport Vehicl'!P34</f>
        <v>17.783974270656003</v>
      </c>
      <c r="R32" s="211">
        <f>'Emission-Waste Transport Vehicl'!Q34</f>
        <v>13.811534491392001</v>
      </c>
      <c r="S32" s="211">
        <f>'Emission-Waste Transport Vehicl'!R34</f>
        <v>1.3746589971840002</v>
      </c>
      <c r="T32" s="211">
        <f>'Emission-Waste Transport Vehicl'!S34</f>
        <v>6.3212665697280013E-2</v>
      </c>
      <c r="U32" s="1850">
        <f t="shared" ref="U32:U94" si="19">M32*N32</f>
        <v>-126635.98593137811</v>
      </c>
      <c r="V32" s="1850">
        <f t="shared" si="10"/>
        <v>-3799.7182580367698</v>
      </c>
      <c r="W32" s="1850">
        <f t="shared" si="11"/>
        <v>-4229.6817093948257</v>
      </c>
      <c r="X32" s="1850">
        <f t="shared" si="12"/>
        <v>-24818.996231903217</v>
      </c>
      <c r="Y32" s="1850">
        <f t="shared" si="13"/>
        <v>-6999.2706311084266</v>
      </c>
      <c r="Z32" s="1850">
        <f t="shared" si="14"/>
        <v>-1791.5663894124873</v>
      </c>
      <c r="AA32" s="1850">
        <f t="shared" si="15"/>
        <v>-952.87011038154537</v>
      </c>
      <c r="AB32" s="2733"/>
      <c r="AC32" s="3009"/>
    </row>
    <row r="33" spans="1:29" ht="18.75" x14ac:dyDescent="0.25">
      <c r="A33" s="3019"/>
      <c r="B33" s="2753"/>
      <c r="C33" s="1849">
        <v>2021</v>
      </c>
      <c r="D33" s="218">
        <f t="shared" si="3"/>
        <v>-1930258.610792438</v>
      </c>
      <c r="E33" s="218">
        <f t="shared" si="16"/>
        <v>-20765.030312371768</v>
      </c>
      <c r="F33" s="218">
        <f t="shared" si="17"/>
        <v>-27663.639072973227</v>
      </c>
      <c r="G33" s="218">
        <f t="shared" si="4"/>
        <v>-118.87668635845182</v>
      </c>
      <c r="H33" s="218">
        <f t="shared" si="5"/>
        <v>-90.960357084002752</v>
      </c>
      <c r="I33" s="218">
        <f t="shared" si="6"/>
        <v>-1395.5821041000477</v>
      </c>
      <c r="J33" s="218">
        <f t="shared" si="7"/>
        <v>-506.76994909368705</v>
      </c>
      <c r="K33" s="218">
        <f t="shared" si="8"/>
        <v>-1303.2805903737037</v>
      </c>
      <c r="L33" s="218">
        <f t="shared" si="9"/>
        <v>-15074.037771872458</v>
      </c>
      <c r="M33" s="192">
        <f t="shared" si="18"/>
        <v>-1978.6872801777829</v>
      </c>
      <c r="N33" s="211">
        <v>65</v>
      </c>
      <c r="O33" s="211">
        <f>'Emission-Waste Transport Vehicl'!N35</f>
        <v>31.337558987328006</v>
      </c>
      <c r="P33" s="211">
        <f>'Emission-Waste Transport Vehicl'!O35</f>
        <v>45.589621879296011</v>
      </c>
      <c r="Q33" s="211">
        <f>'Emission-Waste Transport Vehicl'!P35</f>
        <v>17.435695704768001</v>
      </c>
      <c r="R33" s="211">
        <f>'Emission-Waste Transport Vehicl'!Q35</f>
        <v>13.541051563776001</v>
      </c>
      <c r="S33" s="211">
        <f>'Emission-Waste Transport Vehicl'!R35</f>
        <v>1.3477378907520003</v>
      </c>
      <c r="T33" s="211">
        <f>'Emission-Waste Transport Vehicl'!S35</f>
        <v>6.1974718755840007E-2</v>
      </c>
      <c r="U33" s="1850">
        <f t="shared" si="19"/>
        <v>-128614.67321155588</v>
      </c>
      <c r="V33" s="1850">
        <f t="shared" si="10"/>
        <v>-3725.3051709760744</v>
      </c>
      <c r="W33" s="1850">
        <f t="shared" si="11"/>
        <v>-4146.8482854654294</v>
      </c>
      <c r="X33" s="1850">
        <f t="shared" si="12"/>
        <v>-24332.94489810829</v>
      </c>
      <c r="Y33" s="1850">
        <f t="shared" si="13"/>
        <v>-6862.1980116497552</v>
      </c>
      <c r="Z33" s="1850">
        <f t="shared" si="14"/>
        <v>-1756.4806339282773</v>
      </c>
      <c r="AA33" s="1850">
        <f t="shared" si="15"/>
        <v>-934.20925142670467</v>
      </c>
      <c r="AB33" s="2733"/>
      <c r="AC33" s="3009"/>
    </row>
    <row r="34" spans="1:29" ht="18.75" x14ac:dyDescent="0.25">
      <c r="A34" s="3019"/>
      <c r="B34" s="2753"/>
      <c r="C34" s="1849">
        <v>2022</v>
      </c>
      <c r="D34" s="218">
        <f t="shared" si="3"/>
        <v>-1930258.610792438</v>
      </c>
      <c r="E34" s="218">
        <f t="shared" si="16"/>
        <v>-20765.030312371768</v>
      </c>
      <c r="F34" s="218">
        <f t="shared" si="17"/>
        <v>-27663.639072973227</v>
      </c>
      <c r="G34" s="218">
        <f t="shared" si="4"/>
        <v>-118.87668635845182</v>
      </c>
      <c r="H34" s="218">
        <f t="shared" si="5"/>
        <v>-90.960357084002752</v>
      </c>
      <c r="I34" s="218">
        <f t="shared" si="6"/>
        <v>-1395.5821041000477</v>
      </c>
      <c r="J34" s="218">
        <f t="shared" si="7"/>
        <v>-506.76994909368705</v>
      </c>
      <c r="K34" s="218">
        <f t="shared" si="8"/>
        <v>-1303.2805903737037</v>
      </c>
      <c r="L34" s="218">
        <f t="shared" si="9"/>
        <v>-15074.037771872458</v>
      </c>
      <c r="M34" s="192">
        <f t="shared" si="18"/>
        <v>-1978.6872801777829</v>
      </c>
      <c r="N34" s="211">
        <v>66</v>
      </c>
      <c r="O34" s="211">
        <f>'Emission-Waste Transport Vehicl'!N36</f>
        <v>30.721371029712003</v>
      </c>
      <c r="P34" s="211">
        <f>'Emission-Waste Transport Vehicl'!O36</f>
        <v>44.693196729984003</v>
      </c>
      <c r="Q34" s="211">
        <f>'Emission-Waste Transport Vehicl'!P36</f>
        <v>17.092858991472003</v>
      </c>
      <c r="R34" s="211">
        <f>'Emission-Waste Transport Vehicl'!Q36</f>
        <v>13.274794931903999</v>
      </c>
      <c r="S34" s="211">
        <f>'Emission-Waste Transport Vehicl'!R36</f>
        <v>1.3212374266080003</v>
      </c>
      <c r="T34" s="211">
        <f>'Emission-Waste Transport Vehicl'!S36</f>
        <v>6.0756114735360002E-2</v>
      </c>
      <c r="U34" s="1850">
        <f t="shared" si="19"/>
        <v>-130593.36049173368</v>
      </c>
      <c r="V34" s="1850">
        <f t="shared" si="10"/>
        <v>-3652.0547884007019</v>
      </c>
      <c r="W34" s="1850">
        <f t="shared" si="11"/>
        <v>-4065.3091337849291</v>
      </c>
      <c r="X34" s="1850">
        <f t="shared" si="12"/>
        <v>-23854.488116403918</v>
      </c>
      <c r="Y34" s="1850">
        <f t="shared" si="13"/>
        <v>-6727.2671518701245</v>
      </c>
      <c r="Z34" s="1850">
        <f t="shared" si="14"/>
        <v>-1721.9430933735075</v>
      </c>
      <c r="AA34" s="1850">
        <f t="shared" si="15"/>
        <v>-915.83996839303347</v>
      </c>
      <c r="AB34" s="2733"/>
      <c r="AC34" s="3009"/>
    </row>
    <row r="35" spans="1:29" ht="18.75" x14ac:dyDescent="0.25">
      <c r="A35" s="3019"/>
      <c r="B35" s="2753"/>
      <c r="C35" s="1849">
        <v>2023</v>
      </c>
      <c r="D35" s="218">
        <f t="shared" si="3"/>
        <v>-1930258.610792438</v>
      </c>
      <c r="E35" s="218">
        <f t="shared" si="16"/>
        <v>-20765.030312371768</v>
      </c>
      <c r="F35" s="218">
        <f t="shared" si="17"/>
        <v>-27663.639072973227</v>
      </c>
      <c r="G35" s="218">
        <f t="shared" si="4"/>
        <v>-118.87668635845182</v>
      </c>
      <c r="H35" s="218">
        <f t="shared" si="5"/>
        <v>-90.960357084002752</v>
      </c>
      <c r="I35" s="218">
        <f t="shared" si="6"/>
        <v>-1395.5821041000477</v>
      </c>
      <c r="J35" s="218">
        <f t="shared" si="7"/>
        <v>-506.76994909368705</v>
      </c>
      <c r="K35" s="218">
        <f t="shared" si="8"/>
        <v>-1303.2805903737037</v>
      </c>
      <c r="L35" s="218">
        <f t="shared" si="9"/>
        <v>-15074.037771872458</v>
      </c>
      <c r="M35" s="192">
        <f t="shared" si="18"/>
        <v>-1978.6872801777829</v>
      </c>
      <c r="N35" s="211">
        <v>67</v>
      </c>
      <c r="O35" s="211">
        <f>'Emission-Waste Transport Vehicl'!N37</f>
        <v>30.118224087072001</v>
      </c>
      <c r="P35" s="211">
        <f>'Emission-Waste Transport Vehicl'!O37</f>
        <v>43.815743541504006</v>
      </c>
      <c r="Q35" s="211">
        <f>'Emission-Waste Transport Vehicl'!P37</f>
        <v>16.757278081632002</v>
      </c>
      <c r="R35" s="211">
        <f>'Emission-Waste Transport Vehicl'!Q37</f>
        <v>13.014173361024</v>
      </c>
      <c r="S35" s="211">
        <f>'Emission-Waste Transport Vehicl'!R37</f>
        <v>1.295297818848</v>
      </c>
      <c r="T35" s="211">
        <f>'Emission-Waste Transport Vehicl'!S37</f>
        <v>5.9563301276160004E-2</v>
      </c>
      <c r="U35" s="1850">
        <f t="shared" si="19"/>
        <v>-132572.04777191146</v>
      </c>
      <c r="V35" s="1850">
        <f t="shared" si="10"/>
        <v>-3580.3546784724272</v>
      </c>
      <c r="W35" s="1850">
        <f t="shared" si="11"/>
        <v>-3985.4956784362917</v>
      </c>
      <c r="X35" s="1850">
        <f t="shared" si="12"/>
        <v>-23386.157404153601</v>
      </c>
      <c r="Y35" s="1850">
        <f t="shared" si="13"/>
        <v>-6595.1919716625507</v>
      </c>
      <c r="Z35" s="1850">
        <f t="shared" si="14"/>
        <v>-1688.1365060579922</v>
      </c>
      <c r="AA35" s="1850">
        <f t="shared" si="15"/>
        <v>-897.85945325425484</v>
      </c>
      <c r="AB35" s="2733"/>
      <c r="AC35" s="3009"/>
    </row>
    <row r="36" spans="1:29" ht="18.75" x14ac:dyDescent="0.25">
      <c r="A36" s="3019"/>
      <c r="B36" s="2753"/>
      <c r="C36" s="1849">
        <v>2024</v>
      </c>
      <c r="D36" s="218">
        <f t="shared" si="3"/>
        <v>-1930258.610792438</v>
      </c>
      <c r="E36" s="218">
        <f t="shared" si="16"/>
        <v>-20765.030312371768</v>
      </c>
      <c r="F36" s="218">
        <f t="shared" si="17"/>
        <v>-27663.639072973227</v>
      </c>
      <c r="G36" s="218">
        <f t="shared" si="4"/>
        <v>-118.87668635845182</v>
      </c>
      <c r="H36" s="218">
        <f t="shared" si="5"/>
        <v>-90.960357084002752</v>
      </c>
      <c r="I36" s="218">
        <f t="shared" si="6"/>
        <v>-1395.5821041000477</v>
      </c>
      <c r="J36" s="218">
        <f t="shared" si="7"/>
        <v>-506.76994909368705</v>
      </c>
      <c r="K36" s="218">
        <f t="shared" si="8"/>
        <v>-1303.2805903737037</v>
      </c>
      <c r="L36" s="218">
        <f t="shared" si="9"/>
        <v>-15074.037771872458</v>
      </c>
      <c r="M36" s="192">
        <f t="shared" si="18"/>
        <v>-1978.6872801777829</v>
      </c>
      <c r="N36" s="211">
        <v>68</v>
      </c>
      <c r="O36" s="211">
        <f>'Emission-Waste Transport Vehicl'!N38</f>
        <v>29.528118159408002</v>
      </c>
      <c r="P36" s="211">
        <f>'Emission-Waste Transport Vehicl'!O38</f>
        <v>42.957262313856006</v>
      </c>
      <c r="Q36" s="211">
        <f>'Emission-Waste Transport Vehicl'!P38</f>
        <v>16.428952975248002</v>
      </c>
      <c r="R36" s="211">
        <f>'Emission-Waste Transport Vehicl'!Q38</f>
        <v>12.759186851135999</v>
      </c>
      <c r="S36" s="211">
        <f>'Emission-Waste Transport Vehicl'!R38</f>
        <v>1.269919067472</v>
      </c>
      <c r="T36" s="211">
        <f>'Emission-Waste Transport Vehicl'!S38</f>
        <v>5.8396278378240005E-2</v>
      </c>
      <c r="U36" s="1850">
        <f t="shared" si="19"/>
        <v>-134550.73505208924</v>
      </c>
      <c r="V36" s="1850">
        <f t="shared" si="10"/>
        <v>-3510.2048411912506</v>
      </c>
      <c r="W36" s="1850">
        <f t="shared" si="11"/>
        <v>-3907.4079194195165</v>
      </c>
      <c r="X36" s="1850">
        <f t="shared" si="12"/>
        <v>-22927.952761357345</v>
      </c>
      <c r="Y36" s="1850">
        <f t="shared" si="13"/>
        <v>-6465.9724710270311</v>
      </c>
      <c r="Z36" s="1850">
        <f t="shared" si="14"/>
        <v>-1655.0608719817315</v>
      </c>
      <c r="AA36" s="1850">
        <f t="shared" si="15"/>
        <v>-880.26770601036878</v>
      </c>
      <c r="AB36" s="2733"/>
      <c r="AC36" s="3009"/>
    </row>
    <row r="37" spans="1:29" ht="18.75" x14ac:dyDescent="0.25">
      <c r="A37" s="3019"/>
      <c r="B37" s="2753"/>
      <c r="C37" s="1849">
        <v>2025</v>
      </c>
      <c r="D37" s="218">
        <f t="shared" si="3"/>
        <v>-1930258.610792438</v>
      </c>
      <c r="E37" s="218">
        <f t="shared" si="16"/>
        <v>-20765.030312371768</v>
      </c>
      <c r="F37" s="218">
        <f t="shared" si="17"/>
        <v>-27663.639072973227</v>
      </c>
      <c r="G37" s="218">
        <f t="shared" si="4"/>
        <v>-118.87668635845182</v>
      </c>
      <c r="H37" s="218">
        <f t="shared" si="5"/>
        <v>-90.960357084002752</v>
      </c>
      <c r="I37" s="218">
        <f t="shared" si="6"/>
        <v>-1395.5821041000477</v>
      </c>
      <c r="J37" s="218">
        <f t="shared" si="7"/>
        <v>-506.76994909368705</v>
      </c>
      <c r="K37" s="218">
        <f t="shared" si="8"/>
        <v>-1303.2805903737037</v>
      </c>
      <c r="L37" s="218">
        <f t="shared" si="9"/>
        <v>-15074.037771872458</v>
      </c>
      <c r="M37" s="192">
        <f t="shared" si="18"/>
        <v>-1978.6872801777829</v>
      </c>
      <c r="N37" s="211">
        <v>69</v>
      </c>
      <c r="O37" s="211">
        <f>'Emission-Waste Transport Vehicl'!N39</f>
        <v>28.951053246720004</v>
      </c>
      <c r="P37" s="211">
        <f>'Emission-Waste Transport Vehicl'!O39</f>
        <v>42.117753047040004</v>
      </c>
      <c r="Q37" s="211">
        <f>'Emission-Waste Transport Vehicl'!P39</f>
        <v>16.10788367232</v>
      </c>
      <c r="R37" s="211">
        <f>'Emission-Waste Transport Vehicl'!Q39</f>
        <v>12.50983540224</v>
      </c>
      <c r="S37" s="211">
        <f>'Emission-Waste Transport Vehicl'!R39</f>
        <v>1.2451011724800001</v>
      </c>
      <c r="T37" s="211">
        <f>'Emission-Waste Transport Vehicl'!S39</f>
        <v>5.7255046041600005E-2</v>
      </c>
      <c r="U37" s="1850">
        <f t="shared" si="19"/>
        <v>-136529.42233226702</v>
      </c>
      <c r="V37" s="1850">
        <f t="shared" si="10"/>
        <v>-3441.6052765571721</v>
      </c>
      <c r="W37" s="1850">
        <f t="shared" si="11"/>
        <v>-3831.0458567346036</v>
      </c>
      <c r="X37" s="1850">
        <f t="shared" si="12"/>
        <v>-22479.874188015147</v>
      </c>
      <c r="Y37" s="1850">
        <f t="shared" si="13"/>
        <v>-6339.6086499635685</v>
      </c>
      <c r="Z37" s="1850">
        <f t="shared" si="14"/>
        <v>-1622.7161911447251</v>
      </c>
      <c r="AA37" s="1850">
        <f t="shared" si="15"/>
        <v>-863.06472666137506</v>
      </c>
      <c r="AB37" s="2733"/>
      <c r="AC37" s="3009"/>
    </row>
    <row r="38" spans="1:29" ht="18.75" x14ac:dyDescent="0.25">
      <c r="A38" s="3019"/>
      <c r="B38" s="2753"/>
      <c r="C38" s="1849">
        <v>2026</v>
      </c>
      <c r="D38" s="218">
        <f t="shared" si="3"/>
        <v>-1930258.610792438</v>
      </c>
      <c r="E38" s="218">
        <f t="shared" si="16"/>
        <v>-20765.030312371768</v>
      </c>
      <c r="F38" s="218">
        <f t="shared" si="17"/>
        <v>-27663.639072973227</v>
      </c>
      <c r="G38" s="218">
        <f t="shared" si="4"/>
        <v>-118.87668635845182</v>
      </c>
      <c r="H38" s="218">
        <f t="shared" si="5"/>
        <v>-90.960357084002752</v>
      </c>
      <c r="I38" s="218">
        <f t="shared" si="6"/>
        <v>-1395.5821041000477</v>
      </c>
      <c r="J38" s="218">
        <f t="shared" si="7"/>
        <v>-506.76994909368705</v>
      </c>
      <c r="K38" s="218">
        <f t="shared" si="8"/>
        <v>-1303.2805903737037</v>
      </c>
      <c r="L38" s="218">
        <f t="shared" si="9"/>
        <v>-15074.037771872458</v>
      </c>
      <c r="M38" s="192">
        <f t="shared" si="18"/>
        <v>-1978.6872801777829</v>
      </c>
      <c r="N38" s="211">
        <v>70</v>
      </c>
      <c r="O38" s="211">
        <f>'Emission-Waste Transport Vehicl'!N40</f>
        <v>28.383769095264007</v>
      </c>
      <c r="P38" s="211">
        <f>'Emission-Waste Transport Vehicl'!O40</f>
        <v>41.292472750848006</v>
      </c>
      <c r="Q38" s="211">
        <f>'Emission-Waste Transport Vehicl'!P40</f>
        <v>15.792256221984003</v>
      </c>
      <c r="R38" s="211">
        <f>'Emission-Waste Transport Vehicl'!Q40</f>
        <v>12.264710249088001</v>
      </c>
      <c r="S38" s="211">
        <f>'Emission-Waste Transport Vehicl'!R40</f>
        <v>1.2207039197760001</v>
      </c>
      <c r="T38" s="211">
        <f>'Emission-Waste Transport Vehicl'!S40</f>
        <v>5.6133156625920007E-2</v>
      </c>
      <c r="U38" s="1850">
        <f t="shared" si="19"/>
        <v>-138508.10961244479</v>
      </c>
      <c r="V38" s="1850">
        <f t="shared" si="10"/>
        <v>-3374.1684164084172</v>
      </c>
      <c r="W38" s="1850">
        <f t="shared" si="11"/>
        <v>-3755.9780662985881</v>
      </c>
      <c r="X38" s="1850">
        <f t="shared" si="12"/>
        <v>-22039.390166763504</v>
      </c>
      <c r="Y38" s="1850">
        <f t="shared" si="13"/>
        <v>-6215.3865885791483</v>
      </c>
      <c r="Z38" s="1850">
        <f t="shared" si="14"/>
        <v>-1590.9197252371598</v>
      </c>
      <c r="AA38" s="1850">
        <f t="shared" si="15"/>
        <v>-846.15332323355085</v>
      </c>
      <c r="AB38" s="2733"/>
      <c r="AC38" s="3009"/>
    </row>
    <row r="39" spans="1:29" ht="18.75" x14ac:dyDescent="0.25">
      <c r="A39" s="3019"/>
      <c r="B39" s="2753"/>
      <c r="C39" s="1849">
        <v>2027</v>
      </c>
      <c r="D39" s="218">
        <f t="shared" si="3"/>
        <v>-1930258.610792438</v>
      </c>
      <c r="E39" s="218">
        <f t="shared" si="16"/>
        <v>-20765.030312371768</v>
      </c>
      <c r="F39" s="218">
        <f t="shared" si="17"/>
        <v>-27663.639072973227</v>
      </c>
      <c r="G39" s="218">
        <f t="shared" si="4"/>
        <v>-118.87668635845182</v>
      </c>
      <c r="H39" s="218">
        <f t="shared" si="5"/>
        <v>-90.960357084002752</v>
      </c>
      <c r="I39" s="218">
        <f t="shared" si="6"/>
        <v>-1395.5821041000477</v>
      </c>
      <c r="J39" s="218">
        <f t="shared" si="7"/>
        <v>-506.76994909368705</v>
      </c>
      <c r="K39" s="218">
        <f t="shared" si="8"/>
        <v>-1303.2805903737037</v>
      </c>
      <c r="L39" s="218">
        <f t="shared" si="9"/>
        <v>-15074.037771872458</v>
      </c>
      <c r="M39" s="192">
        <f t="shared" si="18"/>
        <v>-1978.6872801777829</v>
      </c>
      <c r="N39" s="211">
        <v>71</v>
      </c>
      <c r="O39" s="211">
        <f>'Emission-Waste Transport Vehicl'!N41</f>
        <v>27.826265705040004</v>
      </c>
      <c r="P39" s="211">
        <f>'Emission-Waste Transport Vehicl'!O41</f>
        <v>40.481421425280004</v>
      </c>
      <c r="Q39" s="211">
        <f>'Emission-Waste Transport Vehicl'!P41</f>
        <v>15.482070624240002</v>
      </c>
      <c r="R39" s="211">
        <f>'Emission-Waste Transport Vehicl'!Q41</f>
        <v>12.023811391680001</v>
      </c>
      <c r="S39" s="211">
        <f>'Emission-Waste Transport Vehicl'!R41</f>
        <v>1.1967273093600002</v>
      </c>
      <c r="T39" s="211">
        <f>'Emission-Waste Transport Vehicl'!S41</f>
        <v>5.503061013120001E-2</v>
      </c>
      <c r="U39" s="1850">
        <f t="shared" si="19"/>
        <v>-140486.79689262257</v>
      </c>
      <c r="V39" s="1850">
        <f t="shared" si="10"/>
        <v>-3307.8942607449849</v>
      </c>
      <c r="W39" s="1850">
        <f t="shared" si="11"/>
        <v>-3682.2045481114687</v>
      </c>
      <c r="X39" s="1850">
        <f t="shared" si="12"/>
        <v>-21606.500697602401</v>
      </c>
      <c r="Y39" s="1850">
        <f t="shared" si="13"/>
        <v>-6093.3062868737679</v>
      </c>
      <c r="Z39" s="1850">
        <f t="shared" si="14"/>
        <v>-1559.671474259035</v>
      </c>
      <c r="AA39" s="1850">
        <f t="shared" si="15"/>
        <v>-829.53349572689604</v>
      </c>
      <c r="AB39" s="2733"/>
      <c r="AC39" s="3009"/>
    </row>
    <row r="40" spans="1:29" ht="18.75" x14ac:dyDescent="0.25">
      <c r="A40" s="3019"/>
      <c r="B40" s="2753"/>
      <c r="C40" s="1849">
        <v>2028</v>
      </c>
      <c r="D40" s="218">
        <f t="shared" si="3"/>
        <v>-1930258.610792438</v>
      </c>
      <c r="E40" s="218">
        <f t="shared" si="16"/>
        <v>-20765.030312371768</v>
      </c>
      <c r="F40" s="218">
        <f t="shared" si="17"/>
        <v>-27663.639072973227</v>
      </c>
      <c r="G40" s="218">
        <f t="shared" si="4"/>
        <v>-118.87668635845182</v>
      </c>
      <c r="H40" s="218">
        <f t="shared" si="5"/>
        <v>-90.960357084002752</v>
      </c>
      <c r="I40" s="218">
        <f t="shared" si="6"/>
        <v>-1395.5821041000477</v>
      </c>
      <c r="J40" s="218">
        <f t="shared" si="7"/>
        <v>-506.76994909368705</v>
      </c>
      <c r="K40" s="218">
        <f t="shared" si="8"/>
        <v>-1303.2805903737037</v>
      </c>
      <c r="L40" s="218">
        <f t="shared" si="9"/>
        <v>-15074.037771872458</v>
      </c>
      <c r="M40" s="192">
        <f t="shared" si="18"/>
        <v>-1978.6872801777829</v>
      </c>
      <c r="N40" s="211">
        <v>72</v>
      </c>
      <c r="O40" s="211">
        <f>'Emission-Waste Transport Vehicl'!N42</f>
        <v>27.281803329792002</v>
      </c>
      <c r="P40" s="211">
        <f>'Emission-Waste Transport Vehicl'!O42</f>
        <v>39.689342060544</v>
      </c>
      <c r="Q40" s="211">
        <f>'Emission-Waste Transport Vehicl'!P42</f>
        <v>15.179140829952001</v>
      </c>
      <c r="R40" s="211">
        <f>'Emission-Waste Transport Vehicl'!Q42</f>
        <v>11.788547595263999</v>
      </c>
      <c r="S40" s="211">
        <f>'Emission-Waste Transport Vehicl'!R42</f>
        <v>1.173311555328</v>
      </c>
      <c r="T40" s="211">
        <f>'Emission-Waste Transport Vehicl'!S42</f>
        <v>5.3953854197759998E-2</v>
      </c>
      <c r="U40" s="1850">
        <f t="shared" si="19"/>
        <v>-142465.48417280038</v>
      </c>
      <c r="V40" s="1850">
        <f t="shared" si="10"/>
        <v>-3243.1703777286502</v>
      </c>
      <c r="W40" s="1850">
        <f t="shared" si="11"/>
        <v>-3610.1567262562116</v>
      </c>
      <c r="X40" s="1850">
        <f t="shared" si="12"/>
        <v>-21183.737297895357</v>
      </c>
      <c r="Y40" s="1850">
        <f t="shared" si="13"/>
        <v>-5974.0816647404436</v>
      </c>
      <c r="Z40" s="1850">
        <f t="shared" si="14"/>
        <v>-1529.1541765201644</v>
      </c>
      <c r="AA40" s="1850">
        <f t="shared" si="15"/>
        <v>-813.30243611513356</v>
      </c>
      <c r="AB40" s="2733"/>
      <c r="AC40" s="3009"/>
    </row>
    <row r="41" spans="1:29" ht="18.75" x14ac:dyDescent="0.25">
      <c r="A41" s="3019"/>
      <c r="B41" s="2753"/>
      <c r="C41" s="1849">
        <v>2029</v>
      </c>
      <c r="D41" s="218">
        <f t="shared" si="3"/>
        <v>-1930258.610792438</v>
      </c>
      <c r="E41" s="218">
        <f t="shared" si="16"/>
        <v>-20765.030312371768</v>
      </c>
      <c r="F41" s="218">
        <f t="shared" si="17"/>
        <v>-27663.639072973227</v>
      </c>
      <c r="G41" s="218">
        <f t="shared" si="4"/>
        <v>-118.87668635845182</v>
      </c>
      <c r="H41" s="218">
        <f t="shared" si="5"/>
        <v>-90.960357084002752</v>
      </c>
      <c r="I41" s="218">
        <f t="shared" si="6"/>
        <v>-1395.5821041000477</v>
      </c>
      <c r="J41" s="218">
        <f t="shared" si="7"/>
        <v>-506.76994909368705</v>
      </c>
      <c r="K41" s="218">
        <f t="shared" si="8"/>
        <v>-1303.2805903737037</v>
      </c>
      <c r="L41" s="218">
        <f t="shared" si="9"/>
        <v>-15074.037771872458</v>
      </c>
      <c r="M41" s="192">
        <f t="shared" si="18"/>
        <v>-1978.6872801777829</v>
      </c>
      <c r="N41" s="211">
        <v>73</v>
      </c>
      <c r="O41" s="211">
        <f>'Emission-Waste Transport Vehicl'!N43</f>
        <v>26.743861462032005</v>
      </c>
      <c r="P41" s="211">
        <f>'Emission-Waste Transport Vehicl'!O43</f>
        <v>38.906748676224005</v>
      </c>
      <c r="Q41" s="211">
        <f>'Emission-Waste Transport Vehicl'!P43</f>
        <v>14.879838937392002</v>
      </c>
      <c r="R41" s="211">
        <f>'Emission-Waste Transport Vehicl'!Q43</f>
        <v>11.556101329344001</v>
      </c>
      <c r="S41" s="211">
        <f>'Emission-Waste Transport Vehicl'!R43</f>
        <v>1.1501762294880002</v>
      </c>
      <c r="T41" s="211">
        <f>'Emission-Waste Transport Vehicl'!S43</f>
        <v>5.2889993544960004E-2</v>
      </c>
      <c r="U41" s="1850">
        <f t="shared" si="19"/>
        <v>-144444.17145297816</v>
      </c>
      <c r="V41" s="1850">
        <f t="shared" si="10"/>
        <v>-3179.2216310358654</v>
      </c>
      <c r="W41" s="1850">
        <f t="shared" si="11"/>
        <v>-3538.9717525668871</v>
      </c>
      <c r="X41" s="1850">
        <f t="shared" si="12"/>
        <v>-20766.036932915347</v>
      </c>
      <c r="Y41" s="1850">
        <f t="shared" si="13"/>
        <v>-5856.2848823931481</v>
      </c>
      <c r="Z41" s="1850">
        <f t="shared" si="14"/>
        <v>-1499.0023554009215</v>
      </c>
      <c r="AA41" s="1850">
        <f t="shared" si="15"/>
        <v>-797.26576045081754</v>
      </c>
      <c r="AB41" s="2733"/>
      <c r="AC41" s="3009"/>
    </row>
    <row r="42" spans="1:29" ht="18.75" x14ac:dyDescent="0.25">
      <c r="A42" s="3019"/>
      <c r="B42" s="2753"/>
      <c r="C42" s="1849">
        <v>2030</v>
      </c>
      <c r="D42" s="218">
        <f t="shared" si="3"/>
        <v>-1930258.610792438</v>
      </c>
      <c r="E42" s="218">
        <f t="shared" si="16"/>
        <v>-20765.030312371768</v>
      </c>
      <c r="F42" s="218">
        <f t="shared" si="17"/>
        <v>-27663.639072973227</v>
      </c>
      <c r="G42" s="218">
        <f t="shared" si="4"/>
        <v>-118.87668635845182</v>
      </c>
      <c r="H42" s="218">
        <f t="shared" si="5"/>
        <v>-90.960357084002752</v>
      </c>
      <c r="I42" s="218">
        <f t="shared" si="6"/>
        <v>-1395.5821041000477</v>
      </c>
      <c r="J42" s="218">
        <f t="shared" si="7"/>
        <v>-506.76994909368705</v>
      </c>
      <c r="K42" s="218">
        <f t="shared" si="8"/>
        <v>-1303.2805903737037</v>
      </c>
      <c r="L42" s="218">
        <f t="shared" si="9"/>
        <v>-15074.037771872458</v>
      </c>
      <c r="M42" s="192">
        <f t="shared" si="18"/>
        <v>-1978.6872801777829</v>
      </c>
      <c r="N42" s="211">
        <v>75</v>
      </c>
      <c r="O42" s="211">
        <f>'Emission-Waste Transport Vehicl'!N44</f>
        <v>26.222220862992003</v>
      </c>
      <c r="P42" s="211">
        <f>'Emission-Waste Transport Vehicl'!O44</f>
        <v>38.147870242944002</v>
      </c>
      <c r="Q42" s="211">
        <f>'Emission-Waste Transport Vehicl'!P44</f>
        <v>14.589606799152003</v>
      </c>
      <c r="R42" s="211">
        <f>'Emission-Waste Transport Vehicl'!Q44</f>
        <v>11.330698889664001</v>
      </c>
      <c r="S42" s="211">
        <f>'Emission-Waste Transport Vehicl'!R44</f>
        <v>1.1277419741280001</v>
      </c>
      <c r="T42" s="211">
        <f>'Emission-Waste Transport Vehicl'!S44</f>
        <v>5.1858371093760007E-2</v>
      </c>
      <c r="U42" s="1850">
        <f t="shared" si="19"/>
        <v>-148401.54601333372</v>
      </c>
      <c r="V42" s="1850">
        <f t="shared" si="10"/>
        <v>-3117.2107251519524</v>
      </c>
      <c r="W42" s="1850">
        <f t="shared" si="11"/>
        <v>-3469.9438992923892</v>
      </c>
      <c r="X42" s="1850">
        <f t="shared" si="12"/>
        <v>-20360.994154752912</v>
      </c>
      <c r="Y42" s="1850">
        <f t="shared" si="13"/>
        <v>-5742.0576995109222</v>
      </c>
      <c r="Z42" s="1850">
        <f t="shared" si="14"/>
        <v>-1469.7642258307462</v>
      </c>
      <c r="AA42" s="1850">
        <f t="shared" si="15"/>
        <v>-781.71504465511714</v>
      </c>
      <c r="AB42" s="2733"/>
      <c r="AC42" s="3009"/>
    </row>
    <row r="43" spans="1:29" ht="18.75" x14ac:dyDescent="0.25">
      <c r="A43" s="3019"/>
      <c r="B43" s="2753"/>
      <c r="C43" s="1849">
        <v>2031</v>
      </c>
      <c r="D43" s="218">
        <f t="shared" si="3"/>
        <v>-1930258.610792438</v>
      </c>
      <c r="E43" s="218">
        <f t="shared" si="16"/>
        <v>-20765.030312371768</v>
      </c>
      <c r="F43" s="218">
        <f t="shared" si="17"/>
        <v>-27663.639072973227</v>
      </c>
      <c r="G43" s="218">
        <f t="shared" si="4"/>
        <v>-118.87668635845182</v>
      </c>
      <c r="H43" s="218">
        <f t="shared" si="5"/>
        <v>-90.960357084002752</v>
      </c>
      <c r="I43" s="218">
        <f t="shared" si="6"/>
        <v>-1395.5821041000477</v>
      </c>
      <c r="J43" s="218">
        <f t="shared" si="7"/>
        <v>-506.76994909368705</v>
      </c>
      <c r="K43" s="218">
        <f t="shared" si="8"/>
        <v>-1303.2805903737037</v>
      </c>
      <c r="L43" s="218">
        <f t="shared" si="9"/>
        <v>-15074.037771872458</v>
      </c>
      <c r="M43" s="192">
        <f t="shared" si="18"/>
        <v>-1978.6872801777829</v>
      </c>
      <c r="N43" s="211">
        <v>76</v>
      </c>
      <c r="O43" s="211">
        <f>'Emission-Waste Transport Vehicl'!N45</f>
        <v>25.70710077144</v>
      </c>
      <c r="P43" s="211">
        <f>'Emission-Waste Transport Vehicl'!O45</f>
        <v>37.398477790080001</v>
      </c>
      <c r="Q43" s="211">
        <f>'Emission-Waste Transport Vehicl'!P45</f>
        <v>14.303002562640001</v>
      </c>
      <c r="R43" s="211">
        <f>'Emission-Waste Transport Vehicl'!Q45</f>
        <v>11.108113980480001</v>
      </c>
      <c r="S43" s="211">
        <f>'Emission-Waste Transport Vehicl'!R45</f>
        <v>1.1055881469600002</v>
      </c>
      <c r="T43" s="211">
        <f>'Emission-Waste Transport Vehicl'!S45</f>
        <v>5.0839643923200006E-2</v>
      </c>
      <c r="U43" s="1850">
        <f t="shared" si="19"/>
        <v>-150380.2332935115</v>
      </c>
      <c r="V43" s="1850">
        <f t="shared" si="10"/>
        <v>-3055.9749555915878</v>
      </c>
      <c r="W43" s="1850">
        <f t="shared" si="11"/>
        <v>-3401.778894183823</v>
      </c>
      <c r="X43" s="1850">
        <f t="shared" si="12"/>
        <v>-19961.014411317508</v>
      </c>
      <c r="Y43" s="1850">
        <f t="shared" si="13"/>
        <v>-5629.2583564147235</v>
      </c>
      <c r="Z43" s="1850">
        <f t="shared" si="14"/>
        <v>-1440.8915728801981</v>
      </c>
      <c r="AA43" s="1850">
        <f t="shared" si="15"/>
        <v>-766.35871280686297</v>
      </c>
      <c r="AB43" s="2733"/>
      <c r="AC43" s="3009"/>
    </row>
    <row r="44" spans="1:29" ht="18.75" x14ac:dyDescent="0.25">
      <c r="A44" s="3019"/>
      <c r="B44" s="2753"/>
      <c r="C44" s="1849">
        <v>2032</v>
      </c>
      <c r="D44" s="218">
        <f t="shared" si="3"/>
        <v>-1930258.610792438</v>
      </c>
      <c r="E44" s="218">
        <f t="shared" si="16"/>
        <v>-20765.030312371768</v>
      </c>
      <c r="F44" s="218">
        <f t="shared" si="17"/>
        <v>-27663.639072973227</v>
      </c>
      <c r="G44" s="218">
        <f t="shared" si="4"/>
        <v>-118.87668635845182</v>
      </c>
      <c r="H44" s="218">
        <f t="shared" si="5"/>
        <v>-90.960357084002752</v>
      </c>
      <c r="I44" s="218">
        <f t="shared" si="6"/>
        <v>-1395.5821041000477</v>
      </c>
      <c r="J44" s="218">
        <f t="shared" si="7"/>
        <v>-506.76994909368705</v>
      </c>
      <c r="K44" s="218">
        <f t="shared" si="8"/>
        <v>-1303.2805903737037</v>
      </c>
      <c r="L44" s="218">
        <f t="shared" si="9"/>
        <v>-15074.037771872458</v>
      </c>
      <c r="M44" s="192">
        <f t="shared" si="18"/>
        <v>-1978.6872801777829</v>
      </c>
      <c r="N44" s="211">
        <v>77</v>
      </c>
      <c r="O44" s="211">
        <f>'Emission-Waste Transport Vehicl'!N46</f>
        <v>25.201761441120002</v>
      </c>
      <c r="P44" s="211">
        <f>'Emission-Waste Transport Vehicl'!O46</f>
        <v>36.663314307840004</v>
      </c>
      <c r="Q44" s="211">
        <f>'Emission-Waste Transport Vehicl'!P46</f>
        <v>14.021840178720002</v>
      </c>
      <c r="R44" s="211">
        <f>'Emission-Waste Transport Vehicl'!Q46</f>
        <v>10.889755367040001</v>
      </c>
      <c r="S44" s="211">
        <f>'Emission-Waste Transport Vehicl'!R46</f>
        <v>1.0838549620800002</v>
      </c>
      <c r="T44" s="211">
        <f>'Emission-Waste Transport Vehicl'!S46</f>
        <v>4.9840259673600007E-2</v>
      </c>
      <c r="U44" s="1850">
        <f t="shared" si="19"/>
        <v>-152358.92057368928</v>
      </c>
      <c r="V44" s="1850">
        <f t="shared" si="10"/>
        <v>-2995.9018905165472</v>
      </c>
      <c r="W44" s="1850">
        <f t="shared" si="11"/>
        <v>-3334.9081613241538</v>
      </c>
      <c r="X44" s="1850">
        <f t="shared" si="12"/>
        <v>-19568.629219972649</v>
      </c>
      <c r="Y44" s="1850">
        <f t="shared" si="13"/>
        <v>-5518.6007729975663</v>
      </c>
      <c r="Z44" s="1850">
        <f t="shared" si="14"/>
        <v>-1412.5671348590909</v>
      </c>
      <c r="AA44" s="1850">
        <f t="shared" si="15"/>
        <v>-751.29395687977819</v>
      </c>
      <c r="AB44" s="2733"/>
      <c r="AC44" s="3009"/>
    </row>
    <row r="45" spans="1:29" ht="18.75" x14ac:dyDescent="0.25">
      <c r="A45" s="3019"/>
      <c r="B45" s="2753"/>
      <c r="C45" s="1849">
        <v>2033</v>
      </c>
      <c r="D45" s="218">
        <f t="shared" si="3"/>
        <v>-1930258.610792438</v>
      </c>
      <c r="E45" s="218">
        <f t="shared" si="16"/>
        <v>-20765.030312371768</v>
      </c>
      <c r="F45" s="218">
        <f t="shared" si="17"/>
        <v>-27663.639072973227</v>
      </c>
      <c r="G45" s="218">
        <f t="shared" si="4"/>
        <v>-118.87668635845182</v>
      </c>
      <c r="H45" s="218">
        <f t="shared" si="5"/>
        <v>-90.960357084002752</v>
      </c>
      <c r="I45" s="218">
        <f t="shared" si="6"/>
        <v>-1395.5821041000477</v>
      </c>
      <c r="J45" s="218">
        <f t="shared" si="7"/>
        <v>-506.76994909368705</v>
      </c>
      <c r="K45" s="218">
        <f t="shared" si="8"/>
        <v>-1303.2805903737037</v>
      </c>
      <c r="L45" s="218">
        <f t="shared" si="9"/>
        <v>-15074.037771872458</v>
      </c>
      <c r="M45" s="192">
        <f t="shared" si="18"/>
        <v>-1978.6872801777829</v>
      </c>
      <c r="N45" s="211">
        <v>78</v>
      </c>
      <c r="O45" s="211">
        <f>'Emission-Waste Transport Vehicl'!N47</f>
        <v>24.709463125776001</v>
      </c>
      <c r="P45" s="211">
        <f>'Emission-Waste Transport Vehicl'!O47</f>
        <v>35.947122786432004</v>
      </c>
      <c r="Q45" s="211">
        <f>'Emission-Waste Transport Vehicl'!P47</f>
        <v>13.747933598256003</v>
      </c>
      <c r="R45" s="211">
        <f>'Emission-Waste Transport Vehicl'!Q47</f>
        <v>10.677031814592</v>
      </c>
      <c r="S45" s="211">
        <f>'Emission-Waste Transport Vehicl'!R47</f>
        <v>1.0626826335840001</v>
      </c>
      <c r="T45" s="211">
        <f>'Emission-Waste Transport Vehicl'!S47</f>
        <v>4.8866665985280007E-2</v>
      </c>
      <c r="U45" s="1850">
        <f t="shared" si="19"/>
        <v>-154337.60785386706</v>
      </c>
      <c r="V45" s="1850">
        <f t="shared" si="10"/>
        <v>-2937.3790980886042</v>
      </c>
      <c r="W45" s="1850">
        <f t="shared" si="11"/>
        <v>-3269.7631247963473</v>
      </c>
      <c r="X45" s="1850">
        <f t="shared" si="12"/>
        <v>-19186.37009808185</v>
      </c>
      <c r="Y45" s="1850">
        <f t="shared" si="13"/>
        <v>-5410.7988691524652</v>
      </c>
      <c r="Z45" s="1850">
        <f t="shared" si="14"/>
        <v>-1384.9736500772378</v>
      </c>
      <c r="AA45" s="1850">
        <f t="shared" si="15"/>
        <v>-736.61796884758587</v>
      </c>
      <c r="AB45" s="2733"/>
      <c r="AC45" s="3009"/>
    </row>
    <row r="46" spans="1:29" ht="18.75" x14ac:dyDescent="0.25">
      <c r="A46" s="3019"/>
      <c r="B46" s="2753"/>
      <c r="C46" s="1849">
        <v>2034</v>
      </c>
      <c r="D46" s="218">
        <f t="shared" si="3"/>
        <v>-1930258.610792438</v>
      </c>
      <c r="E46" s="218">
        <f t="shared" si="16"/>
        <v>-20765.030312371768</v>
      </c>
      <c r="F46" s="218">
        <f t="shared" si="17"/>
        <v>-27663.639072973227</v>
      </c>
      <c r="G46" s="218">
        <f t="shared" si="4"/>
        <v>-118.87668635845182</v>
      </c>
      <c r="H46" s="218">
        <f t="shared" si="5"/>
        <v>-90.960357084002752</v>
      </c>
      <c r="I46" s="218">
        <f t="shared" si="6"/>
        <v>-1395.5821041000477</v>
      </c>
      <c r="J46" s="218">
        <f t="shared" si="7"/>
        <v>-506.76994909368705</v>
      </c>
      <c r="K46" s="218">
        <f t="shared" si="8"/>
        <v>-1303.2805903737037</v>
      </c>
      <c r="L46" s="218">
        <f t="shared" si="9"/>
        <v>-15074.037771872458</v>
      </c>
      <c r="M46" s="192">
        <f t="shared" si="18"/>
        <v>-1978.6872801777829</v>
      </c>
      <c r="N46" s="211">
        <v>79</v>
      </c>
      <c r="O46" s="211">
        <f>'Emission-Waste Transport Vehicl'!N48</f>
        <v>24.223685317920005</v>
      </c>
      <c r="P46" s="211">
        <f>'Emission-Waste Transport Vehicl'!O48</f>
        <v>35.24041724544</v>
      </c>
      <c r="Q46" s="211">
        <f>'Emission-Waste Transport Vehicl'!P48</f>
        <v>13.477654919520001</v>
      </c>
      <c r="R46" s="211">
        <f>'Emission-Waste Transport Vehicl'!Q48</f>
        <v>10.467125792640001</v>
      </c>
      <c r="S46" s="211">
        <f>'Emission-Waste Transport Vehicl'!R48</f>
        <v>1.04179073328</v>
      </c>
      <c r="T46" s="211">
        <f>'Emission-Waste Transport Vehicl'!S48</f>
        <v>4.7905967577600003E-2</v>
      </c>
      <c r="U46" s="1850">
        <f t="shared" si="19"/>
        <v>-156316.29513404483</v>
      </c>
      <c r="V46" s="1850">
        <f t="shared" si="10"/>
        <v>-2879.6314419842106</v>
      </c>
      <c r="W46" s="1850">
        <f t="shared" si="11"/>
        <v>-3205.480936434471</v>
      </c>
      <c r="X46" s="1850">
        <f t="shared" si="12"/>
        <v>-18809.174010918083</v>
      </c>
      <c r="Y46" s="1850">
        <f t="shared" si="13"/>
        <v>-5304.424805093392</v>
      </c>
      <c r="Z46" s="1850">
        <f t="shared" si="14"/>
        <v>-1357.7456419150121</v>
      </c>
      <c r="AA46" s="1850">
        <f t="shared" si="15"/>
        <v>-722.13636476283978</v>
      </c>
      <c r="AB46" s="2733"/>
      <c r="AC46" s="3009"/>
    </row>
    <row r="47" spans="1:29" ht="18.75" x14ac:dyDescent="0.25">
      <c r="A47" s="3019"/>
      <c r="B47" s="2753"/>
      <c r="C47" s="1849">
        <v>2035</v>
      </c>
      <c r="D47" s="218">
        <f t="shared" si="3"/>
        <v>-1930258.610792438</v>
      </c>
      <c r="E47" s="218">
        <f t="shared" si="16"/>
        <v>-20765.030312371768</v>
      </c>
      <c r="F47" s="218">
        <f t="shared" si="17"/>
        <v>-27663.639072973227</v>
      </c>
      <c r="G47" s="218">
        <f t="shared" si="4"/>
        <v>-118.87668635845182</v>
      </c>
      <c r="H47" s="218">
        <f t="shared" si="5"/>
        <v>-90.960357084002752</v>
      </c>
      <c r="I47" s="218">
        <f t="shared" si="6"/>
        <v>-1395.5821041000477</v>
      </c>
      <c r="J47" s="218">
        <f t="shared" si="7"/>
        <v>-506.76994909368705</v>
      </c>
      <c r="K47" s="218">
        <f t="shared" si="8"/>
        <v>-1303.2805903737037</v>
      </c>
      <c r="L47" s="218">
        <f t="shared" si="9"/>
        <v>-15074.037771872458</v>
      </c>
      <c r="M47" s="192">
        <f t="shared" si="18"/>
        <v>-1978.6872801777829</v>
      </c>
      <c r="N47" s="211">
        <v>80</v>
      </c>
      <c r="O47" s="211">
        <f>'Emission-Waste Transport Vehicl'!N49</f>
        <v>23.747688271296006</v>
      </c>
      <c r="P47" s="211">
        <f>'Emission-Waste Transport Vehicl'!O49</f>
        <v>34.547940675072006</v>
      </c>
      <c r="Q47" s="211">
        <f>'Emission-Waste Transport Vehicl'!P49</f>
        <v>13.212818093376002</v>
      </c>
      <c r="R47" s="211">
        <f>'Emission-Waste Transport Vehicl'!Q49</f>
        <v>10.261446066432002</v>
      </c>
      <c r="S47" s="211">
        <f>'Emission-Waste Transport Vehicl'!R49</f>
        <v>1.0213194752640002</v>
      </c>
      <c r="T47" s="211">
        <f>'Emission-Waste Transport Vehicl'!S49</f>
        <v>4.6964612090880008E-2</v>
      </c>
      <c r="U47" s="1850">
        <f t="shared" si="19"/>
        <v>-158294.98241422264</v>
      </c>
      <c r="V47" s="1850">
        <f t="shared" si="10"/>
        <v>-2823.04649036514</v>
      </c>
      <c r="W47" s="1850">
        <f t="shared" si="11"/>
        <v>-3142.4930203214926</v>
      </c>
      <c r="X47" s="1850">
        <f t="shared" si="12"/>
        <v>-18439.572475844863</v>
      </c>
      <c r="Y47" s="1850">
        <f t="shared" si="13"/>
        <v>-5200.1925007133614</v>
      </c>
      <c r="Z47" s="1850">
        <f t="shared" si="14"/>
        <v>-1331.0658486822276</v>
      </c>
      <c r="AA47" s="1850">
        <f t="shared" si="15"/>
        <v>-707.94633659926319</v>
      </c>
      <c r="AB47" s="2733"/>
      <c r="AC47" s="3009"/>
    </row>
    <row r="48" spans="1:29" ht="18.75" x14ac:dyDescent="0.25">
      <c r="A48" s="3019"/>
      <c r="B48" s="2753"/>
      <c r="C48" s="1849">
        <v>2036</v>
      </c>
      <c r="D48" s="218">
        <f t="shared" si="3"/>
        <v>-1930258.610792438</v>
      </c>
      <c r="E48" s="218">
        <f t="shared" si="16"/>
        <v>-20765.030312371768</v>
      </c>
      <c r="F48" s="218">
        <f t="shared" si="17"/>
        <v>-27663.639072973227</v>
      </c>
      <c r="G48" s="218">
        <f t="shared" si="4"/>
        <v>-118.87668635845182</v>
      </c>
      <c r="H48" s="218">
        <f t="shared" si="5"/>
        <v>-90.960357084002752</v>
      </c>
      <c r="I48" s="218">
        <f t="shared" si="6"/>
        <v>-1395.5821041000477</v>
      </c>
      <c r="J48" s="218">
        <f t="shared" si="7"/>
        <v>-506.76994909368705</v>
      </c>
      <c r="K48" s="218">
        <f t="shared" si="8"/>
        <v>-1303.2805903737037</v>
      </c>
      <c r="L48" s="218">
        <f t="shared" si="9"/>
        <v>-15074.037771872458</v>
      </c>
      <c r="M48" s="192">
        <f t="shared" si="18"/>
        <v>-1978.6872801777829</v>
      </c>
      <c r="N48" s="211">
        <v>81</v>
      </c>
      <c r="O48" s="211">
        <f>'Emission-Waste Transport Vehicl'!N50</f>
        <v>23.284732239648001</v>
      </c>
      <c r="P48" s="211">
        <f>'Emission-Waste Transport Vehicl'!O50</f>
        <v>33.874436065536003</v>
      </c>
      <c r="Q48" s="211">
        <f>'Emission-Waste Transport Vehicl'!P50</f>
        <v>12.955237070688</v>
      </c>
      <c r="R48" s="211">
        <f>'Emission-Waste Transport Vehicl'!Q50</f>
        <v>10.061401401215999</v>
      </c>
      <c r="S48" s="211">
        <f>'Emission-Waste Transport Vehicl'!R50</f>
        <v>1.001409073632</v>
      </c>
      <c r="T48" s="211">
        <f>'Emission-Waste Transport Vehicl'!S50</f>
        <v>4.6049047165439998E-2</v>
      </c>
      <c r="U48" s="1850">
        <f t="shared" si="19"/>
        <v>-160273.66969440042</v>
      </c>
      <c r="V48" s="1850">
        <f t="shared" si="10"/>
        <v>-2768.0118113931667</v>
      </c>
      <c r="W48" s="1850">
        <f t="shared" si="11"/>
        <v>-3081.2308005403761</v>
      </c>
      <c r="X48" s="1850">
        <f t="shared" si="12"/>
        <v>-18080.097010225698</v>
      </c>
      <c r="Y48" s="1850">
        <f t="shared" si="13"/>
        <v>-5098.8158759053831</v>
      </c>
      <c r="Z48" s="1850">
        <f t="shared" si="14"/>
        <v>-1305.1170086886968</v>
      </c>
      <c r="AA48" s="1850">
        <f t="shared" si="15"/>
        <v>-694.14507633057883</v>
      </c>
      <c r="AB48" s="2733"/>
      <c r="AC48" s="3009"/>
    </row>
    <row r="49" spans="1:29" ht="18.75" x14ac:dyDescent="0.25">
      <c r="A49" s="3019"/>
      <c r="B49" s="2753"/>
      <c r="C49" s="1849">
        <v>2037</v>
      </c>
      <c r="D49" s="218">
        <f t="shared" si="3"/>
        <v>-1930258.610792438</v>
      </c>
      <c r="E49" s="218">
        <f t="shared" si="16"/>
        <v>-20765.030312371768</v>
      </c>
      <c r="F49" s="218">
        <f t="shared" si="17"/>
        <v>-27663.639072973227</v>
      </c>
      <c r="G49" s="218">
        <f t="shared" si="4"/>
        <v>-118.87668635845182</v>
      </c>
      <c r="H49" s="218">
        <f t="shared" si="5"/>
        <v>-90.960357084002752</v>
      </c>
      <c r="I49" s="218">
        <f t="shared" si="6"/>
        <v>-1395.5821041000477</v>
      </c>
      <c r="J49" s="218">
        <f t="shared" si="7"/>
        <v>-506.76994909368705</v>
      </c>
      <c r="K49" s="218">
        <f t="shared" si="8"/>
        <v>-1303.2805903737037</v>
      </c>
      <c r="L49" s="218">
        <f t="shared" si="9"/>
        <v>-15074.037771872458</v>
      </c>
      <c r="M49" s="192">
        <f t="shared" si="18"/>
        <v>-1978.6872801777829</v>
      </c>
      <c r="N49" s="211">
        <v>83</v>
      </c>
      <c r="O49" s="211">
        <f>'Emission-Waste Transport Vehicl'!N51</f>
        <v>22.828296715488005</v>
      </c>
      <c r="P49" s="211">
        <f>'Emission-Waste Transport Vehicl'!O51</f>
        <v>33.210417436416002</v>
      </c>
      <c r="Q49" s="211">
        <f>'Emission-Waste Transport Vehicl'!P51</f>
        <v>12.701283949728003</v>
      </c>
      <c r="R49" s="211">
        <f>'Emission-Waste Transport Vehicl'!Q51</f>
        <v>9.8641742664960006</v>
      </c>
      <c r="S49" s="211">
        <f>'Emission-Waste Transport Vehicl'!R51</f>
        <v>0.9817791001920001</v>
      </c>
      <c r="T49" s="211">
        <f>'Emission-Waste Transport Vehicl'!S51</f>
        <v>4.5146377520640005E-2</v>
      </c>
      <c r="U49" s="1850">
        <f t="shared" si="19"/>
        <v>-164231.04425475598</v>
      </c>
      <c r="V49" s="1850">
        <f t="shared" si="10"/>
        <v>-2713.7522687447436</v>
      </c>
      <c r="W49" s="1850">
        <f t="shared" si="11"/>
        <v>-3020.8314289251907</v>
      </c>
      <c r="X49" s="1850">
        <f t="shared" si="12"/>
        <v>-17725.684579333571</v>
      </c>
      <c r="Y49" s="1850">
        <f t="shared" si="13"/>
        <v>-4998.8670908834356</v>
      </c>
      <c r="Z49" s="1850">
        <f t="shared" si="14"/>
        <v>-1279.5336453147936</v>
      </c>
      <c r="AA49" s="1850">
        <f t="shared" si="15"/>
        <v>-680.53820000934104</v>
      </c>
      <c r="AB49" s="2733"/>
      <c r="AC49" s="3009"/>
    </row>
    <row r="50" spans="1:29" ht="18.75" x14ac:dyDescent="0.25">
      <c r="A50" s="3019"/>
      <c r="B50" s="2753"/>
      <c r="C50" s="1849">
        <v>2038</v>
      </c>
      <c r="D50" s="218">
        <f t="shared" si="3"/>
        <v>-1930258.610792438</v>
      </c>
      <c r="E50" s="218">
        <f t="shared" si="16"/>
        <v>-20765.030312371768</v>
      </c>
      <c r="F50" s="218">
        <f t="shared" si="17"/>
        <v>-27663.639072973227</v>
      </c>
      <c r="G50" s="218">
        <f t="shared" si="4"/>
        <v>-118.87668635845182</v>
      </c>
      <c r="H50" s="218">
        <f t="shared" si="5"/>
        <v>-90.960357084002752</v>
      </c>
      <c r="I50" s="218">
        <f t="shared" si="6"/>
        <v>-1395.5821041000477</v>
      </c>
      <c r="J50" s="218">
        <f t="shared" si="7"/>
        <v>-506.76994909368705</v>
      </c>
      <c r="K50" s="218">
        <f t="shared" si="8"/>
        <v>-1303.2805903737037</v>
      </c>
      <c r="L50" s="218">
        <f t="shared" si="9"/>
        <v>-15074.037771872458</v>
      </c>
      <c r="M50" s="192">
        <f t="shared" si="18"/>
        <v>-1978.6872801777829</v>
      </c>
      <c r="N50" s="211">
        <v>84</v>
      </c>
      <c r="O50" s="211">
        <f>'Emission-Waste Transport Vehicl'!N52</f>
        <v>22.378381698816003</v>
      </c>
      <c r="P50" s="211">
        <f>'Emission-Waste Transport Vehicl'!O52</f>
        <v>32.555884787712003</v>
      </c>
      <c r="Q50" s="211">
        <f>'Emission-Waste Transport Vehicl'!P52</f>
        <v>12.450958730496001</v>
      </c>
      <c r="R50" s="211">
        <f>'Emission-Waste Transport Vehicl'!Q52</f>
        <v>9.6697646622720015</v>
      </c>
      <c r="S50" s="211">
        <f>'Emission-Waste Transport Vehicl'!R52</f>
        <v>0.96242955494400007</v>
      </c>
      <c r="T50" s="211">
        <f>'Emission-Waste Transport Vehicl'!S52</f>
        <v>4.4256603156480001E-2</v>
      </c>
      <c r="U50" s="1850">
        <f t="shared" si="19"/>
        <v>-166209.73153493376</v>
      </c>
      <c r="V50" s="1850">
        <f t="shared" si="10"/>
        <v>-2660.2678624198684</v>
      </c>
      <c r="W50" s="1850">
        <f t="shared" si="11"/>
        <v>-2961.294905475937</v>
      </c>
      <c r="X50" s="1850">
        <f t="shared" si="12"/>
        <v>-17376.335183168467</v>
      </c>
      <c r="Y50" s="1850">
        <f t="shared" si="13"/>
        <v>-4900.3461456475161</v>
      </c>
      <c r="Z50" s="1850">
        <f t="shared" si="14"/>
        <v>-1254.3157585605172</v>
      </c>
      <c r="AA50" s="1850">
        <f t="shared" si="15"/>
        <v>-667.12570763554936</v>
      </c>
      <c r="AB50" s="2733"/>
      <c r="AC50" s="3009"/>
    </row>
    <row r="51" spans="1:29" ht="18.75" x14ac:dyDescent="0.25">
      <c r="A51" s="3019"/>
      <c r="B51" s="2753"/>
      <c r="C51" s="1849">
        <v>2039</v>
      </c>
      <c r="D51" s="218">
        <f t="shared" si="3"/>
        <v>-1930258.610792438</v>
      </c>
      <c r="E51" s="218">
        <f t="shared" si="16"/>
        <v>-20765.030312371768</v>
      </c>
      <c r="F51" s="218">
        <f t="shared" si="17"/>
        <v>-27663.639072973227</v>
      </c>
      <c r="G51" s="218">
        <f t="shared" si="4"/>
        <v>-118.87668635845182</v>
      </c>
      <c r="H51" s="218">
        <f t="shared" si="5"/>
        <v>-90.960357084002752</v>
      </c>
      <c r="I51" s="218">
        <f t="shared" si="6"/>
        <v>-1395.5821041000477</v>
      </c>
      <c r="J51" s="218">
        <f t="shared" si="7"/>
        <v>-506.76994909368705</v>
      </c>
      <c r="K51" s="218">
        <f t="shared" si="8"/>
        <v>-1303.2805903737037</v>
      </c>
      <c r="L51" s="218">
        <f t="shared" si="9"/>
        <v>-15074.037771872458</v>
      </c>
      <c r="M51" s="192">
        <f t="shared" si="18"/>
        <v>-1978.6872801777829</v>
      </c>
      <c r="N51" s="211">
        <v>85</v>
      </c>
      <c r="O51" s="211">
        <f>'Emission-Waste Transport Vehicl'!N53</f>
        <v>21.941507697120006</v>
      </c>
      <c r="P51" s="211">
        <f>'Emission-Waste Transport Vehicl'!O53</f>
        <v>31.920324099840006</v>
      </c>
      <c r="Q51" s="211">
        <f>'Emission-Waste Transport Vehicl'!P53</f>
        <v>12.207889314720003</v>
      </c>
      <c r="R51" s="211">
        <f>'Emission-Waste Transport Vehicl'!Q53</f>
        <v>9.4809901190400012</v>
      </c>
      <c r="S51" s="211">
        <f>'Emission-Waste Transport Vehicl'!R53</f>
        <v>0.9436408660800002</v>
      </c>
      <c r="T51" s="211">
        <f>'Emission-Waste Transport Vehicl'!S53</f>
        <v>4.3392619353600011E-2</v>
      </c>
      <c r="U51" s="1850">
        <f t="shared" si="19"/>
        <v>-168188.41881511154</v>
      </c>
      <c r="V51" s="1850">
        <f t="shared" si="10"/>
        <v>-2608.3337287420914</v>
      </c>
      <c r="W51" s="1850">
        <f t="shared" si="11"/>
        <v>-2903.4840783585455</v>
      </c>
      <c r="X51" s="1850">
        <f t="shared" si="12"/>
        <v>-17037.111856457432</v>
      </c>
      <c r="Y51" s="1850">
        <f t="shared" si="13"/>
        <v>-4804.6808799836517</v>
      </c>
      <c r="Z51" s="1850">
        <f t="shared" si="14"/>
        <v>-1229.8288250454957</v>
      </c>
      <c r="AA51" s="1850">
        <f t="shared" si="15"/>
        <v>-654.10198315665036</v>
      </c>
      <c r="AB51" s="2733"/>
      <c r="AC51" s="3009"/>
    </row>
    <row r="52" spans="1:29" ht="18.75" x14ac:dyDescent="0.25">
      <c r="A52" s="3019"/>
      <c r="B52" s="2753"/>
      <c r="C52" s="1849">
        <v>2040</v>
      </c>
      <c r="D52" s="218">
        <f t="shared" si="3"/>
        <v>-1930258.610792438</v>
      </c>
      <c r="E52" s="218">
        <f t="shared" si="16"/>
        <v>-20765.030312371768</v>
      </c>
      <c r="F52" s="218">
        <f t="shared" si="17"/>
        <v>-27663.639072973227</v>
      </c>
      <c r="G52" s="218">
        <f t="shared" si="4"/>
        <v>-118.87668635845182</v>
      </c>
      <c r="H52" s="218">
        <f t="shared" si="5"/>
        <v>-90.960357084002752</v>
      </c>
      <c r="I52" s="218">
        <f t="shared" si="6"/>
        <v>-1395.5821041000477</v>
      </c>
      <c r="J52" s="218">
        <f t="shared" si="7"/>
        <v>-506.76994909368705</v>
      </c>
      <c r="K52" s="218">
        <f t="shared" si="8"/>
        <v>-1303.2805903737037</v>
      </c>
      <c r="L52" s="218">
        <f t="shared" si="9"/>
        <v>-15074.037771872458</v>
      </c>
      <c r="M52" s="192">
        <f t="shared" si="18"/>
        <v>-1978.6872801777829</v>
      </c>
      <c r="N52" s="211">
        <v>86</v>
      </c>
      <c r="O52" s="211">
        <f>'Emission-Waste Transport Vehicl'!N54</f>
        <v>21.511154202912003</v>
      </c>
      <c r="P52" s="211">
        <f>'Emission-Waste Transport Vehicl'!O54</f>
        <v>31.294249392384003</v>
      </c>
      <c r="Q52" s="211">
        <f>'Emission-Waste Transport Vehicl'!P54</f>
        <v>11.968447800672001</v>
      </c>
      <c r="R52" s="211">
        <f>'Emission-Waste Transport Vehicl'!Q54</f>
        <v>9.2950331063040004</v>
      </c>
      <c r="S52" s="211">
        <f>'Emission-Waste Transport Vehicl'!R54</f>
        <v>0.92513260540800013</v>
      </c>
      <c r="T52" s="211">
        <f>'Emission-Waste Transport Vehicl'!S54</f>
        <v>4.254153083136001E-2</v>
      </c>
      <c r="U52" s="1850">
        <f t="shared" si="19"/>
        <v>-170167.10609528932</v>
      </c>
      <c r="V52" s="1850">
        <f t="shared" si="10"/>
        <v>-2557.1747313878627</v>
      </c>
      <c r="W52" s="1850">
        <f t="shared" si="11"/>
        <v>-2846.5360994070852</v>
      </c>
      <c r="X52" s="1850">
        <f t="shared" si="12"/>
        <v>-16702.95156447342</v>
      </c>
      <c r="Y52" s="1850">
        <f t="shared" si="13"/>
        <v>-4710.4434541058145</v>
      </c>
      <c r="Z52" s="1850">
        <f t="shared" si="14"/>
        <v>-1205.707368150101</v>
      </c>
      <c r="AA52" s="1850">
        <f t="shared" si="15"/>
        <v>-641.27264262519748</v>
      </c>
      <c r="AB52" s="2733"/>
      <c r="AC52" s="3009"/>
    </row>
    <row r="53" spans="1:29" ht="18.75" x14ac:dyDescent="0.25">
      <c r="A53" s="3019"/>
      <c r="B53" s="2753"/>
      <c r="C53" s="1849">
        <v>2041</v>
      </c>
      <c r="D53" s="218">
        <f t="shared" si="3"/>
        <v>-1930258.610792438</v>
      </c>
      <c r="E53" s="218">
        <f t="shared" si="16"/>
        <v>-20765.030312371768</v>
      </c>
      <c r="F53" s="218">
        <f t="shared" si="17"/>
        <v>-27663.639072973227</v>
      </c>
      <c r="G53" s="218">
        <f t="shared" si="4"/>
        <v>-118.87668635845182</v>
      </c>
      <c r="H53" s="218">
        <f t="shared" si="5"/>
        <v>-90.960357084002752</v>
      </c>
      <c r="I53" s="218">
        <f t="shared" si="6"/>
        <v>-1395.5821041000477</v>
      </c>
      <c r="J53" s="218">
        <f t="shared" si="7"/>
        <v>-506.76994909368705</v>
      </c>
      <c r="K53" s="218">
        <f t="shared" si="8"/>
        <v>-1303.2805903737037</v>
      </c>
      <c r="L53" s="218">
        <f t="shared" si="9"/>
        <v>-15074.037771872458</v>
      </c>
      <c r="M53" s="192">
        <f t="shared" si="18"/>
        <v>-1978.6872801777829</v>
      </c>
      <c r="N53" s="211">
        <v>87</v>
      </c>
      <c r="O53" s="211">
        <f>'Emission-Waste Transport Vehicl'!N55</f>
        <v>21.087321216192002</v>
      </c>
      <c r="P53" s="211">
        <f>'Emission-Waste Transport Vehicl'!O55</f>
        <v>30.677660665344007</v>
      </c>
      <c r="Q53" s="211">
        <f>'Emission-Waste Transport Vehicl'!P55</f>
        <v>11.732634188352002</v>
      </c>
      <c r="R53" s="211">
        <f>'Emission-Waste Transport Vehicl'!Q55</f>
        <v>9.1118936240640007</v>
      </c>
      <c r="S53" s="211">
        <f>'Emission-Waste Transport Vehicl'!R55</f>
        <v>0.9069047729280002</v>
      </c>
      <c r="T53" s="211">
        <f>'Emission-Waste Transport Vehicl'!S55</f>
        <v>4.1703337589760005E-2</v>
      </c>
      <c r="U53" s="1850">
        <f t="shared" si="19"/>
        <v>-172145.79337546712</v>
      </c>
      <c r="V53" s="1850">
        <f t="shared" si="10"/>
        <v>-2506.7908703571834</v>
      </c>
      <c r="W53" s="1850">
        <f t="shared" si="11"/>
        <v>-2790.4509686215565</v>
      </c>
      <c r="X53" s="1850">
        <f t="shared" si="12"/>
        <v>-16373.854307216441</v>
      </c>
      <c r="Y53" s="1850">
        <f t="shared" si="13"/>
        <v>-4617.6338680140052</v>
      </c>
      <c r="Z53" s="1850">
        <f t="shared" si="14"/>
        <v>-1181.9513878743337</v>
      </c>
      <c r="AA53" s="1850">
        <f t="shared" si="15"/>
        <v>-628.63768604119082</v>
      </c>
      <c r="AB53" s="2733"/>
      <c r="AC53" s="3009"/>
    </row>
    <row r="54" spans="1:29" ht="18.75" x14ac:dyDescent="0.25">
      <c r="A54" s="3019"/>
      <c r="B54" s="2753"/>
      <c r="C54" s="1849">
        <v>2042</v>
      </c>
      <c r="D54" s="218">
        <f t="shared" si="3"/>
        <v>-1930258.610792438</v>
      </c>
      <c r="E54" s="218">
        <f t="shared" si="16"/>
        <v>-20765.030312371768</v>
      </c>
      <c r="F54" s="218">
        <f t="shared" si="17"/>
        <v>-27663.639072973227</v>
      </c>
      <c r="G54" s="218">
        <f t="shared" si="4"/>
        <v>-118.87668635845182</v>
      </c>
      <c r="H54" s="218">
        <f t="shared" si="5"/>
        <v>-90.960357084002752</v>
      </c>
      <c r="I54" s="218">
        <f t="shared" si="6"/>
        <v>-1395.5821041000477</v>
      </c>
      <c r="J54" s="218">
        <f t="shared" si="7"/>
        <v>-506.76994909368705</v>
      </c>
      <c r="K54" s="218">
        <f t="shared" si="8"/>
        <v>-1303.2805903737037</v>
      </c>
      <c r="L54" s="218">
        <f t="shared" si="9"/>
        <v>-15074.037771872458</v>
      </c>
      <c r="M54" s="192">
        <f t="shared" si="18"/>
        <v>-1978.6872801777829</v>
      </c>
      <c r="N54" s="211">
        <v>88</v>
      </c>
      <c r="O54" s="211">
        <f>'Emission-Waste Transport Vehicl'!N56</f>
        <v>20.676529244448002</v>
      </c>
      <c r="P54" s="211">
        <f>'Emission-Waste Transport Vehicl'!O56</f>
        <v>30.080043899136001</v>
      </c>
      <c r="Q54" s="211">
        <f>'Emission-Waste Transport Vehicl'!P56</f>
        <v>11.504076379488001</v>
      </c>
      <c r="R54" s="211">
        <f>'Emission-Waste Transport Vehicl'!Q56</f>
        <v>8.9343892028159999</v>
      </c>
      <c r="S54" s="211">
        <f>'Emission-Waste Transport Vehicl'!R56</f>
        <v>0.8892377968320001</v>
      </c>
      <c r="T54" s="211">
        <f>'Emission-Waste Transport Vehicl'!S56</f>
        <v>4.0890934909439999E-2</v>
      </c>
      <c r="U54" s="1850">
        <f t="shared" si="19"/>
        <v>-174124.4806556449</v>
      </c>
      <c r="V54" s="1850">
        <f t="shared" si="10"/>
        <v>-2457.9572819736018</v>
      </c>
      <c r="W54" s="1850">
        <f t="shared" si="11"/>
        <v>-2736.0915341678892</v>
      </c>
      <c r="X54" s="1850">
        <f t="shared" si="12"/>
        <v>-16054.883119413524</v>
      </c>
      <c r="Y54" s="1850">
        <f t="shared" si="13"/>
        <v>-4527.6799614942511</v>
      </c>
      <c r="Z54" s="1850">
        <f t="shared" si="14"/>
        <v>-1158.9263608378208</v>
      </c>
      <c r="AA54" s="1850">
        <f t="shared" si="15"/>
        <v>-616.39149735207661</v>
      </c>
      <c r="AB54" s="2733"/>
      <c r="AC54" s="3009"/>
    </row>
    <row r="55" spans="1:29" ht="18.75" x14ac:dyDescent="0.25">
      <c r="A55" s="3019"/>
      <c r="B55" s="2753"/>
      <c r="C55" s="1849">
        <v>2043</v>
      </c>
      <c r="D55" s="218">
        <f t="shared" si="3"/>
        <v>-1930258.610792438</v>
      </c>
      <c r="E55" s="218">
        <f t="shared" si="16"/>
        <v>-20765.030312371768</v>
      </c>
      <c r="F55" s="218">
        <f t="shared" si="17"/>
        <v>-27663.639072973227</v>
      </c>
      <c r="G55" s="218">
        <f t="shared" si="4"/>
        <v>-118.87668635845182</v>
      </c>
      <c r="H55" s="218">
        <f t="shared" si="5"/>
        <v>-90.960357084002752</v>
      </c>
      <c r="I55" s="218">
        <f t="shared" si="6"/>
        <v>-1395.5821041000477</v>
      </c>
      <c r="J55" s="218">
        <f t="shared" si="7"/>
        <v>-506.76994909368705</v>
      </c>
      <c r="K55" s="218">
        <f t="shared" si="8"/>
        <v>-1303.2805903737037</v>
      </c>
      <c r="L55" s="218">
        <f t="shared" si="9"/>
        <v>-15074.037771872458</v>
      </c>
      <c r="M55" s="192">
        <f t="shared" si="18"/>
        <v>-1978.6872801777829</v>
      </c>
      <c r="N55" s="211">
        <v>89</v>
      </c>
      <c r="O55" s="211">
        <f>'Emission-Waste Transport Vehicl'!N57</f>
        <v>20.268997526448004</v>
      </c>
      <c r="P55" s="211">
        <f>'Emission-Waste Transport Vehicl'!O57</f>
        <v>29.487170123136003</v>
      </c>
      <c r="Q55" s="211">
        <f>'Emission-Waste Transport Vehicl'!P57</f>
        <v>11.277332521488001</v>
      </c>
      <c r="R55" s="211">
        <f>'Emission-Waste Transport Vehicl'!Q57</f>
        <v>8.7582935468160006</v>
      </c>
      <c r="S55" s="211">
        <f>'Emission-Waste Transport Vehicl'!R57</f>
        <v>0.87171103483200019</v>
      </c>
      <c r="T55" s="211">
        <f>'Emission-Waste Transport Vehicl'!S57</f>
        <v>4.0084979869440006E-2</v>
      </c>
      <c r="U55" s="1850">
        <f t="shared" si="19"/>
        <v>-176103.16793582268</v>
      </c>
      <c r="V55" s="1850">
        <f t="shared" si="10"/>
        <v>-2409.5112617517952</v>
      </c>
      <c r="W55" s="1850">
        <f t="shared" si="11"/>
        <v>-2682.1635237971882</v>
      </c>
      <c r="X55" s="1850">
        <f t="shared" si="12"/>
        <v>-15738.44344897412</v>
      </c>
      <c r="Y55" s="1850">
        <f t="shared" si="13"/>
        <v>-4438.4399748675123</v>
      </c>
      <c r="Z55" s="1850">
        <f t="shared" si="14"/>
        <v>-1136.0840721111215</v>
      </c>
      <c r="AA55" s="1850">
        <f t="shared" si="15"/>
        <v>-604.24250063668569</v>
      </c>
      <c r="AB55" s="2733"/>
      <c r="AC55" s="3009"/>
    </row>
    <row r="56" spans="1:29" ht="18.75" x14ac:dyDescent="0.25">
      <c r="A56" s="3019"/>
      <c r="B56" s="2753"/>
      <c r="C56" s="1849">
        <v>2044</v>
      </c>
      <c r="D56" s="218">
        <f t="shared" si="3"/>
        <v>-1930258.610792438</v>
      </c>
      <c r="E56" s="218">
        <f t="shared" si="16"/>
        <v>-20765.030312371768</v>
      </c>
      <c r="F56" s="218">
        <f t="shared" si="17"/>
        <v>-27663.639072973227</v>
      </c>
      <c r="G56" s="218">
        <f t="shared" si="4"/>
        <v>-118.87668635845182</v>
      </c>
      <c r="H56" s="218">
        <f t="shared" si="5"/>
        <v>-90.960357084002752</v>
      </c>
      <c r="I56" s="218">
        <f t="shared" si="6"/>
        <v>-1395.5821041000477</v>
      </c>
      <c r="J56" s="218">
        <f t="shared" si="7"/>
        <v>-506.76994909368705</v>
      </c>
      <c r="K56" s="218">
        <f t="shared" si="8"/>
        <v>-1303.2805903737037</v>
      </c>
      <c r="L56" s="218">
        <f t="shared" si="9"/>
        <v>-15074.037771872458</v>
      </c>
      <c r="M56" s="192">
        <f t="shared" si="18"/>
        <v>-1978.6872801777829</v>
      </c>
      <c r="N56" s="211">
        <v>90</v>
      </c>
      <c r="O56" s="211">
        <f>'Emission-Waste Transport Vehicl'!N58</f>
        <v>19.871246569680004</v>
      </c>
      <c r="P56" s="211">
        <f>'Emission-Waste Transport Vehicl'!O58</f>
        <v>28.908525317760002</v>
      </c>
      <c r="Q56" s="211">
        <f>'Emission-Waste Transport Vehicl'!P58</f>
        <v>11.056030516080002</v>
      </c>
      <c r="R56" s="211">
        <f>'Emission-Waste Transport Vehicl'!Q58</f>
        <v>8.5864241865600004</v>
      </c>
      <c r="S56" s="211">
        <f>'Emission-Waste Transport Vehicl'!R58</f>
        <v>0.85460491512000014</v>
      </c>
      <c r="T56" s="211">
        <f>'Emission-Waste Transport Vehicl'!S58</f>
        <v>3.9298367750400007E-2</v>
      </c>
      <c r="U56" s="1850">
        <f t="shared" si="19"/>
        <v>-178081.85521600046</v>
      </c>
      <c r="V56" s="1850">
        <f t="shared" si="10"/>
        <v>-2362.2279460153113</v>
      </c>
      <c r="W56" s="1850">
        <f t="shared" si="11"/>
        <v>-2629.5297856753841</v>
      </c>
      <c r="X56" s="1850">
        <f t="shared" si="12"/>
        <v>-15429.598330625264</v>
      </c>
      <c r="Y56" s="1850">
        <f t="shared" si="13"/>
        <v>-4351.3417479198142</v>
      </c>
      <c r="Z56" s="1850">
        <f t="shared" si="14"/>
        <v>-1113.7899983138627</v>
      </c>
      <c r="AA56" s="1850">
        <f t="shared" si="15"/>
        <v>-592.38507984246417</v>
      </c>
      <c r="AB56" s="2733"/>
      <c r="AC56" s="3009"/>
    </row>
    <row r="57" spans="1:29" ht="18.75" x14ac:dyDescent="0.25">
      <c r="A57" s="3019"/>
      <c r="B57" s="2753"/>
      <c r="C57" s="1849">
        <v>2045</v>
      </c>
      <c r="D57" s="218">
        <f t="shared" si="3"/>
        <v>-1930258.610792438</v>
      </c>
      <c r="E57" s="218">
        <f t="shared" si="16"/>
        <v>-20765.030312371768</v>
      </c>
      <c r="F57" s="218">
        <f t="shared" si="17"/>
        <v>-27663.639072973227</v>
      </c>
      <c r="G57" s="218">
        <f t="shared" si="4"/>
        <v>-118.87668635845182</v>
      </c>
      <c r="H57" s="218">
        <f t="shared" si="5"/>
        <v>-90.960357084002752</v>
      </c>
      <c r="I57" s="218">
        <f t="shared" si="6"/>
        <v>-1395.5821041000477</v>
      </c>
      <c r="J57" s="218">
        <f t="shared" si="7"/>
        <v>-506.76994909368705</v>
      </c>
      <c r="K57" s="218">
        <f t="shared" si="8"/>
        <v>-1303.2805903737037</v>
      </c>
      <c r="L57" s="218">
        <f t="shared" si="9"/>
        <v>-15074.037771872458</v>
      </c>
      <c r="M57" s="192">
        <f t="shared" si="18"/>
        <v>-1978.6872801777829</v>
      </c>
      <c r="N57" s="211">
        <v>92</v>
      </c>
      <c r="O57" s="211">
        <f>'Emission-Waste Transport Vehicl'!N59</f>
        <v>19.483276374144001</v>
      </c>
      <c r="P57" s="211">
        <f>'Emission-Waste Transport Vehicl'!O59</f>
        <v>28.344109483008001</v>
      </c>
      <c r="Q57" s="211">
        <f>'Emission-Waste Transport Vehicl'!P59</f>
        <v>10.840170363264003</v>
      </c>
      <c r="R57" s="211">
        <f>'Emission-Waste Transport Vehicl'!Q59</f>
        <v>8.4187811220480011</v>
      </c>
      <c r="S57" s="211">
        <f>'Emission-Waste Transport Vehicl'!R59</f>
        <v>0.83791943769600008</v>
      </c>
      <c r="T57" s="211">
        <f>'Emission-Waste Transport Vehicl'!S59</f>
        <v>3.8531098552320009E-2</v>
      </c>
      <c r="U57" s="1850">
        <f t="shared" si="19"/>
        <v>-182039.22977635602</v>
      </c>
      <c r="V57" s="1850">
        <f t="shared" si="10"/>
        <v>-2316.1073347641509</v>
      </c>
      <c r="W57" s="1850">
        <f t="shared" si="11"/>
        <v>-2578.1903198024766</v>
      </c>
      <c r="X57" s="1850">
        <f t="shared" si="12"/>
        <v>-15128.347764366954</v>
      </c>
      <c r="Y57" s="1850">
        <f t="shared" si="13"/>
        <v>-4266.3852806511586</v>
      </c>
      <c r="Z57" s="1850">
        <f t="shared" si="14"/>
        <v>-1092.0441394460449</v>
      </c>
      <c r="AA57" s="1850">
        <f t="shared" si="15"/>
        <v>-580.81923496941204</v>
      </c>
      <c r="AB57" s="2733"/>
      <c r="AC57" s="3009"/>
    </row>
    <row r="58" spans="1:29" ht="18.75" x14ac:dyDescent="0.25">
      <c r="A58" s="3019"/>
      <c r="B58" s="2753"/>
      <c r="C58" s="1849">
        <v>2046</v>
      </c>
      <c r="D58" s="218">
        <f t="shared" si="3"/>
        <v>-1930258.610792438</v>
      </c>
      <c r="E58" s="218">
        <f t="shared" si="16"/>
        <v>-20765.030312371768</v>
      </c>
      <c r="F58" s="218">
        <f t="shared" si="17"/>
        <v>-27663.639072973227</v>
      </c>
      <c r="G58" s="218">
        <f t="shared" si="4"/>
        <v>-118.87668635845182</v>
      </c>
      <c r="H58" s="218">
        <f t="shared" si="5"/>
        <v>-90.960357084002752</v>
      </c>
      <c r="I58" s="218">
        <f t="shared" si="6"/>
        <v>-1395.5821041000477</v>
      </c>
      <c r="J58" s="218">
        <f t="shared" si="7"/>
        <v>-506.76994909368705</v>
      </c>
      <c r="K58" s="218">
        <f t="shared" si="8"/>
        <v>-1303.2805903737037</v>
      </c>
      <c r="L58" s="218">
        <f t="shared" si="9"/>
        <v>-15074.037771872458</v>
      </c>
      <c r="M58" s="192">
        <f t="shared" si="18"/>
        <v>-1978.6872801777829</v>
      </c>
      <c r="N58" s="211">
        <v>93</v>
      </c>
      <c r="O58" s="211">
        <f>'Emission-Waste Transport Vehicl'!N60</f>
        <v>19.101826686096</v>
      </c>
      <c r="P58" s="211">
        <f>'Emission-Waste Transport Vehicl'!O60</f>
        <v>27.789179628671999</v>
      </c>
      <c r="Q58" s="211">
        <f>'Emission-Waste Transport Vehicl'!P60</f>
        <v>10.627938112176002</v>
      </c>
      <c r="R58" s="211">
        <f>'Emission-Waste Transport Vehicl'!Q60</f>
        <v>8.2539555880319995</v>
      </c>
      <c r="S58" s="211">
        <f>'Emission-Waste Transport Vehicl'!R60</f>
        <v>0.82151438846400004</v>
      </c>
      <c r="T58" s="211">
        <f>'Emission-Waste Transport Vehicl'!S60</f>
        <v>3.777672463488E-2</v>
      </c>
      <c r="U58" s="1850">
        <f t="shared" si="19"/>
        <v>-184017.9170565338</v>
      </c>
      <c r="V58" s="1850">
        <f t="shared" si="10"/>
        <v>-2270.7618598365393</v>
      </c>
      <c r="W58" s="1850">
        <f t="shared" si="11"/>
        <v>-2527.7137020955001</v>
      </c>
      <c r="X58" s="1850">
        <f t="shared" si="12"/>
        <v>-14832.160232835673</v>
      </c>
      <c r="Y58" s="1850">
        <f t="shared" si="13"/>
        <v>-4182.8566531685301</v>
      </c>
      <c r="Z58" s="1850">
        <f t="shared" si="14"/>
        <v>-1070.6637571978542</v>
      </c>
      <c r="AA58" s="1850">
        <f t="shared" si="15"/>
        <v>-569.44777404380591</v>
      </c>
      <c r="AB58" s="2733"/>
      <c r="AC58" s="3009"/>
    </row>
    <row r="59" spans="1:29" ht="18.75" x14ac:dyDescent="0.25">
      <c r="A59" s="3019"/>
      <c r="B59" s="2753"/>
      <c r="C59" s="1849">
        <v>2047</v>
      </c>
      <c r="D59" s="218">
        <f t="shared" si="3"/>
        <v>-1930258.610792438</v>
      </c>
      <c r="E59" s="218">
        <f t="shared" si="16"/>
        <v>-20765.030312371768</v>
      </c>
      <c r="F59" s="218">
        <f t="shared" si="17"/>
        <v>-27663.639072973227</v>
      </c>
      <c r="G59" s="218">
        <f t="shared" si="4"/>
        <v>-118.87668635845182</v>
      </c>
      <c r="H59" s="218">
        <f t="shared" si="5"/>
        <v>-90.960357084002752</v>
      </c>
      <c r="I59" s="218">
        <f t="shared" si="6"/>
        <v>-1395.5821041000477</v>
      </c>
      <c r="J59" s="218">
        <f t="shared" si="7"/>
        <v>-506.76994909368705</v>
      </c>
      <c r="K59" s="218">
        <f t="shared" si="8"/>
        <v>-1303.2805903737037</v>
      </c>
      <c r="L59" s="218">
        <f t="shared" si="9"/>
        <v>-15074.037771872458</v>
      </c>
      <c r="M59" s="192">
        <f t="shared" si="18"/>
        <v>-1978.6872801777829</v>
      </c>
      <c r="N59" s="211">
        <v>94</v>
      </c>
      <c r="O59" s="211">
        <f>'Emission-Waste Transport Vehicl'!N61</f>
        <v>18.726897505536005</v>
      </c>
      <c r="P59" s="211">
        <f>'Emission-Waste Transport Vehicl'!O61</f>
        <v>27.243735754752002</v>
      </c>
      <c r="Q59" s="211">
        <f>'Emission-Waste Transport Vehicl'!P61</f>
        <v>10.419333762816001</v>
      </c>
      <c r="R59" s="211">
        <f>'Emission-Waste Transport Vehicl'!Q61</f>
        <v>8.0919475845120008</v>
      </c>
      <c r="S59" s="211">
        <f>'Emission-Waste Transport Vehicl'!R61</f>
        <v>0.80538976742400015</v>
      </c>
      <c r="T59" s="211">
        <f>'Emission-Waste Transport Vehicl'!S61</f>
        <v>3.7035245998080002E-2</v>
      </c>
      <c r="U59" s="1850">
        <f t="shared" si="19"/>
        <v>-185996.60433671158</v>
      </c>
      <c r="V59" s="1850">
        <f t="shared" si="10"/>
        <v>-2226.1915212324775</v>
      </c>
      <c r="W59" s="1850">
        <f t="shared" si="11"/>
        <v>-2478.0999325544553</v>
      </c>
      <c r="X59" s="1850">
        <f t="shared" si="12"/>
        <v>-14541.035736031421</v>
      </c>
      <c r="Y59" s="1850">
        <f t="shared" si="13"/>
        <v>-4100.7558654719305</v>
      </c>
      <c r="Z59" s="1850">
        <f t="shared" si="14"/>
        <v>-1049.6488515692909</v>
      </c>
      <c r="AA59" s="1850">
        <f t="shared" si="15"/>
        <v>-558.27069706564623</v>
      </c>
      <c r="AB59" s="2733"/>
      <c r="AC59" s="3009"/>
    </row>
    <row r="60" spans="1:29" ht="18.75" x14ac:dyDescent="0.25">
      <c r="A60" s="3019"/>
      <c r="B60" s="2753"/>
      <c r="C60" s="1849">
        <v>2048</v>
      </c>
      <c r="D60" s="218">
        <f t="shared" si="3"/>
        <v>-1930258.610792438</v>
      </c>
      <c r="E60" s="218">
        <f t="shared" si="16"/>
        <v>-20765.030312371768</v>
      </c>
      <c r="F60" s="218">
        <f t="shared" si="17"/>
        <v>-27663.639072973227</v>
      </c>
      <c r="G60" s="218">
        <f t="shared" si="4"/>
        <v>-118.87668635845182</v>
      </c>
      <c r="H60" s="218">
        <f t="shared" si="5"/>
        <v>-90.960357084002752</v>
      </c>
      <c r="I60" s="218">
        <f t="shared" si="6"/>
        <v>-1395.5821041000477</v>
      </c>
      <c r="J60" s="218">
        <f t="shared" si="7"/>
        <v>-506.76994909368705</v>
      </c>
      <c r="K60" s="218">
        <f t="shared" si="8"/>
        <v>-1303.2805903737037</v>
      </c>
      <c r="L60" s="218">
        <f t="shared" si="9"/>
        <v>-15074.037771872458</v>
      </c>
      <c r="M60" s="192">
        <f t="shared" si="18"/>
        <v>-1978.6872801777829</v>
      </c>
      <c r="N60" s="211">
        <v>95</v>
      </c>
      <c r="O60" s="211">
        <f>'Emission-Waste Transport Vehicl'!N62</f>
        <v>18.358488832464005</v>
      </c>
      <c r="P60" s="211">
        <f>'Emission-Waste Transport Vehicl'!O62</f>
        <v>26.707777861248005</v>
      </c>
      <c r="Q60" s="211">
        <f>'Emission-Waste Transport Vehicl'!P62</f>
        <v>10.214357315184001</v>
      </c>
      <c r="R60" s="211">
        <f>'Emission-Waste Transport Vehicl'!Q62</f>
        <v>7.9327571114880007</v>
      </c>
      <c r="S60" s="211">
        <f>'Emission-Waste Transport Vehicl'!R62</f>
        <v>0.78954557457600016</v>
      </c>
      <c r="T60" s="211">
        <f>'Emission-Waste Transport Vehicl'!S62</f>
        <v>3.6306662641920007E-2</v>
      </c>
      <c r="U60" s="1850">
        <f t="shared" si="19"/>
        <v>-187975.29161688939</v>
      </c>
      <c r="V60" s="1850">
        <f t="shared" si="10"/>
        <v>-2182.3963189519636</v>
      </c>
      <c r="W60" s="1850">
        <f t="shared" si="11"/>
        <v>-2429.3490111793417</v>
      </c>
      <c r="X60" s="1850">
        <f t="shared" si="12"/>
        <v>-14254.974273954202</v>
      </c>
      <c r="Y60" s="1850">
        <f t="shared" si="13"/>
        <v>-4020.082917561358</v>
      </c>
      <c r="Z60" s="1850">
        <f t="shared" si="14"/>
        <v>-1028.9994225603546</v>
      </c>
      <c r="AA60" s="1850">
        <f t="shared" si="15"/>
        <v>-547.2880040349329</v>
      </c>
      <c r="AB60" s="2733"/>
      <c r="AC60" s="3009"/>
    </row>
    <row r="61" spans="1:29" ht="18.75" x14ac:dyDescent="0.25">
      <c r="A61" s="3019"/>
      <c r="B61" s="2753"/>
      <c r="C61" s="1849">
        <v>2049</v>
      </c>
      <c r="D61" s="218">
        <f t="shared" si="3"/>
        <v>-1930258.610792438</v>
      </c>
      <c r="E61" s="218">
        <f t="shared" si="16"/>
        <v>-20765.030312371768</v>
      </c>
      <c r="F61" s="218">
        <f t="shared" si="17"/>
        <v>-27663.639072973227</v>
      </c>
      <c r="G61" s="218">
        <f t="shared" si="4"/>
        <v>-118.87668635845182</v>
      </c>
      <c r="H61" s="218">
        <f t="shared" si="5"/>
        <v>-90.960357084002752</v>
      </c>
      <c r="I61" s="218">
        <f t="shared" si="6"/>
        <v>-1395.5821041000477</v>
      </c>
      <c r="J61" s="218">
        <f t="shared" si="7"/>
        <v>-506.76994909368705</v>
      </c>
      <c r="K61" s="218">
        <f t="shared" si="8"/>
        <v>-1303.2805903737037</v>
      </c>
      <c r="L61" s="218">
        <f t="shared" si="9"/>
        <v>-15074.037771872458</v>
      </c>
      <c r="M61" s="192">
        <f t="shared" si="18"/>
        <v>-1978.6872801777829</v>
      </c>
      <c r="N61" s="211">
        <v>96</v>
      </c>
      <c r="O61" s="211">
        <f>'Emission-Waste Transport Vehicl'!N63</f>
        <v>17.999860920624005</v>
      </c>
      <c r="P61" s="211">
        <f>'Emission-Waste Transport Vehicl'!O63</f>
        <v>26.186048938368003</v>
      </c>
      <c r="Q61" s="211">
        <f>'Emission-Waste Transport Vehicl'!P63</f>
        <v>10.014822720144002</v>
      </c>
      <c r="R61" s="211">
        <f>'Emission-Waste Transport Vehicl'!Q63</f>
        <v>7.7777929342080014</v>
      </c>
      <c r="S61" s="211">
        <f>'Emission-Waste Transport Vehicl'!R63</f>
        <v>0.77412202401600017</v>
      </c>
      <c r="T61" s="211">
        <f>'Emission-Waste Transport Vehicl'!S63</f>
        <v>3.5597422206719999E-2</v>
      </c>
      <c r="U61" s="1850">
        <f t="shared" si="19"/>
        <v>-189953.97889706717</v>
      </c>
      <c r="V61" s="1850">
        <f t="shared" si="10"/>
        <v>-2139.7638211567737</v>
      </c>
      <c r="W61" s="1850">
        <f t="shared" si="11"/>
        <v>-2381.8923620531245</v>
      </c>
      <c r="X61" s="1850">
        <f t="shared" si="12"/>
        <v>-13976.507363967528</v>
      </c>
      <c r="Y61" s="1850">
        <f t="shared" si="13"/>
        <v>-3941.5517293298276</v>
      </c>
      <c r="Z61" s="1850">
        <f t="shared" si="14"/>
        <v>-1008.8982084808591</v>
      </c>
      <c r="AA61" s="1850">
        <f t="shared" si="15"/>
        <v>-536.59688692538873</v>
      </c>
      <c r="AB61" s="2733"/>
      <c r="AC61" s="3009"/>
    </row>
    <row r="62" spans="1:29" ht="18.75" x14ac:dyDescent="0.25">
      <c r="A62" s="3019"/>
      <c r="B62" s="2753"/>
      <c r="C62" s="1849">
        <v>2050</v>
      </c>
      <c r="D62" s="218">
        <f t="shared" si="3"/>
        <v>-1930258.610792438</v>
      </c>
      <c r="E62" s="218">
        <f t="shared" si="16"/>
        <v>-20765.030312371768</v>
      </c>
      <c r="F62" s="218">
        <f t="shared" si="17"/>
        <v>-27663.639072973227</v>
      </c>
      <c r="G62" s="218">
        <f t="shared" si="4"/>
        <v>-118.87668635845182</v>
      </c>
      <c r="H62" s="218">
        <f t="shared" si="5"/>
        <v>-90.960357084002752</v>
      </c>
      <c r="I62" s="218">
        <f t="shared" si="6"/>
        <v>-1395.5821041000477</v>
      </c>
      <c r="J62" s="218">
        <f t="shared" si="7"/>
        <v>-506.76994909368705</v>
      </c>
      <c r="K62" s="218">
        <f t="shared" si="8"/>
        <v>-1303.2805903737037</v>
      </c>
      <c r="L62" s="218">
        <f t="shared" si="9"/>
        <v>-15074.037771872458</v>
      </c>
      <c r="M62" s="192">
        <f t="shared" si="18"/>
        <v>-1978.6872801777829</v>
      </c>
      <c r="N62" s="211">
        <v>97</v>
      </c>
      <c r="O62" s="211">
        <f>'Emission-Waste Transport Vehicl'!N64</f>
        <v>17.644493262528005</v>
      </c>
      <c r="P62" s="211">
        <f>'Emission-Waste Transport Vehicl'!O64</f>
        <v>25.669063005696003</v>
      </c>
      <c r="Q62" s="211">
        <f>'Emission-Waste Transport Vehicl'!P64</f>
        <v>9.8171020759680019</v>
      </c>
      <c r="R62" s="211">
        <f>'Emission-Waste Transport Vehicl'!Q64</f>
        <v>7.624237522176001</v>
      </c>
      <c r="S62" s="211">
        <f>'Emission-Waste Transport Vehicl'!R64</f>
        <v>0.75883868755200012</v>
      </c>
      <c r="T62" s="211">
        <f>'Emission-Waste Transport Vehicl'!S64</f>
        <v>3.4894629411840003E-2</v>
      </c>
      <c r="U62" s="1850">
        <f t="shared" si="19"/>
        <v>-191932.66617724494</v>
      </c>
      <c r="V62" s="1850">
        <f t="shared" si="10"/>
        <v>-2097.518891523358</v>
      </c>
      <c r="W62" s="1850">
        <f t="shared" si="11"/>
        <v>-2334.8671370098732</v>
      </c>
      <c r="X62" s="1850">
        <f t="shared" si="12"/>
        <v>-13700.57197134437</v>
      </c>
      <c r="Y62" s="1850">
        <f t="shared" si="13"/>
        <v>-3863.7344609913107</v>
      </c>
      <c r="Z62" s="1850">
        <f t="shared" si="14"/>
        <v>-988.97973271117723</v>
      </c>
      <c r="AA62" s="1850">
        <f t="shared" si="15"/>
        <v>-526.00296178956785</v>
      </c>
      <c r="AB62" s="2733"/>
      <c r="AC62" s="3009"/>
    </row>
    <row r="63" spans="1:29" ht="18.75" x14ac:dyDescent="0.25">
      <c r="A63" s="3019"/>
      <c r="B63" s="2753"/>
      <c r="C63" s="1849">
        <v>2051</v>
      </c>
      <c r="D63" s="218">
        <f t="shared" ref="D63:D81" si="20">$AC$7</f>
        <v>-1930258.610792438</v>
      </c>
      <c r="E63" s="218">
        <f t="shared" si="16"/>
        <v>-20765.030312371768</v>
      </c>
      <c r="F63" s="218">
        <f t="shared" si="17"/>
        <v>-27663.639072973227</v>
      </c>
      <c r="G63" s="218">
        <f t="shared" ref="G63:G81" si="21">$Y$7</f>
        <v>-118.87668635845182</v>
      </c>
      <c r="H63" s="218">
        <f t="shared" ref="H63:H81" si="22">$Z$7</f>
        <v>-90.960357084002752</v>
      </c>
      <c r="I63" s="218">
        <f t="shared" ref="I63:I81" si="23">$X$7</f>
        <v>-1395.5821041000477</v>
      </c>
      <c r="J63" s="218">
        <f t="shared" ref="J63:J81" si="24">$AA$7</f>
        <v>-506.76994909368705</v>
      </c>
      <c r="K63" s="218">
        <f t="shared" ref="K63:K81" si="25">$V$7</f>
        <v>-1303.2805903737037</v>
      </c>
      <c r="L63" s="218">
        <f t="shared" ref="L63:L81" si="26">$W$7</f>
        <v>-15074.037771872458</v>
      </c>
      <c r="M63" s="192">
        <f t="shared" si="18"/>
        <v>-1978.6872801777829</v>
      </c>
      <c r="N63" s="211">
        <v>97</v>
      </c>
      <c r="O63" s="211">
        <f>'Emission-Waste Transport Vehicl'!N65</f>
        <v>17.298906365664003</v>
      </c>
      <c r="P63" s="211">
        <f>'Emission-Waste Transport Vehicl'!O65</f>
        <v>25.166306043648003</v>
      </c>
      <c r="Q63" s="211">
        <f>'Emission-Waste Transport Vehicl'!P65</f>
        <v>9.624823284384</v>
      </c>
      <c r="R63" s="211">
        <f>'Emission-Waste Transport Vehicl'!Q65</f>
        <v>7.4749084058879998</v>
      </c>
      <c r="S63" s="211">
        <f>'Emission-Waste Transport Vehicl'!R65</f>
        <v>0.74397599337600007</v>
      </c>
      <c r="T63" s="211">
        <f>'Emission-Waste Transport Vehicl'!S65</f>
        <v>3.4211179537920001E-2</v>
      </c>
      <c r="U63" s="1850">
        <f t="shared" si="19"/>
        <v>-191932.66617724494</v>
      </c>
      <c r="V63" s="1850">
        <f t="shared" si="10"/>
        <v>-2056.4366663752653</v>
      </c>
      <c r="W63" s="1850">
        <f t="shared" si="11"/>
        <v>-2289.1361842155188</v>
      </c>
      <c r="X63" s="1850">
        <f t="shared" si="12"/>
        <v>-13432.231130811755</v>
      </c>
      <c r="Y63" s="1850">
        <f t="shared" si="13"/>
        <v>-3788.0589523318349</v>
      </c>
      <c r="Z63" s="1850">
        <f t="shared" si="14"/>
        <v>-969.60947187093609</v>
      </c>
      <c r="AA63" s="1850">
        <f t="shared" si="15"/>
        <v>-515.70061257491625</v>
      </c>
      <c r="AB63" s="2733"/>
      <c r="AC63" s="3009"/>
    </row>
    <row r="64" spans="1:29" ht="18.75" x14ac:dyDescent="0.25">
      <c r="A64" s="3019"/>
      <c r="B64" s="2753"/>
      <c r="C64" s="1849">
        <v>2052</v>
      </c>
      <c r="D64" s="218">
        <f t="shared" si="20"/>
        <v>-1930258.610792438</v>
      </c>
      <c r="E64" s="218">
        <f t="shared" si="16"/>
        <v>-20765.030312371768</v>
      </c>
      <c r="F64" s="218">
        <f t="shared" si="17"/>
        <v>-27663.639072973227</v>
      </c>
      <c r="G64" s="218">
        <f t="shared" si="21"/>
        <v>-118.87668635845182</v>
      </c>
      <c r="H64" s="218">
        <f t="shared" si="22"/>
        <v>-90.960357084002752</v>
      </c>
      <c r="I64" s="218">
        <f t="shared" si="23"/>
        <v>-1395.5821041000477</v>
      </c>
      <c r="J64" s="218">
        <f t="shared" si="24"/>
        <v>-506.76994909368705</v>
      </c>
      <c r="K64" s="218">
        <f t="shared" si="25"/>
        <v>-1303.2805903737037</v>
      </c>
      <c r="L64" s="218">
        <f t="shared" si="26"/>
        <v>-15074.037771872458</v>
      </c>
      <c r="M64" s="192">
        <f t="shared" si="18"/>
        <v>-1978.6872801777829</v>
      </c>
      <c r="N64" s="211">
        <v>97</v>
      </c>
      <c r="O64" s="211">
        <f>'Emission-Waste Transport Vehicl'!N66</f>
        <v>16.959839976288002</v>
      </c>
      <c r="P64" s="211">
        <f>'Emission-Waste Transport Vehicl'!O66</f>
        <v>24.673035062016002</v>
      </c>
      <c r="Q64" s="211">
        <f>'Emission-Waste Transport Vehicl'!P66</f>
        <v>9.4361723945280005</v>
      </c>
      <c r="R64" s="211">
        <f>'Emission-Waste Transport Vehicl'!Q66</f>
        <v>7.3283968200960006</v>
      </c>
      <c r="S64" s="211">
        <f>'Emission-Waste Transport Vehicl'!R66</f>
        <v>0.72939372739200004</v>
      </c>
      <c r="T64" s="211">
        <f>'Emission-Waste Transport Vehicl'!S66</f>
        <v>3.3540624944640003E-2</v>
      </c>
      <c r="U64" s="1850">
        <f t="shared" si="19"/>
        <v>-191932.66617724494</v>
      </c>
      <c r="V64" s="1850">
        <f t="shared" si="10"/>
        <v>-2016.1295775507217</v>
      </c>
      <c r="W64" s="1850">
        <f t="shared" si="11"/>
        <v>-2244.2680795870956</v>
      </c>
      <c r="X64" s="1850">
        <f t="shared" si="12"/>
        <v>-13168.953325006172</v>
      </c>
      <c r="Y64" s="1850">
        <f t="shared" si="13"/>
        <v>-3713.8112834583881</v>
      </c>
      <c r="Z64" s="1850">
        <f t="shared" si="14"/>
        <v>-950.60468765032215</v>
      </c>
      <c r="AA64" s="1850">
        <f t="shared" si="15"/>
        <v>-505.59264730771099</v>
      </c>
      <c r="AB64" s="2733"/>
      <c r="AC64" s="3009"/>
    </row>
    <row r="65" spans="1:29" ht="18.75" x14ac:dyDescent="0.25">
      <c r="A65" s="3019"/>
      <c r="B65" s="2753"/>
      <c r="C65" s="1849">
        <v>2053</v>
      </c>
      <c r="D65" s="218">
        <f t="shared" si="20"/>
        <v>-1930258.610792438</v>
      </c>
      <c r="E65" s="218">
        <f t="shared" si="16"/>
        <v>-20765.030312371768</v>
      </c>
      <c r="F65" s="218">
        <f t="shared" si="17"/>
        <v>-27663.639072973227</v>
      </c>
      <c r="G65" s="218">
        <f t="shared" si="21"/>
        <v>-118.87668635845182</v>
      </c>
      <c r="H65" s="218">
        <f t="shared" si="22"/>
        <v>-90.960357084002752</v>
      </c>
      <c r="I65" s="218">
        <f t="shared" si="23"/>
        <v>-1395.5821041000477</v>
      </c>
      <c r="J65" s="218">
        <f t="shared" si="24"/>
        <v>-506.76994909368705</v>
      </c>
      <c r="K65" s="218">
        <f t="shared" si="25"/>
        <v>-1303.2805903737037</v>
      </c>
      <c r="L65" s="218">
        <f t="shared" si="26"/>
        <v>-15074.037771872458</v>
      </c>
      <c r="M65" s="192">
        <f t="shared" si="18"/>
        <v>-1978.6872801777829</v>
      </c>
      <c r="N65" s="211">
        <v>97</v>
      </c>
      <c r="O65" s="211">
        <f>'Emission-Waste Transport Vehicl'!N67</f>
        <v>15.361506000000002</v>
      </c>
      <c r="P65" s="211">
        <f>'Emission-Waste Transport Vehicl'!O67</f>
        <v>24.189250060800003</v>
      </c>
      <c r="Q65" s="211">
        <f>'Emission-Waste Transport Vehicl'!P67</f>
        <v>9.2511494064000015</v>
      </c>
      <c r="R65" s="211">
        <f>'Emission-Waste Transport Vehicl'!Q67</f>
        <v>7.1847027647999999</v>
      </c>
      <c r="S65" s="211">
        <f>'Emission-Waste Transport Vehicl'!R67</f>
        <v>0.71509188960000014</v>
      </c>
      <c r="T65" s="211">
        <f>'Emission-Waste Transport Vehicl'!S67</f>
        <v>3.2882965632000001E-2</v>
      </c>
      <c r="U65" s="1850">
        <f t="shared" si="19"/>
        <v>-191932.66617724494</v>
      </c>
      <c r="V65" s="1850">
        <f t="shared" si="10"/>
        <v>-1826.124930755476</v>
      </c>
      <c r="W65" s="1850">
        <f t="shared" si="11"/>
        <v>-2200.2628231246035</v>
      </c>
      <c r="X65" s="1850">
        <f t="shared" si="12"/>
        <v>-12910.738553927622</v>
      </c>
      <c r="Y65" s="1850">
        <f t="shared" si="13"/>
        <v>-3640.9914543709683</v>
      </c>
      <c r="Z65" s="1850">
        <f t="shared" si="14"/>
        <v>-931.96538004933552</v>
      </c>
      <c r="AA65" s="1850">
        <f t="shared" si="15"/>
        <v>-495.6790659879519</v>
      </c>
      <c r="AB65" s="2733"/>
      <c r="AC65" s="3009"/>
    </row>
    <row r="66" spans="1:29" ht="18.75" x14ac:dyDescent="0.25">
      <c r="A66" s="3019"/>
      <c r="B66" s="2753"/>
      <c r="C66" s="1849">
        <v>2054</v>
      </c>
      <c r="D66" s="218">
        <f t="shared" si="20"/>
        <v>-1930258.610792438</v>
      </c>
      <c r="E66" s="218">
        <f t="shared" si="16"/>
        <v>-20765.030312371768</v>
      </c>
      <c r="F66" s="218">
        <f t="shared" si="17"/>
        <v>-27663.639072973227</v>
      </c>
      <c r="G66" s="218">
        <f t="shared" si="21"/>
        <v>-118.87668635845182</v>
      </c>
      <c r="H66" s="218">
        <f t="shared" si="22"/>
        <v>-90.960357084002752</v>
      </c>
      <c r="I66" s="218">
        <f t="shared" si="23"/>
        <v>-1395.5821041000477</v>
      </c>
      <c r="J66" s="218">
        <f t="shared" si="24"/>
        <v>-506.76994909368705</v>
      </c>
      <c r="K66" s="218">
        <f t="shared" si="25"/>
        <v>-1303.2805903737037</v>
      </c>
      <c r="L66" s="218">
        <f t="shared" si="26"/>
        <v>-15074.037771872458</v>
      </c>
      <c r="M66" s="192">
        <f t="shared" si="18"/>
        <v>-1978.6872801777829</v>
      </c>
      <c r="N66" s="211">
        <v>97</v>
      </c>
      <c r="O66" s="211">
        <f>'Emission-Waste Transport Vehicl'!N68</f>
        <v>16.301268720000003</v>
      </c>
      <c r="P66" s="211">
        <f>'Emission-Waste Transport Vehicl'!O68</f>
        <v>23.714951040000003</v>
      </c>
      <c r="Q66" s="211">
        <f>'Emission-Waste Transport Vehicl'!P68</f>
        <v>9.0697543200000013</v>
      </c>
      <c r="R66" s="211">
        <f>'Emission-Waste Transport Vehicl'!Q68</f>
        <v>7.0438262400000005</v>
      </c>
      <c r="S66" s="211">
        <f>'Emission-Waste Transport Vehicl'!R68</f>
        <v>0.70107048000000005</v>
      </c>
      <c r="T66" s="211">
        <f>'Emission-Waste Transport Vehicl'!S68</f>
        <v>3.2238201600000002E-2</v>
      </c>
      <c r="U66" s="1850">
        <f t="shared" si="19"/>
        <v>-191932.66617724494</v>
      </c>
      <c r="V66" s="1850">
        <f t="shared" si="10"/>
        <v>-1937.8408088722817</v>
      </c>
      <c r="W66" s="1850">
        <f t="shared" si="11"/>
        <v>-2157.1204148280426</v>
      </c>
      <c r="X66" s="1850">
        <f t="shared" si="12"/>
        <v>-12657.586817576099</v>
      </c>
      <c r="Y66" s="1850">
        <f t="shared" si="13"/>
        <v>-3569.5994650695775</v>
      </c>
      <c r="Z66" s="1850">
        <f t="shared" si="14"/>
        <v>-913.69154906797587</v>
      </c>
      <c r="AA66" s="1850">
        <f t="shared" si="15"/>
        <v>-485.95986861563915</v>
      </c>
      <c r="AB66" s="2733"/>
      <c r="AC66" s="3009"/>
    </row>
    <row r="67" spans="1:29" ht="18.75" x14ac:dyDescent="0.25">
      <c r="A67" s="3019"/>
      <c r="B67" s="2753"/>
      <c r="C67" s="1849">
        <v>2055</v>
      </c>
      <c r="D67" s="218">
        <f t="shared" si="20"/>
        <v>-1930258.610792438</v>
      </c>
      <c r="E67" s="218">
        <f t="shared" si="16"/>
        <v>-20765.030312371768</v>
      </c>
      <c r="F67" s="218">
        <f t="shared" si="17"/>
        <v>-27663.639072973227</v>
      </c>
      <c r="G67" s="218">
        <f t="shared" si="21"/>
        <v>-118.87668635845182</v>
      </c>
      <c r="H67" s="218">
        <f t="shared" si="22"/>
        <v>-90.960357084002752</v>
      </c>
      <c r="I67" s="218">
        <f t="shared" si="23"/>
        <v>-1395.5821041000477</v>
      </c>
      <c r="J67" s="218">
        <f t="shared" si="24"/>
        <v>-506.76994909368705</v>
      </c>
      <c r="K67" s="218">
        <f t="shared" si="25"/>
        <v>-1303.2805903737037</v>
      </c>
      <c r="L67" s="218">
        <f t="shared" si="26"/>
        <v>-15074.037771872458</v>
      </c>
      <c r="M67" s="192">
        <f t="shared" si="18"/>
        <v>-1978.6872801777829</v>
      </c>
      <c r="N67" s="211">
        <v>97</v>
      </c>
      <c r="O67" s="211">
        <f>'Emission-Waste Transport Vehicl'!N69</f>
        <v>15.981763853088003</v>
      </c>
      <c r="P67" s="211">
        <f>'Emission-Waste Transport Vehicl'!O69</f>
        <v>23.250137999616001</v>
      </c>
      <c r="Q67" s="211">
        <f>'Emission-Waste Transport Vehicl'!P69</f>
        <v>8.8919871353280016</v>
      </c>
      <c r="R67" s="211">
        <f>'Emission-Waste Transport Vehicl'!Q69</f>
        <v>6.9057672456960004</v>
      </c>
      <c r="S67" s="211">
        <f>'Emission-Waste Transport Vehicl'!R69</f>
        <v>0.6873294985920001</v>
      </c>
      <c r="T67" s="211">
        <f>'Emission-Waste Transport Vehicl'!S69</f>
        <v>3.1606332848640006E-2</v>
      </c>
      <c r="U67" s="1850">
        <f t="shared" si="19"/>
        <v>-191932.66617724494</v>
      </c>
      <c r="V67" s="1850">
        <f t="shared" si="10"/>
        <v>-1899.8591290183849</v>
      </c>
      <c r="W67" s="1850">
        <f t="shared" si="11"/>
        <v>-2114.8408546974129</v>
      </c>
      <c r="X67" s="1850">
        <f t="shared" si="12"/>
        <v>-12409.498115951608</v>
      </c>
      <c r="Y67" s="1850">
        <f t="shared" si="13"/>
        <v>-3499.6353155542133</v>
      </c>
      <c r="Z67" s="1850">
        <f t="shared" si="14"/>
        <v>-895.78319470624365</v>
      </c>
      <c r="AA67" s="1850">
        <f t="shared" si="15"/>
        <v>-476.43505519077269</v>
      </c>
      <c r="AB67" s="2733"/>
      <c r="AC67" s="3009"/>
    </row>
    <row r="68" spans="1:29" ht="18.75" x14ac:dyDescent="0.25">
      <c r="A68" s="3019"/>
      <c r="B68" s="2753"/>
      <c r="C68" s="1849">
        <v>2056</v>
      </c>
      <c r="D68" s="218">
        <f t="shared" si="20"/>
        <v>-1930258.610792438</v>
      </c>
      <c r="E68" s="218">
        <f t="shared" si="16"/>
        <v>-20765.030312371768</v>
      </c>
      <c r="F68" s="218">
        <f t="shared" si="17"/>
        <v>-27663.639072973227</v>
      </c>
      <c r="G68" s="218">
        <f t="shared" si="21"/>
        <v>-118.87668635845182</v>
      </c>
      <c r="H68" s="218">
        <f t="shared" si="22"/>
        <v>-90.960357084002752</v>
      </c>
      <c r="I68" s="218">
        <f t="shared" si="23"/>
        <v>-1395.5821041000477</v>
      </c>
      <c r="J68" s="218">
        <f t="shared" si="24"/>
        <v>-506.76994909368705</v>
      </c>
      <c r="K68" s="218">
        <f t="shared" si="25"/>
        <v>-1303.2805903737037</v>
      </c>
      <c r="L68" s="218">
        <f t="shared" si="26"/>
        <v>-15074.037771872458</v>
      </c>
      <c r="M68" s="192">
        <f t="shared" si="18"/>
        <v>-1978.6872801777829</v>
      </c>
      <c r="N68" s="211">
        <v>97</v>
      </c>
      <c r="O68" s="211">
        <f>'Emission-Waste Transport Vehicl'!N70</f>
        <v>15.668779493664003</v>
      </c>
      <c r="P68" s="211">
        <f>'Emission-Waste Transport Vehicl'!O70</f>
        <v>22.794810939648006</v>
      </c>
      <c r="Q68" s="211">
        <f>'Emission-Waste Transport Vehicl'!P70</f>
        <v>8.7178478523840006</v>
      </c>
      <c r="R68" s="211">
        <f>'Emission-Waste Transport Vehicl'!Q70</f>
        <v>6.7705257818880007</v>
      </c>
      <c r="S68" s="211">
        <f>'Emission-Waste Transport Vehicl'!R70</f>
        <v>0.67386894537600017</v>
      </c>
      <c r="T68" s="211">
        <f>'Emission-Waste Transport Vehicl'!S70</f>
        <v>3.0987359377920003E-2</v>
      </c>
      <c r="U68" s="1850">
        <f t="shared" si="19"/>
        <v>-191932.66617724494</v>
      </c>
      <c r="V68" s="1850">
        <f t="shared" si="10"/>
        <v>-1862.6525854880372</v>
      </c>
      <c r="W68" s="1850">
        <f t="shared" si="11"/>
        <v>-2073.4241427327147</v>
      </c>
      <c r="X68" s="1850">
        <f t="shared" si="12"/>
        <v>-12166.472449054145</v>
      </c>
      <c r="Y68" s="1850">
        <f t="shared" si="13"/>
        <v>-3431.0990058248776</v>
      </c>
      <c r="Z68" s="1850">
        <f t="shared" si="14"/>
        <v>-878.24031696413863</v>
      </c>
      <c r="AA68" s="1850">
        <f t="shared" si="15"/>
        <v>-467.10462571335233</v>
      </c>
      <c r="AB68" s="2733"/>
      <c r="AC68" s="3009"/>
    </row>
    <row r="69" spans="1:29" ht="18.75" x14ac:dyDescent="0.25">
      <c r="A69" s="3019"/>
      <c r="B69" s="2753"/>
      <c r="C69" s="1849">
        <v>2057</v>
      </c>
      <c r="D69" s="218">
        <f t="shared" si="20"/>
        <v>-1930258.610792438</v>
      </c>
      <c r="E69" s="218">
        <f t="shared" si="16"/>
        <v>-20765.030312371768</v>
      </c>
      <c r="F69" s="218">
        <f t="shared" si="17"/>
        <v>-27663.639072973227</v>
      </c>
      <c r="G69" s="218">
        <f t="shared" si="21"/>
        <v>-118.87668635845182</v>
      </c>
      <c r="H69" s="218">
        <f t="shared" si="22"/>
        <v>-90.960357084002752</v>
      </c>
      <c r="I69" s="218">
        <f t="shared" si="23"/>
        <v>-1395.5821041000477</v>
      </c>
      <c r="J69" s="218">
        <f t="shared" si="24"/>
        <v>-506.76994909368705</v>
      </c>
      <c r="K69" s="218">
        <f t="shared" si="25"/>
        <v>-1303.2805903737037</v>
      </c>
      <c r="L69" s="218">
        <f t="shared" si="26"/>
        <v>-15074.037771872458</v>
      </c>
      <c r="M69" s="192">
        <f t="shared" si="18"/>
        <v>-1978.6872801777829</v>
      </c>
      <c r="N69" s="211">
        <v>97</v>
      </c>
      <c r="O69" s="211">
        <f>'Emission-Waste Transport Vehicl'!N71</f>
        <v>15.362315641728001</v>
      </c>
      <c r="P69" s="211">
        <f>'Emission-Waste Transport Vehicl'!O71</f>
        <v>22.348969860096002</v>
      </c>
      <c r="Q69" s="211">
        <f>'Emission-Waste Transport Vehicl'!P71</f>
        <v>8.547336471168002</v>
      </c>
      <c r="R69" s="211">
        <f>'Emission-Waste Transport Vehicl'!Q71</f>
        <v>6.6381018485760004</v>
      </c>
      <c r="S69" s="211">
        <f>'Emission-Waste Transport Vehicl'!R71</f>
        <v>0.66068882035200005</v>
      </c>
      <c r="T69" s="211">
        <f>'Emission-Waste Transport Vehicl'!S71</f>
        <v>3.038128118784E-2</v>
      </c>
      <c r="U69" s="1850">
        <f t="shared" si="19"/>
        <v>-191932.66617724494</v>
      </c>
      <c r="V69" s="1850">
        <f t="shared" si="10"/>
        <v>-1826.2211782812381</v>
      </c>
      <c r="W69" s="1850">
        <f t="shared" si="11"/>
        <v>-2032.8702789339472</v>
      </c>
      <c r="X69" s="1850">
        <f t="shared" si="12"/>
        <v>-11928.509816883718</v>
      </c>
      <c r="Y69" s="1850">
        <f t="shared" si="13"/>
        <v>-3363.9905358815695</v>
      </c>
      <c r="Z69" s="1850">
        <f t="shared" si="14"/>
        <v>-861.06291584166047</v>
      </c>
      <c r="AA69" s="1850">
        <f t="shared" si="15"/>
        <v>-457.96858018337826</v>
      </c>
      <c r="AB69" s="2733"/>
      <c r="AC69" s="3009"/>
    </row>
    <row r="70" spans="1:29" ht="18.75" x14ac:dyDescent="0.25">
      <c r="A70" s="3019"/>
      <c r="B70" s="2753"/>
      <c r="C70" s="1849">
        <v>2058</v>
      </c>
      <c r="D70" s="218">
        <f t="shared" si="20"/>
        <v>-1930258.610792438</v>
      </c>
      <c r="E70" s="218">
        <f t="shared" si="16"/>
        <v>-20765.030312371768</v>
      </c>
      <c r="F70" s="218">
        <f t="shared" si="17"/>
        <v>-27663.639072973227</v>
      </c>
      <c r="G70" s="218">
        <f t="shared" si="21"/>
        <v>-118.87668635845182</v>
      </c>
      <c r="H70" s="218">
        <f t="shared" si="22"/>
        <v>-90.960357084002752</v>
      </c>
      <c r="I70" s="218">
        <f t="shared" si="23"/>
        <v>-1395.5821041000477</v>
      </c>
      <c r="J70" s="218">
        <f t="shared" si="24"/>
        <v>-506.76994909368705</v>
      </c>
      <c r="K70" s="218">
        <f t="shared" si="25"/>
        <v>-1303.2805903737037</v>
      </c>
      <c r="L70" s="218">
        <f t="shared" si="26"/>
        <v>-15074.037771872458</v>
      </c>
      <c r="M70" s="192">
        <f t="shared" si="18"/>
        <v>-1978.6872801777829</v>
      </c>
      <c r="N70" s="211">
        <v>97</v>
      </c>
      <c r="O70" s="211">
        <f>'Emission-Waste Transport Vehicl'!N72</f>
        <v>15.059112043536</v>
      </c>
      <c r="P70" s="211">
        <f>'Emission-Waste Transport Vehicl'!O72</f>
        <v>21.907871770752003</v>
      </c>
      <c r="Q70" s="211">
        <f>'Emission-Waste Transport Vehicl'!P72</f>
        <v>8.378639040816001</v>
      </c>
      <c r="R70" s="211">
        <f>'Emission-Waste Transport Vehicl'!Q72</f>
        <v>6.5070866805119998</v>
      </c>
      <c r="S70" s="211">
        <f>'Emission-Waste Transport Vehicl'!R72</f>
        <v>0.647648909424</v>
      </c>
      <c r="T70" s="211">
        <f>'Emission-Waste Transport Vehicl'!S72</f>
        <v>2.9781650638080002E-2</v>
      </c>
      <c r="U70" s="1850">
        <f t="shared" si="19"/>
        <v>-191932.66617724494</v>
      </c>
      <c r="V70" s="1850">
        <f t="shared" si="10"/>
        <v>-1790.1773392362136</v>
      </c>
      <c r="W70" s="1850">
        <f t="shared" si="11"/>
        <v>-1992.7478392181458</v>
      </c>
      <c r="X70" s="1850">
        <f t="shared" si="12"/>
        <v>-11693.0787020768</v>
      </c>
      <c r="Y70" s="1850">
        <f t="shared" si="13"/>
        <v>-3297.5959858312754</v>
      </c>
      <c r="Z70" s="1850">
        <f t="shared" si="14"/>
        <v>-844.06825302899608</v>
      </c>
      <c r="AA70" s="1850">
        <f t="shared" si="15"/>
        <v>-448.92972662712742</v>
      </c>
      <c r="AB70" s="2733"/>
      <c r="AC70" s="3009"/>
    </row>
    <row r="71" spans="1:29" ht="18.75" x14ac:dyDescent="0.25">
      <c r="A71" s="3019"/>
      <c r="B71" s="2753"/>
      <c r="C71" s="1849">
        <v>2059</v>
      </c>
      <c r="D71" s="218">
        <f t="shared" si="20"/>
        <v>-1930258.610792438</v>
      </c>
      <c r="E71" s="218">
        <f t="shared" si="16"/>
        <v>-20765.030312371768</v>
      </c>
      <c r="F71" s="218">
        <f t="shared" si="17"/>
        <v>-27663.639072973227</v>
      </c>
      <c r="G71" s="218">
        <f t="shared" si="21"/>
        <v>-118.87668635845182</v>
      </c>
      <c r="H71" s="218">
        <f t="shared" si="22"/>
        <v>-90.960357084002752</v>
      </c>
      <c r="I71" s="218">
        <f t="shared" si="23"/>
        <v>-1395.5821041000477</v>
      </c>
      <c r="J71" s="218">
        <f t="shared" si="24"/>
        <v>-506.76994909368705</v>
      </c>
      <c r="K71" s="218">
        <f t="shared" si="25"/>
        <v>-1303.2805903737037</v>
      </c>
      <c r="L71" s="218">
        <f t="shared" si="26"/>
        <v>-15074.037771872458</v>
      </c>
      <c r="M71" s="192">
        <f t="shared" si="18"/>
        <v>-1978.6872801777829</v>
      </c>
      <c r="N71" s="211">
        <v>97</v>
      </c>
      <c r="O71" s="211">
        <f>'Emission-Waste Transport Vehicl'!N73</f>
        <v>14.765689206576004</v>
      </c>
      <c r="P71" s="211">
        <f>'Emission-Waste Transport Vehicl'!O73</f>
        <v>21.481002652032004</v>
      </c>
      <c r="Q71" s="211">
        <f>'Emission-Waste Transport Vehicl'!P73</f>
        <v>8.2153834630560016</v>
      </c>
      <c r="R71" s="211">
        <f>'Emission-Waste Transport Vehicl'!Q73</f>
        <v>6.380297808192001</v>
      </c>
      <c r="S71" s="211">
        <f>'Emission-Waste Transport Vehicl'!R73</f>
        <v>0.63502964078400004</v>
      </c>
      <c r="T71" s="211">
        <f>'Emission-Waste Transport Vehicl'!S73</f>
        <v>2.9201363009280005E-2</v>
      </c>
      <c r="U71" s="1850">
        <f t="shared" si="19"/>
        <v>-191932.66617724494</v>
      </c>
      <c r="V71" s="1850">
        <f t="shared" si="10"/>
        <v>-1755.2962046765131</v>
      </c>
      <c r="W71" s="1850">
        <f t="shared" si="11"/>
        <v>-1953.9196717512411</v>
      </c>
      <c r="X71" s="1850">
        <f t="shared" si="12"/>
        <v>-11465.242139360431</v>
      </c>
      <c r="Y71" s="1850">
        <f t="shared" si="13"/>
        <v>-3233.3431954600233</v>
      </c>
      <c r="Z71" s="1850">
        <f t="shared" si="14"/>
        <v>-827.62180514577256</v>
      </c>
      <c r="AA71" s="1850">
        <f t="shared" si="15"/>
        <v>-440.18244899204598</v>
      </c>
      <c r="AB71" s="2733"/>
      <c r="AC71" s="3009"/>
    </row>
    <row r="72" spans="1:29" ht="18.75" x14ac:dyDescent="0.25">
      <c r="A72" s="3019"/>
      <c r="B72" s="2753"/>
      <c r="C72" s="1849">
        <v>2060</v>
      </c>
      <c r="D72" s="218">
        <f t="shared" si="20"/>
        <v>-1930258.610792438</v>
      </c>
      <c r="E72" s="218">
        <f t="shared" si="16"/>
        <v>-20765.030312371768</v>
      </c>
      <c r="F72" s="218">
        <f t="shared" si="17"/>
        <v>-27663.639072973227</v>
      </c>
      <c r="G72" s="218">
        <f t="shared" si="21"/>
        <v>-118.87668635845182</v>
      </c>
      <c r="H72" s="218">
        <f t="shared" si="22"/>
        <v>-90.960357084002752</v>
      </c>
      <c r="I72" s="218">
        <f t="shared" si="23"/>
        <v>-1395.5821041000477</v>
      </c>
      <c r="J72" s="218">
        <f t="shared" si="24"/>
        <v>-506.76994909368705</v>
      </c>
      <c r="K72" s="218">
        <f t="shared" si="25"/>
        <v>-1303.2805903737037</v>
      </c>
      <c r="L72" s="218">
        <f t="shared" si="26"/>
        <v>-15074.037771872458</v>
      </c>
      <c r="M72" s="192">
        <f t="shared" si="18"/>
        <v>-1978.6872801777829</v>
      </c>
      <c r="N72" s="211">
        <v>97</v>
      </c>
      <c r="O72" s="211">
        <f>'Emission-Waste Transport Vehicl'!N74</f>
        <v>14.475526623360002</v>
      </c>
      <c r="P72" s="211">
        <f>'Emission-Waste Transport Vehicl'!O74</f>
        <v>21.058876523520002</v>
      </c>
      <c r="Q72" s="211">
        <f>'Emission-Waste Transport Vehicl'!P74</f>
        <v>8.0539418361599999</v>
      </c>
      <c r="R72" s="211">
        <f>'Emission-Waste Transport Vehicl'!Q74</f>
        <v>6.2549177011200001</v>
      </c>
      <c r="S72" s="211">
        <f>'Emission-Waste Transport Vehicl'!R74</f>
        <v>0.62255058624000004</v>
      </c>
      <c r="T72" s="211">
        <f>'Emission-Waste Transport Vehicl'!S74</f>
        <v>2.8627523020800003E-2</v>
      </c>
      <c r="U72" s="1850">
        <f t="shared" si="19"/>
        <v>-191932.66617724494</v>
      </c>
      <c r="V72" s="1850">
        <f t="shared" si="10"/>
        <v>-1720.8026382785861</v>
      </c>
      <c r="W72" s="1850">
        <f t="shared" si="11"/>
        <v>-1915.5229283673018</v>
      </c>
      <c r="X72" s="1850">
        <f t="shared" si="12"/>
        <v>-11239.937094007573</v>
      </c>
      <c r="Y72" s="1850">
        <f t="shared" si="13"/>
        <v>-3169.8043249817842</v>
      </c>
      <c r="Z72" s="1850">
        <f t="shared" si="14"/>
        <v>-811.35809557236257</v>
      </c>
      <c r="AA72" s="1850">
        <f t="shared" si="15"/>
        <v>-431.53236333068753</v>
      </c>
      <c r="AB72" s="2733"/>
      <c r="AC72" s="3009"/>
    </row>
    <row r="73" spans="1:29" ht="18.75" x14ac:dyDescent="0.25">
      <c r="A73" s="3019"/>
      <c r="B73" s="2753"/>
      <c r="C73" s="1849">
        <v>2061</v>
      </c>
      <c r="D73" s="218">
        <f t="shared" si="20"/>
        <v>-1930258.610792438</v>
      </c>
      <c r="E73" s="218">
        <f t="shared" si="16"/>
        <v>-20765.030312371768</v>
      </c>
      <c r="F73" s="218">
        <f t="shared" si="17"/>
        <v>-27663.639072973227</v>
      </c>
      <c r="G73" s="218">
        <f t="shared" si="21"/>
        <v>-118.87668635845182</v>
      </c>
      <c r="H73" s="218">
        <f t="shared" si="22"/>
        <v>-90.960357084002752</v>
      </c>
      <c r="I73" s="218">
        <f t="shared" si="23"/>
        <v>-1395.5821041000477</v>
      </c>
      <c r="J73" s="218">
        <f t="shared" si="24"/>
        <v>-506.76994909368705</v>
      </c>
      <c r="K73" s="218">
        <f t="shared" si="25"/>
        <v>-1303.2805903737037</v>
      </c>
      <c r="L73" s="218">
        <f t="shared" si="26"/>
        <v>-15074.037771872458</v>
      </c>
      <c r="M73" s="192">
        <f t="shared" si="18"/>
        <v>-1978.6872801777829</v>
      </c>
      <c r="N73" s="211">
        <v>97</v>
      </c>
      <c r="O73" s="211">
        <f>'Emission-Waste Transport Vehicl'!N75</f>
        <v>14.191884547632004</v>
      </c>
      <c r="P73" s="211">
        <f>'Emission-Waste Transport Vehicl'!O75</f>
        <v>20.646236375424003</v>
      </c>
      <c r="Q73" s="211">
        <f>'Emission-Waste Transport Vehicl'!P75</f>
        <v>7.8961281109920014</v>
      </c>
      <c r="R73" s="211">
        <f>'Emission-Waste Transport Vehicl'!Q75</f>
        <v>6.1323551245440004</v>
      </c>
      <c r="S73" s="211">
        <f>'Emission-Waste Transport Vehicl'!R75</f>
        <v>0.61035195988800006</v>
      </c>
      <c r="T73" s="211">
        <f>'Emission-Waste Transport Vehicl'!S75</f>
        <v>2.8066578312960003E-2</v>
      </c>
      <c r="U73" s="1850">
        <f t="shared" si="19"/>
        <v>-191932.66617724494</v>
      </c>
      <c r="V73" s="1850">
        <f t="shared" si="10"/>
        <v>-1687.0842082042086</v>
      </c>
      <c r="W73" s="1850">
        <f t="shared" si="11"/>
        <v>-1877.9890331492941</v>
      </c>
      <c r="X73" s="1850">
        <f t="shared" si="12"/>
        <v>-11019.695083381752</v>
      </c>
      <c r="Y73" s="1850">
        <f t="shared" si="13"/>
        <v>-3107.6932942895742</v>
      </c>
      <c r="Z73" s="1850">
        <f t="shared" si="14"/>
        <v>-795.4598626185799</v>
      </c>
      <c r="AA73" s="1850">
        <f t="shared" si="15"/>
        <v>-423.07666161677543</v>
      </c>
      <c r="AB73" s="2733"/>
      <c r="AC73" s="3009"/>
    </row>
    <row r="74" spans="1:29" ht="18.75" x14ac:dyDescent="0.25">
      <c r="A74" s="3019"/>
      <c r="B74" s="2753"/>
      <c r="C74" s="1849">
        <v>2062</v>
      </c>
      <c r="D74" s="218">
        <f t="shared" si="20"/>
        <v>-1930258.610792438</v>
      </c>
      <c r="E74" s="218">
        <f t="shared" si="16"/>
        <v>-20765.030312371768</v>
      </c>
      <c r="F74" s="218">
        <f t="shared" si="17"/>
        <v>-27663.639072973227</v>
      </c>
      <c r="G74" s="218">
        <f t="shared" si="21"/>
        <v>-118.87668635845182</v>
      </c>
      <c r="H74" s="218">
        <f t="shared" si="22"/>
        <v>-90.960357084002752</v>
      </c>
      <c r="I74" s="218">
        <f t="shared" si="23"/>
        <v>-1395.5821041000477</v>
      </c>
      <c r="J74" s="218">
        <f t="shared" si="24"/>
        <v>-506.76994909368705</v>
      </c>
      <c r="K74" s="218">
        <f t="shared" si="25"/>
        <v>-1303.2805903737037</v>
      </c>
      <c r="L74" s="218">
        <f t="shared" si="26"/>
        <v>-15074.037771872458</v>
      </c>
      <c r="M74" s="192">
        <f t="shared" si="18"/>
        <v>-1978.6872801777829</v>
      </c>
      <c r="N74" s="211">
        <v>97</v>
      </c>
      <c r="O74" s="211">
        <f>'Emission-Waste Transport Vehicl'!N76</f>
        <v>13.914762979392002</v>
      </c>
      <c r="P74" s="211">
        <f>'Emission-Waste Transport Vehicl'!O76</f>
        <v>20.243082207744003</v>
      </c>
      <c r="Q74" s="211">
        <f>'Emission-Waste Transport Vehicl'!P76</f>
        <v>7.7419422875520008</v>
      </c>
      <c r="R74" s="211">
        <f>'Emission-Waste Transport Vehicl'!Q76</f>
        <v>6.0126100784640002</v>
      </c>
      <c r="S74" s="211">
        <f>'Emission-Waste Transport Vehicl'!R76</f>
        <v>0.59843376172800011</v>
      </c>
      <c r="T74" s="211">
        <f>'Emission-Waste Transport Vehicl'!S76</f>
        <v>2.7518528885760004E-2</v>
      </c>
      <c r="U74" s="1850">
        <f t="shared" si="19"/>
        <v>-191932.66617724494</v>
      </c>
      <c r="V74" s="1850">
        <f t="shared" si="10"/>
        <v>-1654.1409144533795</v>
      </c>
      <c r="W74" s="1850">
        <f t="shared" si="11"/>
        <v>-1841.3179860972173</v>
      </c>
      <c r="X74" s="1850">
        <f t="shared" si="12"/>
        <v>-10804.516107482958</v>
      </c>
      <c r="Y74" s="1850">
        <f t="shared" si="13"/>
        <v>-3047.0101033833912</v>
      </c>
      <c r="Z74" s="1850">
        <f t="shared" si="14"/>
        <v>-779.92710628442433</v>
      </c>
      <c r="AA74" s="1850">
        <f t="shared" si="15"/>
        <v>-414.8153438503096</v>
      </c>
      <c r="AB74" s="2733"/>
      <c r="AC74" s="3009"/>
    </row>
    <row r="75" spans="1:29" ht="18.75" x14ac:dyDescent="0.25">
      <c r="A75" s="3019"/>
      <c r="B75" s="2753"/>
      <c r="C75" s="1849">
        <v>2063</v>
      </c>
      <c r="D75" s="218">
        <f t="shared" si="20"/>
        <v>-1930258.610792438</v>
      </c>
      <c r="E75" s="218">
        <f t="shared" si="16"/>
        <v>-20765.030312371768</v>
      </c>
      <c r="F75" s="218">
        <f t="shared" si="17"/>
        <v>-27663.639072973227</v>
      </c>
      <c r="G75" s="218">
        <f t="shared" si="21"/>
        <v>-118.87668635845182</v>
      </c>
      <c r="H75" s="218">
        <f t="shared" si="22"/>
        <v>-90.960357084002752</v>
      </c>
      <c r="I75" s="218">
        <f t="shared" si="23"/>
        <v>-1395.5821041000477</v>
      </c>
      <c r="J75" s="218">
        <f t="shared" si="24"/>
        <v>-506.76994909368705</v>
      </c>
      <c r="K75" s="218">
        <f t="shared" si="25"/>
        <v>-1303.2805903737037</v>
      </c>
      <c r="L75" s="218">
        <f t="shared" si="26"/>
        <v>-15074.037771872458</v>
      </c>
      <c r="M75" s="192">
        <f t="shared" si="18"/>
        <v>-1978.6872801777829</v>
      </c>
      <c r="N75" s="211">
        <v>97</v>
      </c>
      <c r="O75" s="211">
        <f>'Emission-Waste Transport Vehicl'!N77</f>
        <v>13.640901664896001</v>
      </c>
      <c r="P75" s="211">
        <f>'Emission-Waste Transport Vehicl'!O77</f>
        <v>19.844671030272</v>
      </c>
      <c r="Q75" s="211">
        <f>'Emission-Waste Transport Vehicl'!P77</f>
        <v>7.5895704149760004</v>
      </c>
      <c r="R75" s="211">
        <f>'Emission-Waste Transport Vehicl'!Q77</f>
        <v>5.8942737976319997</v>
      </c>
      <c r="S75" s="211">
        <f>'Emission-Waste Transport Vehicl'!R77</f>
        <v>0.58665577766400001</v>
      </c>
      <c r="T75" s="211">
        <f>'Emission-Waste Transport Vehicl'!S77</f>
        <v>2.6976927098879999E-2</v>
      </c>
      <c r="U75" s="1850">
        <f t="shared" si="19"/>
        <v>-191932.66617724494</v>
      </c>
      <c r="V75" s="1850">
        <f t="shared" si="10"/>
        <v>-1621.5851888643251</v>
      </c>
      <c r="W75" s="1850">
        <f t="shared" si="11"/>
        <v>-1805.0783631281058</v>
      </c>
      <c r="X75" s="1850">
        <f t="shared" si="12"/>
        <v>-10591.868648947679</v>
      </c>
      <c r="Y75" s="1850">
        <f t="shared" si="13"/>
        <v>-2987.0408323702218</v>
      </c>
      <c r="Z75" s="1850">
        <f t="shared" si="14"/>
        <v>-764.57708826008218</v>
      </c>
      <c r="AA75" s="1850">
        <f t="shared" si="15"/>
        <v>-406.65121805756678</v>
      </c>
      <c r="AB75" s="2733"/>
      <c r="AC75" s="3009"/>
    </row>
    <row r="76" spans="1:29" ht="18.75" x14ac:dyDescent="0.25">
      <c r="A76" s="3019"/>
      <c r="B76" s="2753"/>
      <c r="C76" s="1849">
        <v>2064</v>
      </c>
      <c r="D76" s="218">
        <f t="shared" si="20"/>
        <v>-1930258.610792438</v>
      </c>
      <c r="E76" s="218">
        <f t="shared" si="16"/>
        <v>-20765.030312371768</v>
      </c>
      <c r="F76" s="218">
        <f t="shared" si="17"/>
        <v>-27663.639072973227</v>
      </c>
      <c r="G76" s="218">
        <f t="shared" si="21"/>
        <v>-118.87668635845182</v>
      </c>
      <c r="H76" s="218">
        <f t="shared" si="22"/>
        <v>-90.960357084002752</v>
      </c>
      <c r="I76" s="218">
        <f t="shared" si="23"/>
        <v>-1395.5821041000477</v>
      </c>
      <c r="J76" s="218">
        <f t="shared" si="24"/>
        <v>-506.76994909368705</v>
      </c>
      <c r="K76" s="218">
        <f t="shared" si="25"/>
        <v>-1303.2805903737037</v>
      </c>
      <c r="L76" s="218">
        <f t="shared" si="26"/>
        <v>-15074.037771872458</v>
      </c>
      <c r="M76" s="192">
        <f t="shared" si="18"/>
        <v>-1978.6872801777829</v>
      </c>
      <c r="N76" s="211">
        <v>97</v>
      </c>
      <c r="O76" s="211">
        <f>'Emission-Waste Transport Vehicl'!N78</f>
        <v>13.373560857888002</v>
      </c>
      <c r="P76" s="211">
        <f>'Emission-Waste Transport Vehicl'!O78</f>
        <v>19.455745833216003</v>
      </c>
      <c r="Q76" s="211">
        <f>'Emission-Waste Transport Vehicl'!P78</f>
        <v>7.4408264441280014</v>
      </c>
      <c r="R76" s="211">
        <f>'Emission-Waste Transport Vehicl'!Q78</f>
        <v>5.7787550472960003</v>
      </c>
      <c r="S76" s="211">
        <f>'Emission-Waste Transport Vehicl'!R78</f>
        <v>0.57515822179200005</v>
      </c>
      <c r="T76" s="211">
        <f>'Emission-Waste Transport Vehicl'!S78</f>
        <v>2.6448220592640001E-2</v>
      </c>
      <c r="U76" s="1850">
        <f t="shared" si="19"/>
        <v>-191932.66617724494</v>
      </c>
      <c r="V76" s="1850">
        <f t="shared" si="10"/>
        <v>-1589.8045995988198</v>
      </c>
      <c r="W76" s="1850">
        <f t="shared" si="11"/>
        <v>-1769.7015883249262</v>
      </c>
      <c r="X76" s="1850">
        <f t="shared" si="12"/>
        <v>-10384.284225139432</v>
      </c>
      <c r="Y76" s="1850">
        <f t="shared" si="13"/>
        <v>-2928.4994011430813</v>
      </c>
      <c r="Z76" s="1850">
        <f t="shared" si="14"/>
        <v>-749.59254685536746</v>
      </c>
      <c r="AA76" s="1850">
        <f t="shared" si="15"/>
        <v>-398.68147621227035</v>
      </c>
      <c r="AB76" s="2733"/>
      <c r="AC76" s="3009"/>
    </row>
    <row r="77" spans="1:29" ht="18.75" x14ac:dyDescent="0.25">
      <c r="A77" s="3019"/>
      <c r="B77" s="2753"/>
      <c r="C77" s="1849">
        <v>2065</v>
      </c>
      <c r="D77" s="218">
        <f t="shared" si="20"/>
        <v>-1930258.610792438</v>
      </c>
      <c r="E77" s="218">
        <f t="shared" si="16"/>
        <v>-20765.030312371768</v>
      </c>
      <c r="F77" s="218">
        <f t="shared" si="17"/>
        <v>-27663.639072973227</v>
      </c>
      <c r="G77" s="218">
        <f t="shared" si="21"/>
        <v>-118.87668635845182</v>
      </c>
      <c r="H77" s="218">
        <f t="shared" si="22"/>
        <v>-90.960357084002752</v>
      </c>
      <c r="I77" s="218">
        <f t="shared" si="23"/>
        <v>-1395.5821041000477</v>
      </c>
      <c r="J77" s="218">
        <f t="shared" si="24"/>
        <v>-506.76994909368705</v>
      </c>
      <c r="K77" s="218">
        <f t="shared" si="25"/>
        <v>-1303.2805903737037</v>
      </c>
      <c r="L77" s="218">
        <f t="shared" si="26"/>
        <v>-15074.037771872458</v>
      </c>
      <c r="M77" s="192">
        <f t="shared" si="18"/>
        <v>-1978.6872801777829</v>
      </c>
      <c r="N77" s="211">
        <v>97</v>
      </c>
      <c r="O77" s="211">
        <f>'Emission-Waste Transport Vehicl'!N79</f>
        <v>13.112740558368001</v>
      </c>
      <c r="P77" s="211">
        <f>'Emission-Waste Transport Vehicl'!O79</f>
        <v>19.076306616576002</v>
      </c>
      <c r="Q77" s="211">
        <f>'Emission-Waste Transport Vehicl'!P79</f>
        <v>7.2957103750080003</v>
      </c>
      <c r="R77" s="211">
        <f>'Emission-Waste Transport Vehicl'!Q79</f>
        <v>5.6660538274560004</v>
      </c>
      <c r="S77" s="211">
        <f>'Emission-Waste Transport Vehicl'!R79</f>
        <v>0.56394109411200011</v>
      </c>
      <c r="T77" s="211">
        <f>'Emission-Waste Transport Vehicl'!S79</f>
        <v>2.5932409367040003E-2</v>
      </c>
      <c r="U77" s="1850">
        <f t="shared" si="19"/>
        <v>-191932.66617724494</v>
      </c>
      <c r="V77" s="1850">
        <f t="shared" si="10"/>
        <v>-1558.7991466568633</v>
      </c>
      <c r="W77" s="1850">
        <f t="shared" si="11"/>
        <v>-1735.1876616876775</v>
      </c>
      <c r="X77" s="1850">
        <f t="shared" si="12"/>
        <v>-10181.762836058213</v>
      </c>
      <c r="Y77" s="1850">
        <f t="shared" si="13"/>
        <v>-2871.3858097019679</v>
      </c>
      <c r="Z77" s="1850">
        <f t="shared" si="14"/>
        <v>-734.97348207027994</v>
      </c>
      <c r="AA77" s="1850">
        <f t="shared" si="15"/>
        <v>-390.90611831442016</v>
      </c>
      <c r="AB77" s="2733"/>
      <c r="AC77" s="3009"/>
    </row>
    <row r="78" spans="1:29" ht="18.75" x14ac:dyDescent="0.25">
      <c r="A78" s="3019"/>
      <c r="B78" s="2753"/>
      <c r="C78" s="1849">
        <v>2066</v>
      </c>
      <c r="D78" s="218">
        <f t="shared" si="20"/>
        <v>-1930258.610792438</v>
      </c>
      <c r="E78" s="218">
        <f t="shared" si="16"/>
        <v>-20765.030312371768</v>
      </c>
      <c r="F78" s="218">
        <f t="shared" si="17"/>
        <v>-27663.639072973227</v>
      </c>
      <c r="G78" s="218">
        <f t="shared" si="21"/>
        <v>-118.87668635845182</v>
      </c>
      <c r="H78" s="218">
        <f t="shared" si="22"/>
        <v>-90.960357084002752</v>
      </c>
      <c r="I78" s="218">
        <f t="shared" si="23"/>
        <v>-1395.5821041000477</v>
      </c>
      <c r="J78" s="218">
        <f t="shared" si="24"/>
        <v>-506.76994909368705</v>
      </c>
      <c r="K78" s="218">
        <f t="shared" si="25"/>
        <v>-1303.2805903737037</v>
      </c>
      <c r="L78" s="218">
        <f t="shared" si="26"/>
        <v>-15074.037771872458</v>
      </c>
      <c r="M78" s="192">
        <f t="shared" si="18"/>
        <v>-1978.6872801777829</v>
      </c>
      <c r="N78" s="211">
        <v>97</v>
      </c>
      <c r="O78" s="211">
        <f>'Emission-Waste Transport Vehicl'!N80</f>
        <v>12.855180512592</v>
      </c>
      <c r="P78" s="211">
        <f>'Emission-Waste Transport Vehicl'!O80</f>
        <v>18.701610390143998</v>
      </c>
      <c r="Q78" s="211">
        <f>'Emission-Waste Transport Vehicl'!P80</f>
        <v>7.1524082567520004</v>
      </c>
      <c r="R78" s="211">
        <f>'Emission-Waste Transport Vehicl'!Q80</f>
        <v>5.5547613728639993</v>
      </c>
      <c r="S78" s="211">
        <f>'Emission-Waste Transport Vehicl'!R80</f>
        <v>0.55286418052800002</v>
      </c>
      <c r="T78" s="211">
        <f>'Emission-Waste Transport Vehicl'!S80</f>
        <v>2.5423045781760002E-2</v>
      </c>
      <c r="U78" s="1850">
        <f t="shared" si="19"/>
        <v>-191932.66617724494</v>
      </c>
      <c r="V78" s="1850">
        <f t="shared" si="10"/>
        <v>-1528.181261876681</v>
      </c>
      <c r="W78" s="1850">
        <f t="shared" si="11"/>
        <v>-1701.105159133394</v>
      </c>
      <c r="X78" s="1850">
        <f t="shared" si="12"/>
        <v>-9981.772964340511</v>
      </c>
      <c r="Y78" s="1850">
        <f t="shared" si="13"/>
        <v>-2814.9861381538681</v>
      </c>
      <c r="Z78" s="1850">
        <f t="shared" si="14"/>
        <v>-720.53715559500574</v>
      </c>
      <c r="AA78" s="1850">
        <f t="shared" si="15"/>
        <v>-383.22795239029301</v>
      </c>
      <c r="AB78" s="2733"/>
      <c r="AC78" s="3009"/>
    </row>
    <row r="79" spans="1:29" ht="18.75" x14ac:dyDescent="0.25">
      <c r="A79" s="3019"/>
      <c r="B79" s="2753"/>
      <c r="C79" s="1849">
        <v>2067</v>
      </c>
      <c r="D79" s="218">
        <f t="shared" si="20"/>
        <v>-1930258.610792438</v>
      </c>
      <c r="E79" s="218">
        <f t="shared" si="16"/>
        <v>-20765.030312371768</v>
      </c>
      <c r="F79" s="218">
        <f t="shared" si="17"/>
        <v>-27663.639072973227</v>
      </c>
      <c r="G79" s="218">
        <f t="shared" si="21"/>
        <v>-118.87668635845182</v>
      </c>
      <c r="H79" s="218">
        <f t="shared" si="22"/>
        <v>-90.960357084002752</v>
      </c>
      <c r="I79" s="218">
        <f t="shared" si="23"/>
        <v>-1395.5821041000477</v>
      </c>
      <c r="J79" s="218">
        <f t="shared" si="24"/>
        <v>-506.76994909368705</v>
      </c>
      <c r="K79" s="218">
        <f t="shared" si="25"/>
        <v>-1303.2805903737037</v>
      </c>
      <c r="L79" s="218">
        <f t="shared" si="26"/>
        <v>-15074.037771872458</v>
      </c>
      <c r="M79" s="192">
        <f t="shared" si="18"/>
        <v>-1978.6872801777829</v>
      </c>
      <c r="N79" s="211">
        <v>97</v>
      </c>
      <c r="O79" s="211">
        <f>'Emission-Waste Transport Vehicl'!N81</f>
        <v>12.600880720560001</v>
      </c>
      <c r="P79" s="211">
        <f>'Emission-Waste Transport Vehicl'!O81</f>
        <v>18.331657153920002</v>
      </c>
      <c r="Q79" s="211">
        <f>'Emission-Waste Transport Vehicl'!P81</f>
        <v>7.0109200893600008</v>
      </c>
      <c r="R79" s="211">
        <f>'Emission-Waste Transport Vehicl'!Q81</f>
        <v>5.4448776835200006</v>
      </c>
      <c r="S79" s="211">
        <f>'Emission-Waste Transport Vehicl'!R81</f>
        <v>0.5419274810400001</v>
      </c>
      <c r="T79" s="211">
        <f>'Emission-Waste Transport Vehicl'!S81</f>
        <v>2.4920129836800003E-2</v>
      </c>
      <c r="U79" s="1850">
        <f t="shared" si="19"/>
        <v>-191932.66617724494</v>
      </c>
      <c r="V79" s="1850">
        <f t="shared" si="10"/>
        <v>-1497.9509452582736</v>
      </c>
      <c r="W79" s="1850">
        <f t="shared" si="11"/>
        <v>-1667.4540806620769</v>
      </c>
      <c r="X79" s="1850">
        <f t="shared" si="12"/>
        <v>-9784.3146099863243</v>
      </c>
      <c r="Y79" s="1850">
        <f t="shared" si="13"/>
        <v>-2759.3003864987832</v>
      </c>
      <c r="Z79" s="1850">
        <f t="shared" si="14"/>
        <v>-706.28356742954543</v>
      </c>
      <c r="AA79" s="1850">
        <f t="shared" si="15"/>
        <v>-375.6469784398891</v>
      </c>
      <c r="AB79" s="2733"/>
      <c r="AC79" s="3009"/>
    </row>
    <row r="80" spans="1:29" ht="18.75" x14ac:dyDescent="0.25">
      <c r="A80" s="3019"/>
      <c r="B80" s="2753"/>
      <c r="C80" s="1849">
        <v>2068</v>
      </c>
      <c r="D80" s="218">
        <f t="shared" si="20"/>
        <v>-1930258.610792438</v>
      </c>
      <c r="E80" s="218">
        <f t="shared" si="16"/>
        <v>-20765.030312371768</v>
      </c>
      <c r="F80" s="218">
        <f t="shared" si="17"/>
        <v>-27663.639072973227</v>
      </c>
      <c r="G80" s="218">
        <f t="shared" si="21"/>
        <v>-118.87668635845182</v>
      </c>
      <c r="H80" s="218">
        <f t="shared" si="22"/>
        <v>-90.960357084002752</v>
      </c>
      <c r="I80" s="218">
        <f t="shared" si="23"/>
        <v>-1395.5821041000477</v>
      </c>
      <c r="J80" s="218">
        <f t="shared" si="24"/>
        <v>-506.76994909368705</v>
      </c>
      <c r="K80" s="218">
        <f t="shared" si="25"/>
        <v>-1303.2805903737037</v>
      </c>
      <c r="L80" s="218">
        <f t="shared" si="26"/>
        <v>-15074.037771872458</v>
      </c>
      <c r="M80" s="192">
        <f t="shared" si="18"/>
        <v>-1978.6872801777829</v>
      </c>
      <c r="N80" s="211">
        <v>97</v>
      </c>
      <c r="O80" s="211">
        <f>'Emission-Waste Transport Vehicl'!N82</f>
        <v>12.356361689760002</v>
      </c>
      <c r="P80" s="211">
        <f>'Emission-Waste Transport Vehicl'!O82</f>
        <v>17.975932888320003</v>
      </c>
      <c r="Q80" s="211">
        <f>'Emission-Waste Transport Vehicl'!P82</f>
        <v>6.8748737745600002</v>
      </c>
      <c r="R80" s="211">
        <f>'Emission-Waste Transport Vehicl'!Q82</f>
        <v>5.339220289920001</v>
      </c>
      <c r="S80" s="211">
        <f>'Emission-Waste Transport Vehicl'!R82</f>
        <v>0.53141142384000006</v>
      </c>
      <c r="T80" s="211">
        <f>'Emission-Waste Transport Vehicl'!S82</f>
        <v>2.4436556812800003E-2</v>
      </c>
      <c r="U80" s="1850">
        <f t="shared" si="19"/>
        <v>-191932.66617724494</v>
      </c>
      <c r="V80" s="1850">
        <f t="shared" si="10"/>
        <v>-1468.8833331251894</v>
      </c>
      <c r="W80" s="1850">
        <f t="shared" si="11"/>
        <v>-1635.0972744396563</v>
      </c>
      <c r="X80" s="1850">
        <f t="shared" si="12"/>
        <v>-9594.4508077226819</v>
      </c>
      <c r="Y80" s="1850">
        <f t="shared" si="13"/>
        <v>-2705.7563945227398</v>
      </c>
      <c r="Z80" s="1850">
        <f t="shared" si="14"/>
        <v>-692.57819419352575</v>
      </c>
      <c r="AA80" s="1850">
        <f t="shared" si="15"/>
        <v>-368.35758041065446</v>
      </c>
      <c r="AB80" s="2733"/>
      <c r="AC80" s="3009"/>
    </row>
    <row r="81" spans="1:29" ht="19.5" thickBot="1" x14ac:dyDescent="0.3">
      <c r="A81" s="3020"/>
      <c r="B81" s="2455"/>
      <c r="C81" s="719">
        <v>2069</v>
      </c>
      <c r="D81" s="327">
        <f t="shared" si="20"/>
        <v>-1930258.610792438</v>
      </c>
      <c r="E81" s="327">
        <f t="shared" si="16"/>
        <v>-20765.030312371768</v>
      </c>
      <c r="F81" s="327">
        <f t="shared" si="17"/>
        <v>-27663.639072973227</v>
      </c>
      <c r="G81" s="327">
        <f t="shared" si="21"/>
        <v>-118.87668635845182</v>
      </c>
      <c r="H81" s="327">
        <f t="shared" si="22"/>
        <v>-90.960357084002752</v>
      </c>
      <c r="I81" s="327">
        <f t="shared" si="23"/>
        <v>-1395.5821041000477</v>
      </c>
      <c r="J81" s="327">
        <f t="shared" si="24"/>
        <v>-506.76994909368705</v>
      </c>
      <c r="K81" s="327">
        <f t="shared" si="25"/>
        <v>-1303.2805903737037</v>
      </c>
      <c r="L81" s="327">
        <f t="shared" si="26"/>
        <v>-15074.037771872458</v>
      </c>
      <c r="M81" s="219">
        <f t="shared" si="18"/>
        <v>-1978.6872801777829</v>
      </c>
      <c r="N81" s="646">
        <v>97</v>
      </c>
      <c r="O81" s="646">
        <f>'Emission-Waste Transport Vehicl'!N83</f>
        <v>12.111842658960002</v>
      </c>
      <c r="P81" s="646">
        <f>'Emission-Waste Transport Vehicl'!O83</f>
        <v>17.62020862272</v>
      </c>
      <c r="Q81" s="646">
        <f>'Emission-Waste Transport Vehicl'!P83</f>
        <v>6.7388274597600004</v>
      </c>
      <c r="R81" s="646">
        <f>'Emission-Waste Transport Vehicl'!Q83</f>
        <v>5.2335628963200005</v>
      </c>
      <c r="S81" s="646">
        <f>'Emission-Waste Transport Vehicl'!R83</f>
        <v>0.52089536664000002</v>
      </c>
      <c r="T81" s="646">
        <f>'Emission-Waste Transport Vehicl'!S83</f>
        <v>2.3952983788800002E-2</v>
      </c>
      <c r="U81" s="1847">
        <f t="shared" si="19"/>
        <v>-191932.66617724494</v>
      </c>
      <c r="V81" s="1847">
        <f t="shared" si="10"/>
        <v>-1439.8157209921053</v>
      </c>
      <c r="W81" s="1847">
        <f t="shared" si="11"/>
        <v>-1602.7404682172355</v>
      </c>
      <c r="X81" s="1847">
        <f t="shared" si="12"/>
        <v>-9404.5870054590414</v>
      </c>
      <c r="Y81" s="1847">
        <f t="shared" si="13"/>
        <v>-2652.212402546696</v>
      </c>
      <c r="Z81" s="1847">
        <f t="shared" si="14"/>
        <v>-678.87282095750606</v>
      </c>
      <c r="AA81" s="1847">
        <f t="shared" si="15"/>
        <v>-361.06818238141989</v>
      </c>
      <c r="AB81" s="2734"/>
      <c r="AC81" s="3009"/>
    </row>
    <row r="82" spans="1:29" ht="18.75" x14ac:dyDescent="0.25">
      <c r="A82" s="3007" t="s">
        <v>168</v>
      </c>
      <c r="B82" s="2992" t="s">
        <v>1798</v>
      </c>
      <c r="C82" s="1862">
        <v>2019</v>
      </c>
      <c r="D82" s="216">
        <f t="shared" ref="D82:D113" si="27">$AC$9</f>
        <v>-113732.07456449943</v>
      </c>
      <c r="E82" s="216">
        <f>$AB$9*28</f>
        <v>133657.93402819976</v>
      </c>
      <c r="F82" s="216">
        <f>$AD$9*298</f>
        <v>3474.4303912614951</v>
      </c>
      <c r="G82" s="216">
        <f t="shared" ref="G82:G113" si="28">$Y$9</f>
        <v>-7.6070510444426649</v>
      </c>
      <c r="H82" s="216">
        <f t="shared" ref="H82:H113" si="29">$Z$9</f>
        <v>-7.0676360622224648</v>
      </c>
      <c r="I82" s="216">
        <f t="shared" ref="I82:I113" si="30">$X$9</f>
        <v>45.492829825799745</v>
      </c>
      <c r="J82" s="216">
        <f t="shared" ref="J82:J113" si="31">$AA$9</f>
        <v>38.993854136399804</v>
      </c>
      <c r="K82" s="216">
        <f t="shared" ref="K82:K113" si="32">$V$9</f>
        <v>38.993854136399797</v>
      </c>
      <c r="L82" s="216">
        <f t="shared" ref="L82:L113" si="33">$W$9</f>
        <v>7473.822042809963</v>
      </c>
      <c r="M82" s="217">
        <f t="shared" si="18"/>
        <v>23.400289854961816</v>
      </c>
      <c r="N82" s="643">
        <v>62</v>
      </c>
      <c r="O82" s="643">
        <f>'Emission-Waste Transport Vehicl'!N33</f>
        <v>32.602537440000006</v>
      </c>
      <c r="P82" s="643">
        <f>'Emission-Waste Transport Vehicl'!O33</f>
        <v>47.429902080000005</v>
      </c>
      <c r="Q82" s="643">
        <f>'Emission-Waste Transport Vehicl'!P33</f>
        <v>18.139508640000003</v>
      </c>
      <c r="R82" s="643">
        <f>'Emission-Waste Transport Vehicl'!Q33</f>
        <v>14.087652480000001</v>
      </c>
      <c r="S82" s="643">
        <f>'Emission-Waste Transport Vehicl'!R33</f>
        <v>1.4021409600000001</v>
      </c>
      <c r="T82" s="643">
        <f>'Emission-Waste Transport Vehicl'!S33</f>
        <v>6.4476403200000004E-2</v>
      </c>
      <c r="U82" s="645">
        <f t="shared" si="19"/>
        <v>1450.8179710076327</v>
      </c>
      <c r="V82" s="644">
        <f t="shared" si="10"/>
        <v>-248.00916648443314</v>
      </c>
      <c r="W82" s="644">
        <f t="shared" si="11"/>
        <v>-335.21728636828834</v>
      </c>
      <c r="X82" s="644">
        <f t="shared" si="12"/>
        <v>825.21757968314432</v>
      </c>
      <c r="Y82" s="644">
        <f t="shared" si="13"/>
        <v>549.33186592941104</v>
      </c>
      <c r="Z82" s="644">
        <f t="shared" si="14"/>
        <v>54.674880072911584</v>
      </c>
      <c r="AA82" s="644">
        <f t="shared" si="15"/>
        <v>481.88516347726289</v>
      </c>
      <c r="AB82" s="2732">
        <f>(SUM(U82:U132)*1.2682)+(SUM(V82:V132))+(SUM(W82:W132))+(SUM(X82:X132))+(SUM(Y82:Y132))+(SUM(Z82:Z132))+(SUM(AA82:AA132))</f>
        <v>173491.48550665166</v>
      </c>
      <c r="AC82" s="3009"/>
    </row>
    <row r="83" spans="1:29" ht="18.75" x14ac:dyDescent="0.25">
      <c r="A83" s="2982"/>
      <c r="B83" s="2993"/>
      <c r="C83" s="1863">
        <v>2020</v>
      </c>
      <c r="D83" s="218">
        <f t="shared" si="27"/>
        <v>-113732.07456449943</v>
      </c>
      <c r="E83" s="221">
        <f t="shared" ref="E83:E132" si="34">$AB$9*28</f>
        <v>133657.93402819976</v>
      </c>
      <c r="F83" s="221">
        <f t="shared" ref="F83:F132" si="35">$AD$9*298</f>
        <v>3474.4303912614951</v>
      </c>
      <c r="G83" s="218">
        <f t="shared" si="28"/>
        <v>-7.6070510444426649</v>
      </c>
      <c r="H83" s="218">
        <f t="shared" si="29"/>
        <v>-7.0676360622224648</v>
      </c>
      <c r="I83" s="218">
        <f t="shared" si="30"/>
        <v>45.492829825799745</v>
      </c>
      <c r="J83" s="218">
        <f t="shared" si="31"/>
        <v>38.993854136399804</v>
      </c>
      <c r="K83" s="218">
        <f t="shared" si="32"/>
        <v>38.993854136399797</v>
      </c>
      <c r="L83" s="218">
        <f t="shared" si="33"/>
        <v>7473.822042809963</v>
      </c>
      <c r="M83" s="192">
        <f t="shared" si="18"/>
        <v>23.400289854961816</v>
      </c>
      <c r="N83" s="211">
        <v>64</v>
      </c>
      <c r="O83" s="211">
        <f>'Emission-Waste Transport Vehicl'!N34</f>
        <v>31.963527706176006</v>
      </c>
      <c r="P83" s="211">
        <f>'Emission-Waste Transport Vehicl'!O34</f>
        <v>46.500275999232002</v>
      </c>
      <c r="Q83" s="211">
        <f>'Emission-Waste Transport Vehicl'!P34</f>
        <v>17.783974270656003</v>
      </c>
      <c r="R83" s="211">
        <f>'Emission-Waste Transport Vehicl'!Q34</f>
        <v>13.811534491392001</v>
      </c>
      <c r="S83" s="211">
        <f>'Emission-Waste Transport Vehicl'!R34</f>
        <v>1.3746589971840002</v>
      </c>
      <c r="T83" s="211">
        <f>'Emission-Waste Transport Vehicl'!S34</f>
        <v>6.3212665697280013E-2</v>
      </c>
      <c r="U83" s="174">
        <f t="shared" si="19"/>
        <v>1497.6185507175562</v>
      </c>
      <c r="V83" s="1850">
        <f t="shared" si="10"/>
        <v>-243.14818682133824</v>
      </c>
      <c r="W83" s="1850">
        <f t="shared" si="11"/>
        <v>-328.64702755546983</v>
      </c>
      <c r="X83" s="1850">
        <f t="shared" si="12"/>
        <v>809.04331512135468</v>
      </c>
      <c r="Y83" s="1850">
        <f t="shared" si="13"/>
        <v>538.56496135719453</v>
      </c>
      <c r="Z83" s="1850">
        <f t="shared" si="14"/>
        <v>53.603252423482523</v>
      </c>
      <c r="AA83" s="1850">
        <f t="shared" si="15"/>
        <v>472.44021427310861</v>
      </c>
      <c r="AB83" s="2733"/>
      <c r="AC83" s="3009"/>
    </row>
    <row r="84" spans="1:29" ht="18.75" x14ac:dyDescent="0.25">
      <c r="A84" s="2982"/>
      <c r="B84" s="2993"/>
      <c r="C84" s="1863">
        <v>2021</v>
      </c>
      <c r="D84" s="218">
        <f t="shared" si="27"/>
        <v>-113732.07456449943</v>
      </c>
      <c r="E84" s="221">
        <f t="shared" si="34"/>
        <v>133657.93402819976</v>
      </c>
      <c r="F84" s="221">
        <f t="shared" si="35"/>
        <v>3474.4303912614951</v>
      </c>
      <c r="G84" s="218">
        <f t="shared" si="28"/>
        <v>-7.6070510444426649</v>
      </c>
      <c r="H84" s="218">
        <f t="shared" si="29"/>
        <v>-7.0676360622224648</v>
      </c>
      <c r="I84" s="218">
        <f t="shared" si="30"/>
        <v>45.492829825799745</v>
      </c>
      <c r="J84" s="218">
        <f t="shared" si="31"/>
        <v>38.993854136399804</v>
      </c>
      <c r="K84" s="218">
        <f t="shared" si="32"/>
        <v>38.993854136399797</v>
      </c>
      <c r="L84" s="218">
        <f t="shared" si="33"/>
        <v>7473.822042809963</v>
      </c>
      <c r="M84" s="192">
        <f t="shared" si="18"/>
        <v>23.400289854961816</v>
      </c>
      <c r="N84" s="211">
        <v>65</v>
      </c>
      <c r="O84" s="211">
        <f>'Emission-Waste Transport Vehicl'!N35</f>
        <v>31.337558987328006</v>
      </c>
      <c r="P84" s="211">
        <f>'Emission-Waste Transport Vehicl'!O35</f>
        <v>45.589621879296011</v>
      </c>
      <c r="Q84" s="211">
        <f>'Emission-Waste Transport Vehicl'!P35</f>
        <v>17.435695704768001</v>
      </c>
      <c r="R84" s="211">
        <f>'Emission-Waste Transport Vehicl'!Q35</f>
        <v>13.541051563776001</v>
      </c>
      <c r="S84" s="211">
        <f>'Emission-Waste Transport Vehicl'!R35</f>
        <v>1.3477378907520003</v>
      </c>
      <c r="T84" s="211">
        <f>'Emission-Waste Transport Vehicl'!S35</f>
        <v>6.1974718755840007E-2</v>
      </c>
      <c r="U84" s="174">
        <f t="shared" si="19"/>
        <v>1521.018840572518</v>
      </c>
      <c r="V84" s="1850">
        <f t="shared" si="10"/>
        <v>-238.38641082483713</v>
      </c>
      <c r="W84" s="1850">
        <f t="shared" si="11"/>
        <v>-322.21085565719881</v>
      </c>
      <c r="X84" s="1850">
        <f t="shared" si="12"/>
        <v>793.19913759143822</v>
      </c>
      <c r="Y84" s="1850">
        <f t="shared" si="13"/>
        <v>528.01778953134988</v>
      </c>
      <c r="Z84" s="1850">
        <f t="shared" si="14"/>
        <v>52.553494726082626</v>
      </c>
      <c r="AA84" s="1850">
        <f t="shared" si="15"/>
        <v>463.1880191343451</v>
      </c>
      <c r="AB84" s="2733"/>
      <c r="AC84" s="3009"/>
    </row>
    <row r="85" spans="1:29" ht="18.75" x14ac:dyDescent="0.25">
      <c r="A85" s="2982"/>
      <c r="B85" s="2993"/>
      <c r="C85" s="1863">
        <v>2022</v>
      </c>
      <c r="D85" s="218">
        <f t="shared" si="27"/>
        <v>-113732.07456449943</v>
      </c>
      <c r="E85" s="221">
        <f t="shared" si="34"/>
        <v>133657.93402819976</v>
      </c>
      <c r="F85" s="221">
        <f t="shared" si="35"/>
        <v>3474.4303912614951</v>
      </c>
      <c r="G85" s="218">
        <f t="shared" si="28"/>
        <v>-7.6070510444426649</v>
      </c>
      <c r="H85" s="218">
        <f t="shared" si="29"/>
        <v>-7.0676360622224648</v>
      </c>
      <c r="I85" s="218">
        <f t="shared" si="30"/>
        <v>45.492829825799745</v>
      </c>
      <c r="J85" s="218">
        <f t="shared" si="31"/>
        <v>38.993854136399804</v>
      </c>
      <c r="K85" s="218">
        <f t="shared" si="32"/>
        <v>38.993854136399797</v>
      </c>
      <c r="L85" s="218">
        <f t="shared" si="33"/>
        <v>7473.822042809963</v>
      </c>
      <c r="M85" s="192">
        <f t="shared" si="18"/>
        <v>23.400289854961816</v>
      </c>
      <c r="N85" s="211">
        <v>66</v>
      </c>
      <c r="O85" s="211">
        <f>'Emission-Waste Transport Vehicl'!N36</f>
        <v>30.721371029712003</v>
      </c>
      <c r="P85" s="211">
        <f>'Emission-Waste Transport Vehicl'!O36</f>
        <v>44.693196729984003</v>
      </c>
      <c r="Q85" s="211">
        <f>'Emission-Waste Transport Vehicl'!P36</f>
        <v>17.092858991472003</v>
      </c>
      <c r="R85" s="211">
        <f>'Emission-Waste Transport Vehicl'!Q36</f>
        <v>13.274794931903999</v>
      </c>
      <c r="S85" s="211">
        <f>'Emission-Waste Transport Vehicl'!R36</f>
        <v>1.3212374266080003</v>
      </c>
      <c r="T85" s="211">
        <f>'Emission-Waste Transport Vehicl'!S36</f>
        <v>6.0756114735360002E-2</v>
      </c>
      <c r="U85" s="174">
        <f t="shared" si="19"/>
        <v>1544.4191304274798</v>
      </c>
      <c r="V85" s="1850">
        <f t="shared" si="10"/>
        <v>-233.69903757828132</v>
      </c>
      <c r="W85" s="1850">
        <f t="shared" si="11"/>
        <v>-315.87524894483806</v>
      </c>
      <c r="X85" s="1850">
        <f t="shared" si="12"/>
        <v>777.60252533542689</v>
      </c>
      <c r="Y85" s="1850">
        <f t="shared" si="13"/>
        <v>517.63541726528388</v>
      </c>
      <c r="Z85" s="1850">
        <f t="shared" si="14"/>
        <v>51.520139492704594</v>
      </c>
      <c r="AA85" s="1850">
        <f t="shared" si="15"/>
        <v>454.08038954462478</v>
      </c>
      <c r="AB85" s="2733"/>
      <c r="AC85" s="3009"/>
    </row>
    <row r="86" spans="1:29" ht="18.75" x14ac:dyDescent="0.25">
      <c r="A86" s="2982"/>
      <c r="B86" s="2993"/>
      <c r="C86" s="1863">
        <v>2023</v>
      </c>
      <c r="D86" s="218">
        <f t="shared" si="27"/>
        <v>-113732.07456449943</v>
      </c>
      <c r="E86" s="221">
        <f t="shared" si="34"/>
        <v>133657.93402819976</v>
      </c>
      <c r="F86" s="221">
        <f t="shared" si="35"/>
        <v>3474.4303912614951</v>
      </c>
      <c r="G86" s="218">
        <f t="shared" si="28"/>
        <v>-7.6070510444426649</v>
      </c>
      <c r="H86" s="218">
        <f t="shared" si="29"/>
        <v>-7.0676360622224648</v>
      </c>
      <c r="I86" s="218">
        <f t="shared" si="30"/>
        <v>45.492829825799745</v>
      </c>
      <c r="J86" s="218">
        <f t="shared" si="31"/>
        <v>38.993854136399804</v>
      </c>
      <c r="K86" s="218">
        <f t="shared" si="32"/>
        <v>38.993854136399797</v>
      </c>
      <c r="L86" s="218">
        <f t="shared" si="33"/>
        <v>7473.822042809963</v>
      </c>
      <c r="M86" s="192">
        <f t="shared" si="18"/>
        <v>23.400289854961816</v>
      </c>
      <c r="N86" s="211">
        <v>67</v>
      </c>
      <c r="O86" s="211">
        <f>'Emission-Waste Transport Vehicl'!N37</f>
        <v>30.118224087072001</v>
      </c>
      <c r="P86" s="211">
        <f>'Emission-Waste Transport Vehicl'!O37</f>
        <v>43.815743541504006</v>
      </c>
      <c r="Q86" s="211">
        <f>'Emission-Waste Transport Vehicl'!P37</f>
        <v>16.757278081632002</v>
      </c>
      <c r="R86" s="211">
        <f>'Emission-Waste Transport Vehicl'!Q37</f>
        <v>13.014173361024</v>
      </c>
      <c r="S86" s="211">
        <f>'Emission-Waste Transport Vehicl'!R37</f>
        <v>1.295297818848</v>
      </c>
      <c r="T86" s="211">
        <f>'Emission-Waste Transport Vehicl'!S37</f>
        <v>5.9563301276160004E-2</v>
      </c>
      <c r="U86" s="174">
        <f t="shared" si="19"/>
        <v>1567.8194202824416</v>
      </c>
      <c r="V86" s="1850">
        <f t="shared" si="10"/>
        <v>-229.11086799831929</v>
      </c>
      <c r="W86" s="1850">
        <f t="shared" si="11"/>
        <v>-309.67372914702474</v>
      </c>
      <c r="X86" s="1850">
        <f t="shared" si="12"/>
        <v>762.33600011128863</v>
      </c>
      <c r="Y86" s="1850">
        <f t="shared" si="13"/>
        <v>507.47277774558984</v>
      </c>
      <c r="Z86" s="1850">
        <f t="shared" si="14"/>
        <v>50.508654211355719</v>
      </c>
      <c r="AA86" s="1850">
        <f t="shared" si="15"/>
        <v>445.16551402029546</v>
      </c>
      <c r="AB86" s="2733"/>
      <c r="AC86" s="3009"/>
    </row>
    <row r="87" spans="1:29" ht="18.75" x14ac:dyDescent="0.25">
      <c r="A87" s="2982"/>
      <c r="B87" s="2993"/>
      <c r="C87" s="1863">
        <v>2024</v>
      </c>
      <c r="D87" s="218">
        <f t="shared" si="27"/>
        <v>-113732.07456449943</v>
      </c>
      <c r="E87" s="221">
        <f t="shared" si="34"/>
        <v>133657.93402819976</v>
      </c>
      <c r="F87" s="221">
        <f t="shared" si="35"/>
        <v>3474.4303912614951</v>
      </c>
      <c r="G87" s="218">
        <f t="shared" si="28"/>
        <v>-7.6070510444426649</v>
      </c>
      <c r="H87" s="218">
        <f t="shared" si="29"/>
        <v>-7.0676360622224648</v>
      </c>
      <c r="I87" s="218">
        <f t="shared" si="30"/>
        <v>45.492829825799745</v>
      </c>
      <c r="J87" s="218">
        <f t="shared" si="31"/>
        <v>38.993854136399804</v>
      </c>
      <c r="K87" s="218">
        <f t="shared" si="32"/>
        <v>38.993854136399797</v>
      </c>
      <c r="L87" s="218">
        <f t="shared" si="33"/>
        <v>7473.822042809963</v>
      </c>
      <c r="M87" s="192">
        <f t="shared" si="18"/>
        <v>23.400289854961816</v>
      </c>
      <c r="N87" s="211">
        <v>68</v>
      </c>
      <c r="O87" s="211">
        <f>'Emission-Waste Transport Vehicl'!N38</f>
        <v>29.528118159408002</v>
      </c>
      <c r="P87" s="211">
        <f>'Emission-Waste Transport Vehicl'!O38</f>
        <v>42.957262313856006</v>
      </c>
      <c r="Q87" s="211">
        <f>'Emission-Waste Transport Vehicl'!P38</f>
        <v>16.428952975248002</v>
      </c>
      <c r="R87" s="211">
        <f>'Emission-Waste Transport Vehicl'!Q38</f>
        <v>12.759186851135999</v>
      </c>
      <c r="S87" s="211">
        <f>'Emission-Waste Transport Vehicl'!R38</f>
        <v>1.269919067472</v>
      </c>
      <c r="T87" s="211">
        <f>'Emission-Waste Transport Vehicl'!S38</f>
        <v>5.8396278378240005E-2</v>
      </c>
      <c r="U87" s="174">
        <f t="shared" si="19"/>
        <v>1591.2197101374036</v>
      </c>
      <c r="V87" s="1850">
        <f t="shared" si="10"/>
        <v>-224.62190208495107</v>
      </c>
      <c r="W87" s="1850">
        <f t="shared" si="11"/>
        <v>-303.60629626375874</v>
      </c>
      <c r="X87" s="1850">
        <f t="shared" si="12"/>
        <v>747.39956191902377</v>
      </c>
      <c r="Y87" s="1850">
        <f t="shared" si="13"/>
        <v>497.52987097226747</v>
      </c>
      <c r="Z87" s="1850">
        <f t="shared" si="14"/>
        <v>49.519038882036021</v>
      </c>
      <c r="AA87" s="1850">
        <f t="shared" si="15"/>
        <v>436.44339256135697</v>
      </c>
      <c r="AB87" s="2733"/>
      <c r="AC87" s="3009"/>
    </row>
    <row r="88" spans="1:29" ht="18.75" x14ac:dyDescent="0.25">
      <c r="A88" s="2982"/>
      <c r="B88" s="2993"/>
      <c r="C88" s="1863">
        <v>2025</v>
      </c>
      <c r="D88" s="218">
        <f t="shared" si="27"/>
        <v>-113732.07456449943</v>
      </c>
      <c r="E88" s="221">
        <f t="shared" si="34"/>
        <v>133657.93402819976</v>
      </c>
      <c r="F88" s="221">
        <f t="shared" si="35"/>
        <v>3474.4303912614951</v>
      </c>
      <c r="G88" s="218">
        <f t="shared" si="28"/>
        <v>-7.6070510444426649</v>
      </c>
      <c r="H88" s="218">
        <f t="shared" si="29"/>
        <v>-7.0676360622224648</v>
      </c>
      <c r="I88" s="218">
        <f t="shared" si="30"/>
        <v>45.492829825799745</v>
      </c>
      <c r="J88" s="218">
        <f t="shared" si="31"/>
        <v>38.993854136399804</v>
      </c>
      <c r="K88" s="218">
        <f t="shared" si="32"/>
        <v>38.993854136399797</v>
      </c>
      <c r="L88" s="218">
        <f t="shared" si="33"/>
        <v>7473.822042809963</v>
      </c>
      <c r="M88" s="192">
        <f t="shared" si="18"/>
        <v>23.400289854961816</v>
      </c>
      <c r="N88" s="211">
        <v>69</v>
      </c>
      <c r="O88" s="211">
        <f>'Emission-Waste Transport Vehicl'!N39</f>
        <v>28.951053246720004</v>
      </c>
      <c r="P88" s="211">
        <f>'Emission-Waste Transport Vehicl'!O39</f>
        <v>42.117753047040004</v>
      </c>
      <c r="Q88" s="211">
        <f>'Emission-Waste Transport Vehicl'!P39</f>
        <v>16.10788367232</v>
      </c>
      <c r="R88" s="211">
        <f>'Emission-Waste Transport Vehicl'!Q39</f>
        <v>12.50983540224</v>
      </c>
      <c r="S88" s="211">
        <f>'Emission-Waste Transport Vehicl'!R39</f>
        <v>1.2451011724800001</v>
      </c>
      <c r="T88" s="211">
        <f>'Emission-Waste Transport Vehicl'!S39</f>
        <v>5.7255046041600005E-2</v>
      </c>
      <c r="U88" s="174">
        <f t="shared" si="19"/>
        <v>1614.6199999923654</v>
      </c>
      <c r="V88" s="1850">
        <f t="shared" si="10"/>
        <v>-220.23213983817661</v>
      </c>
      <c r="W88" s="1850">
        <f t="shared" si="11"/>
        <v>-297.67295029504004</v>
      </c>
      <c r="X88" s="1850">
        <f t="shared" si="12"/>
        <v>732.79321075863197</v>
      </c>
      <c r="Y88" s="1850">
        <f t="shared" si="13"/>
        <v>487.80669694531696</v>
      </c>
      <c r="Z88" s="1850">
        <f t="shared" si="14"/>
        <v>48.551293504745487</v>
      </c>
      <c r="AA88" s="1850">
        <f t="shared" si="15"/>
        <v>427.91402516780943</v>
      </c>
      <c r="AB88" s="2733"/>
      <c r="AC88" s="3009"/>
    </row>
    <row r="89" spans="1:29" ht="18.75" x14ac:dyDescent="0.25">
      <c r="A89" s="2982"/>
      <c r="B89" s="2993"/>
      <c r="C89" s="1863">
        <v>2026</v>
      </c>
      <c r="D89" s="218">
        <f t="shared" si="27"/>
        <v>-113732.07456449943</v>
      </c>
      <c r="E89" s="221">
        <f t="shared" si="34"/>
        <v>133657.93402819976</v>
      </c>
      <c r="F89" s="221">
        <f t="shared" si="35"/>
        <v>3474.4303912614951</v>
      </c>
      <c r="G89" s="218">
        <f t="shared" si="28"/>
        <v>-7.6070510444426649</v>
      </c>
      <c r="H89" s="218">
        <f t="shared" si="29"/>
        <v>-7.0676360622224648</v>
      </c>
      <c r="I89" s="218">
        <f t="shared" si="30"/>
        <v>45.492829825799745</v>
      </c>
      <c r="J89" s="218">
        <f t="shared" si="31"/>
        <v>38.993854136399804</v>
      </c>
      <c r="K89" s="218">
        <f t="shared" si="32"/>
        <v>38.993854136399797</v>
      </c>
      <c r="L89" s="218">
        <f t="shared" si="33"/>
        <v>7473.822042809963</v>
      </c>
      <c r="M89" s="192">
        <f t="shared" si="18"/>
        <v>23.400289854961816</v>
      </c>
      <c r="N89" s="211">
        <v>70</v>
      </c>
      <c r="O89" s="211">
        <f>'Emission-Waste Transport Vehicl'!N40</f>
        <v>28.383769095264007</v>
      </c>
      <c r="P89" s="211">
        <f>'Emission-Waste Transport Vehicl'!O40</f>
        <v>41.292472750848006</v>
      </c>
      <c r="Q89" s="211">
        <f>'Emission-Waste Transport Vehicl'!P40</f>
        <v>15.792256221984003</v>
      </c>
      <c r="R89" s="211">
        <f>'Emission-Waste Transport Vehicl'!Q40</f>
        <v>12.264710249088001</v>
      </c>
      <c r="S89" s="211">
        <f>'Emission-Waste Transport Vehicl'!R40</f>
        <v>1.2207039197760001</v>
      </c>
      <c r="T89" s="211">
        <f>'Emission-Waste Transport Vehicl'!S40</f>
        <v>5.6133156625920007E-2</v>
      </c>
      <c r="U89" s="174">
        <f t="shared" si="19"/>
        <v>1638.0202898473271</v>
      </c>
      <c r="V89" s="1850">
        <f t="shared" si="10"/>
        <v>-215.9167803413475</v>
      </c>
      <c r="W89" s="1850">
        <f t="shared" si="11"/>
        <v>-291.84016951223185</v>
      </c>
      <c r="X89" s="1850">
        <f t="shared" si="12"/>
        <v>718.43442487214543</v>
      </c>
      <c r="Y89" s="1850">
        <f t="shared" si="13"/>
        <v>478.24832247814521</v>
      </c>
      <c r="Z89" s="1850">
        <f t="shared" si="14"/>
        <v>47.599950591476826</v>
      </c>
      <c r="AA89" s="1850">
        <f t="shared" si="15"/>
        <v>419.52922332330508</v>
      </c>
      <c r="AB89" s="2733"/>
      <c r="AC89" s="3009"/>
    </row>
    <row r="90" spans="1:29" ht="18.75" x14ac:dyDescent="0.25">
      <c r="A90" s="2982"/>
      <c r="B90" s="2993"/>
      <c r="C90" s="1863">
        <v>2027</v>
      </c>
      <c r="D90" s="218">
        <f t="shared" si="27"/>
        <v>-113732.07456449943</v>
      </c>
      <c r="E90" s="221">
        <f t="shared" si="34"/>
        <v>133657.93402819976</v>
      </c>
      <c r="F90" s="221">
        <f t="shared" si="35"/>
        <v>3474.4303912614951</v>
      </c>
      <c r="G90" s="218">
        <f t="shared" si="28"/>
        <v>-7.6070510444426649</v>
      </c>
      <c r="H90" s="218">
        <f t="shared" si="29"/>
        <v>-7.0676360622224648</v>
      </c>
      <c r="I90" s="218">
        <f t="shared" si="30"/>
        <v>45.492829825799745</v>
      </c>
      <c r="J90" s="218">
        <f t="shared" si="31"/>
        <v>38.993854136399804</v>
      </c>
      <c r="K90" s="218">
        <f t="shared" si="32"/>
        <v>38.993854136399797</v>
      </c>
      <c r="L90" s="218">
        <f t="shared" si="33"/>
        <v>7473.822042809963</v>
      </c>
      <c r="M90" s="192">
        <f t="shared" si="18"/>
        <v>23.400289854961816</v>
      </c>
      <c r="N90" s="211">
        <v>71</v>
      </c>
      <c r="O90" s="211">
        <f>'Emission-Waste Transport Vehicl'!N41</f>
        <v>27.826265705040004</v>
      </c>
      <c r="P90" s="211">
        <f>'Emission-Waste Transport Vehicl'!O41</f>
        <v>40.481421425280004</v>
      </c>
      <c r="Q90" s="211">
        <f>'Emission-Waste Transport Vehicl'!P41</f>
        <v>15.482070624240002</v>
      </c>
      <c r="R90" s="211">
        <f>'Emission-Waste Transport Vehicl'!Q41</f>
        <v>12.023811391680001</v>
      </c>
      <c r="S90" s="211">
        <f>'Emission-Waste Transport Vehicl'!R41</f>
        <v>1.1967273093600002</v>
      </c>
      <c r="T90" s="211">
        <f>'Emission-Waste Transport Vehicl'!S41</f>
        <v>5.503061013120001E-2</v>
      </c>
      <c r="U90" s="174">
        <f t="shared" si="19"/>
        <v>1661.4205797022889</v>
      </c>
      <c r="V90" s="1850">
        <f t="shared" si="10"/>
        <v>-211.67582359446368</v>
      </c>
      <c r="W90" s="1850">
        <f t="shared" si="11"/>
        <v>-286.10795391533406</v>
      </c>
      <c r="X90" s="1850">
        <f t="shared" si="12"/>
        <v>704.32320425956368</v>
      </c>
      <c r="Y90" s="1850">
        <f t="shared" si="13"/>
        <v>468.85474757075229</v>
      </c>
      <c r="Z90" s="1850">
        <f t="shared" si="14"/>
        <v>46.665010142230045</v>
      </c>
      <c r="AA90" s="1850">
        <f t="shared" si="15"/>
        <v>411.28898702784392</v>
      </c>
      <c r="AB90" s="2733"/>
      <c r="AC90" s="3009"/>
    </row>
    <row r="91" spans="1:29" ht="18.75" x14ac:dyDescent="0.25">
      <c r="A91" s="2982"/>
      <c r="B91" s="2993"/>
      <c r="C91" s="1863">
        <v>2028</v>
      </c>
      <c r="D91" s="218">
        <f t="shared" si="27"/>
        <v>-113732.07456449943</v>
      </c>
      <c r="E91" s="221">
        <f t="shared" si="34"/>
        <v>133657.93402819976</v>
      </c>
      <c r="F91" s="221">
        <f t="shared" si="35"/>
        <v>3474.4303912614951</v>
      </c>
      <c r="G91" s="218">
        <f t="shared" si="28"/>
        <v>-7.6070510444426649</v>
      </c>
      <c r="H91" s="218">
        <f t="shared" si="29"/>
        <v>-7.0676360622224648</v>
      </c>
      <c r="I91" s="218">
        <f t="shared" si="30"/>
        <v>45.492829825799745</v>
      </c>
      <c r="J91" s="218">
        <f t="shared" si="31"/>
        <v>38.993854136399804</v>
      </c>
      <c r="K91" s="218">
        <f t="shared" si="32"/>
        <v>38.993854136399797</v>
      </c>
      <c r="L91" s="218">
        <f t="shared" si="33"/>
        <v>7473.822042809963</v>
      </c>
      <c r="M91" s="192">
        <f t="shared" si="18"/>
        <v>23.400289854961816</v>
      </c>
      <c r="N91" s="211">
        <v>72</v>
      </c>
      <c r="O91" s="211">
        <f>'Emission-Waste Transport Vehicl'!N42</f>
        <v>27.281803329792002</v>
      </c>
      <c r="P91" s="211">
        <f>'Emission-Waste Transport Vehicl'!O42</f>
        <v>39.689342060544</v>
      </c>
      <c r="Q91" s="211">
        <f>'Emission-Waste Transport Vehicl'!P42</f>
        <v>15.179140829952001</v>
      </c>
      <c r="R91" s="211">
        <f>'Emission-Waste Transport Vehicl'!Q42</f>
        <v>11.788547595263999</v>
      </c>
      <c r="S91" s="211">
        <f>'Emission-Waste Transport Vehicl'!R42</f>
        <v>1.173311555328</v>
      </c>
      <c r="T91" s="211">
        <f>'Emission-Waste Transport Vehicl'!S42</f>
        <v>5.3953854197759998E-2</v>
      </c>
      <c r="U91" s="174">
        <f t="shared" si="19"/>
        <v>1684.8208695572507</v>
      </c>
      <c r="V91" s="1850">
        <f t="shared" si="10"/>
        <v>-207.53407051417361</v>
      </c>
      <c r="W91" s="1850">
        <f t="shared" si="11"/>
        <v>-280.50982523298364</v>
      </c>
      <c r="X91" s="1850">
        <f t="shared" si="12"/>
        <v>690.54207067885511</v>
      </c>
      <c r="Y91" s="1850">
        <f t="shared" si="13"/>
        <v>459.68090540973105</v>
      </c>
      <c r="Z91" s="1850">
        <f t="shared" si="14"/>
        <v>45.751939645012413</v>
      </c>
      <c r="AA91" s="1850">
        <f t="shared" si="15"/>
        <v>403.24150479777353</v>
      </c>
      <c r="AB91" s="2733"/>
      <c r="AC91" s="3009"/>
    </row>
    <row r="92" spans="1:29" ht="18.75" x14ac:dyDescent="0.25">
      <c r="A92" s="2982"/>
      <c r="B92" s="2993"/>
      <c r="C92" s="1863">
        <v>2029</v>
      </c>
      <c r="D92" s="218">
        <f t="shared" si="27"/>
        <v>-113732.07456449943</v>
      </c>
      <c r="E92" s="221">
        <f t="shared" si="34"/>
        <v>133657.93402819976</v>
      </c>
      <c r="F92" s="221">
        <f t="shared" si="35"/>
        <v>3474.4303912614951</v>
      </c>
      <c r="G92" s="218">
        <f t="shared" si="28"/>
        <v>-7.6070510444426649</v>
      </c>
      <c r="H92" s="218">
        <f t="shared" si="29"/>
        <v>-7.0676360622224648</v>
      </c>
      <c r="I92" s="218">
        <f t="shared" si="30"/>
        <v>45.492829825799745</v>
      </c>
      <c r="J92" s="218">
        <f t="shared" si="31"/>
        <v>38.993854136399804</v>
      </c>
      <c r="K92" s="218">
        <f t="shared" si="32"/>
        <v>38.993854136399797</v>
      </c>
      <c r="L92" s="218">
        <f t="shared" si="33"/>
        <v>7473.822042809963</v>
      </c>
      <c r="M92" s="192">
        <f t="shared" si="18"/>
        <v>23.400289854961816</v>
      </c>
      <c r="N92" s="211">
        <v>73</v>
      </c>
      <c r="O92" s="211">
        <f>'Emission-Waste Transport Vehicl'!N43</f>
        <v>26.743861462032005</v>
      </c>
      <c r="P92" s="211">
        <f>'Emission-Waste Transport Vehicl'!O43</f>
        <v>38.906748676224005</v>
      </c>
      <c r="Q92" s="211">
        <f>'Emission-Waste Transport Vehicl'!P43</f>
        <v>14.879838937392002</v>
      </c>
      <c r="R92" s="211">
        <f>'Emission-Waste Transport Vehicl'!Q43</f>
        <v>11.556101329344001</v>
      </c>
      <c r="S92" s="211">
        <f>'Emission-Waste Transport Vehicl'!R43</f>
        <v>1.1501762294880002</v>
      </c>
      <c r="T92" s="211">
        <f>'Emission-Waste Transport Vehicl'!S43</f>
        <v>5.2889993544960004E-2</v>
      </c>
      <c r="U92" s="174">
        <f t="shared" si="19"/>
        <v>1708.2211594122125</v>
      </c>
      <c r="V92" s="1850">
        <f t="shared" si="10"/>
        <v>-203.44191926718048</v>
      </c>
      <c r="W92" s="1850">
        <f t="shared" si="11"/>
        <v>-274.97874000790694</v>
      </c>
      <c r="X92" s="1850">
        <f t="shared" si="12"/>
        <v>676.9259806140833</v>
      </c>
      <c r="Y92" s="1850">
        <f t="shared" si="13"/>
        <v>450.61692962189585</v>
      </c>
      <c r="Z92" s="1850">
        <f t="shared" si="14"/>
        <v>44.849804123809378</v>
      </c>
      <c r="AA92" s="1850">
        <f t="shared" si="15"/>
        <v>395.29039960039876</v>
      </c>
      <c r="AB92" s="2733"/>
      <c r="AC92" s="3009"/>
    </row>
    <row r="93" spans="1:29" ht="18.75" x14ac:dyDescent="0.25">
      <c r="A93" s="2982"/>
      <c r="B93" s="2993"/>
      <c r="C93" s="1863">
        <v>2030</v>
      </c>
      <c r="D93" s="218">
        <f t="shared" si="27"/>
        <v>-113732.07456449943</v>
      </c>
      <c r="E93" s="221">
        <f t="shared" si="34"/>
        <v>133657.93402819976</v>
      </c>
      <c r="F93" s="221">
        <f t="shared" si="35"/>
        <v>3474.4303912614951</v>
      </c>
      <c r="G93" s="218">
        <f t="shared" si="28"/>
        <v>-7.6070510444426649</v>
      </c>
      <c r="H93" s="218">
        <f t="shared" si="29"/>
        <v>-7.0676360622224648</v>
      </c>
      <c r="I93" s="218">
        <f t="shared" si="30"/>
        <v>45.492829825799745</v>
      </c>
      <c r="J93" s="218">
        <f t="shared" si="31"/>
        <v>38.993854136399804</v>
      </c>
      <c r="K93" s="218">
        <f t="shared" si="32"/>
        <v>38.993854136399797</v>
      </c>
      <c r="L93" s="218">
        <f t="shared" si="33"/>
        <v>7473.822042809963</v>
      </c>
      <c r="M93" s="192">
        <f t="shared" si="18"/>
        <v>23.400289854961816</v>
      </c>
      <c r="N93" s="211">
        <v>75</v>
      </c>
      <c r="O93" s="211">
        <f>'Emission-Waste Transport Vehicl'!N44</f>
        <v>26.222220862992003</v>
      </c>
      <c r="P93" s="211">
        <f>'Emission-Waste Transport Vehicl'!O44</f>
        <v>38.147870242944002</v>
      </c>
      <c r="Q93" s="211">
        <f>'Emission-Waste Transport Vehicl'!P44</f>
        <v>14.589606799152003</v>
      </c>
      <c r="R93" s="211">
        <f>'Emission-Waste Transport Vehicl'!Q44</f>
        <v>11.330698889664001</v>
      </c>
      <c r="S93" s="211">
        <f>'Emission-Waste Transport Vehicl'!R44</f>
        <v>1.1277419741280001</v>
      </c>
      <c r="T93" s="211">
        <f>'Emission-Waste Transport Vehicl'!S44</f>
        <v>5.1858371093760007E-2</v>
      </c>
      <c r="U93" s="174">
        <f t="shared" si="19"/>
        <v>1755.0217391221363</v>
      </c>
      <c r="V93" s="1850">
        <f t="shared" si="10"/>
        <v>-199.47377260342955</v>
      </c>
      <c r="W93" s="1850">
        <f t="shared" si="11"/>
        <v>-269.61526342601428</v>
      </c>
      <c r="X93" s="1850">
        <f t="shared" si="12"/>
        <v>663.72249933915305</v>
      </c>
      <c r="Y93" s="1850">
        <f t="shared" si="13"/>
        <v>441.82761976702528</v>
      </c>
      <c r="Z93" s="1850">
        <f t="shared" si="14"/>
        <v>43.975006042642789</v>
      </c>
      <c r="AA93" s="1850">
        <f t="shared" si="15"/>
        <v>387.58023698476256</v>
      </c>
      <c r="AB93" s="2733"/>
      <c r="AC93" s="3009"/>
    </row>
    <row r="94" spans="1:29" ht="18.75" x14ac:dyDescent="0.25">
      <c r="A94" s="2982"/>
      <c r="B94" s="2993"/>
      <c r="C94" s="1863">
        <v>2031</v>
      </c>
      <c r="D94" s="218">
        <f t="shared" si="27"/>
        <v>-113732.07456449943</v>
      </c>
      <c r="E94" s="221">
        <f t="shared" si="34"/>
        <v>133657.93402819976</v>
      </c>
      <c r="F94" s="221">
        <f t="shared" si="35"/>
        <v>3474.4303912614951</v>
      </c>
      <c r="G94" s="218">
        <f t="shared" si="28"/>
        <v>-7.6070510444426649</v>
      </c>
      <c r="H94" s="218">
        <f t="shared" si="29"/>
        <v>-7.0676360622224648</v>
      </c>
      <c r="I94" s="218">
        <f t="shared" si="30"/>
        <v>45.492829825799745</v>
      </c>
      <c r="J94" s="218">
        <f t="shared" si="31"/>
        <v>38.993854136399804</v>
      </c>
      <c r="K94" s="218">
        <f t="shared" si="32"/>
        <v>38.993854136399797</v>
      </c>
      <c r="L94" s="218">
        <f t="shared" si="33"/>
        <v>7473.822042809963</v>
      </c>
      <c r="M94" s="192">
        <f t="shared" si="18"/>
        <v>23.400289854961816</v>
      </c>
      <c r="N94" s="211">
        <v>76</v>
      </c>
      <c r="O94" s="211">
        <f>'Emission-Waste Transport Vehicl'!N45</f>
        <v>25.70710077144</v>
      </c>
      <c r="P94" s="211">
        <f>'Emission-Waste Transport Vehicl'!O45</f>
        <v>37.398477790080001</v>
      </c>
      <c r="Q94" s="211">
        <f>'Emission-Waste Transport Vehicl'!P45</f>
        <v>14.303002562640001</v>
      </c>
      <c r="R94" s="211">
        <f>'Emission-Waste Transport Vehicl'!Q45</f>
        <v>11.108113980480001</v>
      </c>
      <c r="S94" s="211">
        <f>'Emission-Waste Transport Vehicl'!R45</f>
        <v>1.1055881469600002</v>
      </c>
      <c r="T94" s="211">
        <f>'Emission-Waste Transport Vehicl'!S45</f>
        <v>5.0839643923200006E-2</v>
      </c>
      <c r="U94" s="174">
        <f t="shared" si="19"/>
        <v>1778.4220289770981</v>
      </c>
      <c r="V94" s="1850">
        <f t="shared" si="10"/>
        <v>-195.55522777297548</v>
      </c>
      <c r="W94" s="1850">
        <f t="shared" si="11"/>
        <v>-264.31883030139534</v>
      </c>
      <c r="X94" s="1850">
        <f t="shared" si="12"/>
        <v>650.68406158015921</v>
      </c>
      <c r="Y94" s="1850">
        <f t="shared" si="13"/>
        <v>433.14817628534058</v>
      </c>
      <c r="Z94" s="1850">
        <f t="shared" si="14"/>
        <v>43.11114293749079</v>
      </c>
      <c r="AA94" s="1850">
        <f t="shared" si="15"/>
        <v>379.96645140182181</v>
      </c>
      <c r="AB94" s="2733"/>
      <c r="AC94" s="3009"/>
    </row>
    <row r="95" spans="1:29" ht="18.75" x14ac:dyDescent="0.25">
      <c r="A95" s="2982"/>
      <c r="B95" s="2993"/>
      <c r="C95" s="1863">
        <v>2032</v>
      </c>
      <c r="D95" s="218">
        <f t="shared" si="27"/>
        <v>-113732.07456449943</v>
      </c>
      <c r="E95" s="221">
        <f t="shared" si="34"/>
        <v>133657.93402819976</v>
      </c>
      <c r="F95" s="221">
        <f t="shared" si="35"/>
        <v>3474.4303912614951</v>
      </c>
      <c r="G95" s="218">
        <f t="shared" si="28"/>
        <v>-7.6070510444426649</v>
      </c>
      <c r="H95" s="218">
        <f t="shared" si="29"/>
        <v>-7.0676360622224648</v>
      </c>
      <c r="I95" s="218">
        <f t="shared" si="30"/>
        <v>45.492829825799745</v>
      </c>
      <c r="J95" s="218">
        <f t="shared" si="31"/>
        <v>38.993854136399804</v>
      </c>
      <c r="K95" s="218">
        <f t="shared" si="32"/>
        <v>38.993854136399797</v>
      </c>
      <c r="L95" s="218">
        <f t="shared" si="33"/>
        <v>7473.822042809963</v>
      </c>
      <c r="M95" s="192">
        <f t="shared" ref="M95:M158" si="36">(D95/1000)+(E95/1000)+(F95/1000)</f>
        <v>23.400289854961816</v>
      </c>
      <c r="N95" s="211">
        <v>77</v>
      </c>
      <c r="O95" s="211">
        <f>'Emission-Waste Transport Vehicl'!N46</f>
        <v>25.201761441120002</v>
      </c>
      <c r="P95" s="211">
        <f>'Emission-Waste Transport Vehicl'!O46</f>
        <v>36.663314307840004</v>
      </c>
      <c r="Q95" s="211">
        <f>'Emission-Waste Transport Vehicl'!P46</f>
        <v>14.021840178720002</v>
      </c>
      <c r="R95" s="211">
        <f>'Emission-Waste Transport Vehicl'!Q46</f>
        <v>10.889755367040001</v>
      </c>
      <c r="S95" s="211">
        <f>'Emission-Waste Transport Vehicl'!R46</f>
        <v>1.0838549620800002</v>
      </c>
      <c r="T95" s="211">
        <f>'Emission-Waste Transport Vehicl'!S46</f>
        <v>4.9840259673600007E-2</v>
      </c>
      <c r="U95" s="174">
        <f t="shared" ref="U95:U158" si="37">M95*N95</f>
        <v>1801.8223188320599</v>
      </c>
      <c r="V95" s="1850">
        <f t="shared" ref="V95:V158" si="38">G95*O95</f>
        <v>-191.71108569246678</v>
      </c>
      <c r="W95" s="1850">
        <f t="shared" ref="W95:W158" si="39">H95*P95</f>
        <v>-259.12296236268685</v>
      </c>
      <c r="X95" s="1850">
        <f t="shared" ref="X95:X158" si="40">I95*Q95</f>
        <v>637.89318909507051</v>
      </c>
      <c r="Y95" s="1850">
        <f t="shared" ref="Y95:Y158" si="41">J95*R95</f>
        <v>424.63353236343471</v>
      </c>
      <c r="Z95" s="1850">
        <f t="shared" ref="Z95:Z158" si="42">K95*S95</f>
        <v>42.263682296360663</v>
      </c>
      <c r="AA95" s="1850">
        <f t="shared" ref="AA95:AA158" si="43">T95*L95</f>
        <v>372.4972313679242</v>
      </c>
      <c r="AB95" s="2733"/>
      <c r="AC95" s="3009"/>
    </row>
    <row r="96" spans="1:29" ht="18.75" x14ac:dyDescent="0.25">
      <c r="A96" s="2982"/>
      <c r="B96" s="2993"/>
      <c r="C96" s="1863">
        <v>2033</v>
      </c>
      <c r="D96" s="218">
        <f t="shared" si="27"/>
        <v>-113732.07456449943</v>
      </c>
      <c r="E96" s="221">
        <f t="shared" si="34"/>
        <v>133657.93402819976</v>
      </c>
      <c r="F96" s="221">
        <f t="shared" si="35"/>
        <v>3474.4303912614951</v>
      </c>
      <c r="G96" s="218">
        <f t="shared" si="28"/>
        <v>-7.6070510444426649</v>
      </c>
      <c r="H96" s="218">
        <f t="shared" si="29"/>
        <v>-7.0676360622224648</v>
      </c>
      <c r="I96" s="218">
        <f t="shared" si="30"/>
        <v>45.492829825799745</v>
      </c>
      <c r="J96" s="218">
        <f t="shared" si="31"/>
        <v>38.993854136399804</v>
      </c>
      <c r="K96" s="218">
        <f t="shared" si="32"/>
        <v>38.993854136399797</v>
      </c>
      <c r="L96" s="218">
        <f t="shared" si="33"/>
        <v>7473.822042809963</v>
      </c>
      <c r="M96" s="192">
        <f t="shared" si="36"/>
        <v>23.400289854961816</v>
      </c>
      <c r="N96" s="211">
        <v>78</v>
      </c>
      <c r="O96" s="211">
        <f>'Emission-Waste Transport Vehicl'!N47</f>
        <v>24.709463125776001</v>
      </c>
      <c r="P96" s="211">
        <f>'Emission-Waste Transport Vehicl'!O47</f>
        <v>35.947122786432004</v>
      </c>
      <c r="Q96" s="211">
        <f>'Emission-Waste Transport Vehicl'!P47</f>
        <v>13.747933598256003</v>
      </c>
      <c r="R96" s="211">
        <f>'Emission-Waste Transport Vehicl'!Q47</f>
        <v>10.677031814592</v>
      </c>
      <c r="S96" s="211">
        <f>'Emission-Waste Transport Vehicl'!R47</f>
        <v>1.0626826335840001</v>
      </c>
      <c r="T96" s="211">
        <f>'Emission-Waste Transport Vehicl'!S47</f>
        <v>4.8866665985280007E-2</v>
      </c>
      <c r="U96" s="174">
        <f t="shared" si="37"/>
        <v>1825.2226086870216</v>
      </c>
      <c r="V96" s="1850">
        <f t="shared" si="38"/>
        <v>-187.96614727855183</v>
      </c>
      <c r="W96" s="1850">
        <f t="shared" si="39"/>
        <v>-254.06118133852573</v>
      </c>
      <c r="X96" s="1850">
        <f t="shared" si="40"/>
        <v>625.4324036418551</v>
      </c>
      <c r="Y96" s="1850">
        <f t="shared" si="41"/>
        <v>416.33862118790057</v>
      </c>
      <c r="Z96" s="1850">
        <f t="shared" si="42"/>
        <v>41.438091607259693</v>
      </c>
      <c r="AA96" s="1850">
        <f t="shared" si="43"/>
        <v>365.22076539941753</v>
      </c>
      <c r="AB96" s="2733"/>
      <c r="AC96" s="3009"/>
    </row>
    <row r="97" spans="1:29" ht="18.75" x14ac:dyDescent="0.25">
      <c r="A97" s="2982"/>
      <c r="B97" s="2993"/>
      <c r="C97" s="1863">
        <v>2034</v>
      </c>
      <c r="D97" s="218">
        <f t="shared" si="27"/>
        <v>-113732.07456449943</v>
      </c>
      <c r="E97" s="221">
        <f t="shared" si="34"/>
        <v>133657.93402819976</v>
      </c>
      <c r="F97" s="221">
        <f t="shared" si="35"/>
        <v>3474.4303912614951</v>
      </c>
      <c r="G97" s="218">
        <f t="shared" si="28"/>
        <v>-7.6070510444426649</v>
      </c>
      <c r="H97" s="218">
        <f t="shared" si="29"/>
        <v>-7.0676360622224648</v>
      </c>
      <c r="I97" s="218">
        <f t="shared" si="30"/>
        <v>45.492829825799745</v>
      </c>
      <c r="J97" s="218">
        <f t="shared" si="31"/>
        <v>38.993854136399804</v>
      </c>
      <c r="K97" s="218">
        <f t="shared" si="32"/>
        <v>38.993854136399797</v>
      </c>
      <c r="L97" s="218">
        <f t="shared" si="33"/>
        <v>7473.822042809963</v>
      </c>
      <c r="M97" s="192">
        <f t="shared" si="36"/>
        <v>23.400289854961816</v>
      </c>
      <c r="N97" s="211">
        <v>79</v>
      </c>
      <c r="O97" s="211">
        <f>'Emission-Waste Transport Vehicl'!N48</f>
        <v>24.223685317920005</v>
      </c>
      <c r="P97" s="211">
        <f>'Emission-Waste Transport Vehicl'!O48</f>
        <v>35.24041724544</v>
      </c>
      <c r="Q97" s="211">
        <f>'Emission-Waste Transport Vehicl'!P48</f>
        <v>13.477654919520001</v>
      </c>
      <c r="R97" s="211">
        <f>'Emission-Waste Transport Vehicl'!Q48</f>
        <v>10.467125792640001</v>
      </c>
      <c r="S97" s="211">
        <f>'Emission-Waste Transport Vehicl'!R48</f>
        <v>1.04179073328</v>
      </c>
      <c r="T97" s="211">
        <f>'Emission-Waste Transport Vehicl'!S48</f>
        <v>4.7905967577600003E-2</v>
      </c>
      <c r="U97" s="174">
        <f t="shared" si="37"/>
        <v>1848.6228985419834</v>
      </c>
      <c r="V97" s="1850">
        <f t="shared" si="38"/>
        <v>-184.27081069793383</v>
      </c>
      <c r="W97" s="1850">
        <f t="shared" si="39"/>
        <v>-249.06644377163821</v>
      </c>
      <c r="X97" s="1850">
        <f t="shared" si="40"/>
        <v>613.13666170457611</v>
      </c>
      <c r="Y97" s="1850">
        <f t="shared" si="41"/>
        <v>408.15357638555236</v>
      </c>
      <c r="Z97" s="1850">
        <f t="shared" si="42"/>
        <v>40.623435894173305</v>
      </c>
      <c r="AA97" s="1850">
        <f t="shared" si="43"/>
        <v>358.0406764636063</v>
      </c>
      <c r="AB97" s="2733"/>
      <c r="AC97" s="3009"/>
    </row>
    <row r="98" spans="1:29" ht="18.75" x14ac:dyDescent="0.25">
      <c r="A98" s="2982"/>
      <c r="B98" s="2993"/>
      <c r="C98" s="1863">
        <v>2035</v>
      </c>
      <c r="D98" s="218">
        <f t="shared" si="27"/>
        <v>-113732.07456449943</v>
      </c>
      <c r="E98" s="221">
        <f t="shared" si="34"/>
        <v>133657.93402819976</v>
      </c>
      <c r="F98" s="221">
        <f t="shared" si="35"/>
        <v>3474.4303912614951</v>
      </c>
      <c r="G98" s="218">
        <f t="shared" si="28"/>
        <v>-7.6070510444426649</v>
      </c>
      <c r="H98" s="218">
        <f t="shared" si="29"/>
        <v>-7.0676360622224648</v>
      </c>
      <c r="I98" s="218">
        <f t="shared" si="30"/>
        <v>45.492829825799745</v>
      </c>
      <c r="J98" s="218">
        <f t="shared" si="31"/>
        <v>38.993854136399804</v>
      </c>
      <c r="K98" s="218">
        <f t="shared" si="32"/>
        <v>38.993854136399797</v>
      </c>
      <c r="L98" s="218">
        <f t="shared" si="33"/>
        <v>7473.822042809963</v>
      </c>
      <c r="M98" s="192">
        <f t="shared" si="36"/>
        <v>23.400289854961816</v>
      </c>
      <c r="N98" s="211">
        <v>80</v>
      </c>
      <c r="O98" s="211">
        <f>'Emission-Waste Transport Vehicl'!N49</f>
        <v>23.747688271296006</v>
      </c>
      <c r="P98" s="211">
        <f>'Emission-Waste Transport Vehicl'!O49</f>
        <v>34.547940675072006</v>
      </c>
      <c r="Q98" s="211">
        <f>'Emission-Waste Transport Vehicl'!P49</f>
        <v>13.212818093376002</v>
      </c>
      <c r="R98" s="211">
        <f>'Emission-Waste Transport Vehicl'!Q49</f>
        <v>10.261446066432002</v>
      </c>
      <c r="S98" s="211">
        <f>'Emission-Waste Transport Vehicl'!R49</f>
        <v>1.0213194752640002</v>
      </c>
      <c r="T98" s="211">
        <f>'Emission-Waste Transport Vehicl'!S49</f>
        <v>4.6964612090880008E-2</v>
      </c>
      <c r="U98" s="174">
        <f t="shared" si="37"/>
        <v>1872.0231883969452</v>
      </c>
      <c r="V98" s="1850">
        <f t="shared" si="38"/>
        <v>-180.6498768672611</v>
      </c>
      <c r="W98" s="1850">
        <f t="shared" si="39"/>
        <v>-244.17227139066122</v>
      </c>
      <c r="X98" s="1850">
        <f t="shared" si="40"/>
        <v>601.08848504120238</v>
      </c>
      <c r="Y98" s="1850">
        <f t="shared" si="41"/>
        <v>400.13333114298302</v>
      </c>
      <c r="Z98" s="1850">
        <f t="shared" si="42"/>
        <v>39.825182645108804</v>
      </c>
      <c r="AA98" s="1850">
        <f t="shared" si="43"/>
        <v>351.00515307683833</v>
      </c>
      <c r="AB98" s="2733"/>
      <c r="AC98" s="3009"/>
    </row>
    <row r="99" spans="1:29" ht="18.75" x14ac:dyDescent="0.25">
      <c r="A99" s="2982"/>
      <c r="B99" s="2993"/>
      <c r="C99" s="1863">
        <v>2036</v>
      </c>
      <c r="D99" s="218">
        <f t="shared" si="27"/>
        <v>-113732.07456449943</v>
      </c>
      <c r="E99" s="221">
        <f t="shared" si="34"/>
        <v>133657.93402819976</v>
      </c>
      <c r="F99" s="221">
        <f t="shared" si="35"/>
        <v>3474.4303912614951</v>
      </c>
      <c r="G99" s="218">
        <f t="shared" si="28"/>
        <v>-7.6070510444426649</v>
      </c>
      <c r="H99" s="218">
        <f t="shared" si="29"/>
        <v>-7.0676360622224648</v>
      </c>
      <c r="I99" s="218">
        <f t="shared" si="30"/>
        <v>45.492829825799745</v>
      </c>
      <c r="J99" s="218">
        <f t="shared" si="31"/>
        <v>38.993854136399804</v>
      </c>
      <c r="K99" s="218">
        <f t="shared" si="32"/>
        <v>38.993854136399797</v>
      </c>
      <c r="L99" s="218">
        <f t="shared" si="33"/>
        <v>7473.822042809963</v>
      </c>
      <c r="M99" s="192">
        <f t="shared" si="36"/>
        <v>23.400289854961816</v>
      </c>
      <c r="N99" s="211">
        <v>81</v>
      </c>
      <c r="O99" s="211">
        <f>'Emission-Waste Transport Vehicl'!N50</f>
        <v>23.284732239648001</v>
      </c>
      <c r="P99" s="211">
        <f>'Emission-Waste Transport Vehicl'!O50</f>
        <v>33.874436065536003</v>
      </c>
      <c r="Q99" s="211">
        <f>'Emission-Waste Transport Vehicl'!P50</f>
        <v>12.955237070688</v>
      </c>
      <c r="R99" s="211">
        <f>'Emission-Waste Transport Vehicl'!Q50</f>
        <v>10.061401401215999</v>
      </c>
      <c r="S99" s="211">
        <f>'Emission-Waste Transport Vehicl'!R50</f>
        <v>1.001409073632</v>
      </c>
      <c r="T99" s="211">
        <f>'Emission-Waste Transport Vehicl'!S50</f>
        <v>4.6049047165439998E-2</v>
      </c>
      <c r="U99" s="174">
        <f t="shared" si="37"/>
        <v>1895.423478251907</v>
      </c>
      <c r="V99" s="1850">
        <f t="shared" si="38"/>
        <v>-177.12814670318213</v>
      </c>
      <c r="W99" s="1850">
        <f t="shared" si="39"/>
        <v>-239.41218592423152</v>
      </c>
      <c r="X99" s="1850">
        <f t="shared" si="40"/>
        <v>589.37039540970159</v>
      </c>
      <c r="Y99" s="1850">
        <f t="shared" si="41"/>
        <v>392.33281864678526</v>
      </c>
      <c r="Z99" s="1850">
        <f t="shared" si="42"/>
        <v>39.048799348073452</v>
      </c>
      <c r="AA99" s="1850">
        <f t="shared" si="43"/>
        <v>344.16238375546112</v>
      </c>
      <c r="AB99" s="2733"/>
      <c r="AC99" s="3009"/>
    </row>
    <row r="100" spans="1:29" ht="18.75" x14ac:dyDescent="0.25">
      <c r="A100" s="2982"/>
      <c r="B100" s="2993"/>
      <c r="C100" s="1863">
        <v>2037</v>
      </c>
      <c r="D100" s="218">
        <f t="shared" si="27"/>
        <v>-113732.07456449943</v>
      </c>
      <c r="E100" s="221">
        <f t="shared" si="34"/>
        <v>133657.93402819976</v>
      </c>
      <c r="F100" s="221">
        <f t="shared" si="35"/>
        <v>3474.4303912614951</v>
      </c>
      <c r="G100" s="218">
        <f t="shared" si="28"/>
        <v>-7.6070510444426649</v>
      </c>
      <c r="H100" s="218">
        <f t="shared" si="29"/>
        <v>-7.0676360622224648</v>
      </c>
      <c r="I100" s="218">
        <f t="shared" si="30"/>
        <v>45.492829825799745</v>
      </c>
      <c r="J100" s="218">
        <f t="shared" si="31"/>
        <v>38.993854136399804</v>
      </c>
      <c r="K100" s="218">
        <f t="shared" si="32"/>
        <v>38.993854136399797</v>
      </c>
      <c r="L100" s="218">
        <f t="shared" si="33"/>
        <v>7473.822042809963</v>
      </c>
      <c r="M100" s="192">
        <f t="shared" si="36"/>
        <v>23.400289854961816</v>
      </c>
      <c r="N100" s="211">
        <v>83</v>
      </c>
      <c r="O100" s="211">
        <f>'Emission-Waste Transport Vehicl'!N51</f>
        <v>22.828296715488005</v>
      </c>
      <c r="P100" s="211">
        <f>'Emission-Waste Transport Vehicl'!O51</f>
        <v>33.210417436416002</v>
      </c>
      <c r="Q100" s="211">
        <f>'Emission-Waste Transport Vehicl'!P51</f>
        <v>12.701283949728003</v>
      </c>
      <c r="R100" s="211">
        <f>'Emission-Waste Transport Vehicl'!Q51</f>
        <v>9.8641742664960006</v>
      </c>
      <c r="S100" s="211">
        <f>'Emission-Waste Transport Vehicl'!R51</f>
        <v>0.9817791001920001</v>
      </c>
      <c r="T100" s="211">
        <f>'Emission-Waste Transport Vehicl'!S51</f>
        <v>4.5146377520640005E-2</v>
      </c>
      <c r="U100" s="174">
        <f t="shared" si="37"/>
        <v>1942.2240579618308</v>
      </c>
      <c r="V100" s="1850">
        <f t="shared" si="38"/>
        <v>-173.65601837240007</v>
      </c>
      <c r="W100" s="1850">
        <f t="shared" si="39"/>
        <v>-234.71914391507548</v>
      </c>
      <c r="X100" s="1850">
        <f t="shared" si="40"/>
        <v>577.81734929413767</v>
      </c>
      <c r="Y100" s="1850">
        <f t="shared" si="41"/>
        <v>384.64217252377358</v>
      </c>
      <c r="Z100" s="1850">
        <f t="shared" si="42"/>
        <v>38.283351027052696</v>
      </c>
      <c r="AA100" s="1850">
        <f t="shared" si="43"/>
        <v>337.41599146677947</v>
      </c>
      <c r="AB100" s="2733"/>
      <c r="AC100" s="3009"/>
    </row>
    <row r="101" spans="1:29" ht="18.75" x14ac:dyDescent="0.25">
      <c r="A101" s="2982"/>
      <c r="B101" s="2993"/>
      <c r="C101" s="1863">
        <v>2038</v>
      </c>
      <c r="D101" s="218">
        <f t="shared" si="27"/>
        <v>-113732.07456449943</v>
      </c>
      <c r="E101" s="221">
        <f t="shared" si="34"/>
        <v>133657.93402819976</v>
      </c>
      <c r="F101" s="221">
        <f t="shared" si="35"/>
        <v>3474.4303912614951</v>
      </c>
      <c r="G101" s="218">
        <f t="shared" si="28"/>
        <v>-7.6070510444426649</v>
      </c>
      <c r="H101" s="218">
        <f t="shared" si="29"/>
        <v>-7.0676360622224648</v>
      </c>
      <c r="I101" s="218">
        <f t="shared" si="30"/>
        <v>45.492829825799745</v>
      </c>
      <c r="J101" s="218">
        <f t="shared" si="31"/>
        <v>38.993854136399804</v>
      </c>
      <c r="K101" s="218">
        <f t="shared" si="32"/>
        <v>38.993854136399797</v>
      </c>
      <c r="L101" s="218">
        <f t="shared" si="33"/>
        <v>7473.822042809963</v>
      </c>
      <c r="M101" s="192">
        <f t="shared" si="36"/>
        <v>23.400289854961816</v>
      </c>
      <c r="N101" s="211">
        <v>84</v>
      </c>
      <c r="O101" s="211">
        <f>'Emission-Waste Transport Vehicl'!N52</f>
        <v>22.378381698816003</v>
      </c>
      <c r="P101" s="211">
        <f>'Emission-Waste Transport Vehicl'!O52</f>
        <v>32.555884787712003</v>
      </c>
      <c r="Q101" s="211">
        <f>'Emission-Waste Transport Vehicl'!P52</f>
        <v>12.450958730496001</v>
      </c>
      <c r="R101" s="211">
        <f>'Emission-Waste Transport Vehicl'!Q52</f>
        <v>9.6697646622720015</v>
      </c>
      <c r="S101" s="211">
        <f>'Emission-Waste Transport Vehicl'!R52</f>
        <v>0.96242955494400007</v>
      </c>
      <c r="T101" s="211">
        <f>'Emission-Waste Transport Vehicl'!S52</f>
        <v>4.4256603156480001E-2</v>
      </c>
      <c r="U101" s="174">
        <f t="shared" si="37"/>
        <v>1965.6243478167926</v>
      </c>
      <c r="V101" s="1850">
        <f t="shared" si="38"/>
        <v>-170.2334918749149</v>
      </c>
      <c r="W101" s="1850">
        <f t="shared" si="39"/>
        <v>-230.09314536319312</v>
      </c>
      <c r="X101" s="1850">
        <f t="shared" si="40"/>
        <v>566.42934669451017</v>
      </c>
      <c r="Y101" s="1850">
        <f t="shared" si="41"/>
        <v>377.06139277394772</v>
      </c>
      <c r="Z101" s="1850">
        <f t="shared" si="42"/>
        <v>37.528837682046515</v>
      </c>
      <c r="AA101" s="1850">
        <f t="shared" si="43"/>
        <v>330.76597621079321</v>
      </c>
      <c r="AB101" s="2733"/>
      <c r="AC101" s="3009"/>
    </row>
    <row r="102" spans="1:29" ht="18.75" x14ac:dyDescent="0.25">
      <c r="A102" s="2982"/>
      <c r="B102" s="2993"/>
      <c r="C102" s="1863">
        <v>2039</v>
      </c>
      <c r="D102" s="218">
        <f t="shared" si="27"/>
        <v>-113732.07456449943</v>
      </c>
      <c r="E102" s="221">
        <f t="shared" si="34"/>
        <v>133657.93402819976</v>
      </c>
      <c r="F102" s="221">
        <f t="shared" si="35"/>
        <v>3474.4303912614951</v>
      </c>
      <c r="G102" s="218">
        <f t="shared" si="28"/>
        <v>-7.6070510444426649</v>
      </c>
      <c r="H102" s="218">
        <f t="shared" si="29"/>
        <v>-7.0676360622224648</v>
      </c>
      <c r="I102" s="218">
        <f t="shared" si="30"/>
        <v>45.492829825799745</v>
      </c>
      <c r="J102" s="218">
        <f t="shared" si="31"/>
        <v>38.993854136399804</v>
      </c>
      <c r="K102" s="218">
        <f t="shared" si="32"/>
        <v>38.993854136399797</v>
      </c>
      <c r="L102" s="218">
        <f t="shared" si="33"/>
        <v>7473.822042809963</v>
      </c>
      <c r="M102" s="192">
        <f t="shared" si="36"/>
        <v>23.400289854961816</v>
      </c>
      <c r="N102" s="211">
        <v>85</v>
      </c>
      <c r="O102" s="211">
        <f>'Emission-Waste Transport Vehicl'!N53</f>
        <v>21.941507697120006</v>
      </c>
      <c r="P102" s="211">
        <f>'Emission-Waste Transport Vehicl'!O53</f>
        <v>31.920324099840006</v>
      </c>
      <c r="Q102" s="211">
        <f>'Emission-Waste Transport Vehicl'!P53</f>
        <v>12.207889314720003</v>
      </c>
      <c r="R102" s="211">
        <f>'Emission-Waste Transport Vehicl'!Q53</f>
        <v>9.4809901190400012</v>
      </c>
      <c r="S102" s="211">
        <f>'Emission-Waste Transport Vehicl'!R53</f>
        <v>0.9436408660800002</v>
      </c>
      <c r="T102" s="211">
        <f>'Emission-Waste Transport Vehicl'!S53</f>
        <v>4.3392619353600011E-2</v>
      </c>
      <c r="U102" s="174">
        <f t="shared" si="37"/>
        <v>1989.0246376717544</v>
      </c>
      <c r="V102" s="1850">
        <f t="shared" si="38"/>
        <v>-166.91016904402352</v>
      </c>
      <c r="W102" s="1850">
        <f t="shared" si="39"/>
        <v>-225.60123372585807</v>
      </c>
      <c r="X102" s="1850">
        <f t="shared" si="40"/>
        <v>555.37143112675619</v>
      </c>
      <c r="Y102" s="1850">
        <f t="shared" si="41"/>
        <v>369.70034577049364</v>
      </c>
      <c r="Z102" s="1850">
        <f t="shared" si="42"/>
        <v>36.796194289069504</v>
      </c>
      <c r="AA102" s="1850">
        <f t="shared" si="43"/>
        <v>324.30871502019795</v>
      </c>
      <c r="AB102" s="2733"/>
      <c r="AC102" s="3009"/>
    </row>
    <row r="103" spans="1:29" ht="18.75" x14ac:dyDescent="0.25">
      <c r="A103" s="2982"/>
      <c r="B103" s="2993"/>
      <c r="C103" s="1863">
        <v>2040</v>
      </c>
      <c r="D103" s="218">
        <f t="shared" si="27"/>
        <v>-113732.07456449943</v>
      </c>
      <c r="E103" s="221">
        <f t="shared" si="34"/>
        <v>133657.93402819976</v>
      </c>
      <c r="F103" s="221">
        <f t="shared" si="35"/>
        <v>3474.4303912614951</v>
      </c>
      <c r="G103" s="218">
        <f t="shared" si="28"/>
        <v>-7.6070510444426649</v>
      </c>
      <c r="H103" s="218">
        <f t="shared" si="29"/>
        <v>-7.0676360622224648</v>
      </c>
      <c r="I103" s="218">
        <f t="shared" si="30"/>
        <v>45.492829825799745</v>
      </c>
      <c r="J103" s="218">
        <f t="shared" si="31"/>
        <v>38.993854136399804</v>
      </c>
      <c r="K103" s="218">
        <f t="shared" si="32"/>
        <v>38.993854136399797</v>
      </c>
      <c r="L103" s="218">
        <f t="shared" si="33"/>
        <v>7473.822042809963</v>
      </c>
      <c r="M103" s="192">
        <f t="shared" si="36"/>
        <v>23.400289854961816</v>
      </c>
      <c r="N103" s="211">
        <v>86</v>
      </c>
      <c r="O103" s="211">
        <f>'Emission-Waste Transport Vehicl'!N54</f>
        <v>21.511154202912003</v>
      </c>
      <c r="P103" s="211">
        <f>'Emission-Waste Transport Vehicl'!O54</f>
        <v>31.294249392384003</v>
      </c>
      <c r="Q103" s="211">
        <f>'Emission-Waste Transport Vehicl'!P54</f>
        <v>11.968447800672001</v>
      </c>
      <c r="R103" s="211">
        <f>'Emission-Waste Transport Vehicl'!Q54</f>
        <v>9.2950331063040004</v>
      </c>
      <c r="S103" s="211">
        <f>'Emission-Waste Transport Vehicl'!R54</f>
        <v>0.92513260540800013</v>
      </c>
      <c r="T103" s="211">
        <f>'Emission-Waste Transport Vehicl'!S54</f>
        <v>4.254153083136001E-2</v>
      </c>
      <c r="U103" s="174">
        <f t="shared" si="37"/>
        <v>2012.4249275267161</v>
      </c>
      <c r="V103" s="1850">
        <f t="shared" si="38"/>
        <v>-163.63644804642897</v>
      </c>
      <c r="W103" s="1850">
        <f t="shared" si="39"/>
        <v>-221.17636554579664</v>
      </c>
      <c r="X103" s="1850">
        <f t="shared" si="40"/>
        <v>544.47855907493852</v>
      </c>
      <c r="Y103" s="1850">
        <f t="shared" si="41"/>
        <v>362.44916514022538</v>
      </c>
      <c r="Z103" s="1850">
        <f t="shared" si="42"/>
        <v>36.074485872107068</v>
      </c>
      <c r="AA103" s="1850">
        <f t="shared" si="43"/>
        <v>317.94783086229808</v>
      </c>
      <c r="AB103" s="2733"/>
      <c r="AC103" s="3009"/>
    </row>
    <row r="104" spans="1:29" ht="18.75" x14ac:dyDescent="0.25">
      <c r="A104" s="2982"/>
      <c r="B104" s="2993"/>
      <c r="C104" s="1863">
        <v>2041</v>
      </c>
      <c r="D104" s="218">
        <f t="shared" si="27"/>
        <v>-113732.07456449943</v>
      </c>
      <c r="E104" s="221">
        <f t="shared" si="34"/>
        <v>133657.93402819976</v>
      </c>
      <c r="F104" s="221">
        <f t="shared" si="35"/>
        <v>3474.4303912614951</v>
      </c>
      <c r="G104" s="218">
        <f t="shared" si="28"/>
        <v>-7.6070510444426649</v>
      </c>
      <c r="H104" s="218">
        <f t="shared" si="29"/>
        <v>-7.0676360622224648</v>
      </c>
      <c r="I104" s="218">
        <f t="shared" si="30"/>
        <v>45.492829825799745</v>
      </c>
      <c r="J104" s="218">
        <f t="shared" si="31"/>
        <v>38.993854136399804</v>
      </c>
      <c r="K104" s="218">
        <f t="shared" si="32"/>
        <v>38.993854136399797</v>
      </c>
      <c r="L104" s="218">
        <f t="shared" si="33"/>
        <v>7473.822042809963</v>
      </c>
      <c r="M104" s="192">
        <f t="shared" si="36"/>
        <v>23.400289854961816</v>
      </c>
      <c r="N104" s="211">
        <v>87</v>
      </c>
      <c r="O104" s="211">
        <f>'Emission-Waste Transport Vehicl'!N55</f>
        <v>21.087321216192002</v>
      </c>
      <c r="P104" s="211">
        <f>'Emission-Waste Transport Vehicl'!O55</f>
        <v>30.677660665344007</v>
      </c>
      <c r="Q104" s="211">
        <f>'Emission-Waste Transport Vehicl'!P55</f>
        <v>11.732634188352002</v>
      </c>
      <c r="R104" s="211">
        <f>'Emission-Waste Transport Vehicl'!Q55</f>
        <v>9.1118936240640007</v>
      </c>
      <c r="S104" s="211">
        <f>'Emission-Waste Transport Vehicl'!R55</f>
        <v>0.9069047729280002</v>
      </c>
      <c r="T104" s="211">
        <f>'Emission-Waste Transport Vehicl'!S55</f>
        <v>4.1703337589760005E-2</v>
      </c>
      <c r="U104" s="174">
        <f t="shared" si="37"/>
        <v>2035.8252173816779</v>
      </c>
      <c r="V104" s="1850">
        <f t="shared" si="38"/>
        <v>-160.41232888213133</v>
      </c>
      <c r="W104" s="1850">
        <f t="shared" si="39"/>
        <v>-216.8185408230089</v>
      </c>
      <c r="X104" s="1850">
        <f t="shared" si="40"/>
        <v>533.75073053905771</v>
      </c>
      <c r="Y104" s="1850">
        <f t="shared" si="41"/>
        <v>355.30785088314303</v>
      </c>
      <c r="Z104" s="1850">
        <f t="shared" si="42"/>
        <v>35.363712431159222</v>
      </c>
      <c r="AA104" s="1850">
        <f t="shared" si="43"/>
        <v>311.68332373709364</v>
      </c>
      <c r="AB104" s="2733"/>
      <c r="AC104" s="3009"/>
    </row>
    <row r="105" spans="1:29" ht="18.75" x14ac:dyDescent="0.25">
      <c r="A105" s="2982"/>
      <c r="B105" s="2993"/>
      <c r="C105" s="1863">
        <v>2042</v>
      </c>
      <c r="D105" s="218">
        <f t="shared" si="27"/>
        <v>-113732.07456449943</v>
      </c>
      <c r="E105" s="221">
        <f t="shared" si="34"/>
        <v>133657.93402819976</v>
      </c>
      <c r="F105" s="221">
        <f t="shared" si="35"/>
        <v>3474.4303912614951</v>
      </c>
      <c r="G105" s="218">
        <f t="shared" si="28"/>
        <v>-7.6070510444426649</v>
      </c>
      <c r="H105" s="218">
        <f t="shared" si="29"/>
        <v>-7.0676360622224648</v>
      </c>
      <c r="I105" s="218">
        <f t="shared" si="30"/>
        <v>45.492829825799745</v>
      </c>
      <c r="J105" s="218">
        <f t="shared" si="31"/>
        <v>38.993854136399804</v>
      </c>
      <c r="K105" s="218">
        <f t="shared" si="32"/>
        <v>38.993854136399797</v>
      </c>
      <c r="L105" s="218">
        <f t="shared" si="33"/>
        <v>7473.822042809963</v>
      </c>
      <c r="M105" s="192">
        <f t="shared" si="36"/>
        <v>23.400289854961816</v>
      </c>
      <c r="N105" s="211">
        <v>88</v>
      </c>
      <c r="O105" s="211">
        <f>'Emission-Waste Transport Vehicl'!N56</f>
        <v>20.676529244448002</v>
      </c>
      <c r="P105" s="211">
        <f>'Emission-Waste Transport Vehicl'!O56</f>
        <v>30.080043899136001</v>
      </c>
      <c r="Q105" s="211">
        <f>'Emission-Waste Transport Vehicl'!P56</f>
        <v>11.504076379488001</v>
      </c>
      <c r="R105" s="211">
        <f>'Emission-Waste Transport Vehicl'!Q56</f>
        <v>8.9343892028159999</v>
      </c>
      <c r="S105" s="211">
        <f>'Emission-Waste Transport Vehicl'!R56</f>
        <v>0.8892377968320001</v>
      </c>
      <c r="T105" s="211">
        <f>'Emission-Waste Transport Vehicl'!S56</f>
        <v>4.0890934909439999E-2</v>
      </c>
      <c r="U105" s="174">
        <f t="shared" si="37"/>
        <v>2059.2255072366397</v>
      </c>
      <c r="V105" s="1850">
        <f t="shared" si="38"/>
        <v>-157.28741338442748</v>
      </c>
      <c r="W105" s="1850">
        <f t="shared" si="39"/>
        <v>-212.59480301476844</v>
      </c>
      <c r="X105" s="1850">
        <f t="shared" si="40"/>
        <v>523.35298903505009</v>
      </c>
      <c r="Y105" s="1850">
        <f t="shared" si="41"/>
        <v>348.38626937243242</v>
      </c>
      <c r="Z105" s="1850">
        <f t="shared" si="42"/>
        <v>34.674808942240531</v>
      </c>
      <c r="AA105" s="1850">
        <f t="shared" si="43"/>
        <v>305.6115706772801</v>
      </c>
      <c r="AB105" s="2733"/>
      <c r="AC105" s="3009"/>
    </row>
    <row r="106" spans="1:29" ht="18.75" x14ac:dyDescent="0.25">
      <c r="A106" s="2982"/>
      <c r="B106" s="2993"/>
      <c r="C106" s="1863">
        <v>2043</v>
      </c>
      <c r="D106" s="218">
        <f t="shared" si="27"/>
        <v>-113732.07456449943</v>
      </c>
      <c r="E106" s="221">
        <f t="shared" si="34"/>
        <v>133657.93402819976</v>
      </c>
      <c r="F106" s="221">
        <f t="shared" si="35"/>
        <v>3474.4303912614951</v>
      </c>
      <c r="G106" s="218">
        <f t="shared" si="28"/>
        <v>-7.6070510444426649</v>
      </c>
      <c r="H106" s="218">
        <f t="shared" si="29"/>
        <v>-7.0676360622224648</v>
      </c>
      <c r="I106" s="218">
        <f t="shared" si="30"/>
        <v>45.492829825799745</v>
      </c>
      <c r="J106" s="218">
        <f t="shared" si="31"/>
        <v>38.993854136399804</v>
      </c>
      <c r="K106" s="218">
        <f t="shared" si="32"/>
        <v>38.993854136399797</v>
      </c>
      <c r="L106" s="218">
        <f t="shared" si="33"/>
        <v>7473.822042809963</v>
      </c>
      <c r="M106" s="192">
        <f t="shared" si="36"/>
        <v>23.400289854961816</v>
      </c>
      <c r="N106" s="211">
        <v>89</v>
      </c>
      <c r="O106" s="211">
        <f>'Emission-Waste Transport Vehicl'!N57</f>
        <v>20.268997526448004</v>
      </c>
      <c r="P106" s="211">
        <f>'Emission-Waste Transport Vehicl'!O57</f>
        <v>29.487170123136003</v>
      </c>
      <c r="Q106" s="211">
        <f>'Emission-Waste Transport Vehicl'!P57</f>
        <v>11.277332521488001</v>
      </c>
      <c r="R106" s="211">
        <f>'Emission-Waste Transport Vehicl'!Q57</f>
        <v>8.7582935468160006</v>
      </c>
      <c r="S106" s="211">
        <f>'Emission-Waste Transport Vehicl'!R57</f>
        <v>0.87171103483200019</v>
      </c>
      <c r="T106" s="211">
        <f>'Emission-Waste Transport Vehicl'!S57</f>
        <v>4.0084979869440006E-2</v>
      </c>
      <c r="U106" s="174">
        <f t="shared" si="37"/>
        <v>2082.6257970916017</v>
      </c>
      <c r="V106" s="1850">
        <f t="shared" si="38"/>
        <v>-154.18729880337207</v>
      </c>
      <c r="W106" s="1850">
        <f t="shared" si="39"/>
        <v>-208.40458693516484</v>
      </c>
      <c r="X106" s="1850">
        <f t="shared" si="40"/>
        <v>513.03776928901073</v>
      </c>
      <c r="Y106" s="1850">
        <f t="shared" si="41"/>
        <v>341.51962104831483</v>
      </c>
      <c r="Z106" s="1850">
        <f t="shared" si="42"/>
        <v>33.991372941329139</v>
      </c>
      <c r="AA106" s="1850">
        <f t="shared" si="43"/>
        <v>299.58800613381436</v>
      </c>
      <c r="AB106" s="2733"/>
      <c r="AC106" s="3009"/>
    </row>
    <row r="107" spans="1:29" ht="18.75" x14ac:dyDescent="0.25">
      <c r="A107" s="2982"/>
      <c r="B107" s="2993"/>
      <c r="C107" s="1863">
        <v>2044</v>
      </c>
      <c r="D107" s="218">
        <f t="shared" si="27"/>
        <v>-113732.07456449943</v>
      </c>
      <c r="E107" s="221">
        <f t="shared" si="34"/>
        <v>133657.93402819976</v>
      </c>
      <c r="F107" s="221">
        <f t="shared" si="35"/>
        <v>3474.4303912614951</v>
      </c>
      <c r="G107" s="218">
        <f t="shared" si="28"/>
        <v>-7.6070510444426649</v>
      </c>
      <c r="H107" s="218">
        <f t="shared" si="29"/>
        <v>-7.0676360622224648</v>
      </c>
      <c r="I107" s="218">
        <f t="shared" si="30"/>
        <v>45.492829825799745</v>
      </c>
      <c r="J107" s="218">
        <f t="shared" si="31"/>
        <v>38.993854136399804</v>
      </c>
      <c r="K107" s="218">
        <f t="shared" si="32"/>
        <v>38.993854136399797</v>
      </c>
      <c r="L107" s="218">
        <f t="shared" si="33"/>
        <v>7473.822042809963</v>
      </c>
      <c r="M107" s="192">
        <f t="shared" si="36"/>
        <v>23.400289854961816</v>
      </c>
      <c r="N107" s="211">
        <v>90</v>
      </c>
      <c r="O107" s="211">
        <f>'Emission-Waste Transport Vehicl'!N58</f>
        <v>19.871246569680004</v>
      </c>
      <c r="P107" s="211">
        <f>'Emission-Waste Transport Vehicl'!O58</f>
        <v>28.908525317760002</v>
      </c>
      <c r="Q107" s="211">
        <f>'Emission-Waste Transport Vehicl'!P58</f>
        <v>11.056030516080002</v>
      </c>
      <c r="R107" s="211">
        <f>'Emission-Waste Transport Vehicl'!Q58</f>
        <v>8.5864241865600004</v>
      </c>
      <c r="S107" s="211">
        <f>'Emission-Waste Transport Vehicl'!R58</f>
        <v>0.85460491512000014</v>
      </c>
      <c r="T107" s="211">
        <f>'Emission-Waste Transport Vehicl'!S58</f>
        <v>3.9298367750400007E-2</v>
      </c>
      <c r="U107" s="174">
        <f t="shared" si="37"/>
        <v>2106.0260869465633</v>
      </c>
      <c r="V107" s="1850">
        <f t="shared" si="38"/>
        <v>-151.161586972262</v>
      </c>
      <c r="W107" s="1850">
        <f t="shared" si="39"/>
        <v>-204.31493604147173</v>
      </c>
      <c r="X107" s="1850">
        <f t="shared" si="40"/>
        <v>502.97011481687645</v>
      </c>
      <c r="Y107" s="1850">
        <f t="shared" si="41"/>
        <v>334.81777228397601</v>
      </c>
      <c r="Z107" s="1850">
        <f t="shared" si="42"/>
        <v>33.324339404439613</v>
      </c>
      <c r="AA107" s="1850">
        <f t="shared" si="43"/>
        <v>293.70900713939176</v>
      </c>
      <c r="AB107" s="2733"/>
      <c r="AC107" s="3009"/>
    </row>
    <row r="108" spans="1:29" ht="18.75" x14ac:dyDescent="0.25">
      <c r="A108" s="2982"/>
      <c r="B108" s="2993"/>
      <c r="C108" s="1863">
        <v>2045</v>
      </c>
      <c r="D108" s="218">
        <f t="shared" si="27"/>
        <v>-113732.07456449943</v>
      </c>
      <c r="E108" s="221">
        <f t="shared" si="34"/>
        <v>133657.93402819976</v>
      </c>
      <c r="F108" s="221">
        <f t="shared" si="35"/>
        <v>3474.4303912614951</v>
      </c>
      <c r="G108" s="218">
        <f t="shared" si="28"/>
        <v>-7.6070510444426649</v>
      </c>
      <c r="H108" s="218">
        <f t="shared" si="29"/>
        <v>-7.0676360622224648</v>
      </c>
      <c r="I108" s="218">
        <f t="shared" si="30"/>
        <v>45.492829825799745</v>
      </c>
      <c r="J108" s="218">
        <f t="shared" si="31"/>
        <v>38.993854136399804</v>
      </c>
      <c r="K108" s="218">
        <f t="shared" si="32"/>
        <v>38.993854136399797</v>
      </c>
      <c r="L108" s="218">
        <f t="shared" si="33"/>
        <v>7473.822042809963</v>
      </c>
      <c r="M108" s="192">
        <f t="shared" si="36"/>
        <v>23.400289854961816</v>
      </c>
      <c r="N108" s="211">
        <v>92</v>
      </c>
      <c r="O108" s="211">
        <f>'Emission-Waste Transport Vehicl'!N59</f>
        <v>19.483276374144001</v>
      </c>
      <c r="P108" s="211">
        <f>'Emission-Waste Transport Vehicl'!O59</f>
        <v>28.344109483008001</v>
      </c>
      <c r="Q108" s="211">
        <f>'Emission-Waste Transport Vehicl'!P59</f>
        <v>10.840170363264003</v>
      </c>
      <c r="R108" s="211">
        <f>'Emission-Waste Transport Vehicl'!Q59</f>
        <v>8.4187811220480011</v>
      </c>
      <c r="S108" s="211">
        <f>'Emission-Waste Transport Vehicl'!R59</f>
        <v>0.83791943769600008</v>
      </c>
      <c r="T108" s="211">
        <f>'Emission-Waste Transport Vehicl'!S59</f>
        <v>3.8531098552320009E-2</v>
      </c>
      <c r="U108" s="174">
        <f t="shared" si="37"/>
        <v>2152.8266666564869</v>
      </c>
      <c r="V108" s="1850">
        <f t="shared" si="38"/>
        <v>-148.21027789109723</v>
      </c>
      <c r="W108" s="1850">
        <f t="shared" si="39"/>
        <v>-200.32585033368909</v>
      </c>
      <c r="X108" s="1850">
        <f t="shared" si="40"/>
        <v>493.15002561864708</v>
      </c>
      <c r="Y108" s="1850">
        <f t="shared" si="41"/>
        <v>328.28072307941602</v>
      </c>
      <c r="Z108" s="1850">
        <f t="shared" si="42"/>
        <v>32.673708331571966</v>
      </c>
      <c r="AA108" s="1850">
        <f t="shared" si="43"/>
        <v>287.97457369401235</v>
      </c>
      <c r="AB108" s="2733"/>
      <c r="AC108" s="3009"/>
    </row>
    <row r="109" spans="1:29" ht="18.75" x14ac:dyDescent="0.25">
      <c r="A109" s="2982"/>
      <c r="B109" s="2993"/>
      <c r="C109" s="1863">
        <v>2046</v>
      </c>
      <c r="D109" s="218">
        <f t="shared" si="27"/>
        <v>-113732.07456449943</v>
      </c>
      <c r="E109" s="221">
        <f t="shared" si="34"/>
        <v>133657.93402819976</v>
      </c>
      <c r="F109" s="221">
        <f t="shared" si="35"/>
        <v>3474.4303912614951</v>
      </c>
      <c r="G109" s="218">
        <f t="shared" si="28"/>
        <v>-7.6070510444426649</v>
      </c>
      <c r="H109" s="218">
        <f t="shared" si="29"/>
        <v>-7.0676360622224648</v>
      </c>
      <c r="I109" s="218">
        <f t="shared" si="30"/>
        <v>45.492829825799745</v>
      </c>
      <c r="J109" s="218">
        <f t="shared" si="31"/>
        <v>38.993854136399804</v>
      </c>
      <c r="K109" s="218">
        <f t="shared" si="32"/>
        <v>38.993854136399797</v>
      </c>
      <c r="L109" s="218">
        <f t="shared" si="33"/>
        <v>7473.822042809963</v>
      </c>
      <c r="M109" s="192">
        <f t="shared" si="36"/>
        <v>23.400289854961816</v>
      </c>
      <c r="N109" s="211">
        <v>93</v>
      </c>
      <c r="O109" s="211">
        <f>'Emission-Waste Transport Vehicl'!N60</f>
        <v>19.101826686096</v>
      </c>
      <c r="P109" s="211">
        <f>'Emission-Waste Transport Vehicl'!O60</f>
        <v>27.789179628671999</v>
      </c>
      <c r="Q109" s="211">
        <f>'Emission-Waste Transport Vehicl'!P60</f>
        <v>10.627938112176002</v>
      </c>
      <c r="R109" s="211">
        <f>'Emission-Waste Transport Vehicl'!Q60</f>
        <v>8.2539555880319995</v>
      </c>
      <c r="S109" s="211">
        <f>'Emission-Waste Transport Vehicl'!R60</f>
        <v>0.82151438846400004</v>
      </c>
      <c r="T109" s="211">
        <f>'Emission-Waste Transport Vehicl'!S60</f>
        <v>3.777672463488E-2</v>
      </c>
      <c r="U109" s="174">
        <f t="shared" si="37"/>
        <v>2176.2269565114489</v>
      </c>
      <c r="V109" s="1850">
        <f t="shared" si="38"/>
        <v>-145.30857064322936</v>
      </c>
      <c r="W109" s="1850">
        <f t="shared" si="39"/>
        <v>-196.40380808318011</v>
      </c>
      <c r="X109" s="1850">
        <f t="shared" si="40"/>
        <v>483.4949799363543</v>
      </c>
      <c r="Y109" s="1850">
        <f t="shared" si="41"/>
        <v>321.85354024804184</v>
      </c>
      <c r="Z109" s="1850">
        <f t="shared" si="42"/>
        <v>32.034012234718901</v>
      </c>
      <c r="AA109" s="1850">
        <f t="shared" si="43"/>
        <v>282.33651728132833</v>
      </c>
      <c r="AB109" s="2733"/>
      <c r="AC109" s="3009"/>
    </row>
    <row r="110" spans="1:29" ht="18.75" x14ac:dyDescent="0.25">
      <c r="A110" s="2982"/>
      <c r="B110" s="2993"/>
      <c r="C110" s="1863">
        <v>2047</v>
      </c>
      <c r="D110" s="218">
        <f t="shared" si="27"/>
        <v>-113732.07456449943</v>
      </c>
      <c r="E110" s="221">
        <f t="shared" si="34"/>
        <v>133657.93402819976</v>
      </c>
      <c r="F110" s="221">
        <f t="shared" si="35"/>
        <v>3474.4303912614951</v>
      </c>
      <c r="G110" s="218">
        <f t="shared" si="28"/>
        <v>-7.6070510444426649</v>
      </c>
      <c r="H110" s="218">
        <f t="shared" si="29"/>
        <v>-7.0676360622224648</v>
      </c>
      <c r="I110" s="218">
        <f t="shared" si="30"/>
        <v>45.492829825799745</v>
      </c>
      <c r="J110" s="218">
        <f t="shared" si="31"/>
        <v>38.993854136399804</v>
      </c>
      <c r="K110" s="218">
        <f t="shared" si="32"/>
        <v>38.993854136399797</v>
      </c>
      <c r="L110" s="218">
        <f t="shared" si="33"/>
        <v>7473.822042809963</v>
      </c>
      <c r="M110" s="192">
        <f t="shared" si="36"/>
        <v>23.400289854961816</v>
      </c>
      <c r="N110" s="211">
        <v>94</v>
      </c>
      <c r="O110" s="211">
        <f>'Emission-Waste Transport Vehicl'!N61</f>
        <v>18.726897505536005</v>
      </c>
      <c r="P110" s="211">
        <f>'Emission-Waste Transport Vehicl'!O61</f>
        <v>27.243735754752002</v>
      </c>
      <c r="Q110" s="211">
        <f>'Emission-Waste Transport Vehicl'!P61</f>
        <v>10.419333762816001</v>
      </c>
      <c r="R110" s="211">
        <f>'Emission-Waste Transport Vehicl'!Q61</f>
        <v>8.0919475845120008</v>
      </c>
      <c r="S110" s="211">
        <f>'Emission-Waste Transport Vehicl'!R61</f>
        <v>0.80538976742400015</v>
      </c>
      <c r="T110" s="211">
        <f>'Emission-Waste Transport Vehicl'!S61</f>
        <v>3.7035245998080002E-2</v>
      </c>
      <c r="U110" s="174">
        <f t="shared" si="37"/>
        <v>2199.6272463664109</v>
      </c>
      <c r="V110" s="1850">
        <f t="shared" si="38"/>
        <v>-142.4564652286584</v>
      </c>
      <c r="W110" s="1850">
        <f t="shared" si="39"/>
        <v>-192.54880928994481</v>
      </c>
      <c r="X110" s="1850">
        <f t="shared" si="40"/>
        <v>474.00497776999805</v>
      </c>
      <c r="Y110" s="1850">
        <f t="shared" si="41"/>
        <v>315.53622378985369</v>
      </c>
      <c r="Z110" s="1850">
        <f t="shared" si="42"/>
        <v>31.405251113880418</v>
      </c>
      <c r="AA110" s="1850">
        <f t="shared" si="43"/>
        <v>276.7948379013398</v>
      </c>
      <c r="AB110" s="2733"/>
      <c r="AC110" s="3009"/>
    </row>
    <row r="111" spans="1:29" ht="18.75" x14ac:dyDescent="0.25">
      <c r="A111" s="2982"/>
      <c r="B111" s="2993"/>
      <c r="C111" s="1863">
        <v>2048</v>
      </c>
      <c r="D111" s="218">
        <f t="shared" si="27"/>
        <v>-113732.07456449943</v>
      </c>
      <c r="E111" s="221">
        <f t="shared" si="34"/>
        <v>133657.93402819976</v>
      </c>
      <c r="F111" s="221">
        <f t="shared" si="35"/>
        <v>3474.4303912614951</v>
      </c>
      <c r="G111" s="218">
        <f t="shared" si="28"/>
        <v>-7.6070510444426649</v>
      </c>
      <c r="H111" s="218">
        <f t="shared" si="29"/>
        <v>-7.0676360622224648</v>
      </c>
      <c r="I111" s="218">
        <f t="shared" si="30"/>
        <v>45.492829825799745</v>
      </c>
      <c r="J111" s="218">
        <f t="shared" si="31"/>
        <v>38.993854136399804</v>
      </c>
      <c r="K111" s="218">
        <f t="shared" si="32"/>
        <v>38.993854136399797</v>
      </c>
      <c r="L111" s="218">
        <f t="shared" si="33"/>
        <v>7473.822042809963</v>
      </c>
      <c r="M111" s="192">
        <f t="shared" si="36"/>
        <v>23.400289854961816</v>
      </c>
      <c r="N111" s="211">
        <v>95</v>
      </c>
      <c r="O111" s="211">
        <f>'Emission-Waste Transport Vehicl'!N62</f>
        <v>18.358488832464005</v>
      </c>
      <c r="P111" s="211">
        <f>'Emission-Waste Transport Vehicl'!O62</f>
        <v>26.707777861248005</v>
      </c>
      <c r="Q111" s="211">
        <f>'Emission-Waste Transport Vehicl'!P62</f>
        <v>10.214357315184001</v>
      </c>
      <c r="R111" s="211">
        <f>'Emission-Waste Transport Vehicl'!Q62</f>
        <v>7.9327571114880007</v>
      </c>
      <c r="S111" s="211">
        <f>'Emission-Waste Transport Vehicl'!R62</f>
        <v>0.78954557457600016</v>
      </c>
      <c r="T111" s="211">
        <f>'Emission-Waste Transport Vehicl'!S62</f>
        <v>3.6306662641920007E-2</v>
      </c>
      <c r="U111" s="174">
        <f t="shared" si="37"/>
        <v>2223.0275362213724</v>
      </c>
      <c r="V111" s="1850">
        <f t="shared" si="38"/>
        <v>-139.65396164738431</v>
      </c>
      <c r="W111" s="1850">
        <f t="shared" si="39"/>
        <v>-188.76085395398317</v>
      </c>
      <c r="X111" s="1850">
        <f t="shared" si="40"/>
        <v>464.68001911957856</v>
      </c>
      <c r="Y111" s="1850">
        <f t="shared" si="41"/>
        <v>309.32877370485136</v>
      </c>
      <c r="Z111" s="1850">
        <f t="shared" si="42"/>
        <v>30.78742496905652</v>
      </c>
      <c r="AA111" s="1850">
        <f t="shared" si="43"/>
        <v>271.34953555404678</v>
      </c>
      <c r="AB111" s="2733"/>
      <c r="AC111" s="3009"/>
    </row>
    <row r="112" spans="1:29" ht="18.75" x14ac:dyDescent="0.25">
      <c r="A112" s="2982"/>
      <c r="B112" s="2993"/>
      <c r="C112" s="1863">
        <v>2049</v>
      </c>
      <c r="D112" s="218">
        <f t="shared" si="27"/>
        <v>-113732.07456449943</v>
      </c>
      <c r="E112" s="221">
        <f t="shared" si="34"/>
        <v>133657.93402819976</v>
      </c>
      <c r="F112" s="221">
        <f t="shared" si="35"/>
        <v>3474.4303912614951</v>
      </c>
      <c r="G112" s="218">
        <f t="shared" si="28"/>
        <v>-7.6070510444426649</v>
      </c>
      <c r="H112" s="218">
        <f t="shared" si="29"/>
        <v>-7.0676360622224648</v>
      </c>
      <c r="I112" s="218">
        <f t="shared" si="30"/>
        <v>45.492829825799745</v>
      </c>
      <c r="J112" s="218">
        <f t="shared" si="31"/>
        <v>38.993854136399804</v>
      </c>
      <c r="K112" s="218">
        <f t="shared" si="32"/>
        <v>38.993854136399797</v>
      </c>
      <c r="L112" s="218">
        <f t="shared" si="33"/>
        <v>7473.822042809963</v>
      </c>
      <c r="M112" s="192">
        <f t="shared" si="36"/>
        <v>23.400289854961816</v>
      </c>
      <c r="N112" s="211">
        <v>96</v>
      </c>
      <c r="O112" s="211">
        <f>'Emission-Waste Transport Vehicl'!N63</f>
        <v>17.999860920624005</v>
      </c>
      <c r="P112" s="211">
        <f>'Emission-Waste Transport Vehicl'!O63</f>
        <v>26.186048938368003</v>
      </c>
      <c r="Q112" s="211">
        <f>'Emission-Waste Transport Vehicl'!P63</f>
        <v>10.014822720144002</v>
      </c>
      <c r="R112" s="211">
        <f>'Emission-Waste Transport Vehicl'!Q63</f>
        <v>7.7777929342080014</v>
      </c>
      <c r="S112" s="211">
        <f>'Emission-Waste Transport Vehicl'!R63</f>
        <v>0.77412202401600017</v>
      </c>
      <c r="T112" s="211">
        <f>'Emission-Waste Transport Vehicl'!S63</f>
        <v>3.5597422206719999E-2</v>
      </c>
      <c r="U112" s="174">
        <f t="shared" si="37"/>
        <v>2246.4278260763344</v>
      </c>
      <c r="V112" s="1850">
        <f t="shared" si="38"/>
        <v>-136.92586081605555</v>
      </c>
      <c r="W112" s="1850">
        <f t="shared" si="39"/>
        <v>-185.07346380393199</v>
      </c>
      <c r="X112" s="1850">
        <f t="shared" si="40"/>
        <v>455.60262574306398</v>
      </c>
      <c r="Y112" s="1850">
        <f t="shared" si="41"/>
        <v>303.28612317962785</v>
      </c>
      <c r="Z112" s="1850">
        <f t="shared" si="42"/>
        <v>30.186001288254491</v>
      </c>
      <c r="AA112" s="1850">
        <f t="shared" si="43"/>
        <v>266.04879875579678</v>
      </c>
      <c r="AB112" s="2733"/>
      <c r="AC112" s="3009"/>
    </row>
    <row r="113" spans="1:29" ht="18.75" x14ac:dyDescent="0.25">
      <c r="A113" s="2982"/>
      <c r="B113" s="2993"/>
      <c r="C113" s="1863">
        <v>2050</v>
      </c>
      <c r="D113" s="218">
        <f t="shared" si="27"/>
        <v>-113732.07456449943</v>
      </c>
      <c r="E113" s="221">
        <f t="shared" si="34"/>
        <v>133657.93402819976</v>
      </c>
      <c r="F113" s="221">
        <f t="shared" si="35"/>
        <v>3474.4303912614951</v>
      </c>
      <c r="G113" s="218">
        <f t="shared" si="28"/>
        <v>-7.6070510444426649</v>
      </c>
      <c r="H113" s="218">
        <f t="shared" si="29"/>
        <v>-7.0676360622224648</v>
      </c>
      <c r="I113" s="218">
        <f t="shared" si="30"/>
        <v>45.492829825799745</v>
      </c>
      <c r="J113" s="218">
        <f t="shared" si="31"/>
        <v>38.993854136399804</v>
      </c>
      <c r="K113" s="218">
        <f t="shared" si="32"/>
        <v>38.993854136399797</v>
      </c>
      <c r="L113" s="218">
        <f t="shared" si="33"/>
        <v>7473.822042809963</v>
      </c>
      <c r="M113" s="192">
        <f t="shared" si="36"/>
        <v>23.400289854961816</v>
      </c>
      <c r="N113" s="211">
        <v>97</v>
      </c>
      <c r="O113" s="211">
        <f>'Emission-Waste Transport Vehicl'!N64</f>
        <v>17.644493262528005</v>
      </c>
      <c r="P113" s="211">
        <f>'Emission-Waste Transport Vehicl'!O64</f>
        <v>25.669063005696003</v>
      </c>
      <c r="Q113" s="211">
        <f>'Emission-Waste Transport Vehicl'!P64</f>
        <v>9.8171020759680019</v>
      </c>
      <c r="R113" s="211">
        <f>'Emission-Waste Transport Vehicl'!Q64</f>
        <v>7.624237522176001</v>
      </c>
      <c r="S113" s="211">
        <f>'Emission-Waste Transport Vehicl'!R64</f>
        <v>0.75883868755200012</v>
      </c>
      <c r="T113" s="211">
        <f>'Emission-Waste Transport Vehicl'!S64</f>
        <v>3.4894629411840003E-2</v>
      </c>
      <c r="U113" s="174">
        <f t="shared" si="37"/>
        <v>2269.828115931296</v>
      </c>
      <c r="V113" s="1850">
        <f t="shared" si="38"/>
        <v>-134.22256090137523</v>
      </c>
      <c r="W113" s="1850">
        <f t="shared" si="39"/>
        <v>-181.41959538251766</v>
      </c>
      <c r="X113" s="1850">
        <f t="shared" si="40"/>
        <v>446.60775412451773</v>
      </c>
      <c r="Y113" s="1850">
        <f t="shared" si="41"/>
        <v>297.29840584099725</v>
      </c>
      <c r="Z113" s="1850">
        <f t="shared" si="42"/>
        <v>29.590045095459754</v>
      </c>
      <c r="AA113" s="1850">
        <f t="shared" si="43"/>
        <v>260.79625047389464</v>
      </c>
      <c r="AB113" s="2733"/>
      <c r="AC113" s="3009"/>
    </row>
    <row r="114" spans="1:29" ht="18.75" x14ac:dyDescent="0.25">
      <c r="A114" s="2982"/>
      <c r="B114" s="2993"/>
      <c r="C114" s="1863">
        <v>2051</v>
      </c>
      <c r="D114" s="218">
        <f t="shared" ref="D114:D132" si="44">$AC$9</f>
        <v>-113732.07456449943</v>
      </c>
      <c r="E114" s="221">
        <f t="shared" si="34"/>
        <v>133657.93402819976</v>
      </c>
      <c r="F114" s="221">
        <f t="shared" si="35"/>
        <v>3474.4303912614951</v>
      </c>
      <c r="G114" s="218">
        <f t="shared" ref="G114:G132" si="45">$Y$9</f>
        <v>-7.6070510444426649</v>
      </c>
      <c r="H114" s="218">
        <f t="shared" ref="H114:H132" si="46">$Z$9</f>
        <v>-7.0676360622224648</v>
      </c>
      <c r="I114" s="218">
        <f t="shared" ref="I114:I132" si="47">$X$9</f>
        <v>45.492829825799745</v>
      </c>
      <c r="J114" s="218">
        <f t="shared" ref="J114:J132" si="48">$AA$9</f>
        <v>38.993854136399804</v>
      </c>
      <c r="K114" s="218">
        <f t="shared" ref="K114:K132" si="49">$V$9</f>
        <v>38.993854136399797</v>
      </c>
      <c r="L114" s="218">
        <f t="shared" ref="L114:L132" si="50">$W$9</f>
        <v>7473.822042809963</v>
      </c>
      <c r="M114" s="192">
        <f t="shared" si="36"/>
        <v>23.400289854961816</v>
      </c>
      <c r="N114" s="211">
        <v>97</v>
      </c>
      <c r="O114" s="211">
        <f>'Emission-Waste Transport Vehicl'!N65</f>
        <v>17.298906365664003</v>
      </c>
      <c r="P114" s="211">
        <f>'Emission-Waste Transport Vehicl'!O65</f>
        <v>25.166306043648003</v>
      </c>
      <c r="Q114" s="211">
        <f>'Emission-Waste Transport Vehicl'!P65</f>
        <v>9.624823284384</v>
      </c>
      <c r="R114" s="211">
        <f>'Emission-Waste Transport Vehicl'!Q65</f>
        <v>7.4749084058879998</v>
      </c>
      <c r="S114" s="211">
        <f>'Emission-Waste Transport Vehicl'!R65</f>
        <v>0.74397599337600007</v>
      </c>
      <c r="T114" s="211">
        <f>'Emission-Waste Transport Vehicl'!S65</f>
        <v>3.4211179537920001E-2</v>
      </c>
      <c r="U114" s="174">
        <f t="shared" si="37"/>
        <v>2269.828115931296</v>
      </c>
      <c r="V114" s="1850">
        <f t="shared" si="38"/>
        <v>-131.59366373664022</v>
      </c>
      <c r="W114" s="1850">
        <f t="shared" si="39"/>
        <v>-177.86629214701378</v>
      </c>
      <c r="X114" s="1850">
        <f t="shared" si="40"/>
        <v>437.86044777987632</v>
      </c>
      <c r="Y114" s="1850">
        <f t="shared" si="41"/>
        <v>291.47548806214547</v>
      </c>
      <c r="Z114" s="1850">
        <f t="shared" si="42"/>
        <v>29.010491366686889</v>
      </c>
      <c r="AA114" s="1850">
        <f t="shared" si="43"/>
        <v>255.68826774103567</v>
      </c>
      <c r="AB114" s="2733"/>
      <c r="AC114" s="3009"/>
    </row>
    <row r="115" spans="1:29" ht="18.75" x14ac:dyDescent="0.25">
      <c r="A115" s="2982"/>
      <c r="B115" s="2993"/>
      <c r="C115" s="1863">
        <v>2052</v>
      </c>
      <c r="D115" s="218">
        <f t="shared" si="44"/>
        <v>-113732.07456449943</v>
      </c>
      <c r="E115" s="221">
        <f t="shared" si="34"/>
        <v>133657.93402819976</v>
      </c>
      <c r="F115" s="221">
        <f t="shared" si="35"/>
        <v>3474.4303912614951</v>
      </c>
      <c r="G115" s="218">
        <f t="shared" si="45"/>
        <v>-7.6070510444426649</v>
      </c>
      <c r="H115" s="218">
        <f t="shared" si="46"/>
        <v>-7.0676360622224648</v>
      </c>
      <c r="I115" s="218">
        <f t="shared" si="47"/>
        <v>45.492829825799745</v>
      </c>
      <c r="J115" s="218">
        <f t="shared" si="48"/>
        <v>38.993854136399804</v>
      </c>
      <c r="K115" s="218">
        <f t="shared" si="49"/>
        <v>38.993854136399797</v>
      </c>
      <c r="L115" s="218">
        <f t="shared" si="50"/>
        <v>7473.822042809963</v>
      </c>
      <c r="M115" s="192">
        <f t="shared" si="36"/>
        <v>23.400289854961816</v>
      </c>
      <c r="N115" s="211">
        <v>97</v>
      </c>
      <c r="O115" s="211">
        <f>'Emission-Waste Transport Vehicl'!N66</f>
        <v>16.959839976288002</v>
      </c>
      <c r="P115" s="211">
        <f>'Emission-Waste Transport Vehicl'!O66</f>
        <v>24.673035062016002</v>
      </c>
      <c r="Q115" s="211">
        <f>'Emission-Waste Transport Vehicl'!P66</f>
        <v>9.4361723945280005</v>
      </c>
      <c r="R115" s="211">
        <f>'Emission-Waste Transport Vehicl'!Q66</f>
        <v>7.3283968200960006</v>
      </c>
      <c r="S115" s="211">
        <f>'Emission-Waste Transport Vehicl'!R66</f>
        <v>0.72939372739200004</v>
      </c>
      <c r="T115" s="211">
        <f>'Emission-Waste Transport Vehicl'!S66</f>
        <v>3.3540624944640003E-2</v>
      </c>
      <c r="U115" s="174">
        <f t="shared" si="37"/>
        <v>2269.828115931296</v>
      </c>
      <c r="V115" s="1850">
        <f t="shared" si="38"/>
        <v>-129.01436840520211</v>
      </c>
      <c r="W115" s="1850">
        <f t="shared" si="39"/>
        <v>-174.38003236878359</v>
      </c>
      <c r="X115" s="1850">
        <f t="shared" si="40"/>
        <v>429.27818495117162</v>
      </c>
      <c r="Y115" s="1850">
        <f t="shared" si="41"/>
        <v>285.76243665647962</v>
      </c>
      <c r="Z115" s="1850">
        <f t="shared" si="42"/>
        <v>28.441872613928606</v>
      </c>
      <c r="AA115" s="1850">
        <f t="shared" si="43"/>
        <v>250.67666204087215</v>
      </c>
      <c r="AB115" s="2733"/>
      <c r="AC115" s="3009"/>
    </row>
    <row r="116" spans="1:29" ht="18.75" x14ac:dyDescent="0.25">
      <c r="A116" s="2982"/>
      <c r="B116" s="2993"/>
      <c r="C116" s="1863">
        <v>2053</v>
      </c>
      <c r="D116" s="218">
        <f t="shared" si="44"/>
        <v>-113732.07456449943</v>
      </c>
      <c r="E116" s="221">
        <f t="shared" si="34"/>
        <v>133657.93402819976</v>
      </c>
      <c r="F116" s="221">
        <f t="shared" si="35"/>
        <v>3474.4303912614951</v>
      </c>
      <c r="G116" s="218">
        <f t="shared" si="45"/>
        <v>-7.6070510444426649</v>
      </c>
      <c r="H116" s="218">
        <f t="shared" si="46"/>
        <v>-7.0676360622224648</v>
      </c>
      <c r="I116" s="218">
        <f t="shared" si="47"/>
        <v>45.492829825799745</v>
      </c>
      <c r="J116" s="218">
        <f t="shared" si="48"/>
        <v>38.993854136399804</v>
      </c>
      <c r="K116" s="218">
        <f t="shared" si="49"/>
        <v>38.993854136399797</v>
      </c>
      <c r="L116" s="218">
        <f t="shared" si="50"/>
        <v>7473.822042809963</v>
      </c>
      <c r="M116" s="192">
        <f t="shared" si="36"/>
        <v>23.400289854961816</v>
      </c>
      <c r="N116" s="211">
        <v>97</v>
      </c>
      <c r="O116" s="211">
        <f>'Emission-Waste Transport Vehicl'!N67</f>
        <v>15.361506000000002</v>
      </c>
      <c r="P116" s="211">
        <f>'Emission-Waste Transport Vehicl'!O67</f>
        <v>24.189250060800003</v>
      </c>
      <c r="Q116" s="211">
        <f>'Emission-Waste Transport Vehicl'!P67</f>
        <v>9.2511494064000015</v>
      </c>
      <c r="R116" s="211">
        <f>'Emission-Waste Transport Vehicl'!Q67</f>
        <v>7.1847027647999999</v>
      </c>
      <c r="S116" s="211">
        <f>'Emission-Waste Transport Vehicl'!R67</f>
        <v>0.71509188960000014</v>
      </c>
      <c r="T116" s="211">
        <f>'Emission-Waste Transport Vehicl'!S67</f>
        <v>3.2882965632000001E-2</v>
      </c>
      <c r="U116" s="174">
        <f t="shared" si="37"/>
        <v>2269.828115931296</v>
      </c>
      <c r="V116" s="1850">
        <f t="shared" si="38"/>
        <v>-116.85576026151227</v>
      </c>
      <c r="W116" s="1850">
        <f t="shared" si="39"/>
        <v>-170.96081604782705</v>
      </c>
      <c r="X116" s="1850">
        <f t="shared" si="40"/>
        <v>420.86096563840357</v>
      </c>
      <c r="Y116" s="1850">
        <f t="shared" si="41"/>
        <v>280.15925162399958</v>
      </c>
      <c r="Z116" s="1850">
        <f t="shared" si="42"/>
        <v>27.884188837184912</v>
      </c>
      <c r="AA116" s="1850">
        <f t="shared" si="43"/>
        <v>245.76143337340406</v>
      </c>
      <c r="AB116" s="2733"/>
      <c r="AC116" s="3009"/>
    </row>
    <row r="117" spans="1:29" ht="18.75" x14ac:dyDescent="0.25">
      <c r="A117" s="2982"/>
      <c r="B117" s="2993"/>
      <c r="C117" s="1863">
        <v>2054</v>
      </c>
      <c r="D117" s="218">
        <f t="shared" si="44"/>
        <v>-113732.07456449943</v>
      </c>
      <c r="E117" s="221">
        <f t="shared" si="34"/>
        <v>133657.93402819976</v>
      </c>
      <c r="F117" s="221">
        <f t="shared" si="35"/>
        <v>3474.4303912614951</v>
      </c>
      <c r="G117" s="218">
        <f t="shared" si="45"/>
        <v>-7.6070510444426649</v>
      </c>
      <c r="H117" s="218">
        <f t="shared" si="46"/>
        <v>-7.0676360622224648</v>
      </c>
      <c r="I117" s="218">
        <f t="shared" si="47"/>
        <v>45.492829825799745</v>
      </c>
      <c r="J117" s="218">
        <f t="shared" si="48"/>
        <v>38.993854136399804</v>
      </c>
      <c r="K117" s="218">
        <f t="shared" si="49"/>
        <v>38.993854136399797</v>
      </c>
      <c r="L117" s="218">
        <f t="shared" si="50"/>
        <v>7473.822042809963</v>
      </c>
      <c r="M117" s="192">
        <f t="shared" si="36"/>
        <v>23.400289854961816</v>
      </c>
      <c r="N117" s="211">
        <v>97</v>
      </c>
      <c r="O117" s="211">
        <f>'Emission-Waste Transport Vehicl'!N68</f>
        <v>16.301268720000003</v>
      </c>
      <c r="P117" s="211">
        <f>'Emission-Waste Transport Vehicl'!O68</f>
        <v>23.714951040000003</v>
      </c>
      <c r="Q117" s="211">
        <f>'Emission-Waste Transport Vehicl'!P68</f>
        <v>9.0697543200000013</v>
      </c>
      <c r="R117" s="211">
        <f>'Emission-Waste Transport Vehicl'!Q68</f>
        <v>7.0438262400000005</v>
      </c>
      <c r="S117" s="211">
        <f>'Emission-Waste Transport Vehicl'!R68</f>
        <v>0.70107048000000005</v>
      </c>
      <c r="T117" s="211">
        <f>'Emission-Waste Transport Vehicl'!S68</f>
        <v>3.2238201600000002E-2</v>
      </c>
      <c r="U117" s="174">
        <f t="shared" si="37"/>
        <v>2269.828115931296</v>
      </c>
      <c r="V117" s="1850">
        <f t="shared" si="38"/>
        <v>-124.00458324221657</v>
      </c>
      <c r="W117" s="1850">
        <f t="shared" si="39"/>
        <v>-167.60864318414417</v>
      </c>
      <c r="X117" s="1850">
        <f t="shared" si="40"/>
        <v>412.60878984157216</v>
      </c>
      <c r="Y117" s="1850">
        <f t="shared" si="41"/>
        <v>274.66593296470552</v>
      </c>
      <c r="Z117" s="1850">
        <f t="shared" si="42"/>
        <v>27.337440036455792</v>
      </c>
      <c r="AA117" s="1850">
        <f t="shared" si="43"/>
        <v>240.94258173863145</v>
      </c>
      <c r="AB117" s="2733"/>
      <c r="AC117" s="3009"/>
    </row>
    <row r="118" spans="1:29" ht="18.75" x14ac:dyDescent="0.25">
      <c r="A118" s="2982"/>
      <c r="B118" s="2993"/>
      <c r="C118" s="1863">
        <v>2055</v>
      </c>
      <c r="D118" s="218">
        <f t="shared" si="44"/>
        <v>-113732.07456449943</v>
      </c>
      <c r="E118" s="221">
        <f t="shared" si="34"/>
        <v>133657.93402819976</v>
      </c>
      <c r="F118" s="221">
        <f t="shared" si="35"/>
        <v>3474.4303912614951</v>
      </c>
      <c r="G118" s="218">
        <f t="shared" si="45"/>
        <v>-7.6070510444426649</v>
      </c>
      <c r="H118" s="218">
        <f t="shared" si="46"/>
        <v>-7.0676360622224648</v>
      </c>
      <c r="I118" s="218">
        <f t="shared" si="47"/>
        <v>45.492829825799745</v>
      </c>
      <c r="J118" s="218">
        <f t="shared" si="48"/>
        <v>38.993854136399804</v>
      </c>
      <c r="K118" s="218">
        <f t="shared" si="49"/>
        <v>38.993854136399797</v>
      </c>
      <c r="L118" s="218">
        <f t="shared" si="50"/>
        <v>7473.822042809963</v>
      </c>
      <c r="M118" s="192">
        <f t="shared" si="36"/>
        <v>23.400289854961816</v>
      </c>
      <c r="N118" s="211">
        <v>97</v>
      </c>
      <c r="O118" s="211">
        <f>'Emission-Waste Transport Vehicl'!N69</f>
        <v>15.981763853088003</v>
      </c>
      <c r="P118" s="211">
        <f>'Emission-Waste Transport Vehicl'!O69</f>
        <v>23.250137999616001</v>
      </c>
      <c r="Q118" s="211">
        <f>'Emission-Waste Transport Vehicl'!P69</f>
        <v>8.8919871353280016</v>
      </c>
      <c r="R118" s="211">
        <f>'Emission-Waste Transport Vehicl'!Q69</f>
        <v>6.9057672456960004</v>
      </c>
      <c r="S118" s="211">
        <f>'Emission-Waste Transport Vehicl'!R69</f>
        <v>0.6873294985920001</v>
      </c>
      <c r="T118" s="211">
        <f>'Emission-Waste Transport Vehicl'!S69</f>
        <v>3.1606332848640006E-2</v>
      </c>
      <c r="U118" s="174">
        <f t="shared" si="37"/>
        <v>2269.828115931296</v>
      </c>
      <c r="V118" s="1850">
        <f t="shared" si="38"/>
        <v>-121.57409341066912</v>
      </c>
      <c r="W118" s="1850">
        <f t="shared" si="39"/>
        <v>-164.32351377773492</v>
      </c>
      <c r="X118" s="1850">
        <f t="shared" si="40"/>
        <v>404.52165756067734</v>
      </c>
      <c r="Y118" s="1850">
        <f t="shared" si="41"/>
        <v>269.28248067859727</v>
      </c>
      <c r="Z118" s="1850">
        <f t="shared" si="42"/>
        <v>26.801626211741262</v>
      </c>
      <c r="AA118" s="1850">
        <f t="shared" si="43"/>
        <v>236.2201071365543</v>
      </c>
      <c r="AB118" s="2733"/>
      <c r="AC118" s="3009"/>
    </row>
    <row r="119" spans="1:29" ht="18.75" x14ac:dyDescent="0.25">
      <c r="A119" s="2982"/>
      <c r="B119" s="2993"/>
      <c r="C119" s="1863">
        <v>2056</v>
      </c>
      <c r="D119" s="218">
        <f t="shared" si="44"/>
        <v>-113732.07456449943</v>
      </c>
      <c r="E119" s="221">
        <f t="shared" si="34"/>
        <v>133657.93402819976</v>
      </c>
      <c r="F119" s="221">
        <f t="shared" si="35"/>
        <v>3474.4303912614951</v>
      </c>
      <c r="G119" s="218">
        <f t="shared" si="45"/>
        <v>-7.6070510444426649</v>
      </c>
      <c r="H119" s="218">
        <f t="shared" si="46"/>
        <v>-7.0676360622224648</v>
      </c>
      <c r="I119" s="218">
        <f t="shared" si="47"/>
        <v>45.492829825799745</v>
      </c>
      <c r="J119" s="218">
        <f t="shared" si="48"/>
        <v>38.993854136399804</v>
      </c>
      <c r="K119" s="218">
        <f t="shared" si="49"/>
        <v>38.993854136399797</v>
      </c>
      <c r="L119" s="218">
        <f t="shared" si="50"/>
        <v>7473.822042809963</v>
      </c>
      <c r="M119" s="192">
        <f t="shared" si="36"/>
        <v>23.400289854961816</v>
      </c>
      <c r="N119" s="211">
        <v>97</v>
      </c>
      <c r="O119" s="211">
        <f>'Emission-Waste Transport Vehicl'!N70</f>
        <v>15.668779493664003</v>
      </c>
      <c r="P119" s="211">
        <f>'Emission-Waste Transport Vehicl'!O70</f>
        <v>22.794810939648006</v>
      </c>
      <c r="Q119" s="211">
        <f>'Emission-Waste Transport Vehicl'!P70</f>
        <v>8.7178478523840006</v>
      </c>
      <c r="R119" s="211">
        <f>'Emission-Waste Transport Vehicl'!Q70</f>
        <v>6.7705257818880007</v>
      </c>
      <c r="S119" s="211">
        <f>'Emission-Waste Transport Vehicl'!R70</f>
        <v>0.67386894537600017</v>
      </c>
      <c r="T119" s="211">
        <f>'Emission-Waste Transport Vehicl'!S70</f>
        <v>3.0987359377920003E-2</v>
      </c>
      <c r="U119" s="174">
        <f t="shared" si="37"/>
        <v>2269.828115931296</v>
      </c>
      <c r="V119" s="1850">
        <f t="shared" si="38"/>
        <v>-119.19320541241856</v>
      </c>
      <c r="W119" s="1850">
        <f t="shared" si="39"/>
        <v>-161.1054278285994</v>
      </c>
      <c r="X119" s="1850">
        <f t="shared" si="40"/>
        <v>396.59956879571911</v>
      </c>
      <c r="Y119" s="1850">
        <f t="shared" si="41"/>
        <v>264.00889476567494</v>
      </c>
      <c r="Z119" s="1850">
        <f t="shared" si="42"/>
        <v>26.276747363041313</v>
      </c>
      <c r="AA119" s="1850">
        <f t="shared" si="43"/>
        <v>231.59400956717255</v>
      </c>
      <c r="AB119" s="2733"/>
      <c r="AC119" s="3009"/>
    </row>
    <row r="120" spans="1:29" ht="18.75" x14ac:dyDescent="0.25">
      <c r="A120" s="2982"/>
      <c r="B120" s="2993"/>
      <c r="C120" s="1863">
        <v>2057</v>
      </c>
      <c r="D120" s="218">
        <f t="shared" si="44"/>
        <v>-113732.07456449943</v>
      </c>
      <c r="E120" s="221">
        <f t="shared" si="34"/>
        <v>133657.93402819976</v>
      </c>
      <c r="F120" s="221">
        <f t="shared" si="35"/>
        <v>3474.4303912614951</v>
      </c>
      <c r="G120" s="218">
        <f t="shared" si="45"/>
        <v>-7.6070510444426649</v>
      </c>
      <c r="H120" s="218">
        <f t="shared" si="46"/>
        <v>-7.0676360622224648</v>
      </c>
      <c r="I120" s="218">
        <f t="shared" si="47"/>
        <v>45.492829825799745</v>
      </c>
      <c r="J120" s="218">
        <f t="shared" si="48"/>
        <v>38.993854136399804</v>
      </c>
      <c r="K120" s="218">
        <f t="shared" si="49"/>
        <v>38.993854136399797</v>
      </c>
      <c r="L120" s="218">
        <f t="shared" si="50"/>
        <v>7473.822042809963</v>
      </c>
      <c r="M120" s="192">
        <f t="shared" si="36"/>
        <v>23.400289854961816</v>
      </c>
      <c r="N120" s="211">
        <v>97</v>
      </c>
      <c r="O120" s="211">
        <f>'Emission-Waste Transport Vehicl'!N71</f>
        <v>15.362315641728001</v>
      </c>
      <c r="P120" s="211">
        <f>'Emission-Waste Transport Vehicl'!O71</f>
        <v>22.348969860096002</v>
      </c>
      <c r="Q120" s="211">
        <f>'Emission-Waste Transport Vehicl'!P71</f>
        <v>8.547336471168002</v>
      </c>
      <c r="R120" s="211">
        <f>'Emission-Waste Transport Vehicl'!Q71</f>
        <v>6.6381018485760004</v>
      </c>
      <c r="S120" s="211">
        <f>'Emission-Waste Transport Vehicl'!R71</f>
        <v>0.66068882035200005</v>
      </c>
      <c r="T120" s="211">
        <f>'Emission-Waste Transport Vehicl'!S71</f>
        <v>3.038128118784E-2</v>
      </c>
      <c r="U120" s="174">
        <f t="shared" si="37"/>
        <v>2269.828115931296</v>
      </c>
      <c r="V120" s="1850">
        <f t="shared" si="38"/>
        <v>-116.86191924746488</v>
      </c>
      <c r="W120" s="1850">
        <f t="shared" si="39"/>
        <v>-157.95438533673746</v>
      </c>
      <c r="X120" s="1850">
        <f t="shared" si="40"/>
        <v>388.84252354669763</v>
      </c>
      <c r="Y120" s="1850">
        <f t="shared" si="41"/>
        <v>258.84517522593848</v>
      </c>
      <c r="Z120" s="1850">
        <f t="shared" si="42"/>
        <v>25.762803490355939</v>
      </c>
      <c r="AA120" s="1850">
        <f t="shared" si="43"/>
        <v>227.06428903048624</v>
      </c>
      <c r="AB120" s="2733"/>
      <c r="AC120" s="3009"/>
    </row>
    <row r="121" spans="1:29" ht="18.75" x14ac:dyDescent="0.25">
      <c r="A121" s="2982"/>
      <c r="B121" s="2993"/>
      <c r="C121" s="1863">
        <v>2058</v>
      </c>
      <c r="D121" s="218">
        <f t="shared" si="44"/>
        <v>-113732.07456449943</v>
      </c>
      <c r="E121" s="221">
        <f t="shared" si="34"/>
        <v>133657.93402819976</v>
      </c>
      <c r="F121" s="221">
        <f t="shared" si="35"/>
        <v>3474.4303912614951</v>
      </c>
      <c r="G121" s="218">
        <f t="shared" si="45"/>
        <v>-7.6070510444426649</v>
      </c>
      <c r="H121" s="218">
        <f t="shared" si="46"/>
        <v>-7.0676360622224648</v>
      </c>
      <c r="I121" s="218">
        <f t="shared" si="47"/>
        <v>45.492829825799745</v>
      </c>
      <c r="J121" s="218">
        <f t="shared" si="48"/>
        <v>38.993854136399804</v>
      </c>
      <c r="K121" s="218">
        <f t="shared" si="49"/>
        <v>38.993854136399797</v>
      </c>
      <c r="L121" s="218">
        <f t="shared" si="50"/>
        <v>7473.822042809963</v>
      </c>
      <c r="M121" s="192">
        <f t="shared" si="36"/>
        <v>23.400289854961816</v>
      </c>
      <c r="N121" s="211">
        <v>97</v>
      </c>
      <c r="O121" s="211">
        <f>'Emission-Waste Transport Vehicl'!N72</f>
        <v>15.059112043536</v>
      </c>
      <c r="P121" s="211">
        <f>'Emission-Waste Transport Vehicl'!O72</f>
        <v>21.907871770752003</v>
      </c>
      <c r="Q121" s="211">
        <f>'Emission-Waste Transport Vehicl'!P72</f>
        <v>8.378639040816001</v>
      </c>
      <c r="R121" s="211">
        <f>'Emission-Waste Transport Vehicl'!Q72</f>
        <v>6.5070866805119998</v>
      </c>
      <c r="S121" s="211">
        <f>'Emission-Waste Transport Vehicl'!R72</f>
        <v>0.647648909424</v>
      </c>
      <c r="T121" s="211">
        <f>'Emission-Waste Transport Vehicl'!S72</f>
        <v>2.9781650638080002E-2</v>
      </c>
      <c r="U121" s="174">
        <f t="shared" si="37"/>
        <v>2269.828115931296</v>
      </c>
      <c r="V121" s="1850">
        <f t="shared" si="38"/>
        <v>-114.55543399915965</v>
      </c>
      <c r="W121" s="1850">
        <f t="shared" si="39"/>
        <v>-154.83686457351237</v>
      </c>
      <c r="X121" s="1850">
        <f t="shared" si="40"/>
        <v>381.16800005564431</v>
      </c>
      <c r="Y121" s="1850">
        <f t="shared" si="41"/>
        <v>253.73638887279492</v>
      </c>
      <c r="Z121" s="1850">
        <f t="shared" si="42"/>
        <v>25.254327105677859</v>
      </c>
      <c r="AA121" s="1850">
        <f t="shared" si="43"/>
        <v>222.58275701014773</v>
      </c>
      <c r="AB121" s="2733"/>
      <c r="AC121" s="3009"/>
    </row>
    <row r="122" spans="1:29" ht="18.75" x14ac:dyDescent="0.25">
      <c r="A122" s="2982"/>
      <c r="B122" s="2993"/>
      <c r="C122" s="1863">
        <v>2059</v>
      </c>
      <c r="D122" s="218">
        <f t="shared" si="44"/>
        <v>-113732.07456449943</v>
      </c>
      <c r="E122" s="221">
        <f t="shared" si="34"/>
        <v>133657.93402819976</v>
      </c>
      <c r="F122" s="221">
        <f t="shared" si="35"/>
        <v>3474.4303912614951</v>
      </c>
      <c r="G122" s="218">
        <f t="shared" si="45"/>
        <v>-7.6070510444426649</v>
      </c>
      <c r="H122" s="218">
        <f t="shared" si="46"/>
        <v>-7.0676360622224648</v>
      </c>
      <c r="I122" s="218">
        <f t="shared" si="47"/>
        <v>45.492829825799745</v>
      </c>
      <c r="J122" s="218">
        <f t="shared" si="48"/>
        <v>38.993854136399804</v>
      </c>
      <c r="K122" s="218">
        <f t="shared" si="49"/>
        <v>38.993854136399797</v>
      </c>
      <c r="L122" s="218">
        <f t="shared" si="50"/>
        <v>7473.822042809963</v>
      </c>
      <c r="M122" s="192">
        <f t="shared" si="36"/>
        <v>23.400289854961816</v>
      </c>
      <c r="N122" s="211">
        <v>97</v>
      </c>
      <c r="O122" s="211">
        <f>'Emission-Waste Transport Vehicl'!N73</f>
        <v>14.765689206576004</v>
      </c>
      <c r="P122" s="211">
        <f>'Emission-Waste Transport Vehicl'!O73</f>
        <v>21.481002652032004</v>
      </c>
      <c r="Q122" s="211">
        <f>'Emission-Waste Transport Vehicl'!P73</f>
        <v>8.2153834630560016</v>
      </c>
      <c r="R122" s="211">
        <f>'Emission-Waste Transport Vehicl'!Q73</f>
        <v>6.380297808192001</v>
      </c>
      <c r="S122" s="211">
        <f>'Emission-Waste Transport Vehicl'!R73</f>
        <v>0.63502964078400004</v>
      </c>
      <c r="T122" s="211">
        <f>'Emission-Waste Transport Vehicl'!S73</f>
        <v>2.9201363009280005E-2</v>
      </c>
      <c r="U122" s="174">
        <f t="shared" si="37"/>
        <v>2269.828115931296</v>
      </c>
      <c r="V122" s="1850">
        <f t="shared" si="38"/>
        <v>-112.32335150079977</v>
      </c>
      <c r="W122" s="1850">
        <f t="shared" si="39"/>
        <v>-151.8199089961978</v>
      </c>
      <c r="X122" s="1850">
        <f t="shared" si="40"/>
        <v>373.74104183849607</v>
      </c>
      <c r="Y122" s="1850">
        <f t="shared" si="41"/>
        <v>248.79240207943027</v>
      </c>
      <c r="Z122" s="1850">
        <f t="shared" si="42"/>
        <v>24.762253185021656</v>
      </c>
      <c r="AA122" s="1850">
        <f t="shared" si="43"/>
        <v>218.24579053885236</v>
      </c>
      <c r="AB122" s="2733"/>
      <c r="AC122" s="3009"/>
    </row>
    <row r="123" spans="1:29" ht="18.75" x14ac:dyDescent="0.25">
      <c r="A123" s="2982"/>
      <c r="B123" s="2993"/>
      <c r="C123" s="1863">
        <v>2060</v>
      </c>
      <c r="D123" s="218">
        <f t="shared" si="44"/>
        <v>-113732.07456449943</v>
      </c>
      <c r="E123" s="221">
        <f t="shared" si="34"/>
        <v>133657.93402819976</v>
      </c>
      <c r="F123" s="221">
        <f t="shared" si="35"/>
        <v>3474.4303912614951</v>
      </c>
      <c r="G123" s="218">
        <f t="shared" si="45"/>
        <v>-7.6070510444426649</v>
      </c>
      <c r="H123" s="218">
        <f t="shared" si="46"/>
        <v>-7.0676360622224648</v>
      </c>
      <c r="I123" s="218">
        <f t="shared" si="47"/>
        <v>45.492829825799745</v>
      </c>
      <c r="J123" s="218">
        <f t="shared" si="48"/>
        <v>38.993854136399804</v>
      </c>
      <c r="K123" s="218">
        <f t="shared" si="49"/>
        <v>38.993854136399797</v>
      </c>
      <c r="L123" s="218">
        <f t="shared" si="50"/>
        <v>7473.822042809963</v>
      </c>
      <c r="M123" s="192">
        <f t="shared" si="36"/>
        <v>23.400289854961816</v>
      </c>
      <c r="N123" s="211">
        <v>97</v>
      </c>
      <c r="O123" s="211">
        <f>'Emission-Waste Transport Vehicl'!N74</f>
        <v>14.475526623360002</v>
      </c>
      <c r="P123" s="211">
        <f>'Emission-Waste Transport Vehicl'!O74</f>
        <v>21.058876523520002</v>
      </c>
      <c r="Q123" s="211">
        <f>'Emission-Waste Transport Vehicl'!P74</f>
        <v>8.0539418361599999</v>
      </c>
      <c r="R123" s="211">
        <f>'Emission-Waste Transport Vehicl'!Q74</f>
        <v>6.2549177011200001</v>
      </c>
      <c r="S123" s="211">
        <f>'Emission-Waste Transport Vehicl'!R74</f>
        <v>0.62255058624000004</v>
      </c>
      <c r="T123" s="211">
        <f>'Emission-Waste Transport Vehicl'!S74</f>
        <v>2.8627523020800003E-2</v>
      </c>
      <c r="U123" s="174">
        <f t="shared" si="37"/>
        <v>2269.828115931296</v>
      </c>
      <c r="V123" s="1850">
        <f t="shared" si="38"/>
        <v>-110.1160699190883</v>
      </c>
      <c r="W123" s="1850">
        <f t="shared" si="39"/>
        <v>-148.83647514752002</v>
      </c>
      <c r="X123" s="1850">
        <f t="shared" si="40"/>
        <v>366.39660537931599</v>
      </c>
      <c r="Y123" s="1850">
        <f t="shared" si="41"/>
        <v>243.90334847265848</v>
      </c>
      <c r="Z123" s="1850">
        <f t="shared" si="42"/>
        <v>24.275646752372744</v>
      </c>
      <c r="AA123" s="1850">
        <f t="shared" si="43"/>
        <v>213.95701258390471</v>
      </c>
      <c r="AB123" s="2733"/>
      <c r="AC123" s="3009"/>
    </row>
    <row r="124" spans="1:29" ht="18.75" x14ac:dyDescent="0.25">
      <c r="A124" s="2982"/>
      <c r="B124" s="2993"/>
      <c r="C124" s="1863">
        <v>2061</v>
      </c>
      <c r="D124" s="218">
        <f t="shared" si="44"/>
        <v>-113732.07456449943</v>
      </c>
      <c r="E124" s="221">
        <f t="shared" si="34"/>
        <v>133657.93402819976</v>
      </c>
      <c r="F124" s="221">
        <f t="shared" si="35"/>
        <v>3474.4303912614951</v>
      </c>
      <c r="G124" s="218">
        <f t="shared" si="45"/>
        <v>-7.6070510444426649</v>
      </c>
      <c r="H124" s="218">
        <f t="shared" si="46"/>
        <v>-7.0676360622224648</v>
      </c>
      <c r="I124" s="218">
        <f t="shared" si="47"/>
        <v>45.492829825799745</v>
      </c>
      <c r="J124" s="218">
        <f t="shared" si="48"/>
        <v>38.993854136399804</v>
      </c>
      <c r="K124" s="218">
        <f t="shared" si="49"/>
        <v>38.993854136399797</v>
      </c>
      <c r="L124" s="218">
        <f t="shared" si="50"/>
        <v>7473.822042809963</v>
      </c>
      <c r="M124" s="192">
        <f t="shared" si="36"/>
        <v>23.400289854961816</v>
      </c>
      <c r="N124" s="211">
        <v>97</v>
      </c>
      <c r="O124" s="211">
        <f>'Emission-Waste Transport Vehicl'!N75</f>
        <v>14.191884547632004</v>
      </c>
      <c r="P124" s="211">
        <f>'Emission-Waste Transport Vehicl'!O75</f>
        <v>20.646236375424003</v>
      </c>
      <c r="Q124" s="211">
        <f>'Emission-Waste Transport Vehicl'!P75</f>
        <v>7.8961281109920014</v>
      </c>
      <c r="R124" s="211">
        <f>'Emission-Waste Transport Vehicl'!Q75</f>
        <v>6.1323551245440004</v>
      </c>
      <c r="S124" s="211">
        <f>'Emission-Waste Transport Vehicl'!R75</f>
        <v>0.61035195988800006</v>
      </c>
      <c r="T124" s="211">
        <f>'Emission-Waste Transport Vehicl'!S75</f>
        <v>2.8066578312960003E-2</v>
      </c>
      <c r="U124" s="174">
        <f t="shared" si="37"/>
        <v>2269.828115931296</v>
      </c>
      <c r="V124" s="1850">
        <f t="shared" si="38"/>
        <v>-107.95839017067375</v>
      </c>
      <c r="W124" s="1850">
        <f t="shared" si="39"/>
        <v>-145.92008475611593</v>
      </c>
      <c r="X124" s="1850">
        <f t="shared" si="40"/>
        <v>359.21721243607271</v>
      </c>
      <c r="Y124" s="1850">
        <f t="shared" si="41"/>
        <v>239.12416123907261</v>
      </c>
      <c r="Z124" s="1850">
        <f t="shared" si="42"/>
        <v>23.799975295738413</v>
      </c>
      <c r="AA124" s="1850">
        <f t="shared" si="43"/>
        <v>209.76461166165254</v>
      </c>
      <c r="AB124" s="2733"/>
      <c r="AC124" s="3009"/>
    </row>
    <row r="125" spans="1:29" ht="18.75" x14ac:dyDescent="0.25">
      <c r="A125" s="2982"/>
      <c r="B125" s="2993"/>
      <c r="C125" s="1863">
        <v>2062</v>
      </c>
      <c r="D125" s="218">
        <f t="shared" si="44"/>
        <v>-113732.07456449943</v>
      </c>
      <c r="E125" s="221">
        <f t="shared" si="34"/>
        <v>133657.93402819976</v>
      </c>
      <c r="F125" s="221">
        <f t="shared" si="35"/>
        <v>3474.4303912614951</v>
      </c>
      <c r="G125" s="218">
        <f t="shared" si="45"/>
        <v>-7.6070510444426649</v>
      </c>
      <c r="H125" s="218">
        <f t="shared" si="46"/>
        <v>-7.0676360622224648</v>
      </c>
      <c r="I125" s="218">
        <f t="shared" si="47"/>
        <v>45.492829825799745</v>
      </c>
      <c r="J125" s="218">
        <f t="shared" si="48"/>
        <v>38.993854136399804</v>
      </c>
      <c r="K125" s="218">
        <f t="shared" si="49"/>
        <v>38.993854136399797</v>
      </c>
      <c r="L125" s="218">
        <f t="shared" si="50"/>
        <v>7473.822042809963</v>
      </c>
      <c r="M125" s="192">
        <f t="shared" si="36"/>
        <v>23.400289854961816</v>
      </c>
      <c r="N125" s="211">
        <v>97</v>
      </c>
      <c r="O125" s="211">
        <f>'Emission-Waste Transport Vehicl'!N76</f>
        <v>13.914762979392002</v>
      </c>
      <c r="P125" s="211">
        <f>'Emission-Waste Transport Vehicl'!O76</f>
        <v>20.243082207744003</v>
      </c>
      <c r="Q125" s="211">
        <f>'Emission-Waste Transport Vehicl'!P76</f>
        <v>7.7419422875520008</v>
      </c>
      <c r="R125" s="211">
        <f>'Emission-Waste Transport Vehicl'!Q76</f>
        <v>6.0126100784640002</v>
      </c>
      <c r="S125" s="211">
        <f>'Emission-Waste Transport Vehicl'!R76</f>
        <v>0.59843376172800011</v>
      </c>
      <c r="T125" s="211">
        <f>'Emission-Waste Transport Vehicl'!S76</f>
        <v>2.7518528885760004E-2</v>
      </c>
      <c r="U125" s="174">
        <f t="shared" si="37"/>
        <v>2269.828115931296</v>
      </c>
      <c r="V125" s="1850">
        <f t="shared" si="38"/>
        <v>-105.85031225555605</v>
      </c>
      <c r="W125" s="1850">
        <f t="shared" si="39"/>
        <v>-143.07073782198546</v>
      </c>
      <c r="X125" s="1850">
        <f t="shared" si="40"/>
        <v>352.20286300876597</v>
      </c>
      <c r="Y125" s="1850">
        <f t="shared" si="41"/>
        <v>234.4548403786726</v>
      </c>
      <c r="Z125" s="1850">
        <f t="shared" si="42"/>
        <v>23.335238815118668</v>
      </c>
      <c r="AA125" s="1850">
        <f t="shared" si="43"/>
        <v>205.6685877720958</v>
      </c>
      <c r="AB125" s="2733"/>
      <c r="AC125" s="3009"/>
    </row>
    <row r="126" spans="1:29" ht="18.75" x14ac:dyDescent="0.25">
      <c r="A126" s="2982"/>
      <c r="B126" s="2993"/>
      <c r="C126" s="1863">
        <v>2063</v>
      </c>
      <c r="D126" s="218">
        <f t="shared" si="44"/>
        <v>-113732.07456449943</v>
      </c>
      <c r="E126" s="221">
        <f t="shared" si="34"/>
        <v>133657.93402819976</v>
      </c>
      <c r="F126" s="221">
        <f t="shared" si="35"/>
        <v>3474.4303912614951</v>
      </c>
      <c r="G126" s="218">
        <f t="shared" si="45"/>
        <v>-7.6070510444426649</v>
      </c>
      <c r="H126" s="218">
        <f t="shared" si="46"/>
        <v>-7.0676360622224648</v>
      </c>
      <c r="I126" s="218">
        <f t="shared" si="47"/>
        <v>45.492829825799745</v>
      </c>
      <c r="J126" s="218">
        <f t="shared" si="48"/>
        <v>38.993854136399804</v>
      </c>
      <c r="K126" s="218">
        <f t="shared" si="49"/>
        <v>38.993854136399797</v>
      </c>
      <c r="L126" s="218">
        <f t="shared" si="50"/>
        <v>7473.822042809963</v>
      </c>
      <c r="M126" s="192">
        <f t="shared" si="36"/>
        <v>23.400289854961816</v>
      </c>
      <c r="N126" s="211">
        <v>97</v>
      </c>
      <c r="O126" s="211">
        <f>'Emission-Waste Transport Vehicl'!N77</f>
        <v>13.640901664896001</v>
      </c>
      <c r="P126" s="211">
        <f>'Emission-Waste Transport Vehicl'!O77</f>
        <v>19.844671030272</v>
      </c>
      <c r="Q126" s="211">
        <f>'Emission-Waste Transport Vehicl'!P77</f>
        <v>7.5895704149760004</v>
      </c>
      <c r="R126" s="211">
        <f>'Emission-Waste Transport Vehicl'!Q77</f>
        <v>5.8942737976319997</v>
      </c>
      <c r="S126" s="211">
        <f>'Emission-Waste Transport Vehicl'!R77</f>
        <v>0.58665577766400001</v>
      </c>
      <c r="T126" s="211">
        <f>'Emission-Waste Transport Vehicl'!S77</f>
        <v>2.6976927098879999E-2</v>
      </c>
      <c r="U126" s="174">
        <f t="shared" si="37"/>
        <v>2269.828115931296</v>
      </c>
      <c r="V126" s="1850">
        <f t="shared" si="38"/>
        <v>-103.7670352570868</v>
      </c>
      <c r="W126" s="1850">
        <f t="shared" si="39"/>
        <v>-140.25491261649182</v>
      </c>
      <c r="X126" s="1850">
        <f t="shared" si="40"/>
        <v>345.27103533942756</v>
      </c>
      <c r="Y126" s="1850">
        <f t="shared" si="41"/>
        <v>229.84045270486553</v>
      </c>
      <c r="Z126" s="1850">
        <f t="shared" si="42"/>
        <v>22.875969822506207</v>
      </c>
      <c r="AA126" s="1850">
        <f t="shared" si="43"/>
        <v>201.62075239888676</v>
      </c>
      <c r="AB126" s="2733"/>
      <c r="AC126" s="3009"/>
    </row>
    <row r="127" spans="1:29" ht="18.75" x14ac:dyDescent="0.25">
      <c r="A127" s="2982"/>
      <c r="B127" s="2993"/>
      <c r="C127" s="1863">
        <v>2064</v>
      </c>
      <c r="D127" s="218">
        <f t="shared" si="44"/>
        <v>-113732.07456449943</v>
      </c>
      <c r="E127" s="221">
        <f t="shared" si="34"/>
        <v>133657.93402819976</v>
      </c>
      <c r="F127" s="221">
        <f t="shared" si="35"/>
        <v>3474.4303912614951</v>
      </c>
      <c r="G127" s="218">
        <f t="shared" si="45"/>
        <v>-7.6070510444426649</v>
      </c>
      <c r="H127" s="218">
        <f t="shared" si="46"/>
        <v>-7.0676360622224648</v>
      </c>
      <c r="I127" s="218">
        <f t="shared" si="47"/>
        <v>45.492829825799745</v>
      </c>
      <c r="J127" s="218">
        <f t="shared" si="48"/>
        <v>38.993854136399804</v>
      </c>
      <c r="K127" s="218">
        <f t="shared" si="49"/>
        <v>38.993854136399797</v>
      </c>
      <c r="L127" s="218">
        <f t="shared" si="50"/>
        <v>7473.822042809963</v>
      </c>
      <c r="M127" s="192">
        <f t="shared" si="36"/>
        <v>23.400289854961816</v>
      </c>
      <c r="N127" s="211">
        <v>97</v>
      </c>
      <c r="O127" s="211">
        <f>'Emission-Waste Transport Vehicl'!N78</f>
        <v>13.373560857888002</v>
      </c>
      <c r="P127" s="211">
        <f>'Emission-Waste Transport Vehicl'!O78</f>
        <v>19.455745833216003</v>
      </c>
      <c r="Q127" s="211">
        <f>'Emission-Waste Transport Vehicl'!P78</f>
        <v>7.4408264441280014</v>
      </c>
      <c r="R127" s="211">
        <f>'Emission-Waste Transport Vehicl'!Q78</f>
        <v>5.7787550472960003</v>
      </c>
      <c r="S127" s="211">
        <f>'Emission-Waste Transport Vehicl'!R78</f>
        <v>0.57515822179200005</v>
      </c>
      <c r="T127" s="211">
        <f>'Emission-Waste Transport Vehicl'!S78</f>
        <v>2.6448220592640001E-2</v>
      </c>
      <c r="U127" s="174">
        <f t="shared" si="37"/>
        <v>2269.828115931296</v>
      </c>
      <c r="V127" s="1850">
        <f t="shared" si="38"/>
        <v>-101.73336009191446</v>
      </c>
      <c r="W127" s="1850">
        <f t="shared" si="39"/>
        <v>-137.50613086827187</v>
      </c>
      <c r="X127" s="1850">
        <f t="shared" si="40"/>
        <v>338.50425118602578</v>
      </c>
      <c r="Y127" s="1850">
        <f t="shared" si="41"/>
        <v>225.33593140424438</v>
      </c>
      <c r="Z127" s="1850">
        <f t="shared" si="42"/>
        <v>22.427635805908334</v>
      </c>
      <c r="AA127" s="1850">
        <f t="shared" si="43"/>
        <v>197.66929405837323</v>
      </c>
      <c r="AB127" s="2733"/>
      <c r="AC127" s="3009"/>
    </row>
    <row r="128" spans="1:29" ht="18.75" x14ac:dyDescent="0.25">
      <c r="A128" s="2982"/>
      <c r="B128" s="2993"/>
      <c r="C128" s="1863">
        <v>2065</v>
      </c>
      <c r="D128" s="218">
        <f t="shared" si="44"/>
        <v>-113732.07456449943</v>
      </c>
      <c r="E128" s="221">
        <f t="shared" si="34"/>
        <v>133657.93402819976</v>
      </c>
      <c r="F128" s="221">
        <f t="shared" si="35"/>
        <v>3474.4303912614951</v>
      </c>
      <c r="G128" s="218">
        <f t="shared" si="45"/>
        <v>-7.6070510444426649</v>
      </c>
      <c r="H128" s="218">
        <f t="shared" si="46"/>
        <v>-7.0676360622224648</v>
      </c>
      <c r="I128" s="218">
        <f t="shared" si="47"/>
        <v>45.492829825799745</v>
      </c>
      <c r="J128" s="218">
        <f t="shared" si="48"/>
        <v>38.993854136399804</v>
      </c>
      <c r="K128" s="218">
        <f t="shared" si="49"/>
        <v>38.993854136399797</v>
      </c>
      <c r="L128" s="218">
        <f t="shared" si="50"/>
        <v>7473.822042809963</v>
      </c>
      <c r="M128" s="192">
        <f t="shared" si="36"/>
        <v>23.400289854961816</v>
      </c>
      <c r="N128" s="211">
        <v>97</v>
      </c>
      <c r="O128" s="211">
        <f>'Emission-Waste Transport Vehicl'!N79</f>
        <v>13.112740558368001</v>
      </c>
      <c r="P128" s="211">
        <f>'Emission-Waste Transport Vehicl'!O79</f>
        <v>19.076306616576002</v>
      </c>
      <c r="Q128" s="211">
        <f>'Emission-Waste Transport Vehicl'!P79</f>
        <v>7.2957103750080003</v>
      </c>
      <c r="R128" s="211">
        <f>'Emission-Waste Transport Vehicl'!Q79</f>
        <v>5.6660538274560004</v>
      </c>
      <c r="S128" s="211">
        <f>'Emission-Waste Transport Vehicl'!R79</f>
        <v>0.56394109411200011</v>
      </c>
      <c r="T128" s="211">
        <f>'Emission-Waste Transport Vehicl'!S79</f>
        <v>2.5932409367040003E-2</v>
      </c>
      <c r="U128" s="174">
        <f t="shared" si="37"/>
        <v>2269.828115931296</v>
      </c>
      <c r="V128" s="1850">
        <f t="shared" si="38"/>
        <v>-99.749286760038999</v>
      </c>
      <c r="W128" s="1850">
        <f t="shared" si="39"/>
        <v>-134.82439257732557</v>
      </c>
      <c r="X128" s="1850">
        <f t="shared" si="40"/>
        <v>331.9025105485606</v>
      </c>
      <c r="Y128" s="1850">
        <f t="shared" si="41"/>
        <v>220.94127647680909</v>
      </c>
      <c r="Z128" s="1850">
        <f t="shared" si="42"/>
        <v>21.990236765325044</v>
      </c>
      <c r="AA128" s="1850">
        <f t="shared" si="43"/>
        <v>193.81421275055513</v>
      </c>
      <c r="AB128" s="2733"/>
      <c r="AC128" s="3009"/>
    </row>
    <row r="129" spans="1:29" ht="18.75" x14ac:dyDescent="0.25">
      <c r="A129" s="2982"/>
      <c r="B129" s="2993"/>
      <c r="C129" s="1863">
        <v>2066</v>
      </c>
      <c r="D129" s="218">
        <f t="shared" si="44"/>
        <v>-113732.07456449943</v>
      </c>
      <c r="E129" s="221">
        <f t="shared" si="34"/>
        <v>133657.93402819976</v>
      </c>
      <c r="F129" s="221">
        <f t="shared" si="35"/>
        <v>3474.4303912614951</v>
      </c>
      <c r="G129" s="218">
        <f t="shared" si="45"/>
        <v>-7.6070510444426649</v>
      </c>
      <c r="H129" s="218">
        <f t="shared" si="46"/>
        <v>-7.0676360622224648</v>
      </c>
      <c r="I129" s="218">
        <f t="shared" si="47"/>
        <v>45.492829825799745</v>
      </c>
      <c r="J129" s="218">
        <f t="shared" si="48"/>
        <v>38.993854136399804</v>
      </c>
      <c r="K129" s="218">
        <f t="shared" si="49"/>
        <v>38.993854136399797</v>
      </c>
      <c r="L129" s="218">
        <f t="shared" si="50"/>
        <v>7473.822042809963</v>
      </c>
      <c r="M129" s="192">
        <f t="shared" si="36"/>
        <v>23.400289854961816</v>
      </c>
      <c r="N129" s="211">
        <v>97</v>
      </c>
      <c r="O129" s="211">
        <f>'Emission-Waste Transport Vehicl'!N80</f>
        <v>12.855180512592</v>
      </c>
      <c r="P129" s="211">
        <f>'Emission-Waste Transport Vehicl'!O80</f>
        <v>18.701610390143998</v>
      </c>
      <c r="Q129" s="211">
        <f>'Emission-Waste Transport Vehicl'!P80</f>
        <v>7.1524082567520004</v>
      </c>
      <c r="R129" s="211">
        <f>'Emission-Waste Transport Vehicl'!Q80</f>
        <v>5.5547613728639993</v>
      </c>
      <c r="S129" s="211">
        <f>'Emission-Waste Transport Vehicl'!R80</f>
        <v>0.55286418052800002</v>
      </c>
      <c r="T129" s="211">
        <f>'Emission-Waste Transport Vehicl'!S80</f>
        <v>2.5423045781760002E-2</v>
      </c>
      <c r="U129" s="174">
        <f t="shared" si="37"/>
        <v>2269.828115931296</v>
      </c>
      <c r="V129" s="1850">
        <f t="shared" si="38"/>
        <v>-97.790014344811965</v>
      </c>
      <c r="W129" s="1850">
        <f t="shared" si="39"/>
        <v>-132.17617601501607</v>
      </c>
      <c r="X129" s="1850">
        <f t="shared" si="40"/>
        <v>325.38329166906379</v>
      </c>
      <c r="Y129" s="1850">
        <f t="shared" si="41"/>
        <v>216.60155473596672</v>
      </c>
      <c r="Z129" s="1850">
        <f t="shared" si="42"/>
        <v>21.558305212749037</v>
      </c>
      <c r="AA129" s="1850">
        <f t="shared" si="43"/>
        <v>190.00731995908475</v>
      </c>
      <c r="AB129" s="2733"/>
      <c r="AC129" s="3009"/>
    </row>
    <row r="130" spans="1:29" ht="18.75" x14ac:dyDescent="0.25">
      <c r="A130" s="2982"/>
      <c r="B130" s="2993"/>
      <c r="C130" s="1863">
        <v>2067</v>
      </c>
      <c r="D130" s="218">
        <f t="shared" si="44"/>
        <v>-113732.07456449943</v>
      </c>
      <c r="E130" s="221">
        <f t="shared" si="34"/>
        <v>133657.93402819976</v>
      </c>
      <c r="F130" s="221">
        <f t="shared" si="35"/>
        <v>3474.4303912614951</v>
      </c>
      <c r="G130" s="218">
        <f t="shared" si="45"/>
        <v>-7.6070510444426649</v>
      </c>
      <c r="H130" s="218">
        <f t="shared" si="46"/>
        <v>-7.0676360622224648</v>
      </c>
      <c r="I130" s="218">
        <f t="shared" si="47"/>
        <v>45.492829825799745</v>
      </c>
      <c r="J130" s="218">
        <f t="shared" si="48"/>
        <v>38.993854136399804</v>
      </c>
      <c r="K130" s="218">
        <f t="shared" si="49"/>
        <v>38.993854136399797</v>
      </c>
      <c r="L130" s="218">
        <f t="shared" si="50"/>
        <v>7473.822042809963</v>
      </c>
      <c r="M130" s="192">
        <f t="shared" si="36"/>
        <v>23.400289854961816</v>
      </c>
      <c r="N130" s="211">
        <v>97</v>
      </c>
      <c r="O130" s="211">
        <f>'Emission-Waste Transport Vehicl'!N81</f>
        <v>12.600880720560001</v>
      </c>
      <c r="P130" s="211">
        <f>'Emission-Waste Transport Vehicl'!O81</f>
        <v>18.331657153920002</v>
      </c>
      <c r="Q130" s="211">
        <f>'Emission-Waste Transport Vehicl'!P81</f>
        <v>7.0109200893600008</v>
      </c>
      <c r="R130" s="211">
        <f>'Emission-Waste Transport Vehicl'!Q81</f>
        <v>5.4448776835200006</v>
      </c>
      <c r="S130" s="211">
        <f>'Emission-Waste Transport Vehicl'!R81</f>
        <v>0.5419274810400001</v>
      </c>
      <c r="T130" s="211">
        <f>'Emission-Waste Transport Vehicl'!S81</f>
        <v>2.4920129836800003E-2</v>
      </c>
      <c r="U130" s="174">
        <f t="shared" si="37"/>
        <v>2269.828115931296</v>
      </c>
      <c r="V130" s="1850">
        <f t="shared" si="38"/>
        <v>-95.855542846233391</v>
      </c>
      <c r="W130" s="1850">
        <f t="shared" si="39"/>
        <v>-129.56148118134342</v>
      </c>
      <c r="X130" s="1850">
        <f t="shared" si="40"/>
        <v>318.94659454753526</v>
      </c>
      <c r="Y130" s="1850">
        <f t="shared" si="41"/>
        <v>212.31676618171736</v>
      </c>
      <c r="Z130" s="1850">
        <f t="shared" si="42"/>
        <v>21.131841148180332</v>
      </c>
      <c r="AA130" s="1850">
        <f t="shared" si="43"/>
        <v>186.2486156839621</v>
      </c>
      <c r="AB130" s="2733"/>
      <c r="AC130" s="3009"/>
    </row>
    <row r="131" spans="1:29" ht="18.75" x14ac:dyDescent="0.25">
      <c r="A131" s="2982"/>
      <c r="B131" s="2993"/>
      <c r="C131" s="1863">
        <v>2068</v>
      </c>
      <c r="D131" s="218">
        <f t="shared" si="44"/>
        <v>-113732.07456449943</v>
      </c>
      <c r="E131" s="221">
        <f t="shared" si="34"/>
        <v>133657.93402819976</v>
      </c>
      <c r="F131" s="221">
        <f t="shared" si="35"/>
        <v>3474.4303912614951</v>
      </c>
      <c r="G131" s="218">
        <f t="shared" si="45"/>
        <v>-7.6070510444426649</v>
      </c>
      <c r="H131" s="218">
        <f t="shared" si="46"/>
        <v>-7.0676360622224648</v>
      </c>
      <c r="I131" s="218">
        <f t="shared" si="47"/>
        <v>45.492829825799745</v>
      </c>
      <c r="J131" s="218">
        <f t="shared" si="48"/>
        <v>38.993854136399804</v>
      </c>
      <c r="K131" s="218">
        <f t="shared" si="49"/>
        <v>38.993854136399797</v>
      </c>
      <c r="L131" s="218">
        <f t="shared" si="50"/>
        <v>7473.822042809963</v>
      </c>
      <c r="M131" s="192">
        <f t="shared" si="36"/>
        <v>23.400289854961816</v>
      </c>
      <c r="N131" s="211">
        <v>97</v>
      </c>
      <c r="O131" s="211">
        <f>'Emission-Waste Transport Vehicl'!N82</f>
        <v>12.356361689760002</v>
      </c>
      <c r="P131" s="211">
        <f>'Emission-Waste Transport Vehicl'!O82</f>
        <v>17.975932888320003</v>
      </c>
      <c r="Q131" s="211">
        <f>'Emission-Waste Transport Vehicl'!P82</f>
        <v>6.8748737745600002</v>
      </c>
      <c r="R131" s="211">
        <f>'Emission-Waste Transport Vehicl'!Q82</f>
        <v>5.339220289920001</v>
      </c>
      <c r="S131" s="211">
        <f>'Emission-Waste Transport Vehicl'!R82</f>
        <v>0.53141142384000006</v>
      </c>
      <c r="T131" s="211">
        <f>'Emission-Waste Transport Vehicl'!S82</f>
        <v>2.4436556812800003E-2</v>
      </c>
      <c r="U131" s="174">
        <f t="shared" si="37"/>
        <v>2269.828115931296</v>
      </c>
      <c r="V131" s="1850">
        <f t="shared" si="38"/>
        <v>-93.995474097600152</v>
      </c>
      <c r="W131" s="1850">
        <f t="shared" si="39"/>
        <v>-127.04735153358128</v>
      </c>
      <c r="X131" s="1850">
        <f t="shared" si="40"/>
        <v>312.75746269991163</v>
      </c>
      <c r="Y131" s="1850">
        <f t="shared" si="41"/>
        <v>208.19677718724679</v>
      </c>
      <c r="Z131" s="1850">
        <f t="shared" si="42"/>
        <v>20.721779547633492</v>
      </c>
      <c r="AA131" s="1850">
        <f t="shared" si="43"/>
        <v>182.63447695788264</v>
      </c>
      <c r="AB131" s="2733"/>
      <c r="AC131" s="3009"/>
    </row>
    <row r="132" spans="1:29" ht="19.5" thickBot="1" x14ac:dyDescent="0.3">
      <c r="A132" s="2983"/>
      <c r="B132" s="3001"/>
      <c r="C132" s="1866">
        <v>2069</v>
      </c>
      <c r="D132" s="327">
        <f t="shared" si="44"/>
        <v>-113732.07456449943</v>
      </c>
      <c r="E132" s="648">
        <f t="shared" si="34"/>
        <v>133657.93402819976</v>
      </c>
      <c r="F132" s="648">
        <f t="shared" si="35"/>
        <v>3474.4303912614951</v>
      </c>
      <c r="G132" s="327">
        <f t="shared" si="45"/>
        <v>-7.6070510444426649</v>
      </c>
      <c r="H132" s="327">
        <f t="shared" si="46"/>
        <v>-7.0676360622224648</v>
      </c>
      <c r="I132" s="327">
        <f t="shared" si="47"/>
        <v>45.492829825799745</v>
      </c>
      <c r="J132" s="327">
        <f t="shared" si="48"/>
        <v>38.993854136399804</v>
      </c>
      <c r="K132" s="327">
        <f t="shared" si="49"/>
        <v>38.993854136399797</v>
      </c>
      <c r="L132" s="327">
        <f t="shared" si="50"/>
        <v>7473.822042809963</v>
      </c>
      <c r="M132" s="219">
        <f t="shared" si="36"/>
        <v>23.400289854961816</v>
      </c>
      <c r="N132" s="646">
        <v>97</v>
      </c>
      <c r="O132" s="646">
        <f>'Emission-Waste Transport Vehicl'!N83</f>
        <v>12.111842658960002</v>
      </c>
      <c r="P132" s="646">
        <f>'Emission-Waste Transport Vehicl'!O83</f>
        <v>17.62020862272</v>
      </c>
      <c r="Q132" s="646">
        <f>'Emission-Waste Transport Vehicl'!P83</f>
        <v>6.7388274597600004</v>
      </c>
      <c r="R132" s="646">
        <f>'Emission-Waste Transport Vehicl'!Q83</f>
        <v>5.2335628963200005</v>
      </c>
      <c r="S132" s="646">
        <f>'Emission-Waste Transport Vehicl'!R83</f>
        <v>0.52089536664000002</v>
      </c>
      <c r="T132" s="646">
        <f>'Emission-Waste Transport Vehicl'!S83</f>
        <v>2.3952983788800002E-2</v>
      </c>
      <c r="U132" s="758">
        <f t="shared" si="37"/>
        <v>2269.828115931296</v>
      </c>
      <c r="V132" s="1847">
        <f t="shared" si="38"/>
        <v>-92.135405348966913</v>
      </c>
      <c r="W132" s="1847">
        <f t="shared" si="39"/>
        <v>-124.5332218858191</v>
      </c>
      <c r="X132" s="1847">
        <f t="shared" si="40"/>
        <v>306.56833085228806</v>
      </c>
      <c r="Y132" s="1847">
        <f t="shared" si="41"/>
        <v>204.07678819277618</v>
      </c>
      <c r="Z132" s="1847">
        <f t="shared" si="42"/>
        <v>20.311717947086652</v>
      </c>
      <c r="AA132" s="1847">
        <f t="shared" si="43"/>
        <v>179.02033823180315</v>
      </c>
      <c r="AB132" s="2734"/>
      <c r="AC132" s="3009"/>
    </row>
    <row r="133" spans="1:29" ht="18.75" x14ac:dyDescent="0.25">
      <c r="A133" s="3007" t="s">
        <v>169</v>
      </c>
      <c r="B133" s="2992" t="s">
        <v>1799</v>
      </c>
      <c r="C133" s="1862">
        <v>2019</v>
      </c>
      <c r="D133" s="216">
        <f t="shared" ref="D133:D164" si="51">$AC$11</f>
        <v>-1778117.3442377944</v>
      </c>
      <c r="E133" s="216">
        <f>$AB$11*28</f>
        <v>-1615.236366139676</v>
      </c>
      <c r="F133" s="216">
        <f>$AD$11*298</f>
        <v>-41459.995633391925</v>
      </c>
      <c r="G133" s="216">
        <f t="shared" ref="G133:G164" si="52">$Y$11</f>
        <v>-40.720244524529633</v>
      </c>
      <c r="H133" s="216">
        <f t="shared" ref="H133:H164" si="53">$Z$11</f>
        <v>-33.933537103774697</v>
      </c>
      <c r="I133" s="216">
        <f t="shared" ref="I133:I164" si="54">$X$11</f>
        <v>-1428.6019120689148</v>
      </c>
      <c r="J133" s="216">
        <f t="shared" ref="J133:J164" si="55">$AA$11</f>
        <v>-10.18006113113241</v>
      </c>
      <c r="K133" s="216">
        <f t="shared" ref="K133:K164" si="56">$V$11</f>
        <v>-794.04476822832805</v>
      </c>
      <c r="L133" s="216">
        <f t="shared" ref="L133:L164" si="57">$W$11</f>
        <v>-21245.787580673339</v>
      </c>
      <c r="M133" s="217">
        <f t="shared" si="36"/>
        <v>-1821.192576237326</v>
      </c>
      <c r="N133" s="643">
        <v>62</v>
      </c>
      <c r="O133" s="643">
        <f>'Emission-Waste Transport Vehicl'!N33</f>
        <v>32.602537440000006</v>
      </c>
      <c r="P133" s="643">
        <f>'Emission-Waste Transport Vehicl'!O33</f>
        <v>47.429902080000005</v>
      </c>
      <c r="Q133" s="643">
        <f>'Emission-Waste Transport Vehicl'!P33</f>
        <v>18.139508640000003</v>
      </c>
      <c r="R133" s="643">
        <f>'Emission-Waste Transport Vehicl'!Q33</f>
        <v>14.087652480000001</v>
      </c>
      <c r="S133" s="643">
        <f>'Emission-Waste Transport Vehicl'!R33</f>
        <v>1.4021409600000001</v>
      </c>
      <c r="T133" s="643">
        <f>'Emission-Waste Transport Vehicl'!S33</f>
        <v>6.4476403200000004E-2</v>
      </c>
      <c r="U133" s="645">
        <f t="shared" si="37"/>
        <v>-112913.9397267142</v>
      </c>
      <c r="V133" s="644">
        <f t="shared" si="38"/>
        <v>-1327.5832966769326</v>
      </c>
      <c r="W133" s="644">
        <f t="shared" si="39"/>
        <v>-1609.4643420600808</v>
      </c>
      <c r="X133" s="644">
        <f t="shared" si="40"/>
        <v>-25914.136727094603</v>
      </c>
      <c r="Y133" s="644">
        <f t="shared" si="41"/>
        <v>-143.41316344054911</v>
      </c>
      <c r="Z133" s="644">
        <f t="shared" si="42"/>
        <v>-1113.3626936066455</v>
      </c>
      <c r="AA133" s="644">
        <f t="shared" si="43"/>
        <v>-1369.8519663530469</v>
      </c>
      <c r="AB133" s="2732">
        <f>(SUM(U133:U183)*1.2682)+(SUM(V133:V183))+(SUM(W133:W183))+(SUM(X133:X183))+(SUM(Y133:Y183))+(SUM(Z133:Z183))+(SUM(AA133:AA183))</f>
        <v>-11171424.536782525</v>
      </c>
      <c r="AC133" s="3009"/>
    </row>
    <row r="134" spans="1:29" ht="18.75" x14ac:dyDescent="0.25">
      <c r="A134" s="2982"/>
      <c r="B134" s="2993"/>
      <c r="C134" s="1863">
        <v>2020</v>
      </c>
      <c r="D134" s="218">
        <f t="shared" si="51"/>
        <v>-1778117.3442377944</v>
      </c>
      <c r="E134" s="218">
        <f t="shared" ref="E134:E183" si="58">$AB$11*28</f>
        <v>-1615.236366139676</v>
      </c>
      <c r="F134" s="218">
        <f t="shared" ref="F134:F183" si="59">$AD$11*298</f>
        <v>-41459.995633391925</v>
      </c>
      <c r="G134" s="218">
        <f t="shared" si="52"/>
        <v>-40.720244524529633</v>
      </c>
      <c r="H134" s="218">
        <f t="shared" si="53"/>
        <v>-33.933537103774697</v>
      </c>
      <c r="I134" s="218">
        <f t="shared" si="54"/>
        <v>-1428.6019120689148</v>
      </c>
      <c r="J134" s="218">
        <f t="shared" si="55"/>
        <v>-10.18006113113241</v>
      </c>
      <c r="K134" s="218">
        <f t="shared" si="56"/>
        <v>-794.04476822832805</v>
      </c>
      <c r="L134" s="218">
        <f t="shared" si="57"/>
        <v>-21245.787580673339</v>
      </c>
      <c r="M134" s="192">
        <f t="shared" si="36"/>
        <v>-1821.192576237326</v>
      </c>
      <c r="N134" s="211">
        <v>64</v>
      </c>
      <c r="O134" s="211">
        <f>'Emission-Waste Transport Vehicl'!N34</f>
        <v>31.963527706176006</v>
      </c>
      <c r="P134" s="211">
        <f>'Emission-Waste Transport Vehicl'!O34</f>
        <v>46.500275999232002</v>
      </c>
      <c r="Q134" s="211">
        <f>'Emission-Waste Transport Vehicl'!P34</f>
        <v>17.783974270656003</v>
      </c>
      <c r="R134" s="211">
        <f>'Emission-Waste Transport Vehicl'!Q34</f>
        <v>13.811534491392001</v>
      </c>
      <c r="S134" s="211">
        <f>'Emission-Waste Transport Vehicl'!R34</f>
        <v>1.3746589971840002</v>
      </c>
      <c r="T134" s="211">
        <f>'Emission-Waste Transport Vehicl'!S34</f>
        <v>6.3212665697280013E-2</v>
      </c>
      <c r="U134" s="174">
        <f t="shared" si="37"/>
        <v>-116556.32487918886</v>
      </c>
      <c r="V134" s="1850">
        <f t="shared" si="38"/>
        <v>-1301.5626640620646</v>
      </c>
      <c r="W134" s="1850">
        <f t="shared" si="39"/>
        <v>-1577.9188409557032</v>
      </c>
      <c r="X134" s="1850">
        <f t="shared" si="40"/>
        <v>-25406.21964724355</v>
      </c>
      <c r="Y134" s="1850">
        <f t="shared" si="41"/>
        <v>-140.60226543711434</v>
      </c>
      <c r="Z134" s="1850">
        <f t="shared" si="42"/>
        <v>-1091.5407848119553</v>
      </c>
      <c r="AA134" s="1850">
        <f t="shared" si="43"/>
        <v>-1343.0028678125273</v>
      </c>
      <c r="AB134" s="2733"/>
      <c r="AC134" s="3009"/>
    </row>
    <row r="135" spans="1:29" ht="18.75" x14ac:dyDescent="0.25">
      <c r="A135" s="2982"/>
      <c r="B135" s="2993"/>
      <c r="C135" s="1863">
        <v>2021</v>
      </c>
      <c r="D135" s="218">
        <f t="shared" si="51"/>
        <v>-1778117.3442377944</v>
      </c>
      <c r="E135" s="218">
        <f t="shared" si="58"/>
        <v>-1615.236366139676</v>
      </c>
      <c r="F135" s="218">
        <f t="shared" si="59"/>
        <v>-41459.995633391925</v>
      </c>
      <c r="G135" s="218">
        <f t="shared" si="52"/>
        <v>-40.720244524529633</v>
      </c>
      <c r="H135" s="218">
        <f t="shared" si="53"/>
        <v>-33.933537103774697</v>
      </c>
      <c r="I135" s="218">
        <f t="shared" si="54"/>
        <v>-1428.6019120689148</v>
      </c>
      <c r="J135" s="218">
        <f t="shared" si="55"/>
        <v>-10.18006113113241</v>
      </c>
      <c r="K135" s="218">
        <f t="shared" si="56"/>
        <v>-794.04476822832805</v>
      </c>
      <c r="L135" s="218">
        <f t="shared" si="57"/>
        <v>-21245.787580673339</v>
      </c>
      <c r="M135" s="192">
        <f t="shared" si="36"/>
        <v>-1821.192576237326</v>
      </c>
      <c r="N135" s="211">
        <v>65</v>
      </c>
      <c r="O135" s="211">
        <f>'Emission-Waste Transport Vehicl'!N35</f>
        <v>31.337558987328006</v>
      </c>
      <c r="P135" s="211">
        <f>'Emission-Waste Transport Vehicl'!O35</f>
        <v>45.589621879296011</v>
      </c>
      <c r="Q135" s="211">
        <f>'Emission-Waste Transport Vehicl'!P35</f>
        <v>17.435695704768001</v>
      </c>
      <c r="R135" s="211">
        <f>'Emission-Waste Transport Vehicl'!Q35</f>
        <v>13.541051563776001</v>
      </c>
      <c r="S135" s="211">
        <f>'Emission-Waste Transport Vehicl'!R35</f>
        <v>1.3477378907520003</v>
      </c>
      <c r="T135" s="211">
        <f>'Emission-Waste Transport Vehicl'!S35</f>
        <v>6.1974718755840007E-2</v>
      </c>
      <c r="U135" s="174">
        <f t="shared" si="37"/>
        <v>-118377.51745542619</v>
      </c>
      <c r="V135" s="1850">
        <f t="shared" si="38"/>
        <v>-1276.0730647658677</v>
      </c>
      <c r="W135" s="1850">
        <f t="shared" si="39"/>
        <v>-1547.0171255881498</v>
      </c>
      <c r="X135" s="1850">
        <f t="shared" si="40"/>
        <v>-24908.668222083332</v>
      </c>
      <c r="Y135" s="1850">
        <f t="shared" si="41"/>
        <v>-137.8487326990558</v>
      </c>
      <c r="Z135" s="1850">
        <f t="shared" si="42"/>
        <v>-1070.1642210947077</v>
      </c>
      <c r="AA135" s="1850">
        <f t="shared" si="43"/>
        <v>-1316.7017100585488</v>
      </c>
      <c r="AB135" s="2733"/>
      <c r="AC135" s="3009"/>
    </row>
    <row r="136" spans="1:29" ht="18.75" x14ac:dyDescent="0.25">
      <c r="A136" s="2982"/>
      <c r="B136" s="2993"/>
      <c r="C136" s="1863">
        <v>2022</v>
      </c>
      <c r="D136" s="218">
        <f t="shared" si="51"/>
        <v>-1778117.3442377944</v>
      </c>
      <c r="E136" s="218">
        <f t="shared" si="58"/>
        <v>-1615.236366139676</v>
      </c>
      <c r="F136" s="218">
        <f t="shared" si="59"/>
        <v>-41459.995633391925</v>
      </c>
      <c r="G136" s="218">
        <f t="shared" si="52"/>
        <v>-40.720244524529633</v>
      </c>
      <c r="H136" s="218">
        <f t="shared" si="53"/>
        <v>-33.933537103774697</v>
      </c>
      <c r="I136" s="218">
        <f t="shared" si="54"/>
        <v>-1428.6019120689148</v>
      </c>
      <c r="J136" s="218">
        <f t="shared" si="55"/>
        <v>-10.18006113113241</v>
      </c>
      <c r="K136" s="218">
        <f t="shared" si="56"/>
        <v>-794.04476822832805</v>
      </c>
      <c r="L136" s="218">
        <f t="shared" si="57"/>
        <v>-21245.787580673339</v>
      </c>
      <c r="M136" s="192">
        <f t="shared" si="36"/>
        <v>-1821.192576237326</v>
      </c>
      <c r="N136" s="211">
        <v>66</v>
      </c>
      <c r="O136" s="211">
        <f>'Emission-Waste Transport Vehicl'!N36</f>
        <v>30.721371029712003</v>
      </c>
      <c r="P136" s="211">
        <f>'Emission-Waste Transport Vehicl'!O36</f>
        <v>44.693196729984003</v>
      </c>
      <c r="Q136" s="211">
        <f>'Emission-Waste Transport Vehicl'!P36</f>
        <v>17.092858991472003</v>
      </c>
      <c r="R136" s="211">
        <f>'Emission-Waste Transport Vehicl'!Q36</f>
        <v>13.274794931903999</v>
      </c>
      <c r="S136" s="211">
        <f>'Emission-Waste Transport Vehicl'!R36</f>
        <v>1.3212374266080003</v>
      </c>
      <c r="T136" s="211">
        <f>'Emission-Waste Transport Vehicl'!S36</f>
        <v>6.0756114735360002E-2</v>
      </c>
      <c r="U136" s="174">
        <f t="shared" si="37"/>
        <v>-120198.71003166352</v>
      </c>
      <c r="V136" s="1850">
        <f t="shared" si="38"/>
        <v>-1250.9817404586736</v>
      </c>
      <c r="W136" s="1850">
        <f t="shared" si="39"/>
        <v>-1516.598249523214</v>
      </c>
      <c r="X136" s="1850">
        <f t="shared" si="40"/>
        <v>-24418.891037941245</v>
      </c>
      <c r="Y136" s="1850">
        <f t="shared" si="41"/>
        <v>-135.13822391002941</v>
      </c>
      <c r="Z136" s="1850">
        <f t="shared" si="42"/>
        <v>-1049.1216661855422</v>
      </c>
      <c r="AA136" s="1850">
        <f t="shared" si="43"/>
        <v>-1290.8115078944759</v>
      </c>
      <c r="AB136" s="2733"/>
      <c r="AC136" s="3009"/>
    </row>
    <row r="137" spans="1:29" ht="18.75" x14ac:dyDescent="0.25">
      <c r="A137" s="2982"/>
      <c r="B137" s="2993"/>
      <c r="C137" s="1863">
        <v>2023</v>
      </c>
      <c r="D137" s="218">
        <f t="shared" si="51"/>
        <v>-1778117.3442377944</v>
      </c>
      <c r="E137" s="218">
        <f t="shared" si="58"/>
        <v>-1615.236366139676</v>
      </c>
      <c r="F137" s="218">
        <f t="shared" si="59"/>
        <v>-41459.995633391925</v>
      </c>
      <c r="G137" s="218">
        <f t="shared" si="52"/>
        <v>-40.720244524529633</v>
      </c>
      <c r="H137" s="218">
        <f t="shared" si="53"/>
        <v>-33.933537103774697</v>
      </c>
      <c r="I137" s="218">
        <f t="shared" si="54"/>
        <v>-1428.6019120689148</v>
      </c>
      <c r="J137" s="218">
        <f t="shared" si="55"/>
        <v>-10.18006113113241</v>
      </c>
      <c r="K137" s="218">
        <f t="shared" si="56"/>
        <v>-794.04476822832805</v>
      </c>
      <c r="L137" s="218">
        <f t="shared" si="57"/>
        <v>-21245.787580673339</v>
      </c>
      <c r="M137" s="192">
        <f t="shared" si="36"/>
        <v>-1821.192576237326</v>
      </c>
      <c r="N137" s="211">
        <v>67</v>
      </c>
      <c r="O137" s="211">
        <f>'Emission-Waste Transport Vehicl'!N37</f>
        <v>30.118224087072001</v>
      </c>
      <c r="P137" s="211">
        <f>'Emission-Waste Transport Vehicl'!O37</f>
        <v>43.815743541504006</v>
      </c>
      <c r="Q137" s="211">
        <f>'Emission-Waste Transport Vehicl'!P37</f>
        <v>16.757278081632002</v>
      </c>
      <c r="R137" s="211">
        <f>'Emission-Waste Transport Vehicl'!Q37</f>
        <v>13.014173361024</v>
      </c>
      <c r="S137" s="211">
        <f>'Emission-Waste Transport Vehicl'!R37</f>
        <v>1.295297818848</v>
      </c>
      <c r="T137" s="211">
        <f>'Emission-Waste Transport Vehicl'!S37</f>
        <v>5.9563301276160004E-2</v>
      </c>
      <c r="U137" s="174">
        <f t="shared" si="37"/>
        <v>-122019.90260790083</v>
      </c>
      <c r="V137" s="1850">
        <f t="shared" si="38"/>
        <v>-1226.4214494701503</v>
      </c>
      <c r="W137" s="1850">
        <f t="shared" si="39"/>
        <v>-1486.8231591951028</v>
      </c>
      <c r="X137" s="1850">
        <f t="shared" si="40"/>
        <v>-23939.479508489992</v>
      </c>
      <c r="Y137" s="1850">
        <f t="shared" si="41"/>
        <v>-132.48508038637925</v>
      </c>
      <c r="Z137" s="1850">
        <f t="shared" si="42"/>
        <v>-1028.524456353819</v>
      </c>
      <c r="AA137" s="1850">
        <f t="shared" si="43"/>
        <v>-1265.4692465169446</v>
      </c>
      <c r="AB137" s="2733"/>
      <c r="AC137" s="3009"/>
    </row>
    <row r="138" spans="1:29" ht="18.75" x14ac:dyDescent="0.25">
      <c r="A138" s="2982"/>
      <c r="B138" s="2993"/>
      <c r="C138" s="1863">
        <v>2024</v>
      </c>
      <c r="D138" s="218">
        <f t="shared" si="51"/>
        <v>-1778117.3442377944</v>
      </c>
      <c r="E138" s="218">
        <f t="shared" si="58"/>
        <v>-1615.236366139676</v>
      </c>
      <c r="F138" s="218">
        <f t="shared" si="59"/>
        <v>-41459.995633391925</v>
      </c>
      <c r="G138" s="218">
        <f t="shared" si="52"/>
        <v>-40.720244524529633</v>
      </c>
      <c r="H138" s="218">
        <f t="shared" si="53"/>
        <v>-33.933537103774697</v>
      </c>
      <c r="I138" s="218">
        <f t="shared" si="54"/>
        <v>-1428.6019120689148</v>
      </c>
      <c r="J138" s="218">
        <f t="shared" si="55"/>
        <v>-10.18006113113241</v>
      </c>
      <c r="K138" s="218">
        <f t="shared" si="56"/>
        <v>-794.04476822832805</v>
      </c>
      <c r="L138" s="218">
        <f t="shared" si="57"/>
        <v>-21245.787580673339</v>
      </c>
      <c r="M138" s="192">
        <f t="shared" si="36"/>
        <v>-1821.192576237326</v>
      </c>
      <c r="N138" s="211">
        <v>68</v>
      </c>
      <c r="O138" s="211">
        <f>'Emission-Waste Transport Vehicl'!N38</f>
        <v>29.528118159408002</v>
      </c>
      <c r="P138" s="211">
        <f>'Emission-Waste Transport Vehicl'!O38</f>
        <v>42.957262313856006</v>
      </c>
      <c r="Q138" s="211">
        <f>'Emission-Waste Transport Vehicl'!P38</f>
        <v>16.428952975248002</v>
      </c>
      <c r="R138" s="211">
        <f>'Emission-Waste Transport Vehicl'!Q38</f>
        <v>12.759186851135999</v>
      </c>
      <c r="S138" s="211">
        <f>'Emission-Waste Transport Vehicl'!R38</f>
        <v>1.269919067472</v>
      </c>
      <c r="T138" s="211">
        <f>'Emission-Waste Transport Vehicl'!S38</f>
        <v>5.8396278378240005E-2</v>
      </c>
      <c r="U138" s="174">
        <f t="shared" si="37"/>
        <v>-123841.09518413816</v>
      </c>
      <c r="V138" s="1850">
        <f t="shared" si="38"/>
        <v>-1202.3921918002977</v>
      </c>
      <c r="W138" s="1850">
        <f t="shared" si="39"/>
        <v>-1457.6918546038153</v>
      </c>
      <c r="X138" s="1850">
        <f t="shared" si="40"/>
        <v>-23470.433633729583</v>
      </c>
      <c r="Y138" s="1850">
        <f t="shared" si="41"/>
        <v>-129.8893021281053</v>
      </c>
      <c r="Z138" s="1850">
        <f t="shared" si="42"/>
        <v>-1008.3725915995387</v>
      </c>
      <c r="AA138" s="1850">
        <f t="shared" si="43"/>
        <v>-1240.6749259259545</v>
      </c>
      <c r="AB138" s="2733"/>
      <c r="AC138" s="3009"/>
    </row>
    <row r="139" spans="1:29" ht="18.75" x14ac:dyDescent="0.25">
      <c r="A139" s="2982"/>
      <c r="B139" s="2993"/>
      <c r="C139" s="1863">
        <v>2025</v>
      </c>
      <c r="D139" s="218">
        <f t="shared" si="51"/>
        <v>-1778117.3442377944</v>
      </c>
      <c r="E139" s="218">
        <f t="shared" si="58"/>
        <v>-1615.236366139676</v>
      </c>
      <c r="F139" s="218">
        <f t="shared" si="59"/>
        <v>-41459.995633391925</v>
      </c>
      <c r="G139" s="218">
        <f t="shared" si="52"/>
        <v>-40.720244524529633</v>
      </c>
      <c r="H139" s="218">
        <f t="shared" si="53"/>
        <v>-33.933537103774697</v>
      </c>
      <c r="I139" s="218">
        <f t="shared" si="54"/>
        <v>-1428.6019120689148</v>
      </c>
      <c r="J139" s="218">
        <f t="shared" si="55"/>
        <v>-10.18006113113241</v>
      </c>
      <c r="K139" s="218">
        <f t="shared" si="56"/>
        <v>-794.04476822832805</v>
      </c>
      <c r="L139" s="218">
        <f t="shared" si="57"/>
        <v>-21245.787580673339</v>
      </c>
      <c r="M139" s="192">
        <f t="shared" si="36"/>
        <v>-1821.192576237326</v>
      </c>
      <c r="N139" s="211">
        <v>69</v>
      </c>
      <c r="O139" s="211">
        <f>'Emission-Waste Transport Vehicl'!N39</f>
        <v>28.951053246720004</v>
      </c>
      <c r="P139" s="211">
        <f>'Emission-Waste Transport Vehicl'!O39</f>
        <v>42.117753047040004</v>
      </c>
      <c r="Q139" s="211">
        <f>'Emission-Waste Transport Vehicl'!P39</f>
        <v>16.10788367232</v>
      </c>
      <c r="R139" s="211">
        <f>'Emission-Waste Transport Vehicl'!Q39</f>
        <v>12.50983540224</v>
      </c>
      <c r="S139" s="211">
        <f>'Emission-Waste Transport Vehicl'!R39</f>
        <v>1.2451011724800001</v>
      </c>
      <c r="T139" s="211">
        <f>'Emission-Waste Transport Vehicl'!S39</f>
        <v>5.7255046041600005E-2</v>
      </c>
      <c r="U139" s="174">
        <f t="shared" si="37"/>
        <v>-125662.28776037549</v>
      </c>
      <c r="V139" s="1850">
        <f t="shared" si="38"/>
        <v>-1178.8939674491162</v>
      </c>
      <c r="W139" s="1850">
        <f t="shared" si="39"/>
        <v>-1429.2043357493517</v>
      </c>
      <c r="X139" s="1850">
        <f t="shared" si="40"/>
        <v>-23011.753413660004</v>
      </c>
      <c r="Y139" s="1850">
        <f t="shared" si="41"/>
        <v>-127.35088913520761</v>
      </c>
      <c r="Z139" s="1850">
        <f t="shared" si="42"/>
        <v>-988.66607192270112</v>
      </c>
      <c r="AA139" s="1850">
        <f t="shared" si="43"/>
        <v>-1216.4285461215056</v>
      </c>
      <c r="AB139" s="2733"/>
      <c r="AC139" s="3009"/>
    </row>
    <row r="140" spans="1:29" ht="18.75" x14ac:dyDescent="0.25">
      <c r="A140" s="2982"/>
      <c r="B140" s="2993"/>
      <c r="C140" s="1863">
        <v>2026</v>
      </c>
      <c r="D140" s="218">
        <f t="shared" si="51"/>
        <v>-1778117.3442377944</v>
      </c>
      <c r="E140" s="218">
        <f t="shared" si="58"/>
        <v>-1615.236366139676</v>
      </c>
      <c r="F140" s="218">
        <f t="shared" si="59"/>
        <v>-41459.995633391925</v>
      </c>
      <c r="G140" s="218">
        <f t="shared" si="52"/>
        <v>-40.720244524529633</v>
      </c>
      <c r="H140" s="218">
        <f t="shared" si="53"/>
        <v>-33.933537103774697</v>
      </c>
      <c r="I140" s="218">
        <f t="shared" si="54"/>
        <v>-1428.6019120689148</v>
      </c>
      <c r="J140" s="218">
        <f t="shared" si="55"/>
        <v>-10.18006113113241</v>
      </c>
      <c r="K140" s="218">
        <f t="shared" si="56"/>
        <v>-794.04476822832805</v>
      </c>
      <c r="L140" s="218">
        <f t="shared" si="57"/>
        <v>-21245.787580673339</v>
      </c>
      <c r="M140" s="192">
        <f t="shared" si="36"/>
        <v>-1821.192576237326</v>
      </c>
      <c r="N140" s="211">
        <v>70</v>
      </c>
      <c r="O140" s="211">
        <f>'Emission-Waste Transport Vehicl'!N40</f>
        <v>28.383769095264007</v>
      </c>
      <c r="P140" s="211">
        <f>'Emission-Waste Transport Vehicl'!O40</f>
        <v>41.292472750848006</v>
      </c>
      <c r="Q140" s="211">
        <f>'Emission-Waste Transport Vehicl'!P40</f>
        <v>15.792256221984003</v>
      </c>
      <c r="R140" s="211">
        <f>'Emission-Waste Transport Vehicl'!Q40</f>
        <v>12.264710249088001</v>
      </c>
      <c r="S140" s="211">
        <f>'Emission-Waste Transport Vehicl'!R40</f>
        <v>1.2207039197760001</v>
      </c>
      <c r="T140" s="211">
        <f>'Emission-Waste Transport Vehicl'!S40</f>
        <v>5.6133156625920007E-2</v>
      </c>
      <c r="U140" s="174">
        <f t="shared" si="37"/>
        <v>-127483.48033661282</v>
      </c>
      <c r="V140" s="1850">
        <f t="shared" si="38"/>
        <v>-1155.7940180869375</v>
      </c>
      <c r="W140" s="1850">
        <f t="shared" si="39"/>
        <v>-1401.1996561975063</v>
      </c>
      <c r="X140" s="1850">
        <f t="shared" si="40"/>
        <v>-22560.847434608564</v>
      </c>
      <c r="Y140" s="1850">
        <f t="shared" si="41"/>
        <v>-124.85550009134205</v>
      </c>
      <c r="Z140" s="1850">
        <f t="shared" si="42"/>
        <v>-969.29356105394561</v>
      </c>
      <c r="AA140" s="1850">
        <f t="shared" si="43"/>
        <v>-1192.5931219069626</v>
      </c>
      <c r="AB140" s="2733"/>
      <c r="AC140" s="3009"/>
    </row>
    <row r="141" spans="1:29" ht="18.75" x14ac:dyDescent="0.25">
      <c r="A141" s="2982"/>
      <c r="B141" s="2993"/>
      <c r="C141" s="1863">
        <v>2027</v>
      </c>
      <c r="D141" s="218">
        <f t="shared" si="51"/>
        <v>-1778117.3442377944</v>
      </c>
      <c r="E141" s="218">
        <f t="shared" si="58"/>
        <v>-1615.236366139676</v>
      </c>
      <c r="F141" s="218">
        <f t="shared" si="59"/>
        <v>-41459.995633391925</v>
      </c>
      <c r="G141" s="218">
        <f t="shared" si="52"/>
        <v>-40.720244524529633</v>
      </c>
      <c r="H141" s="218">
        <f t="shared" si="53"/>
        <v>-33.933537103774697</v>
      </c>
      <c r="I141" s="218">
        <f t="shared" si="54"/>
        <v>-1428.6019120689148</v>
      </c>
      <c r="J141" s="218">
        <f t="shared" si="55"/>
        <v>-10.18006113113241</v>
      </c>
      <c r="K141" s="218">
        <f t="shared" si="56"/>
        <v>-794.04476822832805</v>
      </c>
      <c r="L141" s="218">
        <f t="shared" si="57"/>
        <v>-21245.787580673339</v>
      </c>
      <c r="M141" s="192">
        <f t="shared" si="36"/>
        <v>-1821.192576237326</v>
      </c>
      <c r="N141" s="211">
        <v>71</v>
      </c>
      <c r="O141" s="211">
        <f>'Emission-Waste Transport Vehicl'!N41</f>
        <v>27.826265705040004</v>
      </c>
      <c r="P141" s="211">
        <f>'Emission-Waste Transport Vehicl'!O41</f>
        <v>40.481421425280004</v>
      </c>
      <c r="Q141" s="211">
        <f>'Emission-Waste Transport Vehicl'!P41</f>
        <v>15.482070624240002</v>
      </c>
      <c r="R141" s="211">
        <f>'Emission-Waste Transport Vehicl'!Q41</f>
        <v>12.023811391680001</v>
      </c>
      <c r="S141" s="211">
        <f>'Emission-Waste Transport Vehicl'!R41</f>
        <v>1.1967273093600002</v>
      </c>
      <c r="T141" s="211">
        <f>'Emission-Waste Transport Vehicl'!S41</f>
        <v>5.503061013120001E-2</v>
      </c>
      <c r="U141" s="174">
        <f t="shared" si="37"/>
        <v>-129304.67291285015</v>
      </c>
      <c r="V141" s="1850">
        <f t="shared" si="38"/>
        <v>-1133.0923437137619</v>
      </c>
      <c r="W141" s="1850">
        <f t="shared" si="39"/>
        <v>-1373.677815948279</v>
      </c>
      <c r="X141" s="1850">
        <f t="shared" si="40"/>
        <v>-22117.715696575244</v>
      </c>
      <c r="Y141" s="1850">
        <f t="shared" si="41"/>
        <v>-122.40313499650867</v>
      </c>
      <c r="Z141" s="1850">
        <f t="shared" si="42"/>
        <v>-950.25505899327197</v>
      </c>
      <c r="AA141" s="1850">
        <f t="shared" si="43"/>
        <v>-1169.1686532823255</v>
      </c>
      <c r="AB141" s="2733"/>
      <c r="AC141" s="3009"/>
    </row>
    <row r="142" spans="1:29" ht="18.75" x14ac:dyDescent="0.25">
      <c r="A142" s="2982"/>
      <c r="B142" s="2993"/>
      <c r="C142" s="1863">
        <v>2028</v>
      </c>
      <c r="D142" s="218">
        <f t="shared" si="51"/>
        <v>-1778117.3442377944</v>
      </c>
      <c r="E142" s="218">
        <f t="shared" si="58"/>
        <v>-1615.236366139676</v>
      </c>
      <c r="F142" s="218">
        <f t="shared" si="59"/>
        <v>-41459.995633391925</v>
      </c>
      <c r="G142" s="218">
        <f t="shared" si="52"/>
        <v>-40.720244524529633</v>
      </c>
      <c r="H142" s="218">
        <f t="shared" si="53"/>
        <v>-33.933537103774697</v>
      </c>
      <c r="I142" s="218">
        <f t="shared" si="54"/>
        <v>-1428.6019120689148</v>
      </c>
      <c r="J142" s="218">
        <f t="shared" si="55"/>
        <v>-10.18006113113241</v>
      </c>
      <c r="K142" s="218">
        <f t="shared" si="56"/>
        <v>-794.04476822832805</v>
      </c>
      <c r="L142" s="218">
        <f t="shared" si="57"/>
        <v>-21245.787580673339</v>
      </c>
      <c r="M142" s="192">
        <f t="shared" si="36"/>
        <v>-1821.192576237326</v>
      </c>
      <c r="N142" s="211">
        <v>72</v>
      </c>
      <c r="O142" s="211">
        <f>'Emission-Waste Transport Vehicl'!N42</f>
        <v>27.281803329792002</v>
      </c>
      <c r="P142" s="211">
        <f>'Emission-Waste Transport Vehicl'!O42</f>
        <v>39.689342060544</v>
      </c>
      <c r="Q142" s="211">
        <f>'Emission-Waste Transport Vehicl'!P42</f>
        <v>15.179140829952001</v>
      </c>
      <c r="R142" s="211">
        <f>'Emission-Waste Transport Vehicl'!Q42</f>
        <v>11.788547595263999</v>
      </c>
      <c r="S142" s="211">
        <f>'Emission-Waste Transport Vehicl'!R42</f>
        <v>1.173311555328</v>
      </c>
      <c r="T142" s="211">
        <f>'Emission-Waste Transport Vehicl'!S42</f>
        <v>5.3953854197759998E-2</v>
      </c>
      <c r="U142" s="174">
        <f t="shared" si="37"/>
        <v>-131125.86548908747</v>
      </c>
      <c r="V142" s="1850">
        <f t="shared" si="38"/>
        <v>-1110.9217026592571</v>
      </c>
      <c r="W142" s="1850">
        <f t="shared" si="39"/>
        <v>-1346.7997614358756</v>
      </c>
      <c r="X142" s="1850">
        <f t="shared" si="40"/>
        <v>-21684.949613232762</v>
      </c>
      <c r="Y142" s="1850">
        <f t="shared" si="41"/>
        <v>-120.00813516705148</v>
      </c>
      <c r="Z142" s="1850">
        <f t="shared" si="42"/>
        <v>-931.66190201004088</v>
      </c>
      <c r="AA142" s="1850">
        <f t="shared" si="43"/>
        <v>-1146.2921254442294</v>
      </c>
      <c r="AB142" s="2733"/>
      <c r="AC142" s="3009"/>
    </row>
    <row r="143" spans="1:29" ht="18.75" x14ac:dyDescent="0.25">
      <c r="A143" s="2982"/>
      <c r="B143" s="2993"/>
      <c r="C143" s="1863">
        <v>2029</v>
      </c>
      <c r="D143" s="218">
        <f t="shared" si="51"/>
        <v>-1778117.3442377944</v>
      </c>
      <c r="E143" s="218">
        <f t="shared" si="58"/>
        <v>-1615.236366139676</v>
      </c>
      <c r="F143" s="218">
        <f t="shared" si="59"/>
        <v>-41459.995633391925</v>
      </c>
      <c r="G143" s="218">
        <f t="shared" si="52"/>
        <v>-40.720244524529633</v>
      </c>
      <c r="H143" s="218">
        <f t="shared" si="53"/>
        <v>-33.933537103774697</v>
      </c>
      <c r="I143" s="218">
        <f t="shared" si="54"/>
        <v>-1428.6019120689148</v>
      </c>
      <c r="J143" s="218">
        <f t="shared" si="55"/>
        <v>-10.18006113113241</v>
      </c>
      <c r="K143" s="218">
        <f t="shared" si="56"/>
        <v>-794.04476822832805</v>
      </c>
      <c r="L143" s="218">
        <f t="shared" si="57"/>
        <v>-21245.787580673339</v>
      </c>
      <c r="M143" s="192">
        <f t="shared" si="36"/>
        <v>-1821.192576237326</v>
      </c>
      <c r="N143" s="211">
        <v>73</v>
      </c>
      <c r="O143" s="211">
        <f>'Emission-Waste Transport Vehicl'!N43</f>
        <v>26.743861462032005</v>
      </c>
      <c r="P143" s="211">
        <f>'Emission-Waste Transport Vehicl'!O43</f>
        <v>38.906748676224005</v>
      </c>
      <c r="Q143" s="211">
        <f>'Emission-Waste Transport Vehicl'!P43</f>
        <v>14.879838937392002</v>
      </c>
      <c r="R143" s="211">
        <f>'Emission-Waste Transport Vehicl'!Q43</f>
        <v>11.556101329344001</v>
      </c>
      <c r="S143" s="211">
        <f>'Emission-Waste Transport Vehicl'!R43</f>
        <v>1.1501762294880002</v>
      </c>
      <c r="T143" s="211">
        <f>'Emission-Waste Transport Vehicl'!S43</f>
        <v>5.2889993544960004E-2</v>
      </c>
      <c r="U143" s="174">
        <f t="shared" si="37"/>
        <v>-132947.05806532479</v>
      </c>
      <c r="V143" s="1850">
        <f t="shared" si="38"/>
        <v>-1089.0165782640879</v>
      </c>
      <c r="W143" s="1850">
        <f t="shared" si="39"/>
        <v>-1320.2435997918844</v>
      </c>
      <c r="X143" s="1850">
        <f t="shared" si="40"/>
        <v>-21257.366357235704</v>
      </c>
      <c r="Y143" s="1850">
        <f t="shared" si="41"/>
        <v>-117.64181797028243</v>
      </c>
      <c r="Z143" s="1850">
        <f t="shared" si="42"/>
        <v>-913.29141756553145</v>
      </c>
      <c r="AA143" s="1850">
        <f t="shared" si="43"/>
        <v>-1123.6895679994043</v>
      </c>
      <c r="AB143" s="2733"/>
      <c r="AC143" s="3009"/>
    </row>
    <row r="144" spans="1:29" ht="18.75" x14ac:dyDescent="0.25">
      <c r="A144" s="2982"/>
      <c r="B144" s="2993"/>
      <c r="C144" s="1863">
        <v>2030</v>
      </c>
      <c r="D144" s="218">
        <f t="shared" si="51"/>
        <v>-1778117.3442377944</v>
      </c>
      <c r="E144" s="218">
        <f t="shared" si="58"/>
        <v>-1615.236366139676</v>
      </c>
      <c r="F144" s="218">
        <f t="shared" si="59"/>
        <v>-41459.995633391925</v>
      </c>
      <c r="G144" s="218">
        <f t="shared" si="52"/>
        <v>-40.720244524529633</v>
      </c>
      <c r="H144" s="218">
        <f t="shared" si="53"/>
        <v>-33.933537103774697</v>
      </c>
      <c r="I144" s="218">
        <f t="shared" si="54"/>
        <v>-1428.6019120689148</v>
      </c>
      <c r="J144" s="218">
        <f t="shared" si="55"/>
        <v>-10.18006113113241</v>
      </c>
      <c r="K144" s="218">
        <f t="shared" si="56"/>
        <v>-794.04476822832805</v>
      </c>
      <c r="L144" s="218">
        <f t="shared" si="57"/>
        <v>-21245.787580673339</v>
      </c>
      <c r="M144" s="192">
        <f t="shared" si="36"/>
        <v>-1821.192576237326</v>
      </c>
      <c r="N144" s="211">
        <v>75</v>
      </c>
      <c r="O144" s="211">
        <f>'Emission-Waste Transport Vehicl'!N44</f>
        <v>26.222220862992003</v>
      </c>
      <c r="P144" s="211">
        <f>'Emission-Waste Transport Vehicl'!O44</f>
        <v>38.147870242944002</v>
      </c>
      <c r="Q144" s="211">
        <f>'Emission-Waste Transport Vehicl'!P44</f>
        <v>14.589606799152003</v>
      </c>
      <c r="R144" s="211">
        <f>'Emission-Waste Transport Vehicl'!Q44</f>
        <v>11.330698889664001</v>
      </c>
      <c r="S144" s="211">
        <f>'Emission-Waste Transport Vehicl'!R44</f>
        <v>1.1277419741280001</v>
      </c>
      <c r="T144" s="211">
        <f>'Emission-Waste Transport Vehicl'!S44</f>
        <v>5.1858371093760007E-2</v>
      </c>
      <c r="U144" s="174">
        <f t="shared" si="37"/>
        <v>-136589.44321779945</v>
      </c>
      <c r="V144" s="1850">
        <f t="shared" si="38"/>
        <v>-1067.7752455172567</v>
      </c>
      <c r="W144" s="1850">
        <f t="shared" si="39"/>
        <v>-1294.4921703189229</v>
      </c>
      <c r="X144" s="1850">
        <f t="shared" si="40"/>
        <v>-20842.740169602192</v>
      </c>
      <c r="Y144" s="1850">
        <f t="shared" si="41"/>
        <v>-115.34720735523365</v>
      </c>
      <c r="Z144" s="1850">
        <f t="shared" si="42"/>
        <v>-895.47761446782499</v>
      </c>
      <c r="AA144" s="1850">
        <f t="shared" si="43"/>
        <v>-1101.7719365377557</v>
      </c>
      <c r="AB144" s="2733"/>
      <c r="AC144" s="3009"/>
    </row>
    <row r="145" spans="1:29" ht="18.75" x14ac:dyDescent="0.25">
      <c r="A145" s="2982"/>
      <c r="B145" s="2993"/>
      <c r="C145" s="1863">
        <v>2031</v>
      </c>
      <c r="D145" s="218">
        <f t="shared" si="51"/>
        <v>-1778117.3442377944</v>
      </c>
      <c r="E145" s="218">
        <f t="shared" si="58"/>
        <v>-1615.236366139676</v>
      </c>
      <c r="F145" s="218">
        <f t="shared" si="59"/>
        <v>-41459.995633391925</v>
      </c>
      <c r="G145" s="218">
        <f t="shared" si="52"/>
        <v>-40.720244524529633</v>
      </c>
      <c r="H145" s="218">
        <f t="shared" si="53"/>
        <v>-33.933537103774697</v>
      </c>
      <c r="I145" s="218">
        <f t="shared" si="54"/>
        <v>-1428.6019120689148</v>
      </c>
      <c r="J145" s="218">
        <f t="shared" si="55"/>
        <v>-10.18006113113241</v>
      </c>
      <c r="K145" s="218">
        <f t="shared" si="56"/>
        <v>-794.04476822832805</v>
      </c>
      <c r="L145" s="218">
        <f t="shared" si="57"/>
        <v>-21245.787580673339</v>
      </c>
      <c r="M145" s="192">
        <f t="shared" si="36"/>
        <v>-1821.192576237326</v>
      </c>
      <c r="N145" s="211">
        <v>76</v>
      </c>
      <c r="O145" s="211">
        <f>'Emission-Waste Transport Vehicl'!N45</f>
        <v>25.70710077144</v>
      </c>
      <c r="P145" s="211">
        <f>'Emission-Waste Transport Vehicl'!O45</f>
        <v>37.398477790080001</v>
      </c>
      <c r="Q145" s="211">
        <f>'Emission-Waste Transport Vehicl'!P45</f>
        <v>14.303002562640001</v>
      </c>
      <c r="R145" s="211">
        <f>'Emission-Waste Transport Vehicl'!Q45</f>
        <v>11.108113980480001</v>
      </c>
      <c r="S145" s="211">
        <f>'Emission-Waste Transport Vehicl'!R45</f>
        <v>1.1055881469600002</v>
      </c>
      <c r="T145" s="211">
        <f>'Emission-Waste Transport Vehicl'!S45</f>
        <v>5.0839643923200006E-2</v>
      </c>
      <c r="U145" s="174">
        <f t="shared" si="37"/>
        <v>-138410.63579403676</v>
      </c>
      <c r="V145" s="1850">
        <f t="shared" si="38"/>
        <v>-1046.7994294297612</v>
      </c>
      <c r="W145" s="1850">
        <f t="shared" si="39"/>
        <v>-1269.0626337143735</v>
      </c>
      <c r="X145" s="1850">
        <f t="shared" si="40"/>
        <v>-20433.296809314095</v>
      </c>
      <c r="Y145" s="1850">
        <f t="shared" si="41"/>
        <v>-113.08127937287297</v>
      </c>
      <c r="Z145" s="1850">
        <f t="shared" si="42"/>
        <v>-877.88648390884009</v>
      </c>
      <c r="AA145" s="1850">
        <f t="shared" si="43"/>
        <v>-1080.1282754693775</v>
      </c>
      <c r="AB145" s="2733"/>
      <c r="AC145" s="3009"/>
    </row>
    <row r="146" spans="1:29" ht="18.75" x14ac:dyDescent="0.25">
      <c r="A146" s="2982"/>
      <c r="B146" s="2993"/>
      <c r="C146" s="1863">
        <v>2032</v>
      </c>
      <c r="D146" s="218">
        <f t="shared" si="51"/>
        <v>-1778117.3442377944</v>
      </c>
      <c r="E146" s="218">
        <f t="shared" si="58"/>
        <v>-1615.236366139676</v>
      </c>
      <c r="F146" s="218">
        <f t="shared" si="59"/>
        <v>-41459.995633391925</v>
      </c>
      <c r="G146" s="218">
        <f t="shared" si="52"/>
        <v>-40.720244524529633</v>
      </c>
      <c r="H146" s="218">
        <f t="shared" si="53"/>
        <v>-33.933537103774697</v>
      </c>
      <c r="I146" s="218">
        <f t="shared" si="54"/>
        <v>-1428.6019120689148</v>
      </c>
      <c r="J146" s="218">
        <f t="shared" si="55"/>
        <v>-10.18006113113241</v>
      </c>
      <c r="K146" s="218">
        <f t="shared" si="56"/>
        <v>-794.04476822832805</v>
      </c>
      <c r="L146" s="218">
        <f t="shared" si="57"/>
        <v>-21245.787580673339</v>
      </c>
      <c r="M146" s="192">
        <f t="shared" si="36"/>
        <v>-1821.192576237326</v>
      </c>
      <c r="N146" s="211">
        <v>77</v>
      </c>
      <c r="O146" s="211">
        <f>'Emission-Waste Transport Vehicl'!N46</f>
        <v>25.201761441120002</v>
      </c>
      <c r="P146" s="211">
        <f>'Emission-Waste Transport Vehicl'!O46</f>
        <v>36.663314307840004</v>
      </c>
      <c r="Q146" s="211">
        <f>'Emission-Waste Transport Vehicl'!P46</f>
        <v>14.021840178720002</v>
      </c>
      <c r="R146" s="211">
        <f>'Emission-Waste Transport Vehicl'!Q46</f>
        <v>10.889755367040001</v>
      </c>
      <c r="S146" s="211">
        <f>'Emission-Waste Transport Vehicl'!R46</f>
        <v>1.0838549620800002</v>
      </c>
      <c r="T146" s="211">
        <f>'Emission-Waste Transport Vehicl'!S46</f>
        <v>4.9840259673600007E-2</v>
      </c>
      <c r="U146" s="174">
        <f t="shared" si="37"/>
        <v>-140231.8283702741</v>
      </c>
      <c r="V146" s="1850">
        <f t="shared" si="38"/>
        <v>-1026.2218883312687</v>
      </c>
      <c r="W146" s="1850">
        <f t="shared" si="39"/>
        <v>-1244.1159364124426</v>
      </c>
      <c r="X146" s="1850">
        <f t="shared" si="40"/>
        <v>-20031.627690044126</v>
      </c>
      <c r="Y146" s="1850">
        <f t="shared" si="41"/>
        <v>-110.85837533954447</v>
      </c>
      <c r="Z146" s="1850">
        <f t="shared" si="42"/>
        <v>-860.62936215793707</v>
      </c>
      <c r="AA146" s="1850">
        <f t="shared" si="43"/>
        <v>-1058.8955699909052</v>
      </c>
      <c r="AB146" s="2733"/>
      <c r="AC146" s="3009"/>
    </row>
    <row r="147" spans="1:29" ht="18.75" x14ac:dyDescent="0.25">
      <c r="A147" s="2982"/>
      <c r="B147" s="2993"/>
      <c r="C147" s="1863">
        <v>2033</v>
      </c>
      <c r="D147" s="218">
        <f t="shared" si="51"/>
        <v>-1778117.3442377944</v>
      </c>
      <c r="E147" s="218">
        <f t="shared" si="58"/>
        <v>-1615.236366139676</v>
      </c>
      <c r="F147" s="218">
        <f t="shared" si="59"/>
        <v>-41459.995633391925</v>
      </c>
      <c r="G147" s="218">
        <f t="shared" si="52"/>
        <v>-40.720244524529633</v>
      </c>
      <c r="H147" s="218">
        <f t="shared" si="53"/>
        <v>-33.933537103774697</v>
      </c>
      <c r="I147" s="218">
        <f t="shared" si="54"/>
        <v>-1428.6019120689148</v>
      </c>
      <c r="J147" s="218">
        <f t="shared" si="55"/>
        <v>-10.18006113113241</v>
      </c>
      <c r="K147" s="218">
        <f t="shared" si="56"/>
        <v>-794.04476822832805</v>
      </c>
      <c r="L147" s="218">
        <f t="shared" si="57"/>
        <v>-21245.787580673339</v>
      </c>
      <c r="M147" s="192">
        <f t="shared" si="36"/>
        <v>-1821.192576237326</v>
      </c>
      <c r="N147" s="211">
        <v>78</v>
      </c>
      <c r="O147" s="211">
        <f>'Emission-Waste Transport Vehicl'!N47</f>
        <v>24.709463125776001</v>
      </c>
      <c r="P147" s="211">
        <f>'Emission-Waste Transport Vehicl'!O47</f>
        <v>35.947122786432004</v>
      </c>
      <c r="Q147" s="211">
        <f>'Emission-Waste Transport Vehicl'!P47</f>
        <v>13.747933598256003</v>
      </c>
      <c r="R147" s="211">
        <f>'Emission-Waste Transport Vehicl'!Q47</f>
        <v>10.677031814592</v>
      </c>
      <c r="S147" s="211">
        <f>'Emission-Waste Transport Vehicl'!R47</f>
        <v>1.0626826335840001</v>
      </c>
      <c r="T147" s="211">
        <f>'Emission-Waste Transport Vehicl'!S47</f>
        <v>4.8866665985280007E-2</v>
      </c>
      <c r="U147" s="174">
        <f t="shared" si="37"/>
        <v>-142053.02094651142</v>
      </c>
      <c r="V147" s="1850">
        <f t="shared" si="38"/>
        <v>-1006.1753805514471</v>
      </c>
      <c r="W147" s="1850">
        <f t="shared" si="39"/>
        <v>-1219.8130248473353</v>
      </c>
      <c r="X147" s="1850">
        <f t="shared" si="40"/>
        <v>-19640.324225464999</v>
      </c>
      <c r="Y147" s="1850">
        <f t="shared" si="41"/>
        <v>-108.69283657159217</v>
      </c>
      <c r="Z147" s="1850">
        <f t="shared" si="42"/>
        <v>-843.81758548447658</v>
      </c>
      <c r="AA147" s="1850">
        <f t="shared" si="43"/>
        <v>-1038.2108052989743</v>
      </c>
      <c r="AB147" s="2733"/>
      <c r="AC147" s="3009"/>
    </row>
    <row r="148" spans="1:29" ht="18.75" x14ac:dyDescent="0.25">
      <c r="A148" s="2982"/>
      <c r="B148" s="2993"/>
      <c r="C148" s="1863">
        <v>2034</v>
      </c>
      <c r="D148" s="218">
        <f t="shared" si="51"/>
        <v>-1778117.3442377944</v>
      </c>
      <c r="E148" s="218">
        <f t="shared" si="58"/>
        <v>-1615.236366139676</v>
      </c>
      <c r="F148" s="218">
        <f t="shared" si="59"/>
        <v>-41459.995633391925</v>
      </c>
      <c r="G148" s="218">
        <f t="shared" si="52"/>
        <v>-40.720244524529633</v>
      </c>
      <c r="H148" s="218">
        <f t="shared" si="53"/>
        <v>-33.933537103774697</v>
      </c>
      <c r="I148" s="218">
        <f t="shared" si="54"/>
        <v>-1428.6019120689148</v>
      </c>
      <c r="J148" s="218">
        <f t="shared" si="55"/>
        <v>-10.18006113113241</v>
      </c>
      <c r="K148" s="218">
        <f t="shared" si="56"/>
        <v>-794.04476822832805</v>
      </c>
      <c r="L148" s="218">
        <f t="shared" si="57"/>
        <v>-21245.787580673339</v>
      </c>
      <c r="M148" s="192">
        <f t="shared" si="36"/>
        <v>-1821.192576237326</v>
      </c>
      <c r="N148" s="211">
        <v>79</v>
      </c>
      <c r="O148" s="211">
        <f>'Emission-Waste Transport Vehicl'!N48</f>
        <v>24.223685317920005</v>
      </c>
      <c r="P148" s="211">
        <f>'Emission-Waste Transport Vehicl'!O48</f>
        <v>35.24041724544</v>
      </c>
      <c r="Q148" s="211">
        <f>'Emission-Waste Transport Vehicl'!P48</f>
        <v>13.477654919520001</v>
      </c>
      <c r="R148" s="211">
        <f>'Emission-Waste Transport Vehicl'!Q48</f>
        <v>10.467125792640001</v>
      </c>
      <c r="S148" s="211">
        <f>'Emission-Waste Transport Vehicl'!R48</f>
        <v>1.04179073328</v>
      </c>
      <c r="T148" s="211">
        <f>'Emission-Waste Transport Vehicl'!S48</f>
        <v>4.7905967577600003E-2</v>
      </c>
      <c r="U148" s="174">
        <f t="shared" si="37"/>
        <v>-143874.21352274876</v>
      </c>
      <c r="V148" s="1850">
        <f t="shared" si="38"/>
        <v>-986.39438943096093</v>
      </c>
      <c r="W148" s="1850">
        <f t="shared" si="39"/>
        <v>-1195.8320061506399</v>
      </c>
      <c r="X148" s="1850">
        <f t="shared" si="40"/>
        <v>-19254.203588231288</v>
      </c>
      <c r="Y148" s="1850">
        <f t="shared" si="41"/>
        <v>-106.555980436328</v>
      </c>
      <c r="Z148" s="1850">
        <f t="shared" si="42"/>
        <v>-827.22848134973754</v>
      </c>
      <c r="AA148" s="1850">
        <f t="shared" si="43"/>
        <v>-1017.8000110003138</v>
      </c>
      <c r="AB148" s="2733"/>
      <c r="AC148" s="3009"/>
    </row>
    <row r="149" spans="1:29" ht="18.75" x14ac:dyDescent="0.25">
      <c r="A149" s="2982"/>
      <c r="B149" s="2993"/>
      <c r="C149" s="1863">
        <v>2035</v>
      </c>
      <c r="D149" s="218">
        <f t="shared" si="51"/>
        <v>-1778117.3442377944</v>
      </c>
      <c r="E149" s="218">
        <f t="shared" si="58"/>
        <v>-1615.236366139676</v>
      </c>
      <c r="F149" s="218">
        <f t="shared" si="59"/>
        <v>-41459.995633391925</v>
      </c>
      <c r="G149" s="218">
        <f t="shared" si="52"/>
        <v>-40.720244524529633</v>
      </c>
      <c r="H149" s="218">
        <f t="shared" si="53"/>
        <v>-33.933537103774697</v>
      </c>
      <c r="I149" s="218">
        <f t="shared" si="54"/>
        <v>-1428.6019120689148</v>
      </c>
      <c r="J149" s="218">
        <f t="shared" si="55"/>
        <v>-10.18006113113241</v>
      </c>
      <c r="K149" s="218">
        <f t="shared" si="56"/>
        <v>-794.04476822832805</v>
      </c>
      <c r="L149" s="218">
        <f t="shared" si="57"/>
        <v>-21245.787580673339</v>
      </c>
      <c r="M149" s="192">
        <f t="shared" si="36"/>
        <v>-1821.192576237326</v>
      </c>
      <c r="N149" s="211">
        <v>80</v>
      </c>
      <c r="O149" s="211">
        <f>'Emission-Waste Transport Vehicl'!N49</f>
        <v>23.747688271296006</v>
      </c>
      <c r="P149" s="211">
        <f>'Emission-Waste Transport Vehicl'!O49</f>
        <v>34.547940675072006</v>
      </c>
      <c r="Q149" s="211">
        <f>'Emission-Waste Transport Vehicl'!P49</f>
        <v>13.212818093376002</v>
      </c>
      <c r="R149" s="211">
        <f>'Emission-Waste Transport Vehicl'!Q49</f>
        <v>10.261446066432002</v>
      </c>
      <c r="S149" s="211">
        <f>'Emission-Waste Transport Vehicl'!R49</f>
        <v>1.0213194752640002</v>
      </c>
      <c r="T149" s="211">
        <f>'Emission-Waste Transport Vehicl'!S49</f>
        <v>4.6964612090880008E-2</v>
      </c>
      <c r="U149" s="174">
        <f t="shared" si="37"/>
        <v>-145695.40609898607</v>
      </c>
      <c r="V149" s="1850">
        <f t="shared" si="38"/>
        <v>-967.01167329947782</v>
      </c>
      <c r="W149" s="1850">
        <f t="shared" si="39"/>
        <v>-1172.333826756563</v>
      </c>
      <c r="X149" s="1850">
        <f t="shared" si="40"/>
        <v>-18875.857192015708</v>
      </c>
      <c r="Y149" s="1850">
        <f t="shared" si="41"/>
        <v>-104.46214825009599</v>
      </c>
      <c r="Z149" s="1850">
        <f t="shared" si="42"/>
        <v>-810.97338602308071</v>
      </c>
      <c r="AA149" s="1850">
        <f t="shared" si="43"/>
        <v>-997.80017229155942</v>
      </c>
      <c r="AB149" s="2733"/>
      <c r="AC149" s="3009"/>
    </row>
    <row r="150" spans="1:29" ht="18.75" x14ac:dyDescent="0.25">
      <c r="A150" s="2982"/>
      <c r="B150" s="2993"/>
      <c r="C150" s="1863">
        <v>2036</v>
      </c>
      <c r="D150" s="218">
        <f t="shared" si="51"/>
        <v>-1778117.3442377944</v>
      </c>
      <c r="E150" s="218">
        <f t="shared" si="58"/>
        <v>-1615.236366139676</v>
      </c>
      <c r="F150" s="218">
        <f t="shared" si="59"/>
        <v>-41459.995633391925</v>
      </c>
      <c r="G150" s="218">
        <f t="shared" si="52"/>
        <v>-40.720244524529633</v>
      </c>
      <c r="H150" s="218">
        <f t="shared" si="53"/>
        <v>-33.933537103774697</v>
      </c>
      <c r="I150" s="218">
        <f t="shared" si="54"/>
        <v>-1428.6019120689148</v>
      </c>
      <c r="J150" s="218">
        <f t="shared" si="55"/>
        <v>-10.18006113113241</v>
      </c>
      <c r="K150" s="218">
        <f t="shared" si="56"/>
        <v>-794.04476822832805</v>
      </c>
      <c r="L150" s="218">
        <f t="shared" si="57"/>
        <v>-21245.787580673339</v>
      </c>
      <c r="M150" s="192">
        <f t="shared" si="36"/>
        <v>-1821.192576237326</v>
      </c>
      <c r="N150" s="211">
        <v>81</v>
      </c>
      <c r="O150" s="211">
        <f>'Emission-Waste Transport Vehicl'!N50</f>
        <v>23.284732239648001</v>
      </c>
      <c r="P150" s="211">
        <f>'Emission-Waste Transport Vehicl'!O50</f>
        <v>33.874436065536003</v>
      </c>
      <c r="Q150" s="211">
        <f>'Emission-Waste Transport Vehicl'!P50</f>
        <v>12.955237070688</v>
      </c>
      <c r="R150" s="211">
        <f>'Emission-Waste Transport Vehicl'!Q50</f>
        <v>10.061401401215999</v>
      </c>
      <c r="S150" s="211">
        <f>'Emission-Waste Transport Vehicl'!R50</f>
        <v>1.001409073632</v>
      </c>
      <c r="T150" s="211">
        <f>'Emission-Waste Transport Vehicl'!S50</f>
        <v>4.6049047165439998E-2</v>
      </c>
      <c r="U150" s="174">
        <f t="shared" si="37"/>
        <v>-147516.59867522342</v>
      </c>
      <c r="V150" s="1850">
        <f t="shared" si="38"/>
        <v>-948.15999048666515</v>
      </c>
      <c r="W150" s="1850">
        <f t="shared" si="39"/>
        <v>-1149.4794330993097</v>
      </c>
      <c r="X150" s="1850">
        <f t="shared" si="40"/>
        <v>-18507.876450490963</v>
      </c>
      <c r="Y150" s="1850">
        <f t="shared" si="41"/>
        <v>-102.42568132924016</v>
      </c>
      <c r="Z150" s="1850">
        <f t="shared" si="42"/>
        <v>-795.16363577386619</v>
      </c>
      <c r="AA150" s="1850">
        <f t="shared" si="43"/>
        <v>-978.34827436934597</v>
      </c>
      <c r="AB150" s="2733"/>
      <c r="AC150" s="3009"/>
    </row>
    <row r="151" spans="1:29" ht="18.75" x14ac:dyDescent="0.25">
      <c r="A151" s="2982"/>
      <c r="B151" s="2993"/>
      <c r="C151" s="1863">
        <v>2037</v>
      </c>
      <c r="D151" s="218">
        <f t="shared" si="51"/>
        <v>-1778117.3442377944</v>
      </c>
      <c r="E151" s="218">
        <f t="shared" si="58"/>
        <v>-1615.236366139676</v>
      </c>
      <c r="F151" s="218">
        <f t="shared" si="59"/>
        <v>-41459.995633391925</v>
      </c>
      <c r="G151" s="218">
        <f t="shared" si="52"/>
        <v>-40.720244524529633</v>
      </c>
      <c r="H151" s="218">
        <f t="shared" si="53"/>
        <v>-33.933537103774697</v>
      </c>
      <c r="I151" s="218">
        <f t="shared" si="54"/>
        <v>-1428.6019120689148</v>
      </c>
      <c r="J151" s="218">
        <f t="shared" si="55"/>
        <v>-10.18006113113241</v>
      </c>
      <c r="K151" s="218">
        <f t="shared" si="56"/>
        <v>-794.04476822832805</v>
      </c>
      <c r="L151" s="218">
        <f t="shared" si="57"/>
        <v>-21245.787580673339</v>
      </c>
      <c r="M151" s="192">
        <f t="shared" si="36"/>
        <v>-1821.192576237326</v>
      </c>
      <c r="N151" s="211">
        <v>83</v>
      </c>
      <c r="O151" s="211">
        <f>'Emission-Waste Transport Vehicl'!N51</f>
        <v>22.828296715488005</v>
      </c>
      <c r="P151" s="211">
        <f>'Emission-Waste Transport Vehicl'!O51</f>
        <v>33.210417436416002</v>
      </c>
      <c r="Q151" s="211">
        <f>'Emission-Waste Transport Vehicl'!P51</f>
        <v>12.701283949728003</v>
      </c>
      <c r="R151" s="211">
        <f>'Emission-Waste Transport Vehicl'!Q51</f>
        <v>9.8641742664960006</v>
      </c>
      <c r="S151" s="211">
        <f>'Emission-Waste Transport Vehicl'!R51</f>
        <v>0.9817791001920001</v>
      </c>
      <c r="T151" s="211">
        <f>'Emission-Waste Transport Vehicl'!S51</f>
        <v>4.5146377520640005E-2</v>
      </c>
      <c r="U151" s="174">
        <f t="shared" si="37"/>
        <v>-151158.98382769804</v>
      </c>
      <c r="V151" s="1850">
        <f t="shared" si="38"/>
        <v>-929.57382433318821</v>
      </c>
      <c r="W151" s="1850">
        <f t="shared" si="39"/>
        <v>-1126.9469323104686</v>
      </c>
      <c r="X151" s="1850">
        <f t="shared" si="40"/>
        <v>-18145.078536311645</v>
      </c>
      <c r="Y151" s="1850">
        <f t="shared" si="41"/>
        <v>-100.41789704107249</v>
      </c>
      <c r="Z151" s="1850">
        <f t="shared" si="42"/>
        <v>-779.57655806337323</v>
      </c>
      <c r="AA151" s="1850">
        <f t="shared" si="43"/>
        <v>-959.17034684040345</v>
      </c>
      <c r="AB151" s="2733"/>
      <c r="AC151" s="3009"/>
    </row>
    <row r="152" spans="1:29" ht="18.75" x14ac:dyDescent="0.25">
      <c r="A152" s="2982"/>
      <c r="B152" s="2993"/>
      <c r="C152" s="1863">
        <v>2038</v>
      </c>
      <c r="D152" s="218">
        <f t="shared" si="51"/>
        <v>-1778117.3442377944</v>
      </c>
      <c r="E152" s="218">
        <f t="shared" si="58"/>
        <v>-1615.236366139676</v>
      </c>
      <c r="F152" s="218">
        <f t="shared" si="59"/>
        <v>-41459.995633391925</v>
      </c>
      <c r="G152" s="218">
        <f t="shared" si="52"/>
        <v>-40.720244524529633</v>
      </c>
      <c r="H152" s="218">
        <f t="shared" si="53"/>
        <v>-33.933537103774697</v>
      </c>
      <c r="I152" s="218">
        <f t="shared" si="54"/>
        <v>-1428.6019120689148</v>
      </c>
      <c r="J152" s="218">
        <f t="shared" si="55"/>
        <v>-10.18006113113241</v>
      </c>
      <c r="K152" s="218">
        <f t="shared" si="56"/>
        <v>-794.04476822832805</v>
      </c>
      <c r="L152" s="218">
        <f t="shared" si="57"/>
        <v>-21245.787580673339</v>
      </c>
      <c r="M152" s="192">
        <f t="shared" si="36"/>
        <v>-1821.192576237326</v>
      </c>
      <c r="N152" s="211">
        <v>84</v>
      </c>
      <c r="O152" s="211">
        <f>'Emission-Waste Transport Vehicl'!N52</f>
        <v>22.378381698816003</v>
      </c>
      <c r="P152" s="211">
        <f>'Emission-Waste Transport Vehicl'!O52</f>
        <v>32.555884787712003</v>
      </c>
      <c r="Q152" s="211">
        <f>'Emission-Waste Transport Vehicl'!P52</f>
        <v>12.450958730496001</v>
      </c>
      <c r="R152" s="211">
        <f>'Emission-Waste Transport Vehicl'!Q52</f>
        <v>9.6697646622720015</v>
      </c>
      <c r="S152" s="211">
        <f>'Emission-Waste Transport Vehicl'!R52</f>
        <v>0.96242955494400007</v>
      </c>
      <c r="T152" s="211">
        <f>'Emission-Waste Transport Vehicl'!S52</f>
        <v>4.4256603156480001E-2</v>
      </c>
      <c r="U152" s="174">
        <f t="shared" si="37"/>
        <v>-152980.17640393539</v>
      </c>
      <c r="V152" s="1850">
        <f t="shared" si="38"/>
        <v>-911.25317483904655</v>
      </c>
      <c r="W152" s="1850">
        <f t="shared" si="39"/>
        <v>-1104.7363243900395</v>
      </c>
      <c r="X152" s="1850">
        <f t="shared" si="40"/>
        <v>-17787.463449477735</v>
      </c>
      <c r="Y152" s="1850">
        <f t="shared" si="41"/>
        <v>-98.438795385592925</v>
      </c>
      <c r="Z152" s="1850">
        <f t="shared" si="42"/>
        <v>-764.21215289160148</v>
      </c>
      <c r="AA152" s="1850">
        <f t="shared" si="43"/>
        <v>-940.2663897047313</v>
      </c>
      <c r="AB152" s="2733"/>
      <c r="AC152" s="3009"/>
    </row>
    <row r="153" spans="1:29" ht="18.75" x14ac:dyDescent="0.25">
      <c r="A153" s="2982"/>
      <c r="B153" s="2993"/>
      <c r="C153" s="1863">
        <v>2039</v>
      </c>
      <c r="D153" s="218">
        <f t="shared" si="51"/>
        <v>-1778117.3442377944</v>
      </c>
      <c r="E153" s="218">
        <f t="shared" si="58"/>
        <v>-1615.236366139676</v>
      </c>
      <c r="F153" s="218">
        <f t="shared" si="59"/>
        <v>-41459.995633391925</v>
      </c>
      <c r="G153" s="218">
        <f t="shared" si="52"/>
        <v>-40.720244524529633</v>
      </c>
      <c r="H153" s="218">
        <f t="shared" si="53"/>
        <v>-33.933537103774697</v>
      </c>
      <c r="I153" s="218">
        <f t="shared" si="54"/>
        <v>-1428.6019120689148</v>
      </c>
      <c r="J153" s="218">
        <f t="shared" si="55"/>
        <v>-10.18006113113241</v>
      </c>
      <c r="K153" s="218">
        <f t="shared" si="56"/>
        <v>-794.04476822832805</v>
      </c>
      <c r="L153" s="218">
        <f t="shared" si="57"/>
        <v>-21245.787580673339</v>
      </c>
      <c r="M153" s="192">
        <f t="shared" si="36"/>
        <v>-1821.192576237326</v>
      </c>
      <c r="N153" s="211">
        <v>85</v>
      </c>
      <c r="O153" s="211">
        <f>'Emission-Waste Transport Vehicl'!N53</f>
        <v>21.941507697120006</v>
      </c>
      <c r="P153" s="211">
        <f>'Emission-Waste Transport Vehicl'!O53</f>
        <v>31.920324099840006</v>
      </c>
      <c r="Q153" s="211">
        <f>'Emission-Waste Transport Vehicl'!P53</f>
        <v>12.207889314720003</v>
      </c>
      <c r="R153" s="211">
        <f>'Emission-Waste Transport Vehicl'!Q53</f>
        <v>9.4809901190400012</v>
      </c>
      <c r="S153" s="211">
        <f>'Emission-Waste Transport Vehicl'!R53</f>
        <v>0.9436408660800002</v>
      </c>
      <c r="T153" s="211">
        <f>'Emission-Waste Transport Vehicl'!S53</f>
        <v>4.3392619353600011E-2</v>
      </c>
      <c r="U153" s="174">
        <f t="shared" si="37"/>
        <v>-154801.3689801727</v>
      </c>
      <c r="V153" s="1850">
        <f t="shared" si="38"/>
        <v>-893.46355866357567</v>
      </c>
      <c r="W153" s="1850">
        <f t="shared" si="39"/>
        <v>-1083.1695022064346</v>
      </c>
      <c r="X153" s="1850">
        <f t="shared" si="40"/>
        <v>-17440.214017334671</v>
      </c>
      <c r="Y153" s="1850">
        <f t="shared" si="41"/>
        <v>-96.517058995489563</v>
      </c>
      <c r="Z153" s="1850">
        <f t="shared" si="42"/>
        <v>-749.29309279727249</v>
      </c>
      <c r="AA153" s="1850">
        <f t="shared" si="43"/>
        <v>-921.91037335560065</v>
      </c>
      <c r="AB153" s="2733"/>
      <c r="AC153" s="3009"/>
    </row>
    <row r="154" spans="1:29" ht="18.75" x14ac:dyDescent="0.25">
      <c r="A154" s="2982"/>
      <c r="B154" s="2993"/>
      <c r="C154" s="1863">
        <v>2040</v>
      </c>
      <c r="D154" s="218">
        <f t="shared" si="51"/>
        <v>-1778117.3442377944</v>
      </c>
      <c r="E154" s="218">
        <f t="shared" si="58"/>
        <v>-1615.236366139676</v>
      </c>
      <c r="F154" s="218">
        <f t="shared" si="59"/>
        <v>-41459.995633391925</v>
      </c>
      <c r="G154" s="218">
        <f t="shared" si="52"/>
        <v>-40.720244524529633</v>
      </c>
      <c r="H154" s="218">
        <f t="shared" si="53"/>
        <v>-33.933537103774697</v>
      </c>
      <c r="I154" s="218">
        <f t="shared" si="54"/>
        <v>-1428.6019120689148</v>
      </c>
      <c r="J154" s="218">
        <f t="shared" si="55"/>
        <v>-10.18006113113241</v>
      </c>
      <c r="K154" s="218">
        <f t="shared" si="56"/>
        <v>-794.04476822832805</v>
      </c>
      <c r="L154" s="218">
        <f t="shared" si="57"/>
        <v>-21245.787580673339</v>
      </c>
      <c r="M154" s="192">
        <f t="shared" si="36"/>
        <v>-1821.192576237326</v>
      </c>
      <c r="N154" s="211">
        <v>86</v>
      </c>
      <c r="O154" s="211">
        <f>'Emission-Waste Transport Vehicl'!N54</f>
        <v>21.511154202912003</v>
      </c>
      <c r="P154" s="211">
        <f>'Emission-Waste Transport Vehicl'!O54</f>
        <v>31.294249392384003</v>
      </c>
      <c r="Q154" s="211">
        <f>'Emission-Waste Transport Vehicl'!P54</f>
        <v>11.968447800672001</v>
      </c>
      <c r="R154" s="211">
        <f>'Emission-Waste Transport Vehicl'!Q54</f>
        <v>9.2950331063040004</v>
      </c>
      <c r="S154" s="211">
        <f>'Emission-Waste Transport Vehicl'!R54</f>
        <v>0.92513260540800013</v>
      </c>
      <c r="T154" s="211">
        <f>'Emission-Waste Transport Vehicl'!S54</f>
        <v>4.254153083136001E-2</v>
      </c>
      <c r="U154" s="174">
        <f t="shared" si="37"/>
        <v>-156622.56155641004</v>
      </c>
      <c r="V154" s="1850">
        <f t="shared" si="38"/>
        <v>-875.93945914744006</v>
      </c>
      <c r="W154" s="1850">
        <f t="shared" si="39"/>
        <v>-1061.9245728912413</v>
      </c>
      <c r="X154" s="1850">
        <f t="shared" si="40"/>
        <v>-17098.147412537019</v>
      </c>
      <c r="Y154" s="1850">
        <f t="shared" si="41"/>
        <v>-94.624005238074304</v>
      </c>
      <c r="Z154" s="1850">
        <f t="shared" si="42"/>
        <v>-734.59670524166472</v>
      </c>
      <c r="AA154" s="1850">
        <f t="shared" si="43"/>
        <v>-903.82832739974049</v>
      </c>
      <c r="AB154" s="2733"/>
      <c r="AC154" s="3009"/>
    </row>
    <row r="155" spans="1:29" ht="18.75" x14ac:dyDescent="0.25">
      <c r="A155" s="2982"/>
      <c r="B155" s="2993"/>
      <c r="C155" s="1863">
        <v>2041</v>
      </c>
      <c r="D155" s="218">
        <f t="shared" si="51"/>
        <v>-1778117.3442377944</v>
      </c>
      <c r="E155" s="218">
        <f t="shared" si="58"/>
        <v>-1615.236366139676</v>
      </c>
      <c r="F155" s="218">
        <f t="shared" si="59"/>
        <v>-41459.995633391925</v>
      </c>
      <c r="G155" s="218">
        <f t="shared" si="52"/>
        <v>-40.720244524529633</v>
      </c>
      <c r="H155" s="218">
        <f t="shared" si="53"/>
        <v>-33.933537103774697</v>
      </c>
      <c r="I155" s="218">
        <f t="shared" si="54"/>
        <v>-1428.6019120689148</v>
      </c>
      <c r="J155" s="218">
        <f t="shared" si="55"/>
        <v>-10.18006113113241</v>
      </c>
      <c r="K155" s="218">
        <f t="shared" si="56"/>
        <v>-794.04476822832805</v>
      </c>
      <c r="L155" s="218">
        <f t="shared" si="57"/>
        <v>-21245.787580673339</v>
      </c>
      <c r="M155" s="192">
        <f t="shared" si="36"/>
        <v>-1821.192576237326</v>
      </c>
      <c r="N155" s="211">
        <v>87</v>
      </c>
      <c r="O155" s="211">
        <f>'Emission-Waste Transport Vehicl'!N55</f>
        <v>21.087321216192002</v>
      </c>
      <c r="P155" s="211">
        <f>'Emission-Waste Transport Vehicl'!O55</f>
        <v>30.677660665344007</v>
      </c>
      <c r="Q155" s="211">
        <f>'Emission-Waste Transport Vehicl'!P55</f>
        <v>11.732634188352002</v>
      </c>
      <c r="R155" s="211">
        <f>'Emission-Waste Transport Vehicl'!Q55</f>
        <v>9.1118936240640007</v>
      </c>
      <c r="S155" s="211">
        <f>'Emission-Waste Transport Vehicl'!R55</f>
        <v>0.9069047729280002</v>
      </c>
      <c r="T155" s="211">
        <f>'Emission-Waste Transport Vehicl'!S55</f>
        <v>4.1703337589760005E-2</v>
      </c>
      <c r="U155" s="174">
        <f t="shared" si="37"/>
        <v>-158443.75413264736</v>
      </c>
      <c r="V155" s="1850">
        <f t="shared" si="38"/>
        <v>-858.68087629063996</v>
      </c>
      <c r="W155" s="1850">
        <f t="shared" si="39"/>
        <v>-1041.0015364444605</v>
      </c>
      <c r="X155" s="1850">
        <f t="shared" si="40"/>
        <v>-16761.26363508479</v>
      </c>
      <c r="Y155" s="1850">
        <f t="shared" si="41"/>
        <v>-92.759634113347161</v>
      </c>
      <c r="Z155" s="1850">
        <f t="shared" si="42"/>
        <v>-720.12299022477839</v>
      </c>
      <c r="AA155" s="1850">
        <f t="shared" si="43"/>
        <v>-886.02025183715068</v>
      </c>
      <c r="AB155" s="2733"/>
      <c r="AC155" s="3009"/>
    </row>
    <row r="156" spans="1:29" ht="18.75" x14ac:dyDescent="0.25">
      <c r="A156" s="2982"/>
      <c r="B156" s="2993"/>
      <c r="C156" s="1863">
        <v>2042</v>
      </c>
      <c r="D156" s="218">
        <f t="shared" si="51"/>
        <v>-1778117.3442377944</v>
      </c>
      <c r="E156" s="218">
        <f t="shared" si="58"/>
        <v>-1615.236366139676</v>
      </c>
      <c r="F156" s="218">
        <f t="shared" si="59"/>
        <v>-41459.995633391925</v>
      </c>
      <c r="G156" s="218">
        <f t="shared" si="52"/>
        <v>-40.720244524529633</v>
      </c>
      <c r="H156" s="218">
        <f t="shared" si="53"/>
        <v>-33.933537103774697</v>
      </c>
      <c r="I156" s="218">
        <f t="shared" si="54"/>
        <v>-1428.6019120689148</v>
      </c>
      <c r="J156" s="218">
        <f t="shared" si="55"/>
        <v>-10.18006113113241</v>
      </c>
      <c r="K156" s="218">
        <f t="shared" si="56"/>
        <v>-794.04476822832805</v>
      </c>
      <c r="L156" s="218">
        <f t="shared" si="57"/>
        <v>-21245.787580673339</v>
      </c>
      <c r="M156" s="192">
        <f t="shared" si="36"/>
        <v>-1821.192576237326</v>
      </c>
      <c r="N156" s="211">
        <v>88</v>
      </c>
      <c r="O156" s="211">
        <f>'Emission-Waste Transport Vehicl'!N56</f>
        <v>20.676529244448002</v>
      </c>
      <c r="P156" s="211">
        <f>'Emission-Waste Transport Vehicl'!O56</f>
        <v>30.080043899136001</v>
      </c>
      <c r="Q156" s="211">
        <f>'Emission-Waste Transport Vehicl'!P56</f>
        <v>11.504076379488001</v>
      </c>
      <c r="R156" s="211">
        <f>'Emission-Waste Transport Vehicl'!Q56</f>
        <v>8.9343892028159999</v>
      </c>
      <c r="S156" s="211">
        <f>'Emission-Waste Transport Vehicl'!R56</f>
        <v>0.8892377968320001</v>
      </c>
      <c r="T156" s="211">
        <f>'Emission-Waste Transport Vehicl'!S56</f>
        <v>4.0890934909439999E-2</v>
      </c>
      <c r="U156" s="174">
        <f t="shared" si="37"/>
        <v>-160264.94670888467</v>
      </c>
      <c r="V156" s="1850">
        <f t="shared" si="38"/>
        <v>-841.95332675251063</v>
      </c>
      <c r="W156" s="1850">
        <f t="shared" si="39"/>
        <v>-1020.7222857345032</v>
      </c>
      <c r="X156" s="1850">
        <f t="shared" si="40"/>
        <v>-16434.745512323396</v>
      </c>
      <c r="Y156" s="1850">
        <f t="shared" si="41"/>
        <v>-90.952628253996238</v>
      </c>
      <c r="Z156" s="1850">
        <f t="shared" si="42"/>
        <v>-706.0946202853346</v>
      </c>
      <c r="AA156" s="1850">
        <f t="shared" si="43"/>
        <v>-868.76011706110228</v>
      </c>
      <c r="AB156" s="2733"/>
      <c r="AC156" s="3009"/>
    </row>
    <row r="157" spans="1:29" ht="18.75" x14ac:dyDescent="0.25">
      <c r="A157" s="2982"/>
      <c r="B157" s="2993"/>
      <c r="C157" s="1863">
        <v>2043</v>
      </c>
      <c r="D157" s="218">
        <f t="shared" si="51"/>
        <v>-1778117.3442377944</v>
      </c>
      <c r="E157" s="218">
        <f t="shared" si="58"/>
        <v>-1615.236366139676</v>
      </c>
      <c r="F157" s="218">
        <f t="shared" si="59"/>
        <v>-41459.995633391925</v>
      </c>
      <c r="G157" s="218">
        <f t="shared" si="52"/>
        <v>-40.720244524529633</v>
      </c>
      <c r="H157" s="218">
        <f t="shared" si="53"/>
        <v>-33.933537103774697</v>
      </c>
      <c r="I157" s="218">
        <f t="shared" si="54"/>
        <v>-1428.6019120689148</v>
      </c>
      <c r="J157" s="218">
        <f t="shared" si="55"/>
        <v>-10.18006113113241</v>
      </c>
      <c r="K157" s="218">
        <f t="shared" si="56"/>
        <v>-794.04476822832805</v>
      </c>
      <c r="L157" s="218">
        <f t="shared" si="57"/>
        <v>-21245.787580673339</v>
      </c>
      <c r="M157" s="192">
        <f t="shared" si="36"/>
        <v>-1821.192576237326</v>
      </c>
      <c r="N157" s="211">
        <v>89</v>
      </c>
      <c r="O157" s="211">
        <f>'Emission-Waste Transport Vehicl'!N57</f>
        <v>20.268997526448004</v>
      </c>
      <c r="P157" s="211">
        <f>'Emission-Waste Transport Vehicl'!O57</f>
        <v>29.487170123136003</v>
      </c>
      <c r="Q157" s="211">
        <f>'Emission-Waste Transport Vehicl'!P57</f>
        <v>11.277332521488001</v>
      </c>
      <c r="R157" s="211">
        <f>'Emission-Waste Transport Vehicl'!Q57</f>
        <v>8.7582935468160006</v>
      </c>
      <c r="S157" s="211">
        <f>'Emission-Waste Transport Vehicl'!R57</f>
        <v>0.87171103483200019</v>
      </c>
      <c r="T157" s="211">
        <f>'Emission-Waste Transport Vehicl'!S57</f>
        <v>4.0084979869440006E-2</v>
      </c>
      <c r="U157" s="174">
        <f t="shared" si="37"/>
        <v>-162086.13928512202</v>
      </c>
      <c r="V157" s="1850">
        <f t="shared" si="38"/>
        <v>-825.358535544049</v>
      </c>
      <c r="W157" s="1850">
        <f t="shared" si="39"/>
        <v>-1000.6039814587523</v>
      </c>
      <c r="X157" s="1850">
        <f t="shared" si="40"/>
        <v>-16110.818803234713</v>
      </c>
      <c r="Y157" s="1850">
        <f t="shared" si="41"/>
        <v>-89.159963710989388</v>
      </c>
      <c r="Z157" s="1850">
        <f t="shared" si="42"/>
        <v>-692.17758661525158</v>
      </c>
      <c r="AA157" s="1850">
        <f t="shared" si="43"/>
        <v>-851.63696748168923</v>
      </c>
      <c r="AB157" s="2733"/>
      <c r="AC157" s="3009"/>
    </row>
    <row r="158" spans="1:29" ht="18.75" x14ac:dyDescent="0.25">
      <c r="A158" s="2982"/>
      <c r="B158" s="2993"/>
      <c r="C158" s="1863">
        <v>2044</v>
      </c>
      <c r="D158" s="218">
        <f t="shared" si="51"/>
        <v>-1778117.3442377944</v>
      </c>
      <c r="E158" s="218">
        <f t="shared" si="58"/>
        <v>-1615.236366139676</v>
      </c>
      <c r="F158" s="218">
        <f t="shared" si="59"/>
        <v>-41459.995633391925</v>
      </c>
      <c r="G158" s="218">
        <f t="shared" si="52"/>
        <v>-40.720244524529633</v>
      </c>
      <c r="H158" s="218">
        <f t="shared" si="53"/>
        <v>-33.933537103774697</v>
      </c>
      <c r="I158" s="218">
        <f t="shared" si="54"/>
        <v>-1428.6019120689148</v>
      </c>
      <c r="J158" s="218">
        <f t="shared" si="55"/>
        <v>-10.18006113113241</v>
      </c>
      <c r="K158" s="218">
        <f t="shared" si="56"/>
        <v>-794.04476822832805</v>
      </c>
      <c r="L158" s="218">
        <f t="shared" si="57"/>
        <v>-21245.787580673339</v>
      </c>
      <c r="M158" s="192">
        <f t="shared" si="36"/>
        <v>-1821.192576237326</v>
      </c>
      <c r="N158" s="211">
        <v>90</v>
      </c>
      <c r="O158" s="211">
        <f>'Emission-Waste Transport Vehicl'!N58</f>
        <v>19.871246569680004</v>
      </c>
      <c r="P158" s="211">
        <f>'Emission-Waste Transport Vehicl'!O58</f>
        <v>28.908525317760002</v>
      </c>
      <c r="Q158" s="211">
        <f>'Emission-Waste Transport Vehicl'!P58</f>
        <v>11.056030516080002</v>
      </c>
      <c r="R158" s="211">
        <f>'Emission-Waste Transport Vehicl'!Q58</f>
        <v>8.5864241865600004</v>
      </c>
      <c r="S158" s="211">
        <f>'Emission-Waste Transport Vehicl'!R58</f>
        <v>0.85460491512000014</v>
      </c>
      <c r="T158" s="211">
        <f>'Emission-Waste Transport Vehicl'!S58</f>
        <v>3.9298367750400007E-2</v>
      </c>
      <c r="U158" s="174">
        <f t="shared" si="37"/>
        <v>-163907.33186135933</v>
      </c>
      <c r="V158" s="1850">
        <f t="shared" si="38"/>
        <v>-809.16201932459046</v>
      </c>
      <c r="W158" s="1850">
        <f t="shared" si="39"/>
        <v>-980.96851648561926</v>
      </c>
      <c r="X158" s="1850">
        <f t="shared" si="40"/>
        <v>-15794.66633516416</v>
      </c>
      <c r="Y158" s="1850">
        <f t="shared" si="41"/>
        <v>-87.410323117014684</v>
      </c>
      <c r="Z158" s="1850">
        <f t="shared" si="42"/>
        <v>-678.59456175325045</v>
      </c>
      <c r="AA158" s="1850">
        <f t="shared" si="43"/>
        <v>-834.92477349218211</v>
      </c>
      <c r="AB158" s="2733"/>
      <c r="AC158" s="3009"/>
    </row>
    <row r="159" spans="1:29" ht="18.75" x14ac:dyDescent="0.25">
      <c r="A159" s="2982"/>
      <c r="B159" s="2993"/>
      <c r="C159" s="1863">
        <v>2045</v>
      </c>
      <c r="D159" s="218">
        <f t="shared" si="51"/>
        <v>-1778117.3442377944</v>
      </c>
      <c r="E159" s="218">
        <f t="shared" si="58"/>
        <v>-1615.236366139676</v>
      </c>
      <c r="F159" s="218">
        <f t="shared" si="59"/>
        <v>-41459.995633391925</v>
      </c>
      <c r="G159" s="218">
        <f t="shared" si="52"/>
        <v>-40.720244524529633</v>
      </c>
      <c r="H159" s="218">
        <f t="shared" si="53"/>
        <v>-33.933537103774697</v>
      </c>
      <c r="I159" s="218">
        <f t="shared" si="54"/>
        <v>-1428.6019120689148</v>
      </c>
      <c r="J159" s="218">
        <f t="shared" si="55"/>
        <v>-10.18006113113241</v>
      </c>
      <c r="K159" s="218">
        <f t="shared" si="56"/>
        <v>-794.04476822832805</v>
      </c>
      <c r="L159" s="218">
        <f t="shared" si="57"/>
        <v>-21245.787580673339</v>
      </c>
      <c r="M159" s="192">
        <f t="shared" ref="M159:M222" si="60">(D159/1000)+(E159/1000)+(F159/1000)</f>
        <v>-1821.192576237326</v>
      </c>
      <c r="N159" s="211">
        <v>92</v>
      </c>
      <c r="O159" s="211">
        <f>'Emission-Waste Transport Vehicl'!N59</f>
        <v>19.483276374144001</v>
      </c>
      <c r="P159" s="211">
        <f>'Emission-Waste Transport Vehicl'!O59</f>
        <v>28.344109483008001</v>
      </c>
      <c r="Q159" s="211">
        <f>'Emission-Waste Transport Vehicl'!P59</f>
        <v>10.840170363264003</v>
      </c>
      <c r="R159" s="211">
        <f>'Emission-Waste Transport Vehicl'!Q59</f>
        <v>8.4187811220480011</v>
      </c>
      <c r="S159" s="211">
        <f>'Emission-Waste Transport Vehicl'!R59</f>
        <v>0.83791943769600008</v>
      </c>
      <c r="T159" s="211">
        <f>'Emission-Waste Transport Vehicl'!S59</f>
        <v>3.8531098552320009E-2</v>
      </c>
      <c r="U159" s="174">
        <f t="shared" ref="U159:U222" si="61">M159*N159</f>
        <v>-167549.71701383399</v>
      </c>
      <c r="V159" s="1850">
        <f t="shared" ref="V159:V222" si="62">G159*O159</f>
        <v>-793.36377809413477</v>
      </c>
      <c r="W159" s="1850">
        <f t="shared" ref="W159:W222" si="63">H159*P159</f>
        <v>-961.81589081510424</v>
      </c>
      <c r="X159" s="1850">
        <f t="shared" ref="X159:X222" si="64">I159*Q159</f>
        <v>-15486.288108111736</v>
      </c>
      <c r="Y159" s="1850">
        <f t="shared" ref="Y159:Y222" si="65">J159*R159</f>
        <v>-85.703706472072156</v>
      </c>
      <c r="Z159" s="1850">
        <f t="shared" ref="Z159:Z222" si="66">K159*S159</f>
        <v>-665.3455456993313</v>
      </c>
      <c r="AA159" s="1850">
        <f t="shared" ref="AA159:AA222" si="67">T159*L159</f>
        <v>-818.62353509258094</v>
      </c>
      <c r="AB159" s="2733"/>
      <c r="AC159" s="3009"/>
    </row>
    <row r="160" spans="1:29" ht="18.75" x14ac:dyDescent="0.25">
      <c r="A160" s="2982"/>
      <c r="B160" s="2993"/>
      <c r="C160" s="1863">
        <v>2046</v>
      </c>
      <c r="D160" s="218">
        <f t="shared" si="51"/>
        <v>-1778117.3442377944</v>
      </c>
      <c r="E160" s="218">
        <f t="shared" si="58"/>
        <v>-1615.236366139676</v>
      </c>
      <c r="F160" s="218">
        <f t="shared" si="59"/>
        <v>-41459.995633391925</v>
      </c>
      <c r="G160" s="218">
        <f t="shared" si="52"/>
        <v>-40.720244524529633</v>
      </c>
      <c r="H160" s="218">
        <f t="shared" si="53"/>
        <v>-33.933537103774697</v>
      </c>
      <c r="I160" s="218">
        <f t="shared" si="54"/>
        <v>-1428.6019120689148</v>
      </c>
      <c r="J160" s="218">
        <f t="shared" si="55"/>
        <v>-10.18006113113241</v>
      </c>
      <c r="K160" s="218">
        <f t="shared" si="56"/>
        <v>-794.04476822832805</v>
      </c>
      <c r="L160" s="218">
        <f t="shared" si="57"/>
        <v>-21245.787580673339</v>
      </c>
      <c r="M160" s="192">
        <f t="shared" si="60"/>
        <v>-1821.192576237326</v>
      </c>
      <c r="N160" s="211">
        <v>93</v>
      </c>
      <c r="O160" s="211">
        <f>'Emission-Waste Transport Vehicl'!N60</f>
        <v>19.101826686096</v>
      </c>
      <c r="P160" s="211">
        <f>'Emission-Waste Transport Vehicl'!O60</f>
        <v>27.789179628671999</v>
      </c>
      <c r="Q160" s="211">
        <f>'Emission-Waste Transport Vehicl'!P60</f>
        <v>10.627938112176002</v>
      </c>
      <c r="R160" s="211">
        <f>'Emission-Waste Transport Vehicl'!Q60</f>
        <v>8.2539555880319995</v>
      </c>
      <c r="S160" s="211">
        <f>'Emission-Waste Transport Vehicl'!R60</f>
        <v>0.82151438846400004</v>
      </c>
      <c r="T160" s="211">
        <f>'Emission-Waste Transport Vehicl'!S60</f>
        <v>3.777672463488E-2</v>
      </c>
      <c r="U160" s="174">
        <f t="shared" si="61"/>
        <v>-169370.90959007133</v>
      </c>
      <c r="V160" s="1850">
        <f t="shared" si="62"/>
        <v>-777.8310535230147</v>
      </c>
      <c r="W160" s="1850">
        <f t="shared" si="63"/>
        <v>-942.98515801300118</v>
      </c>
      <c r="X160" s="1850">
        <f t="shared" si="64"/>
        <v>-15183.092708404729</v>
      </c>
      <c r="Y160" s="1850">
        <f t="shared" si="65"/>
        <v>-84.025772459817716</v>
      </c>
      <c r="Z160" s="1850">
        <f t="shared" si="66"/>
        <v>-652.31920218413359</v>
      </c>
      <c r="AA160" s="1850">
        <f t="shared" si="67"/>
        <v>-802.59626708625012</v>
      </c>
      <c r="AB160" s="2733"/>
      <c r="AC160" s="3009"/>
    </row>
    <row r="161" spans="1:29" ht="18.75" x14ac:dyDescent="0.25">
      <c r="A161" s="2982"/>
      <c r="B161" s="2993"/>
      <c r="C161" s="1863">
        <v>2047</v>
      </c>
      <c r="D161" s="218">
        <f t="shared" si="51"/>
        <v>-1778117.3442377944</v>
      </c>
      <c r="E161" s="218">
        <f t="shared" si="58"/>
        <v>-1615.236366139676</v>
      </c>
      <c r="F161" s="218">
        <f t="shared" si="59"/>
        <v>-41459.995633391925</v>
      </c>
      <c r="G161" s="218">
        <f t="shared" si="52"/>
        <v>-40.720244524529633</v>
      </c>
      <c r="H161" s="218">
        <f t="shared" si="53"/>
        <v>-33.933537103774697</v>
      </c>
      <c r="I161" s="218">
        <f t="shared" si="54"/>
        <v>-1428.6019120689148</v>
      </c>
      <c r="J161" s="218">
        <f t="shared" si="55"/>
        <v>-10.18006113113241</v>
      </c>
      <c r="K161" s="218">
        <f t="shared" si="56"/>
        <v>-794.04476822832805</v>
      </c>
      <c r="L161" s="218">
        <f t="shared" si="57"/>
        <v>-21245.787580673339</v>
      </c>
      <c r="M161" s="192">
        <f t="shared" si="60"/>
        <v>-1821.192576237326</v>
      </c>
      <c r="N161" s="211">
        <v>94</v>
      </c>
      <c r="O161" s="211">
        <f>'Emission-Waste Transport Vehicl'!N61</f>
        <v>18.726897505536005</v>
      </c>
      <c r="P161" s="211">
        <f>'Emission-Waste Transport Vehicl'!O61</f>
        <v>27.243735754752002</v>
      </c>
      <c r="Q161" s="211">
        <f>'Emission-Waste Transport Vehicl'!P61</f>
        <v>10.419333762816001</v>
      </c>
      <c r="R161" s="211">
        <f>'Emission-Waste Transport Vehicl'!Q61</f>
        <v>8.0919475845120008</v>
      </c>
      <c r="S161" s="211">
        <f>'Emission-Waste Transport Vehicl'!R61</f>
        <v>0.80538976742400015</v>
      </c>
      <c r="T161" s="211">
        <f>'Emission-Waste Transport Vehicl'!S61</f>
        <v>3.7035245998080002E-2</v>
      </c>
      <c r="U161" s="174">
        <f t="shared" si="61"/>
        <v>-171192.10216630864</v>
      </c>
      <c r="V161" s="1850">
        <f t="shared" si="62"/>
        <v>-762.56384561123014</v>
      </c>
      <c r="W161" s="1850">
        <f t="shared" si="63"/>
        <v>-924.47631807931043</v>
      </c>
      <c r="X161" s="1850">
        <f t="shared" si="64"/>
        <v>-14885.08013604314</v>
      </c>
      <c r="Y161" s="1850">
        <f t="shared" si="65"/>
        <v>-82.376521080251408</v>
      </c>
      <c r="Z161" s="1850">
        <f t="shared" si="66"/>
        <v>-639.5155312076572</v>
      </c>
      <c r="AA161" s="1850">
        <f t="shared" si="67"/>
        <v>-786.84296947319012</v>
      </c>
      <c r="AB161" s="2733"/>
      <c r="AC161" s="3009"/>
    </row>
    <row r="162" spans="1:29" ht="18.75" x14ac:dyDescent="0.25">
      <c r="A162" s="2982"/>
      <c r="B162" s="2993"/>
      <c r="C162" s="1863">
        <v>2048</v>
      </c>
      <c r="D162" s="218">
        <f t="shared" si="51"/>
        <v>-1778117.3442377944</v>
      </c>
      <c r="E162" s="218">
        <f t="shared" si="58"/>
        <v>-1615.236366139676</v>
      </c>
      <c r="F162" s="218">
        <f t="shared" si="59"/>
        <v>-41459.995633391925</v>
      </c>
      <c r="G162" s="218">
        <f t="shared" si="52"/>
        <v>-40.720244524529633</v>
      </c>
      <c r="H162" s="218">
        <f t="shared" si="53"/>
        <v>-33.933537103774697</v>
      </c>
      <c r="I162" s="218">
        <f t="shared" si="54"/>
        <v>-1428.6019120689148</v>
      </c>
      <c r="J162" s="218">
        <f t="shared" si="55"/>
        <v>-10.18006113113241</v>
      </c>
      <c r="K162" s="218">
        <f t="shared" si="56"/>
        <v>-794.04476822832805</v>
      </c>
      <c r="L162" s="218">
        <f t="shared" si="57"/>
        <v>-21245.787580673339</v>
      </c>
      <c r="M162" s="192">
        <f t="shared" si="60"/>
        <v>-1821.192576237326</v>
      </c>
      <c r="N162" s="211">
        <v>95</v>
      </c>
      <c r="O162" s="211">
        <f>'Emission-Waste Transport Vehicl'!N62</f>
        <v>18.358488832464005</v>
      </c>
      <c r="P162" s="211">
        <f>'Emission-Waste Transport Vehicl'!O62</f>
        <v>26.707777861248005</v>
      </c>
      <c r="Q162" s="211">
        <f>'Emission-Waste Transport Vehicl'!P62</f>
        <v>10.214357315184001</v>
      </c>
      <c r="R162" s="211">
        <f>'Emission-Waste Transport Vehicl'!Q62</f>
        <v>7.9327571114880007</v>
      </c>
      <c r="S162" s="211">
        <f>'Emission-Waste Transport Vehicl'!R62</f>
        <v>0.78954557457600016</v>
      </c>
      <c r="T162" s="211">
        <f>'Emission-Waste Transport Vehicl'!S62</f>
        <v>3.6306662641920007E-2</v>
      </c>
      <c r="U162" s="174">
        <f t="shared" si="61"/>
        <v>-173013.29474254596</v>
      </c>
      <c r="V162" s="1850">
        <f t="shared" si="62"/>
        <v>-747.56215435878084</v>
      </c>
      <c r="W162" s="1850">
        <f t="shared" si="63"/>
        <v>-906.28937101403153</v>
      </c>
      <c r="X162" s="1850">
        <f t="shared" si="64"/>
        <v>-14592.250391026972</v>
      </c>
      <c r="Y162" s="1850">
        <f t="shared" si="65"/>
        <v>-80.755952333373202</v>
      </c>
      <c r="Z162" s="1850">
        <f t="shared" si="66"/>
        <v>-626.93453276990215</v>
      </c>
      <c r="AA162" s="1850">
        <f t="shared" si="67"/>
        <v>-771.36364225340071</v>
      </c>
      <c r="AB162" s="2733"/>
      <c r="AC162" s="3009"/>
    </row>
    <row r="163" spans="1:29" ht="18.75" x14ac:dyDescent="0.25">
      <c r="A163" s="2982"/>
      <c r="B163" s="2993"/>
      <c r="C163" s="1863">
        <v>2049</v>
      </c>
      <c r="D163" s="218">
        <f t="shared" si="51"/>
        <v>-1778117.3442377944</v>
      </c>
      <c r="E163" s="218">
        <f t="shared" si="58"/>
        <v>-1615.236366139676</v>
      </c>
      <c r="F163" s="218">
        <f t="shared" si="59"/>
        <v>-41459.995633391925</v>
      </c>
      <c r="G163" s="218">
        <f t="shared" si="52"/>
        <v>-40.720244524529633</v>
      </c>
      <c r="H163" s="218">
        <f t="shared" si="53"/>
        <v>-33.933537103774697</v>
      </c>
      <c r="I163" s="218">
        <f t="shared" si="54"/>
        <v>-1428.6019120689148</v>
      </c>
      <c r="J163" s="218">
        <f t="shared" si="55"/>
        <v>-10.18006113113241</v>
      </c>
      <c r="K163" s="218">
        <f t="shared" si="56"/>
        <v>-794.04476822832805</v>
      </c>
      <c r="L163" s="218">
        <f t="shared" si="57"/>
        <v>-21245.787580673339</v>
      </c>
      <c r="M163" s="192">
        <f t="shared" si="60"/>
        <v>-1821.192576237326</v>
      </c>
      <c r="N163" s="211">
        <v>96</v>
      </c>
      <c r="O163" s="211">
        <f>'Emission-Waste Transport Vehicl'!N63</f>
        <v>17.999860920624005</v>
      </c>
      <c r="P163" s="211">
        <f>'Emission-Waste Transport Vehicl'!O63</f>
        <v>26.186048938368003</v>
      </c>
      <c r="Q163" s="211">
        <f>'Emission-Waste Transport Vehicl'!P63</f>
        <v>10.014822720144002</v>
      </c>
      <c r="R163" s="211">
        <f>'Emission-Waste Transport Vehicl'!Q63</f>
        <v>7.7777929342080014</v>
      </c>
      <c r="S163" s="211">
        <f>'Emission-Waste Transport Vehicl'!R63</f>
        <v>0.77412202401600017</v>
      </c>
      <c r="T163" s="211">
        <f>'Emission-Waste Transport Vehicl'!S63</f>
        <v>3.5597422206719999E-2</v>
      </c>
      <c r="U163" s="174">
        <f t="shared" si="61"/>
        <v>-174834.4873187833</v>
      </c>
      <c r="V163" s="1850">
        <f t="shared" si="62"/>
        <v>-732.95873809533452</v>
      </c>
      <c r="W163" s="1850">
        <f t="shared" si="63"/>
        <v>-888.58526325137063</v>
      </c>
      <c r="X163" s="1850">
        <f t="shared" si="64"/>
        <v>-14307.194887028931</v>
      </c>
      <c r="Y163" s="1850">
        <f t="shared" si="65"/>
        <v>-79.178407535527171</v>
      </c>
      <c r="Z163" s="1850">
        <f t="shared" si="66"/>
        <v>-614.68754314022908</v>
      </c>
      <c r="AA163" s="1850">
        <f t="shared" si="67"/>
        <v>-756.29527062351713</v>
      </c>
      <c r="AB163" s="2733"/>
      <c r="AC163" s="3009"/>
    </row>
    <row r="164" spans="1:29" ht="18.75" x14ac:dyDescent="0.25">
      <c r="A164" s="2982"/>
      <c r="B164" s="2993"/>
      <c r="C164" s="1863">
        <v>2050</v>
      </c>
      <c r="D164" s="218">
        <f t="shared" si="51"/>
        <v>-1778117.3442377944</v>
      </c>
      <c r="E164" s="218">
        <f t="shared" si="58"/>
        <v>-1615.236366139676</v>
      </c>
      <c r="F164" s="218">
        <f t="shared" si="59"/>
        <v>-41459.995633391925</v>
      </c>
      <c r="G164" s="218">
        <f t="shared" si="52"/>
        <v>-40.720244524529633</v>
      </c>
      <c r="H164" s="218">
        <f t="shared" si="53"/>
        <v>-33.933537103774697</v>
      </c>
      <c r="I164" s="218">
        <f t="shared" si="54"/>
        <v>-1428.6019120689148</v>
      </c>
      <c r="J164" s="218">
        <f t="shared" si="55"/>
        <v>-10.18006113113241</v>
      </c>
      <c r="K164" s="218">
        <f t="shared" si="56"/>
        <v>-794.04476822832805</v>
      </c>
      <c r="L164" s="218">
        <f t="shared" si="57"/>
        <v>-21245.787580673339</v>
      </c>
      <c r="M164" s="192">
        <f t="shared" si="60"/>
        <v>-1821.192576237326</v>
      </c>
      <c r="N164" s="211">
        <v>97</v>
      </c>
      <c r="O164" s="211">
        <f>'Emission-Waste Transport Vehicl'!N64</f>
        <v>17.644493262528005</v>
      </c>
      <c r="P164" s="211">
        <f>'Emission-Waste Transport Vehicl'!O64</f>
        <v>25.669063005696003</v>
      </c>
      <c r="Q164" s="211">
        <f>'Emission-Waste Transport Vehicl'!P64</f>
        <v>9.8171020759680019</v>
      </c>
      <c r="R164" s="211">
        <f>'Emission-Waste Transport Vehicl'!Q64</f>
        <v>7.624237522176001</v>
      </c>
      <c r="S164" s="211">
        <f>'Emission-Waste Transport Vehicl'!R64</f>
        <v>0.75883868755200012</v>
      </c>
      <c r="T164" s="211">
        <f>'Emission-Waste Transport Vehicl'!S64</f>
        <v>3.4894629411840003E-2</v>
      </c>
      <c r="U164" s="174">
        <f t="shared" si="61"/>
        <v>-176655.67989502061</v>
      </c>
      <c r="V164" s="1850">
        <f t="shared" si="62"/>
        <v>-718.48808016155601</v>
      </c>
      <c r="W164" s="1850">
        <f t="shared" si="63"/>
        <v>-871.04210192291578</v>
      </c>
      <c r="X164" s="1850">
        <f t="shared" si="64"/>
        <v>-14024.730796703599</v>
      </c>
      <c r="Y164" s="1850">
        <f t="shared" si="65"/>
        <v>-77.615204054025185</v>
      </c>
      <c r="Z164" s="1850">
        <f t="shared" si="66"/>
        <v>-602.55188977991656</v>
      </c>
      <c r="AA164" s="1850">
        <f t="shared" si="67"/>
        <v>-741.363884190269</v>
      </c>
      <c r="AB164" s="2733"/>
      <c r="AC164" s="3009"/>
    </row>
    <row r="165" spans="1:29" ht="18.75" x14ac:dyDescent="0.25">
      <c r="A165" s="2982"/>
      <c r="B165" s="2993"/>
      <c r="C165" s="1863">
        <v>2051</v>
      </c>
      <c r="D165" s="218">
        <f t="shared" ref="D165:D183" si="68">$AC$11</f>
        <v>-1778117.3442377944</v>
      </c>
      <c r="E165" s="218">
        <f t="shared" si="58"/>
        <v>-1615.236366139676</v>
      </c>
      <c r="F165" s="218">
        <f t="shared" si="59"/>
        <v>-41459.995633391925</v>
      </c>
      <c r="G165" s="218">
        <f t="shared" ref="G165:G183" si="69">$Y$11</f>
        <v>-40.720244524529633</v>
      </c>
      <c r="H165" s="218">
        <f t="shared" ref="H165:H183" si="70">$Z$11</f>
        <v>-33.933537103774697</v>
      </c>
      <c r="I165" s="218">
        <f t="shared" ref="I165:I183" si="71">$X$11</f>
        <v>-1428.6019120689148</v>
      </c>
      <c r="J165" s="218">
        <f t="shared" ref="J165:J183" si="72">$AA$11</f>
        <v>-10.18006113113241</v>
      </c>
      <c r="K165" s="218">
        <f t="shared" ref="K165:K183" si="73">$V$11</f>
        <v>-794.04476822832805</v>
      </c>
      <c r="L165" s="218">
        <f t="shared" ref="L165:L183" si="74">$W$11</f>
        <v>-21245.787580673339</v>
      </c>
      <c r="M165" s="192">
        <f t="shared" si="60"/>
        <v>-1821.192576237326</v>
      </c>
      <c r="N165" s="211">
        <v>97</v>
      </c>
      <c r="O165" s="211">
        <f>'Emission-Waste Transport Vehicl'!N65</f>
        <v>17.298906365664003</v>
      </c>
      <c r="P165" s="211">
        <f>'Emission-Waste Transport Vehicl'!O65</f>
        <v>25.166306043648003</v>
      </c>
      <c r="Q165" s="211">
        <f>'Emission-Waste Transport Vehicl'!P65</f>
        <v>9.624823284384</v>
      </c>
      <c r="R165" s="211">
        <f>'Emission-Waste Transport Vehicl'!Q65</f>
        <v>7.4749084058879998</v>
      </c>
      <c r="S165" s="211">
        <f>'Emission-Waste Transport Vehicl'!R65</f>
        <v>0.74397599337600007</v>
      </c>
      <c r="T165" s="211">
        <f>'Emission-Waste Transport Vehicl'!S65</f>
        <v>3.4211179537920001E-2</v>
      </c>
      <c r="U165" s="174">
        <f t="shared" si="61"/>
        <v>-176655.67989502061</v>
      </c>
      <c r="V165" s="1850">
        <f t="shared" si="62"/>
        <v>-704.41569721678047</v>
      </c>
      <c r="W165" s="1850">
        <f t="shared" si="63"/>
        <v>-853.98177989707892</v>
      </c>
      <c r="X165" s="1850">
        <f t="shared" si="64"/>
        <v>-13750.040947396395</v>
      </c>
      <c r="Y165" s="1850">
        <f t="shared" si="65"/>
        <v>-76.095024521555345</v>
      </c>
      <c r="Z165" s="1850">
        <f t="shared" si="66"/>
        <v>-590.75024522768615</v>
      </c>
      <c r="AA165" s="1850">
        <f t="shared" si="67"/>
        <v>-726.84345334692659</v>
      </c>
      <c r="AB165" s="2733"/>
      <c r="AC165" s="3009"/>
    </row>
    <row r="166" spans="1:29" ht="18.75" x14ac:dyDescent="0.25">
      <c r="A166" s="2982"/>
      <c r="B166" s="2993"/>
      <c r="C166" s="1863">
        <v>2052</v>
      </c>
      <c r="D166" s="218">
        <f t="shared" si="68"/>
        <v>-1778117.3442377944</v>
      </c>
      <c r="E166" s="218">
        <f t="shared" si="58"/>
        <v>-1615.236366139676</v>
      </c>
      <c r="F166" s="218">
        <f t="shared" si="59"/>
        <v>-41459.995633391925</v>
      </c>
      <c r="G166" s="218">
        <f t="shared" si="69"/>
        <v>-40.720244524529633</v>
      </c>
      <c r="H166" s="218">
        <f t="shared" si="70"/>
        <v>-33.933537103774697</v>
      </c>
      <c r="I166" s="218">
        <f t="shared" si="71"/>
        <v>-1428.6019120689148</v>
      </c>
      <c r="J166" s="218">
        <f t="shared" si="72"/>
        <v>-10.18006113113241</v>
      </c>
      <c r="K166" s="218">
        <f t="shared" si="73"/>
        <v>-794.04476822832805</v>
      </c>
      <c r="L166" s="218">
        <f t="shared" si="74"/>
        <v>-21245.787580673339</v>
      </c>
      <c r="M166" s="192">
        <f t="shared" si="60"/>
        <v>-1821.192576237326</v>
      </c>
      <c r="N166" s="211">
        <v>97</v>
      </c>
      <c r="O166" s="211">
        <f>'Emission-Waste Transport Vehicl'!N66</f>
        <v>16.959839976288002</v>
      </c>
      <c r="P166" s="211">
        <f>'Emission-Waste Transport Vehicl'!O66</f>
        <v>24.673035062016002</v>
      </c>
      <c r="Q166" s="211">
        <f>'Emission-Waste Transport Vehicl'!P66</f>
        <v>9.4361723945280005</v>
      </c>
      <c r="R166" s="211">
        <f>'Emission-Waste Transport Vehicl'!Q66</f>
        <v>7.3283968200960006</v>
      </c>
      <c r="S166" s="211">
        <f>'Emission-Waste Transport Vehicl'!R66</f>
        <v>0.72939372739200004</v>
      </c>
      <c r="T166" s="211">
        <f>'Emission-Waste Transport Vehicl'!S66</f>
        <v>3.3540624944640003E-2</v>
      </c>
      <c r="U166" s="174">
        <f t="shared" si="61"/>
        <v>-176655.67989502061</v>
      </c>
      <c r="V166" s="1850">
        <f t="shared" si="62"/>
        <v>-690.60883093134032</v>
      </c>
      <c r="W166" s="1850">
        <f t="shared" si="63"/>
        <v>-837.24335073965403</v>
      </c>
      <c r="X166" s="1850">
        <f t="shared" si="64"/>
        <v>-13480.533925434611</v>
      </c>
      <c r="Y166" s="1850">
        <f t="shared" si="65"/>
        <v>-74.603527621773651</v>
      </c>
      <c r="Z166" s="1850">
        <f t="shared" si="66"/>
        <v>-579.17127321417695</v>
      </c>
      <c r="AA166" s="1850">
        <f t="shared" si="67"/>
        <v>-712.596992896855</v>
      </c>
      <c r="AB166" s="2733"/>
      <c r="AC166" s="3009"/>
    </row>
    <row r="167" spans="1:29" ht="18.75" x14ac:dyDescent="0.25">
      <c r="A167" s="2982"/>
      <c r="B167" s="2993"/>
      <c r="C167" s="1863">
        <v>2053</v>
      </c>
      <c r="D167" s="218">
        <f t="shared" si="68"/>
        <v>-1778117.3442377944</v>
      </c>
      <c r="E167" s="218">
        <f t="shared" si="58"/>
        <v>-1615.236366139676</v>
      </c>
      <c r="F167" s="218">
        <f t="shared" si="59"/>
        <v>-41459.995633391925</v>
      </c>
      <c r="G167" s="218">
        <f t="shared" si="69"/>
        <v>-40.720244524529633</v>
      </c>
      <c r="H167" s="218">
        <f t="shared" si="70"/>
        <v>-33.933537103774697</v>
      </c>
      <c r="I167" s="218">
        <f t="shared" si="71"/>
        <v>-1428.6019120689148</v>
      </c>
      <c r="J167" s="218">
        <f t="shared" si="72"/>
        <v>-10.18006113113241</v>
      </c>
      <c r="K167" s="218">
        <f t="shared" si="73"/>
        <v>-794.04476822832805</v>
      </c>
      <c r="L167" s="218">
        <f t="shared" si="74"/>
        <v>-21245.787580673339</v>
      </c>
      <c r="M167" s="192">
        <f t="shared" si="60"/>
        <v>-1821.192576237326</v>
      </c>
      <c r="N167" s="211">
        <v>97</v>
      </c>
      <c r="O167" s="211">
        <f>'Emission-Waste Transport Vehicl'!N67</f>
        <v>15.361506000000002</v>
      </c>
      <c r="P167" s="211">
        <f>'Emission-Waste Transport Vehicl'!O67</f>
        <v>24.189250060800003</v>
      </c>
      <c r="Q167" s="211">
        <f>'Emission-Waste Transport Vehicl'!P67</f>
        <v>9.2511494064000015</v>
      </c>
      <c r="R167" s="211">
        <f>'Emission-Waste Transport Vehicl'!Q67</f>
        <v>7.1847027647999999</v>
      </c>
      <c r="S167" s="211">
        <f>'Emission-Waste Transport Vehicl'!R67</f>
        <v>0.71509188960000014</v>
      </c>
      <c r="T167" s="211">
        <f>'Emission-Waste Transport Vehicl'!S67</f>
        <v>3.2882965632000001E-2</v>
      </c>
      <c r="U167" s="174">
        <f t="shared" si="61"/>
        <v>-176655.67989502061</v>
      </c>
      <c r="V167" s="1850">
        <f t="shared" si="62"/>
        <v>-625.52428058502915</v>
      </c>
      <c r="W167" s="1850">
        <f t="shared" si="63"/>
        <v>-820.82681445064122</v>
      </c>
      <c r="X167" s="1850">
        <f t="shared" si="64"/>
        <v>-13216.209730818247</v>
      </c>
      <c r="Y167" s="1850">
        <f t="shared" si="65"/>
        <v>-73.140713354680045</v>
      </c>
      <c r="Z167" s="1850">
        <f t="shared" si="66"/>
        <v>-567.8149737393893</v>
      </c>
      <c r="AA167" s="1850">
        <f t="shared" si="67"/>
        <v>-698.62450284005388</v>
      </c>
      <c r="AB167" s="2733"/>
      <c r="AC167" s="3009"/>
    </row>
    <row r="168" spans="1:29" ht="18.75" x14ac:dyDescent="0.25">
      <c r="A168" s="2982"/>
      <c r="B168" s="2993"/>
      <c r="C168" s="1863">
        <v>2054</v>
      </c>
      <c r="D168" s="218">
        <f t="shared" si="68"/>
        <v>-1778117.3442377944</v>
      </c>
      <c r="E168" s="218">
        <f t="shared" si="58"/>
        <v>-1615.236366139676</v>
      </c>
      <c r="F168" s="218">
        <f t="shared" si="59"/>
        <v>-41459.995633391925</v>
      </c>
      <c r="G168" s="218">
        <f t="shared" si="69"/>
        <v>-40.720244524529633</v>
      </c>
      <c r="H168" s="218">
        <f t="shared" si="70"/>
        <v>-33.933537103774697</v>
      </c>
      <c r="I168" s="218">
        <f t="shared" si="71"/>
        <v>-1428.6019120689148</v>
      </c>
      <c r="J168" s="218">
        <f t="shared" si="72"/>
        <v>-10.18006113113241</v>
      </c>
      <c r="K168" s="218">
        <f t="shared" si="73"/>
        <v>-794.04476822832805</v>
      </c>
      <c r="L168" s="218">
        <f t="shared" si="74"/>
        <v>-21245.787580673339</v>
      </c>
      <c r="M168" s="192">
        <f t="shared" si="60"/>
        <v>-1821.192576237326</v>
      </c>
      <c r="N168" s="211">
        <v>97</v>
      </c>
      <c r="O168" s="211">
        <f>'Emission-Waste Transport Vehicl'!N68</f>
        <v>16.301268720000003</v>
      </c>
      <c r="P168" s="211">
        <f>'Emission-Waste Transport Vehicl'!O68</f>
        <v>23.714951040000003</v>
      </c>
      <c r="Q168" s="211">
        <f>'Emission-Waste Transport Vehicl'!P68</f>
        <v>9.0697543200000013</v>
      </c>
      <c r="R168" s="211">
        <f>'Emission-Waste Transport Vehicl'!Q68</f>
        <v>7.0438262400000005</v>
      </c>
      <c r="S168" s="211">
        <f>'Emission-Waste Transport Vehicl'!R68</f>
        <v>0.70107048000000005</v>
      </c>
      <c r="T168" s="211">
        <f>'Emission-Waste Transport Vehicl'!S68</f>
        <v>3.2238201600000002E-2</v>
      </c>
      <c r="U168" s="174">
        <f t="shared" si="61"/>
        <v>-176655.67989502061</v>
      </c>
      <c r="V168" s="1850">
        <f t="shared" si="62"/>
        <v>-663.7916483384663</v>
      </c>
      <c r="W168" s="1850">
        <f t="shared" si="63"/>
        <v>-804.73217103004038</v>
      </c>
      <c r="X168" s="1850">
        <f t="shared" si="64"/>
        <v>-12957.068363547301</v>
      </c>
      <c r="Y168" s="1850">
        <f t="shared" si="65"/>
        <v>-71.706581720274556</v>
      </c>
      <c r="Z168" s="1850">
        <f t="shared" si="66"/>
        <v>-556.68134680332275</v>
      </c>
      <c r="AA168" s="1850">
        <f t="shared" si="67"/>
        <v>-684.92598317652346</v>
      </c>
      <c r="AB168" s="2733"/>
      <c r="AC168" s="3009"/>
    </row>
    <row r="169" spans="1:29" ht="18.75" x14ac:dyDescent="0.25">
      <c r="A169" s="2982"/>
      <c r="B169" s="2993"/>
      <c r="C169" s="1863">
        <v>2055</v>
      </c>
      <c r="D169" s="218">
        <f t="shared" si="68"/>
        <v>-1778117.3442377944</v>
      </c>
      <c r="E169" s="218">
        <f t="shared" si="58"/>
        <v>-1615.236366139676</v>
      </c>
      <c r="F169" s="218">
        <f t="shared" si="59"/>
        <v>-41459.995633391925</v>
      </c>
      <c r="G169" s="218">
        <f t="shared" si="69"/>
        <v>-40.720244524529633</v>
      </c>
      <c r="H169" s="218">
        <f t="shared" si="70"/>
        <v>-33.933537103774697</v>
      </c>
      <c r="I169" s="218">
        <f t="shared" si="71"/>
        <v>-1428.6019120689148</v>
      </c>
      <c r="J169" s="218">
        <f t="shared" si="72"/>
        <v>-10.18006113113241</v>
      </c>
      <c r="K169" s="218">
        <f t="shared" si="73"/>
        <v>-794.04476822832805</v>
      </c>
      <c r="L169" s="218">
        <f t="shared" si="74"/>
        <v>-21245.787580673339</v>
      </c>
      <c r="M169" s="192">
        <f t="shared" si="60"/>
        <v>-1821.192576237326</v>
      </c>
      <c r="N169" s="211">
        <v>97</v>
      </c>
      <c r="O169" s="211">
        <f>'Emission-Waste Transport Vehicl'!N69</f>
        <v>15.981763853088003</v>
      </c>
      <c r="P169" s="211">
        <f>'Emission-Waste Transport Vehicl'!O69</f>
        <v>23.250137999616001</v>
      </c>
      <c r="Q169" s="211">
        <f>'Emission-Waste Transport Vehicl'!P69</f>
        <v>8.8919871353280016</v>
      </c>
      <c r="R169" s="211">
        <f>'Emission-Waste Transport Vehicl'!Q69</f>
        <v>6.9057672456960004</v>
      </c>
      <c r="S169" s="211">
        <f>'Emission-Waste Transport Vehicl'!R69</f>
        <v>0.6873294985920001</v>
      </c>
      <c r="T169" s="211">
        <f>'Emission-Waste Transport Vehicl'!S69</f>
        <v>3.1606332848640006E-2</v>
      </c>
      <c r="U169" s="174">
        <f t="shared" si="61"/>
        <v>-176655.67989502061</v>
      </c>
      <c r="V169" s="1850">
        <f t="shared" si="62"/>
        <v>-650.78133203103232</v>
      </c>
      <c r="W169" s="1850">
        <f t="shared" si="63"/>
        <v>-788.95942047785161</v>
      </c>
      <c r="X169" s="1850">
        <f t="shared" si="64"/>
        <v>-12703.109823621775</v>
      </c>
      <c r="Y169" s="1850">
        <f t="shared" si="65"/>
        <v>-70.30113271855717</v>
      </c>
      <c r="Z169" s="1850">
        <f t="shared" si="66"/>
        <v>-545.77039240597765</v>
      </c>
      <c r="AA169" s="1850">
        <f t="shared" si="67"/>
        <v>-671.50143390626363</v>
      </c>
      <c r="AB169" s="2733"/>
      <c r="AC169" s="3009"/>
    </row>
    <row r="170" spans="1:29" ht="18.75" x14ac:dyDescent="0.25">
      <c r="A170" s="2982"/>
      <c r="B170" s="2993"/>
      <c r="C170" s="1863">
        <v>2056</v>
      </c>
      <c r="D170" s="218">
        <f t="shared" si="68"/>
        <v>-1778117.3442377944</v>
      </c>
      <c r="E170" s="218">
        <f t="shared" si="58"/>
        <v>-1615.236366139676</v>
      </c>
      <c r="F170" s="218">
        <f t="shared" si="59"/>
        <v>-41459.995633391925</v>
      </c>
      <c r="G170" s="218">
        <f t="shared" si="69"/>
        <v>-40.720244524529633</v>
      </c>
      <c r="H170" s="218">
        <f t="shared" si="70"/>
        <v>-33.933537103774697</v>
      </c>
      <c r="I170" s="218">
        <f t="shared" si="71"/>
        <v>-1428.6019120689148</v>
      </c>
      <c r="J170" s="218">
        <f t="shared" si="72"/>
        <v>-10.18006113113241</v>
      </c>
      <c r="K170" s="218">
        <f t="shared" si="73"/>
        <v>-794.04476822832805</v>
      </c>
      <c r="L170" s="218">
        <f t="shared" si="74"/>
        <v>-21245.787580673339</v>
      </c>
      <c r="M170" s="192">
        <f t="shared" si="60"/>
        <v>-1821.192576237326</v>
      </c>
      <c r="N170" s="211">
        <v>97</v>
      </c>
      <c r="O170" s="211">
        <f>'Emission-Waste Transport Vehicl'!N70</f>
        <v>15.668779493664003</v>
      </c>
      <c r="P170" s="211">
        <f>'Emission-Waste Transport Vehicl'!O70</f>
        <v>22.794810939648006</v>
      </c>
      <c r="Q170" s="211">
        <f>'Emission-Waste Transport Vehicl'!P70</f>
        <v>8.7178478523840006</v>
      </c>
      <c r="R170" s="211">
        <f>'Emission-Waste Transport Vehicl'!Q70</f>
        <v>6.7705257818880007</v>
      </c>
      <c r="S170" s="211">
        <f>'Emission-Waste Transport Vehicl'!R70</f>
        <v>0.67386894537600017</v>
      </c>
      <c r="T170" s="211">
        <f>'Emission-Waste Transport Vehicl'!S70</f>
        <v>3.0987359377920003E-2</v>
      </c>
      <c r="U170" s="174">
        <f t="shared" si="61"/>
        <v>-176655.67989502061</v>
      </c>
      <c r="V170" s="1850">
        <f t="shared" si="62"/>
        <v>-638.03653238293384</v>
      </c>
      <c r="W170" s="1850">
        <f t="shared" si="63"/>
        <v>-773.50856279407492</v>
      </c>
      <c r="X170" s="1850">
        <f t="shared" si="64"/>
        <v>-12454.334111041666</v>
      </c>
      <c r="Y170" s="1850">
        <f t="shared" si="65"/>
        <v>-68.924366349527901</v>
      </c>
      <c r="Z170" s="1850">
        <f t="shared" si="66"/>
        <v>-535.08211054735386</v>
      </c>
      <c r="AA170" s="1850">
        <f t="shared" si="67"/>
        <v>-658.35085502927438</v>
      </c>
      <c r="AB170" s="2733"/>
      <c r="AC170" s="3009"/>
    </row>
    <row r="171" spans="1:29" ht="18.75" x14ac:dyDescent="0.25">
      <c r="A171" s="2982"/>
      <c r="B171" s="2993"/>
      <c r="C171" s="1863">
        <v>2057</v>
      </c>
      <c r="D171" s="218">
        <f t="shared" si="68"/>
        <v>-1778117.3442377944</v>
      </c>
      <c r="E171" s="218">
        <f t="shared" si="58"/>
        <v>-1615.236366139676</v>
      </c>
      <c r="F171" s="218">
        <f t="shared" si="59"/>
        <v>-41459.995633391925</v>
      </c>
      <c r="G171" s="218">
        <f t="shared" si="69"/>
        <v>-40.720244524529633</v>
      </c>
      <c r="H171" s="218">
        <f t="shared" si="70"/>
        <v>-33.933537103774697</v>
      </c>
      <c r="I171" s="218">
        <f t="shared" si="71"/>
        <v>-1428.6019120689148</v>
      </c>
      <c r="J171" s="218">
        <f t="shared" si="72"/>
        <v>-10.18006113113241</v>
      </c>
      <c r="K171" s="218">
        <f t="shared" si="73"/>
        <v>-794.04476822832805</v>
      </c>
      <c r="L171" s="218">
        <f t="shared" si="74"/>
        <v>-21245.787580673339</v>
      </c>
      <c r="M171" s="192">
        <f t="shared" si="60"/>
        <v>-1821.192576237326</v>
      </c>
      <c r="N171" s="211">
        <v>97</v>
      </c>
      <c r="O171" s="211">
        <f>'Emission-Waste Transport Vehicl'!N71</f>
        <v>15.362315641728001</v>
      </c>
      <c r="P171" s="211">
        <f>'Emission-Waste Transport Vehicl'!O71</f>
        <v>22.348969860096002</v>
      </c>
      <c r="Q171" s="211">
        <f>'Emission-Waste Transport Vehicl'!P71</f>
        <v>8.547336471168002</v>
      </c>
      <c r="R171" s="211">
        <f>'Emission-Waste Transport Vehicl'!Q71</f>
        <v>6.6381018485760004</v>
      </c>
      <c r="S171" s="211">
        <f>'Emission-Waste Transport Vehicl'!R71</f>
        <v>0.66068882035200005</v>
      </c>
      <c r="T171" s="211">
        <f>'Emission-Waste Transport Vehicl'!S71</f>
        <v>3.038128118784E-2</v>
      </c>
      <c r="U171" s="174">
        <f t="shared" si="61"/>
        <v>-176655.67989502061</v>
      </c>
      <c r="V171" s="1850">
        <f t="shared" si="62"/>
        <v>-625.55724939417053</v>
      </c>
      <c r="W171" s="1850">
        <f t="shared" si="63"/>
        <v>-758.37959797871008</v>
      </c>
      <c r="X171" s="1850">
        <f t="shared" si="64"/>
        <v>-12210.741225806978</v>
      </c>
      <c r="Y171" s="1850">
        <f t="shared" si="65"/>
        <v>-67.576282613186734</v>
      </c>
      <c r="Z171" s="1850">
        <f t="shared" si="66"/>
        <v>-524.61650122745129</v>
      </c>
      <c r="AA171" s="1850">
        <f t="shared" si="67"/>
        <v>-645.47424654555562</v>
      </c>
      <c r="AB171" s="2733"/>
      <c r="AC171" s="3009"/>
    </row>
    <row r="172" spans="1:29" ht="18.75" x14ac:dyDescent="0.25">
      <c r="A172" s="2982"/>
      <c r="B172" s="2993"/>
      <c r="C172" s="1863">
        <v>2058</v>
      </c>
      <c r="D172" s="218">
        <f t="shared" si="68"/>
        <v>-1778117.3442377944</v>
      </c>
      <c r="E172" s="218">
        <f t="shared" si="58"/>
        <v>-1615.236366139676</v>
      </c>
      <c r="F172" s="218">
        <f t="shared" si="59"/>
        <v>-41459.995633391925</v>
      </c>
      <c r="G172" s="218">
        <f t="shared" si="69"/>
        <v>-40.720244524529633</v>
      </c>
      <c r="H172" s="218">
        <f t="shared" si="70"/>
        <v>-33.933537103774697</v>
      </c>
      <c r="I172" s="218">
        <f t="shared" si="71"/>
        <v>-1428.6019120689148</v>
      </c>
      <c r="J172" s="218">
        <f t="shared" si="72"/>
        <v>-10.18006113113241</v>
      </c>
      <c r="K172" s="218">
        <f t="shared" si="73"/>
        <v>-794.04476822832805</v>
      </c>
      <c r="L172" s="218">
        <f t="shared" si="74"/>
        <v>-21245.787580673339</v>
      </c>
      <c r="M172" s="192">
        <f t="shared" si="60"/>
        <v>-1821.192576237326</v>
      </c>
      <c r="N172" s="211">
        <v>97</v>
      </c>
      <c r="O172" s="211">
        <f>'Emission-Waste Transport Vehicl'!N72</f>
        <v>15.059112043536</v>
      </c>
      <c r="P172" s="211">
        <f>'Emission-Waste Transport Vehicl'!O72</f>
        <v>21.907871770752003</v>
      </c>
      <c r="Q172" s="211">
        <f>'Emission-Waste Transport Vehicl'!P72</f>
        <v>8.378639040816001</v>
      </c>
      <c r="R172" s="211">
        <f>'Emission-Waste Transport Vehicl'!Q72</f>
        <v>6.5070866805119998</v>
      </c>
      <c r="S172" s="211">
        <f>'Emission-Waste Transport Vehicl'!R72</f>
        <v>0.647648909424</v>
      </c>
      <c r="T172" s="211">
        <f>'Emission-Waste Transport Vehicl'!S72</f>
        <v>2.9781650638080002E-2</v>
      </c>
      <c r="U172" s="174">
        <f t="shared" si="61"/>
        <v>-176655.67989502061</v>
      </c>
      <c r="V172" s="1850">
        <f t="shared" si="62"/>
        <v>-613.21072473507513</v>
      </c>
      <c r="W172" s="1850">
        <f t="shared" si="63"/>
        <v>-743.41157959755139</v>
      </c>
      <c r="X172" s="1850">
        <f t="shared" si="64"/>
        <v>-11969.739754244996</v>
      </c>
      <c r="Y172" s="1850">
        <f t="shared" si="65"/>
        <v>-66.242540193189626</v>
      </c>
      <c r="Z172" s="1850">
        <f t="shared" si="66"/>
        <v>-514.2622281769095</v>
      </c>
      <c r="AA172" s="1850">
        <f t="shared" si="67"/>
        <v>-632.73462325847231</v>
      </c>
      <c r="AB172" s="2733"/>
      <c r="AC172" s="3009"/>
    </row>
    <row r="173" spans="1:29" ht="18.75" x14ac:dyDescent="0.25">
      <c r="A173" s="2982"/>
      <c r="B173" s="2993"/>
      <c r="C173" s="1863">
        <v>2059</v>
      </c>
      <c r="D173" s="218">
        <f t="shared" si="68"/>
        <v>-1778117.3442377944</v>
      </c>
      <c r="E173" s="218">
        <f t="shared" si="58"/>
        <v>-1615.236366139676</v>
      </c>
      <c r="F173" s="218">
        <f t="shared" si="59"/>
        <v>-41459.995633391925</v>
      </c>
      <c r="G173" s="218">
        <f t="shared" si="69"/>
        <v>-40.720244524529633</v>
      </c>
      <c r="H173" s="218">
        <f t="shared" si="70"/>
        <v>-33.933537103774697</v>
      </c>
      <c r="I173" s="218">
        <f t="shared" si="71"/>
        <v>-1428.6019120689148</v>
      </c>
      <c r="J173" s="218">
        <f t="shared" si="72"/>
        <v>-10.18006113113241</v>
      </c>
      <c r="K173" s="218">
        <f t="shared" si="73"/>
        <v>-794.04476822832805</v>
      </c>
      <c r="L173" s="218">
        <f t="shared" si="74"/>
        <v>-21245.787580673339</v>
      </c>
      <c r="M173" s="192">
        <f t="shared" si="60"/>
        <v>-1821.192576237326</v>
      </c>
      <c r="N173" s="211">
        <v>97</v>
      </c>
      <c r="O173" s="211">
        <f>'Emission-Waste Transport Vehicl'!N73</f>
        <v>14.765689206576004</v>
      </c>
      <c r="P173" s="211">
        <f>'Emission-Waste Transport Vehicl'!O73</f>
        <v>21.481002652032004</v>
      </c>
      <c r="Q173" s="211">
        <f>'Emission-Waste Transport Vehicl'!P73</f>
        <v>8.2153834630560016</v>
      </c>
      <c r="R173" s="211">
        <f>'Emission-Waste Transport Vehicl'!Q73</f>
        <v>6.380297808192001</v>
      </c>
      <c r="S173" s="211">
        <f>'Emission-Waste Transport Vehicl'!R73</f>
        <v>0.63502964078400004</v>
      </c>
      <c r="T173" s="211">
        <f>'Emission-Waste Transport Vehicl'!S73</f>
        <v>2.9201363009280005E-2</v>
      </c>
      <c r="U173" s="174">
        <f t="shared" si="61"/>
        <v>-176655.67989502061</v>
      </c>
      <c r="V173" s="1850">
        <f t="shared" si="62"/>
        <v>-601.26247506498282</v>
      </c>
      <c r="W173" s="1850">
        <f t="shared" si="63"/>
        <v>-728.9264005190106</v>
      </c>
      <c r="X173" s="1850">
        <f t="shared" si="64"/>
        <v>-11736.512523701147</v>
      </c>
      <c r="Y173" s="1850">
        <f t="shared" si="65"/>
        <v>-64.951821722224693</v>
      </c>
      <c r="Z173" s="1850">
        <f t="shared" si="66"/>
        <v>-504.24196393444976</v>
      </c>
      <c r="AA173" s="1850">
        <f t="shared" si="67"/>
        <v>-620.40595556129495</v>
      </c>
      <c r="AB173" s="2733"/>
      <c r="AC173" s="3009"/>
    </row>
    <row r="174" spans="1:29" ht="18.75" x14ac:dyDescent="0.25">
      <c r="A174" s="2982"/>
      <c r="B174" s="2993"/>
      <c r="C174" s="1863">
        <v>2060</v>
      </c>
      <c r="D174" s="218">
        <f t="shared" si="68"/>
        <v>-1778117.3442377944</v>
      </c>
      <c r="E174" s="218">
        <f t="shared" si="58"/>
        <v>-1615.236366139676</v>
      </c>
      <c r="F174" s="218">
        <f t="shared" si="59"/>
        <v>-41459.995633391925</v>
      </c>
      <c r="G174" s="218">
        <f t="shared" si="69"/>
        <v>-40.720244524529633</v>
      </c>
      <c r="H174" s="218">
        <f t="shared" si="70"/>
        <v>-33.933537103774697</v>
      </c>
      <c r="I174" s="218">
        <f t="shared" si="71"/>
        <v>-1428.6019120689148</v>
      </c>
      <c r="J174" s="218">
        <f t="shared" si="72"/>
        <v>-10.18006113113241</v>
      </c>
      <c r="K174" s="218">
        <f t="shared" si="73"/>
        <v>-794.04476822832805</v>
      </c>
      <c r="L174" s="218">
        <f t="shared" si="74"/>
        <v>-21245.787580673339</v>
      </c>
      <c r="M174" s="192">
        <f t="shared" si="60"/>
        <v>-1821.192576237326</v>
      </c>
      <c r="N174" s="211">
        <v>97</v>
      </c>
      <c r="O174" s="211">
        <f>'Emission-Waste Transport Vehicl'!N74</f>
        <v>14.475526623360002</v>
      </c>
      <c r="P174" s="211">
        <f>'Emission-Waste Transport Vehicl'!O74</f>
        <v>21.058876523520002</v>
      </c>
      <c r="Q174" s="211">
        <f>'Emission-Waste Transport Vehicl'!P74</f>
        <v>8.0539418361599999</v>
      </c>
      <c r="R174" s="211">
        <f>'Emission-Waste Transport Vehicl'!Q74</f>
        <v>6.2549177011200001</v>
      </c>
      <c r="S174" s="211">
        <f>'Emission-Waste Transport Vehicl'!R74</f>
        <v>0.62255058624000004</v>
      </c>
      <c r="T174" s="211">
        <f>'Emission-Waste Transport Vehicl'!S74</f>
        <v>2.8627523020800003E-2</v>
      </c>
      <c r="U174" s="174">
        <f t="shared" si="61"/>
        <v>-176655.67989502061</v>
      </c>
      <c r="V174" s="1850">
        <f t="shared" si="62"/>
        <v>-589.44698372455809</v>
      </c>
      <c r="W174" s="1850">
        <f t="shared" si="63"/>
        <v>-714.60216787467584</v>
      </c>
      <c r="X174" s="1850">
        <f t="shared" si="64"/>
        <v>-11505.876706830002</v>
      </c>
      <c r="Y174" s="1850">
        <f t="shared" si="65"/>
        <v>-63.675444567603805</v>
      </c>
      <c r="Z174" s="1850">
        <f t="shared" si="66"/>
        <v>-494.33303596135056</v>
      </c>
      <c r="AA174" s="1850">
        <f t="shared" si="67"/>
        <v>-608.21427306075282</v>
      </c>
      <c r="AB174" s="2733"/>
      <c r="AC174" s="3009"/>
    </row>
    <row r="175" spans="1:29" ht="18.75" x14ac:dyDescent="0.25">
      <c r="A175" s="2982"/>
      <c r="B175" s="2993"/>
      <c r="C175" s="1863">
        <v>2061</v>
      </c>
      <c r="D175" s="218">
        <f t="shared" si="68"/>
        <v>-1778117.3442377944</v>
      </c>
      <c r="E175" s="218">
        <f t="shared" si="58"/>
        <v>-1615.236366139676</v>
      </c>
      <c r="F175" s="218">
        <f t="shared" si="59"/>
        <v>-41459.995633391925</v>
      </c>
      <c r="G175" s="218">
        <f t="shared" si="69"/>
        <v>-40.720244524529633</v>
      </c>
      <c r="H175" s="218">
        <f t="shared" si="70"/>
        <v>-33.933537103774697</v>
      </c>
      <c r="I175" s="218">
        <f t="shared" si="71"/>
        <v>-1428.6019120689148</v>
      </c>
      <c r="J175" s="218">
        <f t="shared" si="72"/>
        <v>-10.18006113113241</v>
      </c>
      <c r="K175" s="218">
        <f t="shared" si="73"/>
        <v>-794.04476822832805</v>
      </c>
      <c r="L175" s="218">
        <f t="shared" si="74"/>
        <v>-21245.787580673339</v>
      </c>
      <c r="M175" s="192">
        <f t="shared" si="60"/>
        <v>-1821.192576237326</v>
      </c>
      <c r="N175" s="211">
        <v>97</v>
      </c>
      <c r="O175" s="211">
        <f>'Emission-Waste Transport Vehicl'!N75</f>
        <v>14.191884547632004</v>
      </c>
      <c r="P175" s="211">
        <f>'Emission-Waste Transport Vehicl'!O75</f>
        <v>20.646236375424003</v>
      </c>
      <c r="Q175" s="211">
        <f>'Emission-Waste Transport Vehicl'!P75</f>
        <v>7.8961281109920014</v>
      </c>
      <c r="R175" s="211">
        <f>'Emission-Waste Transport Vehicl'!Q75</f>
        <v>6.1323551245440004</v>
      </c>
      <c r="S175" s="211">
        <f>'Emission-Waste Transport Vehicl'!R75</f>
        <v>0.61035195988800006</v>
      </c>
      <c r="T175" s="211">
        <f>'Emission-Waste Transport Vehicl'!S75</f>
        <v>2.8066578312960003E-2</v>
      </c>
      <c r="U175" s="174">
        <f t="shared" si="61"/>
        <v>-176655.67989502061</v>
      </c>
      <c r="V175" s="1850">
        <f t="shared" si="62"/>
        <v>-577.89700904346876</v>
      </c>
      <c r="W175" s="1850">
        <f t="shared" si="63"/>
        <v>-700.59982809875316</v>
      </c>
      <c r="X175" s="1850">
        <f t="shared" si="64"/>
        <v>-11280.423717304282</v>
      </c>
      <c r="Y175" s="1850">
        <f t="shared" si="65"/>
        <v>-62.427750045671026</v>
      </c>
      <c r="Z175" s="1850">
        <f t="shared" si="66"/>
        <v>-484.6467805269728</v>
      </c>
      <c r="AA175" s="1850">
        <f t="shared" si="67"/>
        <v>-596.29656095348128</v>
      </c>
      <c r="AB175" s="2733"/>
      <c r="AC175" s="3009"/>
    </row>
    <row r="176" spans="1:29" ht="18.75" x14ac:dyDescent="0.25">
      <c r="A176" s="2982"/>
      <c r="B176" s="2993"/>
      <c r="C176" s="1863">
        <v>2062</v>
      </c>
      <c r="D176" s="218">
        <f t="shared" si="68"/>
        <v>-1778117.3442377944</v>
      </c>
      <c r="E176" s="218">
        <f t="shared" si="58"/>
        <v>-1615.236366139676</v>
      </c>
      <c r="F176" s="218">
        <f t="shared" si="59"/>
        <v>-41459.995633391925</v>
      </c>
      <c r="G176" s="218">
        <f t="shared" si="69"/>
        <v>-40.720244524529633</v>
      </c>
      <c r="H176" s="218">
        <f t="shared" si="70"/>
        <v>-33.933537103774697</v>
      </c>
      <c r="I176" s="218">
        <f t="shared" si="71"/>
        <v>-1428.6019120689148</v>
      </c>
      <c r="J176" s="218">
        <f t="shared" si="72"/>
        <v>-10.18006113113241</v>
      </c>
      <c r="K176" s="218">
        <f t="shared" si="73"/>
        <v>-794.04476822832805</v>
      </c>
      <c r="L176" s="218">
        <f t="shared" si="74"/>
        <v>-21245.787580673339</v>
      </c>
      <c r="M176" s="192">
        <f t="shared" si="60"/>
        <v>-1821.192576237326</v>
      </c>
      <c r="N176" s="211">
        <v>97</v>
      </c>
      <c r="O176" s="211">
        <f>'Emission-Waste Transport Vehicl'!N76</f>
        <v>13.914762979392002</v>
      </c>
      <c r="P176" s="211">
        <f>'Emission-Waste Transport Vehicl'!O76</f>
        <v>20.243082207744003</v>
      </c>
      <c r="Q176" s="211">
        <f>'Emission-Waste Transport Vehicl'!P76</f>
        <v>7.7419422875520008</v>
      </c>
      <c r="R176" s="211">
        <f>'Emission-Waste Transport Vehicl'!Q76</f>
        <v>6.0126100784640002</v>
      </c>
      <c r="S176" s="211">
        <f>'Emission-Waste Transport Vehicl'!R76</f>
        <v>0.59843376172800011</v>
      </c>
      <c r="T176" s="211">
        <f>'Emission-Waste Transport Vehicl'!S76</f>
        <v>2.7518528885760004E-2</v>
      </c>
      <c r="U176" s="174">
        <f t="shared" si="61"/>
        <v>-176655.67989502061</v>
      </c>
      <c r="V176" s="1850">
        <f t="shared" si="62"/>
        <v>-566.61255102171481</v>
      </c>
      <c r="W176" s="1850">
        <f t="shared" si="63"/>
        <v>-686.91938119124256</v>
      </c>
      <c r="X176" s="1850">
        <f t="shared" si="64"/>
        <v>-11060.153555123976</v>
      </c>
      <c r="Y176" s="1850">
        <f t="shared" si="65"/>
        <v>-61.208738156426357</v>
      </c>
      <c r="Z176" s="1850">
        <f t="shared" si="66"/>
        <v>-475.18319763131632</v>
      </c>
      <c r="AA176" s="1850">
        <f t="shared" si="67"/>
        <v>-584.65281923948044</v>
      </c>
      <c r="AB176" s="2733"/>
      <c r="AC176" s="3009"/>
    </row>
    <row r="177" spans="1:29" ht="18.75" x14ac:dyDescent="0.25">
      <c r="A177" s="2982"/>
      <c r="B177" s="2993"/>
      <c r="C177" s="1863">
        <v>2063</v>
      </c>
      <c r="D177" s="218">
        <f t="shared" si="68"/>
        <v>-1778117.3442377944</v>
      </c>
      <c r="E177" s="218">
        <f t="shared" si="58"/>
        <v>-1615.236366139676</v>
      </c>
      <c r="F177" s="218">
        <f t="shared" si="59"/>
        <v>-41459.995633391925</v>
      </c>
      <c r="G177" s="218">
        <f t="shared" si="69"/>
        <v>-40.720244524529633</v>
      </c>
      <c r="H177" s="218">
        <f t="shared" si="70"/>
        <v>-33.933537103774697</v>
      </c>
      <c r="I177" s="218">
        <f t="shared" si="71"/>
        <v>-1428.6019120689148</v>
      </c>
      <c r="J177" s="218">
        <f t="shared" si="72"/>
        <v>-10.18006113113241</v>
      </c>
      <c r="K177" s="218">
        <f t="shared" si="73"/>
        <v>-794.04476822832805</v>
      </c>
      <c r="L177" s="218">
        <f t="shared" si="74"/>
        <v>-21245.787580673339</v>
      </c>
      <c r="M177" s="192">
        <f t="shared" si="60"/>
        <v>-1821.192576237326</v>
      </c>
      <c r="N177" s="211">
        <v>97</v>
      </c>
      <c r="O177" s="211">
        <f>'Emission-Waste Transport Vehicl'!N77</f>
        <v>13.640901664896001</v>
      </c>
      <c r="P177" s="211">
        <f>'Emission-Waste Transport Vehicl'!O77</f>
        <v>19.844671030272</v>
      </c>
      <c r="Q177" s="211">
        <f>'Emission-Waste Transport Vehicl'!P77</f>
        <v>7.5895704149760004</v>
      </c>
      <c r="R177" s="211">
        <f>'Emission-Waste Transport Vehicl'!Q77</f>
        <v>5.8942737976319997</v>
      </c>
      <c r="S177" s="211">
        <f>'Emission-Waste Transport Vehicl'!R77</f>
        <v>0.58665577766400001</v>
      </c>
      <c r="T177" s="211">
        <f>'Emission-Waste Transport Vehicl'!S77</f>
        <v>2.6976927098879999E-2</v>
      </c>
      <c r="U177" s="174">
        <f t="shared" si="61"/>
        <v>-176655.67989502061</v>
      </c>
      <c r="V177" s="1850">
        <f t="shared" si="62"/>
        <v>-555.46085132962855</v>
      </c>
      <c r="W177" s="1850">
        <f t="shared" si="63"/>
        <v>-673.39988071793778</v>
      </c>
      <c r="X177" s="1850">
        <f t="shared" si="64"/>
        <v>-10842.474806616381</v>
      </c>
      <c r="Y177" s="1850">
        <f t="shared" si="65"/>
        <v>-60.004067583525739</v>
      </c>
      <c r="Z177" s="1850">
        <f t="shared" si="66"/>
        <v>-465.83095100502044</v>
      </c>
      <c r="AA177" s="1850">
        <f t="shared" si="67"/>
        <v>-573.14606272211472</v>
      </c>
      <c r="AB177" s="2733"/>
      <c r="AC177" s="3009"/>
    </row>
    <row r="178" spans="1:29" ht="18.75" x14ac:dyDescent="0.25">
      <c r="A178" s="2982"/>
      <c r="B178" s="2993"/>
      <c r="C178" s="1863">
        <v>2064</v>
      </c>
      <c r="D178" s="218">
        <f t="shared" si="68"/>
        <v>-1778117.3442377944</v>
      </c>
      <c r="E178" s="218">
        <f t="shared" si="58"/>
        <v>-1615.236366139676</v>
      </c>
      <c r="F178" s="218">
        <f t="shared" si="59"/>
        <v>-41459.995633391925</v>
      </c>
      <c r="G178" s="218">
        <f t="shared" si="69"/>
        <v>-40.720244524529633</v>
      </c>
      <c r="H178" s="218">
        <f t="shared" si="70"/>
        <v>-33.933537103774697</v>
      </c>
      <c r="I178" s="218">
        <f t="shared" si="71"/>
        <v>-1428.6019120689148</v>
      </c>
      <c r="J178" s="218">
        <f t="shared" si="72"/>
        <v>-10.18006113113241</v>
      </c>
      <c r="K178" s="218">
        <f t="shared" si="73"/>
        <v>-794.04476822832805</v>
      </c>
      <c r="L178" s="218">
        <f t="shared" si="74"/>
        <v>-21245.787580673339</v>
      </c>
      <c r="M178" s="192">
        <f t="shared" si="60"/>
        <v>-1821.192576237326</v>
      </c>
      <c r="N178" s="211">
        <v>97</v>
      </c>
      <c r="O178" s="211">
        <f>'Emission-Waste Transport Vehicl'!N78</f>
        <v>13.373560857888002</v>
      </c>
      <c r="P178" s="211">
        <f>'Emission-Waste Transport Vehicl'!O78</f>
        <v>19.455745833216003</v>
      </c>
      <c r="Q178" s="211">
        <f>'Emission-Waste Transport Vehicl'!P78</f>
        <v>7.4408264441280014</v>
      </c>
      <c r="R178" s="211">
        <f>'Emission-Waste Transport Vehicl'!Q78</f>
        <v>5.7787550472960003</v>
      </c>
      <c r="S178" s="211">
        <f>'Emission-Waste Transport Vehicl'!R78</f>
        <v>0.57515822179200005</v>
      </c>
      <c r="T178" s="211">
        <f>'Emission-Waste Transport Vehicl'!S78</f>
        <v>2.6448220592640001E-2</v>
      </c>
      <c r="U178" s="174">
        <f t="shared" si="61"/>
        <v>-176655.67989502061</v>
      </c>
      <c r="V178" s="1850">
        <f t="shared" si="62"/>
        <v>-544.57466829687769</v>
      </c>
      <c r="W178" s="1850">
        <f t="shared" si="63"/>
        <v>-660.20227311304518</v>
      </c>
      <c r="X178" s="1850">
        <f t="shared" si="64"/>
        <v>-10629.978885454208</v>
      </c>
      <c r="Y178" s="1850">
        <f t="shared" si="65"/>
        <v>-58.828079643313245</v>
      </c>
      <c r="Z178" s="1850">
        <f t="shared" si="66"/>
        <v>-456.701376917446</v>
      </c>
      <c r="AA178" s="1850">
        <f t="shared" si="67"/>
        <v>-561.91327659801982</v>
      </c>
      <c r="AB178" s="2733"/>
      <c r="AC178" s="3009"/>
    </row>
    <row r="179" spans="1:29" ht="18.75" x14ac:dyDescent="0.25">
      <c r="A179" s="2982"/>
      <c r="B179" s="2993"/>
      <c r="C179" s="1863">
        <v>2065</v>
      </c>
      <c r="D179" s="218">
        <f t="shared" si="68"/>
        <v>-1778117.3442377944</v>
      </c>
      <c r="E179" s="218">
        <f t="shared" si="58"/>
        <v>-1615.236366139676</v>
      </c>
      <c r="F179" s="218">
        <f t="shared" si="59"/>
        <v>-41459.995633391925</v>
      </c>
      <c r="G179" s="218">
        <f t="shared" si="69"/>
        <v>-40.720244524529633</v>
      </c>
      <c r="H179" s="218">
        <f t="shared" si="70"/>
        <v>-33.933537103774697</v>
      </c>
      <c r="I179" s="218">
        <f t="shared" si="71"/>
        <v>-1428.6019120689148</v>
      </c>
      <c r="J179" s="218">
        <f t="shared" si="72"/>
        <v>-10.18006113113241</v>
      </c>
      <c r="K179" s="218">
        <f t="shared" si="73"/>
        <v>-794.04476822832805</v>
      </c>
      <c r="L179" s="218">
        <f t="shared" si="74"/>
        <v>-21245.787580673339</v>
      </c>
      <c r="M179" s="192">
        <f t="shared" si="60"/>
        <v>-1821.192576237326</v>
      </c>
      <c r="N179" s="211">
        <v>97</v>
      </c>
      <c r="O179" s="211">
        <f>'Emission-Waste Transport Vehicl'!N79</f>
        <v>13.112740558368001</v>
      </c>
      <c r="P179" s="211">
        <f>'Emission-Waste Transport Vehicl'!O79</f>
        <v>19.076306616576002</v>
      </c>
      <c r="Q179" s="211">
        <f>'Emission-Waste Transport Vehicl'!P79</f>
        <v>7.2957103750080003</v>
      </c>
      <c r="R179" s="211">
        <f>'Emission-Waste Transport Vehicl'!Q79</f>
        <v>5.6660538274560004</v>
      </c>
      <c r="S179" s="211">
        <f>'Emission-Waste Transport Vehicl'!R79</f>
        <v>0.56394109411200011</v>
      </c>
      <c r="T179" s="211">
        <f>'Emission-Waste Transport Vehicl'!S79</f>
        <v>2.5932409367040003E-2</v>
      </c>
      <c r="U179" s="174">
        <f t="shared" si="61"/>
        <v>-176655.67989502061</v>
      </c>
      <c r="V179" s="1850">
        <f t="shared" si="62"/>
        <v>-533.95400192346222</v>
      </c>
      <c r="W179" s="1850">
        <f t="shared" si="63"/>
        <v>-647.32655837656455</v>
      </c>
      <c r="X179" s="1850">
        <f t="shared" si="64"/>
        <v>-10422.665791637448</v>
      </c>
      <c r="Y179" s="1850">
        <f t="shared" si="65"/>
        <v>-57.680774335788854</v>
      </c>
      <c r="Z179" s="1850">
        <f t="shared" si="66"/>
        <v>-447.79447536859288</v>
      </c>
      <c r="AA179" s="1850">
        <f t="shared" si="67"/>
        <v>-550.95446086719551</v>
      </c>
      <c r="AB179" s="2733"/>
      <c r="AC179" s="3009"/>
    </row>
    <row r="180" spans="1:29" ht="18.75" x14ac:dyDescent="0.25">
      <c r="A180" s="2982"/>
      <c r="B180" s="2993"/>
      <c r="C180" s="1863">
        <v>2066</v>
      </c>
      <c r="D180" s="218">
        <f t="shared" si="68"/>
        <v>-1778117.3442377944</v>
      </c>
      <c r="E180" s="218">
        <f t="shared" si="58"/>
        <v>-1615.236366139676</v>
      </c>
      <c r="F180" s="218">
        <f t="shared" si="59"/>
        <v>-41459.995633391925</v>
      </c>
      <c r="G180" s="218">
        <f t="shared" si="69"/>
        <v>-40.720244524529633</v>
      </c>
      <c r="H180" s="218">
        <f t="shared" si="70"/>
        <v>-33.933537103774697</v>
      </c>
      <c r="I180" s="218">
        <f t="shared" si="71"/>
        <v>-1428.6019120689148</v>
      </c>
      <c r="J180" s="218">
        <f t="shared" si="72"/>
        <v>-10.18006113113241</v>
      </c>
      <c r="K180" s="218">
        <f t="shared" si="73"/>
        <v>-794.04476822832805</v>
      </c>
      <c r="L180" s="218">
        <f t="shared" si="74"/>
        <v>-21245.787580673339</v>
      </c>
      <c r="M180" s="192">
        <f t="shared" si="60"/>
        <v>-1821.192576237326</v>
      </c>
      <c r="N180" s="211">
        <v>97</v>
      </c>
      <c r="O180" s="211">
        <f>'Emission-Waste Transport Vehicl'!N80</f>
        <v>12.855180512592</v>
      </c>
      <c r="P180" s="211">
        <f>'Emission-Waste Transport Vehicl'!O80</f>
        <v>18.701610390143998</v>
      </c>
      <c r="Q180" s="211">
        <f>'Emission-Waste Transport Vehicl'!P80</f>
        <v>7.1524082567520004</v>
      </c>
      <c r="R180" s="211">
        <f>'Emission-Waste Transport Vehicl'!Q80</f>
        <v>5.5547613728639993</v>
      </c>
      <c r="S180" s="211">
        <f>'Emission-Waste Transport Vehicl'!R80</f>
        <v>0.55286418052800002</v>
      </c>
      <c r="T180" s="211">
        <f>'Emission-Waste Transport Vehicl'!S80</f>
        <v>2.5423045781760002E-2</v>
      </c>
      <c r="U180" s="174">
        <f t="shared" si="61"/>
        <v>-176655.67989502061</v>
      </c>
      <c r="V180" s="1850">
        <f t="shared" si="62"/>
        <v>-523.46609387971444</v>
      </c>
      <c r="W180" s="1850">
        <f t="shared" si="63"/>
        <v>-634.61179007428973</v>
      </c>
      <c r="X180" s="1850">
        <f t="shared" si="64"/>
        <v>-10217.944111493402</v>
      </c>
      <c r="Y180" s="1850">
        <f t="shared" si="65"/>
        <v>-56.547810344608507</v>
      </c>
      <c r="Z180" s="1850">
        <f t="shared" si="66"/>
        <v>-438.99891008910026</v>
      </c>
      <c r="AA180" s="1850">
        <f t="shared" si="67"/>
        <v>-540.13263033300643</v>
      </c>
      <c r="AB180" s="2733"/>
      <c r="AC180" s="3009"/>
    </row>
    <row r="181" spans="1:29" ht="18.75" x14ac:dyDescent="0.25">
      <c r="A181" s="2982"/>
      <c r="B181" s="2993"/>
      <c r="C181" s="1863">
        <v>2067</v>
      </c>
      <c r="D181" s="218">
        <f t="shared" si="68"/>
        <v>-1778117.3442377944</v>
      </c>
      <c r="E181" s="218">
        <f t="shared" si="58"/>
        <v>-1615.236366139676</v>
      </c>
      <c r="F181" s="218">
        <f t="shared" si="59"/>
        <v>-41459.995633391925</v>
      </c>
      <c r="G181" s="218">
        <f t="shared" si="69"/>
        <v>-40.720244524529633</v>
      </c>
      <c r="H181" s="218">
        <f t="shared" si="70"/>
        <v>-33.933537103774697</v>
      </c>
      <c r="I181" s="218">
        <f t="shared" si="71"/>
        <v>-1428.6019120689148</v>
      </c>
      <c r="J181" s="218">
        <f t="shared" si="72"/>
        <v>-10.18006113113241</v>
      </c>
      <c r="K181" s="218">
        <f t="shared" si="73"/>
        <v>-794.04476822832805</v>
      </c>
      <c r="L181" s="218">
        <f t="shared" si="74"/>
        <v>-21245.787580673339</v>
      </c>
      <c r="M181" s="192">
        <f t="shared" si="60"/>
        <v>-1821.192576237326</v>
      </c>
      <c r="N181" s="211">
        <v>97</v>
      </c>
      <c r="O181" s="211">
        <f>'Emission-Waste Transport Vehicl'!N81</f>
        <v>12.600880720560001</v>
      </c>
      <c r="P181" s="211">
        <f>'Emission-Waste Transport Vehicl'!O81</f>
        <v>18.331657153920002</v>
      </c>
      <c r="Q181" s="211">
        <f>'Emission-Waste Transport Vehicl'!P81</f>
        <v>7.0109200893600008</v>
      </c>
      <c r="R181" s="211">
        <f>'Emission-Waste Transport Vehicl'!Q81</f>
        <v>5.4448776835200006</v>
      </c>
      <c r="S181" s="211">
        <f>'Emission-Waste Transport Vehicl'!R81</f>
        <v>0.5419274810400001</v>
      </c>
      <c r="T181" s="211">
        <f>'Emission-Waste Transport Vehicl'!S81</f>
        <v>2.4920129836800003E-2</v>
      </c>
      <c r="U181" s="174">
        <f t="shared" si="61"/>
        <v>-176655.67989502061</v>
      </c>
      <c r="V181" s="1850">
        <f t="shared" si="62"/>
        <v>-513.11094416563435</v>
      </c>
      <c r="W181" s="1850">
        <f t="shared" si="63"/>
        <v>-622.05796820622129</v>
      </c>
      <c r="X181" s="1850">
        <f t="shared" si="64"/>
        <v>-10015.813845022063</v>
      </c>
      <c r="Y181" s="1850">
        <f t="shared" si="65"/>
        <v>-55.429187669772233</v>
      </c>
      <c r="Z181" s="1850">
        <f t="shared" si="66"/>
        <v>-430.31468107896853</v>
      </c>
      <c r="AA181" s="1850">
        <f t="shared" si="67"/>
        <v>-529.44778499545259</v>
      </c>
      <c r="AB181" s="2733"/>
      <c r="AC181" s="3009"/>
    </row>
    <row r="182" spans="1:29" ht="18.75" x14ac:dyDescent="0.25">
      <c r="A182" s="2982"/>
      <c r="B182" s="2993"/>
      <c r="C182" s="1863">
        <v>2068</v>
      </c>
      <c r="D182" s="218">
        <f t="shared" si="68"/>
        <v>-1778117.3442377944</v>
      </c>
      <c r="E182" s="218">
        <f t="shared" si="58"/>
        <v>-1615.236366139676</v>
      </c>
      <c r="F182" s="218">
        <f t="shared" si="59"/>
        <v>-41459.995633391925</v>
      </c>
      <c r="G182" s="218">
        <f t="shared" si="69"/>
        <v>-40.720244524529633</v>
      </c>
      <c r="H182" s="218">
        <f t="shared" si="70"/>
        <v>-33.933537103774697</v>
      </c>
      <c r="I182" s="218">
        <f t="shared" si="71"/>
        <v>-1428.6019120689148</v>
      </c>
      <c r="J182" s="218">
        <f t="shared" si="72"/>
        <v>-10.18006113113241</v>
      </c>
      <c r="K182" s="218">
        <f t="shared" si="73"/>
        <v>-794.04476822832805</v>
      </c>
      <c r="L182" s="218">
        <f t="shared" si="74"/>
        <v>-21245.787580673339</v>
      </c>
      <c r="M182" s="192">
        <f t="shared" si="60"/>
        <v>-1821.192576237326</v>
      </c>
      <c r="N182" s="211">
        <v>97</v>
      </c>
      <c r="O182" s="211">
        <f>'Emission-Waste Transport Vehicl'!N82</f>
        <v>12.356361689760002</v>
      </c>
      <c r="P182" s="211">
        <f>'Emission-Waste Transport Vehicl'!O82</f>
        <v>17.975932888320003</v>
      </c>
      <c r="Q182" s="211">
        <f>'Emission-Waste Transport Vehicl'!P82</f>
        <v>6.8748737745600002</v>
      </c>
      <c r="R182" s="211">
        <f>'Emission-Waste Transport Vehicl'!Q82</f>
        <v>5.339220289920001</v>
      </c>
      <c r="S182" s="211">
        <f>'Emission-Waste Transport Vehicl'!R82</f>
        <v>0.53141142384000006</v>
      </c>
      <c r="T182" s="211">
        <f>'Emission-Waste Transport Vehicl'!S82</f>
        <v>2.4436556812800003E-2</v>
      </c>
      <c r="U182" s="174">
        <f t="shared" si="61"/>
        <v>-176655.67989502061</v>
      </c>
      <c r="V182" s="1850">
        <f t="shared" si="62"/>
        <v>-503.15406944055741</v>
      </c>
      <c r="W182" s="1850">
        <f t="shared" si="63"/>
        <v>-609.98698564077063</v>
      </c>
      <c r="X182" s="1850">
        <f t="shared" si="64"/>
        <v>-9821.4578195688537</v>
      </c>
      <c r="Y182" s="1850">
        <f t="shared" si="65"/>
        <v>-54.35358894396812</v>
      </c>
      <c r="Z182" s="1850">
        <f t="shared" si="66"/>
        <v>-421.96446087691868</v>
      </c>
      <c r="AA182" s="1850">
        <f t="shared" si="67"/>
        <v>-519.17389524780481</v>
      </c>
      <c r="AB182" s="2733"/>
      <c r="AC182" s="3009"/>
    </row>
    <row r="183" spans="1:29" ht="19.5" thickBot="1" x14ac:dyDescent="0.3">
      <c r="A183" s="2983"/>
      <c r="B183" s="2994"/>
      <c r="C183" s="1864">
        <v>2069</v>
      </c>
      <c r="D183" s="222">
        <f t="shared" si="68"/>
        <v>-1778117.3442377944</v>
      </c>
      <c r="E183" s="222">
        <f t="shared" si="58"/>
        <v>-1615.236366139676</v>
      </c>
      <c r="F183" s="222">
        <f t="shared" si="59"/>
        <v>-41459.995633391925</v>
      </c>
      <c r="G183" s="222">
        <f t="shared" si="69"/>
        <v>-40.720244524529633</v>
      </c>
      <c r="H183" s="222">
        <f t="shared" si="70"/>
        <v>-33.933537103774697</v>
      </c>
      <c r="I183" s="222">
        <f t="shared" si="71"/>
        <v>-1428.6019120689148</v>
      </c>
      <c r="J183" s="222">
        <f t="shared" si="72"/>
        <v>-10.18006113113241</v>
      </c>
      <c r="K183" s="222">
        <f t="shared" si="73"/>
        <v>-794.04476822832805</v>
      </c>
      <c r="L183" s="222">
        <f t="shared" si="74"/>
        <v>-21245.787580673339</v>
      </c>
      <c r="M183" s="220">
        <f t="shared" si="60"/>
        <v>-1821.192576237326</v>
      </c>
      <c r="N183" s="416">
        <v>97</v>
      </c>
      <c r="O183" s="416">
        <f>'Emission-Waste Transport Vehicl'!N83</f>
        <v>12.111842658960002</v>
      </c>
      <c r="P183" s="416">
        <f>'Emission-Waste Transport Vehicl'!O83</f>
        <v>17.62020862272</v>
      </c>
      <c r="Q183" s="416">
        <f>'Emission-Waste Transport Vehicl'!P83</f>
        <v>6.7388274597600004</v>
      </c>
      <c r="R183" s="416">
        <f>'Emission-Waste Transport Vehicl'!Q83</f>
        <v>5.2335628963200005</v>
      </c>
      <c r="S183" s="416">
        <f>'Emission-Waste Transport Vehicl'!R83</f>
        <v>0.52089536664000002</v>
      </c>
      <c r="T183" s="416">
        <f>'Emission-Waste Transport Vehicl'!S83</f>
        <v>2.3952983788800002E-2</v>
      </c>
      <c r="U183" s="647">
        <f t="shared" si="61"/>
        <v>-176655.67989502061</v>
      </c>
      <c r="V183" s="175">
        <f t="shared" si="62"/>
        <v>-493.19719471548046</v>
      </c>
      <c r="W183" s="175">
        <f t="shared" si="63"/>
        <v>-597.91600307531996</v>
      </c>
      <c r="X183" s="175">
        <f t="shared" si="64"/>
        <v>-9627.1017941156442</v>
      </c>
      <c r="Y183" s="175">
        <f t="shared" si="65"/>
        <v>-53.277990218164</v>
      </c>
      <c r="Z183" s="175">
        <f t="shared" si="66"/>
        <v>-413.61424067486877</v>
      </c>
      <c r="AA183" s="175">
        <f t="shared" si="67"/>
        <v>-508.90000550015691</v>
      </c>
      <c r="AB183" s="2735"/>
      <c r="AC183" s="3009"/>
    </row>
    <row r="184" spans="1:29" ht="18.75" x14ac:dyDescent="0.25">
      <c r="A184" s="3007" t="s">
        <v>251</v>
      </c>
      <c r="B184" s="2992" t="s">
        <v>1800</v>
      </c>
      <c r="C184" s="1862">
        <v>2019</v>
      </c>
      <c r="D184" s="216">
        <f t="shared" ref="D184:D215" si="75">$AC$13</f>
        <v>-1107420.6003846547</v>
      </c>
      <c r="E184" s="216">
        <f>$AB$13*28</f>
        <v>-867.35040030126811</v>
      </c>
      <c r="F184" s="216">
        <f>$AD$13*298</f>
        <v>-7692.5720026719609</v>
      </c>
      <c r="G184" s="216">
        <f t="shared" ref="G184:G215" si="76">$Y$13</f>
        <v>-23.232600008069678</v>
      </c>
      <c r="H184" s="216">
        <f t="shared" ref="H184:H215" si="77">$Z$13</f>
        <v>-15.488400005379786</v>
      </c>
      <c r="I184" s="216">
        <f t="shared" ref="I184:I215" si="78">$X$13</f>
        <v>-366.5588001273216</v>
      </c>
      <c r="J184" s="216">
        <f t="shared" ref="J184:J215" si="79">$AA$13</f>
        <v>-5.1628000017932631</v>
      </c>
      <c r="K184" s="216">
        <f t="shared" ref="K184:K215" si="80">$V$13</f>
        <v>-477.55900016587674</v>
      </c>
      <c r="L184" s="216">
        <f t="shared" ref="L184:L215" si="81">$W$13</f>
        <v>-6773.5936023527611</v>
      </c>
      <c r="M184" s="217">
        <f t="shared" si="60"/>
        <v>-1115.9805227876282</v>
      </c>
      <c r="N184" s="643">
        <v>62</v>
      </c>
      <c r="O184" s="643">
        <f>'Emission-Waste Transport Vehicl'!N33</f>
        <v>32.602537440000006</v>
      </c>
      <c r="P184" s="643">
        <f>'Emission-Waste Transport Vehicl'!O33</f>
        <v>47.429902080000005</v>
      </c>
      <c r="Q184" s="643">
        <f>'Emission-Waste Transport Vehicl'!P33</f>
        <v>18.139508640000003</v>
      </c>
      <c r="R184" s="643">
        <f>'Emission-Waste Transport Vehicl'!Q33</f>
        <v>14.087652480000001</v>
      </c>
      <c r="S184" s="643">
        <f>'Emission-Waste Transport Vehicl'!R33</f>
        <v>1.4021409600000001</v>
      </c>
      <c r="T184" s="643">
        <f>'Emission-Waste Transport Vehicl'!S33</f>
        <v>6.4476403200000004E-2</v>
      </c>
      <c r="U184" s="645">
        <f t="shared" si="61"/>
        <v>-69190.792412832947</v>
      </c>
      <c r="V184" s="644">
        <f t="shared" si="62"/>
        <v>-757.44171159163614</v>
      </c>
      <c r="W184" s="644">
        <f t="shared" si="63"/>
        <v>-734.61329563103482</v>
      </c>
      <c r="X184" s="644">
        <f t="shared" si="64"/>
        <v>-6649.1965219775839</v>
      </c>
      <c r="Y184" s="644">
        <f t="shared" si="65"/>
        <v>-72.731732249006868</v>
      </c>
      <c r="Z184" s="644">
        <f t="shared" si="66"/>
        <v>-669.60503494922261</v>
      </c>
      <c r="AA184" s="644">
        <f t="shared" si="67"/>
        <v>-436.73695221823709</v>
      </c>
      <c r="AB184" s="2732">
        <f>(SUM(U184:U234)*1.2682)+(SUM(V184:V234))+(SUM(W184:W234))+(SUM(X184:X234))+(SUM(Y184:Y234))+(SUM(Z184:Z234))+(SUM(AA184:AA234))</f>
        <v>-6522353.2532843556</v>
      </c>
      <c r="AC184" s="3009"/>
    </row>
    <row r="185" spans="1:29" ht="18.75" x14ac:dyDescent="0.25">
      <c r="A185" s="2982"/>
      <c r="B185" s="2993"/>
      <c r="C185" s="1863">
        <v>2020</v>
      </c>
      <c r="D185" s="218">
        <f t="shared" si="75"/>
        <v>-1107420.6003846547</v>
      </c>
      <c r="E185" s="221">
        <f t="shared" ref="E185:E234" si="82">$AB$13*28</f>
        <v>-867.35040030126811</v>
      </c>
      <c r="F185" s="221">
        <f t="shared" ref="F185:F234" si="83">$AD$13*298</f>
        <v>-7692.5720026719609</v>
      </c>
      <c r="G185" s="218">
        <f t="shared" si="76"/>
        <v>-23.232600008069678</v>
      </c>
      <c r="H185" s="218">
        <f t="shared" si="77"/>
        <v>-15.488400005379786</v>
      </c>
      <c r="I185" s="218">
        <f t="shared" si="78"/>
        <v>-366.5588001273216</v>
      </c>
      <c r="J185" s="218">
        <f t="shared" si="79"/>
        <v>-5.1628000017932631</v>
      </c>
      <c r="K185" s="218">
        <f t="shared" si="80"/>
        <v>-477.55900016587674</v>
      </c>
      <c r="L185" s="218">
        <f t="shared" si="81"/>
        <v>-6773.5936023527611</v>
      </c>
      <c r="M185" s="192">
        <f t="shared" si="60"/>
        <v>-1115.9805227876282</v>
      </c>
      <c r="N185" s="211">
        <v>64</v>
      </c>
      <c r="O185" s="211">
        <f>'Emission-Waste Transport Vehicl'!N34</f>
        <v>31.963527706176006</v>
      </c>
      <c r="P185" s="211">
        <f>'Emission-Waste Transport Vehicl'!O34</f>
        <v>46.500275999232002</v>
      </c>
      <c r="Q185" s="211">
        <f>'Emission-Waste Transport Vehicl'!P34</f>
        <v>17.783974270656003</v>
      </c>
      <c r="R185" s="211">
        <f>'Emission-Waste Transport Vehicl'!Q34</f>
        <v>13.811534491392001</v>
      </c>
      <c r="S185" s="211">
        <f>'Emission-Waste Transport Vehicl'!R34</f>
        <v>1.3746589971840002</v>
      </c>
      <c r="T185" s="211">
        <f>'Emission-Waste Transport Vehicl'!S34</f>
        <v>6.3212665697280013E-2</v>
      </c>
      <c r="U185" s="174">
        <f t="shared" si="61"/>
        <v>-71422.753458408202</v>
      </c>
      <c r="V185" s="1850">
        <f t="shared" si="62"/>
        <v>-742.59585404443999</v>
      </c>
      <c r="W185" s="1850">
        <f t="shared" si="63"/>
        <v>-720.21487503666651</v>
      </c>
      <c r="X185" s="1850">
        <f t="shared" si="64"/>
        <v>-6518.8722701468241</v>
      </c>
      <c r="Y185" s="1850">
        <f t="shared" si="65"/>
        <v>-71.306190296926331</v>
      </c>
      <c r="Z185" s="1850">
        <f t="shared" si="66"/>
        <v>-656.48077626421787</v>
      </c>
      <c r="AA185" s="1850">
        <f t="shared" si="67"/>
        <v>-428.17690795475971</v>
      </c>
      <c r="AB185" s="2733"/>
      <c r="AC185" s="3009"/>
    </row>
    <row r="186" spans="1:29" ht="18.75" x14ac:dyDescent="0.25">
      <c r="A186" s="2982"/>
      <c r="B186" s="2993"/>
      <c r="C186" s="1863">
        <v>2021</v>
      </c>
      <c r="D186" s="218">
        <f t="shared" si="75"/>
        <v>-1107420.6003846547</v>
      </c>
      <c r="E186" s="221">
        <f t="shared" si="82"/>
        <v>-867.35040030126811</v>
      </c>
      <c r="F186" s="221">
        <f t="shared" si="83"/>
        <v>-7692.5720026719609</v>
      </c>
      <c r="G186" s="218">
        <f t="shared" si="76"/>
        <v>-23.232600008069678</v>
      </c>
      <c r="H186" s="218">
        <f t="shared" si="77"/>
        <v>-15.488400005379786</v>
      </c>
      <c r="I186" s="218">
        <f t="shared" si="78"/>
        <v>-366.5588001273216</v>
      </c>
      <c r="J186" s="218">
        <f t="shared" si="79"/>
        <v>-5.1628000017932631</v>
      </c>
      <c r="K186" s="218">
        <f t="shared" si="80"/>
        <v>-477.55900016587674</v>
      </c>
      <c r="L186" s="218">
        <f t="shared" si="81"/>
        <v>-6773.5936023527611</v>
      </c>
      <c r="M186" s="192">
        <f t="shared" si="60"/>
        <v>-1115.9805227876282</v>
      </c>
      <c r="N186" s="211">
        <v>65</v>
      </c>
      <c r="O186" s="211">
        <f>'Emission-Waste Transport Vehicl'!N35</f>
        <v>31.337558987328006</v>
      </c>
      <c r="P186" s="211">
        <f>'Emission-Waste Transport Vehicl'!O35</f>
        <v>45.589621879296011</v>
      </c>
      <c r="Q186" s="211">
        <f>'Emission-Waste Transport Vehicl'!P35</f>
        <v>17.435695704768001</v>
      </c>
      <c r="R186" s="211">
        <f>'Emission-Waste Transport Vehicl'!Q35</f>
        <v>13.541051563776001</v>
      </c>
      <c r="S186" s="211">
        <f>'Emission-Waste Transport Vehicl'!R35</f>
        <v>1.3477378907520003</v>
      </c>
      <c r="T186" s="211">
        <f>'Emission-Waste Transport Vehicl'!S35</f>
        <v>6.1974718755840007E-2</v>
      </c>
      <c r="U186" s="174">
        <f t="shared" si="61"/>
        <v>-72538.733981195837</v>
      </c>
      <c r="V186" s="1850">
        <f t="shared" si="62"/>
        <v>-728.05297318188059</v>
      </c>
      <c r="W186" s="1850">
        <f t="shared" si="63"/>
        <v>-706.11029976055079</v>
      </c>
      <c r="X186" s="1850">
        <f t="shared" si="64"/>
        <v>-6391.2076969248537</v>
      </c>
      <c r="Y186" s="1850">
        <f t="shared" si="65"/>
        <v>-69.909741037745405</v>
      </c>
      <c r="Z186" s="1850">
        <f t="shared" si="66"/>
        <v>-643.62435959319293</v>
      </c>
      <c r="AA186" s="1850">
        <f t="shared" si="67"/>
        <v>-419.79155847216953</v>
      </c>
      <c r="AB186" s="2733"/>
      <c r="AC186" s="3009"/>
    </row>
    <row r="187" spans="1:29" ht="18.75" x14ac:dyDescent="0.25">
      <c r="A187" s="2982"/>
      <c r="B187" s="2993"/>
      <c r="C187" s="1863">
        <v>2022</v>
      </c>
      <c r="D187" s="218">
        <f t="shared" si="75"/>
        <v>-1107420.6003846547</v>
      </c>
      <c r="E187" s="221">
        <f t="shared" si="82"/>
        <v>-867.35040030126811</v>
      </c>
      <c r="F187" s="221">
        <f t="shared" si="83"/>
        <v>-7692.5720026719609</v>
      </c>
      <c r="G187" s="218">
        <f t="shared" si="76"/>
        <v>-23.232600008069678</v>
      </c>
      <c r="H187" s="218">
        <f t="shared" si="77"/>
        <v>-15.488400005379786</v>
      </c>
      <c r="I187" s="218">
        <f t="shared" si="78"/>
        <v>-366.5588001273216</v>
      </c>
      <c r="J187" s="218">
        <f t="shared" si="79"/>
        <v>-5.1628000017932631</v>
      </c>
      <c r="K187" s="218">
        <f t="shared" si="80"/>
        <v>-477.55900016587674</v>
      </c>
      <c r="L187" s="218">
        <f t="shared" si="81"/>
        <v>-6773.5936023527611</v>
      </c>
      <c r="M187" s="192">
        <f t="shared" si="60"/>
        <v>-1115.9805227876282</v>
      </c>
      <c r="N187" s="211">
        <v>66</v>
      </c>
      <c r="O187" s="211">
        <f>'Emission-Waste Transport Vehicl'!N36</f>
        <v>30.721371029712003</v>
      </c>
      <c r="P187" s="211">
        <f>'Emission-Waste Transport Vehicl'!O36</f>
        <v>44.693196729984003</v>
      </c>
      <c r="Q187" s="211">
        <f>'Emission-Waste Transport Vehicl'!P36</f>
        <v>17.092858991472003</v>
      </c>
      <c r="R187" s="211">
        <f>'Emission-Waste Transport Vehicl'!Q36</f>
        <v>13.274794931903999</v>
      </c>
      <c r="S187" s="211">
        <f>'Emission-Waste Transport Vehicl'!R36</f>
        <v>1.3212374266080003</v>
      </c>
      <c r="T187" s="211">
        <f>'Emission-Waste Transport Vehicl'!S36</f>
        <v>6.0756114735360002E-2</v>
      </c>
      <c r="U187" s="174">
        <f t="shared" si="61"/>
        <v>-73654.714503983458</v>
      </c>
      <c r="V187" s="1850">
        <f t="shared" si="62"/>
        <v>-713.73732483279866</v>
      </c>
      <c r="W187" s="1850">
        <f t="shared" si="63"/>
        <v>-692.2261084731241</v>
      </c>
      <c r="X187" s="1850">
        <f t="shared" si="64"/>
        <v>-6265.5378826594779</v>
      </c>
      <c r="Y187" s="1850">
        <f t="shared" si="65"/>
        <v>-68.535111298239173</v>
      </c>
      <c r="Z187" s="1850">
        <f t="shared" si="66"/>
        <v>-630.96882443265258</v>
      </c>
      <c r="AA187" s="1850">
        <f t="shared" si="67"/>
        <v>-411.53723007524485</v>
      </c>
      <c r="AB187" s="2733"/>
      <c r="AC187" s="3009"/>
    </row>
    <row r="188" spans="1:29" ht="18.75" x14ac:dyDescent="0.25">
      <c r="A188" s="2982"/>
      <c r="B188" s="2993"/>
      <c r="C188" s="1863">
        <v>2023</v>
      </c>
      <c r="D188" s="218">
        <f t="shared" si="75"/>
        <v>-1107420.6003846547</v>
      </c>
      <c r="E188" s="221">
        <f t="shared" si="82"/>
        <v>-867.35040030126811</v>
      </c>
      <c r="F188" s="221">
        <f t="shared" si="83"/>
        <v>-7692.5720026719609</v>
      </c>
      <c r="G188" s="218">
        <f t="shared" si="76"/>
        <v>-23.232600008069678</v>
      </c>
      <c r="H188" s="218">
        <f t="shared" si="77"/>
        <v>-15.488400005379786</v>
      </c>
      <c r="I188" s="218">
        <f t="shared" si="78"/>
        <v>-366.5588001273216</v>
      </c>
      <c r="J188" s="218">
        <f t="shared" si="79"/>
        <v>-5.1628000017932631</v>
      </c>
      <c r="K188" s="218">
        <f t="shared" si="80"/>
        <v>-477.55900016587674</v>
      </c>
      <c r="L188" s="218">
        <f t="shared" si="81"/>
        <v>-6773.5936023527611</v>
      </c>
      <c r="M188" s="192">
        <f t="shared" si="60"/>
        <v>-1115.9805227876282</v>
      </c>
      <c r="N188" s="211">
        <v>67</v>
      </c>
      <c r="O188" s="211">
        <f>'Emission-Waste Transport Vehicl'!N37</f>
        <v>30.118224087072001</v>
      </c>
      <c r="P188" s="211">
        <f>'Emission-Waste Transport Vehicl'!O37</f>
        <v>43.815743541504006</v>
      </c>
      <c r="Q188" s="211">
        <f>'Emission-Waste Transport Vehicl'!P37</f>
        <v>16.757278081632002</v>
      </c>
      <c r="R188" s="211">
        <f>'Emission-Waste Transport Vehicl'!Q37</f>
        <v>13.014173361024</v>
      </c>
      <c r="S188" s="211">
        <f>'Emission-Waste Transport Vehicl'!R37</f>
        <v>1.295297818848</v>
      </c>
      <c r="T188" s="211">
        <f>'Emission-Waste Transport Vehicl'!S37</f>
        <v>5.9563301276160004E-2</v>
      </c>
      <c r="U188" s="174">
        <f t="shared" si="61"/>
        <v>-74770.695026771093</v>
      </c>
      <c r="V188" s="1850">
        <f t="shared" si="62"/>
        <v>-699.72465316835337</v>
      </c>
      <c r="W188" s="1850">
        <f t="shared" si="63"/>
        <v>-678.63576250394999</v>
      </c>
      <c r="X188" s="1850">
        <f t="shared" si="64"/>
        <v>-6142.5277470028923</v>
      </c>
      <c r="Y188" s="1850">
        <f t="shared" si="65"/>
        <v>-67.189574251632536</v>
      </c>
      <c r="Z188" s="1850">
        <f t="shared" si="66"/>
        <v>-618.58113128609182</v>
      </c>
      <c r="AA188" s="1850">
        <f t="shared" si="67"/>
        <v>-403.45759645920742</v>
      </c>
      <c r="AB188" s="2733"/>
      <c r="AC188" s="3009"/>
    </row>
    <row r="189" spans="1:29" ht="18.75" x14ac:dyDescent="0.25">
      <c r="A189" s="2982"/>
      <c r="B189" s="2993"/>
      <c r="C189" s="1863">
        <v>2024</v>
      </c>
      <c r="D189" s="218">
        <f t="shared" si="75"/>
        <v>-1107420.6003846547</v>
      </c>
      <c r="E189" s="221">
        <f t="shared" si="82"/>
        <v>-867.35040030126811</v>
      </c>
      <c r="F189" s="221">
        <f t="shared" si="83"/>
        <v>-7692.5720026719609</v>
      </c>
      <c r="G189" s="218">
        <f t="shared" si="76"/>
        <v>-23.232600008069678</v>
      </c>
      <c r="H189" s="218">
        <f t="shared" si="77"/>
        <v>-15.488400005379786</v>
      </c>
      <c r="I189" s="218">
        <f t="shared" si="78"/>
        <v>-366.5588001273216</v>
      </c>
      <c r="J189" s="218">
        <f t="shared" si="79"/>
        <v>-5.1628000017932631</v>
      </c>
      <c r="K189" s="218">
        <f t="shared" si="80"/>
        <v>-477.55900016587674</v>
      </c>
      <c r="L189" s="218">
        <f t="shared" si="81"/>
        <v>-6773.5936023527611</v>
      </c>
      <c r="M189" s="192">
        <f t="shared" si="60"/>
        <v>-1115.9805227876282</v>
      </c>
      <c r="N189" s="211">
        <v>68</v>
      </c>
      <c r="O189" s="211">
        <f>'Emission-Waste Transport Vehicl'!N38</f>
        <v>29.528118159408002</v>
      </c>
      <c r="P189" s="211">
        <f>'Emission-Waste Transport Vehicl'!O38</f>
        <v>42.957262313856006</v>
      </c>
      <c r="Q189" s="211">
        <f>'Emission-Waste Transport Vehicl'!P38</f>
        <v>16.428952975248002</v>
      </c>
      <c r="R189" s="211">
        <f>'Emission-Waste Transport Vehicl'!Q38</f>
        <v>12.759186851135999</v>
      </c>
      <c r="S189" s="211">
        <f>'Emission-Waste Transport Vehicl'!R38</f>
        <v>1.269919067472</v>
      </c>
      <c r="T189" s="211">
        <f>'Emission-Waste Transport Vehicl'!S38</f>
        <v>5.8396278378240005E-2</v>
      </c>
      <c r="U189" s="174">
        <f t="shared" si="61"/>
        <v>-75886.675549558713</v>
      </c>
      <c r="V189" s="1850">
        <f t="shared" si="62"/>
        <v>-686.01495818854471</v>
      </c>
      <c r="W189" s="1850">
        <f t="shared" si="63"/>
        <v>-665.33926185302823</v>
      </c>
      <c r="X189" s="1850">
        <f t="shared" si="64"/>
        <v>-6022.1772899550979</v>
      </c>
      <c r="Y189" s="1850">
        <f t="shared" si="65"/>
        <v>-65.873129897925509</v>
      </c>
      <c r="Z189" s="1850">
        <f t="shared" si="66"/>
        <v>-606.46128015351087</v>
      </c>
      <c r="AA189" s="1850">
        <f t="shared" si="67"/>
        <v>-395.55265762405736</v>
      </c>
      <c r="AB189" s="2733"/>
      <c r="AC189" s="3009"/>
    </row>
    <row r="190" spans="1:29" ht="18.75" x14ac:dyDescent="0.25">
      <c r="A190" s="2982"/>
      <c r="B190" s="2993"/>
      <c r="C190" s="1863">
        <v>2025</v>
      </c>
      <c r="D190" s="218">
        <f t="shared" si="75"/>
        <v>-1107420.6003846547</v>
      </c>
      <c r="E190" s="221">
        <f t="shared" si="82"/>
        <v>-867.35040030126811</v>
      </c>
      <c r="F190" s="221">
        <f t="shared" si="83"/>
        <v>-7692.5720026719609</v>
      </c>
      <c r="G190" s="218">
        <f t="shared" si="76"/>
        <v>-23.232600008069678</v>
      </c>
      <c r="H190" s="218">
        <f t="shared" si="77"/>
        <v>-15.488400005379786</v>
      </c>
      <c r="I190" s="218">
        <f t="shared" si="78"/>
        <v>-366.5588001273216</v>
      </c>
      <c r="J190" s="218">
        <f t="shared" si="79"/>
        <v>-5.1628000017932631</v>
      </c>
      <c r="K190" s="218">
        <f t="shared" si="80"/>
        <v>-477.55900016587674</v>
      </c>
      <c r="L190" s="218">
        <f t="shared" si="81"/>
        <v>-6773.5936023527611</v>
      </c>
      <c r="M190" s="192">
        <f t="shared" si="60"/>
        <v>-1115.9805227876282</v>
      </c>
      <c r="N190" s="211">
        <v>69</v>
      </c>
      <c r="O190" s="211">
        <f>'Emission-Waste Transport Vehicl'!N39</f>
        <v>28.951053246720004</v>
      </c>
      <c r="P190" s="211">
        <f>'Emission-Waste Transport Vehicl'!O39</f>
        <v>42.117753047040004</v>
      </c>
      <c r="Q190" s="211">
        <f>'Emission-Waste Transport Vehicl'!P39</f>
        <v>16.10788367232</v>
      </c>
      <c r="R190" s="211">
        <f>'Emission-Waste Transport Vehicl'!Q39</f>
        <v>12.50983540224</v>
      </c>
      <c r="S190" s="211">
        <f>'Emission-Waste Transport Vehicl'!R39</f>
        <v>1.2451011724800001</v>
      </c>
      <c r="T190" s="211">
        <f>'Emission-Waste Transport Vehicl'!S39</f>
        <v>5.7255046041600005E-2</v>
      </c>
      <c r="U190" s="174">
        <f t="shared" si="61"/>
        <v>-77002.656072346348</v>
      </c>
      <c r="V190" s="1850">
        <f t="shared" si="62"/>
        <v>-672.6082398933728</v>
      </c>
      <c r="W190" s="1850">
        <f t="shared" si="63"/>
        <v>-652.33660652035894</v>
      </c>
      <c r="X190" s="1850">
        <f t="shared" si="64"/>
        <v>-5904.4865115160937</v>
      </c>
      <c r="Y190" s="1850">
        <f t="shared" si="65"/>
        <v>-64.585778237118106</v>
      </c>
      <c r="Z190" s="1850">
        <f t="shared" si="66"/>
        <v>-594.60927103490963</v>
      </c>
      <c r="AA190" s="1850">
        <f t="shared" si="67"/>
        <v>-387.82241356979455</v>
      </c>
      <c r="AB190" s="2733"/>
      <c r="AC190" s="3009"/>
    </row>
    <row r="191" spans="1:29" ht="18.75" x14ac:dyDescent="0.25">
      <c r="A191" s="2982"/>
      <c r="B191" s="2993"/>
      <c r="C191" s="1863">
        <v>2026</v>
      </c>
      <c r="D191" s="218">
        <f t="shared" si="75"/>
        <v>-1107420.6003846547</v>
      </c>
      <c r="E191" s="221">
        <f t="shared" si="82"/>
        <v>-867.35040030126811</v>
      </c>
      <c r="F191" s="221">
        <f t="shared" si="83"/>
        <v>-7692.5720026719609</v>
      </c>
      <c r="G191" s="218">
        <f t="shared" si="76"/>
        <v>-23.232600008069678</v>
      </c>
      <c r="H191" s="218">
        <f t="shared" si="77"/>
        <v>-15.488400005379786</v>
      </c>
      <c r="I191" s="218">
        <f t="shared" si="78"/>
        <v>-366.5588001273216</v>
      </c>
      <c r="J191" s="218">
        <f t="shared" si="79"/>
        <v>-5.1628000017932631</v>
      </c>
      <c r="K191" s="218">
        <f t="shared" si="80"/>
        <v>-477.55900016587674</v>
      </c>
      <c r="L191" s="218">
        <f t="shared" si="81"/>
        <v>-6773.5936023527611</v>
      </c>
      <c r="M191" s="192">
        <f t="shared" si="60"/>
        <v>-1115.9805227876282</v>
      </c>
      <c r="N191" s="211">
        <v>70</v>
      </c>
      <c r="O191" s="211">
        <f>'Emission-Waste Transport Vehicl'!N40</f>
        <v>28.383769095264007</v>
      </c>
      <c r="P191" s="211">
        <f>'Emission-Waste Transport Vehicl'!O40</f>
        <v>41.292472750848006</v>
      </c>
      <c r="Q191" s="211">
        <f>'Emission-Waste Transport Vehicl'!P40</f>
        <v>15.792256221984003</v>
      </c>
      <c r="R191" s="211">
        <f>'Emission-Waste Transport Vehicl'!Q40</f>
        <v>12.264710249088001</v>
      </c>
      <c r="S191" s="211">
        <f>'Emission-Waste Transport Vehicl'!R40</f>
        <v>1.2207039197760001</v>
      </c>
      <c r="T191" s="211">
        <f>'Emission-Waste Transport Vehicl'!S40</f>
        <v>5.6133156625920007E-2</v>
      </c>
      <c r="U191" s="174">
        <f t="shared" si="61"/>
        <v>-78118.636595133969</v>
      </c>
      <c r="V191" s="1850">
        <f t="shared" si="62"/>
        <v>-659.42875411167847</v>
      </c>
      <c r="W191" s="1850">
        <f t="shared" si="63"/>
        <v>-639.55433517637891</v>
      </c>
      <c r="X191" s="1850">
        <f t="shared" si="64"/>
        <v>-5788.790492033685</v>
      </c>
      <c r="Y191" s="1850">
        <f t="shared" si="65"/>
        <v>-63.320246095985382</v>
      </c>
      <c r="Z191" s="1850">
        <f t="shared" si="66"/>
        <v>-582.95814342679319</v>
      </c>
      <c r="AA191" s="1850">
        <f t="shared" si="67"/>
        <v>-380.22319060119725</v>
      </c>
      <c r="AB191" s="2733"/>
      <c r="AC191" s="3009"/>
    </row>
    <row r="192" spans="1:29" ht="18.75" x14ac:dyDescent="0.25">
      <c r="A192" s="2982"/>
      <c r="B192" s="2993"/>
      <c r="C192" s="1863">
        <v>2027</v>
      </c>
      <c r="D192" s="218">
        <f t="shared" si="75"/>
        <v>-1107420.6003846547</v>
      </c>
      <c r="E192" s="221">
        <f t="shared" si="82"/>
        <v>-867.35040030126811</v>
      </c>
      <c r="F192" s="221">
        <f t="shared" si="83"/>
        <v>-7692.5720026719609</v>
      </c>
      <c r="G192" s="218">
        <f t="shared" si="76"/>
        <v>-23.232600008069678</v>
      </c>
      <c r="H192" s="218">
        <f t="shared" si="77"/>
        <v>-15.488400005379786</v>
      </c>
      <c r="I192" s="218">
        <f t="shared" si="78"/>
        <v>-366.5588001273216</v>
      </c>
      <c r="J192" s="218">
        <f t="shared" si="79"/>
        <v>-5.1628000017932631</v>
      </c>
      <c r="K192" s="218">
        <f t="shared" si="80"/>
        <v>-477.55900016587674</v>
      </c>
      <c r="L192" s="218">
        <f t="shared" si="81"/>
        <v>-6773.5936023527611</v>
      </c>
      <c r="M192" s="192">
        <f t="shared" si="60"/>
        <v>-1115.9805227876282</v>
      </c>
      <c r="N192" s="211">
        <v>71</v>
      </c>
      <c r="O192" s="211">
        <f>'Emission-Waste Transport Vehicl'!N41</f>
        <v>27.826265705040004</v>
      </c>
      <c r="P192" s="211">
        <f>'Emission-Waste Transport Vehicl'!O41</f>
        <v>40.481421425280004</v>
      </c>
      <c r="Q192" s="211">
        <f>'Emission-Waste Transport Vehicl'!P41</f>
        <v>15.482070624240002</v>
      </c>
      <c r="R192" s="211">
        <f>'Emission-Waste Transport Vehicl'!Q41</f>
        <v>12.023811391680001</v>
      </c>
      <c r="S192" s="211">
        <f>'Emission-Waste Transport Vehicl'!R41</f>
        <v>1.1967273093600002</v>
      </c>
      <c r="T192" s="211">
        <f>'Emission-Waste Transport Vehicl'!S41</f>
        <v>5.503061013120001E-2</v>
      </c>
      <c r="U192" s="174">
        <f t="shared" si="61"/>
        <v>-79234.617117921603</v>
      </c>
      <c r="V192" s="1850">
        <f t="shared" si="62"/>
        <v>-646.47650084346139</v>
      </c>
      <c r="W192" s="1850">
        <f t="shared" si="63"/>
        <v>-626.99244782108815</v>
      </c>
      <c r="X192" s="1850">
        <f t="shared" si="64"/>
        <v>-5675.0892315078681</v>
      </c>
      <c r="Y192" s="1850">
        <f t="shared" si="65"/>
        <v>-62.076533474527366</v>
      </c>
      <c r="Z192" s="1850">
        <f t="shared" si="66"/>
        <v>-571.50789732916155</v>
      </c>
      <c r="AA192" s="1850">
        <f t="shared" si="67"/>
        <v>-372.75498871826545</v>
      </c>
      <c r="AB192" s="2733"/>
      <c r="AC192" s="3009"/>
    </row>
    <row r="193" spans="1:29" ht="18.75" x14ac:dyDescent="0.25">
      <c r="A193" s="2982"/>
      <c r="B193" s="2993"/>
      <c r="C193" s="1863">
        <v>2028</v>
      </c>
      <c r="D193" s="218">
        <f t="shared" si="75"/>
        <v>-1107420.6003846547</v>
      </c>
      <c r="E193" s="221">
        <f t="shared" si="82"/>
        <v>-867.35040030126811</v>
      </c>
      <c r="F193" s="221">
        <f t="shared" si="83"/>
        <v>-7692.5720026719609</v>
      </c>
      <c r="G193" s="218">
        <f t="shared" si="76"/>
        <v>-23.232600008069678</v>
      </c>
      <c r="H193" s="218">
        <f t="shared" si="77"/>
        <v>-15.488400005379786</v>
      </c>
      <c r="I193" s="218">
        <f t="shared" si="78"/>
        <v>-366.5588001273216</v>
      </c>
      <c r="J193" s="218">
        <f t="shared" si="79"/>
        <v>-5.1628000017932631</v>
      </c>
      <c r="K193" s="218">
        <f t="shared" si="80"/>
        <v>-477.55900016587674</v>
      </c>
      <c r="L193" s="218">
        <f t="shared" si="81"/>
        <v>-6773.5936023527611</v>
      </c>
      <c r="M193" s="192">
        <f t="shared" si="60"/>
        <v>-1115.9805227876282</v>
      </c>
      <c r="N193" s="211">
        <v>72</v>
      </c>
      <c r="O193" s="211">
        <f>'Emission-Waste Transport Vehicl'!N42</f>
        <v>27.281803329792002</v>
      </c>
      <c r="P193" s="211">
        <f>'Emission-Waste Transport Vehicl'!O42</f>
        <v>39.689342060544</v>
      </c>
      <c r="Q193" s="211">
        <f>'Emission-Waste Transport Vehicl'!P42</f>
        <v>15.179140829952001</v>
      </c>
      <c r="R193" s="211">
        <f>'Emission-Waste Transport Vehicl'!Q42</f>
        <v>11.788547595263999</v>
      </c>
      <c r="S193" s="211">
        <f>'Emission-Waste Transport Vehicl'!R42</f>
        <v>1.173311555328</v>
      </c>
      <c r="T193" s="211">
        <f>'Emission-Waste Transport Vehicl'!S42</f>
        <v>5.3953854197759998E-2</v>
      </c>
      <c r="U193" s="174">
        <f t="shared" si="61"/>
        <v>-80350.597640709224</v>
      </c>
      <c r="V193" s="1850">
        <f t="shared" si="62"/>
        <v>-633.82722425988106</v>
      </c>
      <c r="W193" s="1850">
        <f t="shared" si="63"/>
        <v>-614.72440578404985</v>
      </c>
      <c r="X193" s="1850">
        <f t="shared" si="64"/>
        <v>-5564.0476495908424</v>
      </c>
      <c r="Y193" s="1850">
        <f t="shared" si="65"/>
        <v>-60.861913545968946</v>
      </c>
      <c r="Z193" s="1850">
        <f t="shared" si="66"/>
        <v>-560.32549324550951</v>
      </c>
      <c r="AA193" s="1850">
        <f t="shared" si="67"/>
        <v>-365.46148161622079</v>
      </c>
      <c r="AB193" s="2733"/>
      <c r="AC193" s="3009"/>
    </row>
    <row r="194" spans="1:29" ht="18.75" x14ac:dyDescent="0.25">
      <c r="A194" s="2982"/>
      <c r="B194" s="2993"/>
      <c r="C194" s="1863">
        <v>2029</v>
      </c>
      <c r="D194" s="218">
        <f t="shared" si="75"/>
        <v>-1107420.6003846547</v>
      </c>
      <c r="E194" s="221">
        <f t="shared" si="82"/>
        <v>-867.35040030126811</v>
      </c>
      <c r="F194" s="221">
        <f t="shared" si="83"/>
        <v>-7692.5720026719609</v>
      </c>
      <c r="G194" s="218">
        <f t="shared" si="76"/>
        <v>-23.232600008069678</v>
      </c>
      <c r="H194" s="218">
        <f t="shared" si="77"/>
        <v>-15.488400005379786</v>
      </c>
      <c r="I194" s="218">
        <f t="shared" si="78"/>
        <v>-366.5588001273216</v>
      </c>
      <c r="J194" s="218">
        <f t="shared" si="79"/>
        <v>-5.1628000017932631</v>
      </c>
      <c r="K194" s="218">
        <f t="shared" si="80"/>
        <v>-477.55900016587674</v>
      </c>
      <c r="L194" s="218">
        <f t="shared" si="81"/>
        <v>-6773.5936023527611</v>
      </c>
      <c r="M194" s="192">
        <f t="shared" si="60"/>
        <v>-1115.9805227876282</v>
      </c>
      <c r="N194" s="211">
        <v>73</v>
      </c>
      <c r="O194" s="211">
        <f>'Emission-Waste Transport Vehicl'!N43</f>
        <v>26.743861462032005</v>
      </c>
      <c r="P194" s="211">
        <f>'Emission-Waste Transport Vehicl'!O43</f>
        <v>38.906748676224005</v>
      </c>
      <c r="Q194" s="211">
        <f>'Emission-Waste Transport Vehicl'!P43</f>
        <v>14.879838937392002</v>
      </c>
      <c r="R194" s="211">
        <f>'Emission-Waste Transport Vehicl'!Q43</f>
        <v>11.556101329344001</v>
      </c>
      <c r="S194" s="211">
        <f>'Emission-Waste Transport Vehicl'!R43</f>
        <v>1.1501762294880002</v>
      </c>
      <c r="T194" s="211">
        <f>'Emission-Waste Transport Vehicl'!S43</f>
        <v>5.2889993544960004E-2</v>
      </c>
      <c r="U194" s="174">
        <f t="shared" si="61"/>
        <v>-81466.578163496859</v>
      </c>
      <c r="V194" s="1850">
        <f t="shared" si="62"/>
        <v>-621.32943601861905</v>
      </c>
      <c r="W194" s="1850">
        <f t="shared" si="63"/>
        <v>-602.60328640613784</v>
      </c>
      <c r="X194" s="1850">
        <f t="shared" si="64"/>
        <v>-5454.3359069782118</v>
      </c>
      <c r="Y194" s="1850">
        <f t="shared" si="65"/>
        <v>-59.661839963860338</v>
      </c>
      <c r="Z194" s="1850">
        <f t="shared" si="66"/>
        <v>-549.27701016884737</v>
      </c>
      <c r="AA194" s="1850">
        <f t="shared" si="67"/>
        <v>-358.2553219046199</v>
      </c>
      <c r="AB194" s="2733"/>
      <c r="AC194" s="3009"/>
    </row>
    <row r="195" spans="1:29" ht="18.75" x14ac:dyDescent="0.25">
      <c r="A195" s="2982"/>
      <c r="B195" s="2993"/>
      <c r="C195" s="1863">
        <v>2030</v>
      </c>
      <c r="D195" s="218">
        <f t="shared" si="75"/>
        <v>-1107420.6003846547</v>
      </c>
      <c r="E195" s="221">
        <f t="shared" si="82"/>
        <v>-867.35040030126811</v>
      </c>
      <c r="F195" s="221">
        <f t="shared" si="83"/>
        <v>-7692.5720026719609</v>
      </c>
      <c r="G195" s="218">
        <f t="shared" si="76"/>
        <v>-23.232600008069678</v>
      </c>
      <c r="H195" s="218">
        <f t="shared" si="77"/>
        <v>-15.488400005379786</v>
      </c>
      <c r="I195" s="218">
        <f t="shared" si="78"/>
        <v>-366.5588001273216</v>
      </c>
      <c r="J195" s="218">
        <f t="shared" si="79"/>
        <v>-5.1628000017932631</v>
      </c>
      <c r="K195" s="218">
        <f t="shared" si="80"/>
        <v>-477.55900016587674</v>
      </c>
      <c r="L195" s="218">
        <f t="shared" si="81"/>
        <v>-6773.5936023527611</v>
      </c>
      <c r="M195" s="192">
        <f t="shared" si="60"/>
        <v>-1115.9805227876282</v>
      </c>
      <c r="N195" s="211">
        <v>75</v>
      </c>
      <c r="O195" s="211">
        <f>'Emission-Waste Transport Vehicl'!N44</f>
        <v>26.222220862992003</v>
      </c>
      <c r="P195" s="211">
        <f>'Emission-Waste Transport Vehicl'!O44</f>
        <v>38.147870242944002</v>
      </c>
      <c r="Q195" s="211">
        <f>'Emission-Waste Transport Vehicl'!P44</f>
        <v>14.589606799152003</v>
      </c>
      <c r="R195" s="211">
        <f>'Emission-Waste Transport Vehicl'!Q44</f>
        <v>11.330698889664001</v>
      </c>
      <c r="S195" s="211">
        <f>'Emission-Waste Transport Vehicl'!R44</f>
        <v>1.1277419741280001</v>
      </c>
      <c r="T195" s="211">
        <f>'Emission-Waste Transport Vehicl'!S44</f>
        <v>5.1858371093760007E-2</v>
      </c>
      <c r="U195" s="174">
        <f t="shared" si="61"/>
        <v>-83698.539209072114</v>
      </c>
      <c r="V195" s="1850">
        <f t="shared" si="62"/>
        <v>-609.21036863315294</v>
      </c>
      <c r="W195" s="1850">
        <f t="shared" si="63"/>
        <v>-590.84947367604127</v>
      </c>
      <c r="X195" s="1850">
        <f t="shared" si="64"/>
        <v>-5347.9487626265718</v>
      </c>
      <c r="Y195" s="1850">
        <f t="shared" si="65"/>
        <v>-58.498132247876228</v>
      </c>
      <c r="Z195" s="1850">
        <f t="shared" si="66"/>
        <v>-538.56332960965983</v>
      </c>
      <c r="AA195" s="1850">
        <f t="shared" si="67"/>
        <v>-351.26753066912812</v>
      </c>
      <c r="AB195" s="2733"/>
      <c r="AC195" s="3009"/>
    </row>
    <row r="196" spans="1:29" ht="18.75" x14ac:dyDescent="0.25">
      <c r="A196" s="2982"/>
      <c r="B196" s="2993"/>
      <c r="C196" s="1863">
        <v>2031</v>
      </c>
      <c r="D196" s="218">
        <f t="shared" si="75"/>
        <v>-1107420.6003846547</v>
      </c>
      <c r="E196" s="221">
        <f t="shared" si="82"/>
        <v>-867.35040030126811</v>
      </c>
      <c r="F196" s="221">
        <f t="shared" si="83"/>
        <v>-7692.5720026719609</v>
      </c>
      <c r="G196" s="218">
        <f t="shared" si="76"/>
        <v>-23.232600008069678</v>
      </c>
      <c r="H196" s="218">
        <f t="shared" si="77"/>
        <v>-15.488400005379786</v>
      </c>
      <c r="I196" s="218">
        <f t="shared" si="78"/>
        <v>-366.5588001273216</v>
      </c>
      <c r="J196" s="218">
        <f t="shared" si="79"/>
        <v>-5.1628000017932631</v>
      </c>
      <c r="K196" s="218">
        <f t="shared" si="80"/>
        <v>-477.55900016587674</v>
      </c>
      <c r="L196" s="218">
        <f t="shared" si="81"/>
        <v>-6773.5936023527611</v>
      </c>
      <c r="M196" s="192">
        <f t="shared" si="60"/>
        <v>-1115.9805227876282</v>
      </c>
      <c r="N196" s="211">
        <v>76</v>
      </c>
      <c r="O196" s="211">
        <f>'Emission-Waste Transport Vehicl'!N45</f>
        <v>25.70710077144</v>
      </c>
      <c r="P196" s="211">
        <f>'Emission-Waste Transport Vehicl'!O45</f>
        <v>37.398477790080001</v>
      </c>
      <c r="Q196" s="211">
        <f>'Emission-Waste Transport Vehicl'!P45</f>
        <v>14.303002562640001</v>
      </c>
      <c r="R196" s="211">
        <f>'Emission-Waste Transport Vehicl'!Q45</f>
        <v>11.108113980480001</v>
      </c>
      <c r="S196" s="211">
        <f>'Emission-Waste Transport Vehicl'!R45</f>
        <v>1.1055881469600002</v>
      </c>
      <c r="T196" s="211">
        <f>'Emission-Waste Transport Vehicl'!S45</f>
        <v>5.0839643923200006E-2</v>
      </c>
      <c r="U196" s="174">
        <f t="shared" si="61"/>
        <v>-84814.519731859735</v>
      </c>
      <c r="V196" s="1850">
        <f t="shared" si="62"/>
        <v>-597.24278959000503</v>
      </c>
      <c r="W196" s="1850">
        <f t="shared" si="63"/>
        <v>-579.24258360507088</v>
      </c>
      <c r="X196" s="1850">
        <f t="shared" si="64"/>
        <v>-5242.8914575793251</v>
      </c>
      <c r="Y196" s="1850">
        <f t="shared" si="65"/>
        <v>-57.348970878341916</v>
      </c>
      <c r="Z196" s="1850">
        <f t="shared" si="66"/>
        <v>-527.98357005746209</v>
      </c>
      <c r="AA196" s="1850">
        <f t="shared" si="67"/>
        <v>-344.36708682407999</v>
      </c>
      <c r="AB196" s="2733"/>
      <c r="AC196" s="3009"/>
    </row>
    <row r="197" spans="1:29" ht="18.75" x14ac:dyDescent="0.25">
      <c r="A197" s="2982"/>
      <c r="B197" s="2993"/>
      <c r="C197" s="1863">
        <v>2032</v>
      </c>
      <c r="D197" s="218">
        <f t="shared" si="75"/>
        <v>-1107420.6003846547</v>
      </c>
      <c r="E197" s="221">
        <f t="shared" si="82"/>
        <v>-867.35040030126811</v>
      </c>
      <c r="F197" s="221">
        <f t="shared" si="83"/>
        <v>-7692.5720026719609</v>
      </c>
      <c r="G197" s="218">
        <f t="shared" si="76"/>
        <v>-23.232600008069678</v>
      </c>
      <c r="H197" s="218">
        <f t="shared" si="77"/>
        <v>-15.488400005379786</v>
      </c>
      <c r="I197" s="218">
        <f t="shared" si="78"/>
        <v>-366.5588001273216</v>
      </c>
      <c r="J197" s="218">
        <f t="shared" si="79"/>
        <v>-5.1628000017932631</v>
      </c>
      <c r="K197" s="218">
        <f t="shared" si="80"/>
        <v>-477.55900016587674</v>
      </c>
      <c r="L197" s="218">
        <f t="shared" si="81"/>
        <v>-6773.5936023527611</v>
      </c>
      <c r="M197" s="192">
        <f t="shared" si="60"/>
        <v>-1115.9805227876282</v>
      </c>
      <c r="N197" s="211">
        <v>77</v>
      </c>
      <c r="O197" s="211">
        <f>'Emission-Waste Transport Vehicl'!N46</f>
        <v>25.201761441120002</v>
      </c>
      <c r="P197" s="211">
        <f>'Emission-Waste Transport Vehicl'!O46</f>
        <v>36.663314307840004</v>
      </c>
      <c r="Q197" s="211">
        <f>'Emission-Waste Transport Vehicl'!P46</f>
        <v>14.021840178720002</v>
      </c>
      <c r="R197" s="211">
        <f>'Emission-Waste Transport Vehicl'!Q46</f>
        <v>10.889755367040001</v>
      </c>
      <c r="S197" s="211">
        <f>'Emission-Waste Transport Vehicl'!R46</f>
        <v>1.0838549620800002</v>
      </c>
      <c r="T197" s="211">
        <f>'Emission-Waste Transport Vehicl'!S46</f>
        <v>4.9840259673600007E-2</v>
      </c>
      <c r="U197" s="174">
        <f t="shared" si="61"/>
        <v>-85930.50025464737</v>
      </c>
      <c r="V197" s="1850">
        <f t="shared" si="62"/>
        <v>-585.50244306033471</v>
      </c>
      <c r="W197" s="1850">
        <f t="shared" si="63"/>
        <v>-567.85607752278986</v>
      </c>
      <c r="X197" s="1850">
        <f t="shared" si="64"/>
        <v>-5139.8289114886729</v>
      </c>
      <c r="Y197" s="1850">
        <f t="shared" si="65"/>
        <v>-56.221629028482312</v>
      </c>
      <c r="Z197" s="1850">
        <f t="shared" si="66"/>
        <v>-517.60469201574915</v>
      </c>
      <c r="AA197" s="1850">
        <f t="shared" si="67"/>
        <v>-337.59766406469731</v>
      </c>
      <c r="AB197" s="2733"/>
      <c r="AC197" s="3009"/>
    </row>
    <row r="198" spans="1:29" ht="18.75" x14ac:dyDescent="0.25">
      <c r="A198" s="2982"/>
      <c r="B198" s="2993"/>
      <c r="C198" s="1863">
        <v>2033</v>
      </c>
      <c r="D198" s="218">
        <f t="shared" si="75"/>
        <v>-1107420.6003846547</v>
      </c>
      <c r="E198" s="221">
        <f t="shared" si="82"/>
        <v>-867.35040030126811</v>
      </c>
      <c r="F198" s="221">
        <f t="shared" si="83"/>
        <v>-7692.5720026719609</v>
      </c>
      <c r="G198" s="218">
        <f t="shared" si="76"/>
        <v>-23.232600008069678</v>
      </c>
      <c r="H198" s="218">
        <f t="shared" si="77"/>
        <v>-15.488400005379786</v>
      </c>
      <c r="I198" s="218">
        <f t="shared" si="78"/>
        <v>-366.5588001273216</v>
      </c>
      <c r="J198" s="218">
        <f t="shared" si="79"/>
        <v>-5.1628000017932631</v>
      </c>
      <c r="K198" s="218">
        <f t="shared" si="80"/>
        <v>-477.55900016587674</v>
      </c>
      <c r="L198" s="218">
        <f t="shared" si="81"/>
        <v>-6773.5936023527611</v>
      </c>
      <c r="M198" s="192">
        <f t="shared" si="60"/>
        <v>-1115.9805227876282</v>
      </c>
      <c r="N198" s="211">
        <v>78</v>
      </c>
      <c r="O198" s="211">
        <f>'Emission-Waste Transport Vehicl'!N47</f>
        <v>24.709463125776001</v>
      </c>
      <c r="P198" s="211">
        <f>'Emission-Waste Transport Vehicl'!O47</f>
        <v>35.947122786432004</v>
      </c>
      <c r="Q198" s="211">
        <f>'Emission-Waste Transport Vehicl'!P47</f>
        <v>13.747933598256003</v>
      </c>
      <c r="R198" s="211">
        <f>'Emission-Waste Transport Vehicl'!Q47</f>
        <v>10.677031814592</v>
      </c>
      <c r="S198" s="211">
        <f>'Emission-Waste Transport Vehicl'!R47</f>
        <v>1.0626826335840001</v>
      </c>
      <c r="T198" s="211">
        <f>'Emission-Waste Transport Vehicl'!S47</f>
        <v>4.8866665985280007E-2</v>
      </c>
      <c r="U198" s="174">
        <f t="shared" si="61"/>
        <v>-87046.48077743499</v>
      </c>
      <c r="V198" s="1850">
        <f t="shared" si="62"/>
        <v>-574.06507321530091</v>
      </c>
      <c r="W198" s="1850">
        <f t="shared" si="63"/>
        <v>-556.76341675876131</v>
      </c>
      <c r="X198" s="1850">
        <f t="shared" si="64"/>
        <v>-5039.426044006811</v>
      </c>
      <c r="Y198" s="1850">
        <f t="shared" si="65"/>
        <v>-55.12337987152231</v>
      </c>
      <c r="Z198" s="1850">
        <f t="shared" si="66"/>
        <v>-507.4936559880158</v>
      </c>
      <c r="AA198" s="1850">
        <f t="shared" si="67"/>
        <v>-331.00293608620194</v>
      </c>
      <c r="AB198" s="2733"/>
      <c r="AC198" s="3009"/>
    </row>
    <row r="199" spans="1:29" ht="18.75" x14ac:dyDescent="0.25">
      <c r="A199" s="2982"/>
      <c r="B199" s="2993"/>
      <c r="C199" s="1863">
        <v>2034</v>
      </c>
      <c r="D199" s="218">
        <f t="shared" si="75"/>
        <v>-1107420.6003846547</v>
      </c>
      <c r="E199" s="221">
        <f t="shared" si="82"/>
        <v>-867.35040030126811</v>
      </c>
      <c r="F199" s="221">
        <f t="shared" si="83"/>
        <v>-7692.5720026719609</v>
      </c>
      <c r="G199" s="218">
        <f t="shared" si="76"/>
        <v>-23.232600008069678</v>
      </c>
      <c r="H199" s="218">
        <f t="shared" si="77"/>
        <v>-15.488400005379786</v>
      </c>
      <c r="I199" s="218">
        <f t="shared" si="78"/>
        <v>-366.5588001273216</v>
      </c>
      <c r="J199" s="218">
        <f t="shared" si="79"/>
        <v>-5.1628000017932631</v>
      </c>
      <c r="K199" s="218">
        <f t="shared" si="80"/>
        <v>-477.55900016587674</v>
      </c>
      <c r="L199" s="218">
        <f t="shared" si="81"/>
        <v>-6773.5936023527611</v>
      </c>
      <c r="M199" s="192">
        <f t="shared" si="60"/>
        <v>-1115.9805227876282</v>
      </c>
      <c r="N199" s="211">
        <v>79</v>
      </c>
      <c r="O199" s="211">
        <f>'Emission-Waste Transport Vehicl'!N48</f>
        <v>24.223685317920005</v>
      </c>
      <c r="P199" s="211">
        <f>'Emission-Waste Transport Vehicl'!O48</f>
        <v>35.24041724544</v>
      </c>
      <c r="Q199" s="211">
        <f>'Emission-Waste Transport Vehicl'!P48</f>
        <v>13.477654919520001</v>
      </c>
      <c r="R199" s="211">
        <f>'Emission-Waste Transport Vehicl'!Q48</f>
        <v>10.467125792640001</v>
      </c>
      <c r="S199" s="211">
        <f>'Emission-Waste Transport Vehicl'!R48</f>
        <v>1.04179073328</v>
      </c>
      <c r="T199" s="211">
        <f>'Emission-Waste Transport Vehicl'!S48</f>
        <v>4.7905967577600003E-2</v>
      </c>
      <c r="U199" s="174">
        <f t="shared" si="61"/>
        <v>-88162.461300222625</v>
      </c>
      <c r="V199" s="1850">
        <f t="shared" si="62"/>
        <v>-562.77919171258566</v>
      </c>
      <c r="W199" s="1850">
        <f t="shared" si="63"/>
        <v>-545.81767865385882</v>
      </c>
      <c r="X199" s="1850">
        <f t="shared" si="64"/>
        <v>-4940.3530158293452</v>
      </c>
      <c r="Y199" s="1850">
        <f t="shared" si="65"/>
        <v>-54.039677061012107</v>
      </c>
      <c r="Z199" s="1850">
        <f t="shared" si="66"/>
        <v>-497.51654096727242</v>
      </c>
      <c r="AA199" s="1850">
        <f t="shared" si="67"/>
        <v>-324.49555549815017</v>
      </c>
      <c r="AB199" s="2733"/>
      <c r="AC199" s="3009"/>
    </row>
    <row r="200" spans="1:29" ht="18.75" x14ac:dyDescent="0.25">
      <c r="A200" s="2982"/>
      <c r="B200" s="2993"/>
      <c r="C200" s="1863">
        <v>2035</v>
      </c>
      <c r="D200" s="218">
        <f t="shared" si="75"/>
        <v>-1107420.6003846547</v>
      </c>
      <c r="E200" s="221">
        <f t="shared" si="82"/>
        <v>-867.35040030126811</v>
      </c>
      <c r="F200" s="221">
        <f t="shared" si="83"/>
        <v>-7692.5720026719609</v>
      </c>
      <c r="G200" s="218">
        <f t="shared" si="76"/>
        <v>-23.232600008069678</v>
      </c>
      <c r="H200" s="218">
        <f t="shared" si="77"/>
        <v>-15.488400005379786</v>
      </c>
      <c r="I200" s="218">
        <f t="shared" si="78"/>
        <v>-366.5588001273216</v>
      </c>
      <c r="J200" s="218">
        <f t="shared" si="79"/>
        <v>-5.1628000017932631</v>
      </c>
      <c r="K200" s="218">
        <f t="shared" si="80"/>
        <v>-477.55900016587674</v>
      </c>
      <c r="L200" s="218">
        <f t="shared" si="81"/>
        <v>-6773.5936023527611</v>
      </c>
      <c r="M200" s="192">
        <f t="shared" si="60"/>
        <v>-1115.9805227876282</v>
      </c>
      <c r="N200" s="211">
        <v>80</v>
      </c>
      <c r="O200" s="211">
        <f>'Emission-Waste Transport Vehicl'!N49</f>
        <v>23.747688271296006</v>
      </c>
      <c r="P200" s="211">
        <f>'Emission-Waste Transport Vehicl'!O49</f>
        <v>34.547940675072006</v>
      </c>
      <c r="Q200" s="211">
        <f>'Emission-Waste Transport Vehicl'!P49</f>
        <v>13.212818093376002</v>
      </c>
      <c r="R200" s="211">
        <f>'Emission-Waste Transport Vehicl'!Q49</f>
        <v>10.261446066432002</v>
      </c>
      <c r="S200" s="211">
        <f>'Emission-Waste Transport Vehicl'!R49</f>
        <v>1.0213194752640002</v>
      </c>
      <c r="T200" s="211">
        <f>'Emission-Waste Transport Vehicl'!S49</f>
        <v>4.6964612090880008E-2</v>
      </c>
      <c r="U200" s="174">
        <f t="shared" si="61"/>
        <v>-89278.441823010246</v>
      </c>
      <c r="V200" s="1850">
        <f t="shared" si="62"/>
        <v>-551.72054272334776</v>
      </c>
      <c r="W200" s="1850">
        <f t="shared" si="63"/>
        <v>-535.09232453764582</v>
      </c>
      <c r="X200" s="1850">
        <f t="shared" si="64"/>
        <v>-4843.2747466084729</v>
      </c>
      <c r="Y200" s="1850">
        <f t="shared" si="65"/>
        <v>-52.977793770176618</v>
      </c>
      <c r="Z200" s="1850">
        <f t="shared" si="66"/>
        <v>-487.74030745701384</v>
      </c>
      <c r="AA200" s="1850">
        <f t="shared" si="67"/>
        <v>-318.11919599576396</v>
      </c>
      <c r="AB200" s="2733"/>
      <c r="AC200" s="3009"/>
    </row>
    <row r="201" spans="1:29" ht="18.75" x14ac:dyDescent="0.25">
      <c r="A201" s="2982"/>
      <c r="B201" s="2993"/>
      <c r="C201" s="1863">
        <v>2036</v>
      </c>
      <c r="D201" s="218">
        <f t="shared" si="75"/>
        <v>-1107420.6003846547</v>
      </c>
      <c r="E201" s="221">
        <f t="shared" si="82"/>
        <v>-867.35040030126811</v>
      </c>
      <c r="F201" s="221">
        <f t="shared" si="83"/>
        <v>-7692.5720026719609</v>
      </c>
      <c r="G201" s="218">
        <f t="shared" si="76"/>
        <v>-23.232600008069678</v>
      </c>
      <c r="H201" s="218">
        <f t="shared" si="77"/>
        <v>-15.488400005379786</v>
      </c>
      <c r="I201" s="218">
        <f t="shared" si="78"/>
        <v>-366.5588001273216</v>
      </c>
      <c r="J201" s="218">
        <f t="shared" si="79"/>
        <v>-5.1628000017932631</v>
      </c>
      <c r="K201" s="218">
        <f t="shared" si="80"/>
        <v>-477.55900016587674</v>
      </c>
      <c r="L201" s="218">
        <f t="shared" si="81"/>
        <v>-6773.5936023527611</v>
      </c>
      <c r="M201" s="192">
        <f t="shared" si="60"/>
        <v>-1115.9805227876282</v>
      </c>
      <c r="N201" s="211">
        <v>81</v>
      </c>
      <c r="O201" s="211">
        <f>'Emission-Waste Transport Vehicl'!N50</f>
        <v>23.284732239648001</v>
      </c>
      <c r="P201" s="211">
        <f>'Emission-Waste Transport Vehicl'!O50</f>
        <v>33.874436065536003</v>
      </c>
      <c r="Q201" s="211">
        <f>'Emission-Waste Transport Vehicl'!P50</f>
        <v>12.955237070688</v>
      </c>
      <c r="R201" s="211">
        <f>'Emission-Waste Transport Vehicl'!Q50</f>
        <v>10.061401401215999</v>
      </c>
      <c r="S201" s="211">
        <f>'Emission-Waste Transport Vehicl'!R50</f>
        <v>1.001409073632</v>
      </c>
      <c r="T201" s="211">
        <f>'Emission-Waste Transport Vehicl'!S50</f>
        <v>4.6049047165439998E-2</v>
      </c>
      <c r="U201" s="174">
        <f t="shared" si="61"/>
        <v>-90394.422345797881</v>
      </c>
      <c r="V201" s="1850">
        <f t="shared" si="62"/>
        <v>-540.96487041874639</v>
      </c>
      <c r="W201" s="1850">
        <f t="shared" si="63"/>
        <v>-524.66081573968506</v>
      </c>
      <c r="X201" s="1850">
        <f t="shared" si="64"/>
        <v>-4748.85615599639</v>
      </c>
      <c r="Y201" s="1850">
        <f t="shared" si="65"/>
        <v>-51.945003172240703</v>
      </c>
      <c r="Z201" s="1850">
        <f t="shared" si="66"/>
        <v>-478.2319159607348</v>
      </c>
      <c r="AA201" s="1850">
        <f t="shared" si="67"/>
        <v>-311.91753127426489</v>
      </c>
      <c r="AB201" s="2733"/>
      <c r="AC201" s="3009"/>
    </row>
    <row r="202" spans="1:29" ht="18.75" x14ac:dyDescent="0.25">
      <c r="A202" s="2982"/>
      <c r="B202" s="2993"/>
      <c r="C202" s="1863">
        <v>2037</v>
      </c>
      <c r="D202" s="218">
        <f t="shared" si="75"/>
        <v>-1107420.6003846547</v>
      </c>
      <c r="E202" s="221">
        <f t="shared" si="82"/>
        <v>-867.35040030126811</v>
      </c>
      <c r="F202" s="221">
        <f t="shared" si="83"/>
        <v>-7692.5720026719609</v>
      </c>
      <c r="G202" s="218">
        <f t="shared" si="76"/>
        <v>-23.232600008069678</v>
      </c>
      <c r="H202" s="218">
        <f t="shared" si="77"/>
        <v>-15.488400005379786</v>
      </c>
      <c r="I202" s="218">
        <f t="shared" si="78"/>
        <v>-366.5588001273216</v>
      </c>
      <c r="J202" s="218">
        <f t="shared" si="79"/>
        <v>-5.1628000017932631</v>
      </c>
      <c r="K202" s="218">
        <f t="shared" si="80"/>
        <v>-477.55900016587674</v>
      </c>
      <c r="L202" s="218">
        <f t="shared" si="81"/>
        <v>-6773.5936023527611</v>
      </c>
      <c r="M202" s="192">
        <f t="shared" si="60"/>
        <v>-1115.9805227876282</v>
      </c>
      <c r="N202" s="211">
        <v>83</v>
      </c>
      <c r="O202" s="211">
        <f>'Emission-Waste Transport Vehicl'!N51</f>
        <v>22.828296715488005</v>
      </c>
      <c r="P202" s="211">
        <f>'Emission-Waste Transport Vehicl'!O51</f>
        <v>33.210417436416002</v>
      </c>
      <c r="Q202" s="211">
        <f>'Emission-Waste Transport Vehicl'!P51</f>
        <v>12.701283949728003</v>
      </c>
      <c r="R202" s="211">
        <f>'Emission-Waste Transport Vehicl'!Q51</f>
        <v>9.8641742664960006</v>
      </c>
      <c r="S202" s="211">
        <f>'Emission-Waste Transport Vehicl'!R51</f>
        <v>0.9817791001920001</v>
      </c>
      <c r="T202" s="211">
        <f>'Emission-Waste Transport Vehicl'!S51</f>
        <v>4.5146377520640005E-2</v>
      </c>
      <c r="U202" s="174">
        <f t="shared" si="61"/>
        <v>-92626.383391373136</v>
      </c>
      <c r="V202" s="1850">
        <f t="shared" si="62"/>
        <v>-530.36068645646367</v>
      </c>
      <c r="W202" s="1850">
        <f t="shared" si="63"/>
        <v>-514.37622960085048</v>
      </c>
      <c r="X202" s="1850">
        <f t="shared" si="64"/>
        <v>-4655.767404688705</v>
      </c>
      <c r="Y202" s="1850">
        <f t="shared" si="65"/>
        <v>-50.926758920754615</v>
      </c>
      <c r="Z202" s="1850">
        <f t="shared" si="66"/>
        <v>-468.85744547144571</v>
      </c>
      <c r="AA202" s="1850">
        <f t="shared" si="67"/>
        <v>-305.80321394320964</v>
      </c>
      <c r="AB202" s="2733"/>
      <c r="AC202" s="3009"/>
    </row>
    <row r="203" spans="1:29" ht="18.75" x14ac:dyDescent="0.25">
      <c r="A203" s="2982"/>
      <c r="B203" s="2993"/>
      <c r="C203" s="1863">
        <v>2038</v>
      </c>
      <c r="D203" s="218">
        <f t="shared" si="75"/>
        <v>-1107420.6003846547</v>
      </c>
      <c r="E203" s="221">
        <f t="shared" si="82"/>
        <v>-867.35040030126811</v>
      </c>
      <c r="F203" s="221">
        <f t="shared" si="83"/>
        <v>-7692.5720026719609</v>
      </c>
      <c r="G203" s="218">
        <f t="shared" si="76"/>
        <v>-23.232600008069678</v>
      </c>
      <c r="H203" s="218">
        <f t="shared" si="77"/>
        <v>-15.488400005379786</v>
      </c>
      <c r="I203" s="218">
        <f t="shared" si="78"/>
        <v>-366.5588001273216</v>
      </c>
      <c r="J203" s="218">
        <f t="shared" si="79"/>
        <v>-5.1628000017932631</v>
      </c>
      <c r="K203" s="218">
        <f t="shared" si="80"/>
        <v>-477.55900016587674</v>
      </c>
      <c r="L203" s="218">
        <f t="shared" si="81"/>
        <v>-6773.5936023527611</v>
      </c>
      <c r="M203" s="192">
        <f t="shared" si="60"/>
        <v>-1115.9805227876282</v>
      </c>
      <c r="N203" s="211">
        <v>84</v>
      </c>
      <c r="O203" s="211">
        <f>'Emission-Waste Transport Vehicl'!N52</f>
        <v>22.378381698816003</v>
      </c>
      <c r="P203" s="211">
        <f>'Emission-Waste Transport Vehicl'!O52</f>
        <v>32.555884787712003</v>
      </c>
      <c r="Q203" s="211">
        <f>'Emission-Waste Transport Vehicl'!P52</f>
        <v>12.450958730496001</v>
      </c>
      <c r="R203" s="211">
        <f>'Emission-Waste Transport Vehicl'!Q52</f>
        <v>9.6697646622720015</v>
      </c>
      <c r="S203" s="211">
        <f>'Emission-Waste Transport Vehicl'!R52</f>
        <v>0.96242955494400007</v>
      </c>
      <c r="T203" s="211">
        <f>'Emission-Waste Transport Vehicl'!S52</f>
        <v>4.4256603156480001E-2</v>
      </c>
      <c r="U203" s="174">
        <f t="shared" si="61"/>
        <v>-93742.363914160771</v>
      </c>
      <c r="V203" s="1850">
        <f t="shared" si="62"/>
        <v>-519.90799083649904</v>
      </c>
      <c r="W203" s="1850">
        <f t="shared" si="63"/>
        <v>-504.2385661211423</v>
      </c>
      <c r="X203" s="1850">
        <f t="shared" si="64"/>
        <v>-4564.0084926854133</v>
      </c>
      <c r="Y203" s="1850">
        <f t="shared" si="65"/>
        <v>-49.923061015718325</v>
      </c>
      <c r="Z203" s="1850">
        <f t="shared" si="66"/>
        <v>-459.61689598914643</v>
      </c>
      <c r="AA203" s="1850">
        <f t="shared" si="67"/>
        <v>-299.77624400259793</v>
      </c>
      <c r="AB203" s="2733"/>
      <c r="AC203" s="3009"/>
    </row>
    <row r="204" spans="1:29" ht="18.75" x14ac:dyDescent="0.25">
      <c r="A204" s="2982"/>
      <c r="B204" s="2993"/>
      <c r="C204" s="1863">
        <v>2039</v>
      </c>
      <c r="D204" s="218">
        <f t="shared" si="75"/>
        <v>-1107420.6003846547</v>
      </c>
      <c r="E204" s="221">
        <f t="shared" si="82"/>
        <v>-867.35040030126811</v>
      </c>
      <c r="F204" s="221">
        <f t="shared" si="83"/>
        <v>-7692.5720026719609</v>
      </c>
      <c r="G204" s="218">
        <f t="shared" si="76"/>
        <v>-23.232600008069678</v>
      </c>
      <c r="H204" s="218">
        <f t="shared" si="77"/>
        <v>-15.488400005379786</v>
      </c>
      <c r="I204" s="218">
        <f t="shared" si="78"/>
        <v>-366.5588001273216</v>
      </c>
      <c r="J204" s="218">
        <f t="shared" si="79"/>
        <v>-5.1628000017932631</v>
      </c>
      <c r="K204" s="218">
        <f t="shared" si="80"/>
        <v>-477.55900016587674</v>
      </c>
      <c r="L204" s="218">
        <f t="shared" si="81"/>
        <v>-6773.5936023527611</v>
      </c>
      <c r="M204" s="192">
        <f t="shared" si="60"/>
        <v>-1115.9805227876282</v>
      </c>
      <c r="N204" s="211">
        <v>85</v>
      </c>
      <c r="O204" s="211">
        <f>'Emission-Waste Transport Vehicl'!N53</f>
        <v>21.941507697120006</v>
      </c>
      <c r="P204" s="211">
        <f>'Emission-Waste Transport Vehicl'!O53</f>
        <v>31.920324099840006</v>
      </c>
      <c r="Q204" s="211">
        <f>'Emission-Waste Transport Vehicl'!P53</f>
        <v>12.207889314720003</v>
      </c>
      <c r="R204" s="211">
        <f>'Emission-Waste Transport Vehicl'!Q53</f>
        <v>9.4809901190400012</v>
      </c>
      <c r="S204" s="211">
        <f>'Emission-Waste Transport Vehicl'!R53</f>
        <v>0.9436408660800002</v>
      </c>
      <c r="T204" s="211">
        <f>'Emission-Waste Transport Vehicl'!S53</f>
        <v>4.3392619353600011E-2</v>
      </c>
      <c r="U204" s="174">
        <f t="shared" si="61"/>
        <v>-94858.344436948391</v>
      </c>
      <c r="V204" s="1850">
        <f t="shared" si="62"/>
        <v>-509.75827190117116</v>
      </c>
      <c r="W204" s="1850">
        <f t="shared" si="63"/>
        <v>-494.39474795968647</v>
      </c>
      <c r="X204" s="1850">
        <f t="shared" si="64"/>
        <v>-4474.9092592909146</v>
      </c>
      <c r="Y204" s="1850">
        <f t="shared" si="65"/>
        <v>-48.948455803581631</v>
      </c>
      <c r="Z204" s="1850">
        <f t="shared" si="66"/>
        <v>-450.6441885208269</v>
      </c>
      <c r="AA204" s="1850">
        <f t="shared" si="67"/>
        <v>-293.92396884287365</v>
      </c>
      <c r="AB204" s="2733"/>
      <c r="AC204" s="3009"/>
    </row>
    <row r="205" spans="1:29" ht="18.75" x14ac:dyDescent="0.25">
      <c r="A205" s="2982"/>
      <c r="B205" s="2993"/>
      <c r="C205" s="1863">
        <v>2040</v>
      </c>
      <c r="D205" s="218">
        <f t="shared" si="75"/>
        <v>-1107420.6003846547</v>
      </c>
      <c r="E205" s="221">
        <f t="shared" si="82"/>
        <v>-867.35040030126811</v>
      </c>
      <c r="F205" s="221">
        <f t="shared" si="83"/>
        <v>-7692.5720026719609</v>
      </c>
      <c r="G205" s="218">
        <f t="shared" si="76"/>
        <v>-23.232600008069678</v>
      </c>
      <c r="H205" s="218">
        <f t="shared" si="77"/>
        <v>-15.488400005379786</v>
      </c>
      <c r="I205" s="218">
        <f t="shared" si="78"/>
        <v>-366.5588001273216</v>
      </c>
      <c r="J205" s="218">
        <f t="shared" si="79"/>
        <v>-5.1628000017932631</v>
      </c>
      <c r="K205" s="218">
        <f t="shared" si="80"/>
        <v>-477.55900016587674</v>
      </c>
      <c r="L205" s="218">
        <f t="shared" si="81"/>
        <v>-6773.5936023527611</v>
      </c>
      <c r="M205" s="192">
        <f t="shared" si="60"/>
        <v>-1115.9805227876282</v>
      </c>
      <c r="N205" s="211">
        <v>86</v>
      </c>
      <c r="O205" s="211">
        <f>'Emission-Waste Transport Vehicl'!N54</f>
        <v>21.511154202912003</v>
      </c>
      <c r="P205" s="211">
        <f>'Emission-Waste Transport Vehicl'!O54</f>
        <v>31.294249392384003</v>
      </c>
      <c r="Q205" s="211">
        <f>'Emission-Waste Transport Vehicl'!P54</f>
        <v>11.968447800672001</v>
      </c>
      <c r="R205" s="211">
        <f>'Emission-Waste Transport Vehicl'!Q54</f>
        <v>9.2950331063040004</v>
      </c>
      <c r="S205" s="211">
        <f>'Emission-Waste Transport Vehicl'!R54</f>
        <v>0.92513260540800013</v>
      </c>
      <c r="T205" s="211">
        <f>'Emission-Waste Transport Vehicl'!S54</f>
        <v>4.254153083136001E-2</v>
      </c>
      <c r="U205" s="174">
        <f t="shared" si="61"/>
        <v>-95974.324959736026</v>
      </c>
      <c r="V205" s="1850">
        <f t="shared" si="62"/>
        <v>-499.76004130816148</v>
      </c>
      <c r="W205" s="1850">
        <f t="shared" si="63"/>
        <v>-484.69785245735676</v>
      </c>
      <c r="X205" s="1850">
        <f t="shared" si="64"/>
        <v>-4387.1398652008102</v>
      </c>
      <c r="Y205" s="1850">
        <f t="shared" si="65"/>
        <v>-47.988396937894734</v>
      </c>
      <c r="Z205" s="1850">
        <f t="shared" si="66"/>
        <v>-441.80540205949711</v>
      </c>
      <c r="AA205" s="1850">
        <f t="shared" si="67"/>
        <v>-288.1590410735929</v>
      </c>
      <c r="AB205" s="2733"/>
      <c r="AC205" s="3009"/>
    </row>
    <row r="206" spans="1:29" ht="18.75" x14ac:dyDescent="0.25">
      <c r="A206" s="2982"/>
      <c r="B206" s="2993"/>
      <c r="C206" s="1863">
        <v>2041</v>
      </c>
      <c r="D206" s="218">
        <f t="shared" si="75"/>
        <v>-1107420.6003846547</v>
      </c>
      <c r="E206" s="221">
        <f t="shared" si="82"/>
        <v>-867.35040030126811</v>
      </c>
      <c r="F206" s="221">
        <f t="shared" si="83"/>
        <v>-7692.5720026719609</v>
      </c>
      <c r="G206" s="218">
        <f t="shared" si="76"/>
        <v>-23.232600008069678</v>
      </c>
      <c r="H206" s="218">
        <f t="shared" si="77"/>
        <v>-15.488400005379786</v>
      </c>
      <c r="I206" s="218">
        <f t="shared" si="78"/>
        <v>-366.5588001273216</v>
      </c>
      <c r="J206" s="218">
        <f t="shared" si="79"/>
        <v>-5.1628000017932631</v>
      </c>
      <c r="K206" s="218">
        <f t="shared" si="80"/>
        <v>-477.55900016587674</v>
      </c>
      <c r="L206" s="218">
        <f t="shared" si="81"/>
        <v>-6773.5936023527611</v>
      </c>
      <c r="M206" s="192">
        <f t="shared" si="60"/>
        <v>-1115.9805227876282</v>
      </c>
      <c r="N206" s="211">
        <v>87</v>
      </c>
      <c r="O206" s="211">
        <f>'Emission-Waste Transport Vehicl'!N55</f>
        <v>21.087321216192002</v>
      </c>
      <c r="P206" s="211">
        <f>'Emission-Waste Transport Vehicl'!O55</f>
        <v>30.677660665344007</v>
      </c>
      <c r="Q206" s="211">
        <f>'Emission-Waste Transport Vehicl'!P55</f>
        <v>11.732634188352002</v>
      </c>
      <c r="R206" s="211">
        <f>'Emission-Waste Transport Vehicl'!Q55</f>
        <v>9.1118936240640007</v>
      </c>
      <c r="S206" s="211">
        <f>'Emission-Waste Transport Vehicl'!R55</f>
        <v>0.9069047729280002</v>
      </c>
      <c r="T206" s="211">
        <f>'Emission-Waste Transport Vehicl'!S55</f>
        <v>4.1703337589760005E-2</v>
      </c>
      <c r="U206" s="174">
        <f t="shared" si="61"/>
        <v>-97090.305482523647</v>
      </c>
      <c r="V206" s="1850">
        <f t="shared" si="62"/>
        <v>-489.91329905747023</v>
      </c>
      <c r="W206" s="1850">
        <f t="shared" si="63"/>
        <v>-475.14787961415334</v>
      </c>
      <c r="X206" s="1850">
        <f t="shared" si="64"/>
        <v>-4300.7003104151017</v>
      </c>
      <c r="Y206" s="1850">
        <f t="shared" si="65"/>
        <v>-47.042884418657643</v>
      </c>
      <c r="Z206" s="1850">
        <f t="shared" si="66"/>
        <v>-433.10053660515723</v>
      </c>
      <c r="AA206" s="1850">
        <f t="shared" si="67"/>
        <v>-282.48146069475581</v>
      </c>
      <c r="AB206" s="2733"/>
      <c r="AC206" s="3009"/>
    </row>
    <row r="207" spans="1:29" ht="18.75" x14ac:dyDescent="0.25">
      <c r="A207" s="2982"/>
      <c r="B207" s="2993"/>
      <c r="C207" s="1863">
        <v>2042</v>
      </c>
      <c r="D207" s="218">
        <f t="shared" si="75"/>
        <v>-1107420.6003846547</v>
      </c>
      <c r="E207" s="221">
        <f t="shared" si="82"/>
        <v>-867.35040030126811</v>
      </c>
      <c r="F207" s="221">
        <f t="shared" si="83"/>
        <v>-7692.5720026719609</v>
      </c>
      <c r="G207" s="218">
        <f t="shared" si="76"/>
        <v>-23.232600008069678</v>
      </c>
      <c r="H207" s="218">
        <f t="shared" si="77"/>
        <v>-15.488400005379786</v>
      </c>
      <c r="I207" s="218">
        <f t="shared" si="78"/>
        <v>-366.5588001273216</v>
      </c>
      <c r="J207" s="218">
        <f t="shared" si="79"/>
        <v>-5.1628000017932631</v>
      </c>
      <c r="K207" s="218">
        <f t="shared" si="80"/>
        <v>-477.55900016587674</v>
      </c>
      <c r="L207" s="218">
        <f t="shared" si="81"/>
        <v>-6773.5936023527611</v>
      </c>
      <c r="M207" s="192">
        <f t="shared" si="60"/>
        <v>-1115.9805227876282</v>
      </c>
      <c r="N207" s="211">
        <v>88</v>
      </c>
      <c r="O207" s="211">
        <f>'Emission-Waste Transport Vehicl'!N56</f>
        <v>20.676529244448002</v>
      </c>
      <c r="P207" s="211">
        <f>'Emission-Waste Transport Vehicl'!O56</f>
        <v>30.080043899136001</v>
      </c>
      <c r="Q207" s="211">
        <f>'Emission-Waste Transport Vehicl'!P56</f>
        <v>11.504076379488001</v>
      </c>
      <c r="R207" s="211">
        <f>'Emission-Waste Transport Vehicl'!Q56</f>
        <v>8.9343892028159999</v>
      </c>
      <c r="S207" s="211">
        <f>'Emission-Waste Transport Vehicl'!R56</f>
        <v>0.8892377968320001</v>
      </c>
      <c r="T207" s="211">
        <f>'Emission-Waste Transport Vehicl'!S56</f>
        <v>4.0890934909439999E-2</v>
      </c>
      <c r="U207" s="174">
        <f t="shared" si="61"/>
        <v>-98206.286005311282</v>
      </c>
      <c r="V207" s="1850">
        <f t="shared" si="62"/>
        <v>-480.36953349141555</v>
      </c>
      <c r="W207" s="1850">
        <f t="shared" si="63"/>
        <v>-465.89175208920221</v>
      </c>
      <c r="X207" s="1850">
        <f t="shared" si="64"/>
        <v>-4216.9204342381836</v>
      </c>
      <c r="Y207" s="1850">
        <f t="shared" si="65"/>
        <v>-46.126464592320154</v>
      </c>
      <c r="Z207" s="1850">
        <f t="shared" si="66"/>
        <v>-424.663513164797</v>
      </c>
      <c r="AA207" s="1850">
        <f t="shared" si="67"/>
        <v>-276.97857509680597</v>
      </c>
      <c r="AB207" s="2733"/>
      <c r="AC207" s="3009"/>
    </row>
    <row r="208" spans="1:29" ht="18.75" x14ac:dyDescent="0.25">
      <c r="A208" s="2982"/>
      <c r="B208" s="2993"/>
      <c r="C208" s="1863">
        <v>2043</v>
      </c>
      <c r="D208" s="218">
        <f t="shared" si="75"/>
        <v>-1107420.6003846547</v>
      </c>
      <c r="E208" s="221">
        <f t="shared" si="82"/>
        <v>-867.35040030126811</v>
      </c>
      <c r="F208" s="221">
        <f t="shared" si="83"/>
        <v>-7692.5720026719609</v>
      </c>
      <c r="G208" s="218">
        <f t="shared" si="76"/>
        <v>-23.232600008069678</v>
      </c>
      <c r="H208" s="218">
        <f t="shared" si="77"/>
        <v>-15.488400005379786</v>
      </c>
      <c r="I208" s="218">
        <f t="shared" si="78"/>
        <v>-366.5588001273216</v>
      </c>
      <c r="J208" s="218">
        <f t="shared" si="79"/>
        <v>-5.1628000017932631</v>
      </c>
      <c r="K208" s="218">
        <f t="shared" si="80"/>
        <v>-477.55900016587674</v>
      </c>
      <c r="L208" s="218">
        <f t="shared" si="81"/>
        <v>-6773.5936023527611</v>
      </c>
      <c r="M208" s="192">
        <f t="shared" si="60"/>
        <v>-1115.9805227876282</v>
      </c>
      <c r="N208" s="211">
        <v>89</v>
      </c>
      <c r="O208" s="211">
        <f>'Emission-Waste Transport Vehicl'!N57</f>
        <v>20.268997526448004</v>
      </c>
      <c r="P208" s="211">
        <f>'Emission-Waste Transport Vehicl'!O57</f>
        <v>29.487170123136003</v>
      </c>
      <c r="Q208" s="211">
        <f>'Emission-Waste Transport Vehicl'!P57</f>
        <v>11.277332521488001</v>
      </c>
      <c r="R208" s="211">
        <f>'Emission-Waste Transport Vehicl'!Q57</f>
        <v>8.7582935468160006</v>
      </c>
      <c r="S208" s="211">
        <f>'Emission-Waste Transport Vehicl'!R57</f>
        <v>0.87171103483200019</v>
      </c>
      <c r="T208" s="211">
        <f>'Emission-Waste Transport Vehicl'!S57</f>
        <v>4.0084979869440006E-2</v>
      </c>
      <c r="U208" s="174">
        <f t="shared" si="61"/>
        <v>-99322.266528098902</v>
      </c>
      <c r="V208" s="1850">
        <f t="shared" si="62"/>
        <v>-470.90151209652021</v>
      </c>
      <c r="W208" s="1850">
        <f t="shared" si="63"/>
        <v>-456.70908589381435</v>
      </c>
      <c r="X208" s="1850">
        <f t="shared" si="64"/>
        <v>-4133.8054777134639</v>
      </c>
      <c r="Y208" s="1850">
        <f t="shared" si="65"/>
        <v>-45.217317939207575</v>
      </c>
      <c r="Z208" s="1850">
        <f t="shared" si="66"/>
        <v>-416.29345022793177</v>
      </c>
      <c r="AA208" s="1850">
        <f t="shared" si="67"/>
        <v>-271.51936319407804</v>
      </c>
      <c r="AB208" s="2733"/>
      <c r="AC208" s="3009"/>
    </row>
    <row r="209" spans="1:29" ht="18.75" x14ac:dyDescent="0.25">
      <c r="A209" s="2982"/>
      <c r="B209" s="2993"/>
      <c r="C209" s="1863">
        <v>2044</v>
      </c>
      <c r="D209" s="218">
        <f t="shared" si="75"/>
        <v>-1107420.6003846547</v>
      </c>
      <c r="E209" s="221">
        <f t="shared" si="82"/>
        <v>-867.35040030126811</v>
      </c>
      <c r="F209" s="221">
        <f t="shared" si="83"/>
        <v>-7692.5720026719609</v>
      </c>
      <c r="G209" s="218">
        <f t="shared" si="76"/>
        <v>-23.232600008069678</v>
      </c>
      <c r="H209" s="218">
        <f t="shared" si="77"/>
        <v>-15.488400005379786</v>
      </c>
      <c r="I209" s="218">
        <f t="shared" si="78"/>
        <v>-366.5588001273216</v>
      </c>
      <c r="J209" s="218">
        <f t="shared" si="79"/>
        <v>-5.1628000017932631</v>
      </c>
      <c r="K209" s="218">
        <f t="shared" si="80"/>
        <v>-477.55900016587674</v>
      </c>
      <c r="L209" s="218">
        <f t="shared" si="81"/>
        <v>-6773.5936023527611</v>
      </c>
      <c r="M209" s="192">
        <f t="shared" si="60"/>
        <v>-1115.9805227876282</v>
      </c>
      <c r="N209" s="211">
        <v>90</v>
      </c>
      <c r="O209" s="211">
        <f>'Emission-Waste Transport Vehicl'!N58</f>
        <v>19.871246569680004</v>
      </c>
      <c r="P209" s="211">
        <f>'Emission-Waste Transport Vehicl'!O58</f>
        <v>28.908525317760002</v>
      </c>
      <c r="Q209" s="211">
        <f>'Emission-Waste Transport Vehicl'!P58</f>
        <v>11.056030516080002</v>
      </c>
      <c r="R209" s="211">
        <f>'Emission-Waste Transport Vehicl'!Q58</f>
        <v>8.5864241865600004</v>
      </c>
      <c r="S209" s="211">
        <f>'Emission-Waste Transport Vehicl'!R58</f>
        <v>0.85460491512000014</v>
      </c>
      <c r="T209" s="211">
        <f>'Emission-Waste Transport Vehicl'!S58</f>
        <v>3.9298367750400007E-2</v>
      </c>
      <c r="U209" s="174">
        <f t="shared" si="61"/>
        <v>-100438.24705088654</v>
      </c>
      <c r="V209" s="1850">
        <f t="shared" si="62"/>
        <v>-461.66072321510222</v>
      </c>
      <c r="W209" s="1850">
        <f t="shared" si="63"/>
        <v>-447.74680368711569</v>
      </c>
      <c r="X209" s="1850">
        <f t="shared" si="64"/>
        <v>-4052.6852801453379</v>
      </c>
      <c r="Y209" s="1850">
        <f t="shared" si="65"/>
        <v>-44.32999080576969</v>
      </c>
      <c r="Z209" s="1850">
        <f t="shared" si="66"/>
        <v>-408.12426880155124</v>
      </c>
      <c r="AA209" s="1850">
        <f t="shared" si="67"/>
        <v>-266.19117237701556</v>
      </c>
      <c r="AB209" s="2733"/>
      <c r="AC209" s="3009"/>
    </row>
    <row r="210" spans="1:29" ht="18.75" x14ac:dyDescent="0.25">
      <c r="A210" s="2982"/>
      <c r="B210" s="2993"/>
      <c r="C210" s="1863">
        <v>2045</v>
      </c>
      <c r="D210" s="218">
        <f t="shared" si="75"/>
        <v>-1107420.6003846547</v>
      </c>
      <c r="E210" s="221">
        <f t="shared" si="82"/>
        <v>-867.35040030126811</v>
      </c>
      <c r="F210" s="221">
        <f t="shared" si="83"/>
        <v>-7692.5720026719609</v>
      </c>
      <c r="G210" s="218">
        <f t="shared" si="76"/>
        <v>-23.232600008069678</v>
      </c>
      <c r="H210" s="218">
        <f t="shared" si="77"/>
        <v>-15.488400005379786</v>
      </c>
      <c r="I210" s="218">
        <f t="shared" si="78"/>
        <v>-366.5588001273216</v>
      </c>
      <c r="J210" s="218">
        <f t="shared" si="79"/>
        <v>-5.1628000017932631</v>
      </c>
      <c r="K210" s="218">
        <f t="shared" si="80"/>
        <v>-477.55900016587674</v>
      </c>
      <c r="L210" s="218">
        <f t="shared" si="81"/>
        <v>-6773.5936023527611</v>
      </c>
      <c r="M210" s="192">
        <f t="shared" si="60"/>
        <v>-1115.9805227876282</v>
      </c>
      <c r="N210" s="211">
        <v>92</v>
      </c>
      <c r="O210" s="211">
        <f>'Emission-Waste Transport Vehicl'!N59</f>
        <v>19.483276374144001</v>
      </c>
      <c r="P210" s="211">
        <f>'Emission-Waste Transport Vehicl'!O59</f>
        <v>28.344109483008001</v>
      </c>
      <c r="Q210" s="211">
        <f>'Emission-Waste Transport Vehicl'!P59</f>
        <v>10.840170363264003</v>
      </c>
      <c r="R210" s="211">
        <f>'Emission-Waste Transport Vehicl'!Q59</f>
        <v>8.4187811220480011</v>
      </c>
      <c r="S210" s="211">
        <f>'Emission-Waste Transport Vehicl'!R59</f>
        <v>0.83791943769600008</v>
      </c>
      <c r="T210" s="211">
        <f>'Emission-Waste Transport Vehicl'!S59</f>
        <v>3.8531098552320009E-2</v>
      </c>
      <c r="U210" s="174">
        <f t="shared" si="61"/>
        <v>-102670.20809646179</v>
      </c>
      <c r="V210" s="1850">
        <f t="shared" si="62"/>
        <v>-452.64716684716171</v>
      </c>
      <c r="W210" s="1850">
        <f t="shared" si="63"/>
        <v>-439.00490546910635</v>
      </c>
      <c r="X210" s="1850">
        <f t="shared" si="64"/>
        <v>-3973.5598415338045</v>
      </c>
      <c r="Y210" s="1850">
        <f t="shared" si="65"/>
        <v>-43.464483192006512</v>
      </c>
      <c r="Z210" s="1850">
        <f t="shared" si="66"/>
        <v>-400.15596888565545</v>
      </c>
      <c r="AA210" s="1850">
        <f t="shared" si="67"/>
        <v>-260.99400264561854</v>
      </c>
      <c r="AB210" s="2733"/>
      <c r="AC210" s="3009"/>
    </row>
    <row r="211" spans="1:29" ht="18.75" x14ac:dyDescent="0.25">
      <c r="A211" s="2982"/>
      <c r="B211" s="2993"/>
      <c r="C211" s="1863">
        <v>2046</v>
      </c>
      <c r="D211" s="218">
        <f t="shared" si="75"/>
        <v>-1107420.6003846547</v>
      </c>
      <c r="E211" s="221">
        <f t="shared" si="82"/>
        <v>-867.35040030126811</v>
      </c>
      <c r="F211" s="221">
        <f t="shared" si="83"/>
        <v>-7692.5720026719609</v>
      </c>
      <c r="G211" s="218">
        <f t="shared" si="76"/>
        <v>-23.232600008069678</v>
      </c>
      <c r="H211" s="218">
        <f t="shared" si="77"/>
        <v>-15.488400005379786</v>
      </c>
      <c r="I211" s="218">
        <f t="shared" si="78"/>
        <v>-366.5588001273216</v>
      </c>
      <c r="J211" s="218">
        <f t="shared" si="79"/>
        <v>-5.1628000017932631</v>
      </c>
      <c r="K211" s="218">
        <f t="shared" si="80"/>
        <v>-477.55900016587674</v>
      </c>
      <c r="L211" s="218">
        <f t="shared" si="81"/>
        <v>-6773.5936023527611</v>
      </c>
      <c r="M211" s="192">
        <f t="shared" si="60"/>
        <v>-1115.9805227876282</v>
      </c>
      <c r="N211" s="211">
        <v>93</v>
      </c>
      <c r="O211" s="211">
        <f>'Emission-Waste Transport Vehicl'!N60</f>
        <v>19.101826686096</v>
      </c>
      <c r="P211" s="211">
        <f>'Emission-Waste Transport Vehicl'!O60</f>
        <v>27.789179628671999</v>
      </c>
      <c r="Q211" s="211">
        <f>'Emission-Waste Transport Vehicl'!P60</f>
        <v>10.627938112176002</v>
      </c>
      <c r="R211" s="211">
        <f>'Emission-Waste Transport Vehicl'!Q60</f>
        <v>8.2539555880319995</v>
      </c>
      <c r="S211" s="211">
        <f>'Emission-Waste Transport Vehicl'!R60</f>
        <v>0.82151438846400004</v>
      </c>
      <c r="T211" s="211">
        <f>'Emission-Waste Transport Vehicl'!S60</f>
        <v>3.777672463488E-2</v>
      </c>
      <c r="U211" s="174">
        <f t="shared" si="61"/>
        <v>-103786.18861924941</v>
      </c>
      <c r="V211" s="1850">
        <f t="shared" si="62"/>
        <v>-443.78509882153952</v>
      </c>
      <c r="W211" s="1850">
        <f t="shared" si="63"/>
        <v>-430.40992991022324</v>
      </c>
      <c r="X211" s="1850">
        <f t="shared" si="64"/>
        <v>-3895.7642422266667</v>
      </c>
      <c r="Y211" s="1850">
        <f t="shared" si="65"/>
        <v>-42.613521924693124</v>
      </c>
      <c r="Z211" s="1850">
        <f t="shared" si="66"/>
        <v>-392.32158997674952</v>
      </c>
      <c r="AA211" s="1850">
        <f t="shared" si="67"/>
        <v>-255.88418030466511</v>
      </c>
      <c r="AB211" s="2733"/>
      <c r="AC211" s="3009"/>
    </row>
    <row r="212" spans="1:29" ht="18.75" x14ac:dyDescent="0.25">
      <c r="A212" s="2982"/>
      <c r="B212" s="2993"/>
      <c r="C212" s="1863">
        <v>2047</v>
      </c>
      <c r="D212" s="218">
        <f t="shared" si="75"/>
        <v>-1107420.6003846547</v>
      </c>
      <c r="E212" s="221">
        <f t="shared" si="82"/>
        <v>-867.35040030126811</v>
      </c>
      <c r="F212" s="221">
        <f t="shared" si="83"/>
        <v>-7692.5720026719609</v>
      </c>
      <c r="G212" s="218">
        <f t="shared" si="76"/>
        <v>-23.232600008069678</v>
      </c>
      <c r="H212" s="218">
        <f t="shared" si="77"/>
        <v>-15.488400005379786</v>
      </c>
      <c r="I212" s="218">
        <f t="shared" si="78"/>
        <v>-366.5588001273216</v>
      </c>
      <c r="J212" s="218">
        <f t="shared" si="79"/>
        <v>-5.1628000017932631</v>
      </c>
      <c r="K212" s="218">
        <f t="shared" si="80"/>
        <v>-477.55900016587674</v>
      </c>
      <c r="L212" s="218">
        <f t="shared" si="81"/>
        <v>-6773.5936023527611</v>
      </c>
      <c r="M212" s="192">
        <f t="shared" si="60"/>
        <v>-1115.9805227876282</v>
      </c>
      <c r="N212" s="211">
        <v>94</v>
      </c>
      <c r="O212" s="211">
        <f>'Emission-Waste Transport Vehicl'!N61</f>
        <v>18.726897505536005</v>
      </c>
      <c r="P212" s="211">
        <f>'Emission-Waste Transport Vehicl'!O61</f>
        <v>27.243735754752002</v>
      </c>
      <c r="Q212" s="211">
        <f>'Emission-Waste Transport Vehicl'!P61</f>
        <v>10.419333762816001</v>
      </c>
      <c r="R212" s="211">
        <f>'Emission-Waste Transport Vehicl'!Q61</f>
        <v>8.0919475845120008</v>
      </c>
      <c r="S212" s="211">
        <f>'Emission-Waste Transport Vehicl'!R61</f>
        <v>0.80538976742400015</v>
      </c>
      <c r="T212" s="211">
        <f>'Emission-Waste Transport Vehicl'!S61</f>
        <v>3.7035245998080002E-2</v>
      </c>
      <c r="U212" s="174">
        <f t="shared" si="61"/>
        <v>-104902.16914203705</v>
      </c>
      <c r="V212" s="1850">
        <f t="shared" si="62"/>
        <v>-435.07451913823581</v>
      </c>
      <c r="W212" s="1850">
        <f t="shared" si="63"/>
        <v>-421.96187701046637</v>
      </c>
      <c r="X212" s="1850">
        <f t="shared" si="64"/>
        <v>-3819.2984822239241</v>
      </c>
      <c r="Y212" s="1850">
        <f t="shared" si="65"/>
        <v>-41.777107003829549</v>
      </c>
      <c r="Z212" s="1850">
        <f t="shared" si="66"/>
        <v>-384.6211320748335</v>
      </c>
      <c r="AA212" s="1850">
        <f t="shared" si="67"/>
        <v>-250.86170535415539</v>
      </c>
      <c r="AB212" s="2733"/>
      <c r="AC212" s="3009"/>
    </row>
    <row r="213" spans="1:29" ht="18.75" x14ac:dyDescent="0.25">
      <c r="A213" s="2982"/>
      <c r="B213" s="2993"/>
      <c r="C213" s="1863">
        <v>2048</v>
      </c>
      <c r="D213" s="218">
        <f t="shared" si="75"/>
        <v>-1107420.6003846547</v>
      </c>
      <c r="E213" s="221">
        <f t="shared" si="82"/>
        <v>-867.35040030126811</v>
      </c>
      <c r="F213" s="221">
        <f t="shared" si="83"/>
        <v>-7692.5720026719609</v>
      </c>
      <c r="G213" s="218">
        <f t="shared" si="76"/>
        <v>-23.232600008069678</v>
      </c>
      <c r="H213" s="218">
        <f t="shared" si="77"/>
        <v>-15.488400005379786</v>
      </c>
      <c r="I213" s="218">
        <f t="shared" si="78"/>
        <v>-366.5588001273216</v>
      </c>
      <c r="J213" s="218">
        <f t="shared" si="79"/>
        <v>-5.1628000017932631</v>
      </c>
      <c r="K213" s="218">
        <f t="shared" si="80"/>
        <v>-477.55900016587674</v>
      </c>
      <c r="L213" s="218">
        <f t="shared" si="81"/>
        <v>-6773.5936023527611</v>
      </c>
      <c r="M213" s="192">
        <f t="shared" si="60"/>
        <v>-1115.9805227876282</v>
      </c>
      <c r="N213" s="211">
        <v>95</v>
      </c>
      <c r="O213" s="211">
        <f>'Emission-Waste Transport Vehicl'!N62</f>
        <v>18.358488832464005</v>
      </c>
      <c r="P213" s="211">
        <f>'Emission-Waste Transport Vehicl'!O62</f>
        <v>26.707777861248005</v>
      </c>
      <c r="Q213" s="211">
        <f>'Emission-Waste Transport Vehicl'!P62</f>
        <v>10.214357315184001</v>
      </c>
      <c r="R213" s="211">
        <f>'Emission-Waste Transport Vehicl'!Q62</f>
        <v>7.9327571114880007</v>
      </c>
      <c r="S213" s="211">
        <f>'Emission-Waste Transport Vehicl'!R62</f>
        <v>0.78954557457600016</v>
      </c>
      <c r="T213" s="211">
        <f>'Emission-Waste Transport Vehicl'!S62</f>
        <v>3.6306662641920007E-2</v>
      </c>
      <c r="U213" s="174">
        <f t="shared" si="61"/>
        <v>-106018.14966482467</v>
      </c>
      <c r="V213" s="1850">
        <f t="shared" si="62"/>
        <v>-426.51542779725031</v>
      </c>
      <c r="W213" s="1850">
        <f t="shared" si="63"/>
        <v>-413.66074676983573</v>
      </c>
      <c r="X213" s="1850">
        <f t="shared" si="64"/>
        <v>-3744.1625615255775</v>
      </c>
      <c r="Y213" s="1850">
        <f t="shared" si="65"/>
        <v>-40.955238429415772</v>
      </c>
      <c r="Z213" s="1850">
        <f t="shared" si="66"/>
        <v>-377.05459517990732</v>
      </c>
      <c r="AA213" s="1850">
        <f t="shared" si="67"/>
        <v>-245.92657779408935</v>
      </c>
      <c r="AB213" s="2733"/>
      <c r="AC213" s="3009"/>
    </row>
    <row r="214" spans="1:29" ht="18.75" x14ac:dyDescent="0.25">
      <c r="A214" s="2982"/>
      <c r="B214" s="2993"/>
      <c r="C214" s="1863">
        <v>2049</v>
      </c>
      <c r="D214" s="218">
        <f t="shared" si="75"/>
        <v>-1107420.6003846547</v>
      </c>
      <c r="E214" s="221">
        <f t="shared" si="82"/>
        <v>-867.35040030126811</v>
      </c>
      <c r="F214" s="221">
        <f t="shared" si="83"/>
        <v>-7692.5720026719609</v>
      </c>
      <c r="G214" s="218">
        <f t="shared" si="76"/>
        <v>-23.232600008069678</v>
      </c>
      <c r="H214" s="218">
        <f t="shared" si="77"/>
        <v>-15.488400005379786</v>
      </c>
      <c r="I214" s="218">
        <f t="shared" si="78"/>
        <v>-366.5588001273216</v>
      </c>
      <c r="J214" s="218">
        <f t="shared" si="79"/>
        <v>-5.1628000017932631</v>
      </c>
      <c r="K214" s="218">
        <f t="shared" si="80"/>
        <v>-477.55900016587674</v>
      </c>
      <c r="L214" s="218">
        <f t="shared" si="81"/>
        <v>-6773.5936023527611</v>
      </c>
      <c r="M214" s="192">
        <f t="shared" si="60"/>
        <v>-1115.9805227876282</v>
      </c>
      <c r="N214" s="211">
        <v>96</v>
      </c>
      <c r="O214" s="211">
        <f>'Emission-Waste Transport Vehicl'!N63</f>
        <v>17.999860920624005</v>
      </c>
      <c r="P214" s="211">
        <f>'Emission-Waste Transport Vehicl'!O63</f>
        <v>26.186048938368003</v>
      </c>
      <c r="Q214" s="211">
        <f>'Emission-Waste Transport Vehicl'!P63</f>
        <v>10.014822720144002</v>
      </c>
      <c r="R214" s="211">
        <f>'Emission-Waste Transport Vehicl'!Q63</f>
        <v>7.7777929342080014</v>
      </c>
      <c r="S214" s="211">
        <f>'Emission-Waste Transport Vehicl'!R63</f>
        <v>0.77412202401600017</v>
      </c>
      <c r="T214" s="211">
        <f>'Emission-Waste Transport Vehicl'!S63</f>
        <v>3.5597422206719999E-2</v>
      </c>
      <c r="U214" s="174">
        <f t="shared" si="61"/>
        <v>-107134.1301876123</v>
      </c>
      <c r="V214" s="1850">
        <f t="shared" si="62"/>
        <v>-418.18356896974234</v>
      </c>
      <c r="W214" s="1850">
        <f t="shared" si="63"/>
        <v>-405.58000051789429</v>
      </c>
      <c r="X214" s="1850">
        <f t="shared" si="64"/>
        <v>-3671.0213997838246</v>
      </c>
      <c r="Y214" s="1850">
        <f t="shared" si="65"/>
        <v>-40.155189374676702</v>
      </c>
      <c r="Z214" s="1850">
        <f t="shared" si="66"/>
        <v>-369.68893979546584</v>
      </c>
      <c r="AA214" s="1850">
        <f t="shared" si="67"/>
        <v>-241.12247131968869</v>
      </c>
      <c r="AB214" s="2733"/>
      <c r="AC214" s="3009"/>
    </row>
    <row r="215" spans="1:29" ht="18.75" x14ac:dyDescent="0.25">
      <c r="A215" s="2982"/>
      <c r="B215" s="2993"/>
      <c r="C215" s="1863">
        <v>2050</v>
      </c>
      <c r="D215" s="218">
        <f t="shared" si="75"/>
        <v>-1107420.6003846547</v>
      </c>
      <c r="E215" s="221">
        <f t="shared" si="82"/>
        <v>-867.35040030126811</v>
      </c>
      <c r="F215" s="221">
        <f t="shared" si="83"/>
        <v>-7692.5720026719609</v>
      </c>
      <c r="G215" s="218">
        <f t="shared" si="76"/>
        <v>-23.232600008069678</v>
      </c>
      <c r="H215" s="218">
        <f t="shared" si="77"/>
        <v>-15.488400005379786</v>
      </c>
      <c r="I215" s="218">
        <f t="shared" si="78"/>
        <v>-366.5588001273216</v>
      </c>
      <c r="J215" s="218">
        <f t="shared" si="79"/>
        <v>-5.1628000017932631</v>
      </c>
      <c r="K215" s="218">
        <f t="shared" si="80"/>
        <v>-477.55900016587674</v>
      </c>
      <c r="L215" s="218">
        <f t="shared" si="81"/>
        <v>-6773.5936023527611</v>
      </c>
      <c r="M215" s="192">
        <f t="shared" si="60"/>
        <v>-1115.9805227876282</v>
      </c>
      <c r="N215" s="211">
        <v>97</v>
      </c>
      <c r="O215" s="211">
        <f>'Emission-Waste Transport Vehicl'!N64</f>
        <v>17.644493262528005</v>
      </c>
      <c r="P215" s="211">
        <f>'Emission-Waste Transport Vehicl'!O64</f>
        <v>25.669063005696003</v>
      </c>
      <c r="Q215" s="211">
        <f>'Emission-Waste Transport Vehicl'!P64</f>
        <v>9.8171020759680019</v>
      </c>
      <c r="R215" s="211">
        <f>'Emission-Waste Transport Vehicl'!Q64</f>
        <v>7.624237522176001</v>
      </c>
      <c r="S215" s="211">
        <f>'Emission-Waste Transport Vehicl'!R64</f>
        <v>0.75883868755200012</v>
      </c>
      <c r="T215" s="211">
        <f>'Emission-Waste Transport Vehicl'!S64</f>
        <v>3.4894629411840003E-2</v>
      </c>
      <c r="U215" s="174">
        <f t="shared" si="61"/>
        <v>-108250.11071039994</v>
      </c>
      <c r="V215" s="1850">
        <f t="shared" si="62"/>
        <v>-409.92745431339353</v>
      </c>
      <c r="W215" s="1850">
        <f t="shared" si="63"/>
        <v>-397.57271559551606</v>
      </c>
      <c r="X215" s="1850">
        <f t="shared" si="64"/>
        <v>-3598.5451576942687</v>
      </c>
      <c r="Y215" s="1850">
        <f t="shared" si="65"/>
        <v>-39.362413493162521</v>
      </c>
      <c r="Z215" s="1850">
        <f t="shared" si="66"/>
        <v>-362.39024491451931</v>
      </c>
      <c r="AA215" s="1850">
        <f t="shared" si="67"/>
        <v>-236.36203854050993</v>
      </c>
      <c r="AB215" s="2733"/>
      <c r="AC215" s="3009"/>
    </row>
    <row r="216" spans="1:29" ht="18.75" x14ac:dyDescent="0.25">
      <c r="A216" s="2982"/>
      <c r="B216" s="2993"/>
      <c r="C216" s="1863">
        <v>2051</v>
      </c>
      <c r="D216" s="218">
        <f t="shared" ref="D216:D234" si="84">$AC$13</f>
        <v>-1107420.6003846547</v>
      </c>
      <c r="E216" s="221">
        <f t="shared" si="82"/>
        <v>-867.35040030126811</v>
      </c>
      <c r="F216" s="221">
        <f t="shared" si="83"/>
        <v>-7692.5720026719609</v>
      </c>
      <c r="G216" s="218">
        <f t="shared" ref="G216:G234" si="85">$Y$13</f>
        <v>-23.232600008069678</v>
      </c>
      <c r="H216" s="218">
        <f t="shared" ref="H216:H234" si="86">$Z$13</f>
        <v>-15.488400005379786</v>
      </c>
      <c r="I216" s="218">
        <f t="shared" ref="I216:I234" si="87">$X$13</f>
        <v>-366.5588001273216</v>
      </c>
      <c r="J216" s="218">
        <f t="shared" ref="J216:J234" si="88">$AA$13</f>
        <v>-5.1628000017932631</v>
      </c>
      <c r="K216" s="218">
        <f t="shared" ref="K216:K234" si="89">$V$13</f>
        <v>-477.55900016587674</v>
      </c>
      <c r="L216" s="218">
        <f t="shared" ref="L216:L234" si="90">$W$13</f>
        <v>-6773.5936023527611</v>
      </c>
      <c r="M216" s="192">
        <f t="shared" si="60"/>
        <v>-1115.9805227876282</v>
      </c>
      <c r="N216" s="211">
        <v>97</v>
      </c>
      <c r="O216" s="211">
        <f>'Emission-Waste Transport Vehicl'!N65</f>
        <v>17.298906365664003</v>
      </c>
      <c r="P216" s="211">
        <f>'Emission-Waste Transport Vehicl'!O65</f>
        <v>25.166306043648003</v>
      </c>
      <c r="Q216" s="211">
        <f>'Emission-Waste Transport Vehicl'!P65</f>
        <v>9.624823284384</v>
      </c>
      <c r="R216" s="211">
        <f>'Emission-Waste Transport Vehicl'!Q65</f>
        <v>7.4749084058879998</v>
      </c>
      <c r="S216" s="211">
        <f>'Emission-Waste Transport Vehicl'!R65</f>
        <v>0.74397599337600007</v>
      </c>
      <c r="T216" s="211">
        <f>'Emission-Waste Transport Vehicl'!S65</f>
        <v>3.4211179537920001E-2</v>
      </c>
      <c r="U216" s="174">
        <f t="shared" si="61"/>
        <v>-108250.11071039994</v>
      </c>
      <c r="V216" s="1850">
        <f t="shared" si="62"/>
        <v>-401.89857217052213</v>
      </c>
      <c r="W216" s="1850">
        <f t="shared" si="63"/>
        <v>-389.78581466182709</v>
      </c>
      <c r="X216" s="1850">
        <f t="shared" si="64"/>
        <v>-3528.0636745613056</v>
      </c>
      <c r="Y216" s="1850">
        <f t="shared" si="65"/>
        <v>-38.59145713132304</v>
      </c>
      <c r="Z216" s="1850">
        <f t="shared" si="66"/>
        <v>-355.29243154405754</v>
      </c>
      <c r="AA216" s="1850">
        <f t="shared" si="67"/>
        <v>-231.73262684699662</v>
      </c>
      <c r="AB216" s="2733"/>
      <c r="AC216" s="3009"/>
    </row>
    <row r="217" spans="1:29" ht="18.75" x14ac:dyDescent="0.25">
      <c r="A217" s="2982"/>
      <c r="B217" s="2993"/>
      <c r="C217" s="1863">
        <v>2052</v>
      </c>
      <c r="D217" s="218">
        <f t="shared" si="84"/>
        <v>-1107420.6003846547</v>
      </c>
      <c r="E217" s="221">
        <f t="shared" si="82"/>
        <v>-867.35040030126811</v>
      </c>
      <c r="F217" s="221">
        <f t="shared" si="83"/>
        <v>-7692.5720026719609</v>
      </c>
      <c r="G217" s="218">
        <f t="shared" si="85"/>
        <v>-23.232600008069678</v>
      </c>
      <c r="H217" s="218">
        <f t="shared" si="86"/>
        <v>-15.488400005379786</v>
      </c>
      <c r="I217" s="218">
        <f t="shared" si="87"/>
        <v>-366.5588001273216</v>
      </c>
      <c r="J217" s="218">
        <f t="shared" si="88"/>
        <v>-5.1628000017932631</v>
      </c>
      <c r="K217" s="218">
        <f t="shared" si="89"/>
        <v>-477.55900016587674</v>
      </c>
      <c r="L217" s="218">
        <f t="shared" si="90"/>
        <v>-6773.5936023527611</v>
      </c>
      <c r="M217" s="192">
        <f t="shared" si="60"/>
        <v>-1115.9805227876282</v>
      </c>
      <c r="N217" s="211">
        <v>97</v>
      </c>
      <c r="O217" s="211">
        <f>'Emission-Waste Transport Vehicl'!N66</f>
        <v>16.959839976288002</v>
      </c>
      <c r="P217" s="211">
        <f>'Emission-Waste Transport Vehicl'!O66</f>
        <v>24.673035062016002</v>
      </c>
      <c r="Q217" s="211">
        <f>'Emission-Waste Transport Vehicl'!P66</f>
        <v>9.4361723945280005</v>
      </c>
      <c r="R217" s="211">
        <f>'Emission-Waste Transport Vehicl'!Q66</f>
        <v>7.3283968200960006</v>
      </c>
      <c r="S217" s="211">
        <f>'Emission-Waste Transport Vehicl'!R66</f>
        <v>0.72939372739200004</v>
      </c>
      <c r="T217" s="211">
        <f>'Emission-Waste Transport Vehicl'!S66</f>
        <v>3.3540624944640003E-2</v>
      </c>
      <c r="U217" s="174">
        <f t="shared" si="61"/>
        <v>-108250.11071039994</v>
      </c>
      <c r="V217" s="1850">
        <f t="shared" si="62"/>
        <v>-394.02117836996911</v>
      </c>
      <c r="W217" s="1850">
        <f t="shared" si="63"/>
        <v>-382.1458363872643</v>
      </c>
      <c r="X217" s="1850">
        <f t="shared" si="64"/>
        <v>-3458.9120307327389</v>
      </c>
      <c r="Y217" s="1850">
        <f t="shared" si="65"/>
        <v>-37.835047115933378</v>
      </c>
      <c r="Z217" s="1850">
        <f t="shared" si="66"/>
        <v>-348.32853918058561</v>
      </c>
      <c r="AA217" s="1850">
        <f t="shared" si="67"/>
        <v>-227.19056254392694</v>
      </c>
      <c r="AB217" s="2733"/>
      <c r="AC217" s="3009"/>
    </row>
    <row r="218" spans="1:29" ht="18.75" x14ac:dyDescent="0.25">
      <c r="A218" s="2982"/>
      <c r="B218" s="2993"/>
      <c r="C218" s="1863">
        <v>2053</v>
      </c>
      <c r="D218" s="218">
        <f t="shared" si="84"/>
        <v>-1107420.6003846547</v>
      </c>
      <c r="E218" s="221">
        <f t="shared" si="82"/>
        <v>-867.35040030126811</v>
      </c>
      <c r="F218" s="221">
        <f t="shared" si="83"/>
        <v>-7692.5720026719609</v>
      </c>
      <c r="G218" s="218">
        <f t="shared" si="85"/>
        <v>-23.232600008069678</v>
      </c>
      <c r="H218" s="218">
        <f t="shared" si="86"/>
        <v>-15.488400005379786</v>
      </c>
      <c r="I218" s="218">
        <f t="shared" si="87"/>
        <v>-366.5588001273216</v>
      </c>
      <c r="J218" s="218">
        <f t="shared" si="88"/>
        <v>-5.1628000017932631</v>
      </c>
      <c r="K218" s="218">
        <f t="shared" si="89"/>
        <v>-477.55900016587674</v>
      </c>
      <c r="L218" s="218">
        <f t="shared" si="90"/>
        <v>-6773.5936023527611</v>
      </c>
      <c r="M218" s="192">
        <f t="shared" si="60"/>
        <v>-1115.9805227876282</v>
      </c>
      <c r="N218" s="211">
        <v>97</v>
      </c>
      <c r="O218" s="211">
        <f>'Emission-Waste Transport Vehicl'!N67</f>
        <v>15.361506000000002</v>
      </c>
      <c r="P218" s="211">
        <f>'Emission-Waste Transport Vehicl'!O67</f>
        <v>24.189250060800003</v>
      </c>
      <c r="Q218" s="211">
        <f>'Emission-Waste Transport Vehicl'!P67</f>
        <v>9.2511494064000015</v>
      </c>
      <c r="R218" s="211">
        <f>'Emission-Waste Transport Vehicl'!Q67</f>
        <v>7.1847027647999999</v>
      </c>
      <c r="S218" s="211">
        <f>'Emission-Waste Transport Vehicl'!R67</f>
        <v>0.71509188960000014</v>
      </c>
      <c r="T218" s="211">
        <f>'Emission-Waste Transport Vehicl'!S67</f>
        <v>3.2882965632000001E-2</v>
      </c>
      <c r="U218" s="174">
        <f t="shared" si="61"/>
        <v>-108250.11071039994</v>
      </c>
      <c r="V218" s="1850">
        <f t="shared" si="62"/>
        <v>-356.88772441956246</v>
      </c>
      <c r="W218" s="1850">
        <f t="shared" si="63"/>
        <v>-374.65278077182774</v>
      </c>
      <c r="X218" s="1850">
        <f t="shared" si="64"/>
        <v>-3391.0902262085679</v>
      </c>
      <c r="Y218" s="1850">
        <f t="shared" si="65"/>
        <v>-37.0931834469935</v>
      </c>
      <c r="Z218" s="1850">
        <f t="shared" si="66"/>
        <v>-341.49856782410359</v>
      </c>
      <c r="AA218" s="1850">
        <f t="shared" si="67"/>
        <v>-222.73584563130092</v>
      </c>
      <c r="AB218" s="2733"/>
      <c r="AC218" s="3009"/>
    </row>
    <row r="219" spans="1:29" ht="18.75" x14ac:dyDescent="0.25">
      <c r="A219" s="2982"/>
      <c r="B219" s="2993"/>
      <c r="C219" s="1863">
        <v>2054</v>
      </c>
      <c r="D219" s="218">
        <f t="shared" si="84"/>
        <v>-1107420.6003846547</v>
      </c>
      <c r="E219" s="221">
        <f t="shared" si="82"/>
        <v>-867.35040030126811</v>
      </c>
      <c r="F219" s="221">
        <f t="shared" si="83"/>
        <v>-7692.5720026719609</v>
      </c>
      <c r="G219" s="218">
        <f t="shared" si="85"/>
        <v>-23.232600008069678</v>
      </c>
      <c r="H219" s="218">
        <f t="shared" si="86"/>
        <v>-15.488400005379786</v>
      </c>
      <c r="I219" s="218">
        <f t="shared" si="87"/>
        <v>-366.5588001273216</v>
      </c>
      <c r="J219" s="218">
        <f t="shared" si="88"/>
        <v>-5.1628000017932631</v>
      </c>
      <c r="K219" s="218">
        <f t="shared" si="89"/>
        <v>-477.55900016587674</v>
      </c>
      <c r="L219" s="218">
        <f t="shared" si="90"/>
        <v>-6773.5936023527611</v>
      </c>
      <c r="M219" s="192">
        <f t="shared" si="60"/>
        <v>-1115.9805227876282</v>
      </c>
      <c r="N219" s="211">
        <v>97</v>
      </c>
      <c r="O219" s="211">
        <f>'Emission-Waste Transport Vehicl'!N68</f>
        <v>16.301268720000003</v>
      </c>
      <c r="P219" s="211">
        <f>'Emission-Waste Transport Vehicl'!O68</f>
        <v>23.714951040000003</v>
      </c>
      <c r="Q219" s="211">
        <f>'Emission-Waste Transport Vehicl'!P68</f>
        <v>9.0697543200000013</v>
      </c>
      <c r="R219" s="211">
        <f>'Emission-Waste Transport Vehicl'!Q68</f>
        <v>7.0438262400000005</v>
      </c>
      <c r="S219" s="211">
        <f>'Emission-Waste Transport Vehicl'!R68</f>
        <v>0.70107048000000005</v>
      </c>
      <c r="T219" s="211">
        <f>'Emission-Waste Transport Vehicl'!S68</f>
        <v>3.2238201600000002E-2</v>
      </c>
      <c r="U219" s="174">
        <f t="shared" si="61"/>
        <v>-108250.11071039994</v>
      </c>
      <c r="V219" s="1850">
        <f t="shared" si="62"/>
        <v>-378.72085579581807</v>
      </c>
      <c r="W219" s="1850">
        <f t="shared" si="63"/>
        <v>-367.30664781551741</v>
      </c>
      <c r="X219" s="1850">
        <f t="shared" si="64"/>
        <v>-3324.5982609887919</v>
      </c>
      <c r="Y219" s="1850">
        <f t="shared" si="65"/>
        <v>-36.365866124503434</v>
      </c>
      <c r="Z219" s="1850">
        <f t="shared" si="66"/>
        <v>-334.80251747461131</v>
      </c>
      <c r="AA219" s="1850">
        <f t="shared" si="67"/>
        <v>-218.36847610911855</v>
      </c>
      <c r="AB219" s="2733"/>
      <c r="AC219" s="3009"/>
    </row>
    <row r="220" spans="1:29" ht="18.75" x14ac:dyDescent="0.25">
      <c r="A220" s="2982"/>
      <c r="B220" s="2993"/>
      <c r="C220" s="1863">
        <v>2055</v>
      </c>
      <c r="D220" s="218">
        <f t="shared" si="84"/>
        <v>-1107420.6003846547</v>
      </c>
      <c r="E220" s="221">
        <f t="shared" si="82"/>
        <v>-867.35040030126811</v>
      </c>
      <c r="F220" s="221">
        <f t="shared" si="83"/>
        <v>-7692.5720026719609</v>
      </c>
      <c r="G220" s="218">
        <f t="shared" si="85"/>
        <v>-23.232600008069678</v>
      </c>
      <c r="H220" s="218">
        <f t="shared" si="86"/>
        <v>-15.488400005379786</v>
      </c>
      <c r="I220" s="218">
        <f t="shared" si="87"/>
        <v>-366.5588001273216</v>
      </c>
      <c r="J220" s="218">
        <f t="shared" si="88"/>
        <v>-5.1628000017932631</v>
      </c>
      <c r="K220" s="218">
        <f t="shared" si="89"/>
        <v>-477.55900016587674</v>
      </c>
      <c r="L220" s="218">
        <f t="shared" si="90"/>
        <v>-6773.5936023527611</v>
      </c>
      <c r="M220" s="192">
        <f t="shared" si="60"/>
        <v>-1115.9805227876282</v>
      </c>
      <c r="N220" s="211">
        <v>97</v>
      </c>
      <c r="O220" s="211">
        <f>'Emission-Waste Transport Vehicl'!N69</f>
        <v>15.981763853088003</v>
      </c>
      <c r="P220" s="211">
        <f>'Emission-Waste Transport Vehicl'!O69</f>
        <v>23.250137999616001</v>
      </c>
      <c r="Q220" s="211">
        <f>'Emission-Waste Transport Vehicl'!P69</f>
        <v>8.8919871353280016</v>
      </c>
      <c r="R220" s="211">
        <f>'Emission-Waste Transport Vehicl'!Q69</f>
        <v>6.9057672456960004</v>
      </c>
      <c r="S220" s="211">
        <f>'Emission-Waste Transport Vehicl'!R69</f>
        <v>0.6873294985920001</v>
      </c>
      <c r="T220" s="211">
        <f>'Emission-Waste Transport Vehicl'!S69</f>
        <v>3.1606332848640006E-2</v>
      </c>
      <c r="U220" s="174">
        <f t="shared" si="61"/>
        <v>-108250.11071039994</v>
      </c>
      <c r="V220" s="1850">
        <f t="shared" si="62"/>
        <v>-371.29792702221999</v>
      </c>
      <c r="W220" s="1850">
        <f t="shared" si="63"/>
        <v>-360.10743751833326</v>
      </c>
      <c r="X220" s="1850">
        <f t="shared" si="64"/>
        <v>-3259.4361350734121</v>
      </c>
      <c r="Y220" s="1850">
        <f t="shared" si="65"/>
        <v>-35.653095148463166</v>
      </c>
      <c r="Z220" s="1850">
        <f t="shared" si="66"/>
        <v>-328.24038813210893</v>
      </c>
      <c r="AA220" s="1850">
        <f t="shared" si="67"/>
        <v>-214.08845397737986</v>
      </c>
      <c r="AB220" s="2733"/>
      <c r="AC220" s="3009"/>
    </row>
    <row r="221" spans="1:29" ht="18.75" x14ac:dyDescent="0.25">
      <c r="A221" s="2982"/>
      <c r="B221" s="2993"/>
      <c r="C221" s="1863">
        <v>2056</v>
      </c>
      <c r="D221" s="218">
        <f t="shared" si="84"/>
        <v>-1107420.6003846547</v>
      </c>
      <c r="E221" s="221">
        <f t="shared" si="82"/>
        <v>-867.35040030126811</v>
      </c>
      <c r="F221" s="221">
        <f t="shared" si="83"/>
        <v>-7692.5720026719609</v>
      </c>
      <c r="G221" s="218">
        <f t="shared" si="85"/>
        <v>-23.232600008069678</v>
      </c>
      <c r="H221" s="218">
        <f t="shared" si="86"/>
        <v>-15.488400005379786</v>
      </c>
      <c r="I221" s="218">
        <f t="shared" si="87"/>
        <v>-366.5588001273216</v>
      </c>
      <c r="J221" s="218">
        <f t="shared" si="88"/>
        <v>-5.1628000017932631</v>
      </c>
      <c r="K221" s="218">
        <f t="shared" si="89"/>
        <v>-477.55900016587674</v>
      </c>
      <c r="L221" s="218">
        <f t="shared" si="90"/>
        <v>-6773.5936023527611</v>
      </c>
      <c r="M221" s="192">
        <f t="shared" si="60"/>
        <v>-1115.9805227876282</v>
      </c>
      <c r="N221" s="211">
        <v>97</v>
      </c>
      <c r="O221" s="211">
        <f>'Emission-Waste Transport Vehicl'!N70</f>
        <v>15.668779493664003</v>
      </c>
      <c r="P221" s="211">
        <f>'Emission-Waste Transport Vehicl'!O70</f>
        <v>22.794810939648006</v>
      </c>
      <c r="Q221" s="211">
        <f>'Emission-Waste Transport Vehicl'!P70</f>
        <v>8.7178478523840006</v>
      </c>
      <c r="R221" s="211">
        <f>'Emission-Waste Transport Vehicl'!Q70</f>
        <v>6.7705257818880007</v>
      </c>
      <c r="S221" s="211">
        <f>'Emission-Waste Transport Vehicl'!R70</f>
        <v>0.67386894537600017</v>
      </c>
      <c r="T221" s="211">
        <f>'Emission-Waste Transport Vehicl'!S70</f>
        <v>3.0987359377920003E-2</v>
      </c>
      <c r="U221" s="174">
        <f t="shared" si="61"/>
        <v>-108250.11071039994</v>
      </c>
      <c r="V221" s="1850">
        <f t="shared" si="62"/>
        <v>-364.02648659094029</v>
      </c>
      <c r="W221" s="1850">
        <f t="shared" si="63"/>
        <v>-353.05514988027539</v>
      </c>
      <c r="X221" s="1850">
        <f t="shared" si="64"/>
        <v>-3195.6038484624269</v>
      </c>
      <c r="Y221" s="1850">
        <f t="shared" si="65"/>
        <v>-34.954870518872703</v>
      </c>
      <c r="Z221" s="1850">
        <f t="shared" si="66"/>
        <v>-321.81217979659647</v>
      </c>
      <c r="AA221" s="1850">
        <f t="shared" si="67"/>
        <v>-209.89577923608476</v>
      </c>
      <c r="AB221" s="2733"/>
      <c r="AC221" s="3009"/>
    </row>
    <row r="222" spans="1:29" ht="18.75" x14ac:dyDescent="0.25">
      <c r="A222" s="2982"/>
      <c r="B222" s="2993"/>
      <c r="C222" s="1863">
        <v>2057</v>
      </c>
      <c r="D222" s="218">
        <f t="shared" si="84"/>
        <v>-1107420.6003846547</v>
      </c>
      <c r="E222" s="221">
        <f t="shared" si="82"/>
        <v>-867.35040030126811</v>
      </c>
      <c r="F222" s="221">
        <f t="shared" si="83"/>
        <v>-7692.5720026719609</v>
      </c>
      <c r="G222" s="218">
        <f t="shared" si="85"/>
        <v>-23.232600008069678</v>
      </c>
      <c r="H222" s="218">
        <f t="shared" si="86"/>
        <v>-15.488400005379786</v>
      </c>
      <c r="I222" s="218">
        <f t="shared" si="87"/>
        <v>-366.5588001273216</v>
      </c>
      <c r="J222" s="218">
        <f t="shared" si="88"/>
        <v>-5.1628000017932631</v>
      </c>
      <c r="K222" s="218">
        <f t="shared" si="89"/>
        <v>-477.55900016587674</v>
      </c>
      <c r="L222" s="218">
        <f t="shared" si="90"/>
        <v>-6773.5936023527611</v>
      </c>
      <c r="M222" s="192">
        <f t="shared" si="60"/>
        <v>-1115.9805227876282</v>
      </c>
      <c r="N222" s="211">
        <v>97</v>
      </c>
      <c r="O222" s="211">
        <f>'Emission-Waste Transport Vehicl'!N71</f>
        <v>15.362315641728001</v>
      </c>
      <c r="P222" s="211">
        <f>'Emission-Waste Transport Vehicl'!O71</f>
        <v>22.348969860096002</v>
      </c>
      <c r="Q222" s="211">
        <f>'Emission-Waste Transport Vehicl'!P71</f>
        <v>8.547336471168002</v>
      </c>
      <c r="R222" s="211">
        <f>'Emission-Waste Transport Vehicl'!Q71</f>
        <v>6.6381018485760004</v>
      </c>
      <c r="S222" s="211">
        <f>'Emission-Waste Transport Vehicl'!R71</f>
        <v>0.66068882035200005</v>
      </c>
      <c r="T222" s="211">
        <f>'Emission-Waste Transport Vehicl'!S71</f>
        <v>3.038128118784E-2</v>
      </c>
      <c r="U222" s="174">
        <f t="shared" si="61"/>
        <v>-108250.11071039994</v>
      </c>
      <c r="V222" s="1850">
        <f t="shared" si="62"/>
        <v>-356.90653450197891</v>
      </c>
      <c r="W222" s="1850">
        <f t="shared" si="63"/>
        <v>-346.14978490134359</v>
      </c>
      <c r="X222" s="1850">
        <f t="shared" si="64"/>
        <v>-3133.1014011558382</v>
      </c>
      <c r="Y222" s="1850">
        <f t="shared" si="65"/>
        <v>-34.271192235732038</v>
      </c>
      <c r="Z222" s="1850">
        <f t="shared" si="66"/>
        <v>-315.51789246807368</v>
      </c>
      <c r="AA222" s="1850">
        <f t="shared" si="67"/>
        <v>-205.79045188523332</v>
      </c>
      <c r="AB222" s="2733"/>
      <c r="AC222" s="3009"/>
    </row>
    <row r="223" spans="1:29" ht="18.75" x14ac:dyDescent="0.25">
      <c r="A223" s="2982"/>
      <c r="B223" s="2993"/>
      <c r="C223" s="1863">
        <v>2058</v>
      </c>
      <c r="D223" s="218">
        <f t="shared" si="84"/>
        <v>-1107420.6003846547</v>
      </c>
      <c r="E223" s="221">
        <f t="shared" si="82"/>
        <v>-867.35040030126811</v>
      </c>
      <c r="F223" s="221">
        <f t="shared" si="83"/>
        <v>-7692.5720026719609</v>
      </c>
      <c r="G223" s="218">
        <f t="shared" si="85"/>
        <v>-23.232600008069678</v>
      </c>
      <c r="H223" s="218">
        <f t="shared" si="86"/>
        <v>-15.488400005379786</v>
      </c>
      <c r="I223" s="218">
        <f t="shared" si="87"/>
        <v>-366.5588001273216</v>
      </c>
      <c r="J223" s="218">
        <f t="shared" si="88"/>
        <v>-5.1628000017932631</v>
      </c>
      <c r="K223" s="218">
        <f t="shared" si="89"/>
        <v>-477.55900016587674</v>
      </c>
      <c r="L223" s="218">
        <f t="shared" si="90"/>
        <v>-6773.5936023527611</v>
      </c>
      <c r="M223" s="192">
        <f t="shared" ref="M223:M234" si="91">(D223/1000)+(E223/1000)+(F223/1000)</f>
        <v>-1115.9805227876282</v>
      </c>
      <c r="N223" s="211">
        <v>97</v>
      </c>
      <c r="O223" s="211">
        <f>'Emission-Waste Transport Vehicl'!N72</f>
        <v>15.059112043536</v>
      </c>
      <c r="P223" s="211">
        <f>'Emission-Waste Transport Vehicl'!O72</f>
        <v>21.907871770752003</v>
      </c>
      <c r="Q223" s="211">
        <f>'Emission-Waste Transport Vehicl'!P72</f>
        <v>8.378639040816001</v>
      </c>
      <c r="R223" s="211">
        <f>'Emission-Waste Transport Vehicl'!Q72</f>
        <v>6.5070866805119998</v>
      </c>
      <c r="S223" s="211">
        <f>'Emission-Waste Transport Vehicl'!R72</f>
        <v>0.647648909424</v>
      </c>
      <c r="T223" s="211">
        <f>'Emission-Waste Transport Vehicl'!S72</f>
        <v>2.9781650638080002E-2</v>
      </c>
      <c r="U223" s="174">
        <f t="shared" ref="U223:U286" si="92">M223*N223</f>
        <v>-108250.11071039994</v>
      </c>
      <c r="V223" s="1850">
        <f t="shared" ref="V223:V286" si="93">G223*O223</f>
        <v>-349.86232658417669</v>
      </c>
      <c r="W223" s="1850">
        <f t="shared" ref="W223:W286" si="94">H223*P223</f>
        <v>-339.317881251975</v>
      </c>
      <c r="X223" s="1850">
        <f t="shared" ref="X223:X286" si="95">I223*Q223</f>
        <v>-3071.2638735014461</v>
      </c>
      <c r="Y223" s="1850">
        <f t="shared" ref="Y223:Y286" si="96">J223*R223</f>
        <v>-33.594787125816268</v>
      </c>
      <c r="Z223" s="1850">
        <f t="shared" ref="Z223:Z286" si="97">K223*S223</f>
        <v>-309.29056564304591</v>
      </c>
      <c r="AA223" s="1850">
        <f t="shared" ref="AA223:AA286" si="98">T223*L223</f>
        <v>-201.72879822960371</v>
      </c>
      <c r="AB223" s="2733"/>
      <c r="AC223" s="3009"/>
    </row>
    <row r="224" spans="1:29" ht="18.75" x14ac:dyDescent="0.25">
      <c r="A224" s="2982"/>
      <c r="B224" s="2993"/>
      <c r="C224" s="1863">
        <v>2059</v>
      </c>
      <c r="D224" s="218">
        <f t="shared" si="84"/>
        <v>-1107420.6003846547</v>
      </c>
      <c r="E224" s="221">
        <f t="shared" si="82"/>
        <v>-867.35040030126811</v>
      </c>
      <c r="F224" s="221">
        <f t="shared" si="83"/>
        <v>-7692.5720026719609</v>
      </c>
      <c r="G224" s="218">
        <f t="shared" si="85"/>
        <v>-23.232600008069678</v>
      </c>
      <c r="H224" s="218">
        <f t="shared" si="86"/>
        <v>-15.488400005379786</v>
      </c>
      <c r="I224" s="218">
        <f t="shared" si="87"/>
        <v>-366.5588001273216</v>
      </c>
      <c r="J224" s="218">
        <f t="shared" si="88"/>
        <v>-5.1628000017932631</v>
      </c>
      <c r="K224" s="218">
        <f t="shared" si="89"/>
        <v>-477.55900016587674</v>
      </c>
      <c r="L224" s="218">
        <f t="shared" si="90"/>
        <v>-6773.5936023527611</v>
      </c>
      <c r="M224" s="192">
        <f t="shared" si="91"/>
        <v>-1115.9805227876282</v>
      </c>
      <c r="N224" s="211">
        <v>97</v>
      </c>
      <c r="O224" s="211">
        <f>'Emission-Waste Transport Vehicl'!N73</f>
        <v>14.765689206576004</v>
      </c>
      <c r="P224" s="211">
        <f>'Emission-Waste Transport Vehicl'!O73</f>
        <v>21.481002652032004</v>
      </c>
      <c r="Q224" s="211">
        <f>'Emission-Waste Transport Vehicl'!P73</f>
        <v>8.2153834630560016</v>
      </c>
      <c r="R224" s="211">
        <f>'Emission-Waste Transport Vehicl'!Q73</f>
        <v>6.380297808192001</v>
      </c>
      <c r="S224" s="211">
        <f>'Emission-Waste Transport Vehicl'!R73</f>
        <v>0.63502964078400004</v>
      </c>
      <c r="T224" s="211">
        <f>'Emission-Waste Transport Vehicl'!S73</f>
        <v>2.9201363009280005E-2</v>
      </c>
      <c r="U224" s="174">
        <f t="shared" si="92"/>
        <v>-108250.11071039994</v>
      </c>
      <c r="V224" s="1850">
        <f t="shared" si="93"/>
        <v>-343.04535117985205</v>
      </c>
      <c r="W224" s="1850">
        <f t="shared" si="94"/>
        <v>-332.70636159129566</v>
      </c>
      <c r="X224" s="1850">
        <f t="shared" si="95"/>
        <v>-3011.4211048036482</v>
      </c>
      <c r="Y224" s="1850">
        <f t="shared" si="96"/>
        <v>-32.940201535575213</v>
      </c>
      <c r="Z224" s="1850">
        <f t="shared" si="97"/>
        <v>-303.26412032850294</v>
      </c>
      <c r="AA224" s="1850">
        <f t="shared" si="98"/>
        <v>-197.79816565963961</v>
      </c>
      <c r="AB224" s="2733"/>
      <c r="AC224" s="3009"/>
    </row>
    <row r="225" spans="1:29" ht="18.75" x14ac:dyDescent="0.25">
      <c r="A225" s="2982"/>
      <c r="B225" s="2993"/>
      <c r="C225" s="1863">
        <v>2060</v>
      </c>
      <c r="D225" s="218">
        <f t="shared" si="84"/>
        <v>-1107420.6003846547</v>
      </c>
      <c r="E225" s="221">
        <f t="shared" si="82"/>
        <v>-867.35040030126811</v>
      </c>
      <c r="F225" s="221">
        <f t="shared" si="83"/>
        <v>-7692.5720026719609</v>
      </c>
      <c r="G225" s="218">
        <f t="shared" si="85"/>
        <v>-23.232600008069678</v>
      </c>
      <c r="H225" s="218">
        <f t="shared" si="86"/>
        <v>-15.488400005379786</v>
      </c>
      <c r="I225" s="218">
        <f t="shared" si="87"/>
        <v>-366.5588001273216</v>
      </c>
      <c r="J225" s="218">
        <f t="shared" si="88"/>
        <v>-5.1628000017932631</v>
      </c>
      <c r="K225" s="218">
        <f t="shared" si="89"/>
        <v>-477.55900016587674</v>
      </c>
      <c r="L225" s="218">
        <f t="shared" si="90"/>
        <v>-6773.5936023527611</v>
      </c>
      <c r="M225" s="192">
        <f t="shared" si="91"/>
        <v>-1115.9805227876282</v>
      </c>
      <c r="N225" s="211">
        <v>97</v>
      </c>
      <c r="O225" s="211">
        <f>'Emission-Waste Transport Vehicl'!N74</f>
        <v>14.475526623360002</v>
      </c>
      <c r="P225" s="211">
        <f>'Emission-Waste Transport Vehicl'!O74</f>
        <v>21.058876523520002</v>
      </c>
      <c r="Q225" s="211">
        <f>'Emission-Waste Transport Vehicl'!P74</f>
        <v>8.0539418361599999</v>
      </c>
      <c r="R225" s="211">
        <f>'Emission-Waste Transport Vehicl'!Q74</f>
        <v>6.2549177011200001</v>
      </c>
      <c r="S225" s="211">
        <f>'Emission-Waste Transport Vehicl'!R74</f>
        <v>0.62255058624000004</v>
      </c>
      <c r="T225" s="211">
        <f>'Emission-Waste Transport Vehicl'!S74</f>
        <v>2.8627523020800003E-2</v>
      </c>
      <c r="U225" s="174">
        <f t="shared" si="92"/>
        <v>-108250.11071039994</v>
      </c>
      <c r="V225" s="1850">
        <f t="shared" si="93"/>
        <v>-336.3041199466864</v>
      </c>
      <c r="W225" s="1850">
        <f t="shared" si="94"/>
        <v>-326.16830326017947</v>
      </c>
      <c r="X225" s="1850">
        <f t="shared" si="95"/>
        <v>-2952.2432557580469</v>
      </c>
      <c r="Y225" s="1850">
        <f t="shared" si="96"/>
        <v>-32.292889118559053</v>
      </c>
      <c r="Z225" s="1850">
        <f t="shared" si="97"/>
        <v>-297.30463551745481</v>
      </c>
      <c r="AA225" s="1850">
        <f t="shared" si="98"/>
        <v>-193.91120678489727</v>
      </c>
      <c r="AB225" s="2733"/>
      <c r="AC225" s="3009"/>
    </row>
    <row r="226" spans="1:29" ht="18.75" x14ac:dyDescent="0.25">
      <c r="A226" s="2982"/>
      <c r="B226" s="2993"/>
      <c r="C226" s="1863">
        <v>2061</v>
      </c>
      <c r="D226" s="218">
        <f t="shared" si="84"/>
        <v>-1107420.6003846547</v>
      </c>
      <c r="E226" s="221">
        <f t="shared" si="82"/>
        <v>-867.35040030126811</v>
      </c>
      <c r="F226" s="221">
        <f t="shared" si="83"/>
        <v>-7692.5720026719609</v>
      </c>
      <c r="G226" s="218">
        <f t="shared" si="85"/>
        <v>-23.232600008069678</v>
      </c>
      <c r="H226" s="218">
        <f t="shared" si="86"/>
        <v>-15.488400005379786</v>
      </c>
      <c r="I226" s="218">
        <f t="shared" si="87"/>
        <v>-366.5588001273216</v>
      </c>
      <c r="J226" s="218">
        <f t="shared" si="88"/>
        <v>-5.1628000017932631</v>
      </c>
      <c r="K226" s="218">
        <f t="shared" si="89"/>
        <v>-477.55900016587674</v>
      </c>
      <c r="L226" s="218">
        <f t="shared" si="90"/>
        <v>-6773.5936023527611</v>
      </c>
      <c r="M226" s="192">
        <f t="shared" si="91"/>
        <v>-1115.9805227876282</v>
      </c>
      <c r="N226" s="211">
        <v>97</v>
      </c>
      <c r="O226" s="211">
        <f>'Emission-Waste Transport Vehicl'!N75</f>
        <v>14.191884547632004</v>
      </c>
      <c r="P226" s="211">
        <f>'Emission-Waste Transport Vehicl'!O75</f>
        <v>20.646236375424003</v>
      </c>
      <c r="Q226" s="211">
        <f>'Emission-Waste Transport Vehicl'!P75</f>
        <v>7.8961281109920014</v>
      </c>
      <c r="R226" s="211">
        <f>'Emission-Waste Transport Vehicl'!Q75</f>
        <v>6.1323551245440004</v>
      </c>
      <c r="S226" s="211">
        <f>'Emission-Waste Transport Vehicl'!R75</f>
        <v>0.61035195988800006</v>
      </c>
      <c r="T226" s="211">
        <f>'Emission-Waste Transport Vehicl'!S75</f>
        <v>2.8066578312960003E-2</v>
      </c>
      <c r="U226" s="174">
        <f t="shared" si="92"/>
        <v>-108250.11071039994</v>
      </c>
      <c r="V226" s="1850">
        <f t="shared" si="93"/>
        <v>-329.71437705583924</v>
      </c>
      <c r="W226" s="1850">
        <f t="shared" si="94"/>
        <v>-319.77716758818946</v>
      </c>
      <c r="X226" s="1850">
        <f t="shared" si="95"/>
        <v>-2894.3952460168425</v>
      </c>
      <c r="Y226" s="1850">
        <f t="shared" si="96"/>
        <v>-31.660123047992691</v>
      </c>
      <c r="Z226" s="1850">
        <f t="shared" si="97"/>
        <v>-291.47907171339659</v>
      </c>
      <c r="AA226" s="1850">
        <f t="shared" si="98"/>
        <v>-190.11159530059862</v>
      </c>
      <c r="AB226" s="2733"/>
      <c r="AC226" s="3009"/>
    </row>
    <row r="227" spans="1:29" ht="18.75" x14ac:dyDescent="0.25">
      <c r="A227" s="2982"/>
      <c r="B227" s="2993"/>
      <c r="C227" s="1863">
        <v>2062</v>
      </c>
      <c r="D227" s="218">
        <f t="shared" si="84"/>
        <v>-1107420.6003846547</v>
      </c>
      <c r="E227" s="221">
        <f t="shared" si="82"/>
        <v>-867.35040030126811</v>
      </c>
      <c r="F227" s="221">
        <f t="shared" si="83"/>
        <v>-7692.5720026719609</v>
      </c>
      <c r="G227" s="218">
        <f t="shared" si="85"/>
        <v>-23.232600008069678</v>
      </c>
      <c r="H227" s="218">
        <f t="shared" si="86"/>
        <v>-15.488400005379786</v>
      </c>
      <c r="I227" s="218">
        <f t="shared" si="87"/>
        <v>-366.5588001273216</v>
      </c>
      <c r="J227" s="218">
        <f t="shared" si="88"/>
        <v>-5.1628000017932631</v>
      </c>
      <c r="K227" s="218">
        <f t="shared" si="89"/>
        <v>-477.55900016587674</v>
      </c>
      <c r="L227" s="218">
        <f t="shared" si="90"/>
        <v>-6773.5936023527611</v>
      </c>
      <c r="M227" s="192">
        <f t="shared" si="91"/>
        <v>-1115.9805227876282</v>
      </c>
      <c r="N227" s="211">
        <v>97</v>
      </c>
      <c r="O227" s="211">
        <f>'Emission-Waste Transport Vehicl'!N76</f>
        <v>13.914762979392002</v>
      </c>
      <c r="P227" s="211">
        <f>'Emission-Waste Transport Vehicl'!O76</f>
        <v>20.243082207744003</v>
      </c>
      <c r="Q227" s="211">
        <f>'Emission-Waste Transport Vehicl'!P76</f>
        <v>7.7419422875520008</v>
      </c>
      <c r="R227" s="211">
        <f>'Emission-Waste Transport Vehicl'!Q76</f>
        <v>6.0126100784640002</v>
      </c>
      <c r="S227" s="211">
        <f>'Emission-Waste Transport Vehicl'!R76</f>
        <v>0.59843376172800011</v>
      </c>
      <c r="T227" s="211">
        <f>'Emission-Waste Transport Vehicl'!S76</f>
        <v>2.7518528885760004E-2</v>
      </c>
      <c r="U227" s="174">
        <f t="shared" si="92"/>
        <v>-108250.11071039994</v>
      </c>
      <c r="V227" s="1850">
        <f t="shared" si="93"/>
        <v>-323.27612250731028</v>
      </c>
      <c r="W227" s="1850">
        <f t="shared" si="94"/>
        <v>-313.53295457532568</v>
      </c>
      <c r="X227" s="1850">
        <f t="shared" si="95"/>
        <v>-2837.8770755800329</v>
      </c>
      <c r="Y227" s="1850">
        <f t="shared" si="96"/>
        <v>-31.041903323876131</v>
      </c>
      <c r="Z227" s="1850">
        <f t="shared" si="97"/>
        <v>-285.78742891632822</v>
      </c>
      <c r="AA227" s="1850">
        <f t="shared" si="98"/>
        <v>-186.39933120674362</v>
      </c>
      <c r="AB227" s="2733"/>
      <c r="AC227" s="3009"/>
    </row>
    <row r="228" spans="1:29" ht="18.75" x14ac:dyDescent="0.25">
      <c r="A228" s="2982"/>
      <c r="B228" s="2993"/>
      <c r="C228" s="1863">
        <v>2063</v>
      </c>
      <c r="D228" s="218">
        <f t="shared" si="84"/>
        <v>-1107420.6003846547</v>
      </c>
      <c r="E228" s="221">
        <f t="shared" si="82"/>
        <v>-867.35040030126811</v>
      </c>
      <c r="F228" s="221">
        <f t="shared" si="83"/>
        <v>-7692.5720026719609</v>
      </c>
      <c r="G228" s="218">
        <f t="shared" si="85"/>
        <v>-23.232600008069678</v>
      </c>
      <c r="H228" s="218">
        <f t="shared" si="86"/>
        <v>-15.488400005379786</v>
      </c>
      <c r="I228" s="218">
        <f t="shared" si="87"/>
        <v>-366.5588001273216</v>
      </c>
      <c r="J228" s="218">
        <f t="shared" si="88"/>
        <v>-5.1628000017932631</v>
      </c>
      <c r="K228" s="218">
        <f t="shared" si="89"/>
        <v>-477.55900016587674</v>
      </c>
      <c r="L228" s="218">
        <f t="shared" si="90"/>
        <v>-6773.5936023527611</v>
      </c>
      <c r="M228" s="192">
        <f t="shared" si="91"/>
        <v>-1115.9805227876282</v>
      </c>
      <c r="N228" s="211">
        <v>97</v>
      </c>
      <c r="O228" s="211">
        <f>'Emission-Waste Transport Vehicl'!N77</f>
        <v>13.640901664896001</v>
      </c>
      <c r="P228" s="211">
        <f>'Emission-Waste Transport Vehicl'!O77</f>
        <v>19.844671030272</v>
      </c>
      <c r="Q228" s="211">
        <f>'Emission-Waste Transport Vehicl'!P77</f>
        <v>7.5895704149760004</v>
      </c>
      <c r="R228" s="211">
        <f>'Emission-Waste Transport Vehicl'!Q77</f>
        <v>5.8942737976319997</v>
      </c>
      <c r="S228" s="211">
        <f>'Emission-Waste Transport Vehicl'!R77</f>
        <v>0.58665577766400001</v>
      </c>
      <c r="T228" s="211">
        <f>'Emission-Waste Transport Vehicl'!S77</f>
        <v>2.6976927098879999E-2</v>
      </c>
      <c r="U228" s="174">
        <f t="shared" si="92"/>
        <v>-108250.11071039994</v>
      </c>
      <c r="V228" s="1850">
        <f t="shared" si="93"/>
        <v>-316.91361212994053</v>
      </c>
      <c r="W228" s="1850">
        <f t="shared" si="94"/>
        <v>-307.36220289202492</v>
      </c>
      <c r="X228" s="1850">
        <f t="shared" si="95"/>
        <v>-2782.0238247954212</v>
      </c>
      <c r="Y228" s="1850">
        <f t="shared" si="96"/>
        <v>-30.430956772984473</v>
      </c>
      <c r="Z228" s="1850">
        <f t="shared" si="97"/>
        <v>-280.16274662275475</v>
      </c>
      <c r="AA228" s="1850">
        <f t="shared" si="98"/>
        <v>-182.7307408081104</v>
      </c>
      <c r="AB228" s="2733"/>
      <c r="AC228" s="3009"/>
    </row>
    <row r="229" spans="1:29" ht="18.75" x14ac:dyDescent="0.25">
      <c r="A229" s="2982"/>
      <c r="B229" s="2993"/>
      <c r="C229" s="1863">
        <v>2064</v>
      </c>
      <c r="D229" s="218">
        <f t="shared" si="84"/>
        <v>-1107420.6003846547</v>
      </c>
      <c r="E229" s="221">
        <f t="shared" si="82"/>
        <v>-867.35040030126811</v>
      </c>
      <c r="F229" s="221">
        <f t="shared" si="83"/>
        <v>-7692.5720026719609</v>
      </c>
      <c r="G229" s="218">
        <f t="shared" si="85"/>
        <v>-23.232600008069678</v>
      </c>
      <c r="H229" s="218">
        <f t="shared" si="86"/>
        <v>-15.488400005379786</v>
      </c>
      <c r="I229" s="218">
        <f t="shared" si="87"/>
        <v>-366.5588001273216</v>
      </c>
      <c r="J229" s="218">
        <f t="shared" si="88"/>
        <v>-5.1628000017932631</v>
      </c>
      <c r="K229" s="218">
        <f t="shared" si="89"/>
        <v>-477.55900016587674</v>
      </c>
      <c r="L229" s="218">
        <f t="shared" si="90"/>
        <v>-6773.5936023527611</v>
      </c>
      <c r="M229" s="192">
        <f t="shared" si="91"/>
        <v>-1115.9805227876282</v>
      </c>
      <c r="N229" s="211">
        <v>97</v>
      </c>
      <c r="O229" s="211">
        <f>'Emission-Waste Transport Vehicl'!N78</f>
        <v>13.373560857888002</v>
      </c>
      <c r="P229" s="211">
        <f>'Emission-Waste Transport Vehicl'!O78</f>
        <v>19.455745833216003</v>
      </c>
      <c r="Q229" s="211">
        <f>'Emission-Waste Transport Vehicl'!P78</f>
        <v>7.4408264441280014</v>
      </c>
      <c r="R229" s="211">
        <f>'Emission-Waste Transport Vehicl'!Q78</f>
        <v>5.7787550472960003</v>
      </c>
      <c r="S229" s="211">
        <f>'Emission-Waste Transport Vehicl'!R78</f>
        <v>0.57515822179200005</v>
      </c>
      <c r="T229" s="211">
        <f>'Emission-Waste Transport Vehicl'!S78</f>
        <v>2.6448220592640001E-2</v>
      </c>
      <c r="U229" s="174">
        <f t="shared" si="92"/>
        <v>-108250.11071039994</v>
      </c>
      <c r="V229" s="1850">
        <f t="shared" si="93"/>
        <v>-310.7025900948891</v>
      </c>
      <c r="W229" s="1850">
        <f t="shared" si="94"/>
        <v>-301.33837386785046</v>
      </c>
      <c r="X229" s="1850">
        <f t="shared" si="95"/>
        <v>-2727.5004133152052</v>
      </c>
      <c r="Y229" s="1850">
        <f t="shared" si="96"/>
        <v>-29.83455656854262</v>
      </c>
      <c r="Z229" s="1850">
        <f t="shared" si="97"/>
        <v>-274.67198533617113</v>
      </c>
      <c r="AA229" s="1850">
        <f t="shared" si="98"/>
        <v>-179.14949779992085</v>
      </c>
      <c r="AB229" s="2733"/>
      <c r="AC229" s="3009"/>
    </row>
    <row r="230" spans="1:29" ht="18.75" x14ac:dyDescent="0.25">
      <c r="A230" s="2982"/>
      <c r="B230" s="2993"/>
      <c r="C230" s="1863">
        <v>2065</v>
      </c>
      <c r="D230" s="218">
        <f t="shared" si="84"/>
        <v>-1107420.6003846547</v>
      </c>
      <c r="E230" s="221">
        <f t="shared" si="82"/>
        <v>-867.35040030126811</v>
      </c>
      <c r="F230" s="221">
        <f t="shared" si="83"/>
        <v>-7692.5720026719609</v>
      </c>
      <c r="G230" s="218">
        <f t="shared" si="85"/>
        <v>-23.232600008069678</v>
      </c>
      <c r="H230" s="218">
        <f t="shared" si="86"/>
        <v>-15.488400005379786</v>
      </c>
      <c r="I230" s="218">
        <f t="shared" si="87"/>
        <v>-366.5588001273216</v>
      </c>
      <c r="J230" s="218">
        <f t="shared" si="88"/>
        <v>-5.1628000017932631</v>
      </c>
      <c r="K230" s="218">
        <f t="shared" si="89"/>
        <v>-477.55900016587674</v>
      </c>
      <c r="L230" s="218">
        <f t="shared" si="90"/>
        <v>-6773.5936023527611</v>
      </c>
      <c r="M230" s="192">
        <f t="shared" si="91"/>
        <v>-1115.9805227876282</v>
      </c>
      <c r="N230" s="211">
        <v>97</v>
      </c>
      <c r="O230" s="211">
        <f>'Emission-Waste Transport Vehicl'!N79</f>
        <v>13.112740558368001</v>
      </c>
      <c r="P230" s="211">
        <f>'Emission-Waste Transport Vehicl'!O79</f>
        <v>19.076306616576002</v>
      </c>
      <c r="Q230" s="211">
        <f>'Emission-Waste Transport Vehicl'!P79</f>
        <v>7.2957103750080003</v>
      </c>
      <c r="R230" s="211">
        <f>'Emission-Waste Transport Vehicl'!Q79</f>
        <v>5.6660538274560004</v>
      </c>
      <c r="S230" s="211">
        <f>'Emission-Waste Transport Vehicl'!R79</f>
        <v>0.56394109411200011</v>
      </c>
      <c r="T230" s="211">
        <f>'Emission-Waste Transport Vehicl'!S79</f>
        <v>2.5932409367040003E-2</v>
      </c>
      <c r="U230" s="174">
        <f t="shared" si="92"/>
        <v>-108250.11071039994</v>
      </c>
      <c r="V230" s="1850">
        <f t="shared" si="93"/>
        <v>-304.64305640215599</v>
      </c>
      <c r="W230" s="1850">
        <f t="shared" si="94"/>
        <v>-295.46146750280218</v>
      </c>
      <c r="X230" s="1850">
        <f t="shared" si="95"/>
        <v>-2674.3068411393842</v>
      </c>
      <c r="Y230" s="1850">
        <f t="shared" si="96"/>
        <v>-29.252702710550565</v>
      </c>
      <c r="Z230" s="1850">
        <f t="shared" si="97"/>
        <v>-269.31514505657736</v>
      </c>
      <c r="AA230" s="1850">
        <f t="shared" si="98"/>
        <v>-175.65560218217499</v>
      </c>
      <c r="AB230" s="2733"/>
      <c r="AC230" s="3009"/>
    </row>
    <row r="231" spans="1:29" ht="18.75" x14ac:dyDescent="0.25">
      <c r="A231" s="2982"/>
      <c r="B231" s="2993"/>
      <c r="C231" s="1863">
        <v>2066</v>
      </c>
      <c r="D231" s="218">
        <f t="shared" si="84"/>
        <v>-1107420.6003846547</v>
      </c>
      <c r="E231" s="221">
        <f t="shared" si="82"/>
        <v>-867.35040030126811</v>
      </c>
      <c r="F231" s="221">
        <f t="shared" si="83"/>
        <v>-7692.5720026719609</v>
      </c>
      <c r="G231" s="218">
        <f t="shared" si="85"/>
        <v>-23.232600008069678</v>
      </c>
      <c r="H231" s="218">
        <f t="shared" si="86"/>
        <v>-15.488400005379786</v>
      </c>
      <c r="I231" s="218">
        <f t="shared" si="87"/>
        <v>-366.5588001273216</v>
      </c>
      <c r="J231" s="218">
        <f t="shared" si="88"/>
        <v>-5.1628000017932631</v>
      </c>
      <c r="K231" s="218">
        <f t="shared" si="89"/>
        <v>-477.55900016587674</v>
      </c>
      <c r="L231" s="218">
        <f t="shared" si="90"/>
        <v>-6773.5936023527611</v>
      </c>
      <c r="M231" s="192">
        <f t="shared" si="91"/>
        <v>-1115.9805227876282</v>
      </c>
      <c r="N231" s="211">
        <v>97</v>
      </c>
      <c r="O231" s="211">
        <f>'Emission-Waste Transport Vehicl'!N80</f>
        <v>12.855180512592</v>
      </c>
      <c r="P231" s="211">
        <f>'Emission-Waste Transport Vehicl'!O80</f>
        <v>18.701610390143998</v>
      </c>
      <c r="Q231" s="211">
        <f>'Emission-Waste Transport Vehicl'!P80</f>
        <v>7.1524082567520004</v>
      </c>
      <c r="R231" s="211">
        <f>'Emission-Waste Transport Vehicl'!Q80</f>
        <v>5.5547613728639993</v>
      </c>
      <c r="S231" s="211">
        <f>'Emission-Waste Transport Vehicl'!R80</f>
        <v>0.55286418052800002</v>
      </c>
      <c r="T231" s="211">
        <f>'Emission-Waste Transport Vehicl'!S80</f>
        <v>2.5423045781760002E-2</v>
      </c>
      <c r="U231" s="174">
        <f t="shared" si="92"/>
        <v>-108250.11071039994</v>
      </c>
      <c r="V231" s="1850">
        <f t="shared" si="93"/>
        <v>-298.65926688058204</v>
      </c>
      <c r="W231" s="1850">
        <f t="shared" si="94"/>
        <v>-289.65802246731693</v>
      </c>
      <c r="X231" s="1850">
        <f t="shared" si="95"/>
        <v>-2621.7781886157613</v>
      </c>
      <c r="Y231" s="1850">
        <f t="shared" si="96"/>
        <v>-28.678122025783406</v>
      </c>
      <c r="Z231" s="1850">
        <f t="shared" si="97"/>
        <v>-264.02526528047849</v>
      </c>
      <c r="AA231" s="1850">
        <f t="shared" si="98"/>
        <v>-172.20538025965089</v>
      </c>
      <c r="AB231" s="2733"/>
      <c r="AC231" s="3009"/>
    </row>
    <row r="232" spans="1:29" ht="18.75" x14ac:dyDescent="0.25">
      <c r="A232" s="2982"/>
      <c r="B232" s="2993"/>
      <c r="C232" s="1863">
        <v>2067</v>
      </c>
      <c r="D232" s="218">
        <f t="shared" si="84"/>
        <v>-1107420.6003846547</v>
      </c>
      <c r="E232" s="221">
        <f t="shared" si="82"/>
        <v>-867.35040030126811</v>
      </c>
      <c r="F232" s="221">
        <f t="shared" si="83"/>
        <v>-7692.5720026719609</v>
      </c>
      <c r="G232" s="218">
        <f t="shared" si="85"/>
        <v>-23.232600008069678</v>
      </c>
      <c r="H232" s="218">
        <f t="shared" si="86"/>
        <v>-15.488400005379786</v>
      </c>
      <c r="I232" s="218">
        <f t="shared" si="87"/>
        <v>-366.5588001273216</v>
      </c>
      <c r="J232" s="218">
        <f t="shared" si="88"/>
        <v>-5.1628000017932631</v>
      </c>
      <c r="K232" s="218">
        <f t="shared" si="89"/>
        <v>-477.55900016587674</v>
      </c>
      <c r="L232" s="218">
        <f t="shared" si="90"/>
        <v>-6773.5936023527611</v>
      </c>
      <c r="M232" s="192">
        <f t="shared" si="91"/>
        <v>-1115.9805227876282</v>
      </c>
      <c r="N232" s="211">
        <v>97</v>
      </c>
      <c r="O232" s="211">
        <f>'Emission-Waste Transport Vehicl'!N81</f>
        <v>12.600880720560001</v>
      </c>
      <c r="P232" s="211">
        <f>'Emission-Waste Transport Vehicl'!O81</f>
        <v>18.331657153920002</v>
      </c>
      <c r="Q232" s="211">
        <f>'Emission-Waste Transport Vehicl'!P81</f>
        <v>7.0109200893600008</v>
      </c>
      <c r="R232" s="211">
        <f>'Emission-Waste Transport Vehicl'!Q81</f>
        <v>5.4448776835200006</v>
      </c>
      <c r="S232" s="211">
        <f>'Emission-Waste Transport Vehicl'!R81</f>
        <v>0.5419274810400001</v>
      </c>
      <c r="T232" s="211">
        <f>'Emission-Waste Transport Vehicl'!S81</f>
        <v>2.4920129836800003E-2</v>
      </c>
      <c r="U232" s="174">
        <f t="shared" si="92"/>
        <v>-108250.11071039994</v>
      </c>
      <c r="V232" s="1850">
        <f t="shared" si="93"/>
        <v>-292.75122153016736</v>
      </c>
      <c r="W232" s="1850">
        <f t="shared" si="94"/>
        <v>-283.92803876139493</v>
      </c>
      <c r="X232" s="1850">
        <f t="shared" si="95"/>
        <v>-2569.9144557443365</v>
      </c>
      <c r="Y232" s="1850">
        <f t="shared" si="96"/>
        <v>-28.110814514241156</v>
      </c>
      <c r="Z232" s="1850">
        <f t="shared" si="97"/>
        <v>-258.80234600787458</v>
      </c>
      <c r="AA232" s="1850">
        <f t="shared" si="98"/>
        <v>-168.79883203234866</v>
      </c>
      <c r="AB232" s="2733"/>
      <c r="AC232" s="3009"/>
    </row>
    <row r="233" spans="1:29" ht="18.75" x14ac:dyDescent="0.25">
      <c r="A233" s="2982"/>
      <c r="B233" s="2993"/>
      <c r="C233" s="1863">
        <v>2068</v>
      </c>
      <c r="D233" s="218">
        <f t="shared" si="84"/>
        <v>-1107420.6003846547</v>
      </c>
      <c r="E233" s="221">
        <f t="shared" si="82"/>
        <v>-867.35040030126811</v>
      </c>
      <c r="F233" s="221">
        <f t="shared" si="83"/>
        <v>-7692.5720026719609</v>
      </c>
      <c r="G233" s="218">
        <f t="shared" si="85"/>
        <v>-23.232600008069678</v>
      </c>
      <c r="H233" s="218">
        <f t="shared" si="86"/>
        <v>-15.488400005379786</v>
      </c>
      <c r="I233" s="218">
        <f t="shared" si="87"/>
        <v>-366.5588001273216</v>
      </c>
      <c r="J233" s="218">
        <f t="shared" si="88"/>
        <v>-5.1628000017932631</v>
      </c>
      <c r="K233" s="218">
        <f t="shared" si="89"/>
        <v>-477.55900016587674</v>
      </c>
      <c r="L233" s="218">
        <f t="shared" si="90"/>
        <v>-6773.5936023527611</v>
      </c>
      <c r="M233" s="192">
        <f t="shared" si="91"/>
        <v>-1115.9805227876282</v>
      </c>
      <c r="N233" s="211">
        <v>97</v>
      </c>
      <c r="O233" s="211">
        <f>'Emission-Waste Transport Vehicl'!N82</f>
        <v>12.356361689760002</v>
      </c>
      <c r="P233" s="211">
        <f>'Emission-Waste Transport Vehicl'!O82</f>
        <v>17.975932888320003</v>
      </c>
      <c r="Q233" s="211">
        <f>'Emission-Waste Transport Vehicl'!P82</f>
        <v>6.8748737745600002</v>
      </c>
      <c r="R233" s="211">
        <f>'Emission-Waste Transport Vehicl'!Q82</f>
        <v>5.339220289920001</v>
      </c>
      <c r="S233" s="211">
        <f>'Emission-Waste Transport Vehicl'!R82</f>
        <v>0.53141142384000006</v>
      </c>
      <c r="T233" s="211">
        <f>'Emission-Waste Transport Vehicl'!S82</f>
        <v>2.4436556812800003E-2</v>
      </c>
      <c r="U233" s="174">
        <f t="shared" si="92"/>
        <v>-108250.11071039994</v>
      </c>
      <c r="V233" s="1850">
        <f t="shared" si="93"/>
        <v>-287.07040869323009</v>
      </c>
      <c r="W233" s="1850">
        <f t="shared" si="94"/>
        <v>-278.4184390441622</v>
      </c>
      <c r="X233" s="1850">
        <f t="shared" si="95"/>
        <v>-2520.0454818295043</v>
      </c>
      <c r="Y233" s="1850">
        <f t="shared" si="96"/>
        <v>-27.565326522373606</v>
      </c>
      <c r="Z233" s="1850">
        <f t="shared" si="97"/>
        <v>-253.78030824575538</v>
      </c>
      <c r="AA233" s="1850">
        <f t="shared" si="98"/>
        <v>-165.52330489071187</v>
      </c>
      <c r="AB233" s="2733"/>
      <c r="AC233" s="3009"/>
    </row>
    <row r="234" spans="1:29" ht="19.5" thickBot="1" x14ac:dyDescent="0.3">
      <c r="A234" s="2983"/>
      <c r="B234" s="3001"/>
      <c r="C234" s="1866">
        <v>2069</v>
      </c>
      <c r="D234" s="327">
        <f t="shared" si="84"/>
        <v>-1107420.6003846547</v>
      </c>
      <c r="E234" s="648">
        <f t="shared" si="82"/>
        <v>-867.35040030126811</v>
      </c>
      <c r="F234" s="648">
        <f t="shared" si="83"/>
        <v>-7692.5720026719609</v>
      </c>
      <c r="G234" s="327">
        <f t="shared" si="85"/>
        <v>-23.232600008069678</v>
      </c>
      <c r="H234" s="327">
        <f t="shared" si="86"/>
        <v>-15.488400005379786</v>
      </c>
      <c r="I234" s="327">
        <f t="shared" si="87"/>
        <v>-366.5588001273216</v>
      </c>
      <c r="J234" s="327">
        <f t="shared" si="88"/>
        <v>-5.1628000017932631</v>
      </c>
      <c r="K234" s="327">
        <f t="shared" si="89"/>
        <v>-477.55900016587674</v>
      </c>
      <c r="L234" s="327">
        <f t="shared" si="90"/>
        <v>-6773.5936023527611</v>
      </c>
      <c r="M234" s="219">
        <f t="shared" si="91"/>
        <v>-1115.9805227876282</v>
      </c>
      <c r="N234" s="646">
        <v>97</v>
      </c>
      <c r="O234" s="646">
        <f>'Emission-Waste Transport Vehicl'!N83</f>
        <v>12.111842658960002</v>
      </c>
      <c r="P234" s="646">
        <f>'Emission-Waste Transport Vehicl'!O83</f>
        <v>17.62020862272</v>
      </c>
      <c r="Q234" s="646">
        <f>'Emission-Waste Transport Vehicl'!P83</f>
        <v>6.7388274597600004</v>
      </c>
      <c r="R234" s="646">
        <f>'Emission-Waste Transport Vehicl'!Q83</f>
        <v>5.2335628963200005</v>
      </c>
      <c r="S234" s="646">
        <f>'Emission-Waste Transport Vehicl'!R83</f>
        <v>0.52089536664000002</v>
      </c>
      <c r="T234" s="646">
        <f>'Emission-Waste Transport Vehicl'!S83</f>
        <v>2.3952983788800002E-2</v>
      </c>
      <c r="U234" s="758">
        <f t="shared" si="92"/>
        <v>-108250.11071039994</v>
      </c>
      <c r="V234" s="1847">
        <f t="shared" si="93"/>
        <v>-281.38959585629283</v>
      </c>
      <c r="W234" s="1847">
        <f t="shared" si="94"/>
        <v>-272.90883932692941</v>
      </c>
      <c r="X234" s="1847">
        <f t="shared" si="95"/>
        <v>-2470.1765079146726</v>
      </c>
      <c r="Y234" s="1847">
        <f t="shared" si="96"/>
        <v>-27.019838530506053</v>
      </c>
      <c r="Z234" s="1847">
        <f t="shared" si="97"/>
        <v>-248.75827048363621</v>
      </c>
      <c r="AA234" s="1847">
        <f t="shared" si="98"/>
        <v>-162.24777774907508</v>
      </c>
      <c r="AB234" s="2734"/>
      <c r="AC234" s="3009"/>
    </row>
    <row r="235" spans="1:29" ht="18.75" x14ac:dyDescent="0.25">
      <c r="A235" s="3007" t="s">
        <v>179</v>
      </c>
      <c r="B235" s="2992" t="s">
        <v>1780</v>
      </c>
      <c r="C235" s="1862">
        <v>2019</v>
      </c>
      <c r="D235" s="216">
        <f t="shared" ref="D235:D266" si="99">$AC$10</f>
        <v>-591590.52504849702</v>
      </c>
      <c r="E235" s="216">
        <f>$AB$10*28</f>
        <v>18516.182618621537</v>
      </c>
      <c r="F235" s="216">
        <f>$AD$10*298</f>
        <v>1095.2108227444905</v>
      </c>
      <c r="G235" s="216">
        <f t="shared" ref="G235:G266" si="100">$Y$10</f>
        <v>-17.716077728225301</v>
      </c>
      <c r="H235" s="216">
        <f t="shared" ref="H235:H266" si="101">$Z$10</f>
        <v>-14.811098006770084</v>
      </c>
      <c r="I235" s="216">
        <f t="shared" ref="I235:I266" si="102">$X$10</f>
        <v>-329.7613979483408</v>
      </c>
      <c r="J235" s="216">
        <f t="shared" ref="J235:J266" si="103">$AA$10</f>
        <v>-14.958606357168243</v>
      </c>
      <c r="K235" s="216">
        <f t="shared" ref="K235:K266" si="104">$V$10</f>
        <v>-1.6641936206841792</v>
      </c>
      <c r="L235" s="216">
        <f t="shared" ref="L235:L266" si="105">$W$10</f>
        <v>-91.49251933529969</v>
      </c>
      <c r="M235" s="217">
        <f>(D235/1000)+(E235/1000)+(F235/1000)</f>
        <v>-571.97913160713108</v>
      </c>
      <c r="N235" s="643">
        <v>62</v>
      </c>
      <c r="O235" s="643">
        <f>'Emission-Waste Transport Vehicl'!N33</f>
        <v>32.602537440000006</v>
      </c>
      <c r="P235" s="643">
        <f>'Emission-Waste Transport Vehicl'!O33</f>
        <v>47.429902080000005</v>
      </c>
      <c r="Q235" s="643">
        <f>'Emission-Waste Transport Vehicl'!P33</f>
        <v>18.139508640000003</v>
      </c>
      <c r="R235" s="643">
        <f>'Emission-Waste Transport Vehicl'!Q33</f>
        <v>14.087652480000001</v>
      </c>
      <c r="S235" s="643">
        <f>'Emission-Waste Transport Vehicl'!R33</f>
        <v>1.4021409600000001</v>
      </c>
      <c r="T235" s="643">
        <f>'Emission-Waste Transport Vehicl'!S33</f>
        <v>6.4476403200000004E-2</v>
      </c>
      <c r="U235" s="645">
        <f t="shared" si="92"/>
        <v>-35462.706159642126</v>
      </c>
      <c r="V235" s="644">
        <f t="shared" si="93"/>
        <v>-577.58908742441565</v>
      </c>
      <c r="W235" s="644">
        <f t="shared" si="94"/>
        <v>-702.48892815838838</v>
      </c>
      <c r="X235" s="644">
        <f t="shared" si="95"/>
        <v>-5981.7097272224073</v>
      </c>
      <c r="Y235" s="644">
        <f t="shared" si="96"/>
        <v>-210.73164794490498</v>
      </c>
      <c r="Z235" s="644">
        <f t="shared" si="97"/>
        <v>-2.3334340409319911</v>
      </c>
      <c r="AA235" s="644">
        <f t="shared" si="98"/>
        <v>-5.8991085664465794</v>
      </c>
      <c r="AB235" s="2732">
        <f>(SUM(U235:U285)*1.2682)+(SUM(V235:V285))+(SUM(W235:W285))+(SUM(X235:X285))+(SUM(Y235:Y285))+(SUM(Z235:Z285))+(SUM(AA235:AA285))</f>
        <v>-3430592.8766109413</v>
      </c>
      <c r="AC235" s="3009"/>
    </row>
    <row r="236" spans="1:29" ht="18.75" x14ac:dyDescent="0.25">
      <c r="A236" s="2982"/>
      <c r="B236" s="2993"/>
      <c r="C236" s="1863">
        <v>2020</v>
      </c>
      <c r="D236" s="218">
        <f t="shared" si="99"/>
        <v>-591590.52504849702</v>
      </c>
      <c r="E236" s="218">
        <f t="shared" ref="E236:E285" si="106">$AB$10*28</f>
        <v>18516.182618621537</v>
      </c>
      <c r="F236" s="218">
        <f t="shared" ref="F236:F285" si="107">$AD$10*298</f>
        <v>1095.2108227444905</v>
      </c>
      <c r="G236" s="218">
        <f t="shared" si="100"/>
        <v>-17.716077728225301</v>
      </c>
      <c r="H236" s="218">
        <f t="shared" si="101"/>
        <v>-14.811098006770084</v>
      </c>
      <c r="I236" s="218">
        <f t="shared" si="102"/>
        <v>-329.7613979483408</v>
      </c>
      <c r="J236" s="218">
        <f t="shared" si="103"/>
        <v>-14.958606357168243</v>
      </c>
      <c r="K236" s="218">
        <f t="shared" si="104"/>
        <v>-1.6641936206841792</v>
      </c>
      <c r="L236" s="218">
        <f t="shared" si="105"/>
        <v>-91.49251933529969</v>
      </c>
      <c r="M236" s="192">
        <f t="shared" ref="M236:M286" si="108">(D236/1000)+(E236/1000)+(F236/1000)</f>
        <v>-571.97913160713108</v>
      </c>
      <c r="N236" s="211">
        <v>64</v>
      </c>
      <c r="O236" s="211">
        <f>'Emission-Waste Transport Vehicl'!N34</f>
        <v>31.963527706176006</v>
      </c>
      <c r="P236" s="211">
        <f>'Emission-Waste Transport Vehicl'!O34</f>
        <v>46.500275999232002</v>
      </c>
      <c r="Q236" s="211">
        <f>'Emission-Waste Transport Vehicl'!P34</f>
        <v>17.783974270656003</v>
      </c>
      <c r="R236" s="211">
        <f>'Emission-Waste Transport Vehicl'!Q34</f>
        <v>13.811534491392001</v>
      </c>
      <c r="S236" s="211">
        <f>'Emission-Waste Transport Vehicl'!R34</f>
        <v>1.3746589971840002</v>
      </c>
      <c r="T236" s="211">
        <f>'Emission-Waste Transport Vehicl'!S34</f>
        <v>6.3212665697280013E-2</v>
      </c>
      <c r="U236" s="174">
        <f t="shared" si="92"/>
        <v>-36606.664422856389</v>
      </c>
      <c r="V236" s="1850">
        <f t="shared" si="93"/>
        <v>-566.26834131089709</v>
      </c>
      <c r="W236" s="1850">
        <f t="shared" si="94"/>
        <v>-688.72014516648392</v>
      </c>
      <c r="X236" s="1850">
        <f t="shared" si="95"/>
        <v>-5864.4682165688482</v>
      </c>
      <c r="Y236" s="1850">
        <f t="shared" si="96"/>
        <v>-206.60130764518485</v>
      </c>
      <c r="Z236" s="1850">
        <f t="shared" si="97"/>
        <v>-2.2876987337297243</v>
      </c>
      <c r="AA236" s="1850">
        <f t="shared" si="98"/>
        <v>-5.7834860385442273</v>
      </c>
      <c r="AB236" s="2733"/>
      <c r="AC236" s="3009"/>
    </row>
    <row r="237" spans="1:29" ht="18.75" x14ac:dyDescent="0.25">
      <c r="A237" s="2982"/>
      <c r="B237" s="2993"/>
      <c r="C237" s="1863">
        <v>2021</v>
      </c>
      <c r="D237" s="218">
        <f t="shared" si="99"/>
        <v>-591590.52504849702</v>
      </c>
      <c r="E237" s="218">
        <f t="shared" si="106"/>
        <v>18516.182618621537</v>
      </c>
      <c r="F237" s="218">
        <f t="shared" si="107"/>
        <v>1095.2108227444905</v>
      </c>
      <c r="G237" s="218">
        <f t="shared" si="100"/>
        <v>-17.716077728225301</v>
      </c>
      <c r="H237" s="218">
        <f t="shared" si="101"/>
        <v>-14.811098006770084</v>
      </c>
      <c r="I237" s="218">
        <f t="shared" si="102"/>
        <v>-329.7613979483408</v>
      </c>
      <c r="J237" s="218">
        <f t="shared" si="103"/>
        <v>-14.958606357168243</v>
      </c>
      <c r="K237" s="218">
        <f t="shared" si="104"/>
        <v>-1.6641936206841792</v>
      </c>
      <c r="L237" s="218">
        <f t="shared" si="105"/>
        <v>-91.49251933529969</v>
      </c>
      <c r="M237" s="192">
        <f t="shared" si="108"/>
        <v>-571.97913160713108</v>
      </c>
      <c r="N237" s="211">
        <v>65</v>
      </c>
      <c r="O237" s="211">
        <f>'Emission-Waste Transport Vehicl'!N35</f>
        <v>31.337558987328006</v>
      </c>
      <c r="P237" s="211">
        <f>'Emission-Waste Transport Vehicl'!O35</f>
        <v>45.589621879296011</v>
      </c>
      <c r="Q237" s="211">
        <f>'Emission-Waste Transport Vehicl'!P35</f>
        <v>17.435695704768001</v>
      </c>
      <c r="R237" s="211">
        <f>'Emission-Waste Transport Vehicl'!Q35</f>
        <v>13.541051563776001</v>
      </c>
      <c r="S237" s="211">
        <f>'Emission-Waste Transport Vehicl'!R35</f>
        <v>1.3477378907520003</v>
      </c>
      <c r="T237" s="211">
        <f>'Emission-Waste Transport Vehicl'!S35</f>
        <v>6.1974718755840007E-2</v>
      </c>
      <c r="U237" s="174">
        <f t="shared" si="92"/>
        <v>-37178.643554463517</v>
      </c>
      <c r="V237" s="1850">
        <f t="shared" si="93"/>
        <v>-555.17863083234829</v>
      </c>
      <c r="W237" s="1850">
        <f t="shared" si="94"/>
        <v>-675.23235774584293</v>
      </c>
      <c r="X237" s="1850">
        <f t="shared" si="95"/>
        <v>-5749.6193898061774</v>
      </c>
      <c r="Y237" s="1850">
        <f t="shared" si="96"/>
        <v>-202.55526000464266</v>
      </c>
      <c r="Z237" s="1850">
        <f t="shared" si="97"/>
        <v>-2.2428968001438303</v>
      </c>
      <c r="AA237" s="1850">
        <f t="shared" si="98"/>
        <v>-5.6702231540684522</v>
      </c>
      <c r="AB237" s="2733"/>
      <c r="AC237" s="3009"/>
    </row>
    <row r="238" spans="1:29" ht="18.75" x14ac:dyDescent="0.25">
      <c r="A238" s="2982"/>
      <c r="B238" s="2993"/>
      <c r="C238" s="1863">
        <v>2022</v>
      </c>
      <c r="D238" s="218">
        <f t="shared" si="99"/>
        <v>-591590.52504849702</v>
      </c>
      <c r="E238" s="218">
        <f t="shared" si="106"/>
        <v>18516.182618621537</v>
      </c>
      <c r="F238" s="218">
        <f t="shared" si="107"/>
        <v>1095.2108227444905</v>
      </c>
      <c r="G238" s="218">
        <f t="shared" si="100"/>
        <v>-17.716077728225301</v>
      </c>
      <c r="H238" s="218">
        <f t="shared" si="101"/>
        <v>-14.811098006770084</v>
      </c>
      <c r="I238" s="218">
        <f t="shared" si="102"/>
        <v>-329.7613979483408</v>
      </c>
      <c r="J238" s="218">
        <f t="shared" si="103"/>
        <v>-14.958606357168243</v>
      </c>
      <c r="K238" s="218">
        <f t="shared" si="104"/>
        <v>-1.6641936206841792</v>
      </c>
      <c r="L238" s="218">
        <f t="shared" si="105"/>
        <v>-91.49251933529969</v>
      </c>
      <c r="M238" s="192">
        <f t="shared" si="108"/>
        <v>-571.97913160713108</v>
      </c>
      <c r="N238" s="211">
        <v>66</v>
      </c>
      <c r="O238" s="211">
        <f>'Emission-Waste Transport Vehicl'!N36</f>
        <v>30.721371029712003</v>
      </c>
      <c r="P238" s="211">
        <f>'Emission-Waste Transport Vehicl'!O36</f>
        <v>44.693196729984003</v>
      </c>
      <c r="Q238" s="211">
        <f>'Emission-Waste Transport Vehicl'!P36</f>
        <v>17.092858991472003</v>
      </c>
      <c r="R238" s="211">
        <f>'Emission-Waste Transport Vehicl'!Q36</f>
        <v>13.274794931903999</v>
      </c>
      <c r="S238" s="211">
        <f>'Emission-Waste Transport Vehicl'!R36</f>
        <v>1.3212374266080003</v>
      </c>
      <c r="T238" s="211">
        <f>'Emission-Waste Transport Vehicl'!S36</f>
        <v>6.0756114735360002E-2</v>
      </c>
      <c r="U238" s="174">
        <f t="shared" si="92"/>
        <v>-37750.622686070652</v>
      </c>
      <c r="V238" s="1850">
        <f t="shared" si="93"/>
        <v>-544.26219708002679</v>
      </c>
      <c r="W238" s="1850">
        <f t="shared" si="94"/>
        <v>-661.95531700364927</v>
      </c>
      <c r="X238" s="1850">
        <f t="shared" si="95"/>
        <v>-5636.5650759616747</v>
      </c>
      <c r="Y238" s="1850">
        <f t="shared" si="96"/>
        <v>-198.57243185848392</v>
      </c>
      <c r="Z238" s="1850">
        <f t="shared" si="97"/>
        <v>-2.1987948967702153</v>
      </c>
      <c r="AA238" s="1850">
        <f t="shared" si="98"/>
        <v>-5.5587300021626112</v>
      </c>
      <c r="AB238" s="2733"/>
      <c r="AC238" s="3009"/>
    </row>
    <row r="239" spans="1:29" ht="18.75" x14ac:dyDescent="0.25">
      <c r="A239" s="2982"/>
      <c r="B239" s="2993"/>
      <c r="C239" s="1863">
        <v>2023</v>
      </c>
      <c r="D239" s="218">
        <f t="shared" si="99"/>
        <v>-591590.52504849702</v>
      </c>
      <c r="E239" s="218">
        <f t="shared" si="106"/>
        <v>18516.182618621537</v>
      </c>
      <c r="F239" s="218">
        <f t="shared" si="107"/>
        <v>1095.2108227444905</v>
      </c>
      <c r="G239" s="218">
        <f t="shared" si="100"/>
        <v>-17.716077728225301</v>
      </c>
      <c r="H239" s="218">
        <f t="shared" si="101"/>
        <v>-14.811098006770084</v>
      </c>
      <c r="I239" s="218">
        <f t="shared" si="102"/>
        <v>-329.7613979483408</v>
      </c>
      <c r="J239" s="218">
        <f t="shared" si="103"/>
        <v>-14.958606357168243</v>
      </c>
      <c r="K239" s="218">
        <f t="shared" si="104"/>
        <v>-1.6641936206841792</v>
      </c>
      <c r="L239" s="218">
        <f t="shared" si="105"/>
        <v>-91.49251933529969</v>
      </c>
      <c r="M239" s="192">
        <f t="shared" si="108"/>
        <v>-571.97913160713108</v>
      </c>
      <c r="N239" s="211">
        <v>67</v>
      </c>
      <c r="O239" s="211">
        <f>'Emission-Waste Transport Vehicl'!N37</f>
        <v>30.118224087072001</v>
      </c>
      <c r="P239" s="211">
        <f>'Emission-Waste Transport Vehicl'!O37</f>
        <v>43.815743541504006</v>
      </c>
      <c r="Q239" s="211">
        <f>'Emission-Waste Transport Vehicl'!P37</f>
        <v>16.757278081632002</v>
      </c>
      <c r="R239" s="211">
        <f>'Emission-Waste Transport Vehicl'!Q37</f>
        <v>13.014173361024</v>
      </c>
      <c r="S239" s="211">
        <f>'Emission-Waste Transport Vehicl'!R37</f>
        <v>1.295297818848</v>
      </c>
      <c r="T239" s="211">
        <f>'Emission-Waste Transport Vehicl'!S37</f>
        <v>5.9563301276160004E-2</v>
      </c>
      <c r="U239" s="174">
        <f t="shared" si="92"/>
        <v>-38322.60181767778</v>
      </c>
      <c r="V239" s="1850">
        <f t="shared" si="93"/>
        <v>-533.57679896267507</v>
      </c>
      <c r="W239" s="1850">
        <f t="shared" si="94"/>
        <v>-648.9592718327192</v>
      </c>
      <c r="X239" s="1850">
        <f t="shared" si="95"/>
        <v>-5525.9034460080593</v>
      </c>
      <c r="Y239" s="1850">
        <f t="shared" si="96"/>
        <v>-194.67389637150319</v>
      </c>
      <c r="Z239" s="1850">
        <f t="shared" si="97"/>
        <v>-2.1556263670129732</v>
      </c>
      <c r="AA239" s="1850">
        <f t="shared" si="98"/>
        <v>-5.4495964936833499</v>
      </c>
      <c r="AB239" s="2733"/>
      <c r="AC239" s="3009"/>
    </row>
    <row r="240" spans="1:29" ht="18.75" x14ac:dyDescent="0.25">
      <c r="A240" s="2982"/>
      <c r="B240" s="2993"/>
      <c r="C240" s="1863">
        <v>2024</v>
      </c>
      <c r="D240" s="218">
        <f t="shared" si="99"/>
        <v>-591590.52504849702</v>
      </c>
      <c r="E240" s="218">
        <f t="shared" si="106"/>
        <v>18516.182618621537</v>
      </c>
      <c r="F240" s="218">
        <f t="shared" si="107"/>
        <v>1095.2108227444905</v>
      </c>
      <c r="G240" s="218">
        <f t="shared" si="100"/>
        <v>-17.716077728225301</v>
      </c>
      <c r="H240" s="218">
        <f t="shared" si="101"/>
        <v>-14.811098006770084</v>
      </c>
      <c r="I240" s="218">
        <f t="shared" si="102"/>
        <v>-329.7613979483408</v>
      </c>
      <c r="J240" s="218">
        <f t="shared" si="103"/>
        <v>-14.958606357168243</v>
      </c>
      <c r="K240" s="218">
        <f t="shared" si="104"/>
        <v>-1.6641936206841792</v>
      </c>
      <c r="L240" s="218">
        <f t="shared" si="105"/>
        <v>-91.49251933529969</v>
      </c>
      <c r="M240" s="192">
        <f t="shared" si="108"/>
        <v>-571.97913160713108</v>
      </c>
      <c r="N240" s="211">
        <v>68</v>
      </c>
      <c r="O240" s="211">
        <f>'Emission-Waste Transport Vehicl'!N38</f>
        <v>29.528118159408002</v>
      </c>
      <c r="P240" s="211">
        <f>'Emission-Waste Transport Vehicl'!O38</f>
        <v>42.957262313856006</v>
      </c>
      <c r="Q240" s="211">
        <f>'Emission-Waste Transport Vehicl'!P38</f>
        <v>16.428952975248002</v>
      </c>
      <c r="R240" s="211">
        <f>'Emission-Waste Transport Vehicl'!Q38</f>
        <v>12.759186851135999</v>
      </c>
      <c r="S240" s="211">
        <f>'Emission-Waste Transport Vehicl'!R38</f>
        <v>1.269919067472</v>
      </c>
      <c r="T240" s="211">
        <f>'Emission-Waste Transport Vehicl'!S38</f>
        <v>5.8396278378240005E-2</v>
      </c>
      <c r="U240" s="174">
        <f t="shared" si="92"/>
        <v>-38894.580949284915</v>
      </c>
      <c r="V240" s="1850">
        <f t="shared" si="93"/>
        <v>-523.12243648029312</v>
      </c>
      <c r="W240" s="1850">
        <f t="shared" si="94"/>
        <v>-636.24422223305237</v>
      </c>
      <c r="X240" s="1850">
        <f t="shared" si="95"/>
        <v>-5417.634499945334</v>
      </c>
      <c r="Y240" s="1850">
        <f t="shared" si="96"/>
        <v>-190.8596535437004</v>
      </c>
      <c r="Z240" s="1850">
        <f t="shared" si="97"/>
        <v>-2.1133912108721042</v>
      </c>
      <c r="AA240" s="1850">
        <f t="shared" si="98"/>
        <v>-5.3428226286306666</v>
      </c>
      <c r="AB240" s="2733"/>
      <c r="AC240" s="3009"/>
    </row>
    <row r="241" spans="1:29" ht="18.75" x14ac:dyDescent="0.25">
      <c r="A241" s="2982"/>
      <c r="B241" s="2993"/>
      <c r="C241" s="1863">
        <v>2025</v>
      </c>
      <c r="D241" s="218">
        <f t="shared" si="99"/>
        <v>-591590.52504849702</v>
      </c>
      <c r="E241" s="218">
        <f t="shared" si="106"/>
        <v>18516.182618621537</v>
      </c>
      <c r="F241" s="218">
        <f t="shared" si="107"/>
        <v>1095.2108227444905</v>
      </c>
      <c r="G241" s="218">
        <f t="shared" si="100"/>
        <v>-17.716077728225301</v>
      </c>
      <c r="H241" s="218">
        <f t="shared" si="101"/>
        <v>-14.811098006770084</v>
      </c>
      <c r="I241" s="218">
        <f t="shared" si="102"/>
        <v>-329.7613979483408</v>
      </c>
      <c r="J241" s="218">
        <f t="shared" si="103"/>
        <v>-14.958606357168243</v>
      </c>
      <c r="K241" s="218">
        <f t="shared" si="104"/>
        <v>-1.6641936206841792</v>
      </c>
      <c r="L241" s="218">
        <f t="shared" si="105"/>
        <v>-91.49251933529969</v>
      </c>
      <c r="M241" s="192">
        <f t="shared" si="108"/>
        <v>-571.97913160713108</v>
      </c>
      <c r="N241" s="211">
        <v>69</v>
      </c>
      <c r="O241" s="211">
        <f>'Emission-Waste Transport Vehicl'!N39</f>
        <v>28.951053246720004</v>
      </c>
      <c r="P241" s="211">
        <f>'Emission-Waste Transport Vehicl'!O39</f>
        <v>42.117753047040004</v>
      </c>
      <c r="Q241" s="211">
        <f>'Emission-Waste Transport Vehicl'!P39</f>
        <v>16.10788367232</v>
      </c>
      <c r="R241" s="211">
        <f>'Emission-Waste Transport Vehicl'!Q39</f>
        <v>12.50983540224</v>
      </c>
      <c r="S241" s="211">
        <f>'Emission-Waste Transport Vehicl'!R39</f>
        <v>1.2451011724800001</v>
      </c>
      <c r="T241" s="211">
        <f>'Emission-Waste Transport Vehicl'!S39</f>
        <v>5.7255046041600005E-2</v>
      </c>
      <c r="U241" s="174">
        <f t="shared" si="92"/>
        <v>-39466.560080892043</v>
      </c>
      <c r="V241" s="1850">
        <f t="shared" si="93"/>
        <v>-512.89910963288105</v>
      </c>
      <c r="W241" s="1850">
        <f t="shared" si="94"/>
        <v>-623.8101682046489</v>
      </c>
      <c r="X241" s="1850">
        <f t="shared" si="95"/>
        <v>-5311.7582377734971</v>
      </c>
      <c r="Y241" s="1850">
        <f t="shared" si="96"/>
        <v>-187.12970337507562</v>
      </c>
      <c r="Z241" s="1850">
        <f t="shared" si="97"/>
        <v>-2.0720894283476081</v>
      </c>
      <c r="AA241" s="1850">
        <f t="shared" si="98"/>
        <v>-5.2384084070045622</v>
      </c>
      <c r="AB241" s="2733"/>
      <c r="AC241" s="3009"/>
    </row>
    <row r="242" spans="1:29" ht="18.75" x14ac:dyDescent="0.25">
      <c r="A242" s="2982"/>
      <c r="B242" s="2993"/>
      <c r="C242" s="1863">
        <v>2026</v>
      </c>
      <c r="D242" s="218">
        <f t="shared" si="99"/>
        <v>-591590.52504849702</v>
      </c>
      <c r="E242" s="218">
        <f t="shared" si="106"/>
        <v>18516.182618621537</v>
      </c>
      <c r="F242" s="218">
        <f t="shared" si="107"/>
        <v>1095.2108227444905</v>
      </c>
      <c r="G242" s="218">
        <f t="shared" si="100"/>
        <v>-17.716077728225301</v>
      </c>
      <c r="H242" s="218">
        <f t="shared" si="101"/>
        <v>-14.811098006770084</v>
      </c>
      <c r="I242" s="218">
        <f t="shared" si="102"/>
        <v>-329.7613979483408</v>
      </c>
      <c r="J242" s="218">
        <f t="shared" si="103"/>
        <v>-14.958606357168243</v>
      </c>
      <c r="K242" s="218">
        <f t="shared" si="104"/>
        <v>-1.6641936206841792</v>
      </c>
      <c r="L242" s="218">
        <f t="shared" si="105"/>
        <v>-91.49251933529969</v>
      </c>
      <c r="M242" s="192">
        <f t="shared" si="108"/>
        <v>-571.97913160713108</v>
      </c>
      <c r="N242" s="211">
        <v>70</v>
      </c>
      <c r="O242" s="211">
        <f>'Emission-Waste Transport Vehicl'!N40</f>
        <v>28.383769095264007</v>
      </c>
      <c r="P242" s="211">
        <f>'Emission-Waste Transport Vehicl'!O40</f>
        <v>41.292472750848006</v>
      </c>
      <c r="Q242" s="211">
        <f>'Emission-Waste Transport Vehicl'!P40</f>
        <v>15.792256221984003</v>
      </c>
      <c r="R242" s="211">
        <f>'Emission-Waste Transport Vehicl'!Q40</f>
        <v>12.264710249088001</v>
      </c>
      <c r="S242" s="211">
        <f>'Emission-Waste Transport Vehicl'!R40</f>
        <v>1.2207039197760001</v>
      </c>
      <c r="T242" s="211">
        <f>'Emission-Waste Transport Vehicl'!S40</f>
        <v>5.6133156625920007E-2</v>
      </c>
      <c r="U242" s="174">
        <f t="shared" si="92"/>
        <v>-40038.539212499178</v>
      </c>
      <c r="V242" s="1850">
        <f t="shared" si="93"/>
        <v>-502.84905951169628</v>
      </c>
      <c r="W242" s="1850">
        <f t="shared" si="94"/>
        <v>-611.58686085469287</v>
      </c>
      <c r="X242" s="1850">
        <f t="shared" si="95"/>
        <v>-5207.6764885198281</v>
      </c>
      <c r="Y242" s="1850">
        <f t="shared" si="96"/>
        <v>-183.46297270083429</v>
      </c>
      <c r="Z242" s="1850">
        <f t="shared" si="97"/>
        <v>-2.0314876760353915</v>
      </c>
      <c r="AA242" s="1850">
        <f t="shared" si="98"/>
        <v>-5.1357639179483918</v>
      </c>
      <c r="AB242" s="2733"/>
      <c r="AC242" s="3009"/>
    </row>
    <row r="243" spans="1:29" ht="18.75" x14ac:dyDescent="0.25">
      <c r="A243" s="2982"/>
      <c r="B243" s="2993"/>
      <c r="C243" s="1863">
        <v>2027</v>
      </c>
      <c r="D243" s="218">
        <f t="shared" si="99"/>
        <v>-591590.52504849702</v>
      </c>
      <c r="E243" s="218">
        <f t="shared" si="106"/>
        <v>18516.182618621537</v>
      </c>
      <c r="F243" s="218">
        <f t="shared" si="107"/>
        <v>1095.2108227444905</v>
      </c>
      <c r="G243" s="218">
        <f t="shared" si="100"/>
        <v>-17.716077728225301</v>
      </c>
      <c r="H243" s="218">
        <f t="shared" si="101"/>
        <v>-14.811098006770084</v>
      </c>
      <c r="I243" s="218">
        <f t="shared" si="102"/>
        <v>-329.7613979483408</v>
      </c>
      <c r="J243" s="218">
        <f t="shared" si="103"/>
        <v>-14.958606357168243</v>
      </c>
      <c r="K243" s="218">
        <f t="shared" si="104"/>
        <v>-1.6641936206841792</v>
      </c>
      <c r="L243" s="218">
        <f t="shared" si="105"/>
        <v>-91.49251933529969</v>
      </c>
      <c r="M243" s="192">
        <f t="shared" si="108"/>
        <v>-571.97913160713108</v>
      </c>
      <c r="N243" s="211">
        <v>71</v>
      </c>
      <c r="O243" s="211">
        <f>'Emission-Waste Transport Vehicl'!N41</f>
        <v>27.826265705040004</v>
      </c>
      <c r="P243" s="211">
        <f>'Emission-Waste Transport Vehicl'!O41</f>
        <v>40.481421425280004</v>
      </c>
      <c r="Q243" s="211">
        <f>'Emission-Waste Transport Vehicl'!P41</f>
        <v>15.482070624240002</v>
      </c>
      <c r="R243" s="211">
        <f>'Emission-Waste Transport Vehicl'!Q41</f>
        <v>12.023811391680001</v>
      </c>
      <c r="S243" s="211">
        <f>'Emission-Waste Transport Vehicl'!R41</f>
        <v>1.1967273093600002</v>
      </c>
      <c r="T243" s="211">
        <f>'Emission-Waste Transport Vehicl'!S41</f>
        <v>5.503061013120001E-2</v>
      </c>
      <c r="U243" s="174">
        <f t="shared" si="92"/>
        <v>-40610.518344106305</v>
      </c>
      <c r="V243" s="1850">
        <f t="shared" si="93"/>
        <v>-492.9722861167387</v>
      </c>
      <c r="W243" s="1850">
        <f t="shared" si="94"/>
        <v>-599.5743001831845</v>
      </c>
      <c r="X243" s="1850">
        <f t="shared" si="95"/>
        <v>-5105.3892521843245</v>
      </c>
      <c r="Y243" s="1850">
        <f t="shared" si="96"/>
        <v>-179.8594615209764</v>
      </c>
      <c r="Z243" s="1850">
        <f t="shared" si="97"/>
        <v>-1.9915859539354546</v>
      </c>
      <c r="AA243" s="1850">
        <f t="shared" si="98"/>
        <v>-5.0348891614621563</v>
      </c>
      <c r="AB243" s="2733"/>
      <c r="AC243" s="3009"/>
    </row>
    <row r="244" spans="1:29" ht="18.75" x14ac:dyDescent="0.25">
      <c r="A244" s="2982"/>
      <c r="B244" s="2993"/>
      <c r="C244" s="1863">
        <v>2028</v>
      </c>
      <c r="D244" s="218">
        <f t="shared" si="99"/>
        <v>-591590.52504849702</v>
      </c>
      <c r="E244" s="218">
        <f t="shared" si="106"/>
        <v>18516.182618621537</v>
      </c>
      <c r="F244" s="218">
        <f t="shared" si="107"/>
        <v>1095.2108227444905</v>
      </c>
      <c r="G244" s="218">
        <f t="shared" si="100"/>
        <v>-17.716077728225301</v>
      </c>
      <c r="H244" s="218">
        <f t="shared" si="101"/>
        <v>-14.811098006770084</v>
      </c>
      <c r="I244" s="218">
        <f t="shared" si="102"/>
        <v>-329.7613979483408</v>
      </c>
      <c r="J244" s="218">
        <f t="shared" si="103"/>
        <v>-14.958606357168243</v>
      </c>
      <c r="K244" s="218">
        <f t="shared" si="104"/>
        <v>-1.6641936206841792</v>
      </c>
      <c r="L244" s="218">
        <f t="shared" si="105"/>
        <v>-91.49251933529969</v>
      </c>
      <c r="M244" s="192">
        <f t="shared" si="108"/>
        <v>-571.97913160713108</v>
      </c>
      <c r="N244" s="211">
        <v>72</v>
      </c>
      <c r="O244" s="211">
        <f>'Emission-Waste Transport Vehicl'!N42</f>
        <v>27.281803329792002</v>
      </c>
      <c r="P244" s="211">
        <f>'Emission-Waste Transport Vehicl'!O42</f>
        <v>39.689342060544</v>
      </c>
      <c r="Q244" s="211">
        <f>'Emission-Waste Transport Vehicl'!P42</f>
        <v>15.179140829952001</v>
      </c>
      <c r="R244" s="211">
        <f>'Emission-Waste Transport Vehicl'!Q42</f>
        <v>11.788547595263999</v>
      </c>
      <c r="S244" s="211">
        <f>'Emission-Waste Transport Vehicl'!R42</f>
        <v>1.173311555328</v>
      </c>
      <c r="T244" s="211">
        <f>'Emission-Waste Transport Vehicl'!S42</f>
        <v>5.3953854197759998E-2</v>
      </c>
      <c r="U244" s="174">
        <f t="shared" si="92"/>
        <v>-41182.497475713441</v>
      </c>
      <c r="V244" s="1850">
        <f t="shared" si="93"/>
        <v>-483.32654835675095</v>
      </c>
      <c r="W244" s="1850">
        <f t="shared" si="94"/>
        <v>-587.84273508293927</v>
      </c>
      <c r="X244" s="1850">
        <f t="shared" si="95"/>
        <v>-5005.4946997397101</v>
      </c>
      <c r="Y244" s="1850">
        <f t="shared" si="96"/>
        <v>-176.34024300029645</v>
      </c>
      <c r="Z244" s="1850">
        <f t="shared" si="97"/>
        <v>-1.95261760545189</v>
      </c>
      <c r="AA244" s="1850">
        <f t="shared" si="98"/>
        <v>-4.9363740484024969</v>
      </c>
      <c r="AB244" s="2733"/>
      <c r="AC244" s="3009"/>
    </row>
    <row r="245" spans="1:29" ht="18.75" x14ac:dyDescent="0.25">
      <c r="A245" s="2982"/>
      <c r="B245" s="2993"/>
      <c r="C245" s="1863">
        <v>2029</v>
      </c>
      <c r="D245" s="218">
        <f t="shared" si="99"/>
        <v>-591590.52504849702</v>
      </c>
      <c r="E245" s="218">
        <f t="shared" si="106"/>
        <v>18516.182618621537</v>
      </c>
      <c r="F245" s="218">
        <f t="shared" si="107"/>
        <v>1095.2108227444905</v>
      </c>
      <c r="G245" s="218">
        <f t="shared" si="100"/>
        <v>-17.716077728225301</v>
      </c>
      <c r="H245" s="218">
        <f t="shared" si="101"/>
        <v>-14.811098006770084</v>
      </c>
      <c r="I245" s="218">
        <f t="shared" si="102"/>
        <v>-329.7613979483408</v>
      </c>
      <c r="J245" s="218">
        <f t="shared" si="103"/>
        <v>-14.958606357168243</v>
      </c>
      <c r="K245" s="218">
        <f t="shared" si="104"/>
        <v>-1.6641936206841792</v>
      </c>
      <c r="L245" s="218">
        <f t="shared" si="105"/>
        <v>-91.49251933529969</v>
      </c>
      <c r="M245" s="192">
        <f t="shared" si="108"/>
        <v>-571.97913160713108</v>
      </c>
      <c r="N245" s="211">
        <v>73</v>
      </c>
      <c r="O245" s="211">
        <f>'Emission-Waste Transport Vehicl'!N43</f>
        <v>26.743861462032005</v>
      </c>
      <c r="P245" s="211">
        <f>'Emission-Waste Transport Vehicl'!O43</f>
        <v>38.906748676224005</v>
      </c>
      <c r="Q245" s="211">
        <f>'Emission-Waste Transport Vehicl'!P43</f>
        <v>14.879838937392002</v>
      </c>
      <c r="R245" s="211">
        <f>'Emission-Waste Transport Vehicl'!Q43</f>
        <v>11.556101329344001</v>
      </c>
      <c r="S245" s="211">
        <f>'Emission-Waste Transport Vehicl'!R43</f>
        <v>1.1501762294880002</v>
      </c>
      <c r="T245" s="211">
        <f>'Emission-Waste Transport Vehicl'!S43</f>
        <v>5.2889993544960004E-2</v>
      </c>
      <c r="U245" s="174">
        <f t="shared" si="92"/>
        <v>-41754.476607320568</v>
      </c>
      <c r="V245" s="1850">
        <f t="shared" si="93"/>
        <v>-473.79632841424814</v>
      </c>
      <c r="W245" s="1850">
        <f t="shared" si="94"/>
        <v>-576.251667768326</v>
      </c>
      <c r="X245" s="1850">
        <f t="shared" si="95"/>
        <v>-4906.7964892405407</v>
      </c>
      <c r="Y245" s="1850">
        <f t="shared" si="96"/>
        <v>-172.86317080920557</v>
      </c>
      <c r="Z245" s="1850">
        <f t="shared" si="97"/>
        <v>-1.9141159437765125</v>
      </c>
      <c r="AA245" s="1850">
        <f t="shared" si="98"/>
        <v>-4.8390387570561293</v>
      </c>
      <c r="AB245" s="2733"/>
      <c r="AC245" s="3009"/>
    </row>
    <row r="246" spans="1:29" ht="18.75" x14ac:dyDescent="0.25">
      <c r="A246" s="2982"/>
      <c r="B246" s="2993"/>
      <c r="C246" s="1863">
        <v>2030</v>
      </c>
      <c r="D246" s="218">
        <f t="shared" si="99"/>
        <v>-591590.52504849702</v>
      </c>
      <c r="E246" s="218">
        <f t="shared" si="106"/>
        <v>18516.182618621537</v>
      </c>
      <c r="F246" s="218">
        <f t="shared" si="107"/>
        <v>1095.2108227444905</v>
      </c>
      <c r="G246" s="218">
        <f t="shared" si="100"/>
        <v>-17.716077728225301</v>
      </c>
      <c r="H246" s="218">
        <f t="shared" si="101"/>
        <v>-14.811098006770084</v>
      </c>
      <c r="I246" s="218">
        <f t="shared" si="102"/>
        <v>-329.7613979483408</v>
      </c>
      <c r="J246" s="218">
        <f t="shared" si="103"/>
        <v>-14.958606357168243</v>
      </c>
      <c r="K246" s="218">
        <f t="shared" si="104"/>
        <v>-1.6641936206841792</v>
      </c>
      <c r="L246" s="218">
        <f t="shared" si="105"/>
        <v>-91.49251933529969</v>
      </c>
      <c r="M246" s="192">
        <f t="shared" si="108"/>
        <v>-571.97913160713108</v>
      </c>
      <c r="N246" s="211">
        <v>75</v>
      </c>
      <c r="O246" s="211">
        <f>'Emission-Waste Transport Vehicl'!N44</f>
        <v>26.222220862992003</v>
      </c>
      <c r="P246" s="211">
        <f>'Emission-Waste Transport Vehicl'!O44</f>
        <v>38.147870242944002</v>
      </c>
      <c r="Q246" s="211">
        <f>'Emission-Waste Transport Vehicl'!P44</f>
        <v>14.589606799152003</v>
      </c>
      <c r="R246" s="211">
        <f>'Emission-Waste Transport Vehicl'!Q44</f>
        <v>11.330698889664001</v>
      </c>
      <c r="S246" s="211">
        <f>'Emission-Waste Transport Vehicl'!R44</f>
        <v>1.1277419741280001</v>
      </c>
      <c r="T246" s="211">
        <f>'Emission-Waste Transport Vehicl'!S44</f>
        <v>5.1858371093760007E-2</v>
      </c>
      <c r="U246" s="174">
        <f t="shared" si="92"/>
        <v>-42898.434870534831</v>
      </c>
      <c r="V246" s="1850">
        <f t="shared" si="93"/>
        <v>-464.55490301545746</v>
      </c>
      <c r="W246" s="1850">
        <f t="shared" si="94"/>
        <v>-565.01184491779168</v>
      </c>
      <c r="X246" s="1850">
        <f t="shared" si="95"/>
        <v>-4811.0891336049826</v>
      </c>
      <c r="Y246" s="1850">
        <f t="shared" si="96"/>
        <v>-169.49146444208708</v>
      </c>
      <c r="Z246" s="1850">
        <f t="shared" si="97"/>
        <v>-1.8767809991216005</v>
      </c>
      <c r="AA246" s="1850">
        <f t="shared" si="98"/>
        <v>-4.7446530199929837</v>
      </c>
      <c r="AB246" s="2733"/>
      <c r="AC246" s="3009"/>
    </row>
    <row r="247" spans="1:29" ht="18.75" x14ac:dyDescent="0.25">
      <c r="A247" s="2982"/>
      <c r="B247" s="2993"/>
      <c r="C247" s="1863">
        <v>2031</v>
      </c>
      <c r="D247" s="218">
        <f t="shared" si="99"/>
        <v>-591590.52504849702</v>
      </c>
      <c r="E247" s="218">
        <f t="shared" si="106"/>
        <v>18516.182618621537</v>
      </c>
      <c r="F247" s="218">
        <f t="shared" si="107"/>
        <v>1095.2108227444905</v>
      </c>
      <c r="G247" s="218">
        <f t="shared" si="100"/>
        <v>-17.716077728225301</v>
      </c>
      <c r="H247" s="218">
        <f t="shared" si="101"/>
        <v>-14.811098006770084</v>
      </c>
      <c r="I247" s="218">
        <f t="shared" si="102"/>
        <v>-329.7613979483408</v>
      </c>
      <c r="J247" s="218">
        <f t="shared" si="103"/>
        <v>-14.958606357168243</v>
      </c>
      <c r="K247" s="218">
        <f t="shared" si="104"/>
        <v>-1.6641936206841792</v>
      </c>
      <c r="L247" s="218">
        <f t="shared" si="105"/>
        <v>-91.49251933529969</v>
      </c>
      <c r="M247" s="192">
        <f t="shared" si="108"/>
        <v>-571.97913160713108</v>
      </c>
      <c r="N247" s="211">
        <v>76</v>
      </c>
      <c r="O247" s="211">
        <f>'Emission-Waste Transport Vehicl'!N45</f>
        <v>25.70710077144</v>
      </c>
      <c r="P247" s="211">
        <f>'Emission-Waste Transport Vehicl'!O45</f>
        <v>37.398477790080001</v>
      </c>
      <c r="Q247" s="211">
        <f>'Emission-Waste Transport Vehicl'!P45</f>
        <v>14.303002562640001</v>
      </c>
      <c r="R247" s="211">
        <f>'Emission-Waste Transport Vehicl'!Q45</f>
        <v>11.108113980480001</v>
      </c>
      <c r="S247" s="211">
        <f>'Emission-Waste Transport Vehicl'!R45</f>
        <v>1.1055881469600002</v>
      </c>
      <c r="T247" s="211">
        <f>'Emission-Waste Transport Vehicl'!S45</f>
        <v>5.0839643923200006E-2</v>
      </c>
      <c r="U247" s="174">
        <f t="shared" si="92"/>
        <v>-43470.414002141959</v>
      </c>
      <c r="V247" s="1850">
        <f t="shared" si="93"/>
        <v>-455.42899543415166</v>
      </c>
      <c r="W247" s="1850">
        <f t="shared" si="94"/>
        <v>-553.9125198528892</v>
      </c>
      <c r="X247" s="1850">
        <f t="shared" si="95"/>
        <v>-4716.5781199148678</v>
      </c>
      <c r="Y247" s="1850">
        <f t="shared" si="96"/>
        <v>-166.16190440455756</v>
      </c>
      <c r="Z247" s="1850">
        <f t="shared" si="97"/>
        <v>-1.839912741274875</v>
      </c>
      <c r="AA247" s="1850">
        <f t="shared" si="98"/>
        <v>-4.651447104643128</v>
      </c>
      <c r="AB247" s="2733"/>
      <c r="AC247" s="3009"/>
    </row>
    <row r="248" spans="1:29" ht="18.75" x14ac:dyDescent="0.25">
      <c r="A248" s="2982"/>
      <c r="B248" s="2993"/>
      <c r="C248" s="1863">
        <v>2032</v>
      </c>
      <c r="D248" s="218">
        <f t="shared" si="99"/>
        <v>-591590.52504849702</v>
      </c>
      <c r="E248" s="218">
        <f t="shared" si="106"/>
        <v>18516.182618621537</v>
      </c>
      <c r="F248" s="218">
        <f t="shared" si="107"/>
        <v>1095.2108227444905</v>
      </c>
      <c r="G248" s="218">
        <f t="shared" si="100"/>
        <v>-17.716077728225301</v>
      </c>
      <c r="H248" s="218">
        <f t="shared" si="101"/>
        <v>-14.811098006770084</v>
      </c>
      <c r="I248" s="218">
        <f t="shared" si="102"/>
        <v>-329.7613979483408</v>
      </c>
      <c r="J248" s="218">
        <f t="shared" si="103"/>
        <v>-14.958606357168243</v>
      </c>
      <c r="K248" s="218">
        <f t="shared" si="104"/>
        <v>-1.6641936206841792</v>
      </c>
      <c r="L248" s="218">
        <f t="shared" si="105"/>
        <v>-91.49251933529969</v>
      </c>
      <c r="M248" s="192">
        <f t="shared" si="108"/>
        <v>-571.97913160713108</v>
      </c>
      <c r="N248" s="211">
        <v>77</v>
      </c>
      <c r="O248" s="211">
        <f>'Emission-Waste Transport Vehicl'!N46</f>
        <v>25.201761441120002</v>
      </c>
      <c r="P248" s="211">
        <f>'Emission-Waste Transport Vehicl'!O46</f>
        <v>36.663314307840004</v>
      </c>
      <c r="Q248" s="211">
        <f>'Emission-Waste Transport Vehicl'!P46</f>
        <v>14.021840178720002</v>
      </c>
      <c r="R248" s="211">
        <f>'Emission-Waste Transport Vehicl'!Q46</f>
        <v>10.889755367040001</v>
      </c>
      <c r="S248" s="211">
        <f>'Emission-Waste Transport Vehicl'!R46</f>
        <v>1.0838549620800002</v>
      </c>
      <c r="T248" s="211">
        <f>'Emission-Waste Transport Vehicl'!S46</f>
        <v>4.9840259673600007E-2</v>
      </c>
      <c r="U248" s="174">
        <f t="shared" si="92"/>
        <v>-44042.393133749094</v>
      </c>
      <c r="V248" s="1850">
        <f t="shared" si="93"/>
        <v>-446.47636457907322</v>
      </c>
      <c r="W248" s="1850">
        <f t="shared" si="94"/>
        <v>-543.02394146643417</v>
      </c>
      <c r="X248" s="1850">
        <f t="shared" si="95"/>
        <v>-4623.861619142921</v>
      </c>
      <c r="Y248" s="1850">
        <f t="shared" si="96"/>
        <v>-162.89556386141155</v>
      </c>
      <c r="Z248" s="1850">
        <f t="shared" si="97"/>
        <v>-1.8037445136404293</v>
      </c>
      <c r="AA248" s="1850">
        <f t="shared" si="98"/>
        <v>-4.5600109218632063</v>
      </c>
      <c r="AB248" s="2733"/>
      <c r="AC248" s="3009"/>
    </row>
    <row r="249" spans="1:29" ht="18.75" x14ac:dyDescent="0.25">
      <c r="A249" s="2982"/>
      <c r="B249" s="2993"/>
      <c r="C249" s="1863">
        <v>2033</v>
      </c>
      <c r="D249" s="218">
        <f t="shared" si="99"/>
        <v>-591590.52504849702</v>
      </c>
      <c r="E249" s="218">
        <f t="shared" si="106"/>
        <v>18516.182618621537</v>
      </c>
      <c r="F249" s="218">
        <f t="shared" si="107"/>
        <v>1095.2108227444905</v>
      </c>
      <c r="G249" s="218">
        <f t="shared" si="100"/>
        <v>-17.716077728225301</v>
      </c>
      <c r="H249" s="218">
        <f t="shared" si="101"/>
        <v>-14.811098006770084</v>
      </c>
      <c r="I249" s="218">
        <f t="shared" si="102"/>
        <v>-329.7613979483408</v>
      </c>
      <c r="J249" s="218">
        <f t="shared" si="103"/>
        <v>-14.958606357168243</v>
      </c>
      <c r="K249" s="218">
        <f t="shared" si="104"/>
        <v>-1.6641936206841792</v>
      </c>
      <c r="L249" s="218">
        <f t="shared" si="105"/>
        <v>-91.49251933529969</v>
      </c>
      <c r="M249" s="192">
        <f t="shared" si="108"/>
        <v>-571.97913160713108</v>
      </c>
      <c r="N249" s="211">
        <v>78</v>
      </c>
      <c r="O249" s="211">
        <f>'Emission-Waste Transport Vehicl'!N47</f>
        <v>24.709463125776001</v>
      </c>
      <c r="P249" s="211">
        <f>'Emission-Waste Transport Vehicl'!O47</f>
        <v>35.947122786432004</v>
      </c>
      <c r="Q249" s="211">
        <f>'Emission-Waste Transport Vehicl'!P47</f>
        <v>13.747933598256003</v>
      </c>
      <c r="R249" s="211">
        <f>'Emission-Waste Transport Vehicl'!Q47</f>
        <v>10.677031814592</v>
      </c>
      <c r="S249" s="211">
        <f>'Emission-Waste Transport Vehicl'!R47</f>
        <v>1.0626826335840001</v>
      </c>
      <c r="T249" s="211">
        <f>'Emission-Waste Transport Vehicl'!S47</f>
        <v>4.8866665985280007E-2</v>
      </c>
      <c r="U249" s="174">
        <f t="shared" si="92"/>
        <v>-44614.372265356222</v>
      </c>
      <c r="V249" s="1850">
        <f t="shared" si="93"/>
        <v>-437.75476935896455</v>
      </c>
      <c r="W249" s="1850">
        <f t="shared" si="94"/>
        <v>-532.41635865124249</v>
      </c>
      <c r="X249" s="1850">
        <f t="shared" si="95"/>
        <v>-4533.5378022618625</v>
      </c>
      <c r="Y249" s="1850">
        <f t="shared" si="96"/>
        <v>-159.71351597744348</v>
      </c>
      <c r="Z249" s="1850">
        <f t="shared" si="97"/>
        <v>-1.768509659622356</v>
      </c>
      <c r="AA249" s="1850">
        <f t="shared" si="98"/>
        <v>-4.4709343825098626</v>
      </c>
      <c r="AB249" s="2733"/>
      <c r="AC249" s="3009"/>
    </row>
    <row r="250" spans="1:29" ht="18.75" x14ac:dyDescent="0.25">
      <c r="A250" s="2982"/>
      <c r="B250" s="2993"/>
      <c r="C250" s="1863">
        <v>2034</v>
      </c>
      <c r="D250" s="218">
        <f t="shared" si="99"/>
        <v>-591590.52504849702</v>
      </c>
      <c r="E250" s="218">
        <f t="shared" si="106"/>
        <v>18516.182618621537</v>
      </c>
      <c r="F250" s="218">
        <f t="shared" si="107"/>
        <v>1095.2108227444905</v>
      </c>
      <c r="G250" s="218">
        <f t="shared" si="100"/>
        <v>-17.716077728225301</v>
      </c>
      <c r="H250" s="218">
        <f t="shared" si="101"/>
        <v>-14.811098006770084</v>
      </c>
      <c r="I250" s="218">
        <f t="shared" si="102"/>
        <v>-329.7613979483408</v>
      </c>
      <c r="J250" s="218">
        <f t="shared" si="103"/>
        <v>-14.958606357168243</v>
      </c>
      <c r="K250" s="218">
        <f t="shared" si="104"/>
        <v>-1.6641936206841792</v>
      </c>
      <c r="L250" s="218">
        <f t="shared" si="105"/>
        <v>-91.49251933529969</v>
      </c>
      <c r="M250" s="192">
        <f t="shared" si="108"/>
        <v>-571.97913160713108</v>
      </c>
      <c r="N250" s="211">
        <v>79</v>
      </c>
      <c r="O250" s="211">
        <f>'Emission-Waste Transport Vehicl'!N48</f>
        <v>24.223685317920005</v>
      </c>
      <c r="P250" s="211">
        <f>'Emission-Waste Transport Vehicl'!O48</f>
        <v>35.24041724544</v>
      </c>
      <c r="Q250" s="211">
        <f>'Emission-Waste Transport Vehicl'!P48</f>
        <v>13.477654919520001</v>
      </c>
      <c r="R250" s="211">
        <f>'Emission-Waste Transport Vehicl'!Q48</f>
        <v>10.467125792640001</v>
      </c>
      <c r="S250" s="211">
        <f>'Emission-Waste Transport Vehicl'!R48</f>
        <v>1.04179073328</v>
      </c>
      <c r="T250" s="211">
        <f>'Emission-Waste Transport Vehicl'!S48</f>
        <v>4.7905967577600003E-2</v>
      </c>
      <c r="U250" s="174">
        <f t="shared" si="92"/>
        <v>-45186.351396963357</v>
      </c>
      <c r="V250" s="1850">
        <f t="shared" si="93"/>
        <v>-429.14869195634083</v>
      </c>
      <c r="W250" s="1850">
        <f t="shared" si="94"/>
        <v>-521.94927362168244</v>
      </c>
      <c r="X250" s="1850">
        <f t="shared" si="95"/>
        <v>-4444.4103273262481</v>
      </c>
      <c r="Y250" s="1850">
        <f t="shared" si="96"/>
        <v>-156.57361442306441</v>
      </c>
      <c r="Z250" s="1850">
        <f t="shared" si="97"/>
        <v>-1.7337414924124692</v>
      </c>
      <c r="AA250" s="1850">
        <f t="shared" si="98"/>
        <v>-4.3830376648698079</v>
      </c>
      <c r="AB250" s="2733"/>
      <c r="AC250" s="3009"/>
    </row>
    <row r="251" spans="1:29" ht="18.75" x14ac:dyDescent="0.25">
      <c r="A251" s="2982"/>
      <c r="B251" s="2993"/>
      <c r="C251" s="1863">
        <v>2035</v>
      </c>
      <c r="D251" s="218">
        <f t="shared" si="99"/>
        <v>-591590.52504849702</v>
      </c>
      <c r="E251" s="218">
        <f t="shared" si="106"/>
        <v>18516.182618621537</v>
      </c>
      <c r="F251" s="218">
        <f t="shared" si="107"/>
        <v>1095.2108227444905</v>
      </c>
      <c r="G251" s="218">
        <f t="shared" si="100"/>
        <v>-17.716077728225301</v>
      </c>
      <c r="H251" s="218">
        <f t="shared" si="101"/>
        <v>-14.811098006770084</v>
      </c>
      <c r="I251" s="218">
        <f t="shared" si="102"/>
        <v>-329.7613979483408</v>
      </c>
      <c r="J251" s="218">
        <f t="shared" si="103"/>
        <v>-14.958606357168243</v>
      </c>
      <c r="K251" s="218">
        <f t="shared" si="104"/>
        <v>-1.6641936206841792</v>
      </c>
      <c r="L251" s="218">
        <f t="shared" si="105"/>
        <v>-91.49251933529969</v>
      </c>
      <c r="M251" s="192">
        <f t="shared" si="108"/>
        <v>-571.97913160713108</v>
      </c>
      <c r="N251" s="211">
        <v>80</v>
      </c>
      <c r="O251" s="211">
        <f>'Emission-Waste Transport Vehicl'!N49</f>
        <v>23.747688271296006</v>
      </c>
      <c r="P251" s="211">
        <f>'Emission-Waste Transport Vehicl'!O49</f>
        <v>34.547940675072006</v>
      </c>
      <c r="Q251" s="211">
        <f>'Emission-Waste Transport Vehicl'!P49</f>
        <v>13.212818093376002</v>
      </c>
      <c r="R251" s="211">
        <f>'Emission-Waste Transport Vehicl'!Q49</f>
        <v>10.261446066432002</v>
      </c>
      <c r="S251" s="211">
        <f>'Emission-Waste Transport Vehicl'!R49</f>
        <v>1.0213194752640002</v>
      </c>
      <c r="T251" s="211">
        <f>'Emission-Waste Transport Vehicl'!S49</f>
        <v>4.6964612090880008E-2</v>
      </c>
      <c r="U251" s="174">
        <f t="shared" si="92"/>
        <v>-45758.330528570485</v>
      </c>
      <c r="V251" s="1850">
        <f t="shared" si="93"/>
        <v>-420.71589127994434</v>
      </c>
      <c r="W251" s="1850">
        <f t="shared" si="94"/>
        <v>-511.6929352705701</v>
      </c>
      <c r="X251" s="1850">
        <f t="shared" si="95"/>
        <v>-4357.0773653088017</v>
      </c>
      <c r="Y251" s="1850">
        <f t="shared" si="96"/>
        <v>-153.49693236306882</v>
      </c>
      <c r="Z251" s="1850">
        <f t="shared" si="97"/>
        <v>-1.6996733554148626</v>
      </c>
      <c r="AA251" s="1850">
        <f t="shared" si="98"/>
        <v>-4.296910679799689</v>
      </c>
      <c r="AB251" s="2733"/>
      <c r="AC251" s="3009"/>
    </row>
    <row r="252" spans="1:29" ht="18.75" x14ac:dyDescent="0.25">
      <c r="A252" s="2982"/>
      <c r="B252" s="2993"/>
      <c r="C252" s="1863">
        <v>2036</v>
      </c>
      <c r="D252" s="218">
        <f t="shared" si="99"/>
        <v>-591590.52504849702</v>
      </c>
      <c r="E252" s="218">
        <f t="shared" si="106"/>
        <v>18516.182618621537</v>
      </c>
      <c r="F252" s="218">
        <f t="shared" si="107"/>
        <v>1095.2108227444905</v>
      </c>
      <c r="G252" s="218">
        <f t="shared" si="100"/>
        <v>-17.716077728225301</v>
      </c>
      <c r="H252" s="218">
        <f t="shared" si="101"/>
        <v>-14.811098006770084</v>
      </c>
      <c r="I252" s="218">
        <f t="shared" si="102"/>
        <v>-329.7613979483408</v>
      </c>
      <c r="J252" s="218">
        <f t="shared" si="103"/>
        <v>-14.958606357168243</v>
      </c>
      <c r="K252" s="218">
        <f t="shared" si="104"/>
        <v>-1.6641936206841792</v>
      </c>
      <c r="L252" s="218">
        <f t="shared" si="105"/>
        <v>-91.49251933529969</v>
      </c>
      <c r="M252" s="192">
        <f t="shared" si="108"/>
        <v>-571.97913160713108</v>
      </c>
      <c r="N252" s="211">
        <v>81</v>
      </c>
      <c r="O252" s="211">
        <f>'Emission-Waste Transport Vehicl'!N50</f>
        <v>23.284732239648001</v>
      </c>
      <c r="P252" s="211">
        <f>'Emission-Waste Transport Vehicl'!O50</f>
        <v>33.874436065536003</v>
      </c>
      <c r="Q252" s="211">
        <f>'Emission-Waste Transport Vehicl'!P50</f>
        <v>12.955237070688</v>
      </c>
      <c r="R252" s="211">
        <f>'Emission-Waste Transport Vehicl'!Q50</f>
        <v>10.061401401215999</v>
      </c>
      <c r="S252" s="211">
        <f>'Emission-Waste Transport Vehicl'!R50</f>
        <v>1.001409073632</v>
      </c>
      <c r="T252" s="211">
        <f>'Emission-Waste Transport Vehicl'!S50</f>
        <v>4.6049047165439998E-2</v>
      </c>
      <c r="U252" s="174">
        <f t="shared" si="92"/>
        <v>-46330.30966017762</v>
      </c>
      <c r="V252" s="1850">
        <f t="shared" si="93"/>
        <v>-412.51412623851758</v>
      </c>
      <c r="W252" s="1850">
        <f t="shared" si="94"/>
        <v>-501.71759249072096</v>
      </c>
      <c r="X252" s="1850">
        <f t="shared" si="95"/>
        <v>-4272.1370871822428</v>
      </c>
      <c r="Y252" s="1850">
        <f t="shared" si="96"/>
        <v>-150.50454296225112</v>
      </c>
      <c r="Z252" s="1850">
        <f t="shared" si="97"/>
        <v>-1.666538592033628</v>
      </c>
      <c r="AA252" s="1850">
        <f t="shared" si="98"/>
        <v>-4.2131433381561463</v>
      </c>
      <c r="AB252" s="2733"/>
      <c r="AC252" s="3009"/>
    </row>
    <row r="253" spans="1:29" ht="18.75" x14ac:dyDescent="0.25">
      <c r="A253" s="2982"/>
      <c r="B253" s="2993"/>
      <c r="C253" s="1863">
        <v>2037</v>
      </c>
      <c r="D253" s="218">
        <f t="shared" si="99"/>
        <v>-591590.52504849702</v>
      </c>
      <c r="E253" s="218">
        <f t="shared" si="106"/>
        <v>18516.182618621537</v>
      </c>
      <c r="F253" s="218">
        <f t="shared" si="107"/>
        <v>1095.2108227444905</v>
      </c>
      <c r="G253" s="218">
        <f t="shared" si="100"/>
        <v>-17.716077728225301</v>
      </c>
      <c r="H253" s="218">
        <f t="shared" si="101"/>
        <v>-14.811098006770084</v>
      </c>
      <c r="I253" s="218">
        <f t="shared" si="102"/>
        <v>-329.7613979483408</v>
      </c>
      <c r="J253" s="218">
        <f t="shared" si="103"/>
        <v>-14.958606357168243</v>
      </c>
      <c r="K253" s="218">
        <f t="shared" si="104"/>
        <v>-1.6641936206841792</v>
      </c>
      <c r="L253" s="218">
        <f t="shared" si="105"/>
        <v>-91.49251933529969</v>
      </c>
      <c r="M253" s="192">
        <f t="shared" si="108"/>
        <v>-571.97913160713108</v>
      </c>
      <c r="N253" s="211">
        <v>83</v>
      </c>
      <c r="O253" s="211">
        <f>'Emission-Waste Transport Vehicl'!N51</f>
        <v>22.828296715488005</v>
      </c>
      <c r="P253" s="211">
        <f>'Emission-Waste Transport Vehicl'!O51</f>
        <v>33.210417436416002</v>
      </c>
      <c r="Q253" s="211">
        <f>'Emission-Waste Transport Vehicl'!P51</f>
        <v>12.701283949728003</v>
      </c>
      <c r="R253" s="211">
        <f>'Emission-Waste Transport Vehicl'!Q51</f>
        <v>9.8641742664960006</v>
      </c>
      <c r="S253" s="211">
        <f>'Emission-Waste Transport Vehicl'!R51</f>
        <v>0.9817791001920001</v>
      </c>
      <c r="T253" s="211">
        <f>'Emission-Waste Transport Vehicl'!S51</f>
        <v>4.5146377520640005E-2</v>
      </c>
      <c r="U253" s="174">
        <f t="shared" si="92"/>
        <v>-47474.267923391883</v>
      </c>
      <c r="V253" s="1850">
        <f t="shared" si="93"/>
        <v>-404.42787901457581</v>
      </c>
      <c r="W253" s="1850">
        <f t="shared" si="94"/>
        <v>-491.8827474965035</v>
      </c>
      <c r="X253" s="1850">
        <f t="shared" si="95"/>
        <v>-4188.3931510011298</v>
      </c>
      <c r="Y253" s="1850">
        <f t="shared" si="96"/>
        <v>-147.55429989102245</v>
      </c>
      <c r="Z253" s="1850">
        <f t="shared" si="97"/>
        <v>-1.6338705154605802</v>
      </c>
      <c r="AA253" s="1850">
        <f t="shared" si="98"/>
        <v>-4.1305558182258952</v>
      </c>
      <c r="AB253" s="2733"/>
      <c r="AC253" s="3009"/>
    </row>
    <row r="254" spans="1:29" ht="18.75" x14ac:dyDescent="0.25">
      <c r="A254" s="2982"/>
      <c r="B254" s="2993"/>
      <c r="C254" s="1863">
        <v>2038</v>
      </c>
      <c r="D254" s="218">
        <f t="shared" si="99"/>
        <v>-591590.52504849702</v>
      </c>
      <c r="E254" s="218">
        <f t="shared" si="106"/>
        <v>18516.182618621537</v>
      </c>
      <c r="F254" s="218">
        <f t="shared" si="107"/>
        <v>1095.2108227444905</v>
      </c>
      <c r="G254" s="218">
        <f t="shared" si="100"/>
        <v>-17.716077728225301</v>
      </c>
      <c r="H254" s="218">
        <f t="shared" si="101"/>
        <v>-14.811098006770084</v>
      </c>
      <c r="I254" s="218">
        <f t="shared" si="102"/>
        <v>-329.7613979483408</v>
      </c>
      <c r="J254" s="218">
        <f t="shared" si="103"/>
        <v>-14.958606357168243</v>
      </c>
      <c r="K254" s="218">
        <f t="shared" si="104"/>
        <v>-1.6641936206841792</v>
      </c>
      <c r="L254" s="218">
        <f t="shared" si="105"/>
        <v>-91.49251933529969</v>
      </c>
      <c r="M254" s="192">
        <f t="shared" si="108"/>
        <v>-571.97913160713108</v>
      </c>
      <c r="N254" s="211">
        <v>84</v>
      </c>
      <c r="O254" s="211">
        <f>'Emission-Waste Transport Vehicl'!N52</f>
        <v>22.378381698816003</v>
      </c>
      <c r="P254" s="211">
        <f>'Emission-Waste Transport Vehicl'!O52</f>
        <v>32.555884787712003</v>
      </c>
      <c r="Q254" s="211">
        <f>'Emission-Waste Transport Vehicl'!P52</f>
        <v>12.450958730496001</v>
      </c>
      <c r="R254" s="211">
        <f>'Emission-Waste Transport Vehicl'!Q52</f>
        <v>9.6697646622720015</v>
      </c>
      <c r="S254" s="211">
        <f>'Emission-Waste Transport Vehicl'!R52</f>
        <v>0.96242955494400007</v>
      </c>
      <c r="T254" s="211">
        <f>'Emission-Waste Transport Vehicl'!S52</f>
        <v>4.4256603156480001E-2</v>
      </c>
      <c r="U254" s="174">
        <f t="shared" si="92"/>
        <v>-48046.24705499901</v>
      </c>
      <c r="V254" s="1850">
        <f t="shared" si="93"/>
        <v>-396.45714960811887</v>
      </c>
      <c r="W254" s="1850">
        <f t="shared" si="94"/>
        <v>-482.18840028791777</v>
      </c>
      <c r="X254" s="1850">
        <f t="shared" si="95"/>
        <v>-4105.8455567654601</v>
      </c>
      <c r="Y254" s="1850">
        <f t="shared" si="96"/>
        <v>-144.64620314938279</v>
      </c>
      <c r="Z254" s="1850">
        <f t="shared" si="97"/>
        <v>-1.6016691256957187</v>
      </c>
      <c r="AA254" s="1850">
        <f t="shared" si="98"/>
        <v>-4.0491481200089314</v>
      </c>
      <c r="AB254" s="2733"/>
      <c r="AC254" s="3009"/>
    </row>
    <row r="255" spans="1:29" ht="18.75" x14ac:dyDescent="0.25">
      <c r="A255" s="2982"/>
      <c r="B255" s="2993"/>
      <c r="C255" s="1863">
        <v>2039</v>
      </c>
      <c r="D255" s="218">
        <f t="shared" si="99"/>
        <v>-591590.52504849702</v>
      </c>
      <c r="E255" s="218">
        <f t="shared" si="106"/>
        <v>18516.182618621537</v>
      </c>
      <c r="F255" s="218">
        <f t="shared" si="107"/>
        <v>1095.2108227444905</v>
      </c>
      <c r="G255" s="218">
        <f t="shared" si="100"/>
        <v>-17.716077728225301</v>
      </c>
      <c r="H255" s="218">
        <f t="shared" si="101"/>
        <v>-14.811098006770084</v>
      </c>
      <c r="I255" s="218">
        <f t="shared" si="102"/>
        <v>-329.7613979483408</v>
      </c>
      <c r="J255" s="218">
        <f t="shared" si="103"/>
        <v>-14.958606357168243</v>
      </c>
      <c r="K255" s="218">
        <f t="shared" si="104"/>
        <v>-1.6641936206841792</v>
      </c>
      <c r="L255" s="218">
        <f t="shared" si="105"/>
        <v>-91.49251933529969</v>
      </c>
      <c r="M255" s="192">
        <f t="shared" si="108"/>
        <v>-571.97913160713108</v>
      </c>
      <c r="N255" s="211">
        <v>85</v>
      </c>
      <c r="O255" s="211">
        <f>'Emission-Waste Transport Vehicl'!N53</f>
        <v>21.941507697120006</v>
      </c>
      <c r="P255" s="211">
        <f>'Emission-Waste Transport Vehicl'!O53</f>
        <v>31.920324099840006</v>
      </c>
      <c r="Q255" s="211">
        <f>'Emission-Waste Transport Vehicl'!P53</f>
        <v>12.207889314720003</v>
      </c>
      <c r="R255" s="211">
        <f>'Emission-Waste Transport Vehicl'!Q53</f>
        <v>9.4809901190400012</v>
      </c>
      <c r="S255" s="211">
        <f>'Emission-Waste Transport Vehicl'!R53</f>
        <v>0.9436408660800002</v>
      </c>
      <c r="T255" s="211">
        <f>'Emission-Waste Transport Vehicl'!S53</f>
        <v>4.3392619353600011E-2</v>
      </c>
      <c r="U255" s="174">
        <f t="shared" si="92"/>
        <v>-48618.226186606145</v>
      </c>
      <c r="V255" s="1850">
        <f t="shared" si="93"/>
        <v>-388.71745583663176</v>
      </c>
      <c r="W255" s="1850">
        <f t="shared" si="94"/>
        <v>-472.77504865059541</v>
      </c>
      <c r="X255" s="1850">
        <f t="shared" si="95"/>
        <v>-4025.6906464206804</v>
      </c>
      <c r="Y255" s="1850">
        <f t="shared" si="96"/>
        <v>-141.82239906692107</v>
      </c>
      <c r="Z255" s="1850">
        <f t="shared" si="97"/>
        <v>-1.5704011095472301</v>
      </c>
      <c r="AA255" s="1850">
        <f t="shared" si="98"/>
        <v>-3.9701000652185483</v>
      </c>
      <c r="AB255" s="2733"/>
      <c r="AC255" s="3009"/>
    </row>
    <row r="256" spans="1:29" ht="18.75" x14ac:dyDescent="0.25">
      <c r="A256" s="2982"/>
      <c r="B256" s="2993"/>
      <c r="C256" s="1863">
        <v>2040</v>
      </c>
      <c r="D256" s="218">
        <f t="shared" si="99"/>
        <v>-591590.52504849702</v>
      </c>
      <c r="E256" s="218">
        <f t="shared" si="106"/>
        <v>18516.182618621537</v>
      </c>
      <c r="F256" s="218">
        <f t="shared" si="107"/>
        <v>1095.2108227444905</v>
      </c>
      <c r="G256" s="218">
        <f t="shared" si="100"/>
        <v>-17.716077728225301</v>
      </c>
      <c r="H256" s="218">
        <f t="shared" si="101"/>
        <v>-14.811098006770084</v>
      </c>
      <c r="I256" s="218">
        <f t="shared" si="102"/>
        <v>-329.7613979483408</v>
      </c>
      <c r="J256" s="218">
        <f t="shared" si="103"/>
        <v>-14.958606357168243</v>
      </c>
      <c r="K256" s="218">
        <f t="shared" si="104"/>
        <v>-1.6641936206841792</v>
      </c>
      <c r="L256" s="218">
        <f t="shared" si="105"/>
        <v>-91.49251933529969</v>
      </c>
      <c r="M256" s="192">
        <f t="shared" si="108"/>
        <v>-571.97913160713108</v>
      </c>
      <c r="N256" s="211">
        <v>86</v>
      </c>
      <c r="O256" s="211">
        <f>'Emission-Waste Transport Vehicl'!N54</f>
        <v>21.511154202912003</v>
      </c>
      <c r="P256" s="211">
        <f>'Emission-Waste Transport Vehicl'!O54</f>
        <v>31.294249392384003</v>
      </c>
      <c r="Q256" s="211">
        <f>'Emission-Waste Transport Vehicl'!P54</f>
        <v>11.968447800672001</v>
      </c>
      <c r="R256" s="211">
        <f>'Emission-Waste Transport Vehicl'!Q54</f>
        <v>9.2950331063040004</v>
      </c>
      <c r="S256" s="211">
        <f>'Emission-Waste Transport Vehicl'!R54</f>
        <v>0.92513260540800013</v>
      </c>
      <c r="T256" s="211">
        <f>'Emission-Waste Transport Vehicl'!S54</f>
        <v>4.254153083136001E-2</v>
      </c>
      <c r="U256" s="174">
        <f t="shared" si="92"/>
        <v>-49190.205318213273</v>
      </c>
      <c r="V256" s="1850">
        <f t="shared" si="93"/>
        <v>-381.09327988262942</v>
      </c>
      <c r="W256" s="1850">
        <f t="shared" si="94"/>
        <v>-463.50219479890461</v>
      </c>
      <c r="X256" s="1850">
        <f t="shared" si="95"/>
        <v>-3946.732078021344</v>
      </c>
      <c r="Y256" s="1850">
        <f t="shared" si="96"/>
        <v>-139.04074131404829</v>
      </c>
      <c r="Z256" s="1850">
        <f t="shared" si="97"/>
        <v>-1.5395997802069279</v>
      </c>
      <c r="AA256" s="1850">
        <f t="shared" si="98"/>
        <v>-3.8922318321414537</v>
      </c>
      <c r="AB256" s="2733"/>
      <c r="AC256" s="3009"/>
    </row>
    <row r="257" spans="1:29" ht="18.75" x14ac:dyDescent="0.25">
      <c r="A257" s="2982"/>
      <c r="B257" s="2993"/>
      <c r="C257" s="1863">
        <v>2041</v>
      </c>
      <c r="D257" s="218">
        <f t="shared" si="99"/>
        <v>-591590.52504849702</v>
      </c>
      <c r="E257" s="218">
        <f t="shared" si="106"/>
        <v>18516.182618621537</v>
      </c>
      <c r="F257" s="218">
        <f t="shared" si="107"/>
        <v>1095.2108227444905</v>
      </c>
      <c r="G257" s="218">
        <f t="shared" si="100"/>
        <v>-17.716077728225301</v>
      </c>
      <c r="H257" s="218">
        <f t="shared" si="101"/>
        <v>-14.811098006770084</v>
      </c>
      <c r="I257" s="218">
        <f t="shared" si="102"/>
        <v>-329.7613979483408</v>
      </c>
      <c r="J257" s="218">
        <f t="shared" si="103"/>
        <v>-14.958606357168243</v>
      </c>
      <c r="K257" s="218">
        <f t="shared" si="104"/>
        <v>-1.6641936206841792</v>
      </c>
      <c r="L257" s="218">
        <f t="shared" si="105"/>
        <v>-91.49251933529969</v>
      </c>
      <c r="M257" s="192">
        <f t="shared" si="108"/>
        <v>-571.97913160713108</v>
      </c>
      <c r="N257" s="211">
        <v>87</v>
      </c>
      <c r="O257" s="211">
        <f>'Emission-Waste Transport Vehicl'!N55</f>
        <v>21.087321216192002</v>
      </c>
      <c r="P257" s="211">
        <f>'Emission-Waste Transport Vehicl'!O55</f>
        <v>30.677660665344007</v>
      </c>
      <c r="Q257" s="211">
        <f>'Emission-Waste Transport Vehicl'!P55</f>
        <v>11.732634188352002</v>
      </c>
      <c r="R257" s="211">
        <f>'Emission-Waste Transport Vehicl'!Q55</f>
        <v>9.1118936240640007</v>
      </c>
      <c r="S257" s="211">
        <f>'Emission-Waste Transport Vehicl'!R55</f>
        <v>0.9069047729280002</v>
      </c>
      <c r="T257" s="211">
        <f>'Emission-Waste Transport Vehicl'!S55</f>
        <v>4.1703337589760005E-2</v>
      </c>
      <c r="U257" s="174">
        <f t="shared" si="92"/>
        <v>-49762.184449820401</v>
      </c>
      <c r="V257" s="1850">
        <f t="shared" si="93"/>
        <v>-373.58462174611202</v>
      </c>
      <c r="W257" s="1850">
        <f t="shared" si="94"/>
        <v>-454.36983873284566</v>
      </c>
      <c r="X257" s="1850">
        <f t="shared" si="95"/>
        <v>-3868.9698515674527</v>
      </c>
      <c r="Y257" s="1850">
        <f t="shared" si="96"/>
        <v>-136.30122989076455</v>
      </c>
      <c r="Z257" s="1850">
        <f t="shared" si="97"/>
        <v>-1.5092651376748121</v>
      </c>
      <c r="AA257" s="1850">
        <f t="shared" si="98"/>
        <v>-3.8155434207776477</v>
      </c>
      <c r="AB257" s="2733"/>
      <c r="AC257" s="3009"/>
    </row>
    <row r="258" spans="1:29" ht="18.75" x14ac:dyDescent="0.25">
      <c r="A258" s="2982"/>
      <c r="B258" s="2993"/>
      <c r="C258" s="1863">
        <v>2042</v>
      </c>
      <c r="D258" s="218">
        <f t="shared" si="99"/>
        <v>-591590.52504849702</v>
      </c>
      <c r="E258" s="218">
        <f t="shared" si="106"/>
        <v>18516.182618621537</v>
      </c>
      <c r="F258" s="218">
        <f t="shared" si="107"/>
        <v>1095.2108227444905</v>
      </c>
      <c r="G258" s="218">
        <f t="shared" si="100"/>
        <v>-17.716077728225301</v>
      </c>
      <c r="H258" s="218">
        <f t="shared" si="101"/>
        <v>-14.811098006770084</v>
      </c>
      <c r="I258" s="218">
        <f t="shared" si="102"/>
        <v>-329.7613979483408</v>
      </c>
      <c r="J258" s="218">
        <f t="shared" si="103"/>
        <v>-14.958606357168243</v>
      </c>
      <c r="K258" s="218">
        <f t="shared" si="104"/>
        <v>-1.6641936206841792</v>
      </c>
      <c r="L258" s="218">
        <f t="shared" si="105"/>
        <v>-91.49251933529969</v>
      </c>
      <c r="M258" s="192">
        <f t="shared" si="108"/>
        <v>-571.97913160713108</v>
      </c>
      <c r="N258" s="211">
        <v>88</v>
      </c>
      <c r="O258" s="211">
        <f>'Emission-Waste Transport Vehicl'!N56</f>
        <v>20.676529244448002</v>
      </c>
      <c r="P258" s="211">
        <f>'Emission-Waste Transport Vehicl'!O56</f>
        <v>30.080043899136001</v>
      </c>
      <c r="Q258" s="211">
        <f>'Emission-Waste Transport Vehicl'!P56</f>
        <v>11.504076379488001</v>
      </c>
      <c r="R258" s="211">
        <f>'Emission-Waste Transport Vehicl'!Q56</f>
        <v>8.9343892028159999</v>
      </c>
      <c r="S258" s="211">
        <f>'Emission-Waste Transport Vehicl'!R56</f>
        <v>0.8892377968320001</v>
      </c>
      <c r="T258" s="211">
        <f>'Emission-Waste Transport Vehicl'!S56</f>
        <v>4.0890934909439999E-2</v>
      </c>
      <c r="U258" s="174">
        <f t="shared" si="92"/>
        <v>-50334.163581427536</v>
      </c>
      <c r="V258" s="1850">
        <f t="shared" si="93"/>
        <v>-366.30699924456434</v>
      </c>
      <c r="W258" s="1850">
        <f t="shared" si="94"/>
        <v>-445.51847823804985</v>
      </c>
      <c r="X258" s="1850">
        <f t="shared" si="95"/>
        <v>-3793.6003090044505</v>
      </c>
      <c r="Y258" s="1850">
        <f t="shared" si="96"/>
        <v>-133.64601112665872</v>
      </c>
      <c r="Z258" s="1850">
        <f t="shared" si="97"/>
        <v>-1.4798638687590688</v>
      </c>
      <c r="AA258" s="1850">
        <f t="shared" si="98"/>
        <v>-3.7412146528404202</v>
      </c>
      <c r="AB258" s="2733"/>
      <c r="AC258" s="3009"/>
    </row>
    <row r="259" spans="1:29" ht="18.75" x14ac:dyDescent="0.25">
      <c r="A259" s="2982"/>
      <c r="B259" s="2993"/>
      <c r="C259" s="1863">
        <v>2043</v>
      </c>
      <c r="D259" s="218">
        <f t="shared" si="99"/>
        <v>-591590.52504849702</v>
      </c>
      <c r="E259" s="218">
        <f t="shared" si="106"/>
        <v>18516.182618621537</v>
      </c>
      <c r="F259" s="218">
        <f t="shared" si="107"/>
        <v>1095.2108227444905</v>
      </c>
      <c r="G259" s="218">
        <f t="shared" si="100"/>
        <v>-17.716077728225301</v>
      </c>
      <c r="H259" s="218">
        <f t="shared" si="101"/>
        <v>-14.811098006770084</v>
      </c>
      <c r="I259" s="218">
        <f t="shared" si="102"/>
        <v>-329.7613979483408</v>
      </c>
      <c r="J259" s="218">
        <f t="shared" si="103"/>
        <v>-14.958606357168243</v>
      </c>
      <c r="K259" s="218">
        <f t="shared" si="104"/>
        <v>-1.6641936206841792</v>
      </c>
      <c r="L259" s="218">
        <f t="shared" si="105"/>
        <v>-91.49251933529969</v>
      </c>
      <c r="M259" s="192">
        <f t="shared" si="108"/>
        <v>-571.97913160713108</v>
      </c>
      <c r="N259" s="211">
        <v>89</v>
      </c>
      <c r="O259" s="211">
        <f>'Emission-Waste Transport Vehicl'!N57</f>
        <v>20.268997526448004</v>
      </c>
      <c r="P259" s="211">
        <f>'Emission-Waste Transport Vehicl'!O57</f>
        <v>29.487170123136003</v>
      </c>
      <c r="Q259" s="211">
        <f>'Emission-Waste Transport Vehicl'!P57</f>
        <v>11.277332521488001</v>
      </c>
      <c r="R259" s="211">
        <f>'Emission-Waste Transport Vehicl'!Q57</f>
        <v>8.7582935468160006</v>
      </c>
      <c r="S259" s="211">
        <f>'Emission-Waste Transport Vehicl'!R57</f>
        <v>0.87171103483200019</v>
      </c>
      <c r="T259" s="211">
        <f>'Emission-Waste Transport Vehicl'!S57</f>
        <v>4.0084979869440006E-2</v>
      </c>
      <c r="U259" s="174">
        <f t="shared" si="92"/>
        <v>-50906.142713034664</v>
      </c>
      <c r="V259" s="1850">
        <f t="shared" si="93"/>
        <v>-359.08713565175918</v>
      </c>
      <c r="W259" s="1850">
        <f t="shared" si="94"/>
        <v>-436.73736663607002</v>
      </c>
      <c r="X259" s="1850">
        <f t="shared" si="95"/>
        <v>-3718.82893741417</v>
      </c>
      <c r="Y259" s="1850">
        <f t="shared" si="96"/>
        <v>-131.01186552734742</v>
      </c>
      <c r="Z259" s="1850">
        <f t="shared" si="97"/>
        <v>-1.4506959432474191</v>
      </c>
      <c r="AA259" s="1850">
        <f t="shared" si="98"/>
        <v>-3.6674757957598385</v>
      </c>
      <c r="AB259" s="2733"/>
      <c r="AC259" s="3009"/>
    </row>
    <row r="260" spans="1:29" ht="18.75" x14ac:dyDescent="0.25">
      <c r="A260" s="2982"/>
      <c r="B260" s="2993"/>
      <c r="C260" s="1863">
        <v>2044</v>
      </c>
      <c r="D260" s="218">
        <f t="shared" si="99"/>
        <v>-591590.52504849702</v>
      </c>
      <c r="E260" s="218">
        <f t="shared" si="106"/>
        <v>18516.182618621537</v>
      </c>
      <c r="F260" s="218">
        <f t="shared" si="107"/>
        <v>1095.2108227444905</v>
      </c>
      <c r="G260" s="218">
        <f t="shared" si="100"/>
        <v>-17.716077728225301</v>
      </c>
      <c r="H260" s="218">
        <f t="shared" si="101"/>
        <v>-14.811098006770084</v>
      </c>
      <c r="I260" s="218">
        <f t="shared" si="102"/>
        <v>-329.7613979483408</v>
      </c>
      <c r="J260" s="218">
        <f t="shared" si="103"/>
        <v>-14.958606357168243</v>
      </c>
      <c r="K260" s="218">
        <f t="shared" si="104"/>
        <v>-1.6641936206841792</v>
      </c>
      <c r="L260" s="218">
        <f t="shared" si="105"/>
        <v>-91.49251933529969</v>
      </c>
      <c r="M260" s="192">
        <f t="shared" si="108"/>
        <v>-571.97913160713108</v>
      </c>
      <c r="N260" s="211">
        <v>90</v>
      </c>
      <c r="O260" s="211">
        <f>'Emission-Waste Transport Vehicl'!N58</f>
        <v>19.871246569680004</v>
      </c>
      <c r="P260" s="211">
        <f>'Emission-Waste Transport Vehicl'!O58</f>
        <v>28.908525317760002</v>
      </c>
      <c r="Q260" s="211">
        <f>'Emission-Waste Transport Vehicl'!P58</f>
        <v>11.056030516080002</v>
      </c>
      <c r="R260" s="211">
        <f>'Emission-Waste Transport Vehicl'!Q58</f>
        <v>8.5864241865600004</v>
      </c>
      <c r="S260" s="211">
        <f>'Emission-Waste Transport Vehicl'!R58</f>
        <v>0.85460491512000014</v>
      </c>
      <c r="T260" s="211">
        <f>'Emission-Waste Transport Vehicl'!S58</f>
        <v>3.9298367750400007E-2</v>
      </c>
      <c r="U260" s="174">
        <f t="shared" si="92"/>
        <v>-51478.121844641799</v>
      </c>
      <c r="V260" s="1850">
        <f t="shared" si="93"/>
        <v>-352.04054878518133</v>
      </c>
      <c r="W260" s="1850">
        <f t="shared" si="94"/>
        <v>-428.16700171253768</v>
      </c>
      <c r="X260" s="1850">
        <f t="shared" si="95"/>
        <v>-3645.8520787420571</v>
      </c>
      <c r="Y260" s="1850">
        <f t="shared" si="96"/>
        <v>-128.44093942241958</v>
      </c>
      <c r="Z260" s="1850">
        <f t="shared" si="97"/>
        <v>-1.4222280479480487</v>
      </c>
      <c r="AA260" s="1850">
        <f t="shared" si="98"/>
        <v>-3.5955066712491903</v>
      </c>
      <c r="AB260" s="2733"/>
      <c r="AC260" s="3009"/>
    </row>
    <row r="261" spans="1:29" ht="18.75" x14ac:dyDescent="0.25">
      <c r="A261" s="2982"/>
      <c r="B261" s="2993"/>
      <c r="C261" s="1863">
        <v>2045</v>
      </c>
      <c r="D261" s="218">
        <f t="shared" si="99"/>
        <v>-591590.52504849702</v>
      </c>
      <c r="E261" s="218">
        <f t="shared" si="106"/>
        <v>18516.182618621537</v>
      </c>
      <c r="F261" s="218">
        <f t="shared" si="107"/>
        <v>1095.2108227444905</v>
      </c>
      <c r="G261" s="218">
        <f t="shared" si="100"/>
        <v>-17.716077728225301</v>
      </c>
      <c r="H261" s="218">
        <f t="shared" si="101"/>
        <v>-14.811098006770084</v>
      </c>
      <c r="I261" s="218">
        <f t="shared" si="102"/>
        <v>-329.7613979483408</v>
      </c>
      <c r="J261" s="218">
        <f t="shared" si="103"/>
        <v>-14.958606357168243</v>
      </c>
      <c r="K261" s="218">
        <f t="shared" si="104"/>
        <v>-1.6641936206841792</v>
      </c>
      <c r="L261" s="218">
        <f t="shared" si="105"/>
        <v>-91.49251933529969</v>
      </c>
      <c r="M261" s="192">
        <f t="shared" si="108"/>
        <v>-571.97913160713108</v>
      </c>
      <c r="N261" s="211">
        <v>92</v>
      </c>
      <c r="O261" s="211">
        <f>'Emission-Waste Transport Vehicl'!N59</f>
        <v>19.483276374144001</v>
      </c>
      <c r="P261" s="211">
        <f>'Emission-Waste Transport Vehicl'!O59</f>
        <v>28.344109483008001</v>
      </c>
      <c r="Q261" s="211">
        <f>'Emission-Waste Transport Vehicl'!P59</f>
        <v>10.840170363264003</v>
      </c>
      <c r="R261" s="211">
        <f>'Emission-Waste Transport Vehicl'!Q59</f>
        <v>8.4187811220480011</v>
      </c>
      <c r="S261" s="211">
        <f>'Emission-Waste Transport Vehicl'!R59</f>
        <v>0.83791943769600008</v>
      </c>
      <c r="T261" s="211">
        <f>'Emission-Waste Transport Vehicl'!S59</f>
        <v>3.8531098552320009E-2</v>
      </c>
      <c r="U261" s="174">
        <f t="shared" si="92"/>
        <v>-52622.080107856062</v>
      </c>
      <c r="V261" s="1850">
        <f t="shared" si="93"/>
        <v>-345.16723864483072</v>
      </c>
      <c r="W261" s="1850">
        <f t="shared" si="94"/>
        <v>-419.80738346745284</v>
      </c>
      <c r="X261" s="1850">
        <f t="shared" si="95"/>
        <v>-3574.6697329881108</v>
      </c>
      <c r="Y261" s="1850">
        <f t="shared" si="96"/>
        <v>-125.93323281187523</v>
      </c>
      <c r="Z261" s="1850">
        <f t="shared" si="97"/>
        <v>-1.394460182860958</v>
      </c>
      <c r="AA261" s="1850">
        <f t="shared" si="98"/>
        <v>-3.5253072793084761</v>
      </c>
      <c r="AB261" s="2733"/>
      <c r="AC261" s="3009"/>
    </row>
    <row r="262" spans="1:29" ht="18.75" x14ac:dyDescent="0.25">
      <c r="A262" s="2982"/>
      <c r="B262" s="2993"/>
      <c r="C262" s="1863">
        <v>2046</v>
      </c>
      <c r="D262" s="218">
        <f t="shared" si="99"/>
        <v>-591590.52504849702</v>
      </c>
      <c r="E262" s="218">
        <f t="shared" si="106"/>
        <v>18516.182618621537</v>
      </c>
      <c r="F262" s="218">
        <f t="shared" si="107"/>
        <v>1095.2108227444905</v>
      </c>
      <c r="G262" s="218">
        <f t="shared" si="100"/>
        <v>-17.716077728225301</v>
      </c>
      <c r="H262" s="218">
        <f t="shared" si="101"/>
        <v>-14.811098006770084</v>
      </c>
      <c r="I262" s="218">
        <f t="shared" si="102"/>
        <v>-329.7613979483408</v>
      </c>
      <c r="J262" s="218">
        <f t="shared" si="103"/>
        <v>-14.958606357168243</v>
      </c>
      <c r="K262" s="218">
        <f t="shared" si="104"/>
        <v>-1.6641936206841792</v>
      </c>
      <c r="L262" s="218">
        <f t="shared" si="105"/>
        <v>-91.49251933529969</v>
      </c>
      <c r="M262" s="192">
        <f t="shared" si="108"/>
        <v>-571.97913160713108</v>
      </c>
      <c r="N262" s="211">
        <v>93</v>
      </c>
      <c r="O262" s="211">
        <f>'Emission-Waste Transport Vehicl'!N60</f>
        <v>19.101826686096</v>
      </c>
      <c r="P262" s="211">
        <f>'Emission-Waste Transport Vehicl'!O60</f>
        <v>27.789179628671999</v>
      </c>
      <c r="Q262" s="211">
        <f>'Emission-Waste Transport Vehicl'!P60</f>
        <v>10.627938112176002</v>
      </c>
      <c r="R262" s="211">
        <f>'Emission-Waste Transport Vehicl'!Q60</f>
        <v>8.2539555880319995</v>
      </c>
      <c r="S262" s="211">
        <f>'Emission-Waste Transport Vehicl'!R60</f>
        <v>0.82151438846400004</v>
      </c>
      <c r="T262" s="211">
        <f>'Emission-Waste Transport Vehicl'!S60</f>
        <v>3.777672463488E-2</v>
      </c>
      <c r="U262" s="174">
        <f t="shared" si="92"/>
        <v>-53194.059239463189</v>
      </c>
      <c r="V262" s="1850">
        <f t="shared" si="93"/>
        <v>-338.40944632196505</v>
      </c>
      <c r="W262" s="1850">
        <f t="shared" si="94"/>
        <v>-411.58826300799967</v>
      </c>
      <c r="X262" s="1850">
        <f t="shared" si="95"/>
        <v>-3504.6837291796087</v>
      </c>
      <c r="Y262" s="1850">
        <f t="shared" si="96"/>
        <v>-123.46767253091981</v>
      </c>
      <c r="Z262" s="1850">
        <f t="shared" si="97"/>
        <v>-1.3671590045820536</v>
      </c>
      <c r="AA262" s="1850">
        <f t="shared" si="98"/>
        <v>-3.4562877090810504</v>
      </c>
      <c r="AB262" s="2733"/>
      <c r="AC262" s="3009"/>
    </row>
    <row r="263" spans="1:29" ht="18.75" x14ac:dyDescent="0.25">
      <c r="A263" s="2982"/>
      <c r="B263" s="2993"/>
      <c r="C263" s="1863">
        <v>2047</v>
      </c>
      <c r="D263" s="218">
        <f t="shared" si="99"/>
        <v>-591590.52504849702</v>
      </c>
      <c r="E263" s="218">
        <f t="shared" si="106"/>
        <v>18516.182618621537</v>
      </c>
      <c r="F263" s="218">
        <f t="shared" si="107"/>
        <v>1095.2108227444905</v>
      </c>
      <c r="G263" s="218">
        <f t="shared" si="100"/>
        <v>-17.716077728225301</v>
      </c>
      <c r="H263" s="218">
        <f t="shared" si="101"/>
        <v>-14.811098006770084</v>
      </c>
      <c r="I263" s="218">
        <f t="shared" si="102"/>
        <v>-329.7613979483408</v>
      </c>
      <c r="J263" s="218">
        <f t="shared" si="103"/>
        <v>-14.958606357168243</v>
      </c>
      <c r="K263" s="218">
        <f t="shared" si="104"/>
        <v>-1.6641936206841792</v>
      </c>
      <c r="L263" s="218">
        <f t="shared" si="105"/>
        <v>-91.49251933529969</v>
      </c>
      <c r="M263" s="192">
        <f t="shared" si="108"/>
        <v>-571.97913160713108</v>
      </c>
      <c r="N263" s="211">
        <v>94</v>
      </c>
      <c r="O263" s="211">
        <f>'Emission-Waste Transport Vehicl'!N61</f>
        <v>18.726897505536005</v>
      </c>
      <c r="P263" s="211">
        <f>'Emission-Waste Transport Vehicl'!O61</f>
        <v>27.243735754752002</v>
      </c>
      <c r="Q263" s="211">
        <f>'Emission-Waste Transport Vehicl'!P61</f>
        <v>10.419333762816001</v>
      </c>
      <c r="R263" s="211">
        <f>'Emission-Waste Transport Vehicl'!Q61</f>
        <v>8.0919475845120008</v>
      </c>
      <c r="S263" s="211">
        <f>'Emission-Waste Transport Vehicl'!R61</f>
        <v>0.80538976742400015</v>
      </c>
      <c r="T263" s="211">
        <f>'Emission-Waste Transport Vehicl'!S61</f>
        <v>3.7035245998080002E-2</v>
      </c>
      <c r="U263" s="174">
        <f t="shared" si="92"/>
        <v>-53766.038371070325</v>
      </c>
      <c r="V263" s="1850">
        <f t="shared" si="93"/>
        <v>-331.76717181658438</v>
      </c>
      <c r="W263" s="1850">
        <f t="shared" si="94"/>
        <v>-403.50964033417824</v>
      </c>
      <c r="X263" s="1850">
        <f t="shared" si="95"/>
        <v>-3435.8940673165503</v>
      </c>
      <c r="Y263" s="1850">
        <f t="shared" si="96"/>
        <v>-121.04425857955343</v>
      </c>
      <c r="Z263" s="1850">
        <f t="shared" si="97"/>
        <v>-1.3403245131113357</v>
      </c>
      <c r="AA263" s="1850">
        <f t="shared" si="98"/>
        <v>-3.3884479605669151</v>
      </c>
      <c r="AB263" s="2733"/>
      <c r="AC263" s="3009"/>
    </row>
    <row r="264" spans="1:29" ht="18.75" x14ac:dyDescent="0.25">
      <c r="A264" s="2982"/>
      <c r="B264" s="2993"/>
      <c r="C264" s="1863">
        <v>2048</v>
      </c>
      <c r="D264" s="218">
        <f t="shared" si="99"/>
        <v>-591590.52504849702</v>
      </c>
      <c r="E264" s="218">
        <f t="shared" si="106"/>
        <v>18516.182618621537</v>
      </c>
      <c r="F264" s="218">
        <f t="shared" si="107"/>
        <v>1095.2108227444905</v>
      </c>
      <c r="G264" s="218">
        <f t="shared" si="100"/>
        <v>-17.716077728225301</v>
      </c>
      <c r="H264" s="218">
        <f t="shared" si="101"/>
        <v>-14.811098006770084</v>
      </c>
      <c r="I264" s="218">
        <f t="shared" si="102"/>
        <v>-329.7613979483408</v>
      </c>
      <c r="J264" s="218">
        <f t="shared" si="103"/>
        <v>-14.958606357168243</v>
      </c>
      <c r="K264" s="218">
        <f t="shared" si="104"/>
        <v>-1.6641936206841792</v>
      </c>
      <c r="L264" s="218">
        <f t="shared" si="105"/>
        <v>-91.49251933529969</v>
      </c>
      <c r="M264" s="192">
        <f t="shared" si="108"/>
        <v>-571.97913160713108</v>
      </c>
      <c r="N264" s="211">
        <v>95</v>
      </c>
      <c r="O264" s="211">
        <f>'Emission-Waste Transport Vehicl'!N62</f>
        <v>18.358488832464005</v>
      </c>
      <c r="P264" s="211">
        <f>'Emission-Waste Transport Vehicl'!O62</f>
        <v>26.707777861248005</v>
      </c>
      <c r="Q264" s="211">
        <f>'Emission-Waste Transport Vehicl'!P62</f>
        <v>10.214357315184001</v>
      </c>
      <c r="R264" s="211">
        <f>'Emission-Waste Transport Vehicl'!Q62</f>
        <v>7.9327571114880007</v>
      </c>
      <c r="S264" s="211">
        <f>'Emission-Waste Transport Vehicl'!R62</f>
        <v>0.78954557457600016</v>
      </c>
      <c r="T264" s="211">
        <f>'Emission-Waste Transport Vehicl'!S62</f>
        <v>3.6306662641920007E-2</v>
      </c>
      <c r="U264" s="174">
        <f t="shared" si="92"/>
        <v>-54338.017502677452</v>
      </c>
      <c r="V264" s="1850">
        <f t="shared" si="93"/>
        <v>-325.24041512868848</v>
      </c>
      <c r="W264" s="1850">
        <f t="shared" si="94"/>
        <v>-395.5715154459885</v>
      </c>
      <c r="X264" s="1850">
        <f t="shared" si="95"/>
        <v>-3368.3007473989373</v>
      </c>
      <c r="Y264" s="1850">
        <f t="shared" si="96"/>
        <v>-118.66299095777599</v>
      </c>
      <c r="Z264" s="1850">
        <f t="shared" si="97"/>
        <v>-1.3139567084488044</v>
      </c>
      <c r="AA264" s="1850">
        <f t="shared" si="98"/>
        <v>-3.3217880337660692</v>
      </c>
      <c r="AB264" s="2733"/>
      <c r="AC264" s="3009"/>
    </row>
    <row r="265" spans="1:29" ht="18.75" x14ac:dyDescent="0.25">
      <c r="A265" s="2982"/>
      <c r="B265" s="2993"/>
      <c r="C265" s="1863">
        <v>2049</v>
      </c>
      <c r="D265" s="218">
        <f t="shared" si="99"/>
        <v>-591590.52504849702</v>
      </c>
      <c r="E265" s="218">
        <f t="shared" si="106"/>
        <v>18516.182618621537</v>
      </c>
      <c r="F265" s="218">
        <f t="shared" si="107"/>
        <v>1095.2108227444905</v>
      </c>
      <c r="G265" s="218">
        <f t="shared" si="100"/>
        <v>-17.716077728225301</v>
      </c>
      <c r="H265" s="218">
        <f t="shared" si="101"/>
        <v>-14.811098006770084</v>
      </c>
      <c r="I265" s="218">
        <f t="shared" si="102"/>
        <v>-329.7613979483408</v>
      </c>
      <c r="J265" s="218">
        <f t="shared" si="103"/>
        <v>-14.958606357168243</v>
      </c>
      <c r="K265" s="218">
        <f t="shared" si="104"/>
        <v>-1.6641936206841792</v>
      </c>
      <c r="L265" s="218">
        <f t="shared" si="105"/>
        <v>-91.49251933529969</v>
      </c>
      <c r="M265" s="192">
        <f t="shared" si="108"/>
        <v>-571.97913160713108</v>
      </c>
      <c r="N265" s="211">
        <v>96</v>
      </c>
      <c r="O265" s="211">
        <f>'Emission-Waste Transport Vehicl'!N63</f>
        <v>17.999860920624005</v>
      </c>
      <c r="P265" s="211">
        <f>'Emission-Waste Transport Vehicl'!O63</f>
        <v>26.186048938368003</v>
      </c>
      <c r="Q265" s="211">
        <f>'Emission-Waste Transport Vehicl'!P63</f>
        <v>10.014822720144002</v>
      </c>
      <c r="R265" s="211">
        <f>'Emission-Waste Transport Vehicl'!Q63</f>
        <v>7.7777929342080014</v>
      </c>
      <c r="S265" s="211">
        <f>'Emission-Waste Transport Vehicl'!R63</f>
        <v>0.77412202401600017</v>
      </c>
      <c r="T265" s="211">
        <f>'Emission-Waste Transport Vehicl'!S63</f>
        <v>3.5597422206719999E-2</v>
      </c>
      <c r="U265" s="174">
        <f t="shared" si="92"/>
        <v>-54909.996634284587</v>
      </c>
      <c r="V265" s="1850">
        <f t="shared" si="93"/>
        <v>-318.88693516701989</v>
      </c>
      <c r="W265" s="1850">
        <f t="shared" si="94"/>
        <v>-387.84413723624624</v>
      </c>
      <c r="X265" s="1850">
        <f t="shared" si="95"/>
        <v>-3302.5019403994911</v>
      </c>
      <c r="Y265" s="1850">
        <f t="shared" si="96"/>
        <v>-116.34494283038205</v>
      </c>
      <c r="Z265" s="1850">
        <f t="shared" si="97"/>
        <v>-1.2882889339985524</v>
      </c>
      <c r="AA265" s="1850">
        <f t="shared" si="98"/>
        <v>-3.256897839535156</v>
      </c>
      <c r="AB265" s="2733"/>
      <c r="AC265" s="3009"/>
    </row>
    <row r="266" spans="1:29" ht="18.75" x14ac:dyDescent="0.25">
      <c r="A266" s="2982"/>
      <c r="B266" s="2993"/>
      <c r="C266" s="1863">
        <v>2050</v>
      </c>
      <c r="D266" s="218">
        <f t="shared" si="99"/>
        <v>-591590.52504849702</v>
      </c>
      <c r="E266" s="218">
        <f t="shared" si="106"/>
        <v>18516.182618621537</v>
      </c>
      <c r="F266" s="218">
        <f t="shared" si="107"/>
        <v>1095.2108227444905</v>
      </c>
      <c r="G266" s="218">
        <f t="shared" si="100"/>
        <v>-17.716077728225301</v>
      </c>
      <c r="H266" s="218">
        <f t="shared" si="101"/>
        <v>-14.811098006770084</v>
      </c>
      <c r="I266" s="218">
        <f t="shared" si="102"/>
        <v>-329.7613979483408</v>
      </c>
      <c r="J266" s="218">
        <f t="shared" si="103"/>
        <v>-14.958606357168243</v>
      </c>
      <c r="K266" s="218">
        <f t="shared" si="104"/>
        <v>-1.6641936206841792</v>
      </c>
      <c r="L266" s="218">
        <f t="shared" si="105"/>
        <v>-91.49251933529969</v>
      </c>
      <c r="M266" s="192">
        <f t="shared" si="108"/>
        <v>-571.97913160713108</v>
      </c>
      <c r="N266" s="211">
        <v>97</v>
      </c>
      <c r="O266" s="211">
        <f>'Emission-Waste Transport Vehicl'!N64</f>
        <v>17.644493262528005</v>
      </c>
      <c r="P266" s="211">
        <f>'Emission-Waste Transport Vehicl'!O64</f>
        <v>25.669063005696003</v>
      </c>
      <c r="Q266" s="211">
        <f>'Emission-Waste Transport Vehicl'!P64</f>
        <v>9.8171020759680019</v>
      </c>
      <c r="R266" s="211">
        <f>'Emission-Waste Transport Vehicl'!Q64</f>
        <v>7.624237522176001</v>
      </c>
      <c r="S266" s="211">
        <f>'Emission-Waste Transport Vehicl'!R64</f>
        <v>0.75883868755200012</v>
      </c>
      <c r="T266" s="211">
        <f>'Emission-Waste Transport Vehicl'!S64</f>
        <v>3.4894629411840003E-2</v>
      </c>
      <c r="U266" s="174">
        <f t="shared" si="92"/>
        <v>-55481.975765891715</v>
      </c>
      <c r="V266" s="1850">
        <f t="shared" si="93"/>
        <v>-312.59121411409376</v>
      </c>
      <c r="W266" s="1850">
        <f t="shared" si="94"/>
        <v>-380.1870079193198</v>
      </c>
      <c r="X266" s="1850">
        <f t="shared" si="95"/>
        <v>-3237.3013043727669</v>
      </c>
      <c r="Y266" s="1850">
        <f t="shared" si="96"/>
        <v>-114.04796786778259</v>
      </c>
      <c r="Z266" s="1850">
        <f t="shared" si="97"/>
        <v>-1.2628545029523937</v>
      </c>
      <c r="AA266" s="1850">
        <f t="shared" si="98"/>
        <v>-3.1925975561608886</v>
      </c>
      <c r="AB266" s="2733"/>
      <c r="AC266" s="3009"/>
    </row>
    <row r="267" spans="1:29" ht="18.75" x14ac:dyDescent="0.25">
      <c r="A267" s="2982"/>
      <c r="B267" s="2993"/>
      <c r="C267" s="1863">
        <v>2051</v>
      </c>
      <c r="D267" s="218">
        <f t="shared" ref="D267:D285" si="109">$AC$10</f>
        <v>-591590.52504849702</v>
      </c>
      <c r="E267" s="218">
        <f t="shared" si="106"/>
        <v>18516.182618621537</v>
      </c>
      <c r="F267" s="218">
        <f t="shared" si="107"/>
        <v>1095.2108227444905</v>
      </c>
      <c r="G267" s="218">
        <f t="shared" ref="G267:G285" si="110">$Y$10</f>
        <v>-17.716077728225301</v>
      </c>
      <c r="H267" s="218">
        <f t="shared" ref="H267:H285" si="111">$Z$10</f>
        <v>-14.811098006770084</v>
      </c>
      <c r="I267" s="218">
        <f t="shared" ref="I267:I285" si="112">$X$10</f>
        <v>-329.7613979483408</v>
      </c>
      <c r="J267" s="218">
        <f t="shared" ref="J267:J285" si="113">$AA$10</f>
        <v>-14.958606357168243</v>
      </c>
      <c r="K267" s="218">
        <f t="shared" ref="K267:K285" si="114">$V$10</f>
        <v>-1.6641936206841792</v>
      </c>
      <c r="L267" s="218">
        <f t="shared" ref="L267:L285" si="115">$W$10</f>
        <v>-91.49251933529969</v>
      </c>
      <c r="M267" s="192">
        <f t="shared" si="108"/>
        <v>-571.97913160713108</v>
      </c>
      <c r="N267" s="211">
        <v>97</v>
      </c>
      <c r="O267" s="211">
        <f>'Emission-Waste Transport Vehicl'!N65</f>
        <v>17.298906365664003</v>
      </c>
      <c r="P267" s="211">
        <f>'Emission-Waste Transport Vehicl'!O65</f>
        <v>25.166306043648003</v>
      </c>
      <c r="Q267" s="211">
        <f>'Emission-Waste Transport Vehicl'!P65</f>
        <v>9.624823284384</v>
      </c>
      <c r="R267" s="211">
        <f>'Emission-Waste Transport Vehicl'!Q65</f>
        <v>7.4749084058879998</v>
      </c>
      <c r="S267" s="211">
        <f>'Emission-Waste Transport Vehicl'!R65</f>
        <v>0.74397599337600007</v>
      </c>
      <c r="T267" s="211">
        <f>'Emission-Waste Transport Vehicl'!S65</f>
        <v>3.4211179537920001E-2</v>
      </c>
      <c r="U267" s="174">
        <f t="shared" si="92"/>
        <v>-55481.975765891715</v>
      </c>
      <c r="V267" s="1850">
        <f t="shared" si="93"/>
        <v>-306.46876978739493</v>
      </c>
      <c r="W267" s="1850">
        <f t="shared" si="94"/>
        <v>-372.74062528084085</v>
      </c>
      <c r="X267" s="1850">
        <f t="shared" si="95"/>
        <v>-3173.8951812642085</v>
      </c>
      <c r="Y267" s="1850">
        <f t="shared" si="96"/>
        <v>-111.81421239956657</v>
      </c>
      <c r="Z267" s="1850">
        <f t="shared" si="97"/>
        <v>-1.2381201021185144</v>
      </c>
      <c r="AA267" s="1850">
        <f t="shared" si="98"/>
        <v>-3.1300670053565547</v>
      </c>
      <c r="AB267" s="2733"/>
      <c r="AC267" s="3009"/>
    </row>
    <row r="268" spans="1:29" ht="18.75" x14ac:dyDescent="0.25">
      <c r="A268" s="2982"/>
      <c r="B268" s="2993"/>
      <c r="C268" s="1863">
        <v>2052</v>
      </c>
      <c r="D268" s="218">
        <f t="shared" si="109"/>
        <v>-591590.52504849702</v>
      </c>
      <c r="E268" s="218">
        <f t="shared" si="106"/>
        <v>18516.182618621537</v>
      </c>
      <c r="F268" s="218">
        <f t="shared" si="107"/>
        <v>1095.2108227444905</v>
      </c>
      <c r="G268" s="218">
        <f t="shared" si="110"/>
        <v>-17.716077728225301</v>
      </c>
      <c r="H268" s="218">
        <f t="shared" si="111"/>
        <v>-14.811098006770084</v>
      </c>
      <c r="I268" s="218">
        <f t="shared" si="112"/>
        <v>-329.7613979483408</v>
      </c>
      <c r="J268" s="218">
        <f t="shared" si="113"/>
        <v>-14.958606357168243</v>
      </c>
      <c r="K268" s="218">
        <f t="shared" si="114"/>
        <v>-1.6641936206841792</v>
      </c>
      <c r="L268" s="218">
        <f t="shared" si="115"/>
        <v>-91.49251933529969</v>
      </c>
      <c r="M268" s="192">
        <f t="shared" si="108"/>
        <v>-571.97913160713108</v>
      </c>
      <c r="N268" s="211">
        <v>97</v>
      </c>
      <c r="O268" s="211">
        <f>'Emission-Waste Transport Vehicl'!N66</f>
        <v>16.959839976288002</v>
      </c>
      <c r="P268" s="211">
        <f>'Emission-Waste Transport Vehicl'!O66</f>
        <v>24.673035062016002</v>
      </c>
      <c r="Q268" s="211">
        <f>'Emission-Waste Transport Vehicl'!P66</f>
        <v>9.4361723945280005</v>
      </c>
      <c r="R268" s="211">
        <f>'Emission-Waste Transport Vehicl'!Q66</f>
        <v>7.3283968200960006</v>
      </c>
      <c r="S268" s="211">
        <f>'Emission-Waste Transport Vehicl'!R66</f>
        <v>0.72939372739200004</v>
      </c>
      <c r="T268" s="211">
        <f>'Emission-Waste Transport Vehicl'!S66</f>
        <v>3.3540624944640003E-2</v>
      </c>
      <c r="U268" s="174">
        <f t="shared" si="92"/>
        <v>-55481.975765891715</v>
      </c>
      <c r="V268" s="1850">
        <f t="shared" si="93"/>
        <v>-300.46184327818099</v>
      </c>
      <c r="W268" s="1850">
        <f t="shared" si="94"/>
        <v>-365.43474042799363</v>
      </c>
      <c r="X268" s="1850">
        <f t="shared" si="95"/>
        <v>-3111.6854001010961</v>
      </c>
      <c r="Y268" s="1850">
        <f t="shared" si="96"/>
        <v>-109.62260326093957</v>
      </c>
      <c r="Z268" s="1850">
        <f t="shared" si="97"/>
        <v>-1.2138523880928218</v>
      </c>
      <c r="AA268" s="1850">
        <f t="shared" si="98"/>
        <v>-3.0687162762655107</v>
      </c>
      <c r="AB268" s="2733"/>
      <c r="AC268" s="3009"/>
    </row>
    <row r="269" spans="1:29" ht="18.75" x14ac:dyDescent="0.25">
      <c r="A269" s="2982"/>
      <c r="B269" s="2993"/>
      <c r="C269" s="1863">
        <v>2053</v>
      </c>
      <c r="D269" s="218">
        <f t="shared" si="109"/>
        <v>-591590.52504849702</v>
      </c>
      <c r="E269" s="218">
        <f t="shared" si="106"/>
        <v>18516.182618621537</v>
      </c>
      <c r="F269" s="218">
        <f t="shared" si="107"/>
        <v>1095.2108227444905</v>
      </c>
      <c r="G269" s="218">
        <f t="shared" si="110"/>
        <v>-17.716077728225301</v>
      </c>
      <c r="H269" s="218">
        <f t="shared" si="111"/>
        <v>-14.811098006770084</v>
      </c>
      <c r="I269" s="218">
        <f t="shared" si="112"/>
        <v>-329.7613979483408</v>
      </c>
      <c r="J269" s="218">
        <f t="shared" si="113"/>
        <v>-14.958606357168243</v>
      </c>
      <c r="K269" s="218">
        <f t="shared" si="114"/>
        <v>-1.6641936206841792</v>
      </c>
      <c r="L269" s="218">
        <f t="shared" si="115"/>
        <v>-91.49251933529969</v>
      </c>
      <c r="M269" s="192">
        <f t="shared" si="108"/>
        <v>-571.97913160713108</v>
      </c>
      <c r="N269" s="211">
        <v>97</v>
      </c>
      <c r="O269" s="211">
        <f>'Emission-Waste Transport Vehicl'!N67</f>
        <v>15.361506000000002</v>
      </c>
      <c r="P269" s="211">
        <f>'Emission-Waste Transport Vehicl'!O67</f>
        <v>24.189250060800003</v>
      </c>
      <c r="Q269" s="211">
        <f>'Emission-Waste Transport Vehicl'!P67</f>
        <v>9.2511494064000015</v>
      </c>
      <c r="R269" s="211">
        <f>'Emission-Waste Transport Vehicl'!Q67</f>
        <v>7.1847027647999999</v>
      </c>
      <c r="S269" s="211">
        <f>'Emission-Waste Transport Vehicl'!R67</f>
        <v>0.71509188960000014</v>
      </c>
      <c r="T269" s="211">
        <f>'Emission-Waste Transport Vehicl'!S67</f>
        <v>3.2882965632000001E-2</v>
      </c>
      <c r="U269" s="174">
        <f t="shared" si="92"/>
        <v>-55481.975765891715</v>
      </c>
      <c r="V269" s="1850">
        <f t="shared" si="93"/>
        <v>-272.14563431859938</v>
      </c>
      <c r="W269" s="1850">
        <f t="shared" si="94"/>
        <v>-358.26935336077804</v>
      </c>
      <c r="X269" s="1850">
        <f t="shared" si="95"/>
        <v>-3050.6719608834278</v>
      </c>
      <c r="Y269" s="1850">
        <f t="shared" si="96"/>
        <v>-107.47314045190153</v>
      </c>
      <c r="Z269" s="1850">
        <f t="shared" si="97"/>
        <v>-1.1900513608753156</v>
      </c>
      <c r="AA269" s="1850">
        <f t="shared" si="98"/>
        <v>-3.0085453688877553</v>
      </c>
      <c r="AB269" s="2733"/>
      <c r="AC269" s="3009"/>
    </row>
    <row r="270" spans="1:29" ht="18.75" x14ac:dyDescent="0.25">
      <c r="A270" s="2982"/>
      <c r="B270" s="2993"/>
      <c r="C270" s="1863">
        <v>2054</v>
      </c>
      <c r="D270" s="218">
        <f t="shared" si="109"/>
        <v>-591590.52504849702</v>
      </c>
      <c r="E270" s="218">
        <f t="shared" si="106"/>
        <v>18516.182618621537</v>
      </c>
      <c r="F270" s="218">
        <f t="shared" si="107"/>
        <v>1095.2108227444905</v>
      </c>
      <c r="G270" s="218">
        <f t="shared" si="110"/>
        <v>-17.716077728225301</v>
      </c>
      <c r="H270" s="218">
        <f t="shared" si="111"/>
        <v>-14.811098006770084</v>
      </c>
      <c r="I270" s="218">
        <f t="shared" si="112"/>
        <v>-329.7613979483408</v>
      </c>
      <c r="J270" s="218">
        <f t="shared" si="113"/>
        <v>-14.958606357168243</v>
      </c>
      <c r="K270" s="218">
        <f t="shared" si="114"/>
        <v>-1.6641936206841792</v>
      </c>
      <c r="L270" s="218">
        <f t="shared" si="115"/>
        <v>-91.49251933529969</v>
      </c>
      <c r="M270" s="192">
        <f t="shared" si="108"/>
        <v>-571.97913160713108</v>
      </c>
      <c r="N270" s="211">
        <v>97</v>
      </c>
      <c r="O270" s="211">
        <f>'Emission-Waste Transport Vehicl'!N68</f>
        <v>16.301268720000003</v>
      </c>
      <c r="P270" s="211">
        <f>'Emission-Waste Transport Vehicl'!O68</f>
        <v>23.714951040000003</v>
      </c>
      <c r="Q270" s="211">
        <f>'Emission-Waste Transport Vehicl'!P68</f>
        <v>9.0697543200000013</v>
      </c>
      <c r="R270" s="211">
        <f>'Emission-Waste Transport Vehicl'!Q68</f>
        <v>7.0438262400000005</v>
      </c>
      <c r="S270" s="211">
        <f>'Emission-Waste Transport Vehicl'!R68</f>
        <v>0.70107048000000005</v>
      </c>
      <c r="T270" s="211">
        <f>'Emission-Waste Transport Vehicl'!S68</f>
        <v>3.2238201600000002E-2</v>
      </c>
      <c r="U270" s="174">
        <f t="shared" si="92"/>
        <v>-55481.975765891715</v>
      </c>
      <c r="V270" s="1850">
        <f t="shared" si="93"/>
        <v>-288.79454371220783</v>
      </c>
      <c r="W270" s="1850">
        <f t="shared" si="94"/>
        <v>-351.24446407919419</v>
      </c>
      <c r="X270" s="1850">
        <f t="shared" si="95"/>
        <v>-2990.8548636112037</v>
      </c>
      <c r="Y270" s="1850">
        <f t="shared" si="96"/>
        <v>-105.36582397245249</v>
      </c>
      <c r="Z270" s="1850">
        <f t="shared" si="97"/>
        <v>-1.1667170204659956</v>
      </c>
      <c r="AA270" s="1850">
        <f t="shared" si="98"/>
        <v>-2.9495542832232897</v>
      </c>
      <c r="AB270" s="2733"/>
      <c r="AC270" s="3009"/>
    </row>
    <row r="271" spans="1:29" ht="18.75" x14ac:dyDescent="0.25">
      <c r="A271" s="2982"/>
      <c r="B271" s="2993"/>
      <c r="C271" s="1863">
        <v>2055</v>
      </c>
      <c r="D271" s="218">
        <f t="shared" si="109"/>
        <v>-591590.52504849702</v>
      </c>
      <c r="E271" s="218">
        <f t="shared" si="106"/>
        <v>18516.182618621537</v>
      </c>
      <c r="F271" s="218">
        <f t="shared" si="107"/>
        <v>1095.2108227444905</v>
      </c>
      <c r="G271" s="218">
        <f t="shared" si="110"/>
        <v>-17.716077728225301</v>
      </c>
      <c r="H271" s="218">
        <f t="shared" si="111"/>
        <v>-14.811098006770084</v>
      </c>
      <c r="I271" s="218">
        <f t="shared" si="112"/>
        <v>-329.7613979483408</v>
      </c>
      <c r="J271" s="218">
        <f t="shared" si="113"/>
        <v>-14.958606357168243</v>
      </c>
      <c r="K271" s="218">
        <f t="shared" si="114"/>
        <v>-1.6641936206841792</v>
      </c>
      <c r="L271" s="218">
        <f t="shared" si="115"/>
        <v>-91.49251933529969</v>
      </c>
      <c r="M271" s="192">
        <f t="shared" si="108"/>
        <v>-571.97913160713108</v>
      </c>
      <c r="N271" s="211">
        <v>97</v>
      </c>
      <c r="O271" s="211">
        <f>'Emission-Waste Transport Vehicl'!N69</f>
        <v>15.981763853088003</v>
      </c>
      <c r="P271" s="211">
        <f>'Emission-Waste Transport Vehicl'!O69</f>
        <v>23.250137999616001</v>
      </c>
      <c r="Q271" s="211">
        <f>'Emission-Waste Transport Vehicl'!P69</f>
        <v>8.8919871353280016</v>
      </c>
      <c r="R271" s="211">
        <f>'Emission-Waste Transport Vehicl'!Q69</f>
        <v>6.9057672456960004</v>
      </c>
      <c r="S271" s="211">
        <f>'Emission-Waste Transport Vehicl'!R69</f>
        <v>0.6873294985920001</v>
      </c>
      <c r="T271" s="211">
        <f>'Emission-Waste Transport Vehicl'!S69</f>
        <v>3.1606332848640006E-2</v>
      </c>
      <c r="U271" s="174">
        <f t="shared" si="92"/>
        <v>-55481.975765891715</v>
      </c>
      <c r="V271" s="1850">
        <f t="shared" si="93"/>
        <v>-283.13417065544854</v>
      </c>
      <c r="W271" s="1850">
        <f t="shared" si="94"/>
        <v>-344.36007258324196</v>
      </c>
      <c r="X271" s="1850">
        <f t="shared" si="95"/>
        <v>-2932.2341082844241</v>
      </c>
      <c r="Y271" s="1850">
        <f t="shared" si="96"/>
        <v>-103.30065382259242</v>
      </c>
      <c r="Z271" s="1850">
        <f t="shared" si="97"/>
        <v>-1.1438493668648622</v>
      </c>
      <c r="AA271" s="1850">
        <f t="shared" si="98"/>
        <v>-2.8917430192721136</v>
      </c>
      <c r="AB271" s="2733"/>
      <c r="AC271" s="3009"/>
    </row>
    <row r="272" spans="1:29" ht="18.75" x14ac:dyDescent="0.25">
      <c r="A272" s="2982"/>
      <c r="B272" s="2993"/>
      <c r="C272" s="1863">
        <v>2056</v>
      </c>
      <c r="D272" s="218">
        <f t="shared" si="109"/>
        <v>-591590.52504849702</v>
      </c>
      <c r="E272" s="218">
        <f t="shared" si="106"/>
        <v>18516.182618621537</v>
      </c>
      <c r="F272" s="218">
        <f t="shared" si="107"/>
        <v>1095.2108227444905</v>
      </c>
      <c r="G272" s="218">
        <f t="shared" si="110"/>
        <v>-17.716077728225301</v>
      </c>
      <c r="H272" s="218">
        <f t="shared" si="111"/>
        <v>-14.811098006770084</v>
      </c>
      <c r="I272" s="218">
        <f t="shared" si="112"/>
        <v>-329.7613979483408</v>
      </c>
      <c r="J272" s="218">
        <f t="shared" si="113"/>
        <v>-14.958606357168243</v>
      </c>
      <c r="K272" s="218">
        <f t="shared" si="114"/>
        <v>-1.6641936206841792</v>
      </c>
      <c r="L272" s="218">
        <f t="shared" si="115"/>
        <v>-91.49251933529969</v>
      </c>
      <c r="M272" s="192">
        <f t="shared" si="108"/>
        <v>-571.97913160713108</v>
      </c>
      <c r="N272" s="211">
        <v>97</v>
      </c>
      <c r="O272" s="211">
        <f>'Emission-Waste Transport Vehicl'!N70</f>
        <v>15.668779493664003</v>
      </c>
      <c r="P272" s="211">
        <f>'Emission-Waste Transport Vehicl'!O70</f>
        <v>22.794810939648006</v>
      </c>
      <c r="Q272" s="211">
        <f>'Emission-Waste Transport Vehicl'!P70</f>
        <v>8.7178478523840006</v>
      </c>
      <c r="R272" s="211">
        <f>'Emission-Waste Transport Vehicl'!Q70</f>
        <v>6.7705257818880007</v>
      </c>
      <c r="S272" s="211">
        <f>'Emission-Waste Transport Vehicl'!R70</f>
        <v>0.67386894537600017</v>
      </c>
      <c r="T272" s="211">
        <f>'Emission-Waste Transport Vehicl'!S70</f>
        <v>3.0987359377920003E-2</v>
      </c>
      <c r="U272" s="174">
        <f t="shared" si="92"/>
        <v>-55481.975765891715</v>
      </c>
      <c r="V272" s="1850">
        <f t="shared" si="93"/>
        <v>-277.58931541617414</v>
      </c>
      <c r="W272" s="1850">
        <f t="shared" si="94"/>
        <v>-337.61617887292147</v>
      </c>
      <c r="X272" s="1850">
        <f t="shared" si="95"/>
        <v>-2874.8096949030887</v>
      </c>
      <c r="Y272" s="1850">
        <f t="shared" si="96"/>
        <v>-101.27763000232133</v>
      </c>
      <c r="Z272" s="1850">
        <f t="shared" si="97"/>
        <v>-1.1214484000719152</v>
      </c>
      <c r="AA272" s="1850">
        <f t="shared" si="98"/>
        <v>-2.8351115770342261</v>
      </c>
      <c r="AB272" s="2733"/>
      <c r="AC272" s="3009"/>
    </row>
    <row r="273" spans="1:29" ht="18.75" x14ac:dyDescent="0.25">
      <c r="A273" s="2982"/>
      <c r="B273" s="2993"/>
      <c r="C273" s="1863">
        <v>2057</v>
      </c>
      <c r="D273" s="218">
        <f t="shared" si="109"/>
        <v>-591590.52504849702</v>
      </c>
      <c r="E273" s="218">
        <f t="shared" si="106"/>
        <v>18516.182618621537</v>
      </c>
      <c r="F273" s="218">
        <f t="shared" si="107"/>
        <v>1095.2108227444905</v>
      </c>
      <c r="G273" s="218">
        <f t="shared" si="110"/>
        <v>-17.716077728225301</v>
      </c>
      <c r="H273" s="218">
        <f t="shared" si="111"/>
        <v>-14.811098006770084</v>
      </c>
      <c r="I273" s="218">
        <f t="shared" si="112"/>
        <v>-329.7613979483408</v>
      </c>
      <c r="J273" s="218">
        <f t="shared" si="113"/>
        <v>-14.958606357168243</v>
      </c>
      <c r="K273" s="218">
        <f t="shared" si="114"/>
        <v>-1.6641936206841792</v>
      </c>
      <c r="L273" s="218">
        <f t="shared" si="115"/>
        <v>-91.49251933529969</v>
      </c>
      <c r="M273" s="192">
        <f t="shared" si="108"/>
        <v>-571.97913160713108</v>
      </c>
      <c r="N273" s="211">
        <v>97</v>
      </c>
      <c r="O273" s="211">
        <f>'Emission-Waste Transport Vehicl'!N71</f>
        <v>15.362315641728001</v>
      </c>
      <c r="P273" s="211">
        <f>'Emission-Waste Transport Vehicl'!O71</f>
        <v>22.348969860096002</v>
      </c>
      <c r="Q273" s="211">
        <f>'Emission-Waste Transport Vehicl'!P71</f>
        <v>8.547336471168002</v>
      </c>
      <c r="R273" s="211">
        <f>'Emission-Waste Transport Vehicl'!Q71</f>
        <v>6.6381018485760004</v>
      </c>
      <c r="S273" s="211">
        <f>'Emission-Waste Transport Vehicl'!R71</f>
        <v>0.66068882035200005</v>
      </c>
      <c r="T273" s="211">
        <f>'Emission-Waste Transport Vehicl'!S71</f>
        <v>3.038128118784E-2</v>
      </c>
      <c r="U273" s="174">
        <f t="shared" si="92"/>
        <v>-55481.975765891715</v>
      </c>
      <c r="V273" s="1850">
        <f t="shared" si="93"/>
        <v>-272.15997799438463</v>
      </c>
      <c r="W273" s="1850">
        <f t="shared" si="94"/>
        <v>-331.0127829482326</v>
      </c>
      <c r="X273" s="1850">
        <f t="shared" si="95"/>
        <v>-2818.5816234671984</v>
      </c>
      <c r="Y273" s="1850">
        <f t="shared" si="96"/>
        <v>-99.296752511639227</v>
      </c>
      <c r="Z273" s="1850">
        <f t="shared" si="97"/>
        <v>-1.0995141200871541</v>
      </c>
      <c r="AA273" s="1850">
        <f t="shared" si="98"/>
        <v>-2.779659956509628</v>
      </c>
      <c r="AB273" s="2733"/>
      <c r="AC273" s="3009"/>
    </row>
    <row r="274" spans="1:29" ht="18.75" x14ac:dyDescent="0.25">
      <c r="A274" s="2982"/>
      <c r="B274" s="2993"/>
      <c r="C274" s="1863">
        <v>2058</v>
      </c>
      <c r="D274" s="218">
        <f t="shared" si="109"/>
        <v>-591590.52504849702</v>
      </c>
      <c r="E274" s="218">
        <f t="shared" si="106"/>
        <v>18516.182618621537</v>
      </c>
      <c r="F274" s="218">
        <f t="shared" si="107"/>
        <v>1095.2108227444905</v>
      </c>
      <c r="G274" s="218">
        <f t="shared" si="110"/>
        <v>-17.716077728225301</v>
      </c>
      <c r="H274" s="218">
        <f t="shared" si="111"/>
        <v>-14.811098006770084</v>
      </c>
      <c r="I274" s="218">
        <f t="shared" si="112"/>
        <v>-329.7613979483408</v>
      </c>
      <c r="J274" s="218">
        <f t="shared" si="113"/>
        <v>-14.958606357168243</v>
      </c>
      <c r="K274" s="218">
        <f t="shared" si="114"/>
        <v>-1.6641936206841792</v>
      </c>
      <c r="L274" s="218">
        <f t="shared" si="115"/>
        <v>-91.49251933529969</v>
      </c>
      <c r="M274" s="192">
        <f t="shared" si="108"/>
        <v>-571.97913160713108</v>
      </c>
      <c r="N274" s="211">
        <v>97</v>
      </c>
      <c r="O274" s="211">
        <f>'Emission-Waste Transport Vehicl'!N72</f>
        <v>15.059112043536</v>
      </c>
      <c r="P274" s="211">
        <f>'Emission-Waste Transport Vehicl'!O72</f>
        <v>21.907871770752003</v>
      </c>
      <c r="Q274" s="211">
        <f>'Emission-Waste Transport Vehicl'!P72</f>
        <v>8.378639040816001</v>
      </c>
      <c r="R274" s="211">
        <f>'Emission-Waste Transport Vehicl'!Q72</f>
        <v>6.5070866805119998</v>
      </c>
      <c r="S274" s="211">
        <f>'Emission-Waste Transport Vehicl'!R72</f>
        <v>0.647648909424</v>
      </c>
      <c r="T274" s="211">
        <f>'Emission-Waste Transport Vehicl'!S72</f>
        <v>2.9781650638080002E-2</v>
      </c>
      <c r="U274" s="174">
        <f t="shared" si="92"/>
        <v>-55481.975765891715</v>
      </c>
      <c r="V274" s="1850">
        <f t="shared" si="93"/>
        <v>-266.78839948133754</v>
      </c>
      <c r="W274" s="1850">
        <f t="shared" si="94"/>
        <v>-324.4796359163596</v>
      </c>
      <c r="X274" s="1850">
        <f t="shared" si="95"/>
        <v>-2762.9517230040296</v>
      </c>
      <c r="Y274" s="1850">
        <f t="shared" si="96"/>
        <v>-97.336948185751595</v>
      </c>
      <c r="Z274" s="1850">
        <f t="shared" si="97"/>
        <v>-1.0778131835064866</v>
      </c>
      <c r="AA274" s="1850">
        <f t="shared" si="98"/>
        <v>-2.7247982468416749</v>
      </c>
      <c r="AB274" s="2733"/>
      <c r="AC274" s="3009"/>
    </row>
    <row r="275" spans="1:29" ht="18.75" x14ac:dyDescent="0.25">
      <c r="A275" s="2982"/>
      <c r="B275" s="2993"/>
      <c r="C275" s="1863">
        <v>2059</v>
      </c>
      <c r="D275" s="218">
        <f t="shared" si="109"/>
        <v>-591590.52504849702</v>
      </c>
      <c r="E275" s="218">
        <f t="shared" si="106"/>
        <v>18516.182618621537</v>
      </c>
      <c r="F275" s="218">
        <f t="shared" si="107"/>
        <v>1095.2108227444905</v>
      </c>
      <c r="G275" s="218">
        <f t="shared" si="110"/>
        <v>-17.716077728225301</v>
      </c>
      <c r="H275" s="218">
        <f t="shared" si="111"/>
        <v>-14.811098006770084</v>
      </c>
      <c r="I275" s="218">
        <f t="shared" si="112"/>
        <v>-329.7613979483408</v>
      </c>
      <c r="J275" s="218">
        <f t="shared" si="113"/>
        <v>-14.958606357168243</v>
      </c>
      <c r="K275" s="218">
        <f t="shared" si="114"/>
        <v>-1.6641936206841792</v>
      </c>
      <c r="L275" s="218">
        <f t="shared" si="115"/>
        <v>-91.49251933529969</v>
      </c>
      <c r="M275" s="192">
        <f t="shared" si="108"/>
        <v>-571.97913160713108</v>
      </c>
      <c r="N275" s="211">
        <v>97</v>
      </c>
      <c r="O275" s="211">
        <f>'Emission-Waste Transport Vehicl'!N73</f>
        <v>14.765689206576004</v>
      </c>
      <c r="P275" s="211">
        <f>'Emission-Waste Transport Vehicl'!O73</f>
        <v>21.481002652032004</v>
      </c>
      <c r="Q275" s="211">
        <f>'Emission-Waste Transport Vehicl'!P73</f>
        <v>8.2153834630560016</v>
      </c>
      <c r="R275" s="211">
        <f>'Emission-Waste Transport Vehicl'!Q73</f>
        <v>6.380297808192001</v>
      </c>
      <c r="S275" s="211">
        <f>'Emission-Waste Transport Vehicl'!R73</f>
        <v>0.63502964078400004</v>
      </c>
      <c r="T275" s="211">
        <f>'Emission-Waste Transport Vehicl'!S73</f>
        <v>2.9201363009280005E-2</v>
      </c>
      <c r="U275" s="174">
        <f t="shared" si="92"/>
        <v>-55481.975765891715</v>
      </c>
      <c r="V275" s="1850">
        <f t="shared" si="93"/>
        <v>-261.59009769451785</v>
      </c>
      <c r="W275" s="1850">
        <f t="shared" si="94"/>
        <v>-318.15723556293409</v>
      </c>
      <c r="X275" s="1850">
        <f t="shared" si="95"/>
        <v>-2709.1163354590285</v>
      </c>
      <c r="Y275" s="1850">
        <f t="shared" si="96"/>
        <v>-95.440363354247467</v>
      </c>
      <c r="Z275" s="1850">
        <f t="shared" si="97"/>
        <v>-1.0568122771380988</v>
      </c>
      <c r="AA275" s="1850">
        <f t="shared" si="98"/>
        <v>-2.6717062697436558</v>
      </c>
      <c r="AB275" s="2733"/>
      <c r="AC275" s="3009"/>
    </row>
    <row r="276" spans="1:29" ht="18.75" x14ac:dyDescent="0.25">
      <c r="A276" s="2982"/>
      <c r="B276" s="2993"/>
      <c r="C276" s="1863">
        <v>2060</v>
      </c>
      <c r="D276" s="218">
        <f t="shared" si="109"/>
        <v>-591590.52504849702</v>
      </c>
      <c r="E276" s="218">
        <f t="shared" si="106"/>
        <v>18516.182618621537</v>
      </c>
      <c r="F276" s="218">
        <f t="shared" si="107"/>
        <v>1095.2108227444905</v>
      </c>
      <c r="G276" s="218">
        <f t="shared" si="110"/>
        <v>-17.716077728225301</v>
      </c>
      <c r="H276" s="218">
        <f t="shared" si="111"/>
        <v>-14.811098006770084</v>
      </c>
      <c r="I276" s="218">
        <f t="shared" si="112"/>
        <v>-329.7613979483408</v>
      </c>
      <c r="J276" s="218">
        <f t="shared" si="113"/>
        <v>-14.958606357168243</v>
      </c>
      <c r="K276" s="218">
        <f t="shared" si="114"/>
        <v>-1.6641936206841792</v>
      </c>
      <c r="L276" s="218">
        <f t="shared" si="115"/>
        <v>-91.49251933529969</v>
      </c>
      <c r="M276" s="192">
        <f t="shared" si="108"/>
        <v>-571.97913160713108</v>
      </c>
      <c r="N276" s="211">
        <v>97</v>
      </c>
      <c r="O276" s="211">
        <f>'Emission-Waste Transport Vehicl'!N74</f>
        <v>14.475526623360002</v>
      </c>
      <c r="P276" s="211">
        <f>'Emission-Waste Transport Vehicl'!O74</f>
        <v>21.058876523520002</v>
      </c>
      <c r="Q276" s="211">
        <f>'Emission-Waste Transport Vehicl'!P74</f>
        <v>8.0539418361599999</v>
      </c>
      <c r="R276" s="211">
        <f>'Emission-Waste Transport Vehicl'!Q74</f>
        <v>6.2549177011200001</v>
      </c>
      <c r="S276" s="211">
        <f>'Emission-Waste Transport Vehicl'!R74</f>
        <v>0.62255058624000004</v>
      </c>
      <c r="T276" s="211">
        <f>'Emission-Waste Transport Vehicl'!S74</f>
        <v>2.8627523020800003E-2</v>
      </c>
      <c r="U276" s="174">
        <f t="shared" si="92"/>
        <v>-55481.975765891715</v>
      </c>
      <c r="V276" s="1850">
        <f t="shared" si="93"/>
        <v>-256.44955481644052</v>
      </c>
      <c r="W276" s="1850">
        <f t="shared" si="94"/>
        <v>-311.90508410232445</v>
      </c>
      <c r="X276" s="1850">
        <f t="shared" si="95"/>
        <v>-2655.8791188867485</v>
      </c>
      <c r="Y276" s="1850">
        <f t="shared" si="96"/>
        <v>-93.564851687537811</v>
      </c>
      <c r="Z276" s="1850">
        <f t="shared" si="97"/>
        <v>-1.0360447141738041</v>
      </c>
      <c r="AA276" s="1850">
        <f t="shared" si="98"/>
        <v>-2.6192042035022811</v>
      </c>
      <c r="AB276" s="2733"/>
      <c r="AC276" s="3009"/>
    </row>
    <row r="277" spans="1:29" ht="18.75" x14ac:dyDescent="0.25">
      <c r="A277" s="2982"/>
      <c r="B277" s="2993"/>
      <c r="C277" s="1863">
        <v>2061</v>
      </c>
      <c r="D277" s="218">
        <f t="shared" si="109"/>
        <v>-591590.52504849702</v>
      </c>
      <c r="E277" s="218">
        <f t="shared" si="106"/>
        <v>18516.182618621537</v>
      </c>
      <c r="F277" s="218">
        <f t="shared" si="107"/>
        <v>1095.2108227444905</v>
      </c>
      <c r="G277" s="218">
        <f t="shared" si="110"/>
        <v>-17.716077728225301</v>
      </c>
      <c r="H277" s="218">
        <f t="shared" si="111"/>
        <v>-14.811098006770084</v>
      </c>
      <c r="I277" s="218">
        <f t="shared" si="112"/>
        <v>-329.7613979483408</v>
      </c>
      <c r="J277" s="218">
        <f t="shared" si="113"/>
        <v>-14.958606357168243</v>
      </c>
      <c r="K277" s="218">
        <f t="shared" si="114"/>
        <v>-1.6641936206841792</v>
      </c>
      <c r="L277" s="218">
        <f t="shared" si="115"/>
        <v>-91.49251933529969</v>
      </c>
      <c r="M277" s="192">
        <f t="shared" si="108"/>
        <v>-571.97913160713108</v>
      </c>
      <c r="N277" s="211">
        <v>97</v>
      </c>
      <c r="O277" s="211">
        <f>'Emission-Waste Transport Vehicl'!N75</f>
        <v>14.191884547632004</v>
      </c>
      <c r="P277" s="211">
        <f>'Emission-Waste Transport Vehicl'!O75</f>
        <v>20.646236375424003</v>
      </c>
      <c r="Q277" s="211">
        <f>'Emission-Waste Transport Vehicl'!P75</f>
        <v>7.8961281109920014</v>
      </c>
      <c r="R277" s="211">
        <f>'Emission-Waste Transport Vehicl'!Q75</f>
        <v>6.1323551245440004</v>
      </c>
      <c r="S277" s="211">
        <f>'Emission-Waste Transport Vehicl'!R75</f>
        <v>0.61035195988800006</v>
      </c>
      <c r="T277" s="211">
        <f>'Emission-Waste Transport Vehicl'!S75</f>
        <v>2.8066578312960003E-2</v>
      </c>
      <c r="U277" s="174">
        <f t="shared" si="92"/>
        <v>-55481.975765891715</v>
      </c>
      <c r="V277" s="1850">
        <f t="shared" si="93"/>
        <v>-251.42452975584814</v>
      </c>
      <c r="W277" s="1850">
        <f t="shared" si="94"/>
        <v>-305.79343042734644</v>
      </c>
      <c r="X277" s="1850">
        <f t="shared" si="95"/>
        <v>-2603.8382442599141</v>
      </c>
      <c r="Y277" s="1850">
        <f t="shared" si="96"/>
        <v>-91.731486350417143</v>
      </c>
      <c r="Z277" s="1850">
        <f t="shared" si="97"/>
        <v>-1.0157438380176957</v>
      </c>
      <c r="AA277" s="1850">
        <f t="shared" si="98"/>
        <v>-2.5678819589741959</v>
      </c>
      <c r="AB277" s="2733"/>
      <c r="AC277" s="3009"/>
    </row>
    <row r="278" spans="1:29" ht="18.75" x14ac:dyDescent="0.25">
      <c r="A278" s="2982"/>
      <c r="B278" s="2993"/>
      <c r="C278" s="1863">
        <v>2062</v>
      </c>
      <c r="D278" s="218">
        <f t="shared" si="109"/>
        <v>-591590.52504849702</v>
      </c>
      <c r="E278" s="218">
        <f t="shared" si="106"/>
        <v>18516.182618621537</v>
      </c>
      <c r="F278" s="218">
        <f t="shared" si="107"/>
        <v>1095.2108227444905</v>
      </c>
      <c r="G278" s="218">
        <f t="shared" si="110"/>
        <v>-17.716077728225301</v>
      </c>
      <c r="H278" s="218">
        <f t="shared" si="111"/>
        <v>-14.811098006770084</v>
      </c>
      <c r="I278" s="218">
        <f t="shared" si="112"/>
        <v>-329.7613979483408</v>
      </c>
      <c r="J278" s="218">
        <f t="shared" si="113"/>
        <v>-14.958606357168243</v>
      </c>
      <c r="K278" s="218">
        <f t="shared" si="114"/>
        <v>-1.6641936206841792</v>
      </c>
      <c r="L278" s="218">
        <f t="shared" si="115"/>
        <v>-91.49251933529969</v>
      </c>
      <c r="M278" s="192">
        <f t="shared" si="108"/>
        <v>-571.97913160713108</v>
      </c>
      <c r="N278" s="211">
        <v>97</v>
      </c>
      <c r="O278" s="211">
        <f>'Emission-Waste Transport Vehicl'!N76</f>
        <v>13.914762979392002</v>
      </c>
      <c r="P278" s="211">
        <f>'Emission-Waste Transport Vehicl'!O76</f>
        <v>20.243082207744003</v>
      </c>
      <c r="Q278" s="211">
        <f>'Emission-Waste Transport Vehicl'!P76</f>
        <v>7.7419422875520008</v>
      </c>
      <c r="R278" s="211">
        <f>'Emission-Waste Transport Vehicl'!Q76</f>
        <v>6.0126100784640002</v>
      </c>
      <c r="S278" s="211">
        <f>'Emission-Waste Transport Vehicl'!R76</f>
        <v>0.59843376172800011</v>
      </c>
      <c r="T278" s="211">
        <f>'Emission-Waste Transport Vehicl'!S76</f>
        <v>2.7518528885760004E-2</v>
      </c>
      <c r="U278" s="174">
        <f t="shared" si="92"/>
        <v>-55481.975765891715</v>
      </c>
      <c r="V278" s="1850">
        <f t="shared" si="93"/>
        <v>-246.51502251274059</v>
      </c>
      <c r="W278" s="1850">
        <f t="shared" si="94"/>
        <v>-299.82227453800016</v>
      </c>
      <c r="X278" s="1850">
        <f t="shared" si="95"/>
        <v>-2552.9937115785233</v>
      </c>
      <c r="Y278" s="1850">
        <f t="shared" si="96"/>
        <v>-89.940267342885448</v>
      </c>
      <c r="Z278" s="1850">
        <f t="shared" si="97"/>
        <v>-0.99590964866977394</v>
      </c>
      <c r="AA278" s="1850">
        <f t="shared" si="98"/>
        <v>-2.5177395361594002</v>
      </c>
      <c r="AB278" s="2733"/>
      <c r="AC278" s="3009"/>
    </row>
    <row r="279" spans="1:29" ht="18.75" x14ac:dyDescent="0.25">
      <c r="A279" s="2982"/>
      <c r="B279" s="2993"/>
      <c r="C279" s="1863">
        <v>2063</v>
      </c>
      <c r="D279" s="218">
        <f t="shared" si="109"/>
        <v>-591590.52504849702</v>
      </c>
      <c r="E279" s="218">
        <f t="shared" si="106"/>
        <v>18516.182618621537</v>
      </c>
      <c r="F279" s="218">
        <f t="shared" si="107"/>
        <v>1095.2108227444905</v>
      </c>
      <c r="G279" s="218">
        <f t="shared" si="110"/>
        <v>-17.716077728225301</v>
      </c>
      <c r="H279" s="218">
        <f t="shared" si="111"/>
        <v>-14.811098006770084</v>
      </c>
      <c r="I279" s="218">
        <f t="shared" si="112"/>
        <v>-329.7613979483408</v>
      </c>
      <c r="J279" s="218">
        <f t="shared" si="113"/>
        <v>-14.958606357168243</v>
      </c>
      <c r="K279" s="218">
        <f t="shared" si="114"/>
        <v>-1.6641936206841792</v>
      </c>
      <c r="L279" s="218">
        <f t="shared" si="115"/>
        <v>-91.49251933529969</v>
      </c>
      <c r="M279" s="192">
        <f t="shared" si="108"/>
        <v>-571.97913160713108</v>
      </c>
      <c r="N279" s="211">
        <v>97</v>
      </c>
      <c r="O279" s="211">
        <f>'Emission-Waste Transport Vehicl'!N77</f>
        <v>13.640901664896001</v>
      </c>
      <c r="P279" s="211">
        <f>'Emission-Waste Transport Vehicl'!O77</f>
        <v>19.844671030272</v>
      </c>
      <c r="Q279" s="211">
        <f>'Emission-Waste Transport Vehicl'!P77</f>
        <v>7.5895704149760004</v>
      </c>
      <c r="R279" s="211">
        <f>'Emission-Waste Transport Vehicl'!Q77</f>
        <v>5.8942737976319997</v>
      </c>
      <c r="S279" s="211">
        <f>'Emission-Waste Transport Vehicl'!R77</f>
        <v>0.58665577766400001</v>
      </c>
      <c r="T279" s="211">
        <f>'Emission-Waste Transport Vehicl'!S77</f>
        <v>2.6976927098879999E-2</v>
      </c>
      <c r="U279" s="174">
        <f t="shared" si="92"/>
        <v>-55481.975765891715</v>
      </c>
      <c r="V279" s="1850">
        <f t="shared" si="93"/>
        <v>-241.66327417837547</v>
      </c>
      <c r="W279" s="1850">
        <f t="shared" si="94"/>
        <v>-293.92136754146964</v>
      </c>
      <c r="X279" s="1850">
        <f t="shared" si="95"/>
        <v>-2502.747349869855</v>
      </c>
      <c r="Y279" s="1850">
        <f t="shared" si="96"/>
        <v>-88.170121500148227</v>
      </c>
      <c r="Z279" s="1850">
        <f t="shared" si="97"/>
        <v>-0.976308802725945</v>
      </c>
      <c r="AA279" s="1850">
        <f t="shared" si="98"/>
        <v>-2.4681870242012485</v>
      </c>
      <c r="AB279" s="2733"/>
      <c r="AC279" s="3009"/>
    </row>
    <row r="280" spans="1:29" ht="18.75" x14ac:dyDescent="0.25">
      <c r="A280" s="2982"/>
      <c r="B280" s="2993"/>
      <c r="C280" s="1863">
        <v>2064</v>
      </c>
      <c r="D280" s="218">
        <f t="shared" si="109"/>
        <v>-591590.52504849702</v>
      </c>
      <c r="E280" s="218">
        <f t="shared" si="106"/>
        <v>18516.182618621537</v>
      </c>
      <c r="F280" s="218">
        <f t="shared" si="107"/>
        <v>1095.2108227444905</v>
      </c>
      <c r="G280" s="218">
        <f t="shared" si="110"/>
        <v>-17.716077728225301</v>
      </c>
      <c r="H280" s="218">
        <f t="shared" si="111"/>
        <v>-14.811098006770084</v>
      </c>
      <c r="I280" s="218">
        <f t="shared" si="112"/>
        <v>-329.7613979483408</v>
      </c>
      <c r="J280" s="218">
        <f t="shared" si="113"/>
        <v>-14.958606357168243</v>
      </c>
      <c r="K280" s="218">
        <f t="shared" si="114"/>
        <v>-1.6641936206841792</v>
      </c>
      <c r="L280" s="218">
        <f t="shared" si="115"/>
        <v>-91.49251933529969</v>
      </c>
      <c r="M280" s="192">
        <f t="shared" si="108"/>
        <v>-571.97913160713108</v>
      </c>
      <c r="N280" s="211">
        <v>97</v>
      </c>
      <c r="O280" s="211">
        <f>'Emission-Waste Transport Vehicl'!N78</f>
        <v>13.373560857888002</v>
      </c>
      <c r="P280" s="211">
        <f>'Emission-Waste Transport Vehicl'!O78</f>
        <v>19.455745833216003</v>
      </c>
      <c r="Q280" s="211">
        <f>'Emission-Waste Transport Vehicl'!P78</f>
        <v>7.4408264441280014</v>
      </c>
      <c r="R280" s="211">
        <f>'Emission-Waste Transport Vehicl'!Q78</f>
        <v>5.7787550472960003</v>
      </c>
      <c r="S280" s="211">
        <f>'Emission-Waste Transport Vehicl'!R78</f>
        <v>0.57515822179200005</v>
      </c>
      <c r="T280" s="211">
        <f>'Emission-Waste Transport Vehicl'!S78</f>
        <v>2.6448220592640001E-2</v>
      </c>
      <c r="U280" s="174">
        <f t="shared" si="92"/>
        <v>-55481.975765891715</v>
      </c>
      <c r="V280" s="1850">
        <f t="shared" si="93"/>
        <v>-236.92704366149528</v>
      </c>
      <c r="W280" s="1850">
        <f t="shared" si="94"/>
        <v>-288.16095833057091</v>
      </c>
      <c r="X280" s="1850">
        <f t="shared" si="95"/>
        <v>-2453.6973301066314</v>
      </c>
      <c r="Y280" s="1850">
        <f t="shared" si="96"/>
        <v>-86.442121987000021</v>
      </c>
      <c r="Z280" s="1850">
        <f t="shared" si="97"/>
        <v>-0.95717464359030269</v>
      </c>
      <c r="AA280" s="1850">
        <f t="shared" si="98"/>
        <v>-2.4198143339563867</v>
      </c>
      <c r="AB280" s="2733"/>
      <c r="AC280" s="3009"/>
    </row>
    <row r="281" spans="1:29" ht="18.75" x14ac:dyDescent="0.25">
      <c r="A281" s="2982"/>
      <c r="B281" s="2993"/>
      <c r="C281" s="1863">
        <v>2065</v>
      </c>
      <c r="D281" s="218">
        <f t="shared" si="109"/>
        <v>-591590.52504849702</v>
      </c>
      <c r="E281" s="218">
        <f t="shared" si="106"/>
        <v>18516.182618621537</v>
      </c>
      <c r="F281" s="218">
        <f t="shared" si="107"/>
        <v>1095.2108227444905</v>
      </c>
      <c r="G281" s="218">
        <f t="shared" si="110"/>
        <v>-17.716077728225301</v>
      </c>
      <c r="H281" s="218">
        <f t="shared" si="111"/>
        <v>-14.811098006770084</v>
      </c>
      <c r="I281" s="218">
        <f t="shared" si="112"/>
        <v>-329.7613979483408</v>
      </c>
      <c r="J281" s="218">
        <f t="shared" si="113"/>
        <v>-14.958606357168243</v>
      </c>
      <c r="K281" s="218">
        <f t="shared" si="114"/>
        <v>-1.6641936206841792</v>
      </c>
      <c r="L281" s="218">
        <f t="shared" si="115"/>
        <v>-91.49251933529969</v>
      </c>
      <c r="M281" s="192">
        <f t="shared" si="108"/>
        <v>-571.97913160713108</v>
      </c>
      <c r="N281" s="211">
        <v>97</v>
      </c>
      <c r="O281" s="211">
        <f>'Emission-Waste Transport Vehicl'!N79</f>
        <v>13.112740558368001</v>
      </c>
      <c r="P281" s="211">
        <f>'Emission-Waste Transport Vehicl'!O79</f>
        <v>19.076306616576002</v>
      </c>
      <c r="Q281" s="211">
        <f>'Emission-Waste Transport Vehicl'!P79</f>
        <v>7.2957103750080003</v>
      </c>
      <c r="R281" s="211">
        <f>'Emission-Waste Transport Vehicl'!Q79</f>
        <v>5.6660538274560004</v>
      </c>
      <c r="S281" s="211">
        <f>'Emission-Waste Transport Vehicl'!R79</f>
        <v>0.56394109411200011</v>
      </c>
      <c r="T281" s="211">
        <f>'Emission-Waste Transport Vehicl'!S79</f>
        <v>2.5932409367040003E-2</v>
      </c>
      <c r="U281" s="174">
        <f t="shared" si="92"/>
        <v>-55481.975765891715</v>
      </c>
      <c r="V281" s="1850">
        <f t="shared" si="93"/>
        <v>-232.30633096209993</v>
      </c>
      <c r="W281" s="1850">
        <f t="shared" si="94"/>
        <v>-282.5410469053038</v>
      </c>
      <c r="X281" s="1850">
        <f t="shared" si="95"/>
        <v>-2405.8436522888519</v>
      </c>
      <c r="Y281" s="1850">
        <f t="shared" si="96"/>
        <v>-84.75626880344079</v>
      </c>
      <c r="Z281" s="1850">
        <f t="shared" si="97"/>
        <v>-0.93850717126284688</v>
      </c>
      <c r="AA281" s="1850">
        <f t="shared" si="98"/>
        <v>-2.3726214654248143</v>
      </c>
      <c r="AB281" s="2733"/>
      <c r="AC281" s="3009"/>
    </row>
    <row r="282" spans="1:29" ht="18.75" x14ac:dyDescent="0.25">
      <c r="A282" s="2982"/>
      <c r="B282" s="2993"/>
      <c r="C282" s="1863">
        <v>2066</v>
      </c>
      <c r="D282" s="218">
        <f t="shared" si="109"/>
        <v>-591590.52504849702</v>
      </c>
      <c r="E282" s="218">
        <f t="shared" si="106"/>
        <v>18516.182618621537</v>
      </c>
      <c r="F282" s="218">
        <f t="shared" si="107"/>
        <v>1095.2108227444905</v>
      </c>
      <c r="G282" s="218">
        <f t="shared" si="110"/>
        <v>-17.716077728225301</v>
      </c>
      <c r="H282" s="218">
        <f t="shared" si="111"/>
        <v>-14.811098006770084</v>
      </c>
      <c r="I282" s="218">
        <f t="shared" si="112"/>
        <v>-329.7613979483408</v>
      </c>
      <c r="J282" s="218">
        <f t="shared" si="113"/>
        <v>-14.958606357168243</v>
      </c>
      <c r="K282" s="218">
        <f t="shared" si="114"/>
        <v>-1.6641936206841792</v>
      </c>
      <c r="L282" s="218">
        <f t="shared" si="115"/>
        <v>-91.49251933529969</v>
      </c>
      <c r="M282" s="192">
        <f t="shared" si="108"/>
        <v>-571.97913160713108</v>
      </c>
      <c r="N282" s="211">
        <v>97</v>
      </c>
      <c r="O282" s="211">
        <f>'Emission-Waste Transport Vehicl'!N80</f>
        <v>12.855180512592</v>
      </c>
      <c r="P282" s="211">
        <f>'Emission-Waste Transport Vehicl'!O80</f>
        <v>18.701610390143998</v>
      </c>
      <c r="Q282" s="211">
        <f>'Emission-Waste Transport Vehicl'!P80</f>
        <v>7.1524082567520004</v>
      </c>
      <c r="R282" s="211">
        <f>'Emission-Waste Transport Vehicl'!Q80</f>
        <v>5.5547613728639993</v>
      </c>
      <c r="S282" s="211">
        <f>'Emission-Waste Transport Vehicl'!R80</f>
        <v>0.55286418052800002</v>
      </c>
      <c r="T282" s="211">
        <f>'Emission-Waste Transport Vehicl'!S80</f>
        <v>2.5423045781760002E-2</v>
      </c>
      <c r="U282" s="174">
        <f t="shared" si="92"/>
        <v>-55481.975765891715</v>
      </c>
      <c r="V282" s="1850">
        <f t="shared" si="93"/>
        <v>-227.74337717144704</v>
      </c>
      <c r="W282" s="1850">
        <f t="shared" si="94"/>
        <v>-276.99138437285245</v>
      </c>
      <c r="X282" s="1850">
        <f t="shared" si="95"/>
        <v>-2358.5881454437949</v>
      </c>
      <c r="Y282" s="1850">
        <f t="shared" si="96"/>
        <v>-83.091488784676017</v>
      </c>
      <c r="Z282" s="1850">
        <f t="shared" si="97"/>
        <v>-0.92007304233948406</v>
      </c>
      <c r="AA282" s="1850">
        <f t="shared" si="98"/>
        <v>-2.3260185077498861</v>
      </c>
      <c r="AB282" s="2733"/>
      <c r="AC282" s="3009"/>
    </row>
    <row r="283" spans="1:29" ht="18.75" x14ac:dyDescent="0.25">
      <c r="A283" s="2982"/>
      <c r="B283" s="2993"/>
      <c r="C283" s="1863">
        <v>2067</v>
      </c>
      <c r="D283" s="218">
        <f t="shared" si="109"/>
        <v>-591590.52504849702</v>
      </c>
      <c r="E283" s="218">
        <f t="shared" si="106"/>
        <v>18516.182618621537</v>
      </c>
      <c r="F283" s="218">
        <f t="shared" si="107"/>
        <v>1095.2108227444905</v>
      </c>
      <c r="G283" s="218">
        <f t="shared" si="110"/>
        <v>-17.716077728225301</v>
      </c>
      <c r="H283" s="218">
        <f t="shared" si="111"/>
        <v>-14.811098006770084</v>
      </c>
      <c r="I283" s="218">
        <f t="shared" si="112"/>
        <v>-329.7613979483408</v>
      </c>
      <c r="J283" s="218">
        <f t="shared" si="113"/>
        <v>-14.958606357168243</v>
      </c>
      <c r="K283" s="218">
        <f t="shared" si="114"/>
        <v>-1.6641936206841792</v>
      </c>
      <c r="L283" s="218">
        <f t="shared" si="115"/>
        <v>-91.49251933529969</v>
      </c>
      <c r="M283" s="192">
        <f t="shared" si="108"/>
        <v>-571.97913160713108</v>
      </c>
      <c r="N283" s="211">
        <v>97</v>
      </c>
      <c r="O283" s="211">
        <f>'Emission-Waste Transport Vehicl'!N81</f>
        <v>12.600880720560001</v>
      </c>
      <c r="P283" s="211">
        <f>'Emission-Waste Transport Vehicl'!O81</f>
        <v>18.331657153920002</v>
      </c>
      <c r="Q283" s="211">
        <f>'Emission-Waste Transport Vehicl'!P81</f>
        <v>7.0109200893600008</v>
      </c>
      <c r="R283" s="211">
        <f>'Emission-Waste Transport Vehicl'!Q81</f>
        <v>5.4448776835200006</v>
      </c>
      <c r="S283" s="211">
        <f>'Emission-Waste Transport Vehicl'!R81</f>
        <v>0.5419274810400001</v>
      </c>
      <c r="T283" s="211">
        <f>'Emission-Waste Transport Vehicl'!S81</f>
        <v>2.4920129836800003E-2</v>
      </c>
      <c r="U283" s="174">
        <f t="shared" si="92"/>
        <v>-55481.975765891715</v>
      </c>
      <c r="V283" s="1850">
        <f t="shared" si="93"/>
        <v>-223.23818228953661</v>
      </c>
      <c r="W283" s="1850">
        <f t="shared" si="94"/>
        <v>-271.51197073321708</v>
      </c>
      <c r="X283" s="1850">
        <f t="shared" si="95"/>
        <v>-2311.9308095714605</v>
      </c>
      <c r="Y283" s="1850">
        <f t="shared" si="96"/>
        <v>-81.447781930705773</v>
      </c>
      <c r="Z283" s="1850">
        <f t="shared" si="97"/>
        <v>-0.90187225682021466</v>
      </c>
      <c r="AA283" s="1850">
        <f t="shared" si="98"/>
        <v>-2.2800054609316032</v>
      </c>
      <c r="AB283" s="2733"/>
      <c r="AC283" s="3009"/>
    </row>
    <row r="284" spans="1:29" ht="18.75" x14ac:dyDescent="0.25">
      <c r="A284" s="2982"/>
      <c r="B284" s="2993"/>
      <c r="C284" s="1863">
        <v>2068</v>
      </c>
      <c r="D284" s="218">
        <f t="shared" si="109"/>
        <v>-591590.52504849702</v>
      </c>
      <c r="E284" s="218">
        <f t="shared" si="106"/>
        <v>18516.182618621537</v>
      </c>
      <c r="F284" s="218">
        <f t="shared" si="107"/>
        <v>1095.2108227444905</v>
      </c>
      <c r="G284" s="218">
        <f t="shared" si="110"/>
        <v>-17.716077728225301</v>
      </c>
      <c r="H284" s="218">
        <f t="shared" si="111"/>
        <v>-14.811098006770084</v>
      </c>
      <c r="I284" s="218">
        <f t="shared" si="112"/>
        <v>-329.7613979483408</v>
      </c>
      <c r="J284" s="218">
        <f t="shared" si="113"/>
        <v>-14.958606357168243</v>
      </c>
      <c r="K284" s="218">
        <f t="shared" si="114"/>
        <v>-1.6641936206841792</v>
      </c>
      <c r="L284" s="218">
        <f t="shared" si="115"/>
        <v>-91.49251933529969</v>
      </c>
      <c r="M284" s="192">
        <f t="shared" si="108"/>
        <v>-571.97913160713108</v>
      </c>
      <c r="N284" s="211">
        <v>97</v>
      </c>
      <c r="O284" s="211">
        <f>'Emission-Waste Transport Vehicl'!N82</f>
        <v>12.356361689760002</v>
      </c>
      <c r="P284" s="211">
        <f>'Emission-Waste Transport Vehicl'!O82</f>
        <v>17.975932888320003</v>
      </c>
      <c r="Q284" s="211">
        <f>'Emission-Waste Transport Vehicl'!P82</f>
        <v>6.8748737745600002</v>
      </c>
      <c r="R284" s="211">
        <f>'Emission-Waste Transport Vehicl'!Q82</f>
        <v>5.339220289920001</v>
      </c>
      <c r="S284" s="211">
        <f>'Emission-Waste Transport Vehicl'!R82</f>
        <v>0.53141142384000006</v>
      </c>
      <c r="T284" s="211">
        <f>'Emission-Waste Transport Vehicl'!S82</f>
        <v>2.4436556812800003E-2</v>
      </c>
      <c r="U284" s="174">
        <f t="shared" si="92"/>
        <v>-55481.975765891715</v>
      </c>
      <c r="V284" s="1850">
        <f t="shared" si="93"/>
        <v>-218.90626413385351</v>
      </c>
      <c r="W284" s="1850">
        <f t="shared" si="94"/>
        <v>-266.24330377202921</v>
      </c>
      <c r="X284" s="1850">
        <f t="shared" si="95"/>
        <v>-2267.0679866172918</v>
      </c>
      <c r="Y284" s="1850">
        <f t="shared" si="96"/>
        <v>-79.86729457111899</v>
      </c>
      <c r="Z284" s="1850">
        <f t="shared" si="97"/>
        <v>-0.88437150151322463</v>
      </c>
      <c r="AA284" s="1850">
        <f t="shared" si="98"/>
        <v>-2.2357621466832538</v>
      </c>
      <c r="AB284" s="2733"/>
      <c r="AC284" s="3009"/>
    </row>
    <row r="285" spans="1:29" ht="19.5" thickBot="1" x14ac:dyDescent="0.3">
      <c r="A285" s="2983"/>
      <c r="B285" s="2994"/>
      <c r="C285" s="1864">
        <v>2069</v>
      </c>
      <c r="D285" s="222">
        <f t="shared" si="109"/>
        <v>-591590.52504849702</v>
      </c>
      <c r="E285" s="222">
        <f t="shared" si="106"/>
        <v>18516.182618621537</v>
      </c>
      <c r="F285" s="222">
        <f t="shared" si="107"/>
        <v>1095.2108227444905</v>
      </c>
      <c r="G285" s="222">
        <f t="shared" si="110"/>
        <v>-17.716077728225301</v>
      </c>
      <c r="H285" s="222">
        <f t="shared" si="111"/>
        <v>-14.811098006770084</v>
      </c>
      <c r="I285" s="222">
        <f t="shared" si="112"/>
        <v>-329.7613979483408</v>
      </c>
      <c r="J285" s="222">
        <f t="shared" si="113"/>
        <v>-14.958606357168243</v>
      </c>
      <c r="K285" s="222">
        <f t="shared" si="114"/>
        <v>-1.6641936206841792</v>
      </c>
      <c r="L285" s="222">
        <f t="shared" si="115"/>
        <v>-91.49251933529969</v>
      </c>
      <c r="M285" s="220">
        <f t="shared" si="108"/>
        <v>-571.97913160713108</v>
      </c>
      <c r="N285" s="416">
        <v>97</v>
      </c>
      <c r="O285" s="416">
        <f>'Emission-Waste Transport Vehicl'!N83</f>
        <v>12.111842658960002</v>
      </c>
      <c r="P285" s="416">
        <f>'Emission-Waste Transport Vehicl'!O83</f>
        <v>17.62020862272</v>
      </c>
      <c r="Q285" s="416">
        <f>'Emission-Waste Transport Vehicl'!P83</f>
        <v>6.7388274597600004</v>
      </c>
      <c r="R285" s="416">
        <f>'Emission-Waste Transport Vehicl'!Q83</f>
        <v>5.2335628963200005</v>
      </c>
      <c r="S285" s="416">
        <f>'Emission-Waste Transport Vehicl'!R83</f>
        <v>0.52089536664000002</v>
      </c>
      <c r="T285" s="416">
        <f>'Emission-Waste Transport Vehicl'!S83</f>
        <v>2.3952983788800002E-2</v>
      </c>
      <c r="U285" s="647">
        <f t="shared" si="92"/>
        <v>-55481.975765891715</v>
      </c>
      <c r="V285" s="175">
        <f t="shared" si="93"/>
        <v>-214.57434597817041</v>
      </c>
      <c r="W285" s="175">
        <f t="shared" si="94"/>
        <v>-260.97463681084122</v>
      </c>
      <c r="X285" s="175">
        <f t="shared" si="95"/>
        <v>-2222.205163663124</v>
      </c>
      <c r="Y285" s="175">
        <f t="shared" si="96"/>
        <v>-78.286807211532206</v>
      </c>
      <c r="Z285" s="175">
        <f t="shared" si="97"/>
        <v>-0.86687074620623461</v>
      </c>
      <c r="AA285" s="175">
        <f t="shared" si="98"/>
        <v>-2.191518832434904</v>
      </c>
      <c r="AB285" s="2735"/>
      <c r="AC285" s="3009"/>
    </row>
    <row r="286" spans="1:29" ht="18.75" x14ac:dyDescent="0.25">
      <c r="A286" s="3007" t="s">
        <v>180</v>
      </c>
      <c r="B286" s="2458" t="s">
        <v>1801</v>
      </c>
      <c r="C286" s="1865">
        <v>2019</v>
      </c>
      <c r="D286" s="221">
        <f t="shared" ref="D286:D317" si="116">$AC$8</f>
        <v>-260795.41749080844</v>
      </c>
      <c r="E286" s="221">
        <f>$AB$8*28</f>
        <v>153347.70548459538</v>
      </c>
      <c r="F286" s="221">
        <f>$AD$8*298</f>
        <v>-6236.7920115839406</v>
      </c>
      <c r="G286" s="221">
        <f t="shared" ref="G286:G317" si="117">$Y$8</f>
        <v>-84.758510684512757</v>
      </c>
      <c r="H286" s="221">
        <f t="shared" ref="H286:H317" si="118">$Z$8</f>
        <v>-63.112491032775637</v>
      </c>
      <c r="I286" s="221">
        <f t="shared" ref="I286:I317" si="119">$X$8</f>
        <v>130.39770874540434</v>
      </c>
      <c r="J286" s="221">
        <f t="shared" ref="J286:J317" si="120">$AA$8</f>
        <v>-199.1825001086049</v>
      </c>
      <c r="K286" s="221">
        <f t="shared" ref="K286:K317" si="121">$V$8</f>
        <v>-521.59083498161681</v>
      </c>
      <c r="L286" s="221">
        <f t="shared" ref="L286:L317" si="122">$W$8</f>
        <v>586.78968935431806</v>
      </c>
      <c r="M286" s="354">
        <f t="shared" si="108"/>
        <v>-113.68450401779701</v>
      </c>
      <c r="N286" s="726">
        <v>62</v>
      </c>
      <c r="O286" s="726">
        <f>'Emission-Waste Transport Vehicl'!N33</f>
        <v>32.602537440000006</v>
      </c>
      <c r="P286" s="726">
        <f>'Emission-Waste Transport Vehicl'!O33</f>
        <v>47.429902080000005</v>
      </c>
      <c r="Q286" s="726">
        <f>'Emission-Waste Transport Vehicl'!P33</f>
        <v>18.139508640000003</v>
      </c>
      <c r="R286" s="726">
        <f>'Emission-Waste Transport Vehicl'!Q33</f>
        <v>14.087652480000001</v>
      </c>
      <c r="S286" s="726">
        <f>'Emission-Waste Transport Vehicl'!R33</f>
        <v>1.4021409600000001</v>
      </c>
      <c r="T286" s="726">
        <f>'Emission-Waste Transport Vehicl'!S33</f>
        <v>6.4476403200000004E-2</v>
      </c>
      <c r="U286" s="1848">
        <f t="shared" si="92"/>
        <v>-7048.439249103415</v>
      </c>
      <c r="V286" s="1848">
        <f t="shared" si="93"/>
        <v>-2763.3425179504675</v>
      </c>
      <c r="W286" s="1848">
        <f t="shared" si="94"/>
        <v>-2993.4192697094268</v>
      </c>
      <c r="X286" s="1848">
        <f t="shared" si="95"/>
        <v>2365.3503644234661</v>
      </c>
      <c r="Y286" s="1848">
        <f t="shared" si="96"/>
        <v>-2806.0138416275881</v>
      </c>
      <c r="Z286" s="1848">
        <f t="shared" si="97"/>
        <v>-731.34387408832583</v>
      </c>
      <c r="AA286" s="1848">
        <f t="shared" si="98"/>
        <v>37.834088604411761</v>
      </c>
      <c r="AB286" s="2740">
        <f>(SUM(U286:U336)*1.2682)+(SUM(V286:V336))+(SUM(W286:W336))+(SUM(X286:X336))+(SUM(Y286:Y336))+(SUM(Z286:Z336))+(SUM(AA286:AA336))</f>
        <v>-856969.38912438892</v>
      </c>
      <c r="AC286" s="3009"/>
    </row>
    <row r="287" spans="1:29" ht="18.75" x14ac:dyDescent="0.25">
      <c r="A287" s="2982"/>
      <c r="B287" s="2753"/>
      <c r="C287" s="1863">
        <v>2020</v>
      </c>
      <c r="D287" s="218">
        <f t="shared" si="116"/>
        <v>-260795.41749080844</v>
      </c>
      <c r="E287" s="221">
        <f t="shared" ref="E287:E336" si="123">$AB$8*28</f>
        <v>153347.70548459538</v>
      </c>
      <c r="F287" s="221">
        <f t="shared" ref="F287:F336" si="124">$AD$8*298</f>
        <v>-6236.7920115839406</v>
      </c>
      <c r="G287" s="218">
        <f t="shared" si="117"/>
        <v>-84.758510684512757</v>
      </c>
      <c r="H287" s="218">
        <f t="shared" si="118"/>
        <v>-63.112491032775637</v>
      </c>
      <c r="I287" s="218">
        <f t="shared" si="119"/>
        <v>130.39770874540434</v>
      </c>
      <c r="J287" s="218">
        <f t="shared" si="120"/>
        <v>-199.1825001086049</v>
      </c>
      <c r="K287" s="218">
        <f t="shared" si="121"/>
        <v>-521.59083498161681</v>
      </c>
      <c r="L287" s="218">
        <f t="shared" si="122"/>
        <v>586.78968935431806</v>
      </c>
      <c r="M287" s="192">
        <f t="shared" ref="M287:M336" si="125">(D287/1000)+(E287/1000)+(F287/1000)</f>
        <v>-113.68450401779701</v>
      </c>
      <c r="N287" s="211">
        <v>64</v>
      </c>
      <c r="O287" s="211">
        <f>'Emission-Waste Transport Vehicl'!N34</f>
        <v>31.963527706176006</v>
      </c>
      <c r="P287" s="211">
        <f>'Emission-Waste Transport Vehicl'!O34</f>
        <v>46.500275999232002</v>
      </c>
      <c r="Q287" s="211">
        <f>'Emission-Waste Transport Vehicl'!P34</f>
        <v>17.783974270656003</v>
      </c>
      <c r="R287" s="211">
        <f>'Emission-Waste Transport Vehicl'!Q34</f>
        <v>13.811534491392001</v>
      </c>
      <c r="S287" s="211">
        <f>'Emission-Waste Transport Vehicl'!R34</f>
        <v>1.3746589971840002</v>
      </c>
      <c r="T287" s="211">
        <f>'Emission-Waste Transport Vehicl'!S34</f>
        <v>6.3212665697280013E-2</v>
      </c>
      <c r="U287" s="1850">
        <f t="shared" ref="U287:U350" si="126">M287*N287</f>
        <v>-7275.8082571390087</v>
      </c>
      <c r="V287" s="1850">
        <f t="shared" ref="V287:V350" si="127">G287*O287</f>
        <v>-2709.1810045986385</v>
      </c>
      <c r="W287" s="1850">
        <f t="shared" ref="W287:W350" si="128">H287*P287</f>
        <v>-2934.7482520231219</v>
      </c>
      <c r="X287" s="1850">
        <f t="shared" ref="X287:X350" si="129">I287*Q287</f>
        <v>2318.989497280766</v>
      </c>
      <c r="Y287" s="1850">
        <f t="shared" ref="Y287:Y350" si="130">J287*R287</f>
        <v>-2751.0159703316876</v>
      </c>
      <c r="Z287" s="1850">
        <f t="shared" ref="Z287:Z350" si="131">K287*S287</f>
        <v>-717.00953415619472</v>
      </c>
      <c r="AA287" s="1850">
        <f t="shared" ref="AA287:AA350" si="132">T287*L287</f>
        <v>37.092540467765296</v>
      </c>
      <c r="AB287" s="2733"/>
      <c r="AC287" s="3009"/>
    </row>
    <row r="288" spans="1:29" ht="18.75" x14ac:dyDescent="0.25">
      <c r="A288" s="2982"/>
      <c r="B288" s="2753"/>
      <c r="C288" s="1863">
        <v>2021</v>
      </c>
      <c r="D288" s="218">
        <f t="shared" si="116"/>
        <v>-260795.41749080844</v>
      </c>
      <c r="E288" s="221">
        <f t="shared" si="123"/>
        <v>153347.70548459538</v>
      </c>
      <c r="F288" s="221">
        <f t="shared" si="124"/>
        <v>-6236.7920115839406</v>
      </c>
      <c r="G288" s="218">
        <f t="shared" si="117"/>
        <v>-84.758510684512757</v>
      </c>
      <c r="H288" s="218">
        <f t="shared" si="118"/>
        <v>-63.112491032775637</v>
      </c>
      <c r="I288" s="218">
        <f t="shared" si="119"/>
        <v>130.39770874540434</v>
      </c>
      <c r="J288" s="218">
        <f t="shared" si="120"/>
        <v>-199.1825001086049</v>
      </c>
      <c r="K288" s="218">
        <f t="shared" si="121"/>
        <v>-521.59083498161681</v>
      </c>
      <c r="L288" s="218">
        <f t="shared" si="122"/>
        <v>586.78968935431806</v>
      </c>
      <c r="M288" s="192">
        <f t="shared" si="125"/>
        <v>-113.68450401779701</v>
      </c>
      <c r="N288" s="211">
        <v>65</v>
      </c>
      <c r="O288" s="211">
        <f>'Emission-Waste Transport Vehicl'!N35</f>
        <v>31.337558987328006</v>
      </c>
      <c r="P288" s="211">
        <f>'Emission-Waste Transport Vehicl'!O35</f>
        <v>45.589621879296011</v>
      </c>
      <c r="Q288" s="211">
        <f>'Emission-Waste Transport Vehicl'!P35</f>
        <v>17.435695704768001</v>
      </c>
      <c r="R288" s="211">
        <f>'Emission-Waste Transport Vehicl'!Q35</f>
        <v>13.541051563776001</v>
      </c>
      <c r="S288" s="211">
        <f>'Emission-Waste Transport Vehicl'!R35</f>
        <v>1.3477378907520003</v>
      </c>
      <c r="T288" s="211">
        <f>'Emission-Waste Transport Vehicl'!S35</f>
        <v>6.1974718755840007E-2</v>
      </c>
      <c r="U288" s="1850">
        <f t="shared" si="126"/>
        <v>-7389.4927611568055</v>
      </c>
      <c r="V288" s="1850">
        <f t="shared" si="127"/>
        <v>-2656.1248282539896</v>
      </c>
      <c r="W288" s="1850">
        <f t="shared" si="128"/>
        <v>-2877.2746020447016</v>
      </c>
      <c r="X288" s="1850">
        <f t="shared" si="129"/>
        <v>2273.5747702838353</v>
      </c>
      <c r="Y288" s="1850">
        <f t="shared" si="130"/>
        <v>-2697.1405045724377</v>
      </c>
      <c r="Z288" s="1850">
        <f t="shared" si="131"/>
        <v>-702.96773177369892</v>
      </c>
      <c r="AA288" s="1850">
        <f t="shared" si="132"/>
        <v>36.366125966560588</v>
      </c>
      <c r="AB288" s="2733"/>
      <c r="AC288" s="3009"/>
    </row>
    <row r="289" spans="1:29" ht="18.75" x14ac:dyDescent="0.25">
      <c r="A289" s="2982"/>
      <c r="B289" s="2753"/>
      <c r="C289" s="1863">
        <v>2022</v>
      </c>
      <c r="D289" s="218">
        <f t="shared" si="116"/>
        <v>-260795.41749080844</v>
      </c>
      <c r="E289" s="221">
        <f t="shared" si="123"/>
        <v>153347.70548459538</v>
      </c>
      <c r="F289" s="221">
        <f t="shared" si="124"/>
        <v>-6236.7920115839406</v>
      </c>
      <c r="G289" s="218">
        <f t="shared" si="117"/>
        <v>-84.758510684512757</v>
      </c>
      <c r="H289" s="218">
        <f t="shared" si="118"/>
        <v>-63.112491032775637</v>
      </c>
      <c r="I289" s="218">
        <f t="shared" si="119"/>
        <v>130.39770874540434</v>
      </c>
      <c r="J289" s="218">
        <f t="shared" si="120"/>
        <v>-199.1825001086049</v>
      </c>
      <c r="K289" s="218">
        <f t="shared" si="121"/>
        <v>-521.59083498161681</v>
      </c>
      <c r="L289" s="218">
        <f t="shared" si="122"/>
        <v>586.78968935431806</v>
      </c>
      <c r="M289" s="192">
        <f t="shared" si="125"/>
        <v>-113.68450401779701</v>
      </c>
      <c r="N289" s="211">
        <v>66</v>
      </c>
      <c r="O289" s="211">
        <f>'Emission-Waste Transport Vehicl'!N36</f>
        <v>30.721371029712003</v>
      </c>
      <c r="P289" s="211">
        <f>'Emission-Waste Transport Vehicl'!O36</f>
        <v>44.693196729984003</v>
      </c>
      <c r="Q289" s="211">
        <f>'Emission-Waste Transport Vehicl'!P36</f>
        <v>17.092858991472003</v>
      </c>
      <c r="R289" s="211">
        <f>'Emission-Waste Transport Vehicl'!Q36</f>
        <v>13.274794931903999</v>
      </c>
      <c r="S289" s="211">
        <f>'Emission-Waste Transport Vehicl'!R36</f>
        <v>1.3212374266080003</v>
      </c>
      <c r="T289" s="211">
        <f>'Emission-Waste Transport Vehicl'!S36</f>
        <v>6.0756114735360002E-2</v>
      </c>
      <c r="U289" s="1850">
        <f t="shared" si="126"/>
        <v>-7503.1772651746023</v>
      </c>
      <c r="V289" s="1850">
        <f t="shared" si="127"/>
        <v>-2603.8976546647255</v>
      </c>
      <c r="W289" s="1850">
        <f t="shared" si="128"/>
        <v>-2820.698977847193</v>
      </c>
      <c r="X289" s="1850">
        <f t="shared" si="129"/>
        <v>2228.8696483962322</v>
      </c>
      <c r="Y289" s="1850">
        <f t="shared" si="130"/>
        <v>-2644.1068429656762</v>
      </c>
      <c r="Z289" s="1850">
        <f t="shared" si="131"/>
        <v>-689.14533255342951</v>
      </c>
      <c r="AA289" s="1850">
        <f t="shared" si="132"/>
        <v>35.651061691937201</v>
      </c>
      <c r="AB289" s="2733"/>
      <c r="AC289" s="3009"/>
    </row>
    <row r="290" spans="1:29" ht="18.75" x14ac:dyDescent="0.25">
      <c r="A290" s="2982"/>
      <c r="B290" s="2753"/>
      <c r="C290" s="1863">
        <v>2023</v>
      </c>
      <c r="D290" s="218">
        <f t="shared" si="116"/>
        <v>-260795.41749080844</v>
      </c>
      <c r="E290" s="221">
        <f t="shared" si="123"/>
        <v>153347.70548459538</v>
      </c>
      <c r="F290" s="221">
        <f t="shared" si="124"/>
        <v>-6236.7920115839406</v>
      </c>
      <c r="G290" s="218">
        <f t="shared" si="117"/>
        <v>-84.758510684512757</v>
      </c>
      <c r="H290" s="218">
        <f t="shared" si="118"/>
        <v>-63.112491032775637</v>
      </c>
      <c r="I290" s="218">
        <f t="shared" si="119"/>
        <v>130.39770874540434</v>
      </c>
      <c r="J290" s="218">
        <f t="shared" si="120"/>
        <v>-199.1825001086049</v>
      </c>
      <c r="K290" s="218">
        <f t="shared" si="121"/>
        <v>-521.59083498161681</v>
      </c>
      <c r="L290" s="218">
        <f t="shared" si="122"/>
        <v>586.78968935431806</v>
      </c>
      <c r="M290" s="192">
        <f t="shared" si="125"/>
        <v>-113.68450401779701</v>
      </c>
      <c r="N290" s="211">
        <v>67</v>
      </c>
      <c r="O290" s="211">
        <f>'Emission-Waste Transport Vehicl'!N37</f>
        <v>30.118224087072001</v>
      </c>
      <c r="P290" s="211">
        <f>'Emission-Waste Transport Vehicl'!O37</f>
        <v>43.815743541504006</v>
      </c>
      <c r="Q290" s="211">
        <f>'Emission-Waste Transport Vehicl'!P37</f>
        <v>16.757278081632002</v>
      </c>
      <c r="R290" s="211">
        <f>'Emission-Waste Transport Vehicl'!Q37</f>
        <v>13.014173361024</v>
      </c>
      <c r="S290" s="211">
        <f>'Emission-Waste Transport Vehicl'!R37</f>
        <v>1.295297818848</v>
      </c>
      <c r="T290" s="211">
        <f>'Emission-Waste Transport Vehicl'!S37</f>
        <v>5.9563301276160004E-2</v>
      </c>
      <c r="U290" s="1850">
        <f t="shared" si="126"/>
        <v>-7616.8617691924001</v>
      </c>
      <c r="V290" s="1850">
        <f t="shared" si="127"/>
        <v>-2552.7758180826418</v>
      </c>
      <c r="W290" s="1850">
        <f t="shared" si="128"/>
        <v>-2765.3207213575683</v>
      </c>
      <c r="X290" s="1850">
        <f t="shared" si="129"/>
        <v>2185.1106666543978</v>
      </c>
      <c r="Y290" s="1850">
        <f t="shared" si="130"/>
        <v>-2592.1955868955656</v>
      </c>
      <c r="Z290" s="1850">
        <f t="shared" si="131"/>
        <v>-675.61547088279531</v>
      </c>
      <c r="AA290" s="1850">
        <f t="shared" si="132"/>
        <v>34.951131052755585</v>
      </c>
      <c r="AB290" s="2733"/>
      <c r="AC290" s="3009"/>
    </row>
    <row r="291" spans="1:29" ht="18.75" x14ac:dyDescent="0.25">
      <c r="A291" s="2982"/>
      <c r="B291" s="2753"/>
      <c r="C291" s="1863">
        <v>2024</v>
      </c>
      <c r="D291" s="218">
        <f t="shared" si="116"/>
        <v>-260795.41749080844</v>
      </c>
      <c r="E291" s="221">
        <f t="shared" si="123"/>
        <v>153347.70548459538</v>
      </c>
      <c r="F291" s="221">
        <f t="shared" si="124"/>
        <v>-6236.7920115839406</v>
      </c>
      <c r="G291" s="218">
        <f t="shared" si="117"/>
        <v>-84.758510684512757</v>
      </c>
      <c r="H291" s="218">
        <f t="shared" si="118"/>
        <v>-63.112491032775637</v>
      </c>
      <c r="I291" s="218">
        <f t="shared" si="119"/>
        <v>130.39770874540434</v>
      </c>
      <c r="J291" s="218">
        <f t="shared" si="120"/>
        <v>-199.1825001086049</v>
      </c>
      <c r="K291" s="218">
        <f t="shared" si="121"/>
        <v>-521.59083498161681</v>
      </c>
      <c r="L291" s="218">
        <f t="shared" si="122"/>
        <v>586.78968935431806</v>
      </c>
      <c r="M291" s="192">
        <f t="shared" si="125"/>
        <v>-113.68450401779701</v>
      </c>
      <c r="N291" s="211">
        <v>68</v>
      </c>
      <c r="O291" s="211">
        <f>'Emission-Waste Transport Vehicl'!N38</f>
        <v>29.528118159408002</v>
      </c>
      <c r="P291" s="211">
        <f>'Emission-Waste Transport Vehicl'!O38</f>
        <v>42.957262313856006</v>
      </c>
      <c r="Q291" s="211">
        <f>'Emission-Waste Transport Vehicl'!P38</f>
        <v>16.428952975248002</v>
      </c>
      <c r="R291" s="211">
        <f>'Emission-Waste Transport Vehicl'!Q38</f>
        <v>12.759186851135999</v>
      </c>
      <c r="S291" s="211">
        <f>'Emission-Waste Transport Vehicl'!R38</f>
        <v>1.269919067472</v>
      </c>
      <c r="T291" s="211">
        <f>'Emission-Waste Transport Vehicl'!S38</f>
        <v>5.8396278378240005E-2</v>
      </c>
      <c r="U291" s="1850">
        <f t="shared" si="126"/>
        <v>-7730.5462732101969</v>
      </c>
      <c r="V291" s="1850">
        <f t="shared" si="127"/>
        <v>-2502.7593185077385</v>
      </c>
      <c r="W291" s="1850">
        <f t="shared" si="128"/>
        <v>-2711.1398325758278</v>
      </c>
      <c r="X291" s="1850">
        <f t="shared" si="129"/>
        <v>2142.2978250583333</v>
      </c>
      <c r="Y291" s="1850">
        <f t="shared" si="130"/>
        <v>-2541.4067363621061</v>
      </c>
      <c r="Z291" s="1850">
        <f t="shared" si="131"/>
        <v>-662.37814676179664</v>
      </c>
      <c r="AA291" s="1850">
        <f t="shared" si="132"/>
        <v>34.266334049015732</v>
      </c>
      <c r="AB291" s="2733"/>
      <c r="AC291" s="3009"/>
    </row>
    <row r="292" spans="1:29" ht="18.75" x14ac:dyDescent="0.25">
      <c r="A292" s="2982"/>
      <c r="B292" s="2753"/>
      <c r="C292" s="1863">
        <v>2025</v>
      </c>
      <c r="D292" s="218">
        <f t="shared" si="116"/>
        <v>-260795.41749080844</v>
      </c>
      <c r="E292" s="221">
        <f t="shared" si="123"/>
        <v>153347.70548459538</v>
      </c>
      <c r="F292" s="221">
        <f t="shared" si="124"/>
        <v>-6236.7920115839406</v>
      </c>
      <c r="G292" s="218">
        <f t="shared" si="117"/>
        <v>-84.758510684512757</v>
      </c>
      <c r="H292" s="218">
        <f t="shared" si="118"/>
        <v>-63.112491032775637</v>
      </c>
      <c r="I292" s="218">
        <f t="shared" si="119"/>
        <v>130.39770874540434</v>
      </c>
      <c r="J292" s="218">
        <f t="shared" si="120"/>
        <v>-199.1825001086049</v>
      </c>
      <c r="K292" s="218">
        <f t="shared" si="121"/>
        <v>-521.59083498161681</v>
      </c>
      <c r="L292" s="218">
        <f t="shared" si="122"/>
        <v>586.78968935431806</v>
      </c>
      <c r="M292" s="192">
        <f t="shared" si="125"/>
        <v>-113.68450401779701</v>
      </c>
      <c r="N292" s="211">
        <v>69</v>
      </c>
      <c r="O292" s="211">
        <f>'Emission-Waste Transport Vehicl'!N39</f>
        <v>28.951053246720004</v>
      </c>
      <c r="P292" s="211">
        <f>'Emission-Waste Transport Vehicl'!O39</f>
        <v>42.117753047040004</v>
      </c>
      <c r="Q292" s="211">
        <f>'Emission-Waste Transport Vehicl'!P39</f>
        <v>16.10788367232</v>
      </c>
      <c r="R292" s="211">
        <f>'Emission-Waste Transport Vehicl'!Q39</f>
        <v>12.50983540224</v>
      </c>
      <c r="S292" s="211">
        <f>'Emission-Waste Transport Vehicl'!R39</f>
        <v>1.2451011724800001</v>
      </c>
      <c r="T292" s="211">
        <f>'Emission-Waste Transport Vehicl'!S39</f>
        <v>5.7255046041600005E-2</v>
      </c>
      <c r="U292" s="1850">
        <f t="shared" si="126"/>
        <v>-7844.2307772279937</v>
      </c>
      <c r="V292" s="1850">
        <f t="shared" si="127"/>
        <v>-2453.8481559400152</v>
      </c>
      <c r="W292" s="1850">
        <f t="shared" si="128"/>
        <v>-2658.1563115019712</v>
      </c>
      <c r="X292" s="1850">
        <f t="shared" si="129"/>
        <v>2100.4311236080375</v>
      </c>
      <c r="Y292" s="1850">
        <f t="shared" si="130"/>
        <v>-2491.7402913652982</v>
      </c>
      <c r="Z292" s="1850">
        <f t="shared" si="131"/>
        <v>-649.43336019043329</v>
      </c>
      <c r="AA292" s="1850">
        <f t="shared" si="132"/>
        <v>33.596670680717644</v>
      </c>
      <c r="AB292" s="2733"/>
      <c r="AC292" s="3009"/>
    </row>
    <row r="293" spans="1:29" ht="18.75" x14ac:dyDescent="0.25">
      <c r="A293" s="2982"/>
      <c r="B293" s="2753"/>
      <c r="C293" s="1863">
        <v>2026</v>
      </c>
      <c r="D293" s="218">
        <f t="shared" si="116"/>
        <v>-260795.41749080844</v>
      </c>
      <c r="E293" s="221">
        <f t="shared" si="123"/>
        <v>153347.70548459538</v>
      </c>
      <c r="F293" s="221">
        <f t="shared" si="124"/>
        <v>-6236.7920115839406</v>
      </c>
      <c r="G293" s="218">
        <f t="shared" si="117"/>
        <v>-84.758510684512757</v>
      </c>
      <c r="H293" s="218">
        <f t="shared" si="118"/>
        <v>-63.112491032775637</v>
      </c>
      <c r="I293" s="218">
        <f t="shared" si="119"/>
        <v>130.39770874540434</v>
      </c>
      <c r="J293" s="218">
        <f t="shared" si="120"/>
        <v>-199.1825001086049</v>
      </c>
      <c r="K293" s="218">
        <f t="shared" si="121"/>
        <v>-521.59083498161681</v>
      </c>
      <c r="L293" s="218">
        <f t="shared" si="122"/>
        <v>586.78968935431806</v>
      </c>
      <c r="M293" s="192">
        <f t="shared" si="125"/>
        <v>-113.68450401779701</v>
      </c>
      <c r="N293" s="211">
        <v>70</v>
      </c>
      <c r="O293" s="211">
        <f>'Emission-Waste Transport Vehicl'!N40</f>
        <v>28.383769095264007</v>
      </c>
      <c r="P293" s="211">
        <f>'Emission-Waste Transport Vehicl'!O40</f>
        <v>41.292472750848006</v>
      </c>
      <c r="Q293" s="211">
        <f>'Emission-Waste Transport Vehicl'!P40</f>
        <v>15.792256221984003</v>
      </c>
      <c r="R293" s="211">
        <f>'Emission-Waste Transport Vehicl'!Q40</f>
        <v>12.264710249088001</v>
      </c>
      <c r="S293" s="211">
        <f>'Emission-Waste Transport Vehicl'!R40</f>
        <v>1.2207039197760001</v>
      </c>
      <c r="T293" s="211">
        <f>'Emission-Waste Transport Vehicl'!S40</f>
        <v>5.6133156625920007E-2</v>
      </c>
      <c r="U293" s="1850">
        <f t="shared" si="126"/>
        <v>-7957.9152812457905</v>
      </c>
      <c r="V293" s="1850">
        <f t="shared" si="127"/>
        <v>-2405.7659961276772</v>
      </c>
      <c r="W293" s="1850">
        <f t="shared" si="128"/>
        <v>-2606.0708162090273</v>
      </c>
      <c r="X293" s="1850">
        <f t="shared" si="129"/>
        <v>2059.2740272670694</v>
      </c>
      <c r="Y293" s="1850">
        <f t="shared" si="130"/>
        <v>-2442.9156505209785</v>
      </c>
      <c r="Z293" s="1850">
        <f t="shared" si="131"/>
        <v>-636.70797678129645</v>
      </c>
      <c r="AA293" s="1850">
        <f t="shared" si="132"/>
        <v>32.938357539000883</v>
      </c>
      <c r="AB293" s="2733"/>
      <c r="AC293" s="3009"/>
    </row>
    <row r="294" spans="1:29" ht="18.75" x14ac:dyDescent="0.25">
      <c r="A294" s="2982"/>
      <c r="B294" s="2753"/>
      <c r="C294" s="1863">
        <v>2027</v>
      </c>
      <c r="D294" s="218">
        <f t="shared" si="116"/>
        <v>-260795.41749080844</v>
      </c>
      <c r="E294" s="221">
        <f t="shared" si="123"/>
        <v>153347.70548459538</v>
      </c>
      <c r="F294" s="221">
        <f t="shared" si="124"/>
        <v>-6236.7920115839406</v>
      </c>
      <c r="G294" s="218">
        <f t="shared" si="117"/>
        <v>-84.758510684512757</v>
      </c>
      <c r="H294" s="218">
        <f t="shared" si="118"/>
        <v>-63.112491032775637</v>
      </c>
      <c r="I294" s="218">
        <f t="shared" si="119"/>
        <v>130.39770874540434</v>
      </c>
      <c r="J294" s="218">
        <f t="shared" si="120"/>
        <v>-199.1825001086049</v>
      </c>
      <c r="K294" s="218">
        <f t="shared" si="121"/>
        <v>-521.59083498161681</v>
      </c>
      <c r="L294" s="218">
        <f t="shared" si="122"/>
        <v>586.78968935431806</v>
      </c>
      <c r="M294" s="192">
        <f t="shared" si="125"/>
        <v>-113.68450401779701</v>
      </c>
      <c r="N294" s="211">
        <v>71</v>
      </c>
      <c r="O294" s="211">
        <f>'Emission-Waste Transport Vehicl'!N41</f>
        <v>27.826265705040004</v>
      </c>
      <c r="P294" s="211">
        <f>'Emission-Waste Transport Vehicl'!O41</f>
        <v>40.481421425280004</v>
      </c>
      <c r="Q294" s="211">
        <f>'Emission-Waste Transport Vehicl'!P41</f>
        <v>15.482070624240002</v>
      </c>
      <c r="R294" s="211">
        <f>'Emission-Waste Transport Vehicl'!Q41</f>
        <v>12.023811391680001</v>
      </c>
      <c r="S294" s="211">
        <f>'Emission-Waste Transport Vehicl'!R41</f>
        <v>1.1967273093600002</v>
      </c>
      <c r="T294" s="211">
        <f>'Emission-Waste Transport Vehicl'!S41</f>
        <v>5.503061013120001E-2</v>
      </c>
      <c r="U294" s="1850">
        <f t="shared" si="126"/>
        <v>-8071.5997852635874</v>
      </c>
      <c r="V294" s="1850">
        <f t="shared" si="127"/>
        <v>-2358.5128390707241</v>
      </c>
      <c r="W294" s="1850">
        <f t="shared" si="128"/>
        <v>-2554.8833466969959</v>
      </c>
      <c r="X294" s="1850">
        <f t="shared" si="129"/>
        <v>2018.8265360354283</v>
      </c>
      <c r="Y294" s="1850">
        <f t="shared" si="130"/>
        <v>-2394.9328138291467</v>
      </c>
      <c r="Z294" s="1850">
        <f t="shared" si="131"/>
        <v>-624.20199653438613</v>
      </c>
      <c r="AA294" s="1850">
        <f t="shared" si="132"/>
        <v>32.291394623865443</v>
      </c>
      <c r="AB294" s="2733"/>
      <c r="AC294" s="3009"/>
    </row>
    <row r="295" spans="1:29" ht="18.75" x14ac:dyDescent="0.25">
      <c r="A295" s="2982"/>
      <c r="B295" s="2753"/>
      <c r="C295" s="1863">
        <v>2028</v>
      </c>
      <c r="D295" s="218">
        <f t="shared" si="116"/>
        <v>-260795.41749080844</v>
      </c>
      <c r="E295" s="221">
        <f t="shared" si="123"/>
        <v>153347.70548459538</v>
      </c>
      <c r="F295" s="221">
        <f t="shared" si="124"/>
        <v>-6236.7920115839406</v>
      </c>
      <c r="G295" s="218">
        <f t="shared" si="117"/>
        <v>-84.758510684512757</v>
      </c>
      <c r="H295" s="218">
        <f t="shared" si="118"/>
        <v>-63.112491032775637</v>
      </c>
      <c r="I295" s="218">
        <f t="shared" si="119"/>
        <v>130.39770874540434</v>
      </c>
      <c r="J295" s="218">
        <f t="shared" si="120"/>
        <v>-199.1825001086049</v>
      </c>
      <c r="K295" s="218">
        <f t="shared" si="121"/>
        <v>-521.59083498161681</v>
      </c>
      <c r="L295" s="218">
        <f t="shared" si="122"/>
        <v>586.78968935431806</v>
      </c>
      <c r="M295" s="192">
        <f t="shared" si="125"/>
        <v>-113.68450401779701</v>
      </c>
      <c r="N295" s="211">
        <v>72</v>
      </c>
      <c r="O295" s="211">
        <f>'Emission-Waste Transport Vehicl'!N42</f>
        <v>27.281803329792002</v>
      </c>
      <c r="P295" s="211">
        <f>'Emission-Waste Transport Vehicl'!O42</f>
        <v>39.689342060544</v>
      </c>
      <c r="Q295" s="211">
        <f>'Emission-Waste Transport Vehicl'!P42</f>
        <v>15.179140829952001</v>
      </c>
      <c r="R295" s="211">
        <f>'Emission-Waste Transport Vehicl'!Q42</f>
        <v>11.788547595263999</v>
      </c>
      <c r="S295" s="211">
        <f>'Emission-Waste Transport Vehicl'!R42</f>
        <v>1.173311555328</v>
      </c>
      <c r="T295" s="211">
        <f>'Emission-Waste Transport Vehicl'!S42</f>
        <v>5.3953854197759998E-2</v>
      </c>
      <c r="U295" s="1850">
        <f t="shared" si="126"/>
        <v>-8185.2842892813851</v>
      </c>
      <c r="V295" s="1850">
        <f t="shared" si="127"/>
        <v>-2312.365019020951</v>
      </c>
      <c r="W295" s="1850">
        <f t="shared" si="128"/>
        <v>-2504.8932448928481</v>
      </c>
      <c r="X295" s="1850">
        <f t="shared" si="129"/>
        <v>1979.3251849495562</v>
      </c>
      <c r="Y295" s="1850">
        <f t="shared" si="130"/>
        <v>-2348.0723826739654</v>
      </c>
      <c r="Z295" s="1850">
        <f t="shared" si="131"/>
        <v>-611.988553837111</v>
      </c>
      <c r="AA295" s="1850">
        <f t="shared" si="132"/>
        <v>31.65956534417176</v>
      </c>
      <c r="AB295" s="2733"/>
      <c r="AC295" s="3009"/>
    </row>
    <row r="296" spans="1:29" ht="18.75" x14ac:dyDescent="0.25">
      <c r="A296" s="2982"/>
      <c r="B296" s="2753"/>
      <c r="C296" s="1863">
        <v>2029</v>
      </c>
      <c r="D296" s="218">
        <f t="shared" si="116"/>
        <v>-260795.41749080844</v>
      </c>
      <c r="E296" s="221">
        <f t="shared" si="123"/>
        <v>153347.70548459538</v>
      </c>
      <c r="F296" s="221">
        <f t="shared" si="124"/>
        <v>-6236.7920115839406</v>
      </c>
      <c r="G296" s="218">
        <f t="shared" si="117"/>
        <v>-84.758510684512757</v>
      </c>
      <c r="H296" s="218">
        <f t="shared" si="118"/>
        <v>-63.112491032775637</v>
      </c>
      <c r="I296" s="218">
        <f t="shared" si="119"/>
        <v>130.39770874540434</v>
      </c>
      <c r="J296" s="218">
        <f t="shared" si="120"/>
        <v>-199.1825001086049</v>
      </c>
      <c r="K296" s="218">
        <f t="shared" si="121"/>
        <v>-521.59083498161681</v>
      </c>
      <c r="L296" s="218">
        <f t="shared" si="122"/>
        <v>586.78968935431806</v>
      </c>
      <c r="M296" s="192">
        <f t="shared" si="125"/>
        <v>-113.68450401779701</v>
      </c>
      <c r="N296" s="211">
        <v>73</v>
      </c>
      <c r="O296" s="211">
        <f>'Emission-Waste Transport Vehicl'!N43</f>
        <v>26.743861462032005</v>
      </c>
      <c r="P296" s="211">
        <f>'Emission-Waste Transport Vehicl'!O43</f>
        <v>38.906748676224005</v>
      </c>
      <c r="Q296" s="211">
        <f>'Emission-Waste Transport Vehicl'!P43</f>
        <v>14.879838937392002</v>
      </c>
      <c r="R296" s="211">
        <f>'Emission-Waste Transport Vehicl'!Q43</f>
        <v>11.556101329344001</v>
      </c>
      <c r="S296" s="211">
        <f>'Emission-Waste Transport Vehicl'!R43</f>
        <v>1.1501762294880002</v>
      </c>
      <c r="T296" s="211">
        <f>'Emission-Waste Transport Vehicl'!S43</f>
        <v>5.2889993544960004E-2</v>
      </c>
      <c r="U296" s="1850">
        <f t="shared" si="126"/>
        <v>-8298.9687932991819</v>
      </c>
      <c r="V296" s="1850">
        <f t="shared" si="127"/>
        <v>-2266.7698674747685</v>
      </c>
      <c r="W296" s="1850">
        <f t="shared" si="128"/>
        <v>-2455.5018269426428</v>
      </c>
      <c r="X296" s="1850">
        <f t="shared" si="129"/>
        <v>1940.2969039365692</v>
      </c>
      <c r="Y296" s="1850">
        <f t="shared" si="130"/>
        <v>-2301.7731542871106</v>
      </c>
      <c r="Z296" s="1850">
        <f t="shared" si="131"/>
        <v>-599.92137991465381</v>
      </c>
      <c r="AA296" s="1850">
        <f t="shared" si="132"/>
        <v>31.03530288219897</v>
      </c>
      <c r="AB296" s="2733"/>
      <c r="AC296" s="3009"/>
    </row>
    <row r="297" spans="1:29" ht="18.75" x14ac:dyDescent="0.25">
      <c r="A297" s="2982"/>
      <c r="B297" s="2753"/>
      <c r="C297" s="1863">
        <v>2030</v>
      </c>
      <c r="D297" s="218">
        <f t="shared" si="116"/>
        <v>-260795.41749080844</v>
      </c>
      <c r="E297" s="221">
        <f t="shared" si="123"/>
        <v>153347.70548459538</v>
      </c>
      <c r="F297" s="221">
        <f t="shared" si="124"/>
        <v>-6236.7920115839406</v>
      </c>
      <c r="G297" s="218">
        <f t="shared" si="117"/>
        <v>-84.758510684512757</v>
      </c>
      <c r="H297" s="218">
        <f t="shared" si="118"/>
        <v>-63.112491032775637</v>
      </c>
      <c r="I297" s="218">
        <f t="shared" si="119"/>
        <v>130.39770874540434</v>
      </c>
      <c r="J297" s="218">
        <f t="shared" si="120"/>
        <v>-199.1825001086049</v>
      </c>
      <c r="K297" s="218">
        <f t="shared" si="121"/>
        <v>-521.59083498161681</v>
      </c>
      <c r="L297" s="218">
        <f t="shared" si="122"/>
        <v>586.78968935431806</v>
      </c>
      <c r="M297" s="192">
        <f t="shared" si="125"/>
        <v>-113.68450401779701</v>
      </c>
      <c r="N297" s="211">
        <v>75</v>
      </c>
      <c r="O297" s="211">
        <f>'Emission-Waste Transport Vehicl'!N44</f>
        <v>26.222220862992003</v>
      </c>
      <c r="P297" s="211">
        <f>'Emission-Waste Transport Vehicl'!O44</f>
        <v>38.147870242944002</v>
      </c>
      <c r="Q297" s="211">
        <f>'Emission-Waste Transport Vehicl'!P44</f>
        <v>14.589606799152003</v>
      </c>
      <c r="R297" s="211">
        <f>'Emission-Waste Transport Vehicl'!Q44</f>
        <v>11.330698889664001</v>
      </c>
      <c r="S297" s="211">
        <f>'Emission-Waste Transport Vehicl'!R44</f>
        <v>1.1277419741280001</v>
      </c>
      <c r="T297" s="211">
        <f>'Emission-Waste Transport Vehicl'!S44</f>
        <v>5.1858371093760007E-2</v>
      </c>
      <c r="U297" s="1850">
        <f t="shared" si="126"/>
        <v>-8526.3378013347756</v>
      </c>
      <c r="V297" s="1850">
        <f t="shared" si="127"/>
        <v>-2222.5563871875611</v>
      </c>
      <c r="W297" s="1850">
        <f t="shared" si="128"/>
        <v>-2407.607118627292</v>
      </c>
      <c r="X297" s="1850">
        <f t="shared" si="129"/>
        <v>1902.4512981057937</v>
      </c>
      <c r="Y297" s="1850">
        <f t="shared" si="130"/>
        <v>-2256.8769328210692</v>
      </c>
      <c r="Z297" s="1850">
        <f t="shared" si="131"/>
        <v>-588.21987792924051</v>
      </c>
      <c r="AA297" s="1850">
        <f t="shared" si="132"/>
        <v>30.429957464528382</v>
      </c>
      <c r="AB297" s="2733"/>
      <c r="AC297" s="3009"/>
    </row>
    <row r="298" spans="1:29" ht="18.75" x14ac:dyDescent="0.25">
      <c r="A298" s="2982"/>
      <c r="B298" s="2753"/>
      <c r="C298" s="1863">
        <v>2031</v>
      </c>
      <c r="D298" s="218">
        <f t="shared" si="116"/>
        <v>-260795.41749080844</v>
      </c>
      <c r="E298" s="221">
        <f t="shared" si="123"/>
        <v>153347.70548459538</v>
      </c>
      <c r="F298" s="221">
        <f t="shared" si="124"/>
        <v>-6236.7920115839406</v>
      </c>
      <c r="G298" s="218">
        <f t="shared" si="117"/>
        <v>-84.758510684512757</v>
      </c>
      <c r="H298" s="218">
        <f t="shared" si="118"/>
        <v>-63.112491032775637</v>
      </c>
      <c r="I298" s="218">
        <f t="shared" si="119"/>
        <v>130.39770874540434</v>
      </c>
      <c r="J298" s="218">
        <f t="shared" si="120"/>
        <v>-199.1825001086049</v>
      </c>
      <c r="K298" s="218">
        <f t="shared" si="121"/>
        <v>-521.59083498161681</v>
      </c>
      <c r="L298" s="218">
        <f t="shared" si="122"/>
        <v>586.78968935431806</v>
      </c>
      <c r="M298" s="192">
        <f t="shared" si="125"/>
        <v>-113.68450401779701</v>
      </c>
      <c r="N298" s="211">
        <v>76</v>
      </c>
      <c r="O298" s="211">
        <f>'Emission-Waste Transport Vehicl'!N45</f>
        <v>25.70710077144</v>
      </c>
      <c r="P298" s="211">
        <f>'Emission-Waste Transport Vehicl'!O45</f>
        <v>37.398477790080001</v>
      </c>
      <c r="Q298" s="211">
        <f>'Emission-Waste Transport Vehicl'!P45</f>
        <v>14.303002562640001</v>
      </c>
      <c r="R298" s="211">
        <f>'Emission-Waste Transport Vehicl'!Q45</f>
        <v>11.108113980480001</v>
      </c>
      <c r="S298" s="211">
        <f>'Emission-Waste Transport Vehicl'!R45</f>
        <v>1.1055881469600002</v>
      </c>
      <c r="T298" s="211">
        <f>'Emission-Waste Transport Vehicl'!S45</f>
        <v>5.0839643923200006E-2</v>
      </c>
      <c r="U298" s="1850">
        <f t="shared" si="126"/>
        <v>-8640.0223053525733</v>
      </c>
      <c r="V298" s="1850">
        <f t="shared" si="127"/>
        <v>-2178.8955754039434</v>
      </c>
      <c r="W298" s="1850">
        <f t="shared" si="128"/>
        <v>-2360.3110941658829</v>
      </c>
      <c r="X298" s="1850">
        <f t="shared" si="129"/>
        <v>1865.078762347903</v>
      </c>
      <c r="Y298" s="1850">
        <f t="shared" si="130"/>
        <v>-2212.5419141233533</v>
      </c>
      <c r="Z298" s="1850">
        <f t="shared" si="131"/>
        <v>-576.66464471864492</v>
      </c>
      <c r="AA298" s="1850">
        <f t="shared" si="132"/>
        <v>29.832178864578676</v>
      </c>
      <c r="AB298" s="2733"/>
      <c r="AC298" s="3009"/>
    </row>
    <row r="299" spans="1:29" ht="18.75" x14ac:dyDescent="0.25">
      <c r="A299" s="2982"/>
      <c r="B299" s="2753"/>
      <c r="C299" s="1863">
        <v>2032</v>
      </c>
      <c r="D299" s="218">
        <f t="shared" si="116"/>
        <v>-260795.41749080844</v>
      </c>
      <c r="E299" s="221">
        <f t="shared" si="123"/>
        <v>153347.70548459538</v>
      </c>
      <c r="F299" s="221">
        <f t="shared" si="124"/>
        <v>-6236.7920115839406</v>
      </c>
      <c r="G299" s="218">
        <f t="shared" si="117"/>
        <v>-84.758510684512757</v>
      </c>
      <c r="H299" s="218">
        <f t="shared" si="118"/>
        <v>-63.112491032775637</v>
      </c>
      <c r="I299" s="218">
        <f t="shared" si="119"/>
        <v>130.39770874540434</v>
      </c>
      <c r="J299" s="218">
        <f t="shared" si="120"/>
        <v>-199.1825001086049</v>
      </c>
      <c r="K299" s="218">
        <f t="shared" si="121"/>
        <v>-521.59083498161681</v>
      </c>
      <c r="L299" s="218">
        <f t="shared" si="122"/>
        <v>586.78968935431806</v>
      </c>
      <c r="M299" s="192">
        <f t="shared" si="125"/>
        <v>-113.68450401779701</v>
      </c>
      <c r="N299" s="211">
        <v>77</v>
      </c>
      <c r="O299" s="211">
        <f>'Emission-Waste Transport Vehicl'!N46</f>
        <v>25.201761441120002</v>
      </c>
      <c r="P299" s="211">
        <f>'Emission-Waste Transport Vehicl'!O46</f>
        <v>36.663314307840004</v>
      </c>
      <c r="Q299" s="211">
        <f>'Emission-Waste Transport Vehicl'!P46</f>
        <v>14.021840178720002</v>
      </c>
      <c r="R299" s="211">
        <f>'Emission-Waste Transport Vehicl'!Q46</f>
        <v>10.889755367040001</v>
      </c>
      <c r="S299" s="211">
        <f>'Emission-Waste Transport Vehicl'!R46</f>
        <v>1.0838549620800002</v>
      </c>
      <c r="T299" s="211">
        <f>'Emission-Waste Transport Vehicl'!S46</f>
        <v>4.9840259673600007E-2</v>
      </c>
      <c r="U299" s="1850">
        <f t="shared" si="126"/>
        <v>-8753.7068093703692</v>
      </c>
      <c r="V299" s="1850">
        <f t="shared" si="127"/>
        <v>-2136.0637663757111</v>
      </c>
      <c r="W299" s="1850">
        <f t="shared" si="128"/>
        <v>-2313.9130954853867</v>
      </c>
      <c r="X299" s="1850">
        <f t="shared" si="129"/>
        <v>1828.4158316993392</v>
      </c>
      <c r="Y299" s="1850">
        <f t="shared" si="130"/>
        <v>-2169.0486995781257</v>
      </c>
      <c r="Z299" s="1850">
        <f t="shared" si="131"/>
        <v>-565.32881467027596</v>
      </c>
      <c r="AA299" s="1850">
        <f t="shared" si="132"/>
        <v>29.245750491210295</v>
      </c>
      <c r="AB299" s="2733"/>
      <c r="AC299" s="3009"/>
    </row>
    <row r="300" spans="1:29" ht="18.75" x14ac:dyDescent="0.25">
      <c r="A300" s="2982"/>
      <c r="B300" s="2753"/>
      <c r="C300" s="1863">
        <v>2033</v>
      </c>
      <c r="D300" s="218">
        <f t="shared" si="116"/>
        <v>-260795.41749080844</v>
      </c>
      <c r="E300" s="221">
        <f t="shared" si="123"/>
        <v>153347.70548459538</v>
      </c>
      <c r="F300" s="221">
        <f t="shared" si="124"/>
        <v>-6236.7920115839406</v>
      </c>
      <c r="G300" s="218">
        <f t="shared" si="117"/>
        <v>-84.758510684512757</v>
      </c>
      <c r="H300" s="218">
        <f t="shared" si="118"/>
        <v>-63.112491032775637</v>
      </c>
      <c r="I300" s="218">
        <f t="shared" si="119"/>
        <v>130.39770874540434</v>
      </c>
      <c r="J300" s="218">
        <f t="shared" si="120"/>
        <v>-199.1825001086049</v>
      </c>
      <c r="K300" s="218">
        <f t="shared" si="121"/>
        <v>-521.59083498161681</v>
      </c>
      <c r="L300" s="218">
        <f t="shared" si="122"/>
        <v>586.78968935431806</v>
      </c>
      <c r="M300" s="192">
        <f t="shared" si="125"/>
        <v>-113.68450401779701</v>
      </c>
      <c r="N300" s="211">
        <v>78</v>
      </c>
      <c r="O300" s="211">
        <f>'Emission-Waste Transport Vehicl'!N47</f>
        <v>24.709463125776001</v>
      </c>
      <c r="P300" s="211">
        <f>'Emission-Waste Transport Vehicl'!O47</f>
        <v>35.947122786432004</v>
      </c>
      <c r="Q300" s="211">
        <f>'Emission-Waste Transport Vehicl'!P47</f>
        <v>13.747933598256003</v>
      </c>
      <c r="R300" s="211">
        <f>'Emission-Waste Transport Vehicl'!Q47</f>
        <v>10.677031814592</v>
      </c>
      <c r="S300" s="211">
        <f>'Emission-Waste Transport Vehicl'!R47</f>
        <v>1.0626826335840001</v>
      </c>
      <c r="T300" s="211">
        <f>'Emission-Waste Transport Vehicl'!S47</f>
        <v>4.8866665985280007E-2</v>
      </c>
      <c r="U300" s="1850">
        <f t="shared" si="126"/>
        <v>-8867.391313388167</v>
      </c>
      <c r="V300" s="1850">
        <f t="shared" si="127"/>
        <v>-2094.3372943546592</v>
      </c>
      <c r="W300" s="1850">
        <f t="shared" si="128"/>
        <v>-2268.7124645127747</v>
      </c>
      <c r="X300" s="1850">
        <f t="shared" si="129"/>
        <v>1792.6990411965451</v>
      </c>
      <c r="Y300" s="1850">
        <f t="shared" si="130"/>
        <v>-2126.6778905695492</v>
      </c>
      <c r="Z300" s="1850">
        <f t="shared" si="131"/>
        <v>-554.28552217154208</v>
      </c>
      <c r="AA300" s="1850">
        <f t="shared" si="132"/>
        <v>28.674455753283677</v>
      </c>
      <c r="AB300" s="2733"/>
      <c r="AC300" s="3009"/>
    </row>
    <row r="301" spans="1:29" ht="18.75" x14ac:dyDescent="0.25">
      <c r="A301" s="2982"/>
      <c r="B301" s="2753"/>
      <c r="C301" s="1863">
        <v>2034</v>
      </c>
      <c r="D301" s="218">
        <f t="shared" si="116"/>
        <v>-260795.41749080844</v>
      </c>
      <c r="E301" s="221">
        <f t="shared" si="123"/>
        <v>153347.70548459538</v>
      </c>
      <c r="F301" s="221">
        <f t="shared" si="124"/>
        <v>-6236.7920115839406</v>
      </c>
      <c r="G301" s="218">
        <f t="shared" si="117"/>
        <v>-84.758510684512757</v>
      </c>
      <c r="H301" s="218">
        <f t="shared" si="118"/>
        <v>-63.112491032775637</v>
      </c>
      <c r="I301" s="218">
        <f t="shared" si="119"/>
        <v>130.39770874540434</v>
      </c>
      <c r="J301" s="218">
        <f t="shared" si="120"/>
        <v>-199.1825001086049</v>
      </c>
      <c r="K301" s="218">
        <f t="shared" si="121"/>
        <v>-521.59083498161681</v>
      </c>
      <c r="L301" s="218">
        <f t="shared" si="122"/>
        <v>586.78968935431806</v>
      </c>
      <c r="M301" s="192">
        <f t="shared" si="125"/>
        <v>-113.68450401779701</v>
      </c>
      <c r="N301" s="211">
        <v>79</v>
      </c>
      <c r="O301" s="211">
        <f>'Emission-Waste Transport Vehicl'!N48</f>
        <v>24.223685317920005</v>
      </c>
      <c r="P301" s="211">
        <f>'Emission-Waste Transport Vehicl'!O48</f>
        <v>35.24041724544</v>
      </c>
      <c r="Q301" s="211">
        <f>'Emission-Waste Transport Vehicl'!P48</f>
        <v>13.477654919520001</v>
      </c>
      <c r="R301" s="211">
        <f>'Emission-Waste Transport Vehicl'!Q48</f>
        <v>10.467125792640001</v>
      </c>
      <c r="S301" s="211">
        <f>'Emission-Waste Transport Vehicl'!R48</f>
        <v>1.04179073328</v>
      </c>
      <c r="T301" s="211">
        <f>'Emission-Waste Transport Vehicl'!S48</f>
        <v>4.7905967577600003E-2</v>
      </c>
      <c r="U301" s="1850">
        <f t="shared" si="126"/>
        <v>-8981.0758174059647</v>
      </c>
      <c r="V301" s="1850">
        <f t="shared" si="127"/>
        <v>-2053.1634908371975</v>
      </c>
      <c r="W301" s="1850">
        <f t="shared" si="128"/>
        <v>-2224.1105173941037</v>
      </c>
      <c r="X301" s="1850">
        <f t="shared" si="129"/>
        <v>1757.4553207666352</v>
      </c>
      <c r="Y301" s="1850">
        <f t="shared" si="130"/>
        <v>-2084.8682843292981</v>
      </c>
      <c r="Z301" s="1850">
        <f t="shared" si="131"/>
        <v>-543.38849844762603</v>
      </c>
      <c r="AA301" s="1850">
        <f t="shared" si="132"/>
        <v>28.110727833077938</v>
      </c>
      <c r="AB301" s="2733"/>
      <c r="AC301" s="3009"/>
    </row>
    <row r="302" spans="1:29" ht="18.75" x14ac:dyDescent="0.25">
      <c r="A302" s="2982"/>
      <c r="B302" s="2753"/>
      <c r="C302" s="1863">
        <v>2035</v>
      </c>
      <c r="D302" s="218">
        <f t="shared" si="116"/>
        <v>-260795.41749080844</v>
      </c>
      <c r="E302" s="221">
        <f t="shared" si="123"/>
        <v>153347.70548459538</v>
      </c>
      <c r="F302" s="221">
        <f t="shared" si="124"/>
        <v>-6236.7920115839406</v>
      </c>
      <c r="G302" s="218">
        <f t="shared" si="117"/>
        <v>-84.758510684512757</v>
      </c>
      <c r="H302" s="218">
        <f t="shared" si="118"/>
        <v>-63.112491032775637</v>
      </c>
      <c r="I302" s="218">
        <f t="shared" si="119"/>
        <v>130.39770874540434</v>
      </c>
      <c r="J302" s="218">
        <f t="shared" si="120"/>
        <v>-199.1825001086049</v>
      </c>
      <c r="K302" s="218">
        <f t="shared" si="121"/>
        <v>-521.59083498161681</v>
      </c>
      <c r="L302" s="218">
        <f t="shared" si="122"/>
        <v>586.78968935431806</v>
      </c>
      <c r="M302" s="192">
        <f t="shared" si="125"/>
        <v>-113.68450401779701</v>
      </c>
      <c r="N302" s="211">
        <v>80</v>
      </c>
      <c r="O302" s="211">
        <f>'Emission-Waste Transport Vehicl'!N49</f>
        <v>23.747688271296006</v>
      </c>
      <c r="P302" s="211">
        <f>'Emission-Waste Transport Vehicl'!O49</f>
        <v>34.547940675072006</v>
      </c>
      <c r="Q302" s="211">
        <f>'Emission-Waste Transport Vehicl'!P49</f>
        <v>13.212818093376002</v>
      </c>
      <c r="R302" s="211">
        <f>'Emission-Waste Transport Vehicl'!Q49</f>
        <v>10.261446066432002</v>
      </c>
      <c r="S302" s="211">
        <f>'Emission-Waste Transport Vehicl'!R49</f>
        <v>1.0213194752640002</v>
      </c>
      <c r="T302" s="211">
        <f>'Emission-Waste Transport Vehicl'!S49</f>
        <v>4.6964612090880008E-2</v>
      </c>
      <c r="U302" s="1850">
        <f t="shared" si="126"/>
        <v>-9094.7603214237606</v>
      </c>
      <c r="V302" s="1850">
        <f t="shared" si="127"/>
        <v>-2012.8186900751209</v>
      </c>
      <c r="W302" s="1850">
        <f t="shared" si="128"/>
        <v>-2180.4065960563466</v>
      </c>
      <c r="X302" s="1850">
        <f t="shared" si="129"/>
        <v>1722.9212054460527</v>
      </c>
      <c r="Y302" s="1850">
        <f t="shared" si="130"/>
        <v>-2043.9004822415357</v>
      </c>
      <c r="Z302" s="1850">
        <f t="shared" si="131"/>
        <v>-532.71087788593661</v>
      </c>
      <c r="AA302" s="1850">
        <f t="shared" si="132"/>
        <v>27.55835013945353</v>
      </c>
      <c r="AB302" s="2733"/>
      <c r="AC302" s="3009"/>
    </row>
    <row r="303" spans="1:29" ht="18.75" x14ac:dyDescent="0.25">
      <c r="A303" s="2982"/>
      <c r="B303" s="2753"/>
      <c r="C303" s="1863">
        <v>2036</v>
      </c>
      <c r="D303" s="218">
        <f t="shared" si="116"/>
        <v>-260795.41749080844</v>
      </c>
      <c r="E303" s="221">
        <f t="shared" si="123"/>
        <v>153347.70548459538</v>
      </c>
      <c r="F303" s="221">
        <f t="shared" si="124"/>
        <v>-6236.7920115839406</v>
      </c>
      <c r="G303" s="218">
        <f t="shared" si="117"/>
        <v>-84.758510684512757</v>
      </c>
      <c r="H303" s="218">
        <f t="shared" si="118"/>
        <v>-63.112491032775637</v>
      </c>
      <c r="I303" s="218">
        <f t="shared" si="119"/>
        <v>130.39770874540434</v>
      </c>
      <c r="J303" s="218">
        <f t="shared" si="120"/>
        <v>-199.1825001086049</v>
      </c>
      <c r="K303" s="218">
        <f t="shared" si="121"/>
        <v>-521.59083498161681</v>
      </c>
      <c r="L303" s="218">
        <f t="shared" si="122"/>
        <v>586.78968935431806</v>
      </c>
      <c r="M303" s="192">
        <f t="shared" si="125"/>
        <v>-113.68450401779701</v>
      </c>
      <c r="N303" s="211">
        <v>81</v>
      </c>
      <c r="O303" s="211">
        <f>'Emission-Waste Transport Vehicl'!N50</f>
        <v>23.284732239648001</v>
      </c>
      <c r="P303" s="211">
        <f>'Emission-Waste Transport Vehicl'!O50</f>
        <v>33.874436065536003</v>
      </c>
      <c r="Q303" s="211">
        <f>'Emission-Waste Transport Vehicl'!P50</f>
        <v>12.955237070688</v>
      </c>
      <c r="R303" s="211">
        <f>'Emission-Waste Transport Vehicl'!Q50</f>
        <v>10.061401401215999</v>
      </c>
      <c r="S303" s="211">
        <f>'Emission-Waste Transport Vehicl'!R50</f>
        <v>1.001409073632</v>
      </c>
      <c r="T303" s="211">
        <f>'Emission-Waste Transport Vehicl'!S50</f>
        <v>4.6049047165439998E-2</v>
      </c>
      <c r="U303" s="1850">
        <f t="shared" si="126"/>
        <v>-9208.4448254415584</v>
      </c>
      <c r="V303" s="1850">
        <f t="shared" si="127"/>
        <v>-1973.5792263202238</v>
      </c>
      <c r="W303" s="1850">
        <f t="shared" si="128"/>
        <v>-2137.9000424264727</v>
      </c>
      <c r="X303" s="1850">
        <f t="shared" si="129"/>
        <v>1689.3332302712392</v>
      </c>
      <c r="Y303" s="1850">
        <f t="shared" si="130"/>
        <v>-2004.0550856904233</v>
      </c>
      <c r="Z303" s="1850">
        <f t="shared" si="131"/>
        <v>-522.32579487388227</v>
      </c>
      <c r="AA303" s="1850">
        <f t="shared" si="132"/>
        <v>27.021106081270876</v>
      </c>
      <c r="AB303" s="2733"/>
      <c r="AC303" s="3009"/>
    </row>
    <row r="304" spans="1:29" ht="18.75" x14ac:dyDescent="0.25">
      <c r="A304" s="2982"/>
      <c r="B304" s="2753"/>
      <c r="C304" s="1863">
        <v>2037</v>
      </c>
      <c r="D304" s="218">
        <f t="shared" si="116"/>
        <v>-260795.41749080844</v>
      </c>
      <c r="E304" s="221">
        <f t="shared" si="123"/>
        <v>153347.70548459538</v>
      </c>
      <c r="F304" s="221">
        <f t="shared" si="124"/>
        <v>-6236.7920115839406</v>
      </c>
      <c r="G304" s="218">
        <f t="shared" si="117"/>
        <v>-84.758510684512757</v>
      </c>
      <c r="H304" s="218">
        <f t="shared" si="118"/>
        <v>-63.112491032775637</v>
      </c>
      <c r="I304" s="218">
        <f t="shared" si="119"/>
        <v>130.39770874540434</v>
      </c>
      <c r="J304" s="218">
        <f t="shared" si="120"/>
        <v>-199.1825001086049</v>
      </c>
      <c r="K304" s="218">
        <f t="shared" si="121"/>
        <v>-521.59083498161681</v>
      </c>
      <c r="L304" s="218">
        <f t="shared" si="122"/>
        <v>586.78968935431806</v>
      </c>
      <c r="M304" s="192">
        <f t="shared" si="125"/>
        <v>-113.68450401779701</v>
      </c>
      <c r="N304" s="211">
        <v>83</v>
      </c>
      <c r="O304" s="211">
        <f>'Emission-Waste Transport Vehicl'!N51</f>
        <v>22.828296715488005</v>
      </c>
      <c r="P304" s="211">
        <f>'Emission-Waste Transport Vehicl'!O51</f>
        <v>33.210417436416002</v>
      </c>
      <c r="Q304" s="211">
        <f>'Emission-Waste Transport Vehicl'!P51</f>
        <v>12.701283949728003</v>
      </c>
      <c r="R304" s="211">
        <f>'Emission-Waste Transport Vehicl'!Q51</f>
        <v>9.8641742664960006</v>
      </c>
      <c r="S304" s="211">
        <f>'Emission-Waste Transport Vehicl'!R51</f>
        <v>0.9817791001920001</v>
      </c>
      <c r="T304" s="211">
        <f>'Emission-Waste Transport Vehicl'!S51</f>
        <v>4.5146377520640005E-2</v>
      </c>
      <c r="U304" s="1850">
        <f t="shared" si="126"/>
        <v>-9435.813833477152</v>
      </c>
      <c r="V304" s="1850">
        <f t="shared" si="127"/>
        <v>-1934.8924310689176</v>
      </c>
      <c r="W304" s="1850">
        <f t="shared" si="128"/>
        <v>-2095.9921726505404</v>
      </c>
      <c r="X304" s="1850">
        <f t="shared" si="129"/>
        <v>1656.2183251693111</v>
      </c>
      <c r="Y304" s="1850">
        <f t="shared" si="130"/>
        <v>-1964.7708919076372</v>
      </c>
      <c r="Z304" s="1850">
        <f t="shared" si="131"/>
        <v>-512.08698063664576</v>
      </c>
      <c r="AA304" s="1850">
        <f t="shared" si="132"/>
        <v>26.491428840809117</v>
      </c>
      <c r="AB304" s="2733"/>
      <c r="AC304" s="3009"/>
    </row>
    <row r="305" spans="1:29" ht="18.75" x14ac:dyDescent="0.25">
      <c r="A305" s="2982"/>
      <c r="B305" s="2753"/>
      <c r="C305" s="1863">
        <v>2038</v>
      </c>
      <c r="D305" s="218">
        <f t="shared" si="116"/>
        <v>-260795.41749080844</v>
      </c>
      <c r="E305" s="221">
        <f t="shared" si="123"/>
        <v>153347.70548459538</v>
      </c>
      <c r="F305" s="221">
        <f t="shared" si="124"/>
        <v>-6236.7920115839406</v>
      </c>
      <c r="G305" s="218">
        <f t="shared" si="117"/>
        <v>-84.758510684512757</v>
      </c>
      <c r="H305" s="218">
        <f t="shared" si="118"/>
        <v>-63.112491032775637</v>
      </c>
      <c r="I305" s="218">
        <f t="shared" si="119"/>
        <v>130.39770874540434</v>
      </c>
      <c r="J305" s="218">
        <f t="shared" si="120"/>
        <v>-199.1825001086049</v>
      </c>
      <c r="K305" s="218">
        <f t="shared" si="121"/>
        <v>-521.59083498161681</v>
      </c>
      <c r="L305" s="218">
        <f t="shared" si="122"/>
        <v>586.78968935431806</v>
      </c>
      <c r="M305" s="192">
        <f t="shared" si="125"/>
        <v>-113.68450401779701</v>
      </c>
      <c r="N305" s="211">
        <v>84</v>
      </c>
      <c r="O305" s="211">
        <f>'Emission-Waste Transport Vehicl'!N52</f>
        <v>22.378381698816003</v>
      </c>
      <c r="P305" s="211">
        <f>'Emission-Waste Transport Vehicl'!O52</f>
        <v>32.555884787712003</v>
      </c>
      <c r="Q305" s="211">
        <f>'Emission-Waste Transport Vehicl'!P52</f>
        <v>12.450958730496001</v>
      </c>
      <c r="R305" s="211">
        <f>'Emission-Waste Transport Vehicl'!Q52</f>
        <v>9.6697646622720015</v>
      </c>
      <c r="S305" s="211">
        <f>'Emission-Waste Transport Vehicl'!R52</f>
        <v>0.96242955494400007</v>
      </c>
      <c r="T305" s="211">
        <f>'Emission-Waste Transport Vehicl'!S52</f>
        <v>4.4256603156480001E-2</v>
      </c>
      <c r="U305" s="1850">
        <f t="shared" si="126"/>
        <v>-9549.4983374949497</v>
      </c>
      <c r="V305" s="1850">
        <f t="shared" si="127"/>
        <v>-1896.758304321201</v>
      </c>
      <c r="W305" s="1850">
        <f t="shared" si="128"/>
        <v>-2054.6829867285505</v>
      </c>
      <c r="X305" s="1850">
        <f t="shared" si="129"/>
        <v>1623.576490140267</v>
      </c>
      <c r="Y305" s="1850">
        <f t="shared" si="130"/>
        <v>-1926.0479008931768</v>
      </c>
      <c r="Z305" s="1850">
        <f t="shared" si="131"/>
        <v>-501.99443517422685</v>
      </c>
      <c r="AA305" s="1850">
        <f t="shared" si="132"/>
        <v>25.96931841806823</v>
      </c>
      <c r="AB305" s="2733"/>
      <c r="AC305" s="3009"/>
    </row>
    <row r="306" spans="1:29" ht="18.75" x14ac:dyDescent="0.25">
      <c r="A306" s="2982"/>
      <c r="B306" s="2753"/>
      <c r="C306" s="1863">
        <v>2039</v>
      </c>
      <c r="D306" s="218">
        <f t="shared" si="116"/>
        <v>-260795.41749080844</v>
      </c>
      <c r="E306" s="221">
        <f t="shared" si="123"/>
        <v>153347.70548459538</v>
      </c>
      <c r="F306" s="221">
        <f t="shared" si="124"/>
        <v>-6236.7920115839406</v>
      </c>
      <c r="G306" s="218">
        <f t="shared" si="117"/>
        <v>-84.758510684512757</v>
      </c>
      <c r="H306" s="218">
        <f t="shared" si="118"/>
        <v>-63.112491032775637</v>
      </c>
      <c r="I306" s="218">
        <f t="shared" si="119"/>
        <v>130.39770874540434</v>
      </c>
      <c r="J306" s="218">
        <f t="shared" si="120"/>
        <v>-199.1825001086049</v>
      </c>
      <c r="K306" s="218">
        <f t="shared" si="121"/>
        <v>-521.59083498161681</v>
      </c>
      <c r="L306" s="218">
        <f t="shared" si="122"/>
        <v>586.78968935431806</v>
      </c>
      <c r="M306" s="192">
        <f t="shared" si="125"/>
        <v>-113.68450401779701</v>
      </c>
      <c r="N306" s="211">
        <v>85</v>
      </c>
      <c r="O306" s="211">
        <f>'Emission-Waste Transport Vehicl'!N53</f>
        <v>21.941507697120006</v>
      </c>
      <c r="P306" s="211">
        <f>'Emission-Waste Transport Vehicl'!O53</f>
        <v>31.920324099840006</v>
      </c>
      <c r="Q306" s="211">
        <f>'Emission-Waste Transport Vehicl'!P53</f>
        <v>12.207889314720003</v>
      </c>
      <c r="R306" s="211">
        <f>'Emission-Waste Transport Vehicl'!Q53</f>
        <v>9.4809901190400012</v>
      </c>
      <c r="S306" s="211">
        <f>'Emission-Waste Transport Vehicl'!R53</f>
        <v>0.9436408660800002</v>
      </c>
      <c r="T306" s="211">
        <f>'Emission-Waste Transport Vehicl'!S53</f>
        <v>4.3392619353600011E-2</v>
      </c>
      <c r="U306" s="1850">
        <f t="shared" si="126"/>
        <v>-9663.1828415127457</v>
      </c>
      <c r="V306" s="1850">
        <f t="shared" si="127"/>
        <v>-1859.729514580665</v>
      </c>
      <c r="W306" s="1850">
        <f t="shared" si="128"/>
        <v>-2014.5711685144445</v>
      </c>
      <c r="X306" s="1850">
        <f t="shared" si="129"/>
        <v>1591.8807952569928</v>
      </c>
      <c r="Y306" s="1850">
        <f t="shared" si="130"/>
        <v>-1888.447315415367</v>
      </c>
      <c r="Z306" s="1850">
        <f t="shared" si="131"/>
        <v>-492.19442726144337</v>
      </c>
      <c r="AA306" s="1850">
        <f t="shared" si="132"/>
        <v>25.462341630769121</v>
      </c>
      <c r="AB306" s="2733"/>
      <c r="AC306" s="3009"/>
    </row>
    <row r="307" spans="1:29" ht="18.75" x14ac:dyDescent="0.25">
      <c r="A307" s="2982"/>
      <c r="B307" s="2753"/>
      <c r="C307" s="1863">
        <v>2040</v>
      </c>
      <c r="D307" s="218">
        <f t="shared" si="116"/>
        <v>-260795.41749080844</v>
      </c>
      <c r="E307" s="221">
        <f t="shared" si="123"/>
        <v>153347.70548459538</v>
      </c>
      <c r="F307" s="221">
        <f t="shared" si="124"/>
        <v>-6236.7920115839406</v>
      </c>
      <c r="G307" s="218">
        <f t="shared" si="117"/>
        <v>-84.758510684512757</v>
      </c>
      <c r="H307" s="218">
        <f t="shared" si="118"/>
        <v>-63.112491032775637</v>
      </c>
      <c r="I307" s="218">
        <f t="shared" si="119"/>
        <v>130.39770874540434</v>
      </c>
      <c r="J307" s="218">
        <f t="shared" si="120"/>
        <v>-199.1825001086049</v>
      </c>
      <c r="K307" s="218">
        <f t="shared" si="121"/>
        <v>-521.59083498161681</v>
      </c>
      <c r="L307" s="218">
        <f t="shared" si="122"/>
        <v>586.78968935431806</v>
      </c>
      <c r="M307" s="192">
        <f t="shared" si="125"/>
        <v>-113.68450401779701</v>
      </c>
      <c r="N307" s="211">
        <v>86</v>
      </c>
      <c r="O307" s="211">
        <f>'Emission-Waste Transport Vehicl'!N54</f>
        <v>21.511154202912003</v>
      </c>
      <c r="P307" s="211">
        <f>'Emission-Waste Transport Vehicl'!O54</f>
        <v>31.294249392384003</v>
      </c>
      <c r="Q307" s="211">
        <f>'Emission-Waste Transport Vehicl'!P54</f>
        <v>11.968447800672001</v>
      </c>
      <c r="R307" s="211">
        <f>'Emission-Waste Transport Vehicl'!Q54</f>
        <v>9.2950331063040004</v>
      </c>
      <c r="S307" s="211">
        <f>'Emission-Waste Transport Vehicl'!R54</f>
        <v>0.92513260540800013</v>
      </c>
      <c r="T307" s="211">
        <f>'Emission-Waste Transport Vehicl'!S54</f>
        <v>4.254153083136001E-2</v>
      </c>
      <c r="U307" s="1850">
        <f t="shared" si="126"/>
        <v>-9776.8673455305434</v>
      </c>
      <c r="V307" s="1850">
        <f t="shared" si="127"/>
        <v>-1823.2533933437185</v>
      </c>
      <c r="W307" s="1850">
        <f t="shared" si="128"/>
        <v>-1975.0580341542798</v>
      </c>
      <c r="X307" s="1850">
        <f t="shared" si="129"/>
        <v>1560.6581704466028</v>
      </c>
      <c r="Y307" s="1850">
        <f t="shared" si="130"/>
        <v>-1851.4079327058828</v>
      </c>
      <c r="Z307" s="1850">
        <f t="shared" si="131"/>
        <v>-482.54068812347742</v>
      </c>
      <c r="AA307" s="1850">
        <f t="shared" si="132"/>
        <v>24.962931661190883</v>
      </c>
      <c r="AB307" s="2733"/>
      <c r="AC307" s="3009"/>
    </row>
    <row r="308" spans="1:29" ht="18.75" x14ac:dyDescent="0.25">
      <c r="A308" s="2982"/>
      <c r="B308" s="2753"/>
      <c r="C308" s="1863">
        <v>2041</v>
      </c>
      <c r="D308" s="218">
        <f t="shared" si="116"/>
        <v>-260795.41749080844</v>
      </c>
      <c r="E308" s="221">
        <f t="shared" si="123"/>
        <v>153347.70548459538</v>
      </c>
      <c r="F308" s="221">
        <f t="shared" si="124"/>
        <v>-6236.7920115839406</v>
      </c>
      <c r="G308" s="218">
        <f t="shared" si="117"/>
        <v>-84.758510684512757</v>
      </c>
      <c r="H308" s="218">
        <f t="shared" si="118"/>
        <v>-63.112491032775637</v>
      </c>
      <c r="I308" s="218">
        <f t="shared" si="119"/>
        <v>130.39770874540434</v>
      </c>
      <c r="J308" s="218">
        <f t="shared" si="120"/>
        <v>-199.1825001086049</v>
      </c>
      <c r="K308" s="218">
        <f t="shared" si="121"/>
        <v>-521.59083498161681</v>
      </c>
      <c r="L308" s="218">
        <f t="shared" si="122"/>
        <v>586.78968935431806</v>
      </c>
      <c r="M308" s="192">
        <f t="shared" si="125"/>
        <v>-113.68450401779701</v>
      </c>
      <c r="N308" s="211">
        <v>87</v>
      </c>
      <c r="O308" s="211">
        <f>'Emission-Waste Transport Vehicl'!N55</f>
        <v>21.087321216192002</v>
      </c>
      <c r="P308" s="211">
        <f>'Emission-Waste Transport Vehicl'!O55</f>
        <v>30.677660665344007</v>
      </c>
      <c r="Q308" s="211">
        <f>'Emission-Waste Transport Vehicl'!P55</f>
        <v>11.732634188352002</v>
      </c>
      <c r="R308" s="211">
        <f>'Emission-Waste Transport Vehicl'!Q55</f>
        <v>9.1118936240640007</v>
      </c>
      <c r="S308" s="211">
        <f>'Emission-Waste Transport Vehicl'!R55</f>
        <v>0.9069047729280002</v>
      </c>
      <c r="T308" s="211">
        <f>'Emission-Waste Transport Vehicl'!S55</f>
        <v>4.1703337589760005E-2</v>
      </c>
      <c r="U308" s="1850">
        <f t="shared" si="126"/>
        <v>-9890.5518495483393</v>
      </c>
      <c r="V308" s="1850">
        <f t="shared" si="127"/>
        <v>-1787.3299406103624</v>
      </c>
      <c r="W308" s="1850">
        <f t="shared" si="128"/>
        <v>-1936.1435836480575</v>
      </c>
      <c r="X308" s="1850">
        <f t="shared" si="129"/>
        <v>1529.9086157090978</v>
      </c>
      <c r="Y308" s="1850">
        <f t="shared" si="130"/>
        <v>-1814.9297527647241</v>
      </c>
      <c r="Z308" s="1850">
        <f t="shared" si="131"/>
        <v>-473.03321776032919</v>
      </c>
      <c r="AA308" s="1850">
        <f t="shared" si="132"/>
        <v>24.47108850933353</v>
      </c>
      <c r="AB308" s="2733"/>
      <c r="AC308" s="3009"/>
    </row>
    <row r="309" spans="1:29" ht="18.75" x14ac:dyDescent="0.25">
      <c r="A309" s="2982"/>
      <c r="B309" s="2753"/>
      <c r="C309" s="1863">
        <v>2042</v>
      </c>
      <c r="D309" s="218">
        <f t="shared" si="116"/>
        <v>-260795.41749080844</v>
      </c>
      <c r="E309" s="221">
        <f t="shared" si="123"/>
        <v>153347.70548459538</v>
      </c>
      <c r="F309" s="221">
        <f t="shared" si="124"/>
        <v>-6236.7920115839406</v>
      </c>
      <c r="G309" s="218">
        <f t="shared" si="117"/>
        <v>-84.758510684512757</v>
      </c>
      <c r="H309" s="218">
        <f t="shared" si="118"/>
        <v>-63.112491032775637</v>
      </c>
      <c r="I309" s="218">
        <f t="shared" si="119"/>
        <v>130.39770874540434</v>
      </c>
      <c r="J309" s="218">
        <f t="shared" si="120"/>
        <v>-199.1825001086049</v>
      </c>
      <c r="K309" s="218">
        <f t="shared" si="121"/>
        <v>-521.59083498161681</v>
      </c>
      <c r="L309" s="218">
        <f t="shared" si="122"/>
        <v>586.78968935431806</v>
      </c>
      <c r="M309" s="192">
        <f t="shared" si="125"/>
        <v>-113.68450401779701</v>
      </c>
      <c r="N309" s="211">
        <v>88</v>
      </c>
      <c r="O309" s="211">
        <f>'Emission-Waste Transport Vehicl'!N56</f>
        <v>20.676529244448002</v>
      </c>
      <c r="P309" s="211">
        <f>'Emission-Waste Transport Vehicl'!O56</f>
        <v>30.080043899136001</v>
      </c>
      <c r="Q309" s="211">
        <f>'Emission-Waste Transport Vehicl'!P56</f>
        <v>11.504076379488001</v>
      </c>
      <c r="R309" s="211">
        <f>'Emission-Waste Transport Vehicl'!Q56</f>
        <v>8.9343892028159999</v>
      </c>
      <c r="S309" s="211">
        <f>'Emission-Waste Transport Vehicl'!R56</f>
        <v>0.8892377968320001</v>
      </c>
      <c r="T309" s="211">
        <f>'Emission-Waste Transport Vehicl'!S56</f>
        <v>4.0890934909439999E-2</v>
      </c>
      <c r="U309" s="1850">
        <f t="shared" si="126"/>
        <v>-10004.236353566137</v>
      </c>
      <c r="V309" s="1850">
        <f t="shared" si="127"/>
        <v>-1752.5118248841864</v>
      </c>
      <c r="W309" s="1850">
        <f t="shared" si="128"/>
        <v>-1898.4265008497184</v>
      </c>
      <c r="X309" s="1850">
        <f t="shared" si="129"/>
        <v>1500.1052011173622</v>
      </c>
      <c r="Y309" s="1850">
        <f t="shared" si="130"/>
        <v>-1779.5739783602164</v>
      </c>
      <c r="Z309" s="1850">
        <f t="shared" si="131"/>
        <v>-463.81828494681628</v>
      </c>
      <c r="AA309" s="1850">
        <f t="shared" si="132"/>
        <v>23.994378992917937</v>
      </c>
      <c r="AB309" s="2733"/>
      <c r="AC309" s="3009"/>
    </row>
    <row r="310" spans="1:29" ht="18.75" x14ac:dyDescent="0.25">
      <c r="A310" s="2982"/>
      <c r="B310" s="2753"/>
      <c r="C310" s="1863">
        <v>2043</v>
      </c>
      <c r="D310" s="218">
        <f t="shared" si="116"/>
        <v>-260795.41749080844</v>
      </c>
      <c r="E310" s="221">
        <f t="shared" si="123"/>
        <v>153347.70548459538</v>
      </c>
      <c r="F310" s="221">
        <f t="shared" si="124"/>
        <v>-6236.7920115839406</v>
      </c>
      <c r="G310" s="218">
        <f t="shared" si="117"/>
        <v>-84.758510684512757</v>
      </c>
      <c r="H310" s="218">
        <f t="shared" si="118"/>
        <v>-63.112491032775637</v>
      </c>
      <c r="I310" s="218">
        <f t="shared" si="119"/>
        <v>130.39770874540434</v>
      </c>
      <c r="J310" s="218">
        <f t="shared" si="120"/>
        <v>-199.1825001086049</v>
      </c>
      <c r="K310" s="218">
        <f t="shared" si="121"/>
        <v>-521.59083498161681</v>
      </c>
      <c r="L310" s="218">
        <f t="shared" si="122"/>
        <v>586.78968935431806</v>
      </c>
      <c r="M310" s="192">
        <f t="shared" si="125"/>
        <v>-113.68450401779701</v>
      </c>
      <c r="N310" s="211">
        <v>89</v>
      </c>
      <c r="O310" s="211">
        <f>'Emission-Waste Transport Vehicl'!N57</f>
        <v>20.268997526448004</v>
      </c>
      <c r="P310" s="211">
        <f>'Emission-Waste Transport Vehicl'!O57</f>
        <v>29.487170123136003</v>
      </c>
      <c r="Q310" s="211">
        <f>'Emission-Waste Transport Vehicl'!P57</f>
        <v>11.277332521488001</v>
      </c>
      <c r="R310" s="211">
        <f>'Emission-Waste Transport Vehicl'!Q57</f>
        <v>8.7582935468160006</v>
      </c>
      <c r="S310" s="211">
        <f>'Emission-Waste Transport Vehicl'!R57</f>
        <v>0.87171103483200019</v>
      </c>
      <c r="T310" s="211">
        <f>'Emission-Waste Transport Vehicl'!S57</f>
        <v>4.0084979869440006E-2</v>
      </c>
      <c r="U310" s="1850">
        <f t="shared" si="126"/>
        <v>-10117.920857583935</v>
      </c>
      <c r="V310" s="1850">
        <f t="shared" si="127"/>
        <v>-1717.9700434098058</v>
      </c>
      <c r="W310" s="1850">
        <f t="shared" si="128"/>
        <v>-1861.0087599783508</v>
      </c>
      <c r="X310" s="1850">
        <f t="shared" si="129"/>
        <v>1470.5383215620686</v>
      </c>
      <c r="Y310" s="1850">
        <f t="shared" si="130"/>
        <v>-1744.4988053398715</v>
      </c>
      <c r="Z310" s="1850">
        <f t="shared" si="131"/>
        <v>-454.67648652071222</v>
      </c>
      <c r="AA310" s="1850">
        <f t="shared" si="132"/>
        <v>23.521452885362795</v>
      </c>
      <c r="AB310" s="2733"/>
      <c r="AC310" s="3009"/>
    </row>
    <row r="311" spans="1:29" ht="18.75" x14ac:dyDescent="0.25">
      <c r="A311" s="2982"/>
      <c r="B311" s="2753"/>
      <c r="C311" s="1863">
        <v>2044</v>
      </c>
      <c r="D311" s="218">
        <f t="shared" si="116"/>
        <v>-260795.41749080844</v>
      </c>
      <c r="E311" s="221">
        <f t="shared" si="123"/>
        <v>153347.70548459538</v>
      </c>
      <c r="F311" s="221">
        <f t="shared" si="124"/>
        <v>-6236.7920115839406</v>
      </c>
      <c r="G311" s="218">
        <f t="shared" si="117"/>
        <v>-84.758510684512757</v>
      </c>
      <c r="H311" s="218">
        <f t="shared" si="118"/>
        <v>-63.112491032775637</v>
      </c>
      <c r="I311" s="218">
        <f t="shared" si="119"/>
        <v>130.39770874540434</v>
      </c>
      <c r="J311" s="218">
        <f t="shared" si="120"/>
        <v>-199.1825001086049</v>
      </c>
      <c r="K311" s="218">
        <f t="shared" si="121"/>
        <v>-521.59083498161681</v>
      </c>
      <c r="L311" s="218">
        <f t="shared" si="122"/>
        <v>586.78968935431806</v>
      </c>
      <c r="M311" s="192">
        <f t="shared" si="125"/>
        <v>-113.68450401779701</v>
      </c>
      <c r="N311" s="211">
        <v>90</v>
      </c>
      <c r="O311" s="211">
        <f>'Emission-Waste Transport Vehicl'!N58</f>
        <v>19.871246569680004</v>
      </c>
      <c r="P311" s="211">
        <f>'Emission-Waste Transport Vehicl'!O58</f>
        <v>28.908525317760002</v>
      </c>
      <c r="Q311" s="211">
        <f>'Emission-Waste Transport Vehicl'!P58</f>
        <v>11.056030516080002</v>
      </c>
      <c r="R311" s="211">
        <f>'Emission-Waste Transport Vehicl'!Q58</f>
        <v>8.5864241865600004</v>
      </c>
      <c r="S311" s="211">
        <f>'Emission-Waste Transport Vehicl'!R58</f>
        <v>0.85460491512000014</v>
      </c>
      <c r="T311" s="211">
        <f>'Emission-Waste Transport Vehicl'!S58</f>
        <v>3.9298367750400007E-2</v>
      </c>
      <c r="U311" s="1850">
        <f t="shared" si="126"/>
        <v>-10231.605361601731</v>
      </c>
      <c r="V311" s="1850">
        <f t="shared" si="127"/>
        <v>-1684.25726469081</v>
      </c>
      <c r="W311" s="1850">
        <f t="shared" si="128"/>
        <v>-1824.4890448878957</v>
      </c>
      <c r="X311" s="1850">
        <f t="shared" si="129"/>
        <v>1441.6810471161025</v>
      </c>
      <c r="Y311" s="1850">
        <f t="shared" si="130"/>
        <v>-1710.2654364720149</v>
      </c>
      <c r="Z311" s="1850">
        <f t="shared" si="131"/>
        <v>-445.75409125683461</v>
      </c>
      <c r="AA311" s="1850">
        <f t="shared" si="132"/>
        <v>23.059877004388969</v>
      </c>
      <c r="AB311" s="2733"/>
      <c r="AC311" s="3009"/>
    </row>
    <row r="312" spans="1:29" ht="18.75" x14ac:dyDescent="0.25">
      <c r="A312" s="2982"/>
      <c r="B312" s="2753"/>
      <c r="C312" s="1863">
        <v>2045</v>
      </c>
      <c r="D312" s="218">
        <f t="shared" si="116"/>
        <v>-260795.41749080844</v>
      </c>
      <c r="E312" s="221">
        <f t="shared" si="123"/>
        <v>153347.70548459538</v>
      </c>
      <c r="F312" s="221">
        <f t="shared" si="124"/>
        <v>-6236.7920115839406</v>
      </c>
      <c r="G312" s="218">
        <f t="shared" si="117"/>
        <v>-84.758510684512757</v>
      </c>
      <c r="H312" s="218">
        <f t="shared" si="118"/>
        <v>-63.112491032775637</v>
      </c>
      <c r="I312" s="218">
        <f t="shared" si="119"/>
        <v>130.39770874540434</v>
      </c>
      <c r="J312" s="218">
        <f t="shared" si="120"/>
        <v>-199.1825001086049</v>
      </c>
      <c r="K312" s="218">
        <f t="shared" si="121"/>
        <v>-521.59083498161681</v>
      </c>
      <c r="L312" s="218">
        <f t="shared" si="122"/>
        <v>586.78968935431806</v>
      </c>
      <c r="M312" s="192">
        <f t="shared" si="125"/>
        <v>-113.68450401779701</v>
      </c>
      <c r="N312" s="211">
        <v>92</v>
      </c>
      <c r="O312" s="211">
        <f>'Emission-Waste Transport Vehicl'!N59</f>
        <v>19.483276374144001</v>
      </c>
      <c r="P312" s="211">
        <f>'Emission-Waste Transport Vehicl'!O59</f>
        <v>28.344109483008001</v>
      </c>
      <c r="Q312" s="211">
        <f>'Emission-Waste Transport Vehicl'!P59</f>
        <v>10.840170363264003</v>
      </c>
      <c r="R312" s="211">
        <f>'Emission-Waste Transport Vehicl'!Q59</f>
        <v>8.4187811220480011</v>
      </c>
      <c r="S312" s="211">
        <f>'Emission-Waste Transport Vehicl'!R59</f>
        <v>0.83791943769600008</v>
      </c>
      <c r="T312" s="211">
        <f>'Emission-Waste Transport Vehicl'!S59</f>
        <v>3.8531098552320009E-2</v>
      </c>
      <c r="U312" s="1850">
        <f t="shared" si="126"/>
        <v>-10458.974369637324</v>
      </c>
      <c r="V312" s="1850">
        <f t="shared" si="127"/>
        <v>-1651.3734887271994</v>
      </c>
      <c r="W312" s="1850">
        <f t="shared" si="128"/>
        <v>-1788.8673555783535</v>
      </c>
      <c r="X312" s="1850">
        <f t="shared" si="129"/>
        <v>1413.5333777794633</v>
      </c>
      <c r="Y312" s="1850">
        <f t="shared" si="130"/>
        <v>-1676.8738717566468</v>
      </c>
      <c r="Z312" s="1850">
        <f t="shared" si="131"/>
        <v>-437.05109915518352</v>
      </c>
      <c r="AA312" s="1850">
        <f t="shared" si="132"/>
        <v>22.609651349996472</v>
      </c>
      <c r="AB312" s="2733"/>
      <c r="AC312" s="3009"/>
    </row>
    <row r="313" spans="1:29" ht="18.75" x14ac:dyDescent="0.25">
      <c r="A313" s="2982"/>
      <c r="B313" s="2753"/>
      <c r="C313" s="1863">
        <v>2046</v>
      </c>
      <c r="D313" s="218">
        <f t="shared" si="116"/>
        <v>-260795.41749080844</v>
      </c>
      <c r="E313" s="221">
        <f t="shared" si="123"/>
        <v>153347.70548459538</v>
      </c>
      <c r="F313" s="221">
        <f t="shared" si="124"/>
        <v>-6236.7920115839406</v>
      </c>
      <c r="G313" s="218">
        <f t="shared" si="117"/>
        <v>-84.758510684512757</v>
      </c>
      <c r="H313" s="218">
        <f t="shared" si="118"/>
        <v>-63.112491032775637</v>
      </c>
      <c r="I313" s="218">
        <f t="shared" si="119"/>
        <v>130.39770874540434</v>
      </c>
      <c r="J313" s="218">
        <f t="shared" si="120"/>
        <v>-199.1825001086049</v>
      </c>
      <c r="K313" s="218">
        <f t="shared" si="121"/>
        <v>-521.59083498161681</v>
      </c>
      <c r="L313" s="218">
        <f t="shared" si="122"/>
        <v>586.78968935431806</v>
      </c>
      <c r="M313" s="192">
        <f t="shared" si="125"/>
        <v>-113.68450401779701</v>
      </c>
      <c r="N313" s="211">
        <v>93</v>
      </c>
      <c r="O313" s="211">
        <f>'Emission-Waste Transport Vehicl'!N60</f>
        <v>19.101826686096</v>
      </c>
      <c r="P313" s="211">
        <f>'Emission-Waste Transport Vehicl'!O60</f>
        <v>27.789179628671999</v>
      </c>
      <c r="Q313" s="211">
        <f>'Emission-Waste Transport Vehicl'!P60</f>
        <v>10.627938112176002</v>
      </c>
      <c r="R313" s="211">
        <f>'Emission-Waste Transport Vehicl'!Q60</f>
        <v>8.2539555880319995</v>
      </c>
      <c r="S313" s="211">
        <f>'Emission-Waste Transport Vehicl'!R60</f>
        <v>0.82151438846400004</v>
      </c>
      <c r="T313" s="211">
        <f>'Emission-Waste Transport Vehicl'!S60</f>
        <v>3.777672463488E-2</v>
      </c>
      <c r="U313" s="1850">
        <f t="shared" si="126"/>
        <v>-10572.658873655122</v>
      </c>
      <c r="V313" s="1850">
        <f t="shared" si="127"/>
        <v>-1619.0423812671788</v>
      </c>
      <c r="W313" s="1850">
        <f t="shared" si="128"/>
        <v>-1753.844350122753</v>
      </c>
      <c r="X313" s="1850">
        <f t="shared" si="129"/>
        <v>1385.8587785157088</v>
      </c>
      <c r="Y313" s="1850">
        <f t="shared" si="130"/>
        <v>-1644.0435098096038</v>
      </c>
      <c r="Z313" s="1850">
        <f t="shared" si="131"/>
        <v>-428.49437582835009</v>
      </c>
      <c r="AA313" s="1850">
        <f t="shared" si="132"/>
        <v>22.16699251332485</v>
      </c>
      <c r="AB313" s="2733"/>
      <c r="AC313" s="3009"/>
    </row>
    <row r="314" spans="1:29" ht="18.75" x14ac:dyDescent="0.25">
      <c r="A314" s="2982"/>
      <c r="B314" s="2753"/>
      <c r="C314" s="1863">
        <v>2047</v>
      </c>
      <c r="D314" s="218">
        <f t="shared" si="116"/>
        <v>-260795.41749080844</v>
      </c>
      <c r="E314" s="221">
        <f t="shared" si="123"/>
        <v>153347.70548459538</v>
      </c>
      <c r="F314" s="221">
        <f t="shared" si="124"/>
        <v>-6236.7920115839406</v>
      </c>
      <c r="G314" s="218">
        <f t="shared" si="117"/>
        <v>-84.758510684512757</v>
      </c>
      <c r="H314" s="218">
        <f t="shared" si="118"/>
        <v>-63.112491032775637</v>
      </c>
      <c r="I314" s="218">
        <f t="shared" si="119"/>
        <v>130.39770874540434</v>
      </c>
      <c r="J314" s="218">
        <f t="shared" si="120"/>
        <v>-199.1825001086049</v>
      </c>
      <c r="K314" s="218">
        <f t="shared" si="121"/>
        <v>-521.59083498161681</v>
      </c>
      <c r="L314" s="218">
        <f t="shared" si="122"/>
        <v>586.78968935431806</v>
      </c>
      <c r="M314" s="192">
        <f t="shared" si="125"/>
        <v>-113.68450401779701</v>
      </c>
      <c r="N314" s="211">
        <v>94</v>
      </c>
      <c r="O314" s="211">
        <f>'Emission-Waste Transport Vehicl'!N61</f>
        <v>18.726897505536005</v>
      </c>
      <c r="P314" s="211">
        <f>'Emission-Waste Transport Vehicl'!O61</f>
        <v>27.243735754752002</v>
      </c>
      <c r="Q314" s="211">
        <f>'Emission-Waste Transport Vehicl'!P61</f>
        <v>10.419333762816001</v>
      </c>
      <c r="R314" s="211">
        <f>'Emission-Waste Transport Vehicl'!Q61</f>
        <v>8.0919475845120008</v>
      </c>
      <c r="S314" s="211">
        <f>'Emission-Waste Transport Vehicl'!R61</f>
        <v>0.80538976742400015</v>
      </c>
      <c r="T314" s="211">
        <f>'Emission-Waste Transport Vehicl'!S61</f>
        <v>3.7035245998080002E-2</v>
      </c>
      <c r="U314" s="1850">
        <f t="shared" si="126"/>
        <v>-10686.34337767292</v>
      </c>
      <c r="V314" s="1850">
        <f t="shared" si="127"/>
        <v>-1587.2639423107487</v>
      </c>
      <c r="W314" s="1850">
        <f t="shared" si="128"/>
        <v>-1719.4200285210948</v>
      </c>
      <c r="X314" s="1850">
        <f t="shared" si="129"/>
        <v>1358.6572493248389</v>
      </c>
      <c r="Y314" s="1850">
        <f t="shared" si="130"/>
        <v>-1611.7743506308868</v>
      </c>
      <c r="Z314" s="1850">
        <f t="shared" si="131"/>
        <v>-420.08392127633442</v>
      </c>
      <c r="AA314" s="1850">
        <f t="shared" si="132"/>
        <v>21.731900494374116</v>
      </c>
      <c r="AB314" s="2733"/>
      <c r="AC314" s="3009"/>
    </row>
    <row r="315" spans="1:29" ht="18.75" x14ac:dyDescent="0.25">
      <c r="A315" s="2982"/>
      <c r="B315" s="2753"/>
      <c r="C315" s="1863">
        <v>2048</v>
      </c>
      <c r="D315" s="218">
        <f t="shared" si="116"/>
        <v>-260795.41749080844</v>
      </c>
      <c r="E315" s="221">
        <f t="shared" si="123"/>
        <v>153347.70548459538</v>
      </c>
      <c r="F315" s="221">
        <f t="shared" si="124"/>
        <v>-6236.7920115839406</v>
      </c>
      <c r="G315" s="218">
        <f t="shared" si="117"/>
        <v>-84.758510684512757</v>
      </c>
      <c r="H315" s="218">
        <f t="shared" si="118"/>
        <v>-63.112491032775637</v>
      </c>
      <c r="I315" s="218">
        <f t="shared" si="119"/>
        <v>130.39770874540434</v>
      </c>
      <c r="J315" s="218">
        <f t="shared" si="120"/>
        <v>-199.1825001086049</v>
      </c>
      <c r="K315" s="218">
        <f t="shared" si="121"/>
        <v>-521.59083498161681</v>
      </c>
      <c r="L315" s="218">
        <f t="shared" si="122"/>
        <v>586.78968935431806</v>
      </c>
      <c r="M315" s="192">
        <f t="shared" si="125"/>
        <v>-113.68450401779701</v>
      </c>
      <c r="N315" s="211">
        <v>95</v>
      </c>
      <c r="O315" s="211">
        <f>'Emission-Waste Transport Vehicl'!N62</f>
        <v>18.358488832464005</v>
      </c>
      <c r="P315" s="211">
        <f>'Emission-Waste Transport Vehicl'!O62</f>
        <v>26.707777861248005</v>
      </c>
      <c r="Q315" s="211">
        <f>'Emission-Waste Transport Vehicl'!P62</f>
        <v>10.214357315184001</v>
      </c>
      <c r="R315" s="211">
        <f>'Emission-Waste Transport Vehicl'!Q62</f>
        <v>7.9327571114880007</v>
      </c>
      <c r="S315" s="211">
        <f>'Emission-Waste Transport Vehicl'!R62</f>
        <v>0.78954557457600016</v>
      </c>
      <c r="T315" s="211">
        <f>'Emission-Waste Transport Vehicl'!S62</f>
        <v>3.6306662641920007E-2</v>
      </c>
      <c r="U315" s="1850">
        <f t="shared" si="126"/>
        <v>-10800.027881690716</v>
      </c>
      <c r="V315" s="1850">
        <f t="shared" si="127"/>
        <v>-1556.0381718579085</v>
      </c>
      <c r="W315" s="1850">
        <f t="shared" si="128"/>
        <v>-1685.5943907733783</v>
      </c>
      <c r="X315" s="1850">
        <f t="shared" si="129"/>
        <v>1331.9287902068536</v>
      </c>
      <c r="Y315" s="1850">
        <f t="shared" si="130"/>
        <v>-1580.0663942204949</v>
      </c>
      <c r="Z315" s="1850">
        <f t="shared" si="131"/>
        <v>-411.81973549913636</v>
      </c>
      <c r="AA315" s="1850">
        <f t="shared" si="132"/>
        <v>21.304375293144265</v>
      </c>
      <c r="AB315" s="2733"/>
      <c r="AC315" s="3009"/>
    </row>
    <row r="316" spans="1:29" ht="18.75" x14ac:dyDescent="0.25">
      <c r="A316" s="2982"/>
      <c r="B316" s="2753"/>
      <c r="C316" s="1863">
        <v>2049</v>
      </c>
      <c r="D316" s="218">
        <f t="shared" si="116"/>
        <v>-260795.41749080844</v>
      </c>
      <c r="E316" s="221">
        <f t="shared" si="123"/>
        <v>153347.70548459538</v>
      </c>
      <c r="F316" s="221">
        <f t="shared" si="124"/>
        <v>-6236.7920115839406</v>
      </c>
      <c r="G316" s="218">
        <f t="shared" si="117"/>
        <v>-84.758510684512757</v>
      </c>
      <c r="H316" s="218">
        <f t="shared" si="118"/>
        <v>-63.112491032775637</v>
      </c>
      <c r="I316" s="218">
        <f t="shared" si="119"/>
        <v>130.39770874540434</v>
      </c>
      <c r="J316" s="218">
        <f t="shared" si="120"/>
        <v>-199.1825001086049</v>
      </c>
      <c r="K316" s="218">
        <f t="shared" si="121"/>
        <v>-521.59083498161681</v>
      </c>
      <c r="L316" s="218">
        <f t="shared" si="122"/>
        <v>586.78968935431806</v>
      </c>
      <c r="M316" s="192">
        <f t="shared" si="125"/>
        <v>-113.68450401779701</v>
      </c>
      <c r="N316" s="211">
        <v>96</v>
      </c>
      <c r="O316" s="211">
        <f>'Emission-Waste Transport Vehicl'!N63</f>
        <v>17.999860920624005</v>
      </c>
      <c r="P316" s="211">
        <f>'Emission-Waste Transport Vehicl'!O63</f>
        <v>26.186048938368003</v>
      </c>
      <c r="Q316" s="211">
        <f>'Emission-Waste Transport Vehicl'!P63</f>
        <v>10.014822720144002</v>
      </c>
      <c r="R316" s="211">
        <f>'Emission-Waste Transport Vehicl'!Q63</f>
        <v>7.7777929342080014</v>
      </c>
      <c r="S316" s="211">
        <f>'Emission-Waste Transport Vehicl'!R63</f>
        <v>0.77412202401600017</v>
      </c>
      <c r="T316" s="211">
        <f>'Emission-Waste Transport Vehicl'!S63</f>
        <v>3.5597422206719999E-2</v>
      </c>
      <c r="U316" s="1850">
        <f t="shared" si="126"/>
        <v>-10913.712385708513</v>
      </c>
      <c r="V316" s="1850">
        <f t="shared" si="127"/>
        <v>-1525.6414041604535</v>
      </c>
      <c r="W316" s="1850">
        <f t="shared" si="128"/>
        <v>-1652.6667788065745</v>
      </c>
      <c r="X316" s="1850">
        <f t="shared" si="129"/>
        <v>1305.9099361981957</v>
      </c>
      <c r="Y316" s="1850">
        <f t="shared" si="130"/>
        <v>-1549.2002419625917</v>
      </c>
      <c r="Z316" s="1850">
        <f t="shared" si="131"/>
        <v>-403.77495288416475</v>
      </c>
      <c r="AA316" s="1850">
        <f t="shared" si="132"/>
        <v>20.888200318495731</v>
      </c>
      <c r="AB316" s="2733"/>
      <c r="AC316" s="3009"/>
    </row>
    <row r="317" spans="1:29" ht="18.75" x14ac:dyDescent="0.25">
      <c r="A317" s="2982"/>
      <c r="B317" s="2753"/>
      <c r="C317" s="1863">
        <v>2050</v>
      </c>
      <c r="D317" s="218">
        <f t="shared" si="116"/>
        <v>-260795.41749080844</v>
      </c>
      <c r="E317" s="221">
        <f t="shared" si="123"/>
        <v>153347.70548459538</v>
      </c>
      <c r="F317" s="221">
        <f t="shared" si="124"/>
        <v>-6236.7920115839406</v>
      </c>
      <c r="G317" s="218">
        <f t="shared" si="117"/>
        <v>-84.758510684512757</v>
      </c>
      <c r="H317" s="218">
        <f t="shared" si="118"/>
        <v>-63.112491032775637</v>
      </c>
      <c r="I317" s="218">
        <f t="shared" si="119"/>
        <v>130.39770874540434</v>
      </c>
      <c r="J317" s="218">
        <f t="shared" si="120"/>
        <v>-199.1825001086049</v>
      </c>
      <c r="K317" s="218">
        <f t="shared" si="121"/>
        <v>-521.59083498161681</v>
      </c>
      <c r="L317" s="218">
        <f t="shared" si="122"/>
        <v>586.78968935431806</v>
      </c>
      <c r="M317" s="192">
        <f t="shared" si="125"/>
        <v>-113.68450401779701</v>
      </c>
      <c r="N317" s="211">
        <v>97</v>
      </c>
      <c r="O317" s="211">
        <f>'Emission-Waste Transport Vehicl'!N64</f>
        <v>17.644493262528005</v>
      </c>
      <c r="P317" s="211">
        <f>'Emission-Waste Transport Vehicl'!O64</f>
        <v>25.669063005696003</v>
      </c>
      <c r="Q317" s="211">
        <f>'Emission-Waste Transport Vehicl'!P64</f>
        <v>9.8171020759680019</v>
      </c>
      <c r="R317" s="211">
        <f>'Emission-Waste Transport Vehicl'!Q64</f>
        <v>7.624237522176001</v>
      </c>
      <c r="S317" s="211">
        <f>'Emission-Waste Transport Vehicl'!R64</f>
        <v>0.75883868755200012</v>
      </c>
      <c r="T317" s="211">
        <f>'Emission-Waste Transport Vehicl'!S64</f>
        <v>3.4894629411840003E-2</v>
      </c>
      <c r="U317" s="1850">
        <f t="shared" si="126"/>
        <v>-11027.396889726309</v>
      </c>
      <c r="V317" s="1850">
        <f t="shared" si="127"/>
        <v>-1495.5209707147933</v>
      </c>
      <c r="W317" s="1850">
        <f t="shared" si="128"/>
        <v>-1620.0385087667419</v>
      </c>
      <c r="X317" s="1850">
        <f t="shared" si="129"/>
        <v>1280.12761722598</v>
      </c>
      <c r="Y317" s="1850">
        <f t="shared" si="130"/>
        <v>-1518.6146910888508</v>
      </c>
      <c r="Z317" s="1850">
        <f t="shared" si="131"/>
        <v>-395.80330465660199</v>
      </c>
      <c r="AA317" s="1850">
        <f t="shared" si="132"/>
        <v>20.475808752707646</v>
      </c>
      <c r="AB317" s="2733"/>
      <c r="AC317" s="3009"/>
    </row>
    <row r="318" spans="1:29" ht="18.75" x14ac:dyDescent="0.25">
      <c r="A318" s="2982"/>
      <c r="B318" s="2753"/>
      <c r="C318" s="1863">
        <v>2051</v>
      </c>
      <c r="D318" s="218">
        <f t="shared" ref="D318:D336" si="133">$AC$8</f>
        <v>-260795.41749080844</v>
      </c>
      <c r="E318" s="221">
        <f t="shared" si="123"/>
        <v>153347.70548459538</v>
      </c>
      <c r="F318" s="221">
        <f t="shared" si="124"/>
        <v>-6236.7920115839406</v>
      </c>
      <c r="G318" s="218">
        <f t="shared" ref="G318:G336" si="134">$Y$8</f>
        <v>-84.758510684512757</v>
      </c>
      <c r="H318" s="218">
        <f t="shared" ref="H318:H336" si="135">$Z$8</f>
        <v>-63.112491032775637</v>
      </c>
      <c r="I318" s="218">
        <f t="shared" ref="I318:I336" si="136">$X$8</f>
        <v>130.39770874540434</v>
      </c>
      <c r="J318" s="218">
        <f t="shared" ref="J318:J336" si="137">$AA$8</f>
        <v>-199.1825001086049</v>
      </c>
      <c r="K318" s="218">
        <f t="shared" ref="K318:K336" si="138">$V$8</f>
        <v>-521.59083498161681</v>
      </c>
      <c r="L318" s="218">
        <f t="shared" ref="L318:L336" si="139">$W$8</f>
        <v>586.78968935431806</v>
      </c>
      <c r="M318" s="192">
        <f t="shared" si="125"/>
        <v>-113.68450401779701</v>
      </c>
      <c r="N318" s="211">
        <v>97</v>
      </c>
      <c r="O318" s="211">
        <f>'Emission-Waste Transport Vehicl'!N65</f>
        <v>17.298906365664003</v>
      </c>
      <c r="P318" s="211">
        <f>'Emission-Waste Transport Vehicl'!O65</f>
        <v>25.166306043648003</v>
      </c>
      <c r="Q318" s="211">
        <f>'Emission-Waste Transport Vehicl'!P65</f>
        <v>9.624823284384</v>
      </c>
      <c r="R318" s="211">
        <f>'Emission-Waste Transport Vehicl'!Q65</f>
        <v>7.4749084058879998</v>
      </c>
      <c r="S318" s="211">
        <f>'Emission-Waste Transport Vehicl'!R65</f>
        <v>0.74397599337600007</v>
      </c>
      <c r="T318" s="211">
        <f>'Emission-Waste Transport Vehicl'!S65</f>
        <v>3.4211179537920001E-2</v>
      </c>
      <c r="U318" s="1850">
        <f t="shared" si="126"/>
        <v>-11027.396889726309</v>
      </c>
      <c r="V318" s="1850">
        <f t="shared" si="127"/>
        <v>-1466.2295400245182</v>
      </c>
      <c r="W318" s="1850">
        <f t="shared" si="128"/>
        <v>-1588.3082645078218</v>
      </c>
      <c r="X318" s="1850">
        <f t="shared" si="129"/>
        <v>1255.0549033630909</v>
      </c>
      <c r="Y318" s="1850">
        <f t="shared" si="130"/>
        <v>-1488.8709443675982</v>
      </c>
      <c r="Z318" s="1850">
        <f t="shared" si="131"/>
        <v>-388.0510595912657</v>
      </c>
      <c r="AA318" s="1850">
        <f t="shared" si="132"/>
        <v>20.074767413500879</v>
      </c>
      <c r="AB318" s="2733"/>
      <c r="AC318" s="3009"/>
    </row>
    <row r="319" spans="1:29" ht="18.75" x14ac:dyDescent="0.25">
      <c r="A319" s="2982"/>
      <c r="B319" s="2753"/>
      <c r="C319" s="1863">
        <v>2052</v>
      </c>
      <c r="D319" s="218">
        <f t="shared" si="133"/>
        <v>-260795.41749080844</v>
      </c>
      <c r="E319" s="221">
        <f t="shared" si="123"/>
        <v>153347.70548459538</v>
      </c>
      <c r="F319" s="221">
        <f t="shared" si="124"/>
        <v>-6236.7920115839406</v>
      </c>
      <c r="G319" s="218">
        <f t="shared" si="134"/>
        <v>-84.758510684512757</v>
      </c>
      <c r="H319" s="218">
        <f t="shared" si="135"/>
        <v>-63.112491032775637</v>
      </c>
      <c r="I319" s="218">
        <f t="shared" si="136"/>
        <v>130.39770874540434</v>
      </c>
      <c r="J319" s="218">
        <f t="shared" si="137"/>
        <v>-199.1825001086049</v>
      </c>
      <c r="K319" s="218">
        <f t="shared" si="138"/>
        <v>-521.59083498161681</v>
      </c>
      <c r="L319" s="218">
        <f t="shared" si="139"/>
        <v>586.78968935431806</v>
      </c>
      <c r="M319" s="192">
        <f t="shared" si="125"/>
        <v>-113.68450401779701</v>
      </c>
      <c r="N319" s="211">
        <v>97</v>
      </c>
      <c r="O319" s="211">
        <f>'Emission-Waste Transport Vehicl'!N66</f>
        <v>16.959839976288002</v>
      </c>
      <c r="P319" s="211">
        <f>'Emission-Waste Transport Vehicl'!O66</f>
        <v>24.673035062016002</v>
      </c>
      <c r="Q319" s="211">
        <f>'Emission-Waste Transport Vehicl'!P66</f>
        <v>9.4361723945280005</v>
      </c>
      <c r="R319" s="211">
        <f>'Emission-Waste Transport Vehicl'!Q66</f>
        <v>7.3283968200960006</v>
      </c>
      <c r="S319" s="211">
        <f>'Emission-Waste Transport Vehicl'!R66</f>
        <v>0.72939372739200004</v>
      </c>
      <c r="T319" s="211">
        <f>'Emission-Waste Transport Vehicl'!S66</f>
        <v>3.3540624944640003E-2</v>
      </c>
      <c r="U319" s="1850">
        <f t="shared" si="126"/>
        <v>-11027.396889726309</v>
      </c>
      <c r="V319" s="1850">
        <f t="shared" si="127"/>
        <v>-1437.4907778378333</v>
      </c>
      <c r="W319" s="1850">
        <f t="shared" si="128"/>
        <v>-1557.1767041028438</v>
      </c>
      <c r="X319" s="1850">
        <f t="shared" si="129"/>
        <v>1230.455259573087</v>
      </c>
      <c r="Y319" s="1850">
        <f t="shared" si="130"/>
        <v>-1459.6884004146714</v>
      </c>
      <c r="Z319" s="1850">
        <f t="shared" si="131"/>
        <v>-380.44508330074706</v>
      </c>
      <c r="AA319" s="1850">
        <f t="shared" si="132"/>
        <v>19.681292892014998</v>
      </c>
      <c r="AB319" s="2733"/>
      <c r="AC319" s="3009"/>
    </row>
    <row r="320" spans="1:29" ht="18.75" x14ac:dyDescent="0.25">
      <c r="A320" s="2982"/>
      <c r="B320" s="2753"/>
      <c r="C320" s="1863">
        <v>2053</v>
      </c>
      <c r="D320" s="218">
        <f t="shared" si="133"/>
        <v>-260795.41749080844</v>
      </c>
      <c r="E320" s="221">
        <f t="shared" si="123"/>
        <v>153347.70548459538</v>
      </c>
      <c r="F320" s="221">
        <f t="shared" si="124"/>
        <v>-6236.7920115839406</v>
      </c>
      <c r="G320" s="218">
        <f t="shared" si="134"/>
        <v>-84.758510684512757</v>
      </c>
      <c r="H320" s="218">
        <f t="shared" si="135"/>
        <v>-63.112491032775637</v>
      </c>
      <c r="I320" s="218">
        <f t="shared" si="136"/>
        <v>130.39770874540434</v>
      </c>
      <c r="J320" s="218">
        <f t="shared" si="137"/>
        <v>-199.1825001086049</v>
      </c>
      <c r="K320" s="218">
        <f t="shared" si="138"/>
        <v>-521.59083498161681</v>
      </c>
      <c r="L320" s="218">
        <f t="shared" si="139"/>
        <v>586.78968935431806</v>
      </c>
      <c r="M320" s="192">
        <f t="shared" si="125"/>
        <v>-113.68450401779701</v>
      </c>
      <c r="N320" s="211">
        <v>97</v>
      </c>
      <c r="O320" s="211">
        <f>'Emission-Waste Transport Vehicl'!N67</f>
        <v>15.361506000000002</v>
      </c>
      <c r="P320" s="211">
        <f>'Emission-Waste Transport Vehicl'!O67</f>
        <v>24.189250060800003</v>
      </c>
      <c r="Q320" s="211">
        <f>'Emission-Waste Transport Vehicl'!P67</f>
        <v>9.2511494064000015</v>
      </c>
      <c r="R320" s="211">
        <f>'Emission-Waste Transport Vehicl'!Q67</f>
        <v>7.1847027647999999</v>
      </c>
      <c r="S320" s="211">
        <f>'Emission-Waste Transport Vehicl'!R67</f>
        <v>0.71509188960000014</v>
      </c>
      <c r="T320" s="211">
        <f>'Emission-Waste Transport Vehicl'!S67</f>
        <v>3.2882965632000001E-2</v>
      </c>
      <c r="U320" s="1850">
        <f t="shared" si="126"/>
        <v>-11027.396889726309</v>
      </c>
      <c r="V320" s="1850">
        <f t="shared" si="127"/>
        <v>-1302.0183704312069</v>
      </c>
      <c r="W320" s="1850">
        <f t="shared" si="128"/>
        <v>-1526.6438275518076</v>
      </c>
      <c r="X320" s="1850">
        <f t="shared" si="129"/>
        <v>1206.3286858559677</v>
      </c>
      <c r="Y320" s="1850">
        <f t="shared" si="130"/>
        <v>-1431.0670592300698</v>
      </c>
      <c r="Z320" s="1850">
        <f t="shared" si="131"/>
        <v>-372.98537578504624</v>
      </c>
      <c r="AA320" s="1850">
        <f t="shared" si="132"/>
        <v>19.295385188249998</v>
      </c>
      <c r="AB320" s="2733"/>
      <c r="AC320" s="3009"/>
    </row>
    <row r="321" spans="1:29" ht="18.75" x14ac:dyDescent="0.25">
      <c r="A321" s="2982"/>
      <c r="B321" s="2753"/>
      <c r="C321" s="1863">
        <v>2054</v>
      </c>
      <c r="D321" s="218">
        <f t="shared" si="133"/>
        <v>-260795.41749080844</v>
      </c>
      <c r="E321" s="221">
        <f t="shared" si="123"/>
        <v>153347.70548459538</v>
      </c>
      <c r="F321" s="221">
        <f t="shared" si="124"/>
        <v>-6236.7920115839406</v>
      </c>
      <c r="G321" s="218">
        <f t="shared" si="134"/>
        <v>-84.758510684512757</v>
      </c>
      <c r="H321" s="218">
        <f t="shared" si="135"/>
        <v>-63.112491032775637</v>
      </c>
      <c r="I321" s="218">
        <f t="shared" si="136"/>
        <v>130.39770874540434</v>
      </c>
      <c r="J321" s="218">
        <f t="shared" si="137"/>
        <v>-199.1825001086049</v>
      </c>
      <c r="K321" s="218">
        <f t="shared" si="138"/>
        <v>-521.59083498161681</v>
      </c>
      <c r="L321" s="218">
        <f t="shared" si="139"/>
        <v>586.78968935431806</v>
      </c>
      <c r="M321" s="192">
        <f t="shared" si="125"/>
        <v>-113.68450401779701</v>
      </c>
      <c r="N321" s="211">
        <v>97</v>
      </c>
      <c r="O321" s="211">
        <f>'Emission-Waste Transport Vehicl'!N68</f>
        <v>16.301268720000003</v>
      </c>
      <c r="P321" s="211">
        <f>'Emission-Waste Transport Vehicl'!O68</f>
        <v>23.714951040000003</v>
      </c>
      <c r="Q321" s="211">
        <f>'Emission-Waste Transport Vehicl'!P68</f>
        <v>9.0697543200000013</v>
      </c>
      <c r="R321" s="211">
        <f>'Emission-Waste Transport Vehicl'!Q68</f>
        <v>7.0438262400000005</v>
      </c>
      <c r="S321" s="211">
        <f>'Emission-Waste Transport Vehicl'!R68</f>
        <v>0.70107048000000005</v>
      </c>
      <c r="T321" s="211">
        <f>'Emission-Waste Transport Vehicl'!S68</f>
        <v>3.2238201600000002E-2</v>
      </c>
      <c r="U321" s="1850">
        <f t="shared" si="126"/>
        <v>-11027.396889726309</v>
      </c>
      <c r="V321" s="1850">
        <f t="shared" si="127"/>
        <v>-1381.6712589752337</v>
      </c>
      <c r="W321" s="1850">
        <f t="shared" si="128"/>
        <v>-1496.7096348547134</v>
      </c>
      <c r="X321" s="1850">
        <f t="shared" si="129"/>
        <v>1182.675182211733</v>
      </c>
      <c r="Y321" s="1850">
        <f t="shared" si="130"/>
        <v>-1403.0069208137941</v>
      </c>
      <c r="Z321" s="1850">
        <f t="shared" si="131"/>
        <v>-365.67193704416292</v>
      </c>
      <c r="AA321" s="1850">
        <f t="shared" si="132"/>
        <v>18.917044302205881</v>
      </c>
      <c r="AB321" s="2733"/>
      <c r="AC321" s="3009"/>
    </row>
    <row r="322" spans="1:29" ht="18.75" x14ac:dyDescent="0.25">
      <c r="A322" s="2982"/>
      <c r="B322" s="2753"/>
      <c r="C322" s="1863">
        <v>2055</v>
      </c>
      <c r="D322" s="218">
        <f t="shared" si="133"/>
        <v>-260795.41749080844</v>
      </c>
      <c r="E322" s="221">
        <f t="shared" si="123"/>
        <v>153347.70548459538</v>
      </c>
      <c r="F322" s="221">
        <f t="shared" si="124"/>
        <v>-6236.7920115839406</v>
      </c>
      <c r="G322" s="218">
        <f t="shared" si="134"/>
        <v>-84.758510684512757</v>
      </c>
      <c r="H322" s="218">
        <f t="shared" si="135"/>
        <v>-63.112491032775637</v>
      </c>
      <c r="I322" s="218">
        <f t="shared" si="136"/>
        <v>130.39770874540434</v>
      </c>
      <c r="J322" s="218">
        <f t="shared" si="137"/>
        <v>-199.1825001086049</v>
      </c>
      <c r="K322" s="218">
        <f t="shared" si="138"/>
        <v>-521.59083498161681</v>
      </c>
      <c r="L322" s="218">
        <f t="shared" si="139"/>
        <v>586.78968935431806</v>
      </c>
      <c r="M322" s="192">
        <f t="shared" si="125"/>
        <v>-113.68450401779701</v>
      </c>
      <c r="N322" s="211">
        <v>97</v>
      </c>
      <c r="O322" s="211">
        <f>'Emission-Waste Transport Vehicl'!N69</f>
        <v>15.981763853088003</v>
      </c>
      <c r="P322" s="211">
        <f>'Emission-Waste Transport Vehicl'!O69</f>
        <v>23.250137999616001</v>
      </c>
      <c r="Q322" s="211">
        <f>'Emission-Waste Transport Vehicl'!P69</f>
        <v>8.8919871353280016</v>
      </c>
      <c r="R322" s="211">
        <f>'Emission-Waste Transport Vehicl'!Q69</f>
        <v>6.9057672456960004</v>
      </c>
      <c r="S322" s="211">
        <f>'Emission-Waste Transport Vehicl'!R69</f>
        <v>0.6873294985920001</v>
      </c>
      <c r="T322" s="211">
        <f>'Emission-Waste Transport Vehicl'!S69</f>
        <v>3.1606332848640006E-2</v>
      </c>
      <c r="U322" s="1850">
        <f t="shared" si="126"/>
        <v>-11027.396889726309</v>
      </c>
      <c r="V322" s="1850">
        <f t="shared" si="127"/>
        <v>-1354.5905022993193</v>
      </c>
      <c r="W322" s="1850">
        <f t="shared" si="128"/>
        <v>-1467.374126011561</v>
      </c>
      <c r="X322" s="1850">
        <f t="shared" si="129"/>
        <v>1159.494748640383</v>
      </c>
      <c r="Y322" s="1850">
        <f t="shared" si="130"/>
        <v>-1375.5079851658438</v>
      </c>
      <c r="Z322" s="1850">
        <f t="shared" si="131"/>
        <v>-358.50476707809736</v>
      </c>
      <c r="AA322" s="1850">
        <f t="shared" si="132"/>
        <v>18.546270233882648</v>
      </c>
      <c r="AB322" s="2733"/>
      <c r="AC322" s="3009"/>
    </row>
    <row r="323" spans="1:29" ht="18.75" x14ac:dyDescent="0.25">
      <c r="A323" s="2982"/>
      <c r="B323" s="2753"/>
      <c r="C323" s="1863">
        <v>2056</v>
      </c>
      <c r="D323" s="218">
        <f t="shared" si="133"/>
        <v>-260795.41749080844</v>
      </c>
      <c r="E323" s="221">
        <f t="shared" si="123"/>
        <v>153347.70548459538</v>
      </c>
      <c r="F323" s="221">
        <f t="shared" si="124"/>
        <v>-6236.7920115839406</v>
      </c>
      <c r="G323" s="218">
        <f t="shared" si="134"/>
        <v>-84.758510684512757</v>
      </c>
      <c r="H323" s="218">
        <f t="shared" si="135"/>
        <v>-63.112491032775637</v>
      </c>
      <c r="I323" s="218">
        <f t="shared" si="136"/>
        <v>130.39770874540434</v>
      </c>
      <c r="J323" s="218">
        <f t="shared" si="137"/>
        <v>-199.1825001086049</v>
      </c>
      <c r="K323" s="218">
        <f t="shared" si="138"/>
        <v>-521.59083498161681</v>
      </c>
      <c r="L323" s="218">
        <f t="shared" si="139"/>
        <v>586.78968935431806</v>
      </c>
      <c r="M323" s="192">
        <f t="shared" si="125"/>
        <v>-113.68450401779701</v>
      </c>
      <c r="N323" s="211">
        <v>97</v>
      </c>
      <c r="O323" s="211">
        <f>'Emission-Waste Transport Vehicl'!N70</f>
        <v>15.668779493664003</v>
      </c>
      <c r="P323" s="211">
        <f>'Emission-Waste Transport Vehicl'!O70</f>
        <v>22.794810939648006</v>
      </c>
      <c r="Q323" s="211">
        <f>'Emission-Waste Transport Vehicl'!P70</f>
        <v>8.7178478523840006</v>
      </c>
      <c r="R323" s="211">
        <f>'Emission-Waste Transport Vehicl'!Q70</f>
        <v>6.7705257818880007</v>
      </c>
      <c r="S323" s="211">
        <f>'Emission-Waste Transport Vehicl'!R70</f>
        <v>0.67386894537600017</v>
      </c>
      <c r="T323" s="211">
        <f>'Emission-Waste Transport Vehicl'!S70</f>
        <v>3.0987359377920003E-2</v>
      </c>
      <c r="U323" s="1850">
        <f t="shared" si="126"/>
        <v>-11027.396889726309</v>
      </c>
      <c r="V323" s="1850">
        <f t="shared" si="127"/>
        <v>-1328.0624141269948</v>
      </c>
      <c r="W323" s="1850">
        <f t="shared" si="128"/>
        <v>-1438.6373010223508</v>
      </c>
      <c r="X323" s="1850">
        <f t="shared" si="129"/>
        <v>1136.7873851419176</v>
      </c>
      <c r="Y323" s="1850">
        <f t="shared" si="130"/>
        <v>-1348.5702522862189</v>
      </c>
      <c r="Z323" s="1850">
        <f t="shared" si="131"/>
        <v>-351.48386588684946</v>
      </c>
      <c r="AA323" s="1850">
        <f t="shared" si="132"/>
        <v>18.183062983280294</v>
      </c>
      <c r="AB323" s="2733"/>
      <c r="AC323" s="3009"/>
    </row>
    <row r="324" spans="1:29" ht="18.75" x14ac:dyDescent="0.25">
      <c r="A324" s="2982"/>
      <c r="B324" s="2753"/>
      <c r="C324" s="1863">
        <v>2057</v>
      </c>
      <c r="D324" s="218">
        <f t="shared" si="133"/>
        <v>-260795.41749080844</v>
      </c>
      <c r="E324" s="221">
        <f t="shared" si="123"/>
        <v>153347.70548459538</v>
      </c>
      <c r="F324" s="221">
        <f t="shared" si="124"/>
        <v>-6236.7920115839406</v>
      </c>
      <c r="G324" s="218">
        <f t="shared" si="134"/>
        <v>-84.758510684512757</v>
      </c>
      <c r="H324" s="218">
        <f t="shared" si="135"/>
        <v>-63.112491032775637</v>
      </c>
      <c r="I324" s="218">
        <f t="shared" si="136"/>
        <v>130.39770874540434</v>
      </c>
      <c r="J324" s="218">
        <f t="shared" si="137"/>
        <v>-199.1825001086049</v>
      </c>
      <c r="K324" s="218">
        <f t="shared" si="138"/>
        <v>-521.59083498161681</v>
      </c>
      <c r="L324" s="218">
        <f t="shared" si="139"/>
        <v>586.78968935431806</v>
      </c>
      <c r="M324" s="192">
        <f t="shared" si="125"/>
        <v>-113.68450401779701</v>
      </c>
      <c r="N324" s="211">
        <v>97</v>
      </c>
      <c r="O324" s="211">
        <f>'Emission-Waste Transport Vehicl'!N71</f>
        <v>15.362315641728001</v>
      </c>
      <c r="P324" s="211">
        <f>'Emission-Waste Transport Vehicl'!O71</f>
        <v>22.348969860096002</v>
      </c>
      <c r="Q324" s="211">
        <f>'Emission-Waste Transport Vehicl'!P71</f>
        <v>8.547336471168002</v>
      </c>
      <c r="R324" s="211">
        <f>'Emission-Waste Transport Vehicl'!Q71</f>
        <v>6.6381018485760004</v>
      </c>
      <c r="S324" s="211">
        <f>'Emission-Waste Transport Vehicl'!R71</f>
        <v>0.66068882035200005</v>
      </c>
      <c r="T324" s="211">
        <f>'Emission-Waste Transport Vehicl'!S71</f>
        <v>3.038128118784E-2</v>
      </c>
      <c r="U324" s="1850">
        <f t="shared" si="126"/>
        <v>-11027.396889726309</v>
      </c>
      <c r="V324" s="1850">
        <f t="shared" si="127"/>
        <v>-1302.0869944582603</v>
      </c>
      <c r="W324" s="1850">
        <f t="shared" si="128"/>
        <v>-1410.499159887082</v>
      </c>
      <c r="X324" s="1850">
        <f t="shared" si="129"/>
        <v>1114.5530917163373</v>
      </c>
      <c r="Y324" s="1850">
        <f t="shared" si="130"/>
        <v>-1322.1937221749197</v>
      </c>
      <c r="Z324" s="1850">
        <f t="shared" si="131"/>
        <v>-344.60923347041916</v>
      </c>
      <c r="AA324" s="1850">
        <f t="shared" si="132"/>
        <v>17.827422550398822</v>
      </c>
      <c r="AB324" s="2733"/>
      <c r="AC324" s="3009"/>
    </row>
    <row r="325" spans="1:29" ht="18.75" x14ac:dyDescent="0.25">
      <c r="A325" s="2982"/>
      <c r="B325" s="2753"/>
      <c r="C325" s="1863">
        <v>2058</v>
      </c>
      <c r="D325" s="218">
        <f t="shared" si="133"/>
        <v>-260795.41749080844</v>
      </c>
      <c r="E325" s="221">
        <f t="shared" si="123"/>
        <v>153347.70548459538</v>
      </c>
      <c r="F325" s="221">
        <f t="shared" si="124"/>
        <v>-6236.7920115839406</v>
      </c>
      <c r="G325" s="218">
        <f t="shared" si="134"/>
        <v>-84.758510684512757</v>
      </c>
      <c r="H325" s="218">
        <f t="shared" si="135"/>
        <v>-63.112491032775637</v>
      </c>
      <c r="I325" s="218">
        <f t="shared" si="136"/>
        <v>130.39770874540434</v>
      </c>
      <c r="J325" s="218">
        <f t="shared" si="137"/>
        <v>-199.1825001086049</v>
      </c>
      <c r="K325" s="218">
        <f t="shared" si="138"/>
        <v>-521.59083498161681</v>
      </c>
      <c r="L325" s="218">
        <f t="shared" si="139"/>
        <v>586.78968935431806</v>
      </c>
      <c r="M325" s="192">
        <f t="shared" si="125"/>
        <v>-113.68450401779701</v>
      </c>
      <c r="N325" s="211">
        <v>97</v>
      </c>
      <c r="O325" s="211">
        <f>'Emission-Waste Transport Vehicl'!N72</f>
        <v>15.059112043536</v>
      </c>
      <c r="P325" s="211">
        <f>'Emission-Waste Transport Vehicl'!O72</f>
        <v>21.907871770752003</v>
      </c>
      <c r="Q325" s="211">
        <f>'Emission-Waste Transport Vehicl'!P72</f>
        <v>8.378639040816001</v>
      </c>
      <c r="R325" s="211">
        <f>'Emission-Waste Transport Vehicl'!Q72</f>
        <v>6.5070866805119998</v>
      </c>
      <c r="S325" s="211">
        <f>'Emission-Waste Transport Vehicl'!R72</f>
        <v>0.647648909424</v>
      </c>
      <c r="T325" s="211">
        <f>'Emission-Waste Transport Vehicl'!S72</f>
        <v>2.9781650638080002E-2</v>
      </c>
      <c r="U325" s="1850">
        <f t="shared" si="126"/>
        <v>-11027.396889726309</v>
      </c>
      <c r="V325" s="1850">
        <f t="shared" si="127"/>
        <v>-1276.3879090413209</v>
      </c>
      <c r="W325" s="1850">
        <f t="shared" si="128"/>
        <v>-1382.6603606787842</v>
      </c>
      <c r="X325" s="1850">
        <f t="shared" si="129"/>
        <v>1092.5553333271989</v>
      </c>
      <c r="Y325" s="1850">
        <f t="shared" si="130"/>
        <v>-1296.0977934477828</v>
      </c>
      <c r="Z325" s="1850">
        <f t="shared" si="131"/>
        <v>-337.80773544139765</v>
      </c>
      <c r="AA325" s="1850">
        <f t="shared" si="132"/>
        <v>17.475565526377792</v>
      </c>
      <c r="AB325" s="2733"/>
      <c r="AC325" s="3009"/>
    </row>
    <row r="326" spans="1:29" ht="18.75" x14ac:dyDescent="0.25">
      <c r="A326" s="2982"/>
      <c r="B326" s="2753"/>
      <c r="C326" s="1863">
        <v>2059</v>
      </c>
      <c r="D326" s="218">
        <f t="shared" si="133"/>
        <v>-260795.41749080844</v>
      </c>
      <c r="E326" s="221">
        <f t="shared" si="123"/>
        <v>153347.70548459538</v>
      </c>
      <c r="F326" s="221">
        <f t="shared" si="124"/>
        <v>-6236.7920115839406</v>
      </c>
      <c r="G326" s="218">
        <f t="shared" si="134"/>
        <v>-84.758510684512757</v>
      </c>
      <c r="H326" s="218">
        <f t="shared" si="135"/>
        <v>-63.112491032775637</v>
      </c>
      <c r="I326" s="218">
        <f t="shared" si="136"/>
        <v>130.39770874540434</v>
      </c>
      <c r="J326" s="218">
        <f t="shared" si="137"/>
        <v>-199.1825001086049</v>
      </c>
      <c r="K326" s="218">
        <f t="shared" si="138"/>
        <v>-521.59083498161681</v>
      </c>
      <c r="L326" s="218">
        <f t="shared" si="139"/>
        <v>586.78968935431806</v>
      </c>
      <c r="M326" s="192">
        <f t="shared" si="125"/>
        <v>-113.68450401779701</v>
      </c>
      <c r="N326" s="211">
        <v>97</v>
      </c>
      <c r="O326" s="211">
        <f>'Emission-Waste Transport Vehicl'!N73</f>
        <v>14.765689206576004</v>
      </c>
      <c r="P326" s="211">
        <f>'Emission-Waste Transport Vehicl'!O73</f>
        <v>21.481002652032004</v>
      </c>
      <c r="Q326" s="211">
        <f>'Emission-Waste Transport Vehicl'!P73</f>
        <v>8.2153834630560016</v>
      </c>
      <c r="R326" s="211">
        <f>'Emission-Waste Transport Vehicl'!Q73</f>
        <v>6.380297808192001</v>
      </c>
      <c r="S326" s="211">
        <f>'Emission-Waste Transport Vehicl'!R73</f>
        <v>0.63502964078400004</v>
      </c>
      <c r="T326" s="211">
        <f>'Emission-Waste Transport Vehicl'!S73</f>
        <v>2.9201363009280005E-2</v>
      </c>
      <c r="U326" s="1850">
        <f t="shared" si="126"/>
        <v>-11027.396889726309</v>
      </c>
      <c r="V326" s="1850">
        <f t="shared" si="127"/>
        <v>-1251.517826379767</v>
      </c>
      <c r="W326" s="1850">
        <f t="shared" si="128"/>
        <v>-1355.7195872513994</v>
      </c>
      <c r="X326" s="1850">
        <f t="shared" si="129"/>
        <v>1071.2671800473879</v>
      </c>
      <c r="Y326" s="1850">
        <f t="shared" si="130"/>
        <v>-1270.8436688731349</v>
      </c>
      <c r="Z326" s="1850">
        <f t="shared" si="131"/>
        <v>-331.22564057460278</v>
      </c>
      <c r="AA326" s="1850">
        <f t="shared" si="132"/>
        <v>17.135058728938088</v>
      </c>
      <c r="AB326" s="2733"/>
      <c r="AC326" s="3009"/>
    </row>
    <row r="327" spans="1:29" ht="18.75" x14ac:dyDescent="0.25">
      <c r="A327" s="2982"/>
      <c r="B327" s="2753"/>
      <c r="C327" s="1863">
        <v>2060</v>
      </c>
      <c r="D327" s="218">
        <f t="shared" si="133"/>
        <v>-260795.41749080844</v>
      </c>
      <c r="E327" s="221">
        <f t="shared" si="123"/>
        <v>153347.70548459538</v>
      </c>
      <c r="F327" s="221">
        <f t="shared" si="124"/>
        <v>-6236.7920115839406</v>
      </c>
      <c r="G327" s="218">
        <f t="shared" si="134"/>
        <v>-84.758510684512757</v>
      </c>
      <c r="H327" s="218">
        <f t="shared" si="135"/>
        <v>-63.112491032775637</v>
      </c>
      <c r="I327" s="218">
        <f t="shared" si="136"/>
        <v>130.39770874540434</v>
      </c>
      <c r="J327" s="218">
        <f t="shared" si="137"/>
        <v>-199.1825001086049</v>
      </c>
      <c r="K327" s="218">
        <f t="shared" si="138"/>
        <v>-521.59083498161681</v>
      </c>
      <c r="L327" s="218">
        <f t="shared" si="139"/>
        <v>586.78968935431806</v>
      </c>
      <c r="M327" s="192">
        <f t="shared" si="125"/>
        <v>-113.68450401779701</v>
      </c>
      <c r="N327" s="211">
        <v>97</v>
      </c>
      <c r="O327" s="211">
        <f>'Emission-Waste Transport Vehicl'!N74</f>
        <v>14.475526623360002</v>
      </c>
      <c r="P327" s="211">
        <f>'Emission-Waste Transport Vehicl'!O74</f>
        <v>21.058876523520002</v>
      </c>
      <c r="Q327" s="211">
        <f>'Emission-Waste Transport Vehicl'!P74</f>
        <v>8.0539418361599999</v>
      </c>
      <c r="R327" s="211">
        <f>'Emission-Waste Transport Vehicl'!Q74</f>
        <v>6.2549177011200001</v>
      </c>
      <c r="S327" s="211">
        <f>'Emission-Waste Transport Vehicl'!R74</f>
        <v>0.62255058624000004</v>
      </c>
      <c r="T327" s="211">
        <f>'Emission-Waste Transport Vehicl'!S74</f>
        <v>2.8627523020800003E-2</v>
      </c>
      <c r="U327" s="1850">
        <f t="shared" si="126"/>
        <v>-11027.396889726309</v>
      </c>
      <c r="V327" s="1850">
        <f t="shared" si="127"/>
        <v>-1226.9240779700076</v>
      </c>
      <c r="W327" s="1850">
        <f t="shared" si="128"/>
        <v>-1329.0781557509856</v>
      </c>
      <c r="X327" s="1850">
        <f t="shared" si="129"/>
        <v>1050.2155618040188</v>
      </c>
      <c r="Y327" s="1850">
        <f t="shared" si="130"/>
        <v>-1245.8701456826491</v>
      </c>
      <c r="Z327" s="1850">
        <f t="shared" si="131"/>
        <v>-324.71668009521665</v>
      </c>
      <c r="AA327" s="1850">
        <f t="shared" si="132"/>
        <v>16.798335340358822</v>
      </c>
      <c r="AB327" s="2733"/>
      <c r="AC327" s="3009"/>
    </row>
    <row r="328" spans="1:29" ht="18.75" x14ac:dyDescent="0.25">
      <c r="A328" s="2982"/>
      <c r="B328" s="2753"/>
      <c r="C328" s="1863">
        <v>2061</v>
      </c>
      <c r="D328" s="218">
        <f t="shared" si="133"/>
        <v>-260795.41749080844</v>
      </c>
      <c r="E328" s="221">
        <f t="shared" si="123"/>
        <v>153347.70548459538</v>
      </c>
      <c r="F328" s="221">
        <f t="shared" si="124"/>
        <v>-6236.7920115839406</v>
      </c>
      <c r="G328" s="218">
        <f t="shared" si="134"/>
        <v>-84.758510684512757</v>
      </c>
      <c r="H328" s="218">
        <f t="shared" si="135"/>
        <v>-63.112491032775637</v>
      </c>
      <c r="I328" s="218">
        <f t="shared" si="136"/>
        <v>130.39770874540434</v>
      </c>
      <c r="J328" s="218">
        <f t="shared" si="137"/>
        <v>-199.1825001086049</v>
      </c>
      <c r="K328" s="218">
        <f t="shared" si="138"/>
        <v>-521.59083498161681</v>
      </c>
      <c r="L328" s="218">
        <f t="shared" si="139"/>
        <v>586.78968935431806</v>
      </c>
      <c r="M328" s="192">
        <f t="shared" si="125"/>
        <v>-113.68450401779701</v>
      </c>
      <c r="N328" s="211">
        <v>97</v>
      </c>
      <c r="O328" s="211">
        <f>'Emission-Waste Transport Vehicl'!N75</f>
        <v>14.191884547632004</v>
      </c>
      <c r="P328" s="211">
        <f>'Emission-Waste Transport Vehicl'!O75</f>
        <v>20.646236375424003</v>
      </c>
      <c r="Q328" s="211">
        <f>'Emission-Waste Transport Vehicl'!P75</f>
        <v>7.8961281109920014</v>
      </c>
      <c r="R328" s="211">
        <f>'Emission-Waste Transport Vehicl'!Q75</f>
        <v>6.1323551245440004</v>
      </c>
      <c r="S328" s="211">
        <f>'Emission-Waste Transport Vehicl'!R75</f>
        <v>0.61035195988800006</v>
      </c>
      <c r="T328" s="211">
        <f>'Emission-Waste Transport Vehicl'!S75</f>
        <v>2.8066578312960003E-2</v>
      </c>
      <c r="U328" s="1850">
        <f t="shared" si="126"/>
        <v>-11027.396889726309</v>
      </c>
      <c r="V328" s="1850">
        <f t="shared" si="127"/>
        <v>-1202.8829980638386</v>
      </c>
      <c r="W328" s="1850">
        <f t="shared" si="128"/>
        <v>-1303.0354081045136</v>
      </c>
      <c r="X328" s="1850">
        <f t="shared" si="129"/>
        <v>1029.6370136335347</v>
      </c>
      <c r="Y328" s="1850">
        <f t="shared" si="130"/>
        <v>-1221.4578252604892</v>
      </c>
      <c r="Z328" s="1850">
        <f t="shared" si="131"/>
        <v>-318.35398839064823</v>
      </c>
      <c r="AA328" s="1850">
        <f t="shared" si="132"/>
        <v>16.469178769500441</v>
      </c>
      <c r="AB328" s="2733"/>
      <c r="AC328" s="3009"/>
    </row>
    <row r="329" spans="1:29" ht="18.75" x14ac:dyDescent="0.25">
      <c r="A329" s="2982"/>
      <c r="B329" s="2753"/>
      <c r="C329" s="1863">
        <v>2062</v>
      </c>
      <c r="D329" s="218">
        <f t="shared" si="133"/>
        <v>-260795.41749080844</v>
      </c>
      <c r="E329" s="221">
        <f t="shared" si="123"/>
        <v>153347.70548459538</v>
      </c>
      <c r="F329" s="221">
        <f t="shared" si="124"/>
        <v>-6236.7920115839406</v>
      </c>
      <c r="G329" s="218">
        <f t="shared" si="134"/>
        <v>-84.758510684512757</v>
      </c>
      <c r="H329" s="218">
        <f t="shared" si="135"/>
        <v>-63.112491032775637</v>
      </c>
      <c r="I329" s="218">
        <f t="shared" si="136"/>
        <v>130.39770874540434</v>
      </c>
      <c r="J329" s="218">
        <f t="shared" si="137"/>
        <v>-199.1825001086049</v>
      </c>
      <c r="K329" s="218">
        <f t="shared" si="138"/>
        <v>-521.59083498161681</v>
      </c>
      <c r="L329" s="218">
        <f t="shared" si="139"/>
        <v>586.78968935431806</v>
      </c>
      <c r="M329" s="192">
        <f t="shared" si="125"/>
        <v>-113.68450401779701</v>
      </c>
      <c r="N329" s="211">
        <v>97</v>
      </c>
      <c r="O329" s="211">
        <f>'Emission-Waste Transport Vehicl'!N76</f>
        <v>13.914762979392002</v>
      </c>
      <c r="P329" s="211">
        <f>'Emission-Waste Transport Vehicl'!O76</f>
        <v>20.243082207744003</v>
      </c>
      <c r="Q329" s="211">
        <f>'Emission-Waste Transport Vehicl'!P76</f>
        <v>7.7419422875520008</v>
      </c>
      <c r="R329" s="211">
        <f>'Emission-Waste Transport Vehicl'!Q76</f>
        <v>6.0126100784640002</v>
      </c>
      <c r="S329" s="211">
        <f>'Emission-Waste Transport Vehicl'!R76</f>
        <v>0.59843376172800011</v>
      </c>
      <c r="T329" s="211">
        <f>'Emission-Waste Transport Vehicl'!S76</f>
        <v>2.7518528885760004E-2</v>
      </c>
      <c r="U329" s="1850">
        <f t="shared" si="126"/>
        <v>-11027.396889726309</v>
      </c>
      <c r="V329" s="1850">
        <f t="shared" si="127"/>
        <v>-1179.3945866612596</v>
      </c>
      <c r="W329" s="1850">
        <f t="shared" si="128"/>
        <v>-1277.5913443119834</v>
      </c>
      <c r="X329" s="1850">
        <f t="shared" si="129"/>
        <v>1009.5315355359353</v>
      </c>
      <c r="Y329" s="1850">
        <f t="shared" si="130"/>
        <v>-1197.6067076066547</v>
      </c>
      <c r="Z329" s="1850">
        <f t="shared" si="131"/>
        <v>-312.13756546089752</v>
      </c>
      <c r="AA329" s="1850">
        <f t="shared" si="132"/>
        <v>16.147589016362939</v>
      </c>
      <c r="AB329" s="2733"/>
      <c r="AC329" s="3009"/>
    </row>
    <row r="330" spans="1:29" ht="18.75" x14ac:dyDescent="0.25">
      <c r="A330" s="2982"/>
      <c r="B330" s="2753"/>
      <c r="C330" s="1863">
        <v>2063</v>
      </c>
      <c r="D330" s="218">
        <f t="shared" si="133"/>
        <v>-260795.41749080844</v>
      </c>
      <c r="E330" s="221">
        <f t="shared" si="123"/>
        <v>153347.70548459538</v>
      </c>
      <c r="F330" s="221">
        <f t="shared" si="124"/>
        <v>-6236.7920115839406</v>
      </c>
      <c r="G330" s="218">
        <f t="shared" si="134"/>
        <v>-84.758510684512757</v>
      </c>
      <c r="H330" s="218">
        <f t="shared" si="135"/>
        <v>-63.112491032775637</v>
      </c>
      <c r="I330" s="218">
        <f t="shared" si="136"/>
        <v>130.39770874540434</v>
      </c>
      <c r="J330" s="218">
        <f t="shared" si="137"/>
        <v>-199.1825001086049</v>
      </c>
      <c r="K330" s="218">
        <f t="shared" si="138"/>
        <v>-521.59083498161681</v>
      </c>
      <c r="L330" s="218">
        <f t="shared" si="139"/>
        <v>586.78968935431806</v>
      </c>
      <c r="M330" s="192">
        <f t="shared" si="125"/>
        <v>-113.68450401779701</v>
      </c>
      <c r="N330" s="211">
        <v>97</v>
      </c>
      <c r="O330" s="211">
        <f>'Emission-Waste Transport Vehicl'!N77</f>
        <v>13.640901664896001</v>
      </c>
      <c r="P330" s="211">
        <f>'Emission-Waste Transport Vehicl'!O77</f>
        <v>19.844671030272</v>
      </c>
      <c r="Q330" s="211">
        <f>'Emission-Waste Transport Vehicl'!P77</f>
        <v>7.5895704149760004</v>
      </c>
      <c r="R330" s="211">
        <f>'Emission-Waste Transport Vehicl'!Q77</f>
        <v>5.8942737976319997</v>
      </c>
      <c r="S330" s="211">
        <f>'Emission-Waste Transport Vehicl'!R77</f>
        <v>0.58665577766400001</v>
      </c>
      <c r="T330" s="211">
        <f>'Emission-Waste Transport Vehicl'!S77</f>
        <v>2.6976927098879999E-2</v>
      </c>
      <c r="U330" s="1850">
        <f t="shared" si="126"/>
        <v>-11027.396889726309</v>
      </c>
      <c r="V330" s="1850">
        <f t="shared" si="127"/>
        <v>-1156.1825095104755</v>
      </c>
      <c r="W330" s="1850">
        <f t="shared" si="128"/>
        <v>-1252.446622446424</v>
      </c>
      <c r="X330" s="1850">
        <f t="shared" si="129"/>
        <v>989.66259247477808</v>
      </c>
      <c r="Y330" s="1850">
        <f t="shared" si="130"/>
        <v>-1174.0361913369827</v>
      </c>
      <c r="Z330" s="1850">
        <f t="shared" si="131"/>
        <v>-305.9942769185555</v>
      </c>
      <c r="AA330" s="1850">
        <f t="shared" si="132"/>
        <v>15.82978267208588</v>
      </c>
      <c r="AB330" s="2733"/>
      <c r="AC330" s="3009"/>
    </row>
    <row r="331" spans="1:29" ht="18.75" x14ac:dyDescent="0.25">
      <c r="A331" s="2982"/>
      <c r="B331" s="2753"/>
      <c r="C331" s="1863">
        <v>2064</v>
      </c>
      <c r="D331" s="218">
        <f t="shared" si="133"/>
        <v>-260795.41749080844</v>
      </c>
      <c r="E331" s="221">
        <f t="shared" si="123"/>
        <v>153347.70548459538</v>
      </c>
      <c r="F331" s="221">
        <f t="shared" si="124"/>
        <v>-6236.7920115839406</v>
      </c>
      <c r="G331" s="218">
        <f t="shared" si="134"/>
        <v>-84.758510684512757</v>
      </c>
      <c r="H331" s="218">
        <f t="shared" si="135"/>
        <v>-63.112491032775637</v>
      </c>
      <c r="I331" s="218">
        <f t="shared" si="136"/>
        <v>130.39770874540434</v>
      </c>
      <c r="J331" s="218">
        <f t="shared" si="137"/>
        <v>-199.1825001086049</v>
      </c>
      <c r="K331" s="218">
        <f t="shared" si="138"/>
        <v>-521.59083498161681</v>
      </c>
      <c r="L331" s="218">
        <f t="shared" si="139"/>
        <v>586.78968935431806</v>
      </c>
      <c r="M331" s="192">
        <f t="shared" si="125"/>
        <v>-113.68450401779701</v>
      </c>
      <c r="N331" s="211">
        <v>97</v>
      </c>
      <c r="O331" s="211">
        <f>'Emission-Waste Transport Vehicl'!N78</f>
        <v>13.373560857888002</v>
      </c>
      <c r="P331" s="211">
        <f>'Emission-Waste Transport Vehicl'!O78</f>
        <v>19.455745833216003</v>
      </c>
      <c r="Q331" s="211">
        <f>'Emission-Waste Transport Vehicl'!P78</f>
        <v>7.4408264441280014</v>
      </c>
      <c r="R331" s="211">
        <f>'Emission-Waste Transport Vehicl'!Q78</f>
        <v>5.7787550472960003</v>
      </c>
      <c r="S331" s="211">
        <f>'Emission-Waste Transport Vehicl'!R78</f>
        <v>0.57515822179200005</v>
      </c>
      <c r="T331" s="211">
        <f>'Emission-Waste Transport Vehicl'!S78</f>
        <v>2.6448220592640001E-2</v>
      </c>
      <c r="U331" s="1850">
        <f t="shared" si="126"/>
        <v>-11027.396889726309</v>
      </c>
      <c r="V331" s="1850">
        <f t="shared" si="127"/>
        <v>-1133.5231008632818</v>
      </c>
      <c r="W331" s="1850">
        <f t="shared" si="128"/>
        <v>-1227.9005844348069</v>
      </c>
      <c r="X331" s="1850">
        <f t="shared" si="129"/>
        <v>970.26671948650585</v>
      </c>
      <c r="Y331" s="1850">
        <f t="shared" si="130"/>
        <v>-1151.0268778356367</v>
      </c>
      <c r="Z331" s="1850">
        <f t="shared" si="131"/>
        <v>-299.99725715103125</v>
      </c>
      <c r="AA331" s="1850">
        <f t="shared" si="132"/>
        <v>15.519543145529704</v>
      </c>
      <c r="AB331" s="2733"/>
      <c r="AC331" s="3009"/>
    </row>
    <row r="332" spans="1:29" ht="18.75" x14ac:dyDescent="0.25">
      <c r="A332" s="2982"/>
      <c r="B332" s="2753"/>
      <c r="C332" s="1863">
        <v>2065</v>
      </c>
      <c r="D332" s="218">
        <f t="shared" si="133"/>
        <v>-260795.41749080844</v>
      </c>
      <c r="E332" s="221">
        <f t="shared" si="123"/>
        <v>153347.70548459538</v>
      </c>
      <c r="F332" s="221">
        <f t="shared" si="124"/>
        <v>-6236.7920115839406</v>
      </c>
      <c r="G332" s="218">
        <f t="shared" si="134"/>
        <v>-84.758510684512757</v>
      </c>
      <c r="H332" s="218">
        <f t="shared" si="135"/>
        <v>-63.112491032775637</v>
      </c>
      <c r="I332" s="218">
        <f t="shared" si="136"/>
        <v>130.39770874540434</v>
      </c>
      <c r="J332" s="218">
        <f t="shared" si="137"/>
        <v>-199.1825001086049</v>
      </c>
      <c r="K332" s="218">
        <f t="shared" si="138"/>
        <v>-521.59083498161681</v>
      </c>
      <c r="L332" s="218">
        <f t="shared" si="139"/>
        <v>586.78968935431806</v>
      </c>
      <c r="M332" s="192">
        <f t="shared" si="125"/>
        <v>-113.68450401779701</v>
      </c>
      <c r="N332" s="211">
        <v>97</v>
      </c>
      <c r="O332" s="211">
        <f>'Emission-Waste Transport Vehicl'!N79</f>
        <v>13.112740558368001</v>
      </c>
      <c r="P332" s="211">
        <f>'Emission-Waste Transport Vehicl'!O79</f>
        <v>19.076306616576002</v>
      </c>
      <c r="Q332" s="211">
        <f>'Emission-Waste Transport Vehicl'!P79</f>
        <v>7.2957103750080003</v>
      </c>
      <c r="R332" s="211">
        <f>'Emission-Waste Transport Vehicl'!Q79</f>
        <v>5.6660538274560004</v>
      </c>
      <c r="S332" s="211">
        <f>'Emission-Waste Transport Vehicl'!R79</f>
        <v>0.56394109411200011</v>
      </c>
      <c r="T332" s="211">
        <f>'Emission-Waste Transport Vehicl'!S79</f>
        <v>2.5932409367040003E-2</v>
      </c>
      <c r="U332" s="1850">
        <f t="shared" si="126"/>
        <v>-11027.396889726309</v>
      </c>
      <c r="V332" s="1850">
        <f t="shared" si="127"/>
        <v>-1111.4163607196781</v>
      </c>
      <c r="W332" s="1850">
        <f t="shared" si="128"/>
        <v>-1203.9532302771315</v>
      </c>
      <c r="X332" s="1850">
        <f t="shared" si="129"/>
        <v>951.34391657111792</v>
      </c>
      <c r="Y332" s="1850">
        <f t="shared" si="130"/>
        <v>-1128.578767102616</v>
      </c>
      <c r="Z332" s="1850">
        <f t="shared" si="131"/>
        <v>-294.14650615832466</v>
      </c>
      <c r="AA332" s="1850">
        <f t="shared" si="132"/>
        <v>15.216870436694411</v>
      </c>
      <c r="AB332" s="2733"/>
      <c r="AC332" s="3009"/>
    </row>
    <row r="333" spans="1:29" ht="18.75" x14ac:dyDescent="0.25">
      <c r="A333" s="2982"/>
      <c r="B333" s="2753"/>
      <c r="C333" s="1863">
        <v>2066</v>
      </c>
      <c r="D333" s="218">
        <f t="shared" si="133"/>
        <v>-260795.41749080844</v>
      </c>
      <c r="E333" s="221">
        <f t="shared" si="123"/>
        <v>153347.70548459538</v>
      </c>
      <c r="F333" s="221">
        <f t="shared" si="124"/>
        <v>-6236.7920115839406</v>
      </c>
      <c r="G333" s="218">
        <f t="shared" si="134"/>
        <v>-84.758510684512757</v>
      </c>
      <c r="H333" s="218">
        <f t="shared" si="135"/>
        <v>-63.112491032775637</v>
      </c>
      <c r="I333" s="218">
        <f t="shared" si="136"/>
        <v>130.39770874540434</v>
      </c>
      <c r="J333" s="218">
        <f t="shared" si="137"/>
        <v>-199.1825001086049</v>
      </c>
      <c r="K333" s="218">
        <f t="shared" si="138"/>
        <v>-521.59083498161681</v>
      </c>
      <c r="L333" s="218">
        <f t="shared" si="139"/>
        <v>586.78968935431806</v>
      </c>
      <c r="M333" s="192">
        <f t="shared" si="125"/>
        <v>-113.68450401779701</v>
      </c>
      <c r="N333" s="211">
        <v>97</v>
      </c>
      <c r="O333" s="211">
        <f>'Emission-Waste Transport Vehicl'!N80</f>
        <v>12.855180512592</v>
      </c>
      <c r="P333" s="211">
        <f>'Emission-Waste Transport Vehicl'!O80</f>
        <v>18.701610390143998</v>
      </c>
      <c r="Q333" s="211">
        <f>'Emission-Waste Transport Vehicl'!P80</f>
        <v>7.1524082567520004</v>
      </c>
      <c r="R333" s="211">
        <f>'Emission-Waste Transport Vehicl'!Q80</f>
        <v>5.5547613728639993</v>
      </c>
      <c r="S333" s="211">
        <f>'Emission-Waste Transport Vehicl'!R80</f>
        <v>0.55286418052800002</v>
      </c>
      <c r="T333" s="211">
        <f>'Emission-Waste Transport Vehicl'!S80</f>
        <v>2.5423045781760002E-2</v>
      </c>
      <c r="U333" s="1850">
        <f t="shared" si="126"/>
        <v>-11027.396889726309</v>
      </c>
      <c r="V333" s="1850">
        <f t="shared" si="127"/>
        <v>-1089.5859548278693</v>
      </c>
      <c r="W333" s="1850">
        <f t="shared" si="128"/>
        <v>-1180.3052180464267</v>
      </c>
      <c r="X333" s="1850">
        <f t="shared" si="129"/>
        <v>932.65764869217253</v>
      </c>
      <c r="Y333" s="1850">
        <f t="shared" si="130"/>
        <v>-1106.4112577537578</v>
      </c>
      <c r="Z333" s="1850">
        <f t="shared" si="131"/>
        <v>-288.36888955302686</v>
      </c>
      <c r="AA333" s="1850">
        <f t="shared" si="132"/>
        <v>14.917981136719558</v>
      </c>
      <c r="AB333" s="2733"/>
      <c r="AC333" s="3009"/>
    </row>
    <row r="334" spans="1:29" ht="18.75" x14ac:dyDescent="0.25">
      <c r="A334" s="2982"/>
      <c r="B334" s="2753"/>
      <c r="C334" s="1863">
        <v>2067</v>
      </c>
      <c r="D334" s="218">
        <f t="shared" si="133"/>
        <v>-260795.41749080844</v>
      </c>
      <c r="E334" s="221">
        <f t="shared" si="123"/>
        <v>153347.70548459538</v>
      </c>
      <c r="F334" s="221">
        <f t="shared" si="124"/>
        <v>-6236.7920115839406</v>
      </c>
      <c r="G334" s="218">
        <f t="shared" si="134"/>
        <v>-84.758510684512757</v>
      </c>
      <c r="H334" s="218">
        <f t="shared" si="135"/>
        <v>-63.112491032775637</v>
      </c>
      <c r="I334" s="218">
        <f t="shared" si="136"/>
        <v>130.39770874540434</v>
      </c>
      <c r="J334" s="218">
        <f t="shared" si="137"/>
        <v>-199.1825001086049</v>
      </c>
      <c r="K334" s="218">
        <f t="shared" si="138"/>
        <v>-521.59083498161681</v>
      </c>
      <c r="L334" s="218">
        <f t="shared" si="139"/>
        <v>586.78968935431806</v>
      </c>
      <c r="M334" s="192">
        <f t="shared" si="125"/>
        <v>-113.68450401779701</v>
      </c>
      <c r="N334" s="211">
        <v>97</v>
      </c>
      <c r="O334" s="211">
        <f>'Emission-Waste Transport Vehicl'!N81</f>
        <v>12.600880720560001</v>
      </c>
      <c r="P334" s="211">
        <f>'Emission-Waste Transport Vehicl'!O81</f>
        <v>18.331657153920002</v>
      </c>
      <c r="Q334" s="211">
        <f>'Emission-Waste Transport Vehicl'!P81</f>
        <v>7.0109200893600008</v>
      </c>
      <c r="R334" s="211">
        <f>'Emission-Waste Transport Vehicl'!Q81</f>
        <v>5.4448776835200006</v>
      </c>
      <c r="S334" s="211">
        <f>'Emission-Waste Transport Vehicl'!R81</f>
        <v>0.5419274810400001</v>
      </c>
      <c r="T334" s="211">
        <f>'Emission-Waste Transport Vehicl'!S81</f>
        <v>2.4920129836800003E-2</v>
      </c>
      <c r="U334" s="1850">
        <f t="shared" si="126"/>
        <v>-11027.396889726309</v>
      </c>
      <c r="V334" s="1850">
        <f t="shared" si="127"/>
        <v>-1068.0318831878556</v>
      </c>
      <c r="W334" s="1850">
        <f t="shared" si="128"/>
        <v>-1156.9565477426934</v>
      </c>
      <c r="X334" s="1850">
        <f t="shared" si="129"/>
        <v>914.20791584966958</v>
      </c>
      <c r="Y334" s="1850">
        <f t="shared" si="130"/>
        <v>-1084.5243497890629</v>
      </c>
      <c r="Z334" s="1850">
        <f t="shared" si="131"/>
        <v>-282.66440733513798</v>
      </c>
      <c r="AA334" s="1850">
        <f t="shared" si="132"/>
        <v>14.622875245605147</v>
      </c>
      <c r="AB334" s="2733"/>
      <c r="AC334" s="3009"/>
    </row>
    <row r="335" spans="1:29" ht="18.75" x14ac:dyDescent="0.25">
      <c r="A335" s="2982"/>
      <c r="B335" s="2753"/>
      <c r="C335" s="1863">
        <v>2068</v>
      </c>
      <c r="D335" s="218">
        <f t="shared" si="133"/>
        <v>-260795.41749080844</v>
      </c>
      <c r="E335" s="221">
        <f t="shared" si="123"/>
        <v>153347.70548459538</v>
      </c>
      <c r="F335" s="221">
        <f t="shared" si="124"/>
        <v>-6236.7920115839406</v>
      </c>
      <c r="G335" s="218">
        <f t="shared" si="134"/>
        <v>-84.758510684512757</v>
      </c>
      <c r="H335" s="218">
        <f t="shared" si="135"/>
        <v>-63.112491032775637</v>
      </c>
      <c r="I335" s="218">
        <f t="shared" si="136"/>
        <v>130.39770874540434</v>
      </c>
      <c r="J335" s="218">
        <f t="shared" si="137"/>
        <v>-199.1825001086049</v>
      </c>
      <c r="K335" s="218">
        <f t="shared" si="138"/>
        <v>-521.59083498161681</v>
      </c>
      <c r="L335" s="218">
        <f t="shared" si="139"/>
        <v>586.78968935431806</v>
      </c>
      <c r="M335" s="192">
        <f t="shared" si="125"/>
        <v>-113.68450401779701</v>
      </c>
      <c r="N335" s="211">
        <v>97</v>
      </c>
      <c r="O335" s="211">
        <f>'Emission-Waste Transport Vehicl'!N82</f>
        <v>12.356361689760002</v>
      </c>
      <c r="P335" s="211">
        <f>'Emission-Waste Transport Vehicl'!O82</f>
        <v>17.975932888320003</v>
      </c>
      <c r="Q335" s="211">
        <f>'Emission-Waste Transport Vehicl'!P82</f>
        <v>6.8748737745600002</v>
      </c>
      <c r="R335" s="211">
        <f>'Emission-Waste Transport Vehicl'!Q82</f>
        <v>5.339220289920001</v>
      </c>
      <c r="S335" s="211">
        <f>'Emission-Waste Transport Vehicl'!R82</f>
        <v>0.53141142384000006</v>
      </c>
      <c r="T335" s="211">
        <f>'Emission-Waste Transport Vehicl'!S82</f>
        <v>2.4436556812800003E-2</v>
      </c>
      <c r="U335" s="1850">
        <f t="shared" si="126"/>
        <v>-11027.396889726309</v>
      </c>
      <c r="V335" s="1850">
        <f t="shared" si="127"/>
        <v>-1047.3068143032272</v>
      </c>
      <c r="W335" s="1850">
        <f t="shared" si="128"/>
        <v>-1134.5059032198728</v>
      </c>
      <c r="X335" s="1850">
        <f t="shared" si="129"/>
        <v>896.46778811649347</v>
      </c>
      <c r="Y335" s="1850">
        <f t="shared" si="130"/>
        <v>-1063.479245976856</v>
      </c>
      <c r="Z335" s="1850">
        <f t="shared" si="131"/>
        <v>-277.1793282794755</v>
      </c>
      <c r="AA335" s="1850">
        <f t="shared" si="132"/>
        <v>14.339119581072058</v>
      </c>
      <c r="AB335" s="2733"/>
      <c r="AC335" s="3009"/>
    </row>
    <row r="336" spans="1:29" ht="19.5" thickBot="1" x14ac:dyDescent="0.3">
      <c r="A336" s="2983"/>
      <c r="B336" s="2455"/>
      <c r="C336" s="1866">
        <v>2069</v>
      </c>
      <c r="D336" s="327">
        <f t="shared" si="133"/>
        <v>-260795.41749080844</v>
      </c>
      <c r="E336" s="648">
        <f t="shared" si="123"/>
        <v>153347.70548459538</v>
      </c>
      <c r="F336" s="648">
        <f t="shared" si="124"/>
        <v>-6236.7920115839406</v>
      </c>
      <c r="G336" s="327">
        <f t="shared" si="134"/>
        <v>-84.758510684512757</v>
      </c>
      <c r="H336" s="327">
        <f t="shared" si="135"/>
        <v>-63.112491032775637</v>
      </c>
      <c r="I336" s="327">
        <f t="shared" si="136"/>
        <v>130.39770874540434</v>
      </c>
      <c r="J336" s="327">
        <f t="shared" si="137"/>
        <v>-199.1825001086049</v>
      </c>
      <c r="K336" s="327">
        <f t="shared" si="138"/>
        <v>-521.59083498161681</v>
      </c>
      <c r="L336" s="327">
        <f t="shared" si="139"/>
        <v>586.78968935431806</v>
      </c>
      <c r="M336" s="219">
        <f t="shared" si="125"/>
        <v>-113.68450401779701</v>
      </c>
      <c r="N336" s="646">
        <v>97</v>
      </c>
      <c r="O336" s="646">
        <f>'Emission-Waste Transport Vehicl'!N83</f>
        <v>12.111842658960002</v>
      </c>
      <c r="P336" s="646">
        <f>'Emission-Waste Transport Vehicl'!O83</f>
        <v>17.62020862272</v>
      </c>
      <c r="Q336" s="646">
        <f>'Emission-Waste Transport Vehicl'!P83</f>
        <v>6.7388274597600004</v>
      </c>
      <c r="R336" s="646">
        <f>'Emission-Waste Transport Vehicl'!Q83</f>
        <v>5.2335628963200005</v>
      </c>
      <c r="S336" s="646">
        <f>'Emission-Waste Transport Vehicl'!R83</f>
        <v>0.52089536664000002</v>
      </c>
      <c r="T336" s="646">
        <f>'Emission-Waste Transport Vehicl'!S83</f>
        <v>2.3952983788800002E-2</v>
      </c>
      <c r="U336" s="1847">
        <f t="shared" si="126"/>
        <v>-11027.396889726309</v>
      </c>
      <c r="V336" s="1847">
        <f t="shared" si="127"/>
        <v>-1026.5817454185988</v>
      </c>
      <c r="W336" s="1847">
        <f t="shared" si="128"/>
        <v>-1112.0552586970518</v>
      </c>
      <c r="X336" s="1847">
        <f t="shared" si="129"/>
        <v>878.72766038331758</v>
      </c>
      <c r="Y336" s="1847">
        <f t="shared" si="130"/>
        <v>-1042.4341421646491</v>
      </c>
      <c r="Z336" s="1847">
        <f t="shared" si="131"/>
        <v>-271.69424922381302</v>
      </c>
      <c r="AA336" s="1847">
        <f t="shared" si="132"/>
        <v>14.055363916538969</v>
      </c>
      <c r="AB336" s="2734"/>
      <c r="AC336" s="3009"/>
    </row>
    <row r="337" spans="1:29" ht="18.75" x14ac:dyDescent="0.25">
      <c r="A337" s="3007" t="s">
        <v>181</v>
      </c>
      <c r="B337" s="2752" t="s">
        <v>1802</v>
      </c>
      <c r="C337" s="1862">
        <v>2019</v>
      </c>
      <c r="D337" s="216">
        <f t="shared" ref="D337:D368" si="140">$AC$12</f>
        <v>-400305.25528107223</v>
      </c>
      <c r="E337" s="216">
        <f>$AB$12*28</f>
        <v>17499.058302286874</v>
      </c>
      <c r="F337" s="216">
        <f>$AD$12*298</f>
        <v>0</v>
      </c>
      <c r="G337" s="216">
        <f t="shared" ref="G337:G368" si="141">$Y$12</f>
        <v>-12.254242508604248</v>
      </c>
      <c r="H337" s="216">
        <f t="shared" ref="H337:H368" si="142">$Z$12</f>
        <v>-12.254242508604248</v>
      </c>
      <c r="I337" s="216">
        <f t="shared" ref="I337:I368" si="143">$X$12</f>
        <v>-253.25434517782119</v>
      </c>
      <c r="J337" s="216">
        <f t="shared" ref="J337:J368" si="144">$AA$12</f>
        <v>-8.1694950057361684</v>
      </c>
      <c r="K337" s="216">
        <f t="shared" ref="K337:L356" si="145">$V$12</f>
        <v>-490.16970034417011</v>
      </c>
      <c r="L337" s="216">
        <f t="shared" si="145"/>
        <v>-490.16970034417011</v>
      </c>
      <c r="M337" s="217">
        <f t="shared" ref="M337:M368" si="146">$W$12</f>
        <v>-3745.7134601300322</v>
      </c>
      <c r="N337" s="643">
        <v>62</v>
      </c>
      <c r="O337" s="643">
        <f>'Emission-Waste Transport Vehicl'!N33</f>
        <v>32.602537440000006</v>
      </c>
      <c r="P337" s="643">
        <f>'Emission-Waste Transport Vehicl'!O33</f>
        <v>47.429902080000005</v>
      </c>
      <c r="Q337" s="643">
        <f>'Emission-Waste Transport Vehicl'!P33</f>
        <v>18.139508640000003</v>
      </c>
      <c r="R337" s="643">
        <f>'Emission-Waste Transport Vehicl'!Q33</f>
        <v>14.087652480000001</v>
      </c>
      <c r="S337" s="643">
        <f>'Emission-Waste Transport Vehicl'!R33</f>
        <v>1.4021409600000001</v>
      </c>
      <c r="T337" s="643">
        <f>'Emission-Waste Transport Vehicl'!S33</f>
        <v>6.4476403200000004E-2</v>
      </c>
      <c r="U337" s="644">
        <f t="shared" si="126"/>
        <v>-232234.23452806199</v>
      </c>
      <c r="V337" s="644">
        <f t="shared" si="127"/>
        <v>-399.51940018560958</v>
      </c>
      <c r="W337" s="644">
        <f t="shared" si="128"/>
        <v>-581.21752224767306</v>
      </c>
      <c r="X337" s="644">
        <f t="shared" si="129"/>
        <v>-4593.9093824706306</v>
      </c>
      <c r="Y337" s="644">
        <f t="shared" si="130"/>
        <v>-115.08900657790676</v>
      </c>
      <c r="Z337" s="644">
        <f t="shared" si="131"/>
        <v>-687.28701420348705</v>
      </c>
      <c r="AA337" s="644">
        <f t="shared" si="132"/>
        <v>-31.604379235813894</v>
      </c>
      <c r="AB337" s="2732">
        <f>(SUM(U337:U387)*1.2682)+(SUM(V337:V387))+(SUM(W337:W387))+(SUM(X337:X387))+(SUM(Y337:Y387))+(SUM(Z337:Z387))+(SUM(AA337:AA387))</f>
        <v>-21085404.433107138</v>
      </c>
      <c r="AC337" s="3009"/>
    </row>
    <row r="338" spans="1:29" ht="18.75" x14ac:dyDescent="0.25">
      <c r="A338" s="2982"/>
      <c r="B338" s="2753"/>
      <c r="C338" s="1863">
        <v>2020</v>
      </c>
      <c r="D338" s="218">
        <f t="shared" si="140"/>
        <v>-400305.25528107223</v>
      </c>
      <c r="E338" s="218">
        <f t="shared" ref="E338:E387" si="147">$AB$12*28</f>
        <v>17499.058302286874</v>
      </c>
      <c r="F338" s="218">
        <f t="shared" ref="F338:F387" si="148">$AD$12*298</f>
        <v>0</v>
      </c>
      <c r="G338" s="218">
        <f t="shared" si="141"/>
        <v>-12.254242508604248</v>
      </c>
      <c r="H338" s="218">
        <f t="shared" si="142"/>
        <v>-12.254242508604248</v>
      </c>
      <c r="I338" s="218">
        <f t="shared" si="143"/>
        <v>-253.25434517782119</v>
      </c>
      <c r="J338" s="218">
        <f t="shared" si="144"/>
        <v>-8.1694950057361684</v>
      </c>
      <c r="K338" s="218">
        <f t="shared" si="145"/>
        <v>-490.16970034417011</v>
      </c>
      <c r="L338" s="218">
        <f t="shared" si="145"/>
        <v>-490.16970034417011</v>
      </c>
      <c r="M338" s="192">
        <f t="shared" si="146"/>
        <v>-3745.7134601300322</v>
      </c>
      <c r="N338" s="211">
        <v>64</v>
      </c>
      <c r="O338" s="211">
        <f>'Emission-Waste Transport Vehicl'!N34</f>
        <v>31.963527706176006</v>
      </c>
      <c r="P338" s="211">
        <f>'Emission-Waste Transport Vehicl'!O34</f>
        <v>46.500275999232002</v>
      </c>
      <c r="Q338" s="211">
        <f>'Emission-Waste Transport Vehicl'!P34</f>
        <v>17.783974270656003</v>
      </c>
      <c r="R338" s="211">
        <f>'Emission-Waste Transport Vehicl'!Q34</f>
        <v>13.811534491392001</v>
      </c>
      <c r="S338" s="211">
        <f>'Emission-Waste Transport Vehicl'!R34</f>
        <v>1.3746589971840002</v>
      </c>
      <c r="T338" s="211">
        <f>'Emission-Waste Transport Vehicl'!S34</f>
        <v>6.3212665697280013E-2</v>
      </c>
      <c r="U338" s="1850">
        <f t="shared" si="126"/>
        <v>-239725.66144832206</v>
      </c>
      <c r="V338" s="1850">
        <f t="shared" si="127"/>
        <v>-391.68881994197164</v>
      </c>
      <c r="W338" s="1850">
        <f t="shared" si="128"/>
        <v>-569.82565881161872</v>
      </c>
      <c r="X338" s="1850">
        <f t="shared" si="129"/>
        <v>-4503.8687585742064</v>
      </c>
      <c r="Y338" s="1850">
        <f t="shared" si="130"/>
        <v>-112.83326204897978</v>
      </c>
      <c r="Z338" s="1850">
        <f t="shared" si="131"/>
        <v>-673.81618872509875</v>
      </c>
      <c r="AA338" s="1850">
        <f t="shared" si="132"/>
        <v>-30.984933402791945</v>
      </c>
      <c r="AB338" s="2733"/>
      <c r="AC338" s="3009"/>
    </row>
    <row r="339" spans="1:29" ht="18.75" x14ac:dyDescent="0.25">
      <c r="A339" s="2982"/>
      <c r="B339" s="2753"/>
      <c r="C339" s="1863">
        <v>2021</v>
      </c>
      <c r="D339" s="218">
        <f t="shared" si="140"/>
        <v>-400305.25528107223</v>
      </c>
      <c r="E339" s="218">
        <f t="shared" si="147"/>
        <v>17499.058302286874</v>
      </c>
      <c r="F339" s="218">
        <f t="shared" si="148"/>
        <v>0</v>
      </c>
      <c r="G339" s="218">
        <f t="shared" si="141"/>
        <v>-12.254242508604248</v>
      </c>
      <c r="H339" s="218">
        <f t="shared" si="142"/>
        <v>-12.254242508604248</v>
      </c>
      <c r="I339" s="218">
        <f t="shared" si="143"/>
        <v>-253.25434517782119</v>
      </c>
      <c r="J339" s="218">
        <f t="shared" si="144"/>
        <v>-8.1694950057361684</v>
      </c>
      <c r="K339" s="218">
        <f t="shared" si="145"/>
        <v>-490.16970034417011</v>
      </c>
      <c r="L339" s="218">
        <f t="shared" si="145"/>
        <v>-490.16970034417011</v>
      </c>
      <c r="M339" s="192">
        <f t="shared" si="146"/>
        <v>-3745.7134601300322</v>
      </c>
      <c r="N339" s="211">
        <v>65</v>
      </c>
      <c r="O339" s="211">
        <f>'Emission-Waste Transport Vehicl'!N35</f>
        <v>31.337558987328006</v>
      </c>
      <c r="P339" s="211">
        <f>'Emission-Waste Transport Vehicl'!O35</f>
        <v>45.589621879296011</v>
      </c>
      <c r="Q339" s="211">
        <f>'Emission-Waste Transport Vehicl'!P35</f>
        <v>17.435695704768001</v>
      </c>
      <c r="R339" s="211">
        <f>'Emission-Waste Transport Vehicl'!Q35</f>
        <v>13.541051563776001</v>
      </c>
      <c r="S339" s="211">
        <f>'Emission-Waste Transport Vehicl'!R35</f>
        <v>1.3477378907520003</v>
      </c>
      <c r="T339" s="211">
        <f>'Emission-Waste Transport Vehicl'!S35</f>
        <v>6.1974718755840007E-2</v>
      </c>
      <c r="U339" s="1850">
        <f t="shared" si="126"/>
        <v>-243471.3749084521</v>
      </c>
      <c r="V339" s="1850">
        <f t="shared" si="127"/>
        <v>-384.01804745840792</v>
      </c>
      <c r="W339" s="1850">
        <f t="shared" si="128"/>
        <v>-558.66628238446344</v>
      </c>
      <c r="X339" s="1850">
        <f t="shared" si="129"/>
        <v>-4415.6656984307701</v>
      </c>
      <c r="Y339" s="1850">
        <f t="shared" si="130"/>
        <v>-110.62355312268397</v>
      </c>
      <c r="Z339" s="1850">
        <f t="shared" si="131"/>
        <v>-660.62027805239188</v>
      </c>
      <c r="AA339" s="1850">
        <f t="shared" si="132"/>
        <v>-30.378129321464314</v>
      </c>
      <c r="AB339" s="2733"/>
      <c r="AC339" s="3009"/>
    </row>
    <row r="340" spans="1:29" ht="18.75" x14ac:dyDescent="0.25">
      <c r="A340" s="2982"/>
      <c r="B340" s="2753"/>
      <c r="C340" s="1863">
        <v>2022</v>
      </c>
      <c r="D340" s="218">
        <f t="shared" si="140"/>
        <v>-400305.25528107223</v>
      </c>
      <c r="E340" s="218">
        <f t="shared" si="147"/>
        <v>17499.058302286874</v>
      </c>
      <c r="F340" s="218">
        <f t="shared" si="148"/>
        <v>0</v>
      </c>
      <c r="G340" s="218">
        <f t="shared" si="141"/>
        <v>-12.254242508604248</v>
      </c>
      <c r="H340" s="218">
        <f t="shared" si="142"/>
        <v>-12.254242508604248</v>
      </c>
      <c r="I340" s="218">
        <f t="shared" si="143"/>
        <v>-253.25434517782119</v>
      </c>
      <c r="J340" s="218">
        <f t="shared" si="144"/>
        <v>-8.1694950057361684</v>
      </c>
      <c r="K340" s="218">
        <f t="shared" si="145"/>
        <v>-490.16970034417011</v>
      </c>
      <c r="L340" s="218">
        <f t="shared" si="145"/>
        <v>-490.16970034417011</v>
      </c>
      <c r="M340" s="192">
        <f t="shared" si="146"/>
        <v>-3745.7134601300322</v>
      </c>
      <c r="N340" s="211">
        <v>66</v>
      </c>
      <c r="O340" s="211">
        <f>'Emission-Waste Transport Vehicl'!N36</f>
        <v>30.721371029712003</v>
      </c>
      <c r="P340" s="211">
        <f>'Emission-Waste Transport Vehicl'!O36</f>
        <v>44.693196729984003</v>
      </c>
      <c r="Q340" s="211">
        <f>'Emission-Waste Transport Vehicl'!P36</f>
        <v>17.092858991472003</v>
      </c>
      <c r="R340" s="211">
        <f>'Emission-Waste Transport Vehicl'!Q36</f>
        <v>13.274794931903999</v>
      </c>
      <c r="S340" s="211">
        <f>'Emission-Waste Transport Vehicl'!R36</f>
        <v>1.3212374266080003</v>
      </c>
      <c r="T340" s="211">
        <f>'Emission-Waste Transport Vehicl'!S36</f>
        <v>6.0756114735360002E-2</v>
      </c>
      <c r="U340" s="1850">
        <f t="shared" si="126"/>
        <v>-247217.08836858213</v>
      </c>
      <c r="V340" s="1850">
        <f t="shared" si="127"/>
        <v>-376.4671307948999</v>
      </c>
      <c r="W340" s="1850">
        <f t="shared" si="128"/>
        <v>-547.68127121398231</v>
      </c>
      <c r="X340" s="1850">
        <f t="shared" si="129"/>
        <v>-4328.8408111020753</v>
      </c>
      <c r="Y340" s="1850">
        <f t="shared" si="130"/>
        <v>-108.44837089836152</v>
      </c>
      <c r="Z340" s="1850">
        <f t="shared" si="131"/>
        <v>-647.63055348394596</v>
      </c>
      <c r="AA340" s="1850">
        <f t="shared" si="132"/>
        <v>-29.780806553907432</v>
      </c>
      <c r="AB340" s="2733"/>
      <c r="AC340" s="3009"/>
    </row>
    <row r="341" spans="1:29" ht="18.75" x14ac:dyDescent="0.25">
      <c r="A341" s="2982"/>
      <c r="B341" s="2753"/>
      <c r="C341" s="1863">
        <v>2023</v>
      </c>
      <c r="D341" s="218">
        <f t="shared" si="140"/>
        <v>-400305.25528107223</v>
      </c>
      <c r="E341" s="218">
        <f t="shared" si="147"/>
        <v>17499.058302286874</v>
      </c>
      <c r="F341" s="218">
        <f t="shared" si="148"/>
        <v>0</v>
      </c>
      <c r="G341" s="218">
        <f t="shared" si="141"/>
        <v>-12.254242508604248</v>
      </c>
      <c r="H341" s="218">
        <f t="shared" si="142"/>
        <v>-12.254242508604248</v>
      </c>
      <c r="I341" s="218">
        <f t="shared" si="143"/>
        <v>-253.25434517782119</v>
      </c>
      <c r="J341" s="218">
        <f t="shared" si="144"/>
        <v>-8.1694950057361684</v>
      </c>
      <c r="K341" s="218">
        <f t="shared" si="145"/>
        <v>-490.16970034417011</v>
      </c>
      <c r="L341" s="218">
        <f t="shared" si="145"/>
        <v>-490.16970034417011</v>
      </c>
      <c r="M341" s="192">
        <f t="shared" si="146"/>
        <v>-3745.7134601300322</v>
      </c>
      <c r="N341" s="211">
        <v>67</v>
      </c>
      <c r="O341" s="211">
        <f>'Emission-Waste Transport Vehicl'!N37</f>
        <v>30.118224087072001</v>
      </c>
      <c r="P341" s="211">
        <f>'Emission-Waste Transport Vehicl'!O37</f>
        <v>43.815743541504006</v>
      </c>
      <c r="Q341" s="211">
        <f>'Emission-Waste Transport Vehicl'!P37</f>
        <v>16.757278081632002</v>
      </c>
      <c r="R341" s="211">
        <f>'Emission-Waste Transport Vehicl'!Q37</f>
        <v>13.014173361024</v>
      </c>
      <c r="S341" s="211">
        <f>'Emission-Waste Transport Vehicl'!R37</f>
        <v>1.295297818848</v>
      </c>
      <c r="T341" s="211">
        <f>'Emission-Waste Transport Vehicl'!S37</f>
        <v>5.9563301276160004E-2</v>
      </c>
      <c r="U341" s="1850">
        <f t="shared" si="126"/>
        <v>-250962.80182871217</v>
      </c>
      <c r="V341" s="1850">
        <f t="shared" si="127"/>
        <v>-369.0760218914661</v>
      </c>
      <c r="W341" s="1850">
        <f t="shared" si="128"/>
        <v>-536.92874705240047</v>
      </c>
      <c r="X341" s="1850">
        <f t="shared" si="129"/>
        <v>-4243.8534875263686</v>
      </c>
      <c r="Y341" s="1850">
        <f t="shared" si="130"/>
        <v>-106.31922427667025</v>
      </c>
      <c r="Z341" s="1850">
        <f t="shared" si="131"/>
        <v>-634.91574372118134</v>
      </c>
      <c r="AA341" s="1850">
        <f t="shared" si="132"/>
        <v>-29.196125538044875</v>
      </c>
      <c r="AB341" s="2733"/>
      <c r="AC341" s="3009"/>
    </row>
    <row r="342" spans="1:29" ht="18.75" x14ac:dyDescent="0.25">
      <c r="A342" s="2982"/>
      <c r="B342" s="2753"/>
      <c r="C342" s="1863">
        <v>2024</v>
      </c>
      <c r="D342" s="218">
        <f t="shared" si="140"/>
        <v>-400305.25528107223</v>
      </c>
      <c r="E342" s="218">
        <f t="shared" si="147"/>
        <v>17499.058302286874</v>
      </c>
      <c r="F342" s="218">
        <f t="shared" si="148"/>
        <v>0</v>
      </c>
      <c r="G342" s="218">
        <f t="shared" si="141"/>
        <v>-12.254242508604248</v>
      </c>
      <c r="H342" s="218">
        <f t="shared" si="142"/>
        <v>-12.254242508604248</v>
      </c>
      <c r="I342" s="218">
        <f t="shared" si="143"/>
        <v>-253.25434517782119</v>
      </c>
      <c r="J342" s="218">
        <f t="shared" si="144"/>
        <v>-8.1694950057361684</v>
      </c>
      <c r="K342" s="218">
        <f t="shared" si="145"/>
        <v>-490.16970034417011</v>
      </c>
      <c r="L342" s="218">
        <f t="shared" si="145"/>
        <v>-490.16970034417011</v>
      </c>
      <c r="M342" s="192">
        <f t="shared" si="146"/>
        <v>-3745.7134601300322</v>
      </c>
      <c r="N342" s="211">
        <v>68</v>
      </c>
      <c r="O342" s="211">
        <f>'Emission-Waste Transport Vehicl'!N38</f>
        <v>29.528118159408002</v>
      </c>
      <c r="P342" s="211">
        <f>'Emission-Waste Transport Vehicl'!O38</f>
        <v>42.957262313856006</v>
      </c>
      <c r="Q342" s="211">
        <f>'Emission-Waste Transport Vehicl'!P38</f>
        <v>16.428952975248002</v>
      </c>
      <c r="R342" s="211">
        <f>'Emission-Waste Transport Vehicl'!Q38</f>
        <v>12.759186851135999</v>
      </c>
      <c r="S342" s="211">
        <f>'Emission-Waste Transport Vehicl'!R38</f>
        <v>1.269919067472</v>
      </c>
      <c r="T342" s="211">
        <f>'Emission-Waste Transport Vehicl'!S38</f>
        <v>5.8396278378240005E-2</v>
      </c>
      <c r="U342" s="1850">
        <f t="shared" si="126"/>
        <v>-254708.5152888422</v>
      </c>
      <c r="V342" s="1850">
        <f t="shared" si="127"/>
        <v>-361.84472074810657</v>
      </c>
      <c r="W342" s="1850">
        <f t="shared" si="128"/>
        <v>-526.40870989971756</v>
      </c>
      <c r="X342" s="1850">
        <f t="shared" si="129"/>
        <v>-4160.7037277036497</v>
      </c>
      <c r="Y342" s="1850">
        <f t="shared" si="130"/>
        <v>-104.23611325761013</v>
      </c>
      <c r="Z342" s="1850">
        <f t="shared" si="131"/>
        <v>-622.47584876409815</v>
      </c>
      <c r="AA342" s="1850">
        <f t="shared" si="132"/>
        <v>-28.624086273876642</v>
      </c>
      <c r="AB342" s="2733"/>
      <c r="AC342" s="3009"/>
    </row>
    <row r="343" spans="1:29" ht="18.75" x14ac:dyDescent="0.25">
      <c r="A343" s="2982"/>
      <c r="B343" s="2753"/>
      <c r="C343" s="1863">
        <v>2025</v>
      </c>
      <c r="D343" s="218">
        <f t="shared" si="140"/>
        <v>-400305.25528107223</v>
      </c>
      <c r="E343" s="218">
        <f t="shared" si="147"/>
        <v>17499.058302286874</v>
      </c>
      <c r="F343" s="218">
        <f t="shared" si="148"/>
        <v>0</v>
      </c>
      <c r="G343" s="218">
        <f t="shared" si="141"/>
        <v>-12.254242508604248</v>
      </c>
      <c r="H343" s="218">
        <f t="shared" si="142"/>
        <v>-12.254242508604248</v>
      </c>
      <c r="I343" s="218">
        <f t="shared" si="143"/>
        <v>-253.25434517782119</v>
      </c>
      <c r="J343" s="218">
        <f t="shared" si="144"/>
        <v>-8.1694950057361684</v>
      </c>
      <c r="K343" s="218">
        <f t="shared" si="145"/>
        <v>-490.16970034417011</v>
      </c>
      <c r="L343" s="218">
        <f t="shared" si="145"/>
        <v>-490.16970034417011</v>
      </c>
      <c r="M343" s="192">
        <f t="shared" si="146"/>
        <v>-3745.7134601300322</v>
      </c>
      <c r="N343" s="211">
        <v>69</v>
      </c>
      <c r="O343" s="211">
        <f>'Emission-Waste Transport Vehicl'!N39</f>
        <v>28.951053246720004</v>
      </c>
      <c r="P343" s="211">
        <f>'Emission-Waste Transport Vehicl'!O39</f>
        <v>42.117753047040004</v>
      </c>
      <c r="Q343" s="211">
        <f>'Emission-Waste Transport Vehicl'!P39</f>
        <v>16.10788367232</v>
      </c>
      <c r="R343" s="211">
        <f>'Emission-Waste Transport Vehicl'!Q39</f>
        <v>12.50983540224</v>
      </c>
      <c r="S343" s="211">
        <f>'Emission-Waste Transport Vehicl'!R39</f>
        <v>1.2451011724800001</v>
      </c>
      <c r="T343" s="211">
        <f>'Emission-Waste Transport Vehicl'!S39</f>
        <v>5.7255046041600005E-2</v>
      </c>
      <c r="U343" s="1850">
        <f t="shared" si="126"/>
        <v>-258454.22874897224</v>
      </c>
      <c r="V343" s="1850">
        <f t="shared" si="127"/>
        <v>-354.77322736482131</v>
      </c>
      <c r="W343" s="1850">
        <f t="shared" si="128"/>
        <v>-516.12115975593372</v>
      </c>
      <c r="X343" s="1850">
        <f t="shared" si="129"/>
        <v>-4079.3915316339194</v>
      </c>
      <c r="Y343" s="1850">
        <f t="shared" si="130"/>
        <v>-102.19903784118119</v>
      </c>
      <c r="Z343" s="1850">
        <f t="shared" si="131"/>
        <v>-610.31086861269648</v>
      </c>
      <c r="AA343" s="1850">
        <f t="shared" si="132"/>
        <v>-28.064688761402738</v>
      </c>
      <c r="AB343" s="2733"/>
      <c r="AC343" s="3009"/>
    </row>
    <row r="344" spans="1:29" ht="18.75" x14ac:dyDescent="0.25">
      <c r="A344" s="2982"/>
      <c r="B344" s="2753"/>
      <c r="C344" s="1863">
        <v>2026</v>
      </c>
      <c r="D344" s="218">
        <f t="shared" si="140"/>
        <v>-400305.25528107223</v>
      </c>
      <c r="E344" s="218">
        <f t="shared" si="147"/>
        <v>17499.058302286874</v>
      </c>
      <c r="F344" s="218">
        <f t="shared" si="148"/>
        <v>0</v>
      </c>
      <c r="G344" s="218">
        <f t="shared" si="141"/>
        <v>-12.254242508604248</v>
      </c>
      <c r="H344" s="218">
        <f t="shared" si="142"/>
        <v>-12.254242508604248</v>
      </c>
      <c r="I344" s="218">
        <f t="shared" si="143"/>
        <v>-253.25434517782119</v>
      </c>
      <c r="J344" s="218">
        <f t="shared" si="144"/>
        <v>-8.1694950057361684</v>
      </c>
      <c r="K344" s="218">
        <f t="shared" si="145"/>
        <v>-490.16970034417011</v>
      </c>
      <c r="L344" s="218">
        <f t="shared" si="145"/>
        <v>-490.16970034417011</v>
      </c>
      <c r="M344" s="192">
        <f t="shared" si="146"/>
        <v>-3745.7134601300322</v>
      </c>
      <c r="N344" s="211">
        <v>70</v>
      </c>
      <c r="O344" s="211">
        <f>'Emission-Waste Transport Vehicl'!N40</f>
        <v>28.383769095264007</v>
      </c>
      <c r="P344" s="211">
        <f>'Emission-Waste Transport Vehicl'!O40</f>
        <v>41.292472750848006</v>
      </c>
      <c r="Q344" s="211">
        <f>'Emission-Waste Transport Vehicl'!P40</f>
        <v>15.792256221984003</v>
      </c>
      <c r="R344" s="211">
        <f>'Emission-Waste Transport Vehicl'!Q40</f>
        <v>12.264710249088001</v>
      </c>
      <c r="S344" s="211">
        <f>'Emission-Waste Transport Vehicl'!R40</f>
        <v>1.2207039197760001</v>
      </c>
      <c r="T344" s="211">
        <f>'Emission-Waste Transport Vehicl'!S40</f>
        <v>5.6133156625920007E-2</v>
      </c>
      <c r="U344" s="1850">
        <f t="shared" si="126"/>
        <v>-262199.94220910227</v>
      </c>
      <c r="V344" s="1850">
        <f t="shared" si="127"/>
        <v>-347.82158980159176</v>
      </c>
      <c r="W344" s="1850">
        <f t="shared" si="128"/>
        <v>-506.00797486882425</v>
      </c>
      <c r="X344" s="1850">
        <f t="shared" si="129"/>
        <v>-3999.4575083789309</v>
      </c>
      <c r="Y344" s="1850">
        <f t="shared" si="130"/>
        <v>-100.19648912672562</v>
      </c>
      <c r="Z344" s="1850">
        <f t="shared" si="131"/>
        <v>-598.35207456555588</v>
      </c>
      <c r="AA344" s="1850">
        <f t="shared" si="132"/>
        <v>-27.514772562699576</v>
      </c>
      <c r="AB344" s="2733"/>
      <c r="AC344" s="3009"/>
    </row>
    <row r="345" spans="1:29" ht="18.75" x14ac:dyDescent="0.25">
      <c r="A345" s="2982"/>
      <c r="B345" s="2753"/>
      <c r="C345" s="1863">
        <v>2027</v>
      </c>
      <c r="D345" s="218">
        <f t="shared" si="140"/>
        <v>-400305.25528107223</v>
      </c>
      <c r="E345" s="218">
        <f t="shared" si="147"/>
        <v>17499.058302286874</v>
      </c>
      <c r="F345" s="218">
        <f t="shared" si="148"/>
        <v>0</v>
      </c>
      <c r="G345" s="218">
        <f t="shared" si="141"/>
        <v>-12.254242508604248</v>
      </c>
      <c r="H345" s="218">
        <f t="shared" si="142"/>
        <v>-12.254242508604248</v>
      </c>
      <c r="I345" s="218">
        <f t="shared" si="143"/>
        <v>-253.25434517782119</v>
      </c>
      <c r="J345" s="218">
        <f t="shared" si="144"/>
        <v>-8.1694950057361684</v>
      </c>
      <c r="K345" s="218">
        <f t="shared" si="145"/>
        <v>-490.16970034417011</v>
      </c>
      <c r="L345" s="218">
        <f t="shared" si="145"/>
        <v>-490.16970034417011</v>
      </c>
      <c r="M345" s="192">
        <f t="shared" si="146"/>
        <v>-3745.7134601300322</v>
      </c>
      <c r="N345" s="211">
        <v>71</v>
      </c>
      <c r="O345" s="211">
        <f>'Emission-Waste Transport Vehicl'!N41</f>
        <v>27.826265705040004</v>
      </c>
      <c r="P345" s="211">
        <f>'Emission-Waste Transport Vehicl'!O41</f>
        <v>40.481421425280004</v>
      </c>
      <c r="Q345" s="211">
        <f>'Emission-Waste Transport Vehicl'!P41</f>
        <v>15.482070624240002</v>
      </c>
      <c r="R345" s="211">
        <f>'Emission-Waste Transport Vehicl'!Q41</f>
        <v>12.023811391680001</v>
      </c>
      <c r="S345" s="211">
        <f>'Emission-Waste Transport Vehicl'!R41</f>
        <v>1.1967273093600002</v>
      </c>
      <c r="T345" s="211">
        <f>'Emission-Waste Transport Vehicl'!S41</f>
        <v>5.503061013120001E-2</v>
      </c>
      <c r="U345" s="1850">
        <f t="shared" si="126"/>
        <v>-265945.65566923231</v>
      </c>
      <c r="V345" s="1850">
        <f t="shared" si="127"/>
        <v>-340.98980805841779</v>
      </c>
      <c r="W345" s="1850">
        <f t="shared" si="128"/>
        <v>-496.06915523838899</v>
      </c>
      <c r="X345" s="1850">
        <f t="shared" si="129"/>
        <v>-3920.901657938683</v>
      </c>
      <c r="Y345" s="1850">
        <f t="shared" si="130"/>
        <v>-98.228467114243415</v>
      </c>
      <c r="Z345" s="1850">
        <f t="shared" si="131"/>
        <v>-586.59946662267623</v>
      </c>
      <c r="AA345" s="1850">
        <f t="shared" si="132"/>
        <v>-26.97433767776716</v>
      </c>
      <c r="AB345" s="2733"/>
      <c r="AC345" s="3009"/>
    </row>
    <row r="346" spans="1:29" ht="18.75" x14ac:dyDescent="0.25">
      <c r="A346" s="2982"/>
      <c r="B346" s="2753"/>
      <c r="C346" s="1863">
        <v>2028</v>
      </c>
      <c r="D346" s="218">
        <f t="shared" si="140"/>
        <v>-400305.25528107223</v>
      </c>
      <c r="E346" s="218">
        <f t="shared" si="147"/>
        <v>17499.058302286874</v>
      </c>
      <c r="F346" s="218">
        <f t="shared" si="148"/>
        <v>0</v>
      </c>
      <c r="G346" s="218">
        <f t="shared" si="141"/>
        <v>-12.254242508604248</v>
      </c>
      <c r="H346" s="218">
        <f t="shared" si="142"/>
        <v>-12.254242508604248</v>
      </c>
      <c r="I346" s="218">
        <f t="shared" si="143"/>
        <v>-253.25434517782119</v>
      </c>
      <c r="J346" s="218">
        <f t="shared" si="144"/>
        <v>-8.1694950057361684</v>
      </c>
      <c r="K346" s="218">
        <f t="shared" si="145"/>
        <v>-490.16970034417011</v>
      </c>
      <c r="L346" s="218">
        <f t="shared" si="145"/>
        <v>-490.16970034417011</v>
      </c>
      <c r="M346" s="192">
        <f t="shared" si="146"/>
        <v>-3745.7134601300322</v>
      </c>
      <c r="N346" s="211">
        <v>72</v>
      </c>
      <c r="O346" s="211">
        <f>'Emission-Waste Transport Vehicl'!N42</f>
        <v>27.281803329792002</v>
      </c>
      <c r="P346" s="211">
        <f>'Emission-Waste Transport Vehicl'!O42</f>
        <v>39.689342060544</v>
      </c>
      <c r="Q346" s="211">
        <f>'Emission-Waste Transport Vehicl'!P42</f>
        <v>15.179140829952001</v>
      </c>
      <c r="R346" s="211">
        <f>'Emission-Waste Transport Vehicl'!Q42</f>
        <v>11.788547595263999</v>
      </c>
      <c r="S346" s="211">
        <f>'Emission-Waste Transport Vehicl'!R42</f>
        <v>1.173311555328</v>
      </c>
      <c r="T346" s="211">
        <f>'Emission-Waste Transport Vehicl'!S42</f>
        <v>5.3953854197759998E-2</v>
      </c>
      <c r="U346" s="1850">
        <f t="shared" si="126"/>
        <v>-269691.36912936234</v>
      </c>
      <c r="V346" s="1850">
        <f t="shared" si="127"/>
        <v>-334.31783407531805</v>
      </c>
      <c r="W346" s="1850">
        <f t="shared" si="128"/>
        <v>-486.36282261685278</v>
      </c>
      <c r="X346" s="1850">
        <f t="shared" si="129"/>
        <v>-3844.1833712514231</v>
      </c>
      <c r="Y346" s="1850">
        <f t="shared" si="130"/>
        <v>-96.306480704392357</v>
      </c>
      <c r="Z346" s="1850">
        <f t="shared" si="131"/>
        <v>-575.12177348547789</v>
      </c>
      <c r="AA346" s="1850">
        <f t="shared" si="132"/>
        <v>-26.446544544529061</v>
      </c>
      <c r="AB346" s="2733"/>
      <c r="AC346" s="3009"/>
    </row>
    <row r="347" spans="1:29" ht="18.75" x14ac:dyDescent="0.25">
      <c r="A347" s="2982"/>
      <c r="B347" s="2753"/>
      <c r="C347" s="1863">
        <v>2029</v>
      </c>
      <c r="D347" s="218">
        <f t="shared" si="140"/>
        <v>-400305.25528107223</v>
      </c>
      <c r="E347" s="218">
        <f t="shared" si="147"/>
        <v>17499.058302286874</v>
      </c>
      <c r="F347" s="218">
        <f t="shared" si="148"/>
        <v>0</v>
      </c>
      <c r="G347" s="218">
        <f t="shared" si="141"/>
        <v>-12.254242508604248</v>
      </c>
      <c r="H347" s="218">
        <f t="shared" si="142"/>
        <v>-12.254242508604248</v>
      </c>
      <c r="I347" s="218">
        <f t="shared" si="143"/>
        <v>-253.25434517782119</v>
      </c>
      <c r="J347" s="218">
        <f t="shared" si="144"/>
        <v>-8.1694950057361684</v>
      </c>
      <c r="K347" s="218">
        <f t="shared" si="145"/>
        <v>-490.16970034417011</v>
      </c>
      <c r="L347" s="218">
        <f t="shared" si="145"/>
        <v>-490.16970034417011</v>
      </c>
      <c r="M347" s="192">
        <f t="shared" si="146"/>
        <v>-3745.7134601300322</v>
      </c>
      <c r="N347" s="211">
        <v>73</v>
      </c>
      <c r="O347" s="211">
        <f>'Emission-Waste Transport Vehicl'!N43</f>
        <v>26.743861462032005</v>
      </c>
      <c r="P347" s="211">
        <f>'Emission-Waste Transport Vehicl'!O43</f>
        <v>38.906748676224005</v>
      </c>
      <c r="Q347" s="211">
        <f>'Emission-Waste Transport Vehicl'!P43</f>
        <v>14.879838937392002</v>
      </c>
      <c r="R347" s="211">
        <f>'Emission-Waste Transport Vehicl'!Q43</f>
        <v>11.556101329344001</v>
      </c>
      <c r="S347" s="211">
        <f>'Emission-Waste Transport Vehicl'!R43</f>
        <v>1.1501762294880002</v>
      </c>
      <c r="T347" s="211">
        <f>'Emission-Waste Transport Vehicl'!S43</f>
        <v>5.2889993544960004E-2</v>
      </c>
      <c r="U347" s="1850">
        <f t="shared" si="126"/>
        <v>-273437.08258949238</v>
      </c>
      <c r="V347" s="1850">
        <f t="shared" si="127"/>
        <v>-327.72576397225555</v>
      </c>
      <c r="W347" s="1850">
        <f t="shared" si="128"/>
        <v>-476.77273349976628</v>
      </c>
      <c r="X347" s="1850">
        <f t="shared" si="129"/>
        <v>-3768.383866440658</v>
      </c>
      <c r="Y347" s="1850">
        <f t="shared" si="130"/>
        <v>-94.407512095856916</v>
      </c>
      <c r="Z347" s="1850">
        <f t="shared" si="131"/>
        <v>-563.78153775112048</v>
      </c>
      <c r="AA347" s="1850">
        <f t="shared" si="132"/>
        <v>-25.925072287138136</v>
      </c>
      <c r="AB347" s="2733"/>
      <c r="AC347" s="3009"/>
    </row>
    <row r="348" spans="1:29" ht="18.75" x14ac:dyDescent="0.25">
      <c r="A348" s="2982"/>
      <c r="B348" s="2753"/>
      <c r="C348" s="1863">
        <v>2030</v>
      </c>
      <c r="D348" s="218">
        <f t="shared" si="140"/>
        <v>-400305.25528107223</v>
      </c>
      <c r="E348" s="218">
        <f t="shared" si="147"/>
        <v>17499.058302286874</v>
      </c>
      <c r="F348" s="218">
        <f t="shared" si="148"/>
        <v>0</v>
      </c>
      <c r="G348" s="218">
        <f t="shared" si="141"/>
        <v>-12.254242508604248</v>
      </c>
      <c r="H348" s="218">
        <f t="shared" si="142"/>
        <v>-12.254242508604248</v>
      </c>
      <c r="I348" s="218">
        <f t="shared" si="143"/>
        <v>-253.25434517782119</v>
      </c>
      <c r="J348" s="218">
        <f t="shared" si="144"/>
        <v>-8.1694950057361684</v>
      </c>
      <c r="K348" s="218">
        <f t="shared" si="145"/>
        <v>-490.16970034417011</v>
      </c>
      <c r="L348" s="218">
        <f t="shared" si="145"/>
        <v>-490.16970034417011</v>
      </c>
      <c r="M348" s="192">
        <f t="shared" si="146"/>
        <v>-3745.7134601300322</v>
      </c>
      <c r="N348" s="211">
        <v>75</v>
      </c>
      <c r="O348" s="211">
        <f>'Emission-Waste Transport Vehicl'!N44</f>
        <v>26.222220862992003</v>
      </c>
      <c r="P348" s="211">
        <f>'Emission-Waste Transport Vehicl'!O44</f>
        <v>38.147870242944002</v>
      </c>
      <c r="Q348" s="211">
        <f>'Emission-Waste Transport Vehicl'!P44</f>
        <v>14.589606799152003</v>
      </c>
      <c r="R348" s="211">
        <f>'Emission-Waste Transport Vehicl'!Q44</f>
        <v>11.330698889664001</v>
      </c>
      <c r="S348" s="211">
        <f>'Emission-Waste Transport Vehicl'!R44</f>
        <v>1.1277419741280001</v>
      </c>
      <c r="T348" s="211">
        <f>'Emission-Waste Transport Vehicl'!S44</f>
        <v>5.1858371093760007E-2</v>
      </c>
      <c r="U348" s="1850">
        <f t="shared" si="126"/>
        <v>-280928.50950975239</v>
      </c>
      <c r="V348" s="1850">
        <f t="shared" si="127"/>
        <v>-321.33345356928578</v>
      </c>
      <c r="W348" s="1850">
        <f t="shared" si="128"/>
        <v>-467.47325314380345</v>
      </c>
      <c r="X348" s="1850">
        <f t="shared" si="129"/>
        <v>-3694.8813163211285</v>
      </c>
      <c r="Y348" s="1850">
        <f t="shared" si="130"/>
        <v>-92.566087990610399</v>
      </c>
      <c r="Z348" s="1850">
        <f t="shared" si="131"/>
        <v>-552.78494552386462</v>
      </c>
      <c r="AA348" s="1850">
        <f t="shared" si="132"/>
        <v>-25.419402219365114</v>
      </c>
      <c r="AB348" s="2733"/>
      <c r="AC348" s="3009"/>
    </row>
    <row r="349" spans="1:29" ht="18.75" x14ac:dyDescent="0.25">
      <c r="A349" s="2982"/>
      <c r="B349" s="2753"/>
      <c r="C349" s="1863">
        <v>2031</v>
      </c>
      <c r="D349" s="218">
        <f t="shared" si="140"/>
        <v>-400305.25528107223</v>
      </c>
      <c r="E349" s="218">
        <f t="shared" si="147"/>
        <v>17499.058302286874</v>
      </c>
      <c r="F349" s="218">
        <f t="shared" si="148"/>
        <v>0</v>
      </c>
      <c r="G349" s="218">
        <f t="shared" si="141"/>
        <v>-12.254242508604248</v>
      </c>
      <c r="H349" s="218">
        <f t="shared" si="142"/>
        <v>-12.254242508604248</v>
      </c>
      <c r="I349" s="218">
        <f t="shared" si="143"/>
        <v>-253.25434517782119</v>
      </c>
      <c r="J349" s="218">
        <f t="shared" si="144"/>
        <v>-8.1694950057361684</v>
      </c>
      <c r="K349" s="218">
        <f t="shared" si="145"/>
        <v>-490.16970034417011</v>
      </c>
      <c r="L349" s="218">
        <f t="shared" si="145"/>
        <v>-490.16970034417011</v>
      </c>
      <c r="M349" s="192">
        <f t="shared" si="146"/>
        <v>-3745.7134601300322</v>
      </c>
      <c r="N349" s="211">
        <v>76</v>
      </c>
      <c r="O349" s="211">
        <f>'Emission-Waste Transport Vehicl'!N45</f>
        <v>25.70710077144</v>
      </c>
      <c r="P349" s="211">
        <f>'Emission-Waste Transport Vehicl'!O45</f>
        <v>37.398477790080001</v>
      </c>
      <c r="Q349" s="211">
        <f>'Emission-Waste Transport Vehicl'!P45</f>
        <v>14.303002562640001</v>
      </c>
      <c r="R349" s="211">
        <f>'Emission-Waste Transport Vehicl'!Q45</f>
        <v>11.108113980480001</v>
      </c>
      <c r="S349" s="211">
        <f>'Emission-Waste Transport Vehicl'!R45</f>
        <v>1.1055881469600002</v>
      </c>
      <c r="T349" s="211">
        <f>'Emission-Waste Transport Vehicl'!S45</f>
        <v>5.0839643923200006E-2</v>
      </c>
      <c r="U349" s="1850">
        <f t="shared" si="126"/>
        <v>-284674.22296988242</v>
      </c>
      <c r="V349" s="1850">
        <f t="shared" si="127"/>
        <v>-315.02104704635309</v>
      </c>
      <c r="W349" s="1850">
        <f t="shared" si="128"/>
        <v>-458.2900162922902</v>
      </c>
      <c r="X349" s="1850">
        <f t="shared" si="129"/>
        <v>-3622.2975480780919</v>
      </c>
      <c r="Y349" s="1850">
        <f t="shared" si="130"/>
        <v>-90.747681686679471</v>
      </c>
      <c r="Z349" s="1850">
        <f t="shared" si="131"/>
        <v>-541.92581069944958</v>
      </c>
      <c r="AA349" s="1850">
        <f t="shared" si="132"/>
        <v>-24.920053027439256</v>
      </c>
      <c r="AB349" s="2733"/>
      <c r="AC349" s="3009"/>
    </row>
    <row r="350" spans="1:29" ht="18.75" x14ac:dyDescent="0.25">
      <c r="A350" s="2982"/>
      <c r="B350" s="2753"/>
      <c r="C350" s="1863">
        <v>2032</v>
      </c>
      <c r="D350" s="218">
        <f t="shared" si="140"/>
        <v>-400305.25528107223</v>
      </c>
      <c r="E350" s="218">
        <f t="shared" si="147"/>
        <v>17499.058302286874</v>
      </c>
      <c r="F350" s="218">
        <f t="shared" si="148"/>
        <v>0</v>
      </c>
      <c r="G350" s="218">
        <f t="shared" si="141"/>
        <v>-12.254242508604248</v>
      </c>
      <c r="H350" s="218">
        <f t="shared" si="142"/>
        <v>-12.254242508604248</v>
      </c>
      <c r="I350" s="218">
        <f t="shared" si="143"/>
        <v>-253.25434517782119</v>
      </c>
      <c r="J350" s="218">
        <f t="shared" si="144"/>
        <v>-8.1694950057361684</v>
      </c>
      <c r="K350" s="218">
        <f t="shared" si="145"/>
        <v>-490.16970034417011</v>
      </c>
      <c r="L350" s="218">
        <f t="shared" si="145"/>
        <v>-490.16970034417011</v>
      </c>
      <c r="M350" s="192">
        <f t="shared" si="146"/>
        <v>-3745.7134601300322</v>
      </c>
      <c r="N350" s="211">
        <v>77</v>
      </c>
      <c r="O350" s="211">
        <f>'Emission-Waste Transport Vehicl'!N46</f>
        <v>25.201761441120002</v>
      </c>
      <c r="P350" s="211">
        <f>'Emission-Waste Transport Vehicl'!O46</f>
        <v>36.663314307840004</v>
      </c>
      <c r="Q350" s="211">
        <f>'Emission-Waste Transport Vehicl'!P46</f>
        <v>14.021840178720002</v>
      </c>
      <c r="R350" s="211">
        <f>'Emission-Waste Transport Vehicl'!Q46</f>
        <v>10.889755367040001</v>
      </c>
      <c r="S350" s="211">
        <f>'Emission-Waste Transport Vehicl'!R46</f>
        <v>1.0838549620800002</v>
      </c>
      <c r="T350" s="211">
        <f>'Emission-Waste Transport Vehicl'!S46</f>
        <v>4.9840259673600007E-2</v>
      </c>
      <c r="U350" s="1850">
        <f t="shared" si="126"/>
        <v>-288419.93643001246</v>
      </c>
      <c r="V350" s="1850">
        <f t="shared" si="127"/>
        <v>-308.82849634347616</v>
      </c>
      <c r="W350" s="1850">
        <f t="shared" si="128"/>
        <v>-449.28114469745134</v>
      </c>
      <c r="X350" s="1850">
        <f t="shared" si="129"/>
        <v>-3551.0919526497973</v>
      </c>
      <c r="Y350" s="1850">
        <f t="shared" si="130"/>
        <v>-88.96380208472192</v>
      </c>
      <c r="Z350" s="1850">
        <f t="shared" si="131"/>
        <v>-531.27286197929561</v>
      </c>
      <c r="AA350" s="1850">
        <f t="shared" si="132"/>
        <v>-24.430185149284142</v>
      </c>
      <c r="AB350" s="2733"/>
      <c r="AC350" s="3009"/>
    </row>
    <row r="351" spans="1:29" ht="18.75" x14ac:dyDescent="0.25">
      <c r="A351" s="2982"/>
      <c r="B351" s="2753"/>
      <c r="C351" s="1863">
        <v>2033</v>
      </c>
      <c r="D351" s="218">
        <f t="shared" si="140"/>
        <v>-400305.25528107223</v>
      </c>
      <c r="E351" s="218">
        <f t="shared" si="147"/>
        <v>17499.058302286874</v>
      </c>
      <c r="F351" s="218">
        <f t="shared" si="148"/>
        <v>0</v>
      </c>
      <c r="G351" s="218">
        <f t="shared" si="141"/>
        <v>-12.254242508604248</v>
      </c>
      <c r="H351" s="218">
        <f t="shared" si="142"/>
        <v>-12.254242508604248</v>
      </c>
      <c r="I351" s="218">
        <f t="shared" si="143"/>
        <v>-253.25434517782119</v>
      </c>
      <c r="J351" s="218">
        <f t="shared" si="144"/>
        <v>-8.1694950057361684</v>
      </c>
      <c r="K351" s="218">
        <f t="shared" si="145"/>
        <v>-490.16970034417011</v>
      </c>
      <c r="L351" s="218">
        <f t="shared" si="145"/>
        <v>-490.16970034417011</v>
      </c>
      <c r="M351" s="192">
        <f t="shared" si="146"/>
        <v>-3745.7134601300322</v>
      </c>
      <c r="N351" s="211">
        <v>78</v>
      </c>
      <c r="O351" s="211">
        <f>'Emission-Waste Transport Vehicl'!N47</f>
        <v>24.709463125776001</v>
      </c>
      <c r="P351" s="211">
        <f>'Emission-Waste Transport Vehicl'!O47</f>
        <v>35.947122786432004</v>
      </c>
      <c r="Q351" s="211">
        <f>'Emission-Waste Transport Vehicl'!P47</f>
        <v>13.747933598256003</v>
      </c>
      <c r="R351" s="211">
        <f>'Emission-Waste Transport Vehicl'!Q47</f>
        <v>10.677031814592</v>
      </c>
      <c r="S351" s="211">
        <f>'Emission-Waste Transport Vehicl'!R47</f>
        <v>1.0626826335840001</v>
      </c>
      <c r="T351" s="211">
        <f>'Emission-Waste Transport Vehicl'!S47</f>
        <v>4.8866665985280007E-2</v>
      </c>
      <c r="U351" s="1850">
        <f t="shared" ref="U351:U414" si="149">M351*N351</f>
        <v>-292165.64989014249</v>
      </c>
      <c r="V351" s="1850">
        <f t="shared" ref="V351:V414" si="150">G351*O351</f>
        <v>-302.79575340067345</v>
      </c>
      <c r="W351" s="1850">
        <f t="shared" ref="W351:W414" si="151">H351*P351</f>
        <v>-440.50476011151147</v>
      </c>
      <c r="X351" s="1850">
        <f t="shared" ref="X351:X414" si="152">I351*Q351</f>
        <v>-3481.7239209744912</v>
      </c>
      <c r="Y351" s="1850">
        <f t="shared" ref="Y351:Y414" si="153">J351*R351</f>
        <v>-87.225958085395533</v>
      </c>
      <c r="Z351" s="1850">
        <f t="shared" ref="Z351:Z414" si="154">K351*S351</f>
        <v>-520.89482806482283</v>
      </c>
      <c r="AA351" s="1850">
        <f t="shared" ref="AA351:AA414" si="155">T351*L351</f>
        <v>-23.95295902282335</v>
      </c>
      <c r="AB351" s="2733"/>
      <c r="AC351" s="3009"/>
    </row>
    <row r="352" spans="1:29" ht="18.75" x14ac:dyDescent="0.25">
      <c r="A352" s="2982"/>
      <c r="B352" s="2753"/>
      <c r="C352" s="1863">
        <v>2034</v>
      </c>
      <c r="D352" s="218">
        <f t="shared" si="140"/>
        <v>-400305.25528107223</v>
      </c>
      <c r="E352" s="218">
        <f t="shared" si="147"/>
        <v>17499.058302286874</v>
      </c>
      <c r="F352" s="218">
        <f t="shared" si="148"/>
        <v>0</v>
      </c>
      <c r="G352" s="218">
        <f t="shared" si="141"/>
        <v>-12.254242508604248</v>
      </c>
      <c r="H352" s="218">
        <f t="shared" si="142"/>
        <v>-12.254242508604248</v>
      </c>
      <c r="I352" s="218">
        <f t="shared" si="143"/>
        <v>-253.25434517782119</v>
      </c>
      <c r="J352" s="218">
        <f t="shared" si="144"/>
        <v>-8.1694950057361684</v>
      </c>
      <c r="K352" s="218">
        <f t="shared" si="145"/>
        <v>-490.16970034417011</v>
      </c>
      <c r="L352" s="218">
        <f t="shared" si="145"/>
        <v>-490.16970034417011</v>
      </c>
      <c r="M352" s="192">
        <f t="shared" si="146"/>
        <v>-3745.7134601300322</v>
      </c>
      <c r="N352" s="211">
        <v>79</v>
      </c>
      <c r="O352" s="211">
        <f>'Emission-Waste Transport Vehicl'!N48</f>
        <v>24.223685317920005</v>
      </c>
      <c r="P352" s="211">
        <f>'Emission-Waste Transport Vehicl'!O48</f>
        <v>35.24041724544</v>
      </c>
      <c r="Q352" s="211">
        <f>'Emission-Waste Transport Vehicl'!P48</f>
        <v>13.477654919520001</v>
      </c>
      <c r="R352" s="211">
        <f>'Emission-Waste Transport Vehicl'!Q48</f>
        <v>10.467125792640001</v>
      </c>
      <c r="S352" s="211">
        <f>'Emission-Waste Transport Vehicl'!R48</f>
        <v>1.04179073328</v>
      </c>
      <c r="T352" s="211">
        <f>'Emission-Waste Transport Vehicl'!S48</f>
        <v>4.7905967577600003E-2</v>
      </c>
      <c r="U352" s="1850">
        <f t="shared" si="149"/>
        <v>-295911.36335027253</v>
      </c>
      <c r="V352" s="1850">
        <f t="shared" si="150"/>
        <v>-296.84291433790793</v>
      </c>
      <c r="W352" s="1850">
        <f t="shared" si="151"/>
        <v>-431.84461903002108</v>
      </c>
      <c r="X352" s="1850">
        <f t="shared" si="152"/>
        <v>-3413.2746711756781</v>
      </c>
      <c r="Y352" s="1850">
        <f t="shared" si="153"/>
        <v>-85.511131887384721</v>
      </c>
      <c r="Z352" s="1850">
        <f t="shared" si="154"/>
        <v>-510.65425155319087</v>
      </c>
      <c r="AA352" s="1850">
        <f t="shared" si="155"/>
        <v>-23.482053772209721</v>
      </c>
      <c r="AB352" s="2733"/>
      <c r="AC352" s="3009"/>
    </row>
    <row r="353" spans="1:29" ht="18.75" x14ac:dyDescent="0.25">
      <c r="A353" s="2982"/>
      <c r="B353" s="2753"/>
      <c r="C353" s="1863">
        <v>2035</v>
      </c>
      <c r="D353" s="218">
        <f t="shared" si="140"/>
        <v>-400305.25528107223</v>
      </c>
      <c r="E353" s="218">
        <f t="shared" si="147"/>
        <v>17499.058302286874</v>
      </c>
      <c r="F353" s="218">
        <f t="shared" si="148"/>
        <v>0</v>
      </c>
      <c r="G353" s="218">
        <f t="shared" si="141"/>
        <v>-12.254242508604248</v>
      </c>
      <c r="H353" s="218">
        <f t="shared" si="142"/>
        <v>-12.254242508604248</v>
      </c>
      <c r="I353" s="218">
        <f t="shared" si="143"/>
        <v>-253.25434517782119</v>
      </c>
      <c r="J353" s="218">
        <f t="shared" si="144"/>
        <v>-8.1694950057361684</v>
      </c>
      <c r="K353" s="218">
        <f t="shared" si="145"/>
        <v>-490.16970034417011</v>
      </c>
      <c r="L353" s="218">
        <f t="shared" si="145"/>
        <v>-490.16970034417011</v>
      </c>
      <c r="M353" s="192">
        <f t="shared" si="146"/>
        <v>-3745.7134601300322</v>
      </c>
      <c r="N353" s="211">
        <v>80</v>
      </c>
      <c r="O353" s="211">
        <f>'Emission-Waste Transport Vehicl'!N49</f>
        <v>23.747688271296006</v>
      </c>
      <c r="P353" s="211">
        <f>'Emission-Waste Transport Vehicl'!O49</f>
        <v>34.547940675072006</v>
      </c>
      <c r="Q353" s="211">
        <f>'Emission-Waste Transport Vehicl'!P49</f>
        <v>13.212818093376002</v>
      </c>
      <c r="R353" s="211">
        <f>'Emission-Waste Transport Vehicl'!Q49</f>
        <v>10.261446066432002</v>
      </c>
      <c r="S353" s="211">
        <f>'Emission-Waste Transport Vehicl'!R49</f>
        <v>1.0213194752640002</v>
      </c>
      <c r="T353" s="211">
        <f>'Emission-Waste Transport Vehicl'!S49</f>
        <v>4.6964612090880008E-2</v>
      </c>
      <c r="U353" s="1850">
        <f t="shared" si="149"/>
        <v>-299657.07681040256</v>
      </c>
      <c r="V353" s="1850">
        <f t="shared" si="150"/>
        <v>-291.00993109519806</v>
      </c>
      <c r="W353" s="1850">
        <f t="shared" si="151"/>
        <v>-423.35884320520512</v>
      </c>
      <c r="X353" s="1850">
        <f t="shared" si="152"/>
        <v>-3346.2035941916074</v>
      </c>
      <c r="Y353" s="1850">
        <f t="shared" si="153"/>
        <v>-83.8308323913473</v>
      </c>
      <c r="Z353" s="1850">
        <f t="shared" si="154"/>
        <v>-500.61986114582004</v>
      </c>
      <c r="AA353" s="1850">
        <f t="shared" si="155"/>
        <v>-23.02062983536684</v>
      </c>
      <c r="AB353" s="2733"/>
      <c r="AC353" s="3009"/>
    </row>
    <row r="354" spans="1:29" ht="18.75" x14ac:dyDescent="0.25">
      <c r="A354" s="2982"/>
      <c r="B354" s="2753"/>
      <c r="C354" s="1863">
        <v>2036</v>
      </c>
      <c r="D354" s="218">
        <f t="shared" si="140"/>
        <v>-400305.25528107223</v>
      </c>
      <c r="E354" s="218">
        <f t="shared" si="147"/>
        <v>17499.058302286874</v>
      </c>
      <c r="F354" s="218">
        <f t="shared" si="148"/>
        <v>0</v>
      </c>
      <c r="G354" s="218">
        <f t="shared" si="141"/>
        <v>-12.254242508604248</v>
      </c>
      <c r="H354" s="218">
        <f t="shared" si="142"/>
        <v>-12.254242508604248</v>
      </c>
      <c r="I354" s="218">
        <f t="shared" si="143"/>
        <v>-253.25434517782119</v>
      </c>
      <c r="J354" s="218">
        <f t="shared" si="144"/>
        <v>-8.1694950057361684</v>
      </c>
      <c r="K354" s="218">
        <f t="shared" si="145"/>
        <v>-490.16970034417011</v>
      </c>
      <c r="L354" s="218">
        <f t="shared" si="145"/>
        <v>-490.16970034417011</v>
      </c>
      <c r="M354" s="192">
        <f t="shared" si="146"/>
        <v>-3745.7134601300322</v>
      </c>
      <c r="N354" s="211">
        <v>81</v>
      </c>
      <c r="O354" s="211">
        <f>'Emission-Waste Transport Vehicl'!N50</f>
        <v>23.284732239648001</v>
      </c>
      <c r="P354" s="211">
        <f>'Emission-Waste Transport Vehicl'!O50</f>
        <v>33.874436065536003</v>
      </c>
      <c r="Q354" s="211">
        <f>'Emission-Waste Transport Vehicl'!P50</f>
        <v>12.955237070688</v>
      </c>
      <c r="R354" s="211">
        <f>'Emission-Waste Transport Vehicl'!Q50</f>
        <v>10.061401401215999</v>
      </c>
      <c r="S354" s="211">
        <f>'Emission-Waste Transport Vehicl'!R50</f>
        <v>1.001409073632</v>
      </c>
      <c r="T354" s="211">
        <f>'Emission-Waste Transport Vehicl'!S50</f>
        <v>4.6049047165439998E-2</v>
      </c>
      <c r="U354" s="1850">
        <f t="shared" si="149"/>
        <v>-303402.7902705326</v>
      </c>
      <c r="V354" s="1850">
        <f t="shared" si="150"/>
        <v>-285.33675561256234</v>
      </c>
      <c r="W354" s="1850">
        <f t="shared" si="151"/>
        <v>-415.1055543892881</v>
      </c>
      <c r="X354" s="1850">
        <f t="shared" si="152"/>
        <v>-3280.9700809605238</v>
      </c>
      <c r="Y354" s="1850">
        <f t="shared" si="153"/>
        <v>-82.196568497940987</v>
      </c>
      <c r="Z354" s="1850">
        <f t="shared" si="154"/>
        <v>-490.86038554413045</v>
      </c>
      <c r="AA354" s="1850">
        <f t="shared" si="155"/>
        <v>-22.571847650218281</v>
      </c>
      <c r="AB354" s="2733"/>
      <c r="AC354" s="3009"/>
    </row>
    <row r="355" spans="1:29" ht="18.75" x14ac:dyDescent="0.25">
      <c r="A355" s="2982"/>
      <c r="B355" s="2753"/>
      <c r="C355" s="1863">
        <v>2037</v>
      </c>
      <c r="D355" s="218">
        <f t="shared" si="140"/>
        <v>-400305.25528107223</v>
      </c>
      <c r="E355" s="218">
        <f t="shared" si="147"/>
        <v>17499.058302286874</v>
      </c>
      <c r="F355" s="218">
        <f t="shared" si="148"/>
        <v>0</v>
      </c>
      <c r="G355" s="218">
        <f t="shared" si="141"/>
        <v>-12.254242508604248</v>
      </c>
      <c r="H355" s="218">
        <f t="shared" si="142"/>
        <v>-12.254242508604248</v>
      </c>
      <c r="I355" s="218">
        <f t="shared" si="143"/>
        <v>-253.25434517782119</v>
      </c>
      <c r="J355" s="218">
        <f t="shared" si="144"/>
        <v>-8.1694950057361684</v>
      </c>
      <c r="K355" s="218">
        <f t="shared" si="145"/>
        <v>-490.16970034417011</v>
      </c>
      <c r="L355" s="218">
        <f t="shared" si="145"/>
        <v>-490.16970034417011</v>
      </c>
      <c r="M355" s="192">
        <f t="shared" si="146"/>
        <v>-3745.7134601300322</v>
      </c>
      <c r="N355" s="211">
        <v>83</v>
      </c>
      <c r="O355" s="211">
        <f>'Emission-Waste Transport Vehicl'!N51</f>
        <v>22.828296715488005</v>
      </c>
      <c r="P355" s="211">
        <f>'Emission-Waste Transport Vehicl'!O51</f>
        <v>33.210417436416002</v>
      </c>
      <c r="Q355" s="211">
        <f>'Emission-Waste Transport Vehicl'!P51</f>
        <v>12.701283949728003</v>
      </c>
      <c r="R355" s="211">
        <f>'Emission-Waste Transport Vehicl'!Q51</f>
        <v>9.8641742664960006</v>
      </c>
      <c r="S355" s="211">
        <f>'Emission-Waste Transport Vehicl'!R51</f>
        <v>0.9817791001920001</v>
      </c>
      <c r="T355" s="211">
        <f>'Emission-Waste Transport Vehicl'!S51</f>
        <v>4.5146377520640005E-2</v>
      </c>
      <c r="U355" s="1850">
        <f t="shared" si="149"/>
        <v>-310894.21719079267</v>
      </c>
      <c r="V355" s="1850">
        <f t="shared" si="150"/>
        <v>-279.74348400996382</v>
      </c>
      <c r="W355" s="1850">
        <f t="shared" si="151"/>
        <v>-406.96850907782067</v>
      </c>
      <c r="X355" s="1850">
        <f t="shared" si="152"/>
        <v>-3216.655349605936</v>
      </c>
      <c r="Y355" s="1850">
        <f t="shared" si="153"/>
        <v>-80.585322405850306</v>
      </c>
      <c r="Z355" s="1850">
        <f t="shared" si="154"/>
        <v>-481.23836734528163</v>
      </c>
      <c r="AA355" s="1850">
        <f t="shared" si="155"/>
        <v>-22.129386340916888</v>
      </c>
      <c r="AB355" s="2733"/>
      <c r="AC355" s="3009"/>
    </row>
    <row r="356" spans="1:29" ht="18.75" x14ac:dyDescent="0.25">
      <c r="A356" s="2982"/>
      <c r="B356" s="2753"/>
      <c r="C356" s="1863">
        <v>2038</v>
      </c>
      <c r="D356" s="218">
        <f t="shared" si="140"/>
        <v>-400305.25528107223</v>
      </c>
      <c r="E356" s="218">
        <f t="shared" si="147"/>
        <v>17499.058302286874</v>
      </c>
      <c r="F356" s="218">
        <f t="shared" si="148"/>
        <v>0</v>
      </c>
      <c r="G356" s="218">
        <f t="shared" si="141"/>
        <v>-12.254242508604248</v>
      </c>
      <c r="H356" s="218">
        <f t="shared" si="142"/>
        <v>-12.254242508604248</v>
      </c>
      <c r="I356" s="218">
        <f t="shared" si="143"/>
        <v>-253.25434517782119</v>
      </c>
      <c r="J356" s="218">
        <f t="shared" si="144"/>
        <v>-8.1694950057361684</v>
      </c>
      <c r="K356" s="218">
        <f t="shared" si="145"/>
        <v>-490.16970034417011</v>
      </c>
      <c r="L356" s="218">
        <f t="shared" si="145"/>
        <v>-490.16970034417011</v>
      </c>
      <c r="M356" s="192">
        <f t="shared" si="146"/>
        <v>-3745.7134601300322</v>
      </c>
      <c r="N356" s="211">
        <v>84</v>
      </c>
      <c r="O356" s="211">
        <f>'Emission-Waste Transport Vehicl'!N52</f>
        <v>22.378381698816003</v>
      </c>
      <c r="P356" s="211">
        <f>'Emission-Waste Transport Vehicl'!O52</f>
        <v>32.555884787712003</v>
      </c>
      <c r="Q356" s="211">
        <f>'Emission-Waste Transport Vehicl'!P52</f>
        <v>12.450958730496001</v>
      </c>
      <c r="R356" s="211">
        <f>'Emission-Waste Transport Vehicl'!Q52</f>
        <v>9.6697646622720015</v>
      </c>
      <c r="S356" s="211">
        <f>'Emission-Waste Transport Vehicl'!R52</f>
        <v>0.96242955494400007</v>
      </c>
      <c r="T356" s="211">
        <f>'Emission-Waste Transport Vehicl'!S52</f>
        <v>4.4256603156480001E-2</v>
      </c>
      <c r="U356" s="1850">
        <f t="shared" si="149"/>
        <v>-314639.9306509227</v>
      </c>
      <c r="V356" s="1850">
        <f t="shared" si="150"/>
        <v>-274.23011628740244</v>
      </c>
      <c r="W356" s="1850">
        <f t="shared" si="151"/>
        <v>-398.94770727080282</v>
      </c>
      <c r="X356" s="1850">
        <f t="shared" si="152"/>
        <v>-3153.2594001278408</v>
      </c>
      <c r="Y356" s="1850">
        <f t="shared" si="153"/>
        <v>-78.9970941150752</v>
      </c>
      <c r="Z356" s="1850">
        <f t="shared" si="154"/>
        <v>-471.75380654927352</v>
      </c>
      <c r="AA356" s="1850">
        <f t="shared" si="155"/>
        <v>-21.693245907462654</v>
      </c>
      <c r="AB356" s="2733"/>
      <c r="AC356" s="3009"/>
    </row>
    <row r="357" spans="1:29" ht="18.75" x14ac:dyDescent="0.25">
      <c r="A357" s="2982"/>
      <c r="B357" s="2753"/>
      <c r="C357" s="1863">
        <v>2039</v>
      </c>
      <c r="D357" s="218">
        <f t="shared" si="140"/>
        <v>-400305.25528107223</v>
      </c>
      <c r="E357" s="218">
        <f t="shared" si="147"/>
        <v>17499.058302286874</v>
      </c>
      <c r="F357" s="218">
        <f t="shared" si="148"/>
        <v>0</v>
      </c>
      <c r="G357" s="218">
        <f t="shared" si="141"/>
        <v>-12.254242508604248</v>
      </c>
      <c r="H357" s="218">
        <f t="shared" si="142"/>
        <v>-12.254242508604248</v>
      </c>
      <c r="I357" s="218">
        <f t="shared" si="143"/>
        <v>-253.25434517782119</v>
      </c>
      <c r="J357" s="218">
        <f t="shared" si="144"/>
        <v>-8.1694950057361684</v>
      </c>
      <c r="K357" s="218">
        <f t="shared" ref="K357:L376" si="156">$V$12</f>
        <v>-490.16970034417011</v>
      </c>
      <c r="L357" s="218">
        <f t="shared" si="156"/>
        <v>-490.16970034417011</v>
      </c>
      <c r="M357" s="192">
        <f t="shared" si="146"/>
        <v>-3745.7134601300322</v>
      </c>
      <c r="N357" s="211">
        <v>85</v>
      </c>
      <c r="O357" s="211">
        <f>'Emission-Waste Transport Vehicl'!N53</f>
        <v>21.941507697120006</v>
      </c>
      <c r="P357" s="211">
        <f>'Emission-Waste Transport Vehicl'!O53</f>
        <v>31.920324099840006</v>
      </c>
      <c r="Q357" s="211">
        <f>'Emission-Waste Transport Vehicl'!P53</f>
        <v>12.207889314720003</v>
      </c>
      <c r="R357" s="211">
        <f>'Emission-Waste Transport Vehicl'!Q53</f>
        <v>9.4809901190400012</v>
      </c>
      <c r="S357" s="211">
        <f>'Emission-Waste Transport Vehicl'!R53</f>
        <v>0.9436408660800002</v>
      </c>
      <c r="T357" s="211">
        <f>'Emission-Waste Transport Vehicl'!S53</f>
        <v>4.3392619353600011E-2</v>
      </c>
      <c r="U357" s="1850">
        <f t="shared" si="149"/>
        <v>-318385.64411105274</v>
      </c>
      <c r="V357" s="1850">
        <f t="shared" si="150"/>
        <v>-268.87655632491527</v>
      </c>
      <c r="W357" s="1850">
        <f t="shared" si="151"/>
        <v>-391.15939247268403</v>
      </c>
      <c r="X357" s="1850">
        <f t="shared" si="152"/>
        <v>-3091.7010144027345</v>
      </c>
      <c r="Y357" s="1850">
        <f t="shared" si="153"/>
        <v>-77.454901426931244</v>
      </c>
      <c r="Z357" s="1850">
        <f t="shared" si="154"/>
        <v>-462.54416055894683</v>
      </c>
      <c r="AA357" s="1850">
        <f t="shared" si="155"/>
        <v>-21.269747225702755</v>
      </c>
      <c r="AB357" s="2733"/>
      <c r="AC357" s="3009"/>
    </row>
    <row r="358" spans="1:29" ht="18.75" x14ac:dyDescent="0.25">
      <c r="A358" s="2982"/>
      <c r="B358" s="2753"/>
      <c r="C358" s="1863">
        <v>2040</v>
      </c>
      <c r="D358" s="218">
        <f t="shared" si="140"/>
        <v>-400305.25528107223</v>
      </c>
      <c r="E358" s="218">
        <f t="shared" si="147"/>
        <v>17499.058302286874</v>
      </c>
      <c r="F358" s="218">
        <f t="shared" si="148"/>
        <v>0</v>
      </c>
      <c r="G358" s="218">
        <f t="shared" si="141"/>
        <v>-12.254242508604248</v>
      </c>
      <c r="H358" s="218">
        <f t="shared" si="142"/>
        <v>-12.254242508604248</v>
      </c>
      <c r="I358" s="218">
        <f t="shared" si="143"/>
        <v>-253.25434517782119</v>
      </c>
      <c r="J358" s="218">
        <f t="shared" si="144"/>
        <v>-8.1694950057361684</v>
      </c>
      <c r="K358" s="218">
        <f t="shared" si="156"/>
        <v>-490.16970034417011</v>
      </c>
      <c r="L358" s="218">
        <f t="shared" si="156"/>
        <v>-490.16970034417011</v>
      </c>
      <c r="M358" s="192">
        <f t="shared" si="146"/>
        <v>-3745.7134601300322</v>
      </c>
      <c r="N358" s="211">
        <v>86</v>
      </c>
      <c r="O358" s="211">
        <f>'Emission-Waste Transport Vehicl'!N54</f>
        <v>21.511154202912003</v>
      </c>
      <c r="P358" s="211">
        <f>'Emission-Waste Transport Vehicl'!O54</f>
        <v>31.294249392384003</v>
      </c>
      <c r="Q358" s="211">
        <f>'Emission-Waste Transport Vehicl'!P54</f>
        <v>11.968447800672001</v>
      </c>
      <c r="R358" s="211">
        <f>'Emission-Waste Transport Vehicl'!Q54</f>
        <v>9.2950331063040004</v>
      </c>
      <c r="S358" s="211">
        <f>'Emission-Waste Transport Vehicl'!R54</f>
        <v>0.92513260540800013</v>
      </c>
      <c r="T358" s="211">
        <f>'Emission-Waste Transport Vehicl'!S54</f>
        <v>4.254153083136001E-2</v>
      </c>
      <c r="U358" s="1850">
        <f t="shared" si="149"/>
        <v>-322131.35757118277</v>
      </c>
      <c r="V358" s="1850">
        <f t="shared" si="150"/>
        <v>-263.60290024246518</v>
      </c>
      <c r="W358" s="1850">
        <f t="shared" si="151"/>
        <v>-383.48732117901471</v>
      </c>
      <c r="X358" s="1850">
        <f t="shared" si="152"/>
        <v>-3031.0614105541217</v>
      </c>
      <c r="Y358" s="1850">
        <f t="shared" si="153"/>
        <v>-75.935726540102877</v>
      </c>
      <c r="Z358" s="1850">
        <f t="shared" si="154"/>
        <v>-453.47197197146079</v>
      </c>
      <c r="AA358" s="1850">
        <f t="shared" si="155"/>
        <v>-20.852569419790012</v>
      </c>
      <c r="AB358" s="2733"/>
      <c r="AC358" s="3009"/>
    </row>
    <row r="359" spans="1:29" ht="18.75" x14ac:dyDescent="0.25">
      <c r="A359" s="2982"/>
      <c r="B359" s="2753"/>
      <c r="C359" s="1863">
        <v>2041</v>
      </c>
      <c r="D359" s="218">
        <f t="shared" si="140"/>
        <v>-400305.25528107223</v>
      </c>
      <c r="E359" s="218">
        <f t="shared" si="147"/>
        <v>17499.058302286874</v>
      </c>
      <c r="F359" s="218">
        <f t="shared" si="148"/>
        <v>0</v>
      </c>
      <c r="G359" s="218">
        <f t="shared" si="141"/>
        <v>-12.254242508604248</v>
      </c>
      <c r="H359" s="218">
        <f t="shared" si="142"/>
        <v>-12.254242508604248</v>
      </c>
      <c r="I359" s="218">
        <f t="shared" si="143"/>
        <v>-253.25434517782119</v>
      </c>
      <c r="J359" s="218">
        <f t="shared" si="144"/>
        <v>-8.1694950057361684</v>
      </c>
      <c r="K359" s="218">
        <f t="shared" si="156"/>
        <v>-490.16970034417011</v>
      </c>
      <c r="L359" s="218">
        <f t="shared" si="156"/>
        <v>-490.16970034417011</v>
      </c>
      <c r="M359" s="192">
        <f t="shared" si="146"/>
        <v>-3745.7134601300322</v>
      </c>
      <c r="N359" s="211">
        <v>87</v>
      </c>
      <c r="O359" s="211">
        <f>'Emission-Waste Transport Vehicl'!N55</f>
        <v>21.087321216192002</v>
      </c>
      <c r="P359" s="211">
        <f>'Emission-Waste Transport Vehicl'!O55</f>
        <v>30.677660665344007</v>
      </c>
      <c r="Q359" s="211">
        <f>'Emission-Waste Transport Vehicl'!P55</f>
        <v>11.732634188352002</v>
      </c>
      <c r="R359" s="211">
        <f>'Emission-Waste Transport Vehicl'!Q55</f>
        <v>9.1118936240640007</v>
      </c>
      <c r="S359" s="211">
        <f>'Emission-Waste Transport Vehicl'!R55</f>
        <v>0.9069047729280002</v>
      </c>
      <c r="T359" s="211">
        <f>'Emission-Waste Transport Vehicl'!S55</f>
        <v>4.1703337589760005E-2</v>
      </c>
      <c r="U359" s="1850">
        <f t="shared" si="149"/>
        <v>-325877.07103131281</v>
      </c>
      <c r="V359" s="1850">
        <f t="shared" si="150"/>
        <v>-258.40914804005229</v>
      </c>
      <c r="W359" s="1850">
        <f t="shared" si="151"/>
        <v>-375.93149338979504</v>
      </c>
      <c r="X359" s="1850">
        <f t="shared" si="152"/>
        <v>-2971.3405885820039</v>
      </c>
      <c r="Y359" s="1850">
        <f t="shared" si="153"/>
        <v>-74.439569454590085</v>
      </c>
      <c r="Z359" s="1850">
        <f t="shared" si="154"/>
        <v>-444.53724078681552</v>
      </c>
      <c r="AA359" s="1850">
        <f t="shared" si="155"/>
        <v>-20.441712489724427</v>
      </c>
      <c r="AB359" s="2733"/>
      <c r="AC359" s="3009"/>
    </row>
    <row r="360" spans="1:29" ht="18.75" x14ac:dyDescent="0.25">
      <c r="A360" s="2982"/>
      <c r="B360" s="2753"/>
      <c r="C360" s="1863">
        <v>2042</v>
      </c>
      <c r="D360" s="218">
        <f t="shared" si="140"/>
        <v>-400305.25528107223</v>
      </c>
      <c r="E360" s="218">
        <f t="shared" si="147"/>
        <v>17499.058302286874</v>
      </c>
      <c r="F360" s="218">
        <f t="shared" si="148"/>
        <v>0</v>
      </c>
      <c r="G360" s="218">
        <f t="shared" si="141"/>
        <v>-12.254242508604248</v>
      </c>
      <c r="H360" s="218">
        <f t="shared" si="142"/>
        <v>-12.254242508604248</v>
      </c>
      <c r="I360" s="218">
        <f t="shared" si="143"/>
        <v>-253.25434517782119</v>
      </c>
      <c r="J360" s="218">
        <f t="shared" si="144"/>
        <v>-8.1694950057361684</v>
      </c>
      <c r="K360" s="218">
        <f t="shared" si="156"/>
        <v>-490.16970034417011</v>
      </c>
      <c r="L360" s="218">
        <f t="shared" si="156"/>
        <v>-490.16970034417011</v>
      </c>
      <c r="M360" s="192">
        <f t="shared" si="146"/>
        <v>-3745.7134601300322</v>
      </c>
      <c r="N360" s="211">
        <v>88</v>
      </c>
      <c r="O360" s="211">
        <f>'Emission-Waste Transport Vehicl'!N56</f>
        <v>20.676529244448002</v>
      </c>
      <c r="P360" s="211">
        <f>'Emission-Waste Transport Vehicl'!O56</f>
        <v>30.080043899136001</v>
      </c>
      <c r="Q360" s="211">
        <f>'Emission-Waste Transport Vehicl'!P56</f>
        <v>11.504076379488001</v>
      </c>
      <c r="R360" s="211">
        <f>'Emission-Waste Transport Vehicl'!Q56</f>
        <v>8.9343892028159999</v>
      </c>
      <c r="S360" s="211">
        <f>'Emission-Waste Transport Vehicl'!R56</f>
        <v>0.8892377968320001</v>
      </c>
      <c r="T360" s="211">
        <f>'Emission-Waste Transport Vehicl'!S56</f>
        <v>4.0890934909439999E-2</v>
      </c>
      <c r="U360" s="1850">
        <f t="shared" si="149"/>
        <v>-329622.78449144284</v>
      </c>
      <c r="V360" s="1850">
        <f t="shared" si="150"/>
        <v>-253.37520359771358</v>
      </c>
      <c r="W360" s="1850">
        <f t="shared" si="151"/>
        <v>-368.60815260947425</v>
      </c>
      <c r="X360" s="1850">
        <f t="shared" si="152"/>
        <v>-2913.457330362874</v>
      </c>
      <c r="Y360" s="1850">
        <f t="shared" si="153"/>
        <v>-72.989447971708458</v>
      </c>
      <c r="Z360" s="1850">
        <f t="shared" si="154"/>
        <v>-435.87742440785149</v>
      </c>
      <c r="AA360" s="1850">
        <f t="shared" si="155"/>
        <v>-20.043497311353168</v>
      </c>
      <c r="AB360" s="2733"/>
      <c r="AC360" s="3009"/>
    </row>
    <row r="361" spans="1:29" ht="18.75" x14ac:dyDescent="0.25">
      <c r="A361" s="2982"/>
      <c r="B361" s="2753"/>
      <c r="C361" s="1863">
        <v>2043</v>
      </c>
      <c r="D361" s="218">
        <f t="shared" si="140"/>
        <v>-400305.25528107223</v>
      </c>
      <c r="E361" s="218">
        <f t="shared" si="147"/>
        <v>17499.058302286874</v>
      </c>
      <c r="F361" s="218">
        <f t="shared" si="148"/>
        <v>0</v>
      </c>
      <c r="G361" s="218">
        <f t="shared" si="141"/>
        <v>-12.254242508604248</v>
      </c>
      <c r="H361" s="218">
        <f t="shared" si="142"/>
        <v>-12.254242508604248</v>
      </c>
      <c r="I361" s="218">
        <f t="shared" si="143"/>
        <v>-253.25434517782119</v>
      </c>
      <c r="J361" s="218">
        <f t="shared" si="144"/>
        <v>-8.1694950057361684</v>
      </c>
      <c r="K361" s="218">
        <f t="shared" si="156"/>
        <v>-490.16970034417011</v>
      </c>
      <c r="L361" s="218">
        <f t="shared" si="156"/>
        <v>-490.16970034417011</v>
      </c>
      <c r="M361" s="192">
        <f t="shared" si="146"/>
        <v>-3745.7134601300322</v>
      </c>
      <c r="N361" s="211">
        <v>89</v>
      </c>
      <c r="O361" s="211">
        <f>'Emission-Waste Transport Vehicl'!N57</f>
        <v>20.268997526448004</v>
      </c>
      <c r="P361" s="211">
        <f>'Emission-Waste Transport Vehicl'!O57</f>
        <v>29.487170123136003</v>
      </c>
      <c r="Q361" s="211">
        <f>'Emission-Waste Transport Vehicl'!P57</f>
        <v>11.277332521488001</v>
      </c>
      <c r="R361" s="211">
        <f>'Emission-Waste Transport Vehicl'!Q57</f>
        <v>8.7582935468160006</v>
      </c>
      <c r="S361" s="211">
        <f>'Emission-Waste Transport Vehicl'!R57</f>
        <v>0.87171103483200019</v>
      </c>
      <c r="T361" s="211">
        <f>'Emission-Waste Transport Vehicl'!S57</f>
        <v>4.0084979869440006E-2</v>
      </c>
      <c r="U361" s="1850">
        <f t="shared" si="149"/>
        <v>-333368.49795157288</v>
      </c>
      <c r="V361" s="1850">
        <f t="shared" si="150"/>
        <v>-248.3812110953935</v>
      </c>
      <c r="W361" s="1850">
        <f t="shared" si="151"/>
        <v>-361.34293358137836</v>
      </c>
      <c r="X361" s="1850">
        <f t="shared" si="152"/>
        <v>-2856.0334630819907</v>
      </c>
      <c r="Y361" s="1850">
        <f t="shared" si="153"/>
        <v>-71.550835389484632</v>
      </c>
      <c r="Z361" s="1850">
        <f t="shared" si="154"/>
        <v>-427.28633673030794</v>
      </c>
      <c r="AA361" s="1850">
        <f t="shared" si="155"/>
        <v>-19.648442570905498</v>
      </c>
      <c r="AB361" s="2733"/>
      <c r="AC361" s="3009"/>
    </row>
    <row r="362" spans="1:29" ht="18.75" x14ac:dyDescent="0.25">
      <c r="A362" s="2982"/>
      <c r="B362" s="2753"/>
      <c r="C362" s="1863">
        <v>2044</v>
      </c>
      <c r="D362" s="218">
        <f t="shared" si="140"/>
        <v>-400305.25528107223</v>
      </c>
      <c r="E362" s="218">
        <f t="shared" si="147"/>
        <v>17499.058302286874</v>
      </c>
      <c r="F362" s="218">
        <f t="shared" si="148"/>
        <v>0</v>
      </c>
      <c r="G362" s="218">
        <f t="shared" si="141"/>
        <v>-12.254242508604248</v>
      </c>
      <c r="H362" s="218">
        <f t="shared" si="142"/>
        <v>-12.254242508604248</v>
      </c>
      <c r="I362" s="218">
        <f t="shared" si="143"/>
        <v>-253.25434517782119</v>
      </c>
      <c r="J362" s="218">
        <f t="shared" si="144"/>
        <v>-8.1694950057361684</v>
      </c>
      <c r="K362" s="218">
        <f t="shared" si="156"/>
        <v>-490.16970034417011</v>
      </c>
      <c r="L362" s="218">
        <f t="shared" si="156"/>
        <v>-490.16970034417011</v>
      </c>
      <c r="M362" s="192">
        <f t="shared" si="146"/>
        <v>-3745.7134601300322</v>
      </c>
      <c r="N362" s="211">
        <v>90</v>
      </c>
      <c r="O362" s="211">
        <f>'Emission-Waste Transport Vehicl'!N58</f>
        <v>19.871246569680004</v>
      </c>
      <c r="P362" s="211">
        <f>'Emission-Waste Transport Vehicl'!O58</f>
        <v>28.908525317760002</v>
      </c>
      <c r="Q362" s="211">
        <f>'Emission-Waste Transport Vehicl'!P58</f>
        <v>11.056030516080002</v>
      </c>
      <c r="R362" s="211">
        <f>'Emission-Waste Transport Vehicl'!Q58</f>
        <v>8.5864241865600004</v>
      </c>
      <c r="S362" s="211">
        <f>'Emission-Waste Transport Vehicl'!R58</f>
        <v>0.85460491512000014</v>
      </c>
      <c r="T362" s="211">
        <f>'Emission-Waste Transport Vehicl'!S58</f>
        <v>3.9298367750400007E-2</v>
      </c>
      <c r="U362" s="1850">
        <f t="shared" si="149"/>
        <v>-337114.21141170291</v>
      </c>
      <c r="V362" s="1850">
        <f t="shared" si="150"/>
        <v>-243.50707441312906</v>
      </c>
      <c r="W362" s="1850">
        <f t="shared" si="151"/>
        <v>-354.25207980995674</v>
      </c>
      <c r="X362" s="1850">
        <f t="shared" si="152"/>
        <v>-2799.9877686158493</v>
      </c>
      <c r="Y362" s="1850">
        <f t="shared" si="153"/>
        <v>-70.146749509234169</v>
      </c>
      <c r="Z362" s="1850">
        <f t="shared" si="154"/>
        <v>-418.90143515702539</v>
      </c>
      <c r="AA362" s="1850">
        <f t="shared" si="155"/>
        <v>-19.262869144228571</v>
      </c>
      <c r="AB362" s="2733"/>
      <c r="AC362" s="3009"/>
    </row>
    <row r="363" spans="1:29" ht="18.75" x14ac:dyDescent="0.25">
      <c r="A363" s="2982"/>
      <c r="B363" s="2753"/>
      <c r="C363" s="1863">
        <v>2045</v>
      </c>
      <c r="D363" s="218">
        <f t="shared" si="140"/>
        <v>-400305.25528107223</v>
      </c>
      <c r="E363" s="218">
        <f t="shared" si="147"/>
        <v>17499.058302286874</v>
      </c>
      <c r="F363" s="218">
        <f t="shared" si="148"/>
        <v>0</v>
      </c>
      <c r="G363" s="218">
        <f t="shared" si="141"/>
        <v>-12.254242508604248</v>
      </c>
      <c r="H363" s="218">
        <f t="shared" si="142"/>
        <v>-12.254242508604248</v>
      </c>
      <c r="I363" s="218">
        <f t="shared" si="143"/>
        <v>-253.25434517782119</v>
      </c>
      <c r="J363" s="218">
        <f t="shared" si="144"/>
        <v>-8.1694950057361684</v>
      </c>
      <c r="K363" s="218">
        <f t="shared" si="156"/>
        <v>-490.16970034417011</v>
      </c>
      <c r="L363" s="218">
        <f t="shared" si="156"/>
        <v>-490.16970034417011</v>
      </c>
      <c r="M363" s="192">
        <f t="shared" si="146"/>
        <v>-3745.7134601300322</v>
      </c>
      <c r="N363" s="211">
        <v>92</v>
      </c>
      <c r="O363" s="211">
        <f>'Emission-Waste Transport Vehicl'!N59</f>
        <v>19.483276374144001</v>
      </c>
      <c r="P363" s="211">
        <f>'Emission-Waste Transport Vehicl'!O59</f>
        <v>28.344109483008001</v>
      </c>
      <c r="Q363" s="211">
        <f>'Emission-Waste Transport Vehicl'!P59</f>
        <v>10.840170363264003</v>
      </c>
      <c r="R363" s="211">
        <f>'Emission-Waste Transport Vehicl'!Q59</f>
        <v>8.4187811220480011</v>
      </c>
      <c r="S363" s="211">
        <f>'Emission-Waste Transport Vehicl'!R59</f>
        <v>0.83791943769600008</v>
      </c>
      <c r="T363" s="211">
        <f>'Emission-Waste Transport Vehicl'!S59</f>
        <v>3.8531098552320009E-2</v>
      </c>
      <c r="U363" s="1850">
        <f t="shared" si="149"/>
        <v>-344605.63833196298</v>
      </c>
      <c r="V363" s="1850">
        <f t="shared" si="150"/>
        <v>-238.75279355092027</v>
      </c>
      <c r="W363" s="1850">
        <f t="shared" si="151"/>
        <v>-347.33559129520944</v>
      </c>
      <c r="X363" s="1850">
        <f t="shared" si="152"/>
        <v>-2745.3202469644489</v>
      </c>
      <c r="Y363" s="1850">
        <f t="shared" si="153"/>
        <v>-68.777190330957083</v>
      </c>
      <c r="Z363" s="1850">
        <f t="shared" si="154"/>
        <v>-410.72271968800385</v>
      </c>
      <c r="AA363" s="1850">
        <f t="shared" si="155"/>
        <v>-18.886777031322385</v>
      </c>
      <c r="AB363" s="2733"/>
      <c r="AC363" s="3009"/>
    </row>
    <row r="364" spans="1:29" ht="18.75" x14ac:dyDescent="0.25">
      <c r="A364" s="2982"/>
      <c r="B364" s="2753"/>
      <c r="C364" s="1863">
        <v>2046</v>
      </c>
      <c r="D364" s="218">
        <f t="shared" si="140"/>
        <v>-400305.25528107223</v>
      </c>
      <c r="E364" s="218">
        <f t="shared" si="147"/>
        <v>17499.058302286874</v>
      </c>
      <c r="F364" s="218">
        <f t="shared" si="148"/>
        <v>0</v>
      </c>
      <c r="G364" s="218">
        <f t="shared" si="141"/>
        <v>-12.254242508604248</v>
      </c>
      <c r="H364" s="218">
        <f t="shared" si="142"/>
        <v>-12.254242508604248</v>
      </c>
      <c r="I364" s="218">
        <f t="shared" si="143"/>
        <v>-253.25434517782119</v>
      </c>
      <c r="J364" s="218">
        <f t="shared" si="144"/>
        <v>-8.1694950057361684</v>
      </c>
      <c r="K364" s="218">
        <f t="shared" si="156"/>
        <v>-490.16970034417011</v>
      </c>
      <c r="L364" s="218">
        <f t="shared" si="156"/>
        <v>-490.16970034417011</v>
      </c>
      <c r="M364" s="192">
        <f t="shared" si="146"/>
        <v>-3745.7134601300322</v>
      </c>
      <c r="N364" s="211">
        <v>93</v>
      </c>
      <c r="O364" s="211">
        <f>'Emission-Waste Transport Vehicl'!N60</f>
        <v>19.101826686096</v>
      </c>
      <c r="P364" s="211">
        <f>'Emission-Waste Transport Vehicl'!O60</f>
        <v>27.789179628671999</v>
      </c>
      <c r="Q364" s="211">
        <f>'Emission-Waste Transport Vehicl'!P60</f>
        <v>10.627938112176002</v>
      </c>
      <c r="R364" s="211">
        <f>'Emission-Waste Transport Vehicl'!Q60</f>
        <v>8.2539555880319995</v>
      </c>
      <c r="S364" s="211">
        <f>'Emission-Waste Transport Vehicl'!R60</f>
        <v>0.82151438846400004</v>
      </c>
      <c r="T364" s="211">
        <f>'Emission-Waste Transport Vehicl'!S60</f>
        <v>3.777672463488E-2</v>
      </c>
      <c r="U364" s="1850">
        <f t="shared" si="149"/>
        <v>-348351.35179209302</v>
      </c>
      <c r="V364" s="1850">
        <f t="shared" si="150"/>
        <v>-234.07841656874862</v>
      </c>
      <c r="W364" s="1850">
        <f t="shared" si="151"/>
        <v>-340.53534628491161</v>
      </c>
      <c r="X364" s="1850">
        <f t="shared" si="152"/>
        <v>-2691.5715071895424</v>
      </c>
      <c r="Y364" s="1850">
        <f t="shared" si="153"/>
        <v>-67.430648953995558</v>
      </c>
      <c r="Z364" s="1850">
        <f t="shared" si="154"/>
        <v>-402.68146162182308</v>
      </c>
      <c r="AA364" s="1850">
        <f t="shared" si="155"/>
        <v>-18.517005794263358</v>
      </c>
      <c r="AB364" s="2733"/>
      <c r="AC364" s="3009"/>
    </row>
    <row r="365" spans="1:29" ht="18.75" x14ac:dyDescent="0.25">
      <c r="A365" s="2982"/>
      <c r="B365" s="2753"/>
      <c r="C365" s="1863">
        <v>2047</v>
      </c>
      <c r="D365" s="218">
        <f t="shared" si="140"/>
        <v>-400305.25528107223</v>
      </c>
      <c r="E365" s="218">
        <f t="shared" si="147"/>
        <v>17499.058302286874</v>
      </c>
      <c r="F365" s="218">
        <f t="shared" si="148"/>
        <v>0</v>
      </c>
      <c r="G365" s="218">
        <f t="shared" si="141"/>
        <v>-12.254242508604248</v>
      </c>
      <c r="H365" s="218">
        <f t="shared" si="142"/>
        <v>-12.254242508604248</v>
      </c>
      <c r="I365" s="218">
        <f t="shared" si="143"/>
        <v>-253.25434517782119</v>
      </c>
      <c r="J365" s="218">
        <f t="shared" si="144"/>
        <v>-8.1694950057361684</v>
      </c>
      <c r="K365" s="218">
        <f t="shared" si="156"/>
        <v>-490.16970034417011</v>
      </c>
      <c r="L365" s="218">
        <f t="shared" si="156"/>
        <v>-490.16970034417011</v>
      </c>
      <c r="M365" s="192">
        <f t="shared" si="146"/>
        <v>-3745.7134601300322</v>
      </c>
      <c r="N365" s="211">
        <v>94</v>
      </c>
      <c r="O365" s="211">
        <f>'Emission-Waste Transport Vehicl'!N61</f>
        <v>18.726897505536005</v>
      </c>
      <c r="P365" s="211">
        <f>'Emission-Waste Transport Vehicl'!O61</f>
        <v>27.243735754752002</v>
      </c>
      <c r="Q365" s="211">
        <f>'Emission-Waste Transport Vehicl'!P61</f>
        <v>10.419333762816001</v>
      </c>
      <c r="R365" s="211">
        <f>'Emission-Waste Transport Vehicl'!Q61</f>
        <v>8.0919475845120008</v>
      </c>
      <c r="S365" s="211">
        <f>'Emission-Waste Transport Vehicl'!R61</f>
        <v>0.80538976742400015</v>
      </c>
      <c r="T365" s="211">
        <f>'Emission-Waste Transport Vehicl'!S61</f>
        <v>3.7035245998080002E-2</v>
      </c>
      <c r="U365" s="1850">
        <f t="shared" si="149"/>
        <v>-352097.06525222305</v>
      </c>
      <c r="V365" s="1850">
        <f t="shared" si="150"/>
        <v>-229.48394346661416</v>
      </c>
      <c r="W365" s="1850">
        <f t="shared" si="151"/>
        <v>-333.85134477906342</v>
      </c>
      <c r="X365" s="1850">
        <f t="shared" si="152"/>
        <v>-2638.74154929113</v>
      </c>
      <c r="Y365" s="1850">
        <f t="shared" si="153"/>
        <v>-66.107125378349636</v>
      </c>
      <c r="Z365" s="1850">
        <f t="shared" si="154"/>
        <v>-394.77766095848301</v>
      </c>
      <c r="AA365" s="1850">
        <f t="shared" si="155"/>
        <v>-18.153555433051501</v>
      </c>
      <c r="AB365" s="2733"/>
      <c r="AC365" s="3009"/>
    </row>
    <row r="366" spans="1:29" ht="18.75" x14ac:dyDescent="0.25">
      <c r="A366" s="2982"/>
      <c r="B366" s="2753"/>
      <c r="C366" s="1863">
        <v>2048</v>
      </c>
      <c r="D366" s="218">
        <f t="shared" si="140"/>
        <v>-400305.25528107223</v>
      </c>
      <c r="E366" s="218">
        <f t="shared" si="147"/>
        <v>17499.058302286874</v>
      </c>
      <c r="F366" s="218">
        <f t="shared" si="148"/>
        <v>0</v>
      </c>
      <c r="G366" s="218">
        <f t="shared" si="141"/>
        <v>-12.254242508604248</v>
      </c>
      <c r="H366" s="218">
        <f t="shared" si="142"/>
        <v>-12.254242508604248</v>
      </c>
      <c r="I366" s="218">
        <f t="shared" si="143"/>
        <v>-253.25434517782119</v>
      </c>
      <c r="J366" s="218">
        <f t="shared" si="144"/>
        <v>-8.1694950057361684</v>
      </c>
      <c r="K366" s="218">
        <f t="shared" si="156"/>
        <v>-490.16970034417011</v>
      </c>
      <c r="L366" s="218">
        <f t="shared" si="156"/>
        <v>-490.16970034417011</v>
      </c>
      <c r="M366" s="192">
        <f t="shared" si="146"/>
        <v>-3745.7134601300322</v>
      </c>
      <c r="N366" s="211">
        <v>95</v>
      </c>
      <c r="O366" s="211">
        <f>'Emission-Waste Transport Vehicl'!N62</f>
        <v>18.358488832464005</v>
      </c>
      <c r="P366" s="211">
        <f>'Emission-Waste Transport Vehicl'!O62</f>
        <v>26.707777861248005</v>
      </c>
      <c r="Q366" s="211">
        <f>'Emission-Waste Transport Vehicl'!P62</f>
        <v>10.214357315184001</v>
      </c>
      <c r="R366" s="211">
        <f>'Emission-Waste Transport Vehicl'!Q62</f>
        <v>7.9327571114880007</v>
      </c>
      <c r="S366" s="211">
        <f>'Emission-Waste Transport Vehicl'!R62</f>
        <v>0.78954557457600016</v>
      </c>
      <c r="T366" s="211">
        <f>'Emission-Waste Transport Vehicl'!S62</f>
        <v>3.6306662641920007E-2</v>
      </c>
      <c r="U366" s="1850">
        <f t="shared" si="149"/>
        <v>-355842.77871235309</v>
      </c>
      <c r="V366" s="1850">
        <f t="shared" si="150"/>
        <v>-224.96937424451679</v>
      </c>
      <c r="W366" s="1850">
        <f t="shared" si="151"/>
        <v>-327.28358677766477</v>
      </c>
      <c r="X366" s="1850">
        <f t="shared" si="152"/>
        <v>-2586.830373269212</v>
      </c>
      <c r="Y366" s="1850">
        <f t="shared" si="153"/>
        <v>-64.806619604019289</v>
      </c>
      <c r="Z366" s="1850">
        <f t="shared" si="154"/>
        <v>-387.0113176979836</v>
      </c>
      <c r="AA366" s="1850">
        <f t="shared" si="155"/>
        <v>-17.796425947686807</v>
      </c>
      <c r="AB366" s="2733"/>
      <c r="AC366" s="3009"/>
    </row>
    <row r="367" spans="1:29" ht="18.75" x14ac:dyDescent="0.25">
      <c r="A367" s="2982"/>
      <c r="B367" s="2753"/>
      <c r="C367" s="1863">
        <v>2049</v>
      </c>
      <c r="D367" s="218">
        <f t="shared" si="140"/>
        <v>-400305.25528107223</v>
      </c>
      <c r="E367" s="218">
        <f t="shared" si="147"/>
        <v>17499.058302286874</v>
      </c>
      <c r="F367" s="218">
        <f t="shared" si="148"/>
        <v>0</v>
      </c>
      <c r="G367" s="218">
        <f t="shared" si="141"/>
        <v>-12.254242508604248</v>
      </c>
      <c r="H367" s="218">
        <f t="shared" si="142"/>
        <v>-12.254242508604248</v>
      </c>
      <c r="I367" s="218">
        <f t="shared" si="143"/>
        <v>-253.25434517782119</v>
      </c>
      <c r="J367" s="218">
        <f t="shared" si="144"/>
        <v>-8.1694950057361684</v>
      </c>
      <c r="K367" s="218">
        <f t="shared" si="156"/>
        <v>-490.16970034417011</v>
      </c>
      <c r="L367" s="218">
        <f t="shared" si="156"/>
        <v>-490.16970034417011</v>
      </c>
      <c r="M367" s="192">
        <f t="shared" si="146"/>
        <v>-3745.7134601300322</v>
      </c>
      <c r="N367" s="211">
        <v>96</v>
      </c>
      <c r="O367" s="211">
        <f>'Emission-Waste Transport Vehicl'!N63</f>
        <v>17.999860920624005</v>
      </c>
      <c r="P367" s="211">
        <f>'Emission-Waste Transport Vehicl'!O63</f>
        <v>26.186048938368003</v>
      </c>
      <c r="Q367" s="211">
        <f>'Emission-Waste Transport Vehicl'!P63</f>
        <v>10.014822720144002</v>
      </c>
      <c r="R367" s="211">
        <f>'Emission-Waste Transport Vehicl'!Q63</f>
        <v>7.7777929342080014</v>
      </c>
      <c r="S367" s="211">
        <f>'Emission-Waste Transport Vehicl'!R63</f>
        <v>0.77412202401600017</v>
      </c>
      <c r="T367" s="211">
        <f>'Emission-Waste Transport Vehicl'!S63</f>
        <v>3.5597422206719999E-2</v>
      </c>
      <c r="U367" s="1850">
        <f t="shared" si="149"/>
        <v>-359588.49217248312</v>
      </c>
      <c r="V367" s="1850">
        <f t="shared" si="150"/>
        <v>-220.57466084247508</v>
      </c>
      <c r="W367" s="1850">
        <f t="shared" si="151"/>
        <v>-320.89019403294031</v>
      </c>
      <c r="X367" s="1850">
        <f t="shared" si="152"/>
        <v>-2536.297370062035</v>
      </c>
      <c r="Y367" s="1850">
        <f t="shared" si="153"/>
        <v>-63.540640531662326</v>
      </c>
      <c r="Z367" s="1850">
        <f t="shared" si="154"/>
        <v>-379.45116054174525</v>
      </c>
      <c r="AA367" s="1850">
        <f t="shared" si="155"/>
        <v>-17.44877777609285</v>
      </c>
      <c r="AB367" s="2733"/>
      <c r="AC367" s="3009"/>
    </row>
    <row r="368" spans="1:29" ht="18.75" x14ac:dyDescent="0.25">
      <c r="A368" s="2982"/>
      <c r="B368" s="2753"/>
      <c r="C368" s="1863">
        <v>2050</v>
      </c>
      <c r="D368" s="218">
        <f t="shared" si="140"/>
        <v>-400305.25528107223</v>
      </c>
      <c r="E368" s="218">
        <f t="shared" si="147"/>
        <v>17499.058302286874</v>
      </c>
      <c r="F368" s="218">
        <f t="shared" si="148"/>
        <v>0</v>
      </c>
      <c r="G368" s="218">
        <f t="shared" si="141"/>
        <v>-12.254242508604248</v>
      </c>
      <c r="H368" s="218">
        <f t="shared" si="142"/>
        <v>-12.254242508604248</v>
      </c>
      <c r="I368" s="218">
        <f t="shared" si="143"/>
        <v>-253.25434517782119</v>
      </c>
      <c r="J368" s="218">
        <f t="shared" si="144"/>
        <v>-8.1694950057361684</v>
      </c>
      <c r="K368" s="218">
        <f t="shared" si="156"/>
        <v>-490.16970034417011</v>
      </c>
      <c r="L368" s="218">
        <f t="shared" si="156"/>
        <v>-490.16970034417011</v>
      </c>
      <c r="M368" s="192">
        <f t="shared" si="146"/>
        <v>-3745.7134601300322</v>
      </c>
      <c r="N368" s="211">
        <v>97</v>
      </c>
      <c r="O368" s="211">
        <f>'Emission-Waste Transport Vehicl'!N64</f>
        <v>17.644493262528005</v>
      </c>
      <c r="P368" s="211">
        <f>'Emission-Waste Transport Vehicl'!O64</f>
        <v>25.669063005696003</v>
      </c>
      <c r="Q368" s="211">
        <f>'Emission-Waste Transport Vehicl'!P64</f>
        <v>9.8171020759680019</v>
      </c>
      <c r="R368" s="211">
        <f>'Emission-Waste Transport Vehicl'!Q64</f>
        <v>7.624237522176001</v>
      </c>
      <c r="S368" s="211">
        <f>'Emission-Waste Transport Vehicl'!R64</f>
        <v>0.75883868755200012</v>
      </c>
      <c r="T368" s="211">
        <f>'Emission-Waste Transport Vehicl'!S64</f>
        <v>3.4894629411840003E-2</v>
      </c>
      <c r="U368" s="1850">
        <f t="shared" si="149"/>
        <v>-363334.2056326131</v>
      </c>
      <c r="V368" s="1850">
        <f t="shared" si="150"/>
        <v>-216.21989938045195</v>
      </c>
      <c r="W368" s="1850">
        <f t="shared" si="151"/>
        <v>-314.55492304044071</v>
      </c>
      <c r="X368" s="1850">
        <f t="shared" si="152"/>
        <v>-2486.2237577931055</v>
      </c>
      <c r="Y368" s="1850">
        <f t="shared" si="153"/>
        <v>-62.286170359963137</v>
      </c>
      <c r="Z368" s="1850">
        <f t="shared" si="154"/>
        <v>-371.9597320869272</v>
      </c>
      <c r="AA368" s="1850">
        <f t="shared" si="155"/>
        <v>-17.10429004242248</v>
      </c>
      <c r="AB368" s="2733"/>
      <c r="AC368" s="3009"/>
    </row>
    <row r="369" spans="1:29" ht="18.75" x14ac:dyDescent="0.25">
      <c r="A369" s="2982"/>
      <c r="B369" s="2753"/>
      <c r="C369" s="1863">
        <v>2051</v>
      </c>
      <c r="D369" s="218">
        <f t="shared" ref="D369:D387" si="157">$AC$12</f>
        <v>-400305.25528107223</v>
      </c>
      <c r="E369" s="218">
        <f t="shared" si="147"/>
        <v>17499.058302286874</v>
      </c>
      <c r="F369" s="218">
        <f t="shared" si="148"/>
        <v>0</v>
      </c>
      <c r="G369" s="218">
        <f t="shared" ref="G369:G387" si="158">$Y$12</f>
        <v>-12.254242508604248</v>
      </c>
      <c r="H369" s="218">
        <f t="shared" ref="H369:H387" si="159">$Z$12</f>
        <v>-12.254242508604248</v>
      </c>
      <c r="I369" s="218">
        <f t="shared" ref="I369:I387" si="160">$X$12</f>
        <v>-253.25434517782119</v>
      </c>
      <c r="J369" s="218">
        <f t="shared" ref="J369:J387" si="161">$AA$12</f>
        <v>-8.1694950057361684</v>
      </c>
      <c r="K369" s="218">
        <f t="shared" si="156"/>
        <v>-490.16970034417011</v>
      </c>
      <c r="L369" s="218">
        <f t="shared" si="156"/>
        <v>-490.16970034417011</v>
      </c>
      <c r="M369" s="192">
        <f t="shared" ref="M369:M387" si="162">$W$12</f>
        <v>-3745.7134601300322</v>
      </c>
      <c r="N369" s="211">
        <v>97</v>
      </c>
      <c r="O369" s="211">
        <f>'Emission-Waste Transport Vehicl'!N65</f>
        <v>17.298906365664003</v>
      </c>
      <c r="P369" s="211">
        <f>'Emission-Waste Transport Vehicl'!O65</f>
        <v>25.166306043648003</v>
      </c>
      <c r="Q369" s="211">
        <f>'Emission-Waste Transport Vehicl'!P65</f>
        <v>9.624823284384</v>
      </c>
      <c r="R369" s="211">
        <f>'Emission-Waste Transport Vehicl'!Q65</f>
        <v>7.4749084058879998</v>
      </c>
      <c r="S369" s="211">
        <f>'Emission-Waste Transport Vehicl'!R65</f>
        <v>0.74397599337600007</v>
      </c>
      <c r="T369" s="211">
        <f>'Emission-Waste Transport Vehicl'!S65</f>
        <v>3.4211179537920001E-2</v>
      </c>
      <c r="U369" s="1850">
        <f t="shared" si="149"/>
        <v>-363334.2056326131</v>
      </c>
      <c r="V369" s="1850">
        <f t="shared" si="150"/>
        <v>-211.98499373848443</v>
      </c>
      <c r="W369" s="1850">
        <f t="shared" si="151"/>
        <v>-308.39401730461537</v>
      </c>
      <c r="X369" s="1850">
        <f t="shared" si="152"/>
        <v>-2437.5283183389161</v>
      </c>
      <c r="Y369" s="1850">
        <f t="shared" si="153"/>
        <v>-61.066226890237317</v>
      </c>
      <c r="Z369" s="1850">
        <f t="shared" si="154"/>
        <v>-364.67448973637022</v>
      </c>
      <c r="AA369" s="1850">
        <f t="shared" si="155"/>
        <v>-16.769283622522853</v>
      </c>
      <c r="AB369" s="2733"/>
      <c r="AC369" s="3009"/>
    </row>
    <row r="370" spans="1:29" ht="18.75" x14ac:dyDescent="0.25">
      <c r="A370" s="2982"/>
      <c r="B370" s="2753"/>
      <c r="C370" s="1863">
        <v>2052</v>
      </c>
      <c r="D370" s="218">
        <f t="shared" si="157"/>
        <v>-400305.25528107223</v>
      </c>
      <c r="E370" s="218">
        <f t="shared" si="147"/>
        <v>17499.058302286874</v>
      </c>
      <c r="F370" s="218">
        <f t="shared" si="148"/>
        <v>0</v>
      </c>
      <c r="G370" s="218">
        <f t="shared" si="158"/>
        <v>-12.254242508604248</v>
      </c>
      <c r="H370" s="218">
        <f t="shared" si="159"/>
        <v>-12.254242508604248</v>
      </c>
      <c r="I370" s="218">
        <f t="shared" si="160"/>
        <v>-253.25434517782119</v>
      </c>
      <c r="J370" s="218">
        <f t="shared" si="161"/>
        <v>-8.1694950057361684</v>
      </c>
      <c r="K370" s="218">
        <f t="shared" si="156"/>
        <v>-490.16970034417011</v>
      </c>
      <c r="L370" s="218">
        <f t="shared" si="156"/>
        <v>-490.16970034417011</v>
      </c>
      <c r="M370" s="192">
        <f t="shared" si="162"/>
        <v>-3745.7134601300322</v>
      </c>
      <c r="N370" s="211">
        <v>97</v>
      </c>
      <c r="O370" s="211">
        <f>'Emission-Waste Transport Vehicl'!N66</f>
        <v>16.959839976288002</v>
      </c>
      <c r="P370" s="211">
        <f>'Emission-Waste Transport Vehicl'!O66</f>
        <v>24.673035062016002</v>
      </c>
      <c r="Q370" s="211">
        <f>'Emission-Waste Transport Vehicl'!P66</f>
        <v>9.4361723945280005</v>
      </c>
      <c r="R370" s="211">
        <f>'Emission-Waste Transport Vehicl'!Q66</f>
        <v>7.3283968200960006</v>
      </c>
      <c r="S370" s="211">
        <f>'Emission-Waste Transport Vehicl'!R66</f>
        <v>0.72939372739200004</v>
      </c>
      <c r="T370" s="211">
        <f>'Emission-Waste Transport Vehicl'!S66</f>
        <v>3.3540624944640003E-2</v>
      </c>
      <c r="U370" s="1850">
        <f t="shared" si="149"/>
        <v>-363334.2056326131</v>
      </c>
      <c r="V370" s="1850">
        <f t="shared" si="150"/>
        <v>-207.82999197655411</v>
      </c>
      <c r="W370" s="1850">
        <f t="shared" si="151"/>
        <v>-302.34935507323956</v>
      </c>
      <c r="X370" s="1850">
        <f t="shared" si="152"/>
        <v>-2389.751660761222</v>
      </c>
      <c r="Y370" s="1850">
        <f t="shared" si="153"/>
        <v>-59.869301221827094</v>
      </c>
      <c r="Z370" s="1850">
        <f t="shared" si="154"/>
        <v>-357.52670478865394</v>
      </c>
      <c r="AA370" s="1850">
        <f t="shared" si="155"/>
        <v>-16.440598078470387</v>
      </c>
      <c r="AB370" s="2733"/>
      <c r="AC370" s="3009"/>
    </row>
    <row r="371" spans="1:29" ht="18.75" x14ac:dyDescent="0.25">
      <c r="A371" s="2982"/>
      <c r="B371" s="2753"/>
      <c r="C371" s="1863">
        <v>2053</v>
      </c>
      <c r="D371" s="218">
        <f t="shared" si="157"/>
        <v>-400305.25528107223</v>
      </c>
      <c r="E371" s="218">
        <f t="shared" si="147"/>
        <v>17499.058302286874</v>
      </c>
      <c r="F371" s="218">
        <f t="shared" si="148"/>
        <v>0</v>
      </c>
      <c r="G371" s="218">
        <f t="shared" si="158"/>
        <v>-12.254242508604248</v>
      </c>
      <c r="H371" s="218">
        <f t="shared" si="159"/>
        <v>-12.254242508604248</v>
      </c>
      <c r="I371" s="218">
        <f t="shared" si="160"/>
        <v>-253.25434517782119</v>
      </c>
      <c r="J371" s="218">
        <f t="shared" si="161"/>
        <v>-8.1694950057361684</v>
      </c>
      <c r="K371" s="218">
        <f t="shared" si="156"/>
        <v>-490.16970034417011</v>
      </c>
      <c r="L371" s="218">
        <f t="shared" si="156"/>
        <v>-490.16970034417011</v>
      </c>
      <c r="M371" s="192">
        <f t="shared" si="162"/>
        <v>-3745.7134601300322</v>
      </c>
      <c r="N371" s="211">
        <v>97</v>
      </c>
      <c r="O371" s="211">
        <f>'Emission-Waste Transport Vehicl'!N67</f>
        <v>15.361506000000002</v>
      </c>
      <c r="P371" s="211">
        <f>'Emission-Waste Transport Vehicl'!O67</f>
        <v>24.189250060800003</v>
      </c>
      <c r="Q371" s="211">
        <f>'Emission-Waste Transport Vehicl'!P67</f>
        <v>9.2511494064000015</v>
      </c>
      <c r="R371" s="211">
        <f>'Emission-Waste Transport Vehicl'!Q67</f>
        <v>7.1847027647999999</v>
      </c>
      <c r="S371" s="211">
        <f>'Emission-Waste Transport Vehicl'!R67</f>
        <v>0.71509188960000014</v>
      </c>
      <c r="T371" s="211">
        <f>'Emission-Waste Transport Vehicl'!S67</f>
        <v>3.2882965632000001E-2</v>
      </c>
      <c r="U371" s="1850">
        <f t="shared" si="149"/>
        <v>-363334.2056326131</v>
      </c>
      <c r="V371" s="1850">
        <f t="shared" si="150"/>
        <v>-188.24361982137924</v>
      </c>
      <c r="W371" s="1850">
        <f t="shared" si="151"/>
        <v>-296.42093634631328</v>
      </c>
      <c r="X371" s="1850">
        <f t="shared" si="152"/>
        <v>-2342.8937850600214</v>
      </c>
      <c r="Y371" s="1850">
        <f t="shared" si="153"/>
        <v>-58.695393354732438</v>
      </c>
      <c r="Z371" s="1850">
        <f t="shared" si="154"/>
        <v>-350.51637724377844</v>
      </c>
      <c r="AA371" s="1850">
        <f t="shared" si="155"/>
        <v>-16.118233410265084</v>
      </c>
      <c r="AB371" s="2733"/>
      <c r="AC371" s="3009"/>
    </row>
    <row r="372" spans="1:29" ht="18.75" x14ac:dyDescent="0.25">
      <c r="A372" s="2982"/>
      <c r="B372" s="2753"/>
      <c r="C372" s="1863">
        <v>2054</v>
      </c>
      <c r="D372" s="218">
        <f t="shared" si="157"/>
        <v>-400305.25528107223</v>
      </c>
      <c r="E372" s="218">
        <f t="shared" si="147"/>
        <v>17499.058302286874</v>
      </c>
      <c r="F372" s="218">
        <f t="shared" si="148"/>
        <v>0</v>
      </c>
      <c r="G372" s="218">
        <f t="shared" si="158"/>
        <v>-12.254242508604248</v>
      </c>
      <c r="H372" s="218">
        <f t="shared" si="159"/>
        <v>-12.254242508604248</v>
      </c>
      <c r="I372" s="218">
        <f t="shared" si="160"/>
        <v>-253.25434517782119</v>
      </c>
      <c r="J372" s="218">
        <f t="shared" si="161"/>
        <v>-8.1694950057361684</v>
      </c>
      <c r="K372" s="218">
        <f t="shared" si="156"/>
        <v>-490.16970034417011</v>
      </c>
      <c r="L372" s="218">
        <f t="shared" si="156"/>
        <v>-490.16970034417011</v>
      </c>
      <c r="M372" s="192">
        <f t="shared" si="162"/>
        <v>-3745.7134601300322</v>
      </c>
      <c r="N372" s="211">
        <v>97</v>
      </c>
      <c r="O372" s="211">
        <f>'Emission-Waste Transport Vehicl'!N68</f>
        <v>16.301268720000003</v>
      </c>
      <c r="P372" s="211">
        <f>'Emission-Waste Transport Vehicl'!O68</f>
        <v>23.714951040000003</v>
      </c>
      <c r="Q372" s="211">
        <f>'Emission-Waste Transport Vehicl'!P68</f>
        <v>9.0697543200000013</v>
      </c>
      <c r="R372" s="211">
        <f>'Emission-Waste Transport Vehicl'!Q68</f>
        <v>7.0438262400000005</v>
      </c>
      <c r="S372" s="211">
        <f>'Emission-Waste Transport Vehicl'!R68</f>
        <v>0.70107048000000005</v>
      </c>
      <c r="T372" s="211">
        <f>'Emission-Waste Transport Vehicl'!S68</f>
        <v>3.2238201600000002E-2</v>
      </c>
      <c r="U372" s="1850">
        <f t="shared" si="149"/>
        <v>-363334.2056326131</v>
      </c>
      <c r="V372" s="1850">
        <f t="shared" si="150"/>
        <v>-199.75970009280479</v>
      </c>
      <c r="W372" s="1850">
        <f t="shared" si="151"/>
        <v>-290.60876112383653</v>
      </c>
      <c r="X372" s="1850">
        <f t="shared" si="152"/>
        <v>-2296.9546912353153</v>
      </c>
      <c r="Y372" s="1850">
        <f t="shared" si="153"/>
        <v>-57.544503288953379</v>
      </c>
      <c r="Z372" s="1850">
        <f t="shared" si="154"/>
        <v>-343.64350710174352</v>
      </c>
      <c r="AA372" s="1850">
        <f t="shared" si="155"/>
        <v>-15.802189617906947</v>
      </c>
      <c r="AB372" s="2733"/>
      <c r="AC372" s="3009"/>
    </row>
    <row r="373" spans="1:29" ht="18.75" x14ac:dyDescent="0.25">
      <c r="A373" s="2982"/>
      <c r="B373" s="2753"/>
      <c r="C373" s="1863">
        <v>2055</v>
      </c>
      <c r="D373" s="218">
        <f t="shared" si="157"/>
        <v>-400305.25528107223</v>
      </c>
      <c r="E373" s="218">
        <f t="shared" si="147"/>
        <v>17499.058302286874</v>
      </c>
      <c r="F373" s="218">
        <f t="shared" si="148"/>
        <v>0</v>
      </c>
      <c r="G373" s="218">
        <f t="shared" si="158"/>
        <v>-12.254242508604248</v>
      </c>
      <c r="H373" s="218">
        <f t="shared" si="159"/>
        <v>-12.254242508604248</v>
      </c>
      <c r="I373" s="218">
        <f t="shared" si="160"/>
        <v>-253.25434517782119</v>
      </c>
      <c r="J373" s="218">
        <f t="shared" si="161"/>
        <v>-8.1694950057361684</v>
      </c>
      <c r="K373" s="218">
        <f t="shared" si="156"/>
        <v>-490.16970034417011</v>
      </c>
      <c r="L373" s="218">
        <f t="shared" si="156"/>
        <v>-490.16970034417011</v>
      </c>
      <c r="M373" s="192">
        <f t="shared" si="162"/>
        <v>-3745.7134601300322</v>
      </c>
      <c r="N373" s="211">
        <v>97</v>
      </c>
      <c r="O373" s="211">
        <f>'Emission-Waste Transport Vehicl'!N69</f>
        <v>15.981763853088003</v>
      </c>
      <c r="P373" s="211">
        <f>'Emission-Waste Transport Vehicl'!O69</f>
        <v>23.250137999616001</v>
      </c>
      <c r="Q373" s="211">
        <f>'Emission-Waste Transport Vehicl'!P69</f>
        <v>8.8919871353280016</v>
      </c>
      <c r="R373" s="211">
        <f>'Emission-Waste Transport Vehicl'!Q69</f>
        <v>6.9057672456960004</v>
      </c>
      <c r="S373" s="211">
        <f>'Emission-Waste Transport Vehicl'!R69</f>
        <v>0.6873294985920001</v>
      </c>
      <c r="T373" s="211">
        <f>'Emission-Waste Transport Vehicl'!S69</f>
        <v>3.1606332848640006E-2</v>
      </c>
      <c r="U373" s="1850">
        <f t="shared" si="149"/>
        <v>-363334.2056326131</v>
      </c>
      <c r="V373" s="1850">
        <f t="shared" si="150"/>
        <v>-195.84440997098582</v>
      </c>
      <c r="W373" s="1850">
        <f t="shared" si="151"/>
        <v>-284.91282940580936</v>
      </c>
      <c r="X373" s="1850">
        <f t="shared" si="152"/>
        <v>-2251.9343792871032</v>
      </c>
      <c r="Y373" s="1850">
        <f t="shared" si="153"/>
        <v>-56.416631024489888</v>
      </c>
      <c r="Z373" s="1850">
        <f t="shared" si="154"/>
        <v>-336.90809436254938</v>
      </c>
      <c r="AA373" s="1850">
        <f t="shared" si="155"/>
        <v>-15.492466701395973</v>
      </c>
      <c r="AB373" s="2733"/>
      <c r="AC373" s="3009"/>
    </row>
    <row r="374" spans="1:29" ht="18.75" x14ac:dyDescent="0.25">
      <c r="A374" s="2982"/>
      <c r="B374" s="2753"/>
      <c r="C374" s="1863">
        <v>2056</v>
      </c>
      <c r="D374" s="218">
        <f t="shared" si="157"/>
        <v>-400305.25528107223</v>
      </c>
      <c r="E374" s="218">
        <f t="shared" si="147"/>
        <v>17499.058302286874</v>
      </c>
      <c r="F374" s="218">
        <f t="shared" si="148"/>
        <v>0</v>
      </c>
      <c r="G374" s="218">
        <f t="shared" si="158"/>
        <v>-12.254242508604248</v>
      </c>
      <c r="H374" s="218">
        <f t="shared" si="159"/>
        <v>-12.254242508604248</v>
      </c>
      <c r="I374" s="218">
        <f t="shared" si="160"/>
        <v>-253.25434517782119</v>
      </c>
      <c r="J374" s="218">
        <f t="shared" si="161"/>
        <v>-8.1694950057361684</v>
      </c>
      <c r="K374" s="218">
        <f t="shared" si="156"/>
        <v>-490.16970034417011</v>
      </c>
      <c r="L374" s="218">
        <f t="shared" si="156"/>
        <v>-490.16970034417011</v>
      </c>
      <c r="M374" s="192">
        <f t="shared" si="162"/>
        <v>-3745.7134601300322</v>
      </c>
      <c r="N374" s="211">
        <v>97</v>
      </c>
      <c r="O374" s="211">
        <f>'Emission-Waste Transport Vehicl'!N70</f>
        <v>15.668779493664003</v>
      </c>
      <c r="P374" s="211">
        <f>'Emission-Waste Transport Vehicl'!O70</f>
        <v>22.794810939648006</v>
      </c>
      <c r="Q374" s="211">
        <f>'Emission-Waste Transport Vehicl'!P70</f>
        <v>8.7178478523840006</v>
      </c>
      <c r="R374" s="211">
        <f>'Emission-Waste Transport Vehicl'!Q70</f>
        <v>6.7705257818880007</v>
      </c>
      <c r="S374" s="211">
        <f>'Emission-Waste Transport Vehicl'!R70</f>
        <v>0.67386894537600017</v>
      </c>
      <c r="T374" s="211">
        <f>'Emission-Waste Transport Vehicl'!S70</f>
        <v>3.0987359377920003E-2</v>
      </c>
      <c r="U374" s="1850">
        <f t="shared" si="149"/>
        <v>-363334.2056326131</v>
      </c>
      <c r="V374" s="1850">
        <f t="shared" si="150"/>
        <v>-192.00902372920396</v>
      </c>
      <c r="W374" s="1850">
        <f t="shared" si="151"/>
        <v>-279.33314119223172</v>
      </c>
      <c r="X374" s="1850">
        <f t="shared" si="152"/>
        <v>-2207.8328492153851</v>
      </c>
      <c r="Y374" s="1850">
        <f t="shared" si="153"/>
        <v>-55.311776561341986</v>
      </c>
      <c r="Z374" s="1850">
        <f t="shared" si="154"/>
        <v>-330.31013902619594</v>
      </c>
      <c r="AA374" s="1850">
        <f t="shared" si="155"/>
        <v>-15.189064660732157</v>
      </c>
      <c r="AB374" s="2733"/>
      <c r="AC374" s="3009"/>
    </row>
    <row r="375" spans="1:29" ht="18.75" x14ac:dyDescent="0.25">
      <c r="A375" s="2982"/>
      <c r="B375" s="2753"/>
      <c r="C375" s="1863">
        <v>2057</v>
      </c>
      <c r="D375" s="218">
        <f t="shared" si="157"/>
        <v>-400305.25528107223</v>
      </c>
      <c r="E375" s="218">
        <f t="shared" si="147"/>
        <v>17499.058302286874</v>
      </c>
      <c r="F375" s="218">
        <f t="shared" si="148"/>
        <v>0</v>
      </c>
      <c r="G375" s="218">
        <f t="shared" si="158"/>
        <v>-12.254242508604248</v>
      </c>
      <c r="H375" s="218">
        <f t="shared" si="159"/>
        <v>-12.254242508604248</v>
      </c>
      <c r="I375" s="218">
        <f t="shared" si="160"/>
        <v>-253.25434517782119</v>
      </c>
      <c r="J375" s="218">
        <f t="shared" si="161"/>
        <v>-8.1694950057361684</v>
      </c>
      <c r="K375" s="218">
        <f t="shared" si="156"/>
        <v>-490.16970034417011</v>
      </c>
      <c r="L375" s="218">
        <f t="shared" si="156"/>
        <v>-490.16970034417011</v>
      </c>
      <c r="M375" s="192">
        <f t="shared" si="162"/>
        <v>-3745.7134601300322</v>
      </c>
      <c r="N375" s="211">
        <v>97</v>
      </c>
      <c r="O375" s="211">
        <f>'Emission-Waste Transport Vehicl'!N71</f>
        <v>15.362315641728001</v>
      </c>
      <c r="P375" s="211">
        <f>'Emission-Waste Transport Vehicl'!O71</f>
        <v>22.348969860096002</v>
      </c>
      <c r="Q375" s="211">
        <f>'Emission-Waste Transport Vehicl'!P71</f>
        <v>8.547336471168002</v>
      </c>
      <c r="R375" s="211">
        <f>'Emission-Waste Transport Vehicl'!Q71</f>
        <v>6.6381018485760004</v>
      </c>
      <c r="S375" s="211">
        <f>'Emission-Waste Transport Vehicl'!R71</f>
        <v>0.66068882035200005</v>
      </c>
      <c r="T375" s="211">
        <f>'Emission-Waste Transport Vehicl'!S71</f>
        <v>3.038128118784E-2</v>
      </c>
      <c r="U375" s="1850">
        <f t="shared" si="149"/>
        <v>-363334.2056326131</v>
      </c>
      <c r="V375" s="1850">
        <f t="shared" si="150"/>
        <v>-188.25354136745921</v>
      </c>
      <c r="W375" s="1850">
        <f t="shared" si="151"/>
        <v>-273.86969648310355</v>
      </c>
      <c r="X375" s="1850">
        <f t="shared" si="152"/>
        <v>-2164.6501010201614</v>
      </c>
      <c r="Y375" s="1850">
        <f t="shared" si="153"/>
        <v>-54.22993989950966</v>
      </c>
      <c r="Z375" s="1850">
        <f t="shared" si="154"/>
        <v>-323.8496410926831</v>
      </c>
      <c r="AA375" s="1850">
        <f t="shared" si="155"/>
        <v>-14.891983495915506</v>
      </c>
      <c r="AB375" s="2733"/>
      <c r="AC375" s="3009"/>
    </row>
    <row r="376" spans="1:29" ht="18.75" x14ac:dyDescent="0.25">
      <c r="A376" s="2982"/>
      <c r="B376" s="2753"/>
      <c r="C376" s="1863">
        <v>2058</v>
      </c>
      <c r="D376" s="218">
        <f t="shared" si="157"/>
        <v>-400305.25528107223</v>
      </c>
      <c r="E376" s="218">
        <f t="shared" si="147"/>
        <v>17499.058302286874</v>
      </c>
      <c r="F376" s="218">
        <f t="shared" si="148"/>
        <v>0</v>
      </c>
      <c r="G376" s="218">
        <f t="shared" si="158"/>
        <v>-12.254242508604248</v>
      </c>
      <c r="H376" s="218">
        <f t="shared" si="159"/>
        <v>-12.254242508604248</v>
      </c>
      <c r="I376" s="218">
        <f t="shared" si="160"/>
        <v>-253.25434517782119</v>
      </c>
      <c r="J376" s="218">
        <f t="shared" si="161"/>
        <v>-8.1694950057361684</v>
      </c>
      <c r="K376" s="218">
        <f t="shared" si="156"/>
        <v>-490.16970034417011</v>
      </c>
      <c r="L376" s="218">
        <f t="shared" si="156"/>
        <v>-490.16970034417011</v>
      </c>
      <c r="M376" s="192">
        <f t="shared" si="162"/>
        <v>-3745.7134601300322</v>
      </c>
      <c r="N376" s="211">
        <v>97</v>
      </c>
      <c r="O376" s="211">
        <f>'Emission-Waste Transport Vehicl'!N72</f>
        <v>15.059112043536</v>
      </c>
      <c r="P376" s="211">
        <f>'Emission-Waste Transport Vehicl'!O72</f>
        <v>21.907871770752003</v>
      </c>
      <c r="Q376" s="211">
        <f>'Emission-Waste Transport Vehicl'!P72</f>
        <v>8.378639040816001</v>
      </c>
      <c r="R376" s="211">
        <f>'Emission-Waste Transport Vehicl'!Q72</f>
        <v>6.5070866805119998</v>
      </c>
      <c r="S376" s="211">
        <f>'Emission-Waste Transport Vehicl'!R72</f>
        <v>0.647648909424</v>
      </c>
      <c r="T376" s="211">
        <f>'Emission-Waste Transport Vehicl'!S72</f>
        <v>2.9781650638080002E-2</v>
      </c>
      <c r="U376" s="1850">
        <f t="shared" si="149"/>
        <v>-363334.2056326131</v>
      </c>
      <c r="V376" s="1850">
        <f t="shared" si="150"/>
        <v>-184.53801094573305</v>
      </c>
      <c r="W376" s="1850">
        <f t="shared" si="151"/>
        <v>-268.46437352620023</v>
      </c>
      <c r="X376" s="1850">
        <f t="shared" si="152"/>
        <v>-2121.9267437631843</v>
      </c>
      <c r="Y376" s="1850">
        <f t="shared" si="153"/>
        <v>-53.159612138335127</v>
      </c>
      <c r="Z376" s="1850">
        <f t="shared" si="154"/>
        <v>-317.45787186059067</v>
      </c>
      <c r="AA376" s="1850">
        <f t="shared" si="155"/>
        <v>-14.598062769022437</v>
      </c>
      <c r="AB376" s="2733"/>
      <c r="AC376" s="3009"/>
    </row>
    <row r="377" spans="1:29" ht="18.75" x14ac:dyDescent="0.25">
      <c r="A377" s="2982"/>
      <c r="B377" s="2753"/>
      <c r="C377" s="1863">
        <v>2059</v>
      </c>
      <c r="D377" s="218">
        <f t="shared" si="157"/>
        <v>-400305.25528107223</v>
      </c>
      <c r="E377" s="218">
        <f t="shared" si="147"/>
        <v>17499.058302286874</v>
      </c>
      <c r="F377" s="218">
        <f t="shared" si="148"/>
        <v>0</v>
      </c>
      <c r="G377" s="218">
        <f t="shared" si="158"/>
        <v>-12.254242508604248</v>
      </c>
      <c r="H377" s="218">
        <f t="shared" si="159"/>
        <v>-12.254242508604248</v>
      </c>
      <c r="I377" s="218">
        <f t="shared" si="160"/>
        <v>-253.25434517782119</v>
      </c>
      <c r="J377" s="218">
        <f t="shared" si="161"/>
        <v>-8.1694950057361684</v>
      </c>
      <c r="K377" s="218">
        <f t="shared" ref="K377:L387" si="163">$V$12</f>
        <v>-490.16970034417011</v>
      </c>
      <c r="L377" s="218">
        <f t="shared" si="163"/>
        <v>-490.16970034417011</v>
      </c>
      <c r="M377" s="192">
        <f t="shared" si="162"/>
        <v>-3745.7134601300322</v>
      </c>
      <c r="N377" s="211">
        <v>97</v>
      </c>
      <c r="O377" s="211">
        <f>'Emission-Waste Transport Vehicl'!N73</f>
        <v>14.765689206576004</v>
      </c>
      <c r="P377" s="211">
        <f>'Emission-Waste Transport Vehicl'!O73</f>
        <v>21.481002652032004</v>
      </c>
      <c r="Q377" s="211">
        <f>'Emission-Waste Transport Vehicl'!P73</f>
        <v>8.2153834630560016</v>
      </c>
      <c r="R377" s="211">
        <f>'Emission-Waste Transport Vehicl'!Q73</f>
        <v>6.380297808192001</v>
      </c>
      <c r="S377" s="211">
        <f>'Emission-Waste Transport Vehicl'!R73</f>
        <v>0.63502964078400004</v>
      </c>
      <c r="T377" s="211">
        <f>'Emission-Waste Transport Vehicl'!S73</f>
        <v>2.9201363009280005E-2</v>
      </c>
      <c r="U377" s="1850">
        <f t="shared" si="149"/>
        <v>-363334.2056326131</v>
      </c>
      <c r="V377" s="1850">
        <f t="shared" si="150"/>
        <v>-180.9423363440626</v>
      </c>
      <c r="W377" s="1850">
        <f t="shared" si="151"/>
        <v>-263.23341582597118</v>
      </c>
      <c r="X377" s="1850">
        <f t="shared" si="152"/>
        <v>-2080.5815593209486</v>
      </c>
      <c r="Y377" s="1850">
        <f t="shared" si="153"/>
        <v>-52.123811079133972</v>
      </c>
      <c r="Z377" s="1850">
        <f t="shared" si="154"/>
        <v>-311.27228873275931</v>
      </c>
      <c r="AA377" s="1850">
        <f t="shared" si="155"/>
        <v>-14.313623355900113</v>
      </c>
      <c r="AB377" s="2733"/>
      <c r="AC377" s="3009"/>
    </row>
    <row r="378" spans="1:29" ht="18.75" x14ac:dyDescent="0.25">
      <c r="A378" s="2982"/>
      <c r="B378" s="2753"/>
      <c r="C378" s="1863">
        <v>2060</v>
      </c>
      <c r="D378" s="218">
        <f t="shared" si="157"/>
        <v>-400305.25528107223</v>
      </c>
      <c r="E378" s="218">
        <f t="shared" si="147"/>
        <v>17499.058302286874</v>
      </c>
      <c r="F378" s="218">
        <f t="shared" si="148"/>
        <v>0</v>
      </c>
      <c r="G378" s="218">
        <f t="shared" si="158"/>
        <v>-12.254242508604248</v>
      </c>
      <c r="H378" s="218">
        <f t="shared" si="159"/>
        <v>-12.254242508604248</v>
      </c>
      <c r="I378" s="218">
        <f t="shared" si="160"/>
        <v>-253.25434517782119</v>
      </c>
      <c r="J378" s="218">
        <f t="shared" si="161"/>
        <v>-8.1694950057361684</v>
      </c>
      <c r="K378" s="218">
        <f t="shared" si="163"/>
        <v>-490.16970034417011</v>
      </c>
      <c r="L378" s="218">
        <f t="shared" si="163"/>
        <v>-490.16970034417011</v>
      </c>
      <c r="M378" s="192">
        <f t="shared" si="162"/>
        <v>-3745.7134601300322</v>
      </c>
      <c r="N378" s="211">
        <v>97</v>
      </c>
      <c r="O378" s="211">
        <f>'Emission-Waste Transport Vehicl'!N74</f>
        <v>14.475526623360002</v>
      </c>
      <c r="P378" s="211">
        <f>'Emission-Waste Transport Vehicl'!O74</f>
        <v>21.058876523520002</v>
      </c>
      <c r="Q378" s="211">
        <f>'Emission-Waste Transport Vehicl'!P74</f>
        <v>8.0539418361599999</v>
      </c>
      <c r="R378" s="211">
        <f>'Emission-Waste Transport Vehicl'!Q74</f>
        <v>6.2549177011200001</v>
      </c>
      <c r="S378" s="211">
        <f>'Emission-Waste Transport Vehicl'!R74</f>
        <v>0.62255058624000004</v>
      </c>
      <c r="T378" s="211">
        <f>'Emission-Waste Transport Vehicl'!S74</f>
        <v>2.8627523020800003E-2</v>
      </c>
      <c r="U378" s="1850">
        <f t="shared" si="149"/>
        <v>-363334.2056326131</v>
      </c>
      <c r="V378" s="1850">
        <f t="shared" si="150"/>
        <v>-177.38661368241065</v>
      </c>
      <c r="W378" s="1850">
        <f t="shared" si="151"/>
        <v>-258.06057987796686</v>
      </c>
      <c r="X378" s="1850">
        <f t="shared" si="152"/>
        <v>-2039.6957658169597</v>
      </c>
      <c r="Y378" s="1850">
        <f t="shared" si="153"/>
        <v>-51.099518920590597</v>
      </c>
      <c r="Z378" s="1850">
        <f t="shared" si="154"/>
        <v>-305.15543430634824</v>
      </c>
      <c r="AA378" s="1850">
        <f t="shared" si="155"/>
        <v>-14.032344380701369</v>
      </c>
      <c r="AB378" s="2733"/>
      <c r="AC378" s="3009"/>
    </row>
    <row r="379" spans="1:29" ht="18.75" x14ac:dyDescent="0.25">
      <c r="A379" s="2982"/>
      <c r="B379" s="2753"/>
      <c r="C379" s="1863">
        <v>2061</v>
      </c>
      <c r="D379" s="218">
        <f t="shared" si="157"/>
        <v>-400305.25528107223</v>
      </c>
      <c r="E379" s="218">
        <f t="shared" si="147"/>
        <v>17499.058302286874</v>
      </c>
      <c r="F379" s="218">
        <f t="shared" si="148"/>
        <v>0</v>
      </c>
      <c r="G379" s="218">
        <f t="shared" si="158"/>
        <v>-12.254242508604248</v>
      </c>
      <c r="H379" s="218">
        <f t="shared" si="159"/>
        <v>-12.254242508604248</v>
      </c>
      <c r="I379" s="218">
        <f t="shared" si="160"/>
        <v>-253.25434517782119</v>
      </c>
      <c r="J379" s="218">
        <f t="shared" si="161"/>
        <v>-8.1694950057361684</v>
      </c>
      <c r="K379" s="218">
        <f t="shared" si="163"/>
        <v>-490.16970034417011</v>
      </c>
      <c r="L379" s="218">
        <f t="shared" si="163"/>
        <v>-490.16970034417011</v>
      </c>
      <c r="M379" s="192">
        <f t="shared" si="162"/>
        <v>-3745.7134601300322</v>
      </c>
      <c r="N379" s="211">
        <v>97</v>
      </c>
      <c r="O379" s="211">
        <f>'Emission-Waste Transport Vehicl'!N75</f>
        <v>14.191884547632004</v>
      </c>
      <c r="P379" s="211">
        <f>'Emission-Waste Transport Vehicl'!O75</f>
        <v>20.646236375424003</v>
      </c>
      <c r="Q379" s="211">
        <f>'Emission-Waste Transport Vehicl'!P75</f>
        <v>7.8961281109920014</v>
      </c>
      <c r="R379" s="211">
        <f>'Emission-Waste Transport Vehicl'!Q75</f>
        <v>6.1323551245440004</v>
      </c>
      <c r="S379" s="211">
        <f>'Emission-Waste Transport Vehicl'!R75</f>
        <v>0.61035195988800006</v>
      </c>
      <c r="T379" s="211">
        <f>'Emission-Waste Transport Vehicl'!S75</f>
        <v>2.8066578312960003E-2</v>
      </c>
      <c r="U379" s="1850">
        <f t="shared" si="149"/>
        <v>-363334.2056326131</v>
      </c>
      <c r="V379" s="1850">
        <f t="shared" si="150"/>
        <v>-173.91079490079588</v>
      </c>
      <c r="W379" s="1850">
        <f t="shared" si="151"/>
        <v>-253.00398743441212</v>
      </c>
      <c r="X379" s="1850">
        <f t="shared" si="152"/>
        <v>-1999.7287541894655</v>
      </c>
      <c r="Y379" s="1850">
        <f t="shared" si="153"/>
        <v>-50.098244563362812</v>
      </c>
      <c r="Z379" s="1850">
        <f t="shared" si="154"/>
        <v>-299.17603728277794</v>
      </c>
      <c r="AA379" s="1850">
        <f t="shared" si="155"/>
        <v>-13.757386281349788</v>
      </c>
      <c r="AB379" s="2733"/>
      <c r="AC379" s="3009"/>
    </row>
    <row r="380" spans="1:29" ht="18.75" x14ac:dyDescent="0.25">
      <c r="A380" s="2982"/>
      <c r="B380" s="2753"/>
      <c r="C380" s="1863">
        <v>2062</v>
      </c>
      <c r="D380" s="218">
        <f t="shared" si="157"/>
        <v>-400305.25528107223</v>
      </c>
      <c r="E380" s="218">
        <f t="shared" si="147"/>
        <v>17499.058302286874</v>
      </c>
      <c r="F380" s="218">
        <f t="shared" si="148"/>
        <v>0</v>
      </c>
      <c r="G380" s="218">
        <f t="shared" si="158"/>
        <v>-12.254242508604248</v>
      </c>
      <c r="H380" s="218">
        <f t="shared" si="159"/>
        <v>-12.254242508604248</v>
      </c>
      <c r="I380" s="218">
        <f t="shared" si="160"/>
        <v>-253.25434517782119</v>
      </c>
      <c r="J380" s="218">
        <f t="shared" si="161"/>
        <v>-8.1694950057361684</v>
      </c>
      <c r="K380" s="218">
        <f t="shared" si="163"/>
        <v>-490.16970034417011</v>
      </c>
      <c r="L380" s="218">
        <f t="shared" si="163"/>
        <v>-490.16970034417011</v>
      </c>
      <c r="M380" s="192">
        <f t="shared" si="162"/>
        <v>-3745.7134601300322</v>
      </c>
      <c r="N380" s="211">
        <v>97</v>
      </c>
      <c r="O380" s="211">
        <f>'Emission-Waste Transport Vehicl'!N76</f>
        <v>13.914762979392002</v>
      </c>
      <c r="P380" s="211">
        <f>'Emission-Waste Transport Vehicl'!O76</f>
        <v>20.243082207744003</v>
      </c>
      <c r="Q380" s="211">
        <f>'Emission-Waste Transport Vehicl'!P76</f>
        <v>7.7419422875520008</v>
      </c>
      <c r="R380" s="211">
        <f>'Emission-Waste Transport Vehicl'!Q76</f>
        <v>6.0126100784640002</v>
      </c>
      <c r="S380" s="211">
        <f>'Emission-Waste Transport Vehicl'!R76</f>
        <v>0.59843376172800011</v>
      </c>
      <c r="T380" s="211">
        <f>'Emission-Waste Transport Vehicl'!S76</f>
        <v>2.7518528885760004E-2</v>
      </c>
      <c r="U380" s="1850">
        <f t="shared" si="149"/>
        <v>-363334.2056326131</v>
      </c>
      <c r="V380" s="1850">
        <f t="shared" si="150"/>
        <v>-170.51487999921815</v>
      </c>
      <c r="W380" s="1850">
        <f t="shared" si="151"/>
        <v>-248.06363849530689</v>
      </c>
      <c r="X380" s="1850">
        <f t="shared" si="152"/>
        <v>-1960.680524438465</v>
      </c>
      <c r="Y380" s="1850">
        <f t="shared" si="153"/>
        <v>-49.119988007450601</v>
      </c>
      <c r="Z380" s="1850">
        <f t="shared" si="154"/>
        <v>-293.33409766204829</v>
      </c>
      <c r="AA380" s="1850">
        <f t="shared" si="155"/>
        <v>-13.48874905784537</v>
      </c>
      <c r="AB380" s="2733"/>
      <c r="AC380" s="3009"/>
    </row>
    <row r="381" spans="1:29" ht="18.75" x14ac:dyDescent="0.25">
      <c r="A381" s="2982"/>
      <c r="B381" s="2753"/>
      <c r="C381" s="1863">
        <v>2063</v>
      </c>
      <c r="D381" s="218">
        <f t="shared" si="157"/>
        <v>-400305.25528107223</v>
      </c>
      <c r="E381" s="218">
        <f t="shared" si="147"/>
        <v>17499.058302286874</v>
      </c>
      <c r="F381" s="218">
        <f t="shared" si="148"/>
        <v>0</v>
      </c>
      <c r="G381" s="218">
        <f t="shared" si="158"/>
        <v>-12.254242508604248</v>
      </c>
      <c r="H381" s="218">
        <f t="shared" si="159"/>
        <v>-12.254242508604248</v>
      </c>
      <c r="I381" s="218">
        <f t="shared" si="160"/>
        <v>-253.25434517782119</v>
      </c>
      <c r="J381" s="218">
        <f t="shared" si="161"/>
        <v>-8.1694950057361684</v>
      </c>
      <c r="K381" s="218">
        <f t="shared" si="163"/>
        <v>-490.16970034417011</v>
      </c>
      <c r="L381" s="218">
        <f t="shared" si="163"/>
        <v>-490.16970034417011</v>
      </c>
      <c r="M381" s="192">
        <f t="shared" si="162"/>
        <v>-3745.7134601300322</v>
      </c>
      <c r="N381" s="211">
        <v>97</v>
      </c>
      <c r="O381" s="211">
        <f>'Emission-Waste Transport Vehicl'!N77</f>
        <v>13.640901664896001</v>
      </c>
      <c r="P381" s="211">
        <f>'Emission-Waste Transport Vehicl'!O77</f>
        <v>19.844671030272</v>
      </c>
      <c r="Q381" s="211">
        <f>'Emission-Waste Transport Vehicl'!P77</f>
        <v>7.5895704149760004</v>
      </c>
      <c r="R381" s="211">
        <f>'Emission-Waste Transport Vehicl'!Q77</f>
        <v>5.8942737976319997</v>
      </c>
      <c r="S381" s="211">
        <f>'Emission-Waste Transport Vehicl'!R77</f>
        <v>0.58665577766400001</v>
      </c>
      <c r="T381" s="211">
        <f>'Emission-Waste Transport Vehicl'!S77</f>
        <v>2.6976927098879999E-2</v>
      </c>
      <c r="U381" s="1850">
        <f t="shared" si="149"/>
        <v>-363334.2056326131</v>
      </c>
      <c r="V381" s="1850">
        <f t="shared" si="150"/>
        <v>-167.15891703765902</v>
      </c>
      <c r="W381" s="1850">
        <f t="shared" si="151"/>
        <v>-243.18141130842639</v>
      </c>
      <c r="X381" s="1850">
        <f t="shared" si="152"/>
        <v>-1922.0916856257115</v>
      </c>
      <c r="Y381" s="1850">
        <f t="shared" si="153"/>
        <v>-48.153240352196178</v>
      </c>
      <c r="Z381" s="1850">
        <f t="shared" si="154"/>
        <v>-287.56088674273894</v>
      </c>
      <c r="AA381" s="1850">
        <f t="shared" si="155"/>
        <v>-13.223272272264531</v>
      </c>
      <c r="AB381" s="2733"/>
      <c r="AC381" s="3009"/>
    </row>
    <row r="382" spans="1:29" ht="18.75" x14ac:dyDescent="0.25">
      <c r="A382" s="2982"/>
      <c r="B382" s="2753"/>
      <c r="C382" s="1863">
        <v>2064</v>
      </c>
      <c r="D382" s="218">
        <f t="shared" si="157"/>
        <v>-400305.25528107223</v>
      </c>
      <c r="E382" s="218">
        <f t="shared" si="147"/>
        <v>17499.058302286874</v>
      </c>
      <c r="F382" s="218">
        <f t="shared" si="148"/>
        <v>0</v>
      </c>
      <c r="G382" s="218">
        <f t="shared" si="158"/>
        <v>-12.254242508604248</v>
      </c>
      <c r="H382" s="218">
        <f t="shared" si="159"/>
        <v>-12.254242508604248</v>
      </c>
      <c r="I382" s="218">
        <f t="shared" si="160"/>
        <v>-253.25434517782119</v>
      </c>
      <c r="J382" s="218">
        <f t="shared" si="161"/>
        <v>-8.1694950057361684</v>
      </c>
      <c r="K382" s="218">
        <f t="shared" si="163"/>
        <v>-490.16970034417011</v>
      </c>
      <c r="L382" s="218">
        <f t="shared" si="163"/>
        <v>-490.16970034417011</v>
      </c>
      <c r="M382" s="192">
        <f t="shared" si="162"/>
        <v>-3745.7134601300322</v>
      </c>
      <c r="N382" s="211">
        <v>97</v>
      </c>
      <c r="O382" s="211">
        <f>'Emission-Waste Transport Vehicl'!N78</f>
        <v>13.373560857888002</v>
      </c>
      <c r="P382" s="211">
        <f>'Emission-Waste Transport Vehicl'!O78</f>
        <v>19.455745833216003</v>
      </c>
      <c r="Q382" s="211">
        <f>'Emission-Waste Transport Vehicl'!P78</f>
        <v>7.4408264441280014</v>
      </c>
      <c r="R382" s="211">
        <f>'Emission-Waste Transport Vehicl'!Q78</f>
        <v>5.7787550472960003</v>
      </c>
      <c r="S382" s="211">
        <f>'Emission-Waste Transport Vehicl'!R78</f>
        <v>0.57515822179200005</v>
      </c>
      <c r="T382" s="211">
        <f>'Emission-Waste Transport Vehicl'!S78</f>
        <v>2.6448220592640001E-2</v>
      </c>
      <c r="U382" s="1850">
        <f t="shared" si="149"/>
        <v>-363334.2056326131</v>
      </c>
      <c r="V382" s="1850">
        <f t="shared" si="150"/>
        <v>-163.88285795613706</v>
      </c>
      <c r="W382" s="1850">
        <f t="shared" si="151"/>
        <v>-238.41542762599553</v>
      </c>
      <c r="X382" s="1850">
        <f t="shared" si="152"/>
        <v>-1884.4216286894527</v>
      </c>
      <c r="Y382" s="1850">
        <f t="shared" si="153"/>
        <v>-47.209510498257352</v>
      </c>
      <c r="Z382" s="1850">
        <f t="shared" si="154"/>
        <v>-281.92513322627042</v>
      </c>
      <c r="AA382" s="1850">
        <f t="shared" si="155"/>
        <v>-12.964116362530859</v>
      </c>
      <c r="AB382" s="2733"/>
      <c r="AC382" s="3009"/>
    </row>
    <row r="383" spans="1:29" ht="18.75" x14ac:dyDescent="0.25">
      <c r="A383" s="2982"/>
      <c r="B383" s="2753"/>
      <c r="C383" s="1863">
        <v>2065</v>
      </c>
      <c r="D383" s="218">
        <f t="shared" si="157"/>
        <v>-400305.25528107223</v>
      </c>
      <c r="E383" s="218">
        <f t="shared" si="147"/>
        <v>17499.058302286874</v>
      </c>
      <c r="F383" s="218">
        <f t="shared" si="148"/>
        <v>0</v>
      </c>
      <c r="G383" s="218">
        <f t="shared" si="158"/>
        <v>-12.254242508604248</v>
      </c>
      <c r="H383" s="218">
        <f t="shared" si="159"/>
        <v>-12.254242508604248</v>
      </c>
      <c r="I383" s="218">
        <f t="shared" si="160"/>
        <v>-253.25434517782119</v>
      </c>
      <c r="J383" s="218">
        <f t="shared" si="161"/>
        <v>-8.1694950057361684</v>
      </c>
      <c r="K383" s="218">
        <f t="shared" si="163"/>
        <v>-490.16970034417011</v>
      </c>
      <c r="L383" s="218">
        <f t="shared" si="163"/>
        <v>-490.16970034417011</v>
      </c>
      <c r="M383" s="192">
        <f t="shared" si="162"/>
        <v>-3745.7134601300322</v>
      </c>
      <c r="N383" s="211">
        <v>97</v>
      </c>
      <c r="O383" s="211">
        <f>'Emission-Waste Transport Vehicl'!N79</f>
        <v>13.112740558368001</v>
      </c>
      <c r="P383" s="211">
        <f>'Emission-Waste Transport Vehicl'!O79</f>
        <v>19.076306616576002</v>
      </c>
      <c r="Q383" s="211">
        <f>'Emission-Waste Transport Vehicl'!P79</f>
        <v>7.2957103750080003</v>
      </c>
      <c r="R383" s="211">
        <f>'Emission-Waste Transport Vehicl'!Q79</f>
        <v>5.6660538274560004</v>
      </c>
      <c r="S383" s="211">
        <f>'Emission-Waste Transport Vehicl'!R79</f>
        <v>0.56394109411200011</v>
      </c>
      <c r="T383" s="211">
        <f>'Emission-Waste Transport Vehicl'!S79</f>
        <v>2.5932409367040003E-2</v>
      </c>
      <c r="U383" s="1850">
        <f t="shared" si="149"/>
        <v>-363334.2056326131</v>
      </c>
      <c r="V383" s="1850">
        <f t="shared" si="150"/>
        <v>-160.68670275465217</v>
      </c>
      <c r="W383" s="1850">
        <f t="shared" si="151"/>
        <v>-233.76568744801412</v>
      </c>
      <c r="X383" s="1850">
        <f t="shared" si="152"/>
        <v>-1847.6703536296875</v>
      </c>
      <c r="Y383" s="1850">
        <f t="shared" si="153"/>
        <v>-46.2887984456341</v>
      </c>
      <c r="Z383" s="1850">
        <f t="shared" si="154"/>
        <v>-276.42683711264254</v>
      </c>
      <c r="AA383" s="1850">
        <f t="shared" si="155"/>
        <v>-12.711281328644349</v>
      </c>
      <c r="AB383" s="2733"/>
      <c r="AC383" s="3009"/>
    </row>
    <row r="384" spans="1:29" ht="18.75" x14ac:dyDescent="0.25">
      <c r="A384" s="2982"/>
      <c r="B384" s="2753"/>
      <c r="C384" s="1863">
        <v>2066</v>
      </c>
      <c r="D384" s="218">
        <f t="shared" si="157"/>
        <v>-400305.25528107223</v>
      </c>
      <c r="E384" s="218">
        <f t="shared" si="147"/>
        <v>17499.058302286874</v>
      </c>
      <c r="F384" s="218">
        <f t="shared" si="148"/>
        <v>0</v>
      </c>
      <c r="G384" s="218">
        <f t="shared" si="158"/>
        <v>-12.254242508604248</v>
      </c>
      <c r="H384" s="218">
        <f t="shared" si="159"/>
        <v>-12.254242508604248</v>
      </c>
      <c r="I384" s="218">
        <f t="shared" si="160"/>
        <v>-253.25434517782119</v>
      </c>
      <c r="J384" s="218">
        <f t="shared" si="161"/>
        <v>-8.1694950057361684</v>
      </c>
      <c r="K384" s="218">
        <f t="shared" si="163"/>
        <v>-490.16970034417011</v>
      </c>
      <c r="L384" s="218">
        <f t="shared" si="163"/>
        <v>-490.16970034417011</v>
      </c>
      <c r="M384" s="192">
        <f t="shared" si="162"/>
        <v>-3745.7134601300322</v>
      </c>
      <c r="N384" s="211">
        <v>97</v>
      </c>
      <c r="O384" s="211">
        <f>'Emission-Waste Transport Vehicl'!N80</f>
        <v>12.855180512592</v>
      </c>
      <c r="P384" s="211">
        <f>'Emission-Waste Transport Vehicl'!O80</f>
        <v>18.701610390143998</v>
      </c>
      <c r="Q384" s="211">
        <f>'Emission-Waste Transport Vehicl'!P80</f>
        <v>7.1524082567520004</v>
      </c>
      <c r="R384" s="211">
        <f>'Emission-Waste Transport Vehicl'!Q80</f>
        <v>5.5547613728639993</v>
      </c>
      <c r="S384" s="211">
        <f>'Emission-Waste Transport Vehicl'!R80</f>
        <v>0.55286418052800002</v>
      </c>
      <c r="T384" s="211">
        <f>'Emission-Waste Transport Vehicl'!S80</f>
        <v>2.5423045781760002E-2</v>
      </c>
      <c r="U384" s="1850">
        <f t="shared" si="149"/>
        <v>-363334.2056326131</v>
      </c>
      <c r="V384" s="1850">
        <f t="shared" si="150"/>
        <v>-157.53049949318583</v>
      </c>
      <c r="W384" s="1850">
        <f t="shared" si="151"/>
        <v>-229.17406902225744</v>
      </c>
      <c r="X384" s="1850">
        <f t="shared" si="152"/>
        <v>-1811.3784695081695</v>
      </c>
      <c r="Y384" s="1850">
        <f t="shared" si="153"/>
        <v>-45.379595293668622</v>
      </c>
      <c r="Z384" s="1850">
        <f t="shared" si="154"/>
        <v>-270.99726970043491</v>
      </c>
      <c r="AA384" s="1850">
        <f t="shared" si="155"/>
        <v>-12.461606732681417</v>
      </c>
      <c r="AB384" s="2733"/>
      <c r="AC384" s="3009"/>
    </row>
    <row r="385" spans="1:29" ht="18.75" x14ac:dyDescent="0.25">
      <c r="A385" s="2982"/>
      <c r="B385" s="2753"/>
      <c r="C385" s="1863">
        <v>2067</v>
      </c>
      <c r="D385" s="218">
        <f t="shared" si="157"/>
        <v>-400305.25528107223</v>
      </c>
      <c r="E385" s="218">
        <f t="shared" si="147"/>
        <v>17499.058302286874</v>
      </c>
      <c r="F385" s="218">
        <f t="shared" si="148"/>
        <v>0</v>
      </c>
      <c r="G385" s="218">
        <f t="shared" si="158"/>
        <v>-12.254242508604248</v>
      </c>
      <c r="H385" s="218">
        <f t="shared" si="159"/>
        <v>-12.254242508604248</v>
      </c>
      <c r="I385" s="218">
        <f t="shared" si="160"/>
        <v>-253.25434517782119</v>
      </c>
      <c r="J385" s="218">
        <f t="shared" si="161"/>
        <v>-8.1694950057361684</v>
      </c>
      <c r="K385" s="218">
        <f t="shared" si="163"/>
        <v>-490.16970034417011</v>
      </c>
      <c r="L385" s="218">
        <f t="shared" si="163"/>
        <v>-490.16970034417011</v>
      </c>
      <c r="M385" s="192">
        <f t="shared" si="162"/>
        <v>-3745.7134601300322</v>
      </c>
      <c r="N385" s="211">
        <v>97</v>
      </c>
      <c r="O385" s="211">
        <f>'Emission-Waste Transport Vehicl'!N81</f>
        <v>12.600880720560001</v>
      </c>
      <c r="P385" s="211">
        <f>'Emission-Waste Transport Vehicl'!O81</f>
        <v>18.331657153920002</v>
      </c>
      <c r="Q385" s="211">
        <f>'Emission-Waste Transport Vehicl'!P81</f>
        <v>7.0109200893600008</v>
      </c>
      <c r="R385" s="211">
        <f>'Emission-Waste Transport Vehicl'!Q81</f>
        <v>5.4448776835200006</v>
      </c>
      <c r="S385" s="211">
        <f>'Emission-Waste Transport Vehicl'!R81</f>
        <v>0.5419274810400001</v>
      </c>
      <c r="T385" s="211">
        <f>'Emission-Waste Transport Vehicl'!S81</f>
        <v>2.4920129836800003E-2</v>
      </c>
      <c r="U385" s="1850">
        <f t="shared" si="149"/>
        <v>-363334.2056326131</v>
      </c>
      <c r="V385" s="1850">
        <f t="shared" si="150"/>
        <v>-154.41424817173808</v>
      </c>
      <c r="W385" s="1850">
        <f t="shared" si="151"/>
        <v>-224.64057234872567</v>
      </c>
      <c r="X385" s="1850">
        <f t="shared" si="152"/>
        <v>-1775.5459763248987</v>
      </c>
      <c r="Y385" s="1850">
        <f t="shared" si="153"/>
        <v>-44.48190104236096</v>
      </c>
      <c r="Z385" s="1850">
        <f t="shared" si="154"/>
        <v>-265.63643098964781</v>
      </c>
      <c r="AA385" s="1850">
        <f t="shared" si="155"/>
        <v>-12.215092574642071</v>
      </c>
      <c r="AB385" s="2733"/>
      <c r="AC385" s="3009"/>
    </row>
    <row r="386" spans="1:29" ht="18.75" x14ac:dyDescent="0.25">
      <c r="A386" s="2982"/>
      <c r="B386" s="2753"/>
      <c r="C386" s="1863">
        <v>2068</v>
      </c>
      <c r="D386" s="218">
        <f t="shared" si="157"/>
        <v>-400305.25528107223</v>
      </c>
      <c r="E386" s="218">
        <f t="shared" si="147"/>
        <v>17499.058302286874</v>
      </c>
      <c r="F386" s="218">
        <f t="shared" si="148"/>
        <v>0</v>
      </c>
      <c r="G386" s="218">
        <f t="shared" si="158"/>
        <v>-12.254242508604248</v>
      </c>
      <c r="H386" s="218">
        <f t="shared" si="159"/>
        <v>-12.254242508604248</v>
      </c>
      <c r="I386" s="218">
        <f t="shared" si="160"/>
        <v>-253.25434517782119</v>
      </c>
      <c r="J386" s="218">
        <f t="shared" si="161"/>
        <v>-8.1694950057361684</v>
      </c>
      <c r="K386" s="218">
        <f t="shared" si="163"/>
        <v>-490.16970034417011</v>
      </c>
      <c r="L386" s="218">
        <f t="shared" si="163"/>
        <v>-490.16970034417011</v>
      </c>
      <c r="M386" s="192">
        <f t="shared" si="162"/>
        <v>-3745.7134601300322</v>
      </c>
      <c r="N386" s="211">
        <v>97</v>
      </c>
      <c r="O386" s="211">
        <f>'Emission-Waste Transport Vehicl'!N82</f>
        <v>12.356361689760002</v>
      </c>
      <c r="P386" s="211">
        <f>'Emission-Waste Transport Vehicl'!O82</f>
        <v>17.975932888320003</v>
      </c>
      <c r="Q386" s="211">
        <f>'Emission-Waste Transport Vehicl'!P82</f>
        <v>6.8748737745600002</v>
      </c>
      <c r="R386" s="211">
        <f>'Emission-Waste Transport Vehicl'!Q82</f>
        <v>5.339220289920001</v>
      </c>
      <c r="S386" s="211">
        <f>'Emission-Waste Transport Vehicl'!R82</f>
        <v>0.53141142384000006</v>
      </c>
      <c r="T386" s="211">
        <f>'Emission-Waste Transport Vehicl'!S82</f>
        <v>2.4436556812800003E-2</v>
      </c>
      <c r="U386" s="1850">
        <f t="shared" si="149"/>
        <v>-363334.2056326131</v>
      </c>
      <c r="V386" s="1850">
        <f t="shared" si="150"/>
        <v>-151.41785267034604</v>
      </c>
      <c r="W386" s="1850">
        <f t="shared" si="151"/>
        <v>-220.2814409318681</v>
      </c>
      <c r="X386" s="1850">
        <f t="shared" si="152"/>
        <v>-1741.0916559563689</v>
      </c>
      <c r="Y386" s="1850">
        <f t="shared" si="153"/>
        <v>-43.618733493026667</v>
      </c>
      <c r="Z386" s="1850">
        <f t="shared" si="154"/>
        <v>-260.48177838312159</v>
      </c>
      <c r="AA386" s="1850">
        <f t="shared" si="155"/>
        <v>-11.978059730373467</v>
      </c>
      <c r="AB386" s="2733"/>
      <c r="AC386" s="3009"/>
    </row>
    <row r="387" spans="1:29" ht="19.5" thickBot="1" x14ac:dyDescent="0.3">
      <c r="A387" s="2983"/>
      <c r="B387" s="2754"/>
      <c r="C387" s="1864">
        <v>2069</v>
      </c>
      <c r="D387" s="222">
        <f t="shared" si="157"/>
        <v>-400305.25528107223</v>
      </c>
      <c r="E387" s="222">
        <f t="shared" si="147"/>
        <v>17499.058302286874</v>
      </c>
      <c r="F387" s="222">
        <f t="shared" si="148"/>
        <v>0</v>
      </c>
      <c r="G387" s="222">
        <f t="shared" si="158"/>
        <v>-12.254242508604248</v>
      </c>
      <c r="H387" s="222">
        <f t="shared" si="159"/>
        <v>-12.254242508604248</v>
      </c>
      <c r="I387" s="222">
        <f t="shared" si="160"/>
        <v>-253.25434517782119</v>
      </c>
      <c r="J387" s="222">
        <f t="shared" si="161"/>
        <v>-8.1694950057361684</v>
      </c>
      <c r="K387" s="222">
        <f t="shared" si="163"/>
        <v>-490.16970034417011</v>
      </c>
      <c r="L387" s="222">
        <f t="shared" si="163"/>
        <v>-490.16970034417011</v>
      </c>
      <c r="M387" s="220">
        <f t="shared" si="162"/>
        <v>-3745.7134601300322</v>
      </c>
      <c r="N387" s="416">
        <v>97</v>
      </c>
      <c r="O387" s="416">
        <f>'Emission-Waste Transport Vehicl'!N83</f>
        <v>12.111842658960002</v>
      </c>
      <c r="P387" s="416">
        <f>'Emission-Waste Transport Vehicl'!O83</f>
        <v>17.62020862272</v>
      </c>
      <c r="Q387" s="416">
        <f>'Emission-Waste Transport Vehicl'!P83</f>
        <v>6.7388274597600004</v>
      </c>
      <c r="R387" s="416">
        <f>'Emission-Waste Transport Vehicl'!Q83</f>
        <v>5.2335628963200005</v>
      </c>
      <c r="S387" s="416">
        <f>'Emission-Waste Transport Vehicl'!R83</f>
        <v>0.52089536664000002</v>
      </c>
      <c r="T387" s="416">
        <f>'Emission-Waste Transport Vehicl'!S83</f>
        <v>2.3952983788800002E-2</v>
      </c>
      <c r="U387" s="175">
        <f t="shared" si="149"/>
        <v>-363334.2056326131</v>
      </c>
      <c r="V387" s="175">
        <f t="shared" si="150"/>
        <v>-148.42145716895396</v>
      </c>
      <c r="W387" s="175">
        <f t="shared" si="151"/>
        <v>-215.92230951501054</v>
      </c>
      <c r="X387" s="175">
        <f t="shared" si="152"/>
        <v>-1706.6373355878391</v>
      </c>
      <c r="Y387" s="175">
        <f t="shared" si="153"/>
        <v>-42.755565943692361</v>
      </c>
      <c r="Z387" s="175">
        <f t="shared" si="154"/>
        <v>-255.32712577659544</v>
      </c>
      <c r="AA387" s="175">
        <f t="shared" si="155"/>
        <v>-11.74102688610486</v>
      </c>
      <c r="AB387" s="2735"/>
      <c r="AC387" s="3009"/>
    </row>
    <row r="388" spans="1:29" ht="18.75" x14ac:dyDescent="0.25">
      <c r="A388" s="3007" t="s">
        <v>221</v>
      </c>
      <c r="B388" s="2752" t="s">
        <v>1803</v>
      </c>
      <c r="C388" s="1862">
        <v>2019</v>
      </c>
      <c r="D388" s="216">
        <f t="shared" ref="D388:D419" si="164">$AC$14</f>
        <v>-254432.63772672549</v>
      </c>
      <c r="E388" s="216">
        <f>$AB$14*28</f>
        <v>9649.1162358135371</v>
      </c>
      <c r="F388" s="216">
        <f>$AD$14*298</f>
        <v>0</v>
      </c>
      <c r="G388" s="216">
        <f t="shared" ref="G388:G419" si="165">$Y$14</f>
        <v>-12.882665201353189</v>
      </c>
      <c r="H388" s="216">
        <f t="shared" ref="H388:H419" si="166">$Z$14</f>
        <v>-3.2206663003382947</v>
      </c>
      <c r="I388" s="216">
        <f t="shared" ref="I388:I419" si="167">$X$14</f>
        <v>-67.633992307104208</v>
      </c>
      <c r="J388" s="216">
        <f t="shared" ref="J388:J419" si="168">$AA$14</f>
        <v>-3.2206663003382974</v>
      </c>
      <c r="K388" s="216">
        <f t="shared" ref="K388:K419" si="169">$V$14</f>
        <v>-341.3906278358595</v>
      </c>
      <c r="L388" s="216">
        <f t="shared" ref="L388:L419" si="170">$W$14</f>
        <v>-1236.7358593299059</v>
      </c>
      <c r="M388" s="217">
        <f t="shared" ref="M388:M414" si="171">(D388/1000)+(E388/1000)+(F388/1000)</f>
        <v>-244.78352149091194</v>
      </c>
      <c r="N388" s="643">
        <v>62</v>
      </c>
      <c r="O388" s="643">
        <f>'Emission-Waste Transport Vehicl'!N33</f>
        <v>32.602537440000006</v>
      </c>
      <c r="P388" s="643">
        <f>'Emission-Waste Transport Vehicl'!O33</f>
        <v>47.429902080000005</v>
      </c>
      <c r="Q388" s="643">
        <f>'Emission-Waste Transport Vehicl'!P33</f>
        <v>18.139508640000003</v>
      </c>
      <c r="R388" s="643">
        <f>'Emission-Waste Transport Vehicl'!Q33</f>
        <v>14.087652480000001</v>
      </c>
      <c r="S388" s="643">
        <f>'Emission-Waste Transport Vehicl'!R33</f>
        <v>1.4021409600000001</v>
      </c>
      <c r="T388" s="643">
        <f>'Emission-Waste Transport Vehicl'!S33</f>
        <v>6.4476403200000004E-2</v>
      </c>
      <c r="U388" s="644">
        <f t="shared" si="149"/>
        <v>-15176.57833243654</v>
      </c>
      <c r="V388" s="644">
        <f t="shared" si="150"/>
        <v>-420.00757455410258</v>
      </c>
      <c r="W388" s="644">
        <f t="shared" si="151"/>
        <v>-152.75588725740121</v>
      </c>
      <c r="X388" s="644">
        <f t="shared" si="152"/>
        <v>-1226.8473878124105</v>
      </c>
      <c r="Y388" s="644">
        <f t="shared" si="153"/>
        <v>-45.37162759321324</v>
      </c>
      <c r="Z388" s="644">
        <f t="shared" si="154"/>
        <v>-478.67778264877478</v>
      </c>
      <c r="AA388" s="644">
        <f t="shared" si="155"/>
        <v>-79.740279918053503</v>
      </c>
      <c r="AB388" s="2732">
        <f>(SUM(U388:U438)*1.2682)+(SUM(V388:V438))+(SUM(W388:W438))+(SUM(X388:X438))+(SUM(Y388:Y438))+(SUM(Z388:Z438))+(SUM(AA388:AA438))</f>
        <v>-1442270.0513087374</v>
      </c>
      <c r="AC388" s="3009"/>
    </row>
    <row r="389" spans="1:29" ht="18.75" x14ac:dyDescent="0.25">
      <c r="A389" s="2982"/>
      <c r="B389" s="2753"/>
      <c r="C389" s="1863">
        <v>2020</v>
      </c>
      <c r="D389" s="218">
        <f t="shared" si="164"/>
        <v>-254432.63772672549</v>
      </c>
      <c r="E389" s="221">
        <f t="shared" ref="E389:E438" si="172">$AB$14*28</f>
        <v>9649.1162358135371</v>
      </c>
      <c r="F389" s="221">
        <f t="shared" ref="F389:F438" si="173">$AD$14*298</f>
        <v>0</v>
      </c>
      <c r="G389" s="218">
        <f t="shared" si="165"/>
        <v>-12.882665201353189</v>
      </c>
      <c r="H389" s="218">
        <f t="shared" si="166"/>
        <v>-3.2206663003382947</v>
      </c>
      <c r="I389" s="218">
        <f t="shared" si="167"/>
        <v>-67.633992307104208</v>
      </c>
      <c r="J389" s="218">
        <f t="shared" si="168"/>
        <v>-3.2206663003382974</v>
      </c>
      <c r="K389" s="218">
        <f t="shared" si="169"/>
        <v>-341.3906278358595</v>
      </c>
      <c r="L389" s="218">
        <f t="shared" si="170"/>
        <v>-1236.7358593299059</v>
      </c>
      <c r="M389" s="192">
        <f t="shared" si="171"/>
        <v>-244.78352149091194</v>
      </c>
      <c r="N389" s="211">
        <v>64</v>
      </c>
      <c r="O389" s="211">
        <f>'Emission-Waste Transport Vehicl'!N34</f>
        <v>31.963527706176006</v>
      </c>
      <c r="P389" s="211">
        <f>'Emission-Waste Transport Vehicl'!O34</f>
        <v>46.500275999232002</v>
      </c>
      <c r="Q389" s="211">
        <f>'Emission-Waste Transport Vehicl'!P34</f>
        <v>17.783974270656003</v>
      </c>
      <c r="R389" s="211">
        <f>'Emission-Waste Transport Vehicl'!Q34</f>
        <v>13.811534491392001</v>
      </c>
      <c r="S389" s="211">
        <f>'Emission-Waste Transport Vehicl'!R34</f>
        <v>1.3746589971840002</v>
      </c>
      <c r="T389" s="211">
        <f>'Emission-Waste Transport Vehicl'!S34</f>
        <v>6.3212665697280013E-2</v>
      </c>
      <c r="U389" s="1850">
        <f t="shared" si="149"/>
        <v>-15666.145375418364</v>
      </c>
      <c r="V389" s="1850">
        <f t="shared" si="150"/>
        <v>-411.77542609284217</v>
      </c>
      <c r="W389" s="1850">
        <f t="shared" si="151"/>
        <v>-149.76187186715615</v>
      </c>
      <c r="X389" s="1850">
        <f t="shared" si="152"/>
        <v>-1202.8011790112873</v>
      </c>
      <c r="Y389" s="1850">
        <f t="shared" si="153"/>
        <v>-44.482343692386266</v>
      </c>
      <c r="Z389" s="1850">
        <f t="shared" si="154"/>
        <v>-469.29569810885886</v>
      </c>
      <c r="AA389" s="1850">
        <f t="shared" si="155"/>
        <v>-78.177370431659668</v>
      </c>
      <c r="AB389" s="2733"/>
      <c r="AC389" s="3009"/>
    </row>
    <row r="390" spans="1:29" ht="18.75" x14ac:dyDescent="0.25">
      <c r="A390" s="2982"/>
      <c r="B390" s="2753"/>
      <c r="C390" s="1863">
        <v>2021</v>
      </c>
      <c r="D390" s="218">
        <f t="shared" si="164"/>
        <v>-254432.63772672549</v>
      </c>
      <c r="E390" s="221">
        <f t="shared" si="172"/>
        <v>9649.1162358135371</v>
      </c>
      <c r="F390" s="221">
        <f t="shared" si="173"/>
        <v>0</v>
      </c>
      <c r="G390" s="218">
        <f t="shared" si="165"/>
        <v>-12.882665201353189</v>
      </c>
      <c r="H390" s="218">
        <f t="shared" si="166"/>
        <v>-3.2206663003382947</v>
      </c>
      <c r="I390" s="218">
        <f t="shared" si="167"/>
        <v>-67.633992307104208</v>
      </c>
      <c r="J390" s="218">
        <f t="shared" si="168"/>
        <v>-3.2206663003382974</v>
      </c>
      <c r="K390" s="218">
        <f t="shared" si="169"/>
        <v>-341.3906278358595</v>
      </c>
      <c r="L390" s="218">
        <f t="shared" si="170"/>
        <v>-1236.7358593299059</v>
      </c>
      <c r="M390" s="192">
        <f t="shared" si="171"/>
        <v>-244.78352149091194</v>
      </c>
      <c r="N390" s="211">
        <v>65</v>
      </c>
      <c r="O390" s="211">
        <f>'Emission-Waste Transport Vehicl'!N35</f>
        <v>31.337558987328006</v>
      </c>
      <c r="P390" s="211">
        <f>'Emission-Waste Transport Vehicl'!O35</f>
        <v>45.589621879296011</v>
      </c>
      <c r="Q390" s="211">
        <f>'Emission-Waste Transport Vehicl'!P35</f>
        <v>17.435695704768001</v>
      </c>
      <c r="R390" s="211">
        <f>'Emission-Waste Transport Vehicl'!Q35</f>
        <v>13.541051563776001</v>
      </c>
      <c r="S390" s="211">
        <f>'Emission-Waste Transport Vehicl'!R35</f>
        <v>1.3477378907520003</v>
      </c>
      <c r="T390" s="211">
        <f>'Emission-Waste Transport Vehicl'!S35</f>
        <v>6.1974718755840007E-2</v>
      </c>
      <c r="U390" s="1850">
        <f t="shared" si="149"/>
        <v>-15910.928896909276</v>
      </c>
      <c r="V390" s="1850">
        <f t="shared" si="150"/>
        <v>-403.71128066140341</v>
      </c>
      <c r="W390" s="1850">
        <f t="shared" si="151"/>
        <v>-146.82895883181405</v>
      </c>
      <c r="X390" s="1850">
        <f t="shared" si="152"/>
        <v>-1179.2457091652889</v>
      </c>
      <c r="Y390" s="1850">
        <f t="shared" si="153"/>
        <v>-43.61120844259657</v>
      </c>
      <c r="Z390" s="1850">
        <f t="shared" si="154"/>
        <v>-460.10508468200243</v>
      </c>
      <c r="AA390" s="1850">
        <f t="shared" si="155"/>
        <v>-76.646357057233033</v>
      </c>
      <c r="AB390" s="2733"/>
      <c r="AC390" s="3009"/>
    </row>
    <row r="391" spans="1:29" ht="18.75" x14ac:dyDescent="0.25">
      <c r="A391" s="2982"/>
      <c r="B391" s="2753"/>
      <c r="C391" s="1863">
        <v>2022</v>
      </c>
      <c r="D391" s="218">
        <f t="shared" si="164"/>
        <v>-254432.63772672549</v>
      </c>
      <c r="E391" s="221">
        <f t="shared" si="172"/>
        <v>9649.1162358135371</v>
      </c>
      <c r="F391" s="221">
        <f t="shared" si="173"/>
        <v>0</v>
      </c>
      <c r="G391" s="218">
        <f t="shared" si="165"/>
        <v>-12.882665201353189</v>
      </c>
      <c r="H391" s="218">
        <f t="shared" si="166"/>
        <v>-3.2206663003382947</v>
      </c>
      <c r="I391" s="218">
        <f t="shared" si="167"/>
        <v>-67.633992307104208</v>
      </c>
      <c r="J391" s="218">
        <f t="shared" si="168"/>
        <v>-3.2206663003382974</v>
      </c>
      <c r="K391" s="218">
        <f t="shared" si="169"/>
        <v>-341.3906278358595</v>
      </c>
      <c r="L391" s="218">
        <f t="shared" si="170"/>
        <v>-1236.7358593299059</v>
      </c>
      <c r="M391" s="192">
        <f t="shared" si="171"/>
        <v>-244.78352149091194</v>
      </c>
      <c r="N391" s="211">
        <v>66</v>
      </c>
      <c r="O391" s="211">
        <f>'Emission-Waste Transport Vehicl'!N36</f>
        <v>30.721371029712003</v>
      </c>
      <c r="P391" s="211">
        <f>'Emission-Waste Transport Vehicl'!O36</f>
        <v>44.693196729984003</v>
      </c>
      <c r="Q391" s="211">
        <f>'Emission-Waste Transport Vehicl'!P36</f>
        <v>17.092858991472003</v>
      </c>
      <c r="R391" s="211">
        <f>'Emission-Waste Transport Vehicl'!Q36</f>
        <v>13.274794931903999</v>
      </c>
      <c r="S391" s="211">
        <f>'Emission-Waste Transport Vehicl'!R36</f>
        <v>1.3212374266080003</v>
      </c>
      <c r="T391" s="211">
        <f>'Emission-Waste Transport Vehicl'!S36</f>
        <v>6.0756114735360002E-2</v>
      </c>
      <c r="U391" s="1850">
        <f t="shared" si="149"/>
        <v>-16155.712418400188</v>
      </c>
      <c r="V391" s="1850">
        <f t="shared" si="150"/>
        <v>-395.77313750233083</v>
      </c>
      <c r="W391" s="1850">
        <f t="shared" si="151"/>
        <v>-143.94187256264914</v>
      </c>
      <c r="X391" s="1850">
        <f t="shared" si="152"/>
        <v>-1156.0582935356344</v>
      </c>
      <c r="Y391" s="1850">
        <f t="shared" si="153"/>
        <v>-42.753684681084835</v>
      </c>
      <c r="Z391" s="1850">
        <f t="shared" si="154"/>
        <v>-451.05807458994053</v>
      </c>
      <c r="AA391" s="1850">
        <f t="shared" si="155"/>
        <v>-75.139265766781804</v>
      </c>
      <c r="AB391" s="2733"/>
      <c r="AC391" s="3009"/>
    </row>
    <row r="392" spans="1:29" ht="18.75" x14ac:dyDescent="0.25">
      <c r="A392" s="2982"/>
      <c r="B392" s="2753"/>
      <c r="C392" s="1863">
        <v>2023</v>
      </c>
      <c r="D392" s="218">
        <f t="shared" si="164"/>
        <v>-254432.63772672549</v>
      </c>
      <c r="E392" s="221">
        <f t="shared" si="172"/>
        <v>9649.1162358135371</v>
      </c>
      <c r="F392" s="221">
        <f t="shared" si="173"/>
        <v>0</v>
      </c>
      <c r="G392" s="218">
        <f t="shared" si="165"/>
        <v>-12.882665201353189</v>
      </c>
      <c r="H392" s="218">
        <f t="shared" si="166"/>
        <v>-3.2206663003382947</v>
      </c>
      <c r="I392" s="218">
        <f t="shared" si="167"/>
        <v>-67.633992307104208</v>
      </c>
      <c r="J392" s="218">
        <f t="shared" si="168"/>
        <v>-3.2206663003382974</v>
      </c>
      <c r="K392" s="218">
        <f t="shared" si="169"/>
        <v>-341.3906278358595</v>
      </c>
      <c r="L392" s="218">
        <f t="shared" si="170"/>
        <v>-1236.7358593299059</v>
      </c>
      <c r="M392" s="192">
        <f t="shared" si="171"/>
        <v>-244.78352149091194</v>
      </c>
      <c r="N392" s="211">
        <v>67</v>
      </c>
      <c r="O392" s="211">
        <f>'Emission-Waste Transport Vehicl'!N37</f>
        <v>30.118224087072001</v>
      </c>
      <c r="P392" s="211">
        <f>'Emission-Waste Transport Vehicl'!O37</f>
        <v>43.815743541504006</v>
      </c>
      <c r="Q392" s="211">
        <f>'Emission-Waste Transport Vehicl'!P37</f>
        <v>16.757278081632002</v>
      </c>
      <c r="R392" s="211">
        <f>'Emission-Waste Transport Vehicl'!Q37</f>
        <v>13.014173361024</v>
      </c>
      <c r="S392" s="211">
        <f>'Emission-Waste Transport Vehicl'!R37</f>
        <v>1.295297818848</v>
      </c>
      <c r="T392" s="211">
        <f>'Emission-Waste Transport Vehicl'!S37</f>
        <v>5.9563301276160004E-2</v>
      </c>
      <c r="U392" s="1850">
        <f t="shared" si="149"/>
        <v>-16400.495939891101</v>
      </c>
      <c r="V392" s="1850">
        <f t="shared" si="150"/>
        <v>-388.00299737307989</v>
      </c>
      <c r="W392" s="1850">
        <f t="shared" si="151"/>
        <v>-141.11588864838723</v>
      </c>
      <c r="X392" s="1850">
        <f t="shared" si="152"/>
        <v>-1133.3616168611047</v>
      </c>
      <c r="Y392" s="1850">
        <f t="shared" si="153"/>
        <v>-41.914309570610392</v>
      </c>
      <c r="Z392" s="1850">
        <f t="shared" si="154"/>
        <v>-442.20253561093813</v>
      </c>
      <c r="AA392" s="1850">
        <f t="shared" si="155"/>
        <v>-73.664070588297818</v>
      </c>
      <c r="AB392" s="2733"/>
      <c r="AC392" s="3009"/>
    </row>
    <row r="393" spans="1:29" ht="18.75" x14ac:dyDescent="0.25">
      <c r="A393" s="2982"/>
      <c r="B393" s="2753"/>
      <c r="C393" s="1863">
        <v>2024</v>
      </c>
      <c r="D393" s="218">
        <f t="shared" si="164"/>
        <v>-254432.63772672549</v>
      </c>
      <c r="E393" s="221">
        <f t="shared" si="172"/>
        <v>9649.1162358135371</v>
      </c>
      <c r="F393" s="221">
        <f t="shared" si="173"/>
        <v>0</v>
      </c>
      <c r="G393" s="218">
        <f t="shared" si="165"/>
        <v>-12.882665201353189</v>
      </c>
      <c r="H393" s="218">
        <f t="shared" si="166"/>
        <v>-3.2206663003382947</v>
      </c>
      <c r="I393" s="218">
        <f t="shared" si="167"/>
        <v>-67.633992307104208</v>
      </c>
      <c r="J393" s="218">
        <f t="shared" si="168"/>
        <v>-3.2206663003382974</v>
      </c>
      <c r="K393" s="218">
        <f t="shared" si="169"/>
        <v>-341.3906278358595</v>
      </c>
      <c r="L393" s="218">
        <f t="shared" si="170"/>
        <v>-1236.7358593299059</v>
      </c>
      <c r="M393" s="192">
        <f t="shared" si="171"/>
        <v>-244.78352149091194</v>
      </c>
      <c r="N393" s="211">
        <v>68</v>
      </c>
      <c r="O393" s="211">
        <f>'Emission-Waste Transport Vehicl'!N38</f>
        <v>29.528118159408002</v>
      </c>
      <c r="P393" s="211">
        <f>'Emission-Waste Transport Vehicl'!O38</f>
        <v>42.957262313856006</v>
      </c>
      <c r="Q393" s="211">
        <f>'Emission-Waste Transport Vehicl'!P38</f>
        <v>16.428952975248002</v>
      </c>
      <c r="R393" s="211">
        <f>'Emission-Waste Transport Vehicl'!Q38</f>
        <v>12.759186851135999</v>
      </c>
      <c r="S393" s="211">
        <f>'Emission-Waste Transport Vehicl'!R38</f>
        <v>1.269919067472</v>
      </c>
      <c r="T393" s="211">
        <f>'Emission-Waste Transport Vehicl'!S38</f>
        <v>5.8396278378240005E-2</v>
      </c>
      <c r="U393" s="1850">
        <f t="shared" si="149"/>
        <v>-16645.279461382012</v>
      </c>
      <c r="V393" s="1850">
        <f t="shared" si="150"/>
        <v>-380.40086027365066</v>
      </c>
      <c r="W393" s="1850">
        <f t="shared" si="151"/>
        <v>-138.35100708902829</v>
      </c>
      <c r="X393" s="1850">
        <f t="shared" si="152"/>
        <v>-1111.1556791417001</v>
      </c>
      <c r="Y393" s="1850">
        <f t="shared" si="153"/>
        <v>-41.093083111173229</v>
      </c>
      <c r="Z393" s="1850">
        <f t="shared" si="154"/>
        <v>-433.53846774499533</v>
      </c>
      <c r="AA393" s="1850">
        <f t="shared" si="155"/>
        <v>-72.22077152178106</v>
      </c>
      <c r="AB393" s="2733"/>
      <c r="AC393" s="3009"/>
    </row>
    <row r="394" spans="1:29" ht="18.75" x14ac:dyDescent="0.25">
      <c r="A394" s="2982"/>
      <c r="B394" s="2753"/>
      <c r="C394" s="1863">
        <v>2025</v>
      </c>
      <c r="D394" s="218">
        <f t="shared" si="164"/>
        <v>-254432.63772672549</v>
      </c>
      <c r="E394" s="221">
        <f t="shared" si="172"/>
        <v>9649.1162358135371</v>
      </c>
      <c r="F394" s="221">
        <f t="shared" si="173"/>
        <v>0</v>
      </c>
      <c r="G394" s="218">
        <f t="shared" si="165"/>
        <v>-12.882665201353189</v>
      </c>
      <c r="H394" s="218">
        <f t="shared" si="166"/>
        <v>-3.2206663003382947</v>
      </c>
      <c r="I394" s="218">
        <f t="shared" si="167"/>
        <v>-67.633992307104208</v>
      </c>
      <c r="J394" s="218">
        <f t="shared" si="168"/>
        <v>-3.2206663003382974</v>
      </c>
      <c r="K394" s="218">
        <f t="shared" si="169"/>
        <v>-341.3906278358595</v>
      </c>
      <c r="L394" s="218">
        <f t="shared" si="170"/>
        <v>-1236.7358593299059</v>
      </c>
      <c r="M394" s="192">
        <f t="shared" si="171"/>
        <v>-244.78352149091194</v>
      </c>
      <c r="N394" s="211">
        <v>69</v>
      </c>
      <c r="O394" s="211">
        <f>'Emission-Waste Transport Vehicl'!N39</f>
        <v>28.951053246720004</v>
      </c>
      <c r="P394" s="211">
        <f>'Emission-Waste Transport Vehicl'!O39</f>
        <v>42.117753047040004</v>
      </c>
      <c r="Q394" s="211">
        <f>'Emission-Waste Transport Vehicl'!P39</f>
        <v>16.10788367232</v>
      </c>
      <c r="R394" s="211">
        <f>'Emission-Waste Transport Vehicl'!Q39</f>
        <v>12.50983540224</v>
      </c>
      <c r="S394" s="211">
        <f>'Emission-Waste Transport Vehicl'!R39</f>
        <v>1.2451011724800001</v>
      </c>
      <c r="T394" s="211">
        <f>'Emission-Waste Transport Vehicl'!S39</f>
        <v>5.7255046041600005E-2</v>
      </c>
      <c r="U394" s="1850">
        <f t="shared" si="149"/>
        <v>-16890.062982872925</v>
      </c>
      <c r="V394" s="1850">
        <f t="shared" si="150"/>
        <v>-372.96672620404308</v>
      </c>
      <c r="W394" s="1850">
        <f t="shared" si="151"/>
        <v>-135.64722788457226</v>
      </c>
      <c r="X394" s="1850">
        <f t="shared" si="152"/>
        <v>-1089.4404803774203</v>
      </c>
      <c r="Y394" s="1850">
        <f t="shared" si="153"/>
        <v>-40.290005302773359</v>
      </c>
      <c r="Z394" s="1850">
        <f t="shared" si="154"/>
        <v>-425.06587099211202</v>
      </c>
      <c r="AA394" s="1850">
        <f t="shared" si="155"/>
        <v>-70.809368567231516</v>
      </c>
      <c r="AB394" s="2733"/>
      <c r="AC394" s="3009"/>
    </row>
    <row r="395" spans="1:29" ht="18.75" x14ac:dyDescent="0.25">
      <c r="A395" s="2982"/>
      <c r="B395" s="2753"/>
      <c r="C395" s="1863">
        <v>2026</v>
      </c>
      <c r="D395" s="218">
        <f t="shared" si="164"/>
        <v>-254432.63772672549</v>
      </c>
      <c r="E395" s="221">
        <f t="shared" si="172"/>
        <v>9649.1162358135371</v>
      </c>
      <c r="F395" s="221">
        <f t="shared" si="173"/>
        <v>0</v>
      </c>
      <c r="G395" s="218">
        <f t="shared" si="165"/>
        <v>-12.882665201353189</v>
      </c>
      <c r="H395" s="218">
        <f t="shared" si="166"/>
        <v>-3.2206663003382947</v>
      </c>
      <c r="I395" s="218">
        <f t="shared" si="167"/>
        <v>-67.633992307104208</v>
      </c>
      <c r="J395" s="218">
        <f t="shared" si="168"/>
        <v>-3.2206663003382974</v>
      </c>
      <c r="K395" s="218">
        <f t="shared" si="169"/>
        <v>-341.3906278358595</v>
      </c>
      <c r="L395" s="218">
        <f t="shared" si="170"/>
        <v>-1236.7358593299059</v>
      </c>
      <c r="M395" s="192">
        <f t="shared" si="171"/>
        <v>-244.78352149091194</v>
      </c>
      <c r="N395" s="211">
        <v>70</v>
      </c>
      <c r="O395" s="211">
        <f>'Emission-Waste Transport Vehicl'!N40</f>
        <v>28.383769095264007</v>
      </c>
      <c r="P395" s="211">
        <f>'Emission-Waste Transport Vehicl'!O40</f>
        <v>41.292472750848006</v>
      </c>
      <c r="Q395" s="211">
        <f>'Emission-Waste Transport Vehicl'!P40</f>
        <v>15.792256221984003</v>
      </c>
      <c r="R395" s="211">
        <f>'Emission-Waste Transport Vehicl'!Q40</f>
        <v>12.264710249088001</v>
      </c>
      <c r="S395" s="211">
        <f>'Emission-Waste Transport Vehicl'!R40</f>
        <v>1.2207039197760001</v>
      </c>
      <c r="T395" s="211">
        <f>'Emission-Waste Transport Vehicl'!S40</f>
        <v>5.6133156625920007E-2</v>
      </c>
      <c r="U395" s="1850">
        <f t="shared" si="149"/>
        <v>-17134.846504363835</v>
      </c>
      <c r="V395" s="1850">
        <f t="shared" si="150"/>
        <v>-365.65859440680174</v>
      </c>
      <c r="W395" s="1850">
        <f t="shared" si="151"/>
        <v>-132.9892754462935</v>
      </c>
      <c r="X395" s="1850">
        <f t="shared" si="152"/>
        <v>-1068.0933358294847</v>
      </c>
      <c r="Y395" s="1850">
        <f t="shared" si="153"/>
        <v>-39.500538982651449</v>
      </c>
      <c r="Z395" s="1850">
        <f t="shared" si="154"/>
        <v>-416.73687757402337</v>
      </c>
      <c r="AA395" s="1850">
        <f t="shared" si="155"/>
        <v>-69.421887696657379</v>
      </c>
      <c r="AB395" s="2733"/>
      <c r="AC395" s="3009"/>
    </row>
    <row r="396" spans="1:29" ht="18.75" x14ac:dyDescent="0.25">
      <c r="A396" s="2982"/>
      <c r="B396" s="2753"/>
      <c r="C396" s="1863">
        <v>2027</v>
      </c>
      <c r="D396" s="218">
        <f t="shared" si="164"/>
        <v>-254432.63772672549</v>
      </c>
      <c r="E396" s="221">
        <f t="shared" si="172"/>
        <v>9649.1162358135371</v>
      </c>
      <c r="F396" s="221">
        <f t="shared" si="173"/>
        <v>0</v>
      </c>
      <c r="G396" s="218">
        <f t="shared" si="165"/>
        <v>-12.882665201353189</v>
      </c>
      <c r="H396" s="218">
        <f t="shared" si="166"/>
        <v>-3.2206663003382947</v>
      </c>
      <c r="I396" s="218">
        <f t="shared" si="167"/>
        <v>-67.633992307104208</v>
      </c>
      <c r="J396" s="218">
        <f t="shared" si="168"/>
        <v>-3.2206663003382974</v>
      </c>
      <c r="K396" s="218">
        <f t="shared" si="169"/>
        <v>-341.3906278358595</v>
      </c>
      <c r="L396" s="218">
        <f t="shared" si="170"/>
        <v>-1236.7358593299059</v>
      </c>
      <c r="M396" s="192">
        <f t="shared" si="171"/>
        <v>-244.78352149091194</v>
      </c>
      <c r="N396" s="211">
        <v>71</v>
      </c>
      <c r="O396" s="211">
        <f>'Emission-Waste Transport Vehicl'!N41</f>
        <v>27.826265705040004</v>
      </c>
      <c r="P396" s="211">
        <f>'Emission-Waste Transport Vehicl'!O41</f>
        <v>40.481421425280004</v>
      </c>
      <c r="Q396" s="211">
        <f>'Emission-Waste Transport Vehicl'!P41</f>
        <v>15.482070624240002</v>
      </c>
      <c r="R396" s="211">
        <f>'Emission-Waste Transport Vehicl'!Q41</f>
        <v>12.023811391680001</v>
      </c>
      <c r="S396" s="211">
        <f>'Emission-Waste Transport Vehicl'!R41</f>
        <v>1.1967273093600002</v>
      </c>
      <c r="T396" s="211">
        <f>'Emission-Waste Transport Vehicl'!S41</f>
        <v>5.503061013120001E-2</v>
      </c>
      <c r="U396" s="1850">
        <f t="shared" si="149"/>
        <v>-17379.630025854749</v>
      </c>
      <c r="V396" s="1850">
        <f t="shared" si="150"/>
        <v>-358.47646488192652</v>
      </c>
      <c r="W396" s="1850">
        <f t="shared" si="151"/>
        <v>-130.37714977419193</v>
      </c>
      <c r="X396" s="1850">
        <f t="shared" si="152"/>
        <v>-1047.1142454978924</v>
      </c>
      <c r="Y396" s="1850">
        <f t="shared" si="153"/>
        <v>-38.724684150807505</v>
      </c>
      <c r="Z396" s="1850">
        <f t="shared" si="154"/>
        <v>-408.5514874907293</v>
      </c>
      <c r="AA396" s="1850">
        <f t="shared" si="155"/>
        <v>-68.058328910058677</v>
      </c>
      <c r="AB396" s="2733"/>
      <c r="AC396" s="3009"/>
    </row>
    <row r="397" spans="1:29" ht="18.75" x14ac:dyDescent="0.25">
      <c r="A397" s="2982"/>
      <c r="B397" s="2753"/>
      <c r="C397" s="1863">
        <v>2028</v>
      </c>
      <c r="D397" s="218">
        <f t="shared" si="164"/>
        <v>-254432.63772672549</v>
      </c>
      <c r="E397" s="221">
        <f t="shared" si="172"/>
        <v>9649.1162358135371</v>
      </c>
      <c r="F397" s="221">
        <f t="shared" si="173"/>
        <v>0</v>
      </c>
      <c r="G397" s="218">
        <f t="shared" si="165"/>
        <v>-12.882665201353189</v>
      </c>
      <c r="H397" s="218">
        <f t="shared" si="166"/>
        <v>-3.2206663003382947</v>
      </c>
      <c r="I397" s="218">
        <f t="shared" si="167"/>
        <v>-67.633992307104208</v>
      </c>
      <c r="J397" s="218">
        <f t="shared" si="168"/>
        <v>-3.2206663003382974</v>
      </c>
      <c r="K397" s="218">
        <f t="shared" si="169"/>
        <v>-341.3906278358595</v>
      </c>
      <c r="L397" s="218">
        <f t="shared" si="170"/>
        <v>-1236.7358593299059</v>
      </c>
      <c r="M397" s="192">
        <f t="shared" si="171"/>
        <v>-244.78352149091194</v>
      </c>
      <c r="N397" s="211">
        <v>72</v>
      </c>
      <c r="O397" s="211">
        <f>'Emission-Waste Transport Vehicl'!N42</f>
        <v>27.281803329792002</v>
      </c>
      <c r="P397" s="211">
        <f>'Emission-Waste Transport Vehicl'!O42</f>
        <v>39.689342060544</v>
      </c>
      <c r="Q397" s="211">
        <f>'Emission-Waste Transport Vehicl'!P42</f>
        <v>15.179140829952001</v>
      </c>
      <c r="R397" s="211">
        <f>'Emission-Waste Transport Vehicl'!Q42</f>
        <v>11.788547595263999</v>
      </c>
      <c r="S397" s="211">
        <f>'Emission-Waste Transport Vehicl'!R42</f>
        <v>1.173311555328</v>
      </c>
      <c r="T397" s="211">
        <f>'Emission-Waste Transport Vehicl'!S42</f>
        <v>5.3953854197759998E-2</v>
      </c>
      <c r="U397" s="1850">
        <f t="shared" si="149"/>
        <v>-17624.413547345659</v>
      </c>
      <c r="V397" s="1850">
        <f t="shared" si="150"/>
        <v>-351.462338386873</v>
      </c>
      <c r="W397" s="1850">
        <f t="shared" si="151"/>
        <v>-127.82612645699331</v>
      </c>
      <c r="X397" s="1850">
        <f t="shared" si="152"/>
        <v>-1026.6258941214251</v>
      </c>
      <c r="Y397" s="1850">
        <f t="shared" si="153"/>
        <v>-37.966977970000833</v>
      </c>
      <c r="Z397" s="1850">
        <f t="shared" si="154"/>
        <v>-400.55756852049473</v>
      </c>
      <c r="AA397" s="1850">
        <f t="shared" si="155"/>
        <v>-66.72666623542716</v>
      </c>
      <c r="AB397" s="2733"/>
      <c r="AC397" s="3009"/>
    </row>
    <row r="398" spans="1:29" ht="18.75" x14ac:dyDescent="0.25">
      <c r="A398" s="2982"/>
      <c r="B398" s="2753"/>
      <c r="C398" s="1863">
        <v>2029</v>
      </c>
      <c r="D398" s="218">
        <f t="shared" si="164"/>
        <v>-254432.63772672549</v>
      </c>
      <c r="E398" s="221">
        <f t="shared" si="172"/>
        <v>9649.1162358135371</v>
      </c>
      <c r="F398" s="221">
        <f t="shared" si="173"/>
        <v>0</v>
      </c>
      <c r="G398" s="218">
        <f t="shared" si="165"/>
        <v>-12.882665201353189</v>
      </c>
      <c r="H398" s="218">
        <f t="shared" si="166"/>
        <v>-3.2206663003382947</v>
      </c>
      <c r="I398" s="218">
        <f t="shared" si="167"/>
        <v>-67.633992307104208</v>
      </c>
      <c r="J398" s="218">
        <f t="shared" si="168"/>
        <v>-3.2206663003382974</v>
      </c>
      <c r="K398" s="218">
        <f t="shared" si="169"/>
        <v>-341.3906278358595</v>
      </c>
      <c r="L398" s="218">
        <f t="shared" si="170"/>
        <v>-1236.7358593299059</v>
      </c>
      <c r="M398" s="192">
        <f t="shared" si="171"/>
        <v>-244.78352149091194</v>
      </c>
      <c r="N398" s="211">
        <v>73</v>
      </c>
      <c r="O398" s="211">
        <f>'Emission-Waste Transport Vehicl'!N43</f>
        <v>26.743861462032005</v>
      </c>
      <c r="P398" s="211">
        <f>'Emission-Waste Transport Vehicl'!O43</f>
        <v>38.906748676224005</v>
      </c>
      <c r="Q398" s="211">
        <f>'Emission-Waste Transport Vehicl'!P43</f>
        <v>14.879838937392002</v>
      </c>
      <c r="R398" s="211">
        <f>'Emission-Waste Transport Vehicl'!Q43</f>
        <v>11.556101329344001</v>
      </c>
      <c r="S398" s="211">
        <f>'Emission-Waste Transport Vehicl'!R43</f>
        <v>1.1501762294880002</v>
      </c>
      <c r="T398" s="211">
        <f>'Emission-Waste Transport Vehicl'!S43</f>
        <v>5.2889993544960004E-2</v>
      </c>
      <c r="U398" s="1850">
        <f t="shared" si="149"/>
        <v>-17869.197068836573</v>
      </c>
      <c r="V398" s="1850">
        <f t="shared" si="150"/>
        <v>-344.53221340673036</v>
      </c>
      <c r="W398" s="1850">
        <f t="shared" si="151"/>
        <v>-125.30565431724621</v>
      </c>
      <c r="X398" s="1850">
        <f t="shared" si="152"/>
        <v>-1006.3829122225203</v>
      </c>
      <c r="Y398" s="1850">
        <f t="shared" si="153"/>
        <v>-37.218346114712823</v>
      </c>
      <c r="Z398" s="1850">
        <f t="shared" si="154"/>
        <v>-392.65938510679001</v>
      </c>
      <c r="AA398" s="1850">
        <f t="shared" si="155"/>
        <v>-65.410951616779286</v>
      </c>
      <c r="AB398" s="2733"/>
      <c r="AC398" s="3009"/>
    </row>
    <row r="399" spans="1:29" ht="18.75" x14ac:dyDescent="0.25">
      <c r="A399" s="2982"/>
      <c r="B399" s="2753"/>
      <c r="C399" s="1863">
        <v>2030</v>
      </c>
      <c r="D399" s="218">
        <f t="shared" si="164"/>
        <v>-254432.63772672549</v>
      </c>
      <c r="E399" s="221">
        <f t="shared" si="172"/>
        <v>9649.1162358135371</v>
      </c>
      <c r="F399" s="221">
        <f t="shared" si="173"/>
        <v>0</v>
      </c>
      <c r="G399" s="218">
        <f t="shared" si="165"/>
        <v>-12.882665201353189</v>
      </c>
      <c r="H399" s="218">
        <f t="shared" si="166"/>
        <v>-3.2206663003382947</v>
      </c>
      <c r="I399" s="218">
        <f t="shared" si="167"/>
        <v>-67.633992307104208</v>
      </c>
      <c r="J399" s="218">
        <f t="shared" si="168"/>
        <v>-3.2206663003382974</v>
      </c>
      <c r="K399" s="218">
        <f t="shared" si="169"/>
        <v>-341.3906278358595</v>
      </c>
      <c r="L399" s="218">
        <f t="shared" si="170"/>
        <v>-1236.7358593299059</v>
      </c>
      <c r="M399" s="192">
        <f t="shared" si="171"/>
        <v>-244.78352149091194</v>
      </c>
      <c r="N399" s="211">
        <v>75</v>
      </c>
      <c r="O399" s="211">
        <f>'Emission-Waste Transport Vehicl'!N44</f>
        <v>26.222220862992003</v>
      </c>
      <c r="P399" s="211">
        <f>'Emission-Waste Transport Vehicl'!O44</f>
        <v>38.147870242944002</v>
      </c>
      <c r="Q399" s="211">
        <f>'Emission-Waste Transport Vehicl'!P44</f>
        <v>14.589606799152003</v>
      </c>
      <c r="R399" s="211">
        <f>'Emission-Waste Transport Vehicl'!Q44</f>
        <v>11.330698889664001</v>
      </c>
      <c r="S399" s="211">
        <f>'Emission-Waste Transport Vehicl'!R44</f>
        <v>1.1277419741280001</v>
      </c>
      <c r="T399" s="211">
        <f>'Emission-Waste Transport Vehicl'!S44</f>
        <v>5.1858371093760007E-2</v>
      </c>
      <c r="U399" s="1850">
        <f t="shared" si="149"/>
        <v>-18358.764111818396</v>
      </c>
      <c r="V399" s="1850">
        <f t="shared" si="150"/>
        <v>-337.81209221386467</v>
      </c>
      <c r="W399" s="1850">
        <f t="shared" si="151"/>
        <v>-122.86156012112778</v>
      </c>
      <c r="X399" s="1850">
        <f t="shared" si="152"/>
        <v>-986.75335401752181</v>
      </c>
      <c r="Y399" s="1850">
        <f t="shared" si="153"/>
        <v>-36.492400073221411</v>
      </c>
      <c r="Z399" s="1850">
        <f t="shared" si="154"/>
        <v>-385.00054058440958</v>
      </c>
      <c r="AA399" s="1850">
        <f t="shared" si="155"/>
        <v>-64.135107138090433</v>
      </c>
      <c r="AB399" s="2733"/>
      <c r="AC399" s="3009"/>
    </row>
    <row r="400" spans="1:29" ht="18.75" x14ac:dyDescent="0.25">
      <c r="A400" s="2982"/>
      <c r="B400" s="2753"/>
      <c r="C400" s="1863">
        <v>2031</v>
      </c>
      <c r="D400" s="218">
        <f t="shared" si="164"/>
        <v>-254432.63772672549</v>
      </c>
      <c r="E400" s="221">
        <f t="shared" si="172"/>
        <v>9649.1162358135371</v>
      </c>
      <c r="F400" s="221">
        <f t="shared" si="173"/>
        <v>0</v>
      </c>
      <c r="G400" s="218">
        <f t="shared" si="165"/>
        <v>-12.882665201353189</v>
      </c>
      <c r="H400" s="218">
        <f t="shared" si="166"/>
        <v>-3.2206663003382947</v>
      </c>
      <c r="I400" s="218">
        <f t="shared" si="167"/>
        <v>-67.633992307104208</v>
      </c>
      <c r="J400" s="218">
        <f t="shared" si="168"/>
        <v>-3.2206663003382974</v>
      </c>
      <c r="K400" s="218">
        <f t="shared" si="169"/>
        <v>-341.3906278358595</v>
      </c>
      <c r="L400" s="218">
        <f t="shared" si="170"/>
        <v>-1236.7358593299059</v>
      </c>
      <c r="M400" s="192">
        <f t="shared" si="171"/>
        <v>-244.78352149091194</v>
      </c>
      <c r="N400" s="211">
        <v>76</v>
      </c>
      <c r="O400" s="211">
        <f>'Emission-Waste Transport Vehicl'!N45</f>
        <v>25.70710077144</v>
      </c>
      <c r="P400" s="211">
        <f>'Emission-Waste Transport Vehicl'!O45</f>
        <v>37.398477790080001</v>
      </c>
      <c r="Q400" s="211">
        <f>'Emission-Waste Transport Vehicl'!P45</f>
        <v>14.303002562640001</v>
      </c>
      <c r="R400" s="211">
        <f>'Emission-Waste Transport Vehicl'!Q45</f>
        <v>11.108113980480001</v>
      </c>
      <c r="S400" s="211">
        <f>'Emission-Waste Transport Vehicl'!R45</f>
        <v>1.1055881469600002</v>
      </c>
      <c r="T400" s="211">
        <f>'Emission-Waste Transport Vehicl'!S45</f>
        <v>5.0839643923200006E-2</v>
      </c>
      <c r="U400" s="1850">
        <f t="shared" si="149"/>
        <v>-18603.547633309307</v>
      </c>
      <c r="V400" s="1850">
        <f t="shared" si="150"/>
        <v>-331.17597253590981</v>
      </c>
      <c r="W400" s="1850">
        <f t="shared" si="151"/>
        <v>-120.44801710246084</v>
      </c>
      <c r="X400" s="1850">
        <f t="shared" si="152"/>
        <v>-967.36916529008568</v>
      </c>
      <c r="Y400" s="1850">
        <f t="shared" si="153"/>
        <v>-35.775528357248639</v>
      </c>
      <c r="Z400" s="1850">
        <f t="shared" si="154"/>
        <v>-377.43743161855895</v>
      </c>
      <c r="AA400" s="1850">
        <f t="shared" si="155"/>
        <v>-62.875210715385187</v>
      </c>
      <c r="AB400" s="2733"/>
      <c r="AC400" s="3009"/>
    </row>
    <row r="401" spans="1:29" ht="18.75" x14ac:dyDescent="0.25">
      <c r="A401" s="2982"/>
      <c r="B401" s="2753"/>
      <c r="C401" s="1863">
        <v>2032</v>
      </c>
      <c r="D401" s="218">
        <f t="shared" si="164"/>
        <v>-254432.63772672549</v>
      </c>
      <c r="E401" s="221">
        <f t="shared" si="172"/>
        <v>9649.1162358135371</v>
      </c>
      <c r="F401" s="221">
        <f t="shared" si="173"/>
        <v>0</v>
      </c>
      <c r="G401" s="218">
        <f t="shared" si="165"/>
        <v>-12.882665201353189</v>
      </c>
      <c r="H401" s="218">
        <f t="shared" si="166"/>
        <v>-3.2206663003382947</v>
      </c>
      <c r="I401" s="218">
        <f t="shared" si="167"/>
        <v>-67.633992307104208</v>
      </c>
      <c r="J401" s="218">
        <f t="shared" si="168"/>
        <v>-3.2206663003382974</v>
      </c>
      <c r="K401" s="218">
        <f t="shared" si="169"/>
        <v>-341.3906278358595</v>
      </c>
      <c r="L401" s="218">
        <f t="shared" si="170"/>
        <v>-1236.7358593299059</v>
      </c>
      <c r="M401" s="192">
        <f t="shared" si="171"/>
        <v>-244.78352149091194</v>
      </c>
      <c r="N401" s="211">
        <v>77</v>
      </c>
      <c r="O401" s="211">
        <f>'Emission-Waste Transport Vehicl'!N46</f>
        <v>25.201761441120002</v>
      </c>
      <c r="P401" s="211">
        <f>'Emission-Waste Transport Vehicl'!O46</f>
        <v>36.663314307840004</v>
      </c>
      <c r="Q401" s="211">
        <f>'Emission-Waste Transport Vehicl'!P46</f>
        <v>14.021840178720002</v>
      </c>
      <c r="R401" s="211">
        <f>'Emission-Waste Transport Vehicl'!Q46</f>
        <v>10.889755367040001</v>
      </c>
      <c r="S401" s="211">
        <f>'Emission-Waste Transport Vehicl'!R46</f>
        <v>1.0838549620800002</v>
      </c>
      <c r="T401" s="211">
        <f>'Emission-Waste Transport Vehicl'!S46</f>
        <v>4.9840259673600007E-2</v>
      </c>
      <c r="U401" s="1850">
        <f t="shared" si="149"/>
        <v>-18848.33115480022</v>
      </c>
      <c r="V401" s="1850">
        <f t="shared" si="150"/>
        <v>-324.66585513032123</v>
      </c>
      <c r="W401" s="1850">
        <f t="shared" si="151"/>
        <v>-118.08030084997114</v>
      </c>
      <c r="X401" s="1850">
        <f t="shared" si="152"/>
        <v>-948.35303077899323</v>
      </c>
      <c r="Y401" s="1850">
        <f t="shared" si="153"/>
        <v>-35.072268129553841</v>
      </c>
      <c r="Z401" s="1850">
        <f t="shared" si="154"/>
        <v>-370.01792598750296</v>
      </c>
      <c r="AA401" s="1850">
        <f t="shared" si="155"/>
        <v>-61.639236376655361</v>
      </c>
      <c r="AB401" s="2733"/>
      <c r="AC401" s="3009"/>
    </row>
    <row r="402" spans="1:29" ht="18.75" x14ac:dyDescent="0.25">
      <c r="A402" s="2982"/>
      <c r="B402" s="2753"/>
      <c r="C402" s="1863">
        <v>2033</v>
      </c>
      <c r="D402" s="218">
        <f t="shared" si="164"/>
        <v>-254432.63772672549</v>
      </c>
      <c r="E402" s="221">
        <f t="shared" si="172"/>
        <v>9649.1162358135371</v>
      </c>
      <c r="F402" s="221">
        <f t="shared" si="173"/>
        <v>0</v>
      </c>
      <c r="G402" s="218">
        <f t="shared" si="165"/>
        <v>-12.882665201353189</v>
      </c>
      <c r="H402" s="218">
        <f t="shared" si="166"/>
        <v>-3.2206663003382947</v>
      </c>
      <c r="I402" s="218">
        <f t="shared" si="167"/>
        <v>-67.633992307104208</v>
      </c>
      <c r="J402" s="218">
        <f t="shared" si="168"/>
        <v>-3.2206663003382974</v>
      </c>
      <c r="K402" s="218">
        <f t="shared" si="169"/>
        <v>-341.3906278358595</v>
      </c>
      <c r="L402" s="218">
        <f t="shared" si="170"/>
        <v>-1236.7358593299059</v>
      </c>
      <c r="M402" s="192">
        <f t="shared" si="171"/>
        <v>-244.78352149091194</v>
      </c>
      <c r="N402" s="211">
        <v>78</v>
      </c>
      <c r="O402" s="211">
        <f>'Emission-Waste Transport Vehicl'!N47</f>
        <v>24.709463125776001</v>
      </c>
      <c r="P402" s="211">
        <f>'Emission-Waste Transport Vehicl'!O47</f>
        <v>35.947122786432004</v>
      </c>
      <c r="Q402" s="211">
        <f>'Emission-Waste Transport Vehicl'!P47</f>
        <v>13.747933598256003</v>
      </c>
      <c r="R402" s="211">
        <f>'Emission-Waste Transport Vehicl'!Q47</f>
        <v>10.677031814592</v>
      </c>
      <c r="S402" s="211">
        <f>'Emission-Waste Transport Vehicl'!R47</f>
        <v>1.0626826335840001</v>
      </c>
      <c r="T402" s="211">
        <f>'Emission-Waste Transport Vehicl'!S47</f>
        <v>4.8866665985280007E-2</v>
      </c>
      <c r="U402" s="1850">
        <f t="shared" si="149"/>
        <v>-19093.11467629113</v>
      </c>
      <c r="V402" s="1850">
        <f t="shared" si="150"/>
        <v>-318.32374075455431</v>
      </c>
      <c r="W402" s="1850">
        <f t="shared" si="151"/>
        <v>-115.77368695238438</v>
      </c>
      <c r="X402" s="1850">
        <f t="shared" si="152"/>
        <v>-929.82763522302594</v>
      </c>
      <c r="Y402" s="1850">
        <f t="shared" si="153"/>
        <v>-34.387156552896315</v>
      </c>
      <c r="Z402" s="1850">
        <f t="shared" si="154"/>
        <v>-362.78989146950641</v>
      </c>
      <c r="AA402" s="1850">
        <f t="shared" si="155"/>
        <v>-60.43515814989275</v>
      </c>
      <c r="AB402" s="2733"/>
      <c r="AC402" s="3009"/>
    </row>
    <row r="403" spans="1:29" ht="18.75" x14ac:dyDescent="0.25">
      <c r="A403" s="2982"/>
      <c r="B403" s="2753"/>
      <c r="C403" s="1863">
        <v>2034</v>
      </c>
      <c r="D403" s="218">
        <f t="shared" si="164"/>
        <v>-254432.63772672549</v>
      </c>
      <c r="E403" s="221">
        <f t="shared" si="172"/>
        <v>9649.1162358135371</v>
      </c>
      <c r="F403" s="221">
        <f t="shared" si="173"/>
        <v>0</v>
      </c>
      <c r="G403" s="218">
        <f t="shared" si="165"/>
        <v>-12.882665201353189</v>
      </c>
      <c r="H403" s="218">
        <f t="shared" si="166"/>
        <v>-3.2206663003382947</v>
      </c>
      <c r="I403" s="218">
        <f t="shared" si="167"/>
        <v>-67.633992307104208</v>
      </c>
      <c r="J403" s="218">
        <f t="shared" si="168"/>
        <v>-3.2206663003382974</v>
      </c>
      <c r="K403" s="218">
        <f t="shared" si="169"/>
        <v>-341.3906278358595</v>
      </c>
      <c r="L403" s="218">
        <f t="shared" si="170"/>
        <v>-1236.7358593299059</v>
      </c>
      <c r="M403" s="192">
        <f t="shared" si="171"/>
        <v>-244.78352149091194</v>
      </c>
      <c r="N403" s="211">
        <v>79</v>
      </c>
      <c r="O403" s="211">
        <f>'Emission-Waste Transport Vehicl'!N48</f>
        <v>24.223685317920005</v>
      </c>
      <c r="P403" s="211">
        <f>'Emission-Waste Transport Vehicl'!O48</f>
        <v>35.24041724544</v>
      </c>
      <c r="Q403" s="211">
        <f>'Emission-Waste Transport Vehicl'!P48</f>
        <v>13.477654919520001</v>
      </c>
      <c r="R403" s="211">
        <f>'Emission-Waste Transport Vehicl'!Q48</f>
        <v>10.467125792640001</v>
      </c>
      <c r="S403" s="211">
        <f>'Emission-Waste Transport Vehicl'!R48</f>
        <v>1.04179073328</v>
      </c>
      <c r="T403" s="211">
        <f>'Emission-Waste Transport Vehicl'!S48</f>
        <v>4.7905967577600003E-2</v>
      </c>
      <c r="U403" s="1850">
        <f t="shared" si="149"/>
        <v>-19337.898197782044</v>
      </c>
      <c r="V403" s="1850">
        <f t="shared" si="150"/>
        <v>-312.06562789369821</v>
      </c>
      <c r="W403" s="1850">
        <f t="shared" si="151"/>
        <v>-113.49762423224908</v>
      </c>
      <c r="X403" s="1850">
        <f t="shared" si="152"/>
        <v>-911.54760914462088</v>
      </c>
      <c r="Y403" s="1850">
        <f t="shared" si="153"/>
        <v>-33.711119301757442</v>
      </c>
      <c r="Z403" s="1850">
        <f t="shared" si="154"/>
        <v>-355.65759250803967</v>
      </c>
      <c r="AA403" s="1850">
        <f t="shared" si="155"/>
        <v>-59.247027979113753</v>
      </c>
      <c r="AB403" s="2733"/>
      <c r="AC403" s="3009"/>
    </row>
    <row r="404" spans="1:29" ht="18.75" x14ac:dyDescent="0.25">
      <c r="A404" s="2982"/>
      <c r="B404" s="2753"/>
      <c r="C404" s="1863">
        <v>2035</v>
      </c>
      <c r="D404" s="218">
        <f t="shared" si="164"/>
        <v>-254432.63772672549</v>
      </c>
      <c r="E404" s="221">
        <f t="shared" si="172"/>
        <v>9649.1162358135371</v>
      </c>
      <c r="F404" s="221">
        <f t="shared" si="173"/>
        <v>0</v>
      </c>
      <c r="G404" s="218">
        <f t="shared" si="165"/>
        <v>-12.882665201353189</v>
      </c>
      <c r="H404" s="218">
        <f t="shared" si="166"/>
        <v>-3.2206663003382947</v>
      </c>
      <c r="I404" s="218">
        <f t="shared" si="167"/>
        <v>-67.633992307104208</v>
      </c>
      <c r="J404" s="218">
        <f t="shared" si="168"/>
        <v>-3.2206663003382974</v>
      </c>
      <c r="K404" s="218">
        <f t="shared" si="169"/>
        <v>-341.3906278358595</v>
      </c>
      <c r="L404" s="218">
        <f t="shared" si="170"/>
        <v>-1236.7358593299059</v>
      </c>
      <c r="M404" s="192">
        <f t="shared" si="171"/>
        <v>-244.78352149091194</v>
      </c>
      <c r="N404" s="211">
        <v>80</v>
      </c>
      <c r="O404" s="211">
        <f>'Emission-Waste Transport Vehicl'!N49</f>
        <v>23.747688271296006</v>
      </c>
      <c r="P404" s="211">
        <f>'Emission-Waste Transport Vehicl'!O49</f>
        <v>34.547940675072006</v>
      </c>
      <c r="Q404" s="211">
        <f>'Emission-Waste Transport Vehicl'!P49</f>
        <v>13.212818093376002</v>
      </c>
      <c r="R404" s="211">
        <f>'Emission-Waste Transport Vehicl'!Q49</f>
        <v>10.261446066432002</v>
      </c>
      <c r="S404" s="211">
        <f>'Emission-Waste Transport Vehicl'!R49</f>
        <v>1.0213194752640002</v>
      </c>
      <c r="T404" s="211">
        <f>'Emission-Waste Transport Vehicl'!S49</f>
        <v>4.6964612090880008E-2</v>
      </c>
      <c r="U404" s="1850">
        <f t="shared" si="149"/>
        <v>-19582.681719272954</v>
      </c>
      <c r="V404" s="1850">
        <f t="shared" si="150"/>
        <v>-305.93351730520834</v>
      </c>
      <c r="W404" s="1850">
        <f t="shared" si="151"/>
        <v>-111.26738827829105</v>
      </c>
      <c r="X404" s="1850">
        <f t="shared" si="152"/>
        <v>-893.63563728255986</v>
      </c>
      <c r="Y404" s="1850">
        <f t="shared" si="153"/>
        <v>-33.048693538896529</v>
      </c>
      <c r="Z404" s="1850">
        <f t="shared" si="154"/>
        <v>-348.66889688136763</v>
      </c>
      <c r="AA404" s="1850">
        <f t="shared" si="155"/>
        <v>-58.082819892310177</v>
      </c>
      <c r="AB404" s="2733"/>
      <c r="AC404" s="3009"/>
    </row>
    <row r="405" spans="1:29" ht="18.75" x14ac:dyDescent="0.25">
      <c r="A405" s="2982"/>
      <c r="B405" s="2753"/>
      <c r="C405" s="1863">
        <v>2036</v>
      </c>
      <c r="D405" s="218">
        <f t="shared" si="164"/>
        <v>-254432.63772672549</v>
      </c>
      <c r="E405" s="221">
        <f t="shared" si="172"/>
        <v>9649.1162358135371</v>
      </c>
      <c r="F405" s="221">
        <f t="shared" si="173"/>
        <v>0</v>
      </c>
      <c r="G405" s="218">
        <f t="shared" si="165"/>
        <v>-12.882665201353189</v>
      </c>
      <c r="H405" s="218">
        <f t="shared" si="166"/>
        <v>-3.2206663003382947</v>
      </c>
      <c r="I405" s="218">
        <f t="shared" si="167"/>
        <v>-67.633992307104208</v>
      </c>
      <c r="J405" s="218">
        <f t="shared" si="168"/>
        <v>-3.2206663003382974</v>
      </c>
      <c r="K405" s="218">
        <f t="shared" si="169"/>
        <v>-341.3906278358595</v>
      </c>
      <c r="L405" s="218">
        <f t="shared" si="170"/>
        <v>-1236.7358593299059</v>
      </c>
      <c r="M405" s="192">
        <f t="shared" si="171"/>
        <v>-244.78352149091194</v>
      </c>
      <c r="N405" s="211">
        <v>81</v>
      </c>
      <c r="O405" s="211">
        <f>'Emission-Waste Transport Vehicl'!N50</f>
        <v>23.284732239648001</v>
      </c>
      <c r="P405" s="211">
        <f>'Emission-Waste Transport Vehicl'!O50</f>
        <v>33.874436065536003</v>
      </c>
      <c r="Q405" s="211">
        <f>'Emission-Waste Transport Vehicl'!P50</f>
        <v>12.955237070688</v>
      </c>
      <c r="R405" s="211">
        <f>'Emission-Waste Transport Vehicl'!Q50</f>
        <v>10.061401401215999</v>
      </c>
      <c r="S405" s="211">
        <f>'Emission-Waste Transport Vehicl'!R50</f>
        <v>1.001409073632</v>
      </c>
      <c r="T405" s="211">
        <f>'Emission-Waste Transport Vehicl'!S50</f>
        <v>4.6049047165439998E-2</v>
      </c>
      <c r="U405" s="1850">
        <f t="shared" si="149"/>
        <v>-19827.465240763868</v>
      </c>
      <c r="V405" s="1850">
        <f t="shared" si="150"/>
        <v>-299.96940974654001</v>
      </c>
      <c r="W405" s="1850">
        <f t="shared" si="151"/>
        <v>-109.09825467923594</v>
      </c>
      <c r="X405" s="1850">
        <f t="shared" si="152"/>
        <v>-876.21440437562342</v>
      </c>
      <c r="Y405" s="1850">
        <f t="shared" si="153"/>
        <v>-32.404416427072896</v>
      </c>
      <c r="Z405" s="1850">
        <f t="shared" si="154"/>
        <v>-341.87167236775497</v>
      </c>
      <c r="AA405" s="1850">
        <f t="shared" si="155"/>
        <v>-56.9505079174738</v>
      </c>
      <c r="AB405" s="2733"/>
      <c r="AC405" s="3009"/>
    </row>
    <row r="406" spans="1:29" ht="18.75" x14ac:dyDescent="0.25">
      <c r="A406" s="2982"/>
      <c r="B406" s="2753"/>
      <c r="C406" s="1863">
        <v>2037</v>
      </c>
      <c r="D406" s="218">
        <f t="shared" si="164"/>
        <v>-254432.63772672549</v>
      </c>
      <c r="E406" s="221">
        <f t="shared" si="172"/>
        <v>9649.1162358135371</v>
      </c>
      <c r="F406" s="221">
        <f t="shared" si="173"/>
        <v>0</v>
      </c>
      <c r="G406" s="218">
        <f t="shared" si="165"/>
        <v>-12.882665201353189</v>
      </c>
      <c r="H406" s="218">
        <f t="shared" si="166"/>
        <v>-3.2206663003382947</v>
      </c>
      <c r="I406" s="218">
        <f t="shared" si="167"/>
        <v>-67.633992307104208</v>
      </c>
      <c r="J406" s="218">
        <f t="shared" si="168"/>
        <v>-3.2206663003382974</v>
      </c>
      <c r="K406" s="218">
        <f t="shared" si="169"/>
        <v>-341.3906278358595</v>
      </c>
      <c r="L406" s="218">
        <f t="shared" si="170"/>
        <v>-1236.7358593299059</v>
      </c>
      <c r="M406" s="192">
        <f t="shared" si="171"/>
        <v>-244.78352149091194</v>
      </c>
      <c r="N406" s="211">
        <v>83</v>
      </c>
      <c r="O406" s="211">
        <f>'Emission-Waste Transport Vehicl'!N51</f>
        <v>22.828296715488005</v>
      </c>
      <c r="P406" s="211">
        <f>'Emission-Waste Transport Vehicl'!O51</f>
        <v>33.210417436416002</v>
      </c>
      <c r="Q406" s="211">
        <f>'Emission-Waste Transport Vehicl'!P51</f>
        <v>12.701283949728003</v>
      </c>
      <c r="R406" s="211">
        <f>'Emission-Waste Transport Vehicl'!Q51</f>
        <v>9.8641742664960006</v>
      </c>
      <c r="S406" s="211">
        <f>'Emission-Waste Transport Vehicl'!R51</f>
        <v>0.9817791001920001</v>
      </c>
      <c r="T406" s="211">
        <f>'Emission-Waste Transport Vehicl'!S51</f>
        <v>4.5146377520640005E-2</v>
      </c>
      <c r="U406" s="1850">
        <f t="shared" si="149"/>
        <v>-20317.032283745692</v>
      </c>
      <c r="V406" s="1850">
        <f t="shared" si="150"/>
        <v>-294.08930370278262</v>
      </c>
      <c r="W406" s="1850">
        <f t="shared" si="151"/>
        <v>-106.95967225763232</v>
      </c>
      <c r="X406" s="1850">
        <f t="shared" si="152"/>
        <v>-859.0385409462499</v>
      </c>
      <c r="Y406" s="1850">
        <f t="shared" si="153"/>
        <v>-31.769213640767912</v>
      </c>
      <c r="Z406" s="1850">
        <f t="shared" si="154"/>
        <v>-335.17018341067211</v>
      </c>
      <c r="AA406" s="1850">
        <f t="shared" si="155"/>
        <v>-55.834143998621066</v>
      </c>
      <c r="AB406" s="2733"/>
      <c r="AC406" s="3009"/>
    </row>
    <row r="407" spans="1:29" ht="18.75" x14ac:dyDescent="0.25">
      <c r="A407" s="2982"/>
      <c r="B407" s="2753"/>
      <c r="C407" s="1863">
        <v>2038</v>
      </c>
      <c r="D407" s="218">
        <f t="shared" si="164"/>
        <v>-254432.63772672549</v>
      </c>
      <c r="E407" s="221">
        <f t="shared" si="172"/>
        <v>9649.1162358135371</v>
      </c>
      <c r="F407" s="221">
        <f t="shared" si="173"/>
        <v>0</v>
      </c>
      <c r="G407" s="218">
        <f t="shared" si="165"/>
        <v>-12.882665201353189</v>
      </c>
      <c r="H407" s="218">
        <f t="shared" si="166"/>
        <v>-3.2206663003382947</v>
      </c>
      <c r="I407" s="218">
        <f t="shared" si="167"/>
        <v>-67.633992307104208</v>
      </c>
      <c r="J407" s="218">
        <f t="shared" si="168"/>
        <v>-3.2206663003382974</v>
      </c>
      <c r="K407" s="218">
        <f t="shared" si="169"/>
        <v>-341.3906278358595</v>
      </c>
      <c r="L407" s="218">
        <f t="shared" si="170"/>
        <v>-1236.7358593299059</v>
      </c>
      <c r="M407" s="192">
        <f t="shared" si="171"/>
        <v>-244.78352149091194</v>
      </c>
      <c r="N407" s="211">
        <v>84</v>
      </c>
      <c r="O407" s="211">
        <f>'Emission-Waste Transport Vehicl'!N52</f>
        <v>22.378381698816003</v>
      </c>
      <c r="P407" s="211">
        <f>'Emission-Waste Transport Vehicl'!O52</f>
        <v>32.555884787712003</v>
      </c>
      <c r="Q407" s="211">
        <f>'Emission-Waste Transport Vehicl'!P52</f>
        <v>12.450958730496001</v>
      </c>
      <c r="R407" s="211">
        <f>'Emission-Waste Transport Vehicl'!Q52</f>
        <v>9.6697646622720015</v>
      </c>
      <c r="S407" s="211">
        <f>'Emission-Waste Transport Vehicl'!R52</f>
        <v>0.96242955494400007</v>
      </c>
      <c r="T407" s="211">
        <f>'Emission-Waste Transport Vehicl'!S52</f>
        <v>4.4256603156480001E-2</v>
      </c>
      <c r="U407" s="1850">
        <f t="shared" si="149"/>
        <v>-20561.815805236602</v>
      </c>
      <c r="V407" s="1850">
        <f t="shared" si="150"/>
        <v>-288.29319917393599</v>
      </c>
      <c r="W407" s="1850">
        <f t="shared" si="151"/>
        <v>-104.85164101348019</v>
      </c>
      <c r="X407" s="1850">
        <f t="shared" si="152"/>
        <v>-842.1080469944385</v>
      </c>
      <c r="Y407" s="1850">
        <f t="shared" si="153"/>
        <v>-31.143085179981572</v>
      </c>
      <c r="Z407" s="1850">
        <f t="shared" si="154"/>
        <v>-328.564430010119</v>
      </c>
      <c r="AA407" s="1850">
        <f t="shared" si="155"/>
        <v>-54.733728135751917</v>
      </c>
      <c r="AB407" s="2733"/>
      <c r="AC407" s="3009"/>
    </row>
    <row r="408" spans="1:29" ht="18.75" x14ac:dyDescent="0.25">
      <c r="A408" s="2982"/>
      <c r="B408" s="2753"/>
      <c r="C408" s="1863">
        <v>2039</v>
      </c>
      <c r="D408" s="218">
        <f t="shared" si="164"/>
        <v>-254432.63772672549</v>
      </c>
      <c r="E408" s="221">
        <f t="shared" si="172"/>
        <v>9649.1162358135371</v>
      </c>
      <c r="F408" s="221">
        <f t="shared" si="173"/>
        <v>0</v>
      </c>
      <c r="G408" s="218">
        <f t="shared" si="165"/>
        <v>-12.882665201353189</v>
      </c>
      <c r="H408" s="218">
        <f t="shared" si="166"/>
        <v>-3.2206663003382947</v>
      </c>
      <c r="I408" s="218">
        <f t="shared" si="167"/>
        <v>-67.633992307104208</v>
      </c>
      <c r="J408" s="218">
        <f t="shared" si="168"/>
        <v>-3.2206663003382974</v>
      </c>
      <c r="K408" s="218">
        <f t="shared" si="169"/>
        <v>-341.3906278358595</v>
      </c>
      <c r="L408" s="218">
        <f t="shared" si="170"/>
        <v>-1236.7358593299059</v>
      </c>
      <c r="M408" s="192">
        <f t="shared" si="171"/>
        <v>-244.78352149091194</v>
      </c>
      <c r="N408" s="211">
        <v>85</v>
      </c>
      <c r="O408" s="211">
        <f>'Emission-Waste Transport Vehicl'!N53</f>
        <v>21.941507697120006</v>
      </c>
      <c r="P408" s="211">
        <f>'Emission-Waste Transport Vehicl'!O53</f>
        <v>31.920324099840006</v>
      </c>
      <c r="Q408" s="211">
        <f>'Emission-Waste Transport Vehicl'!P53</f>
        <v>12.207889314720003</v>
      </c>
      <c r="R408" s="211">
        <f>'Emission-Waste Transport Vehicl'!Q53</f>
        <v>9.4809901190400012</v>
      </c>
      <c r="S408" s="211">
        <f>'Emission-Waste Transport Vehicl'!R53</f>
        <v>0.9436408660800002</v>
      </c>
      <c r="T408" s="211">
        <f>'Emission-Waste Transport Vehicl'!S53</f>
        <v>4.3392619353600011E-2</v>
      </c>
      <c r="U408" s="1850">
        <f t="shared" si="149"/>
        <v>-20806.599326727515</v>
      </c>
      <c r="V408" s="1850">
        <f t="shared" si="150"/>
        <v>-282.66509767491107</v>
      </c>
      <c r="W408" s="1850">
        <f t="shared" si="151"/>
        <v>-102.80471212423102</v>
      </c>
      <c r="X408" s="1850">
        <f t="shared" si="152"/>
        <v>-825.66829199775236</v>
      </c>
      <c r="Y408" s="1850">
        <f t="shared" si="153"/>
        <v>-30.535105370232515</v>
      </c>
      <c r="Z408" s="1850">
        <f t="shared" si="154"/>
        <v>-322.15014772262549</v>
      </c>
      <c r="AA408" s="1850">
        <f t="shared" si="155"/>
        <v>-53.665208384850018</v>
      </c>
      <c r="AB408" s="2733"/>
      <c r="AC408" s="3009"/>
    </row>
    <row r="409" spans="1:29" ht="18.75" x14ac:dyDescent="0.25">
      <c r="A409" s="2982"/>
      <c r="B409" s="2753"/>
      <c r="C409" s="1863">
        <v>2040</v>
      </c>
      <c r="D409" s="218">
        <f t="shared" si="164"/>
        <v>-254432.63772672549</v>
      </c>
      <c r="E409" s="221">
        <f t="shared" si="172"/>
        <v>9649.1162358135371</v>
      </c>
      <c r="F409" s="221">
        <f t="shared" si="173"/>
        <v>0</v>
      </c>
      <c r="G409" s="218">
        <f t="shared" si="165"/>
        <v>-12.882665201353189</v>
      </c>
      <c r="H409" s="218">
        <f t="shared" si="166"/>
        <v>-3.2206663003382947</v>
      </c>
      <c r="I409" s="218">
        <f t="shared" si="167"/>
        <v>-67.633992307104208</v>
      </c>
      <c r="J409" s="218">
        <f t="shared" si="168"/>
        <v>-3.2206663003382974</v>
      </c>
      <c r="K409" s="218">
        <f t="shared" si="169"/>
        <v>-341.3906278358595</v>
      </c>
      <c r="L409" s="218">
        <f t="shared" si="170"/>
        <v>-1236.7358593299059</v>
      </c>
      <c r="M409" s="192">
        <f t="shared" si="171"/>
        <v>-244.78352149091194</v>
      </c>
      <c r="N409" s="211">
        <v>86</v>
      </c>
      <c r="O409" s="211">
        <f>'Emission-Waste Transport Vehicl'!N54</f>
        <v>21.511154202912003</v>
      </c>
      <c r="P409" s="211">
        <f>'Emission-Waste Transport Vehicl'!O54</f>
        <v>31.294249392384003</v>
      </c>
      <c r="Q409" s="211">
        <f>'Emission-Waste Transport Vehicl'!P54</f>
        <v>11.968447800672001</v>
      </c>
      <c r="R409" s="211">
        <f>'Emission-Waste Transport Vehicl'!Q54</f>
        <v>9.2950331063040004</v>
      </c>
      <c r="S409" s="211">
        <f>'Emission-Waste Transport Vehicl'!R54</f>
        <v>0.92513260540800013</v>
      </c>
      <c r="T409" s="211">
        <f>'Emission-Waste Transport Vehicl'!S54</f>
        <v>4.254153083136001E-2</v>
      </c>
      <c r="U409" s="1850">
        <f t="shared" si="149"/>
        <v>-21051.382848218425</v>
      </c>
      <c r="V409" s="1850">
        <f t="shared" si="150"/>
        <v>-277.12099769079686</v>
      </c>
      <c r="W409" s="1850">
        <f t="shared" si="151"/>
        <v>-100.78833441243331</v>
      </c>
      <c r="X409" s="1850">
        <f t="shared" si="152"/>
        <v>-809.47390647862835</v>
      </c>
      <c r="Y409" s="1850">
        <f t="shared" si="153"/>
        <v>-29.936199886002097</v>
      </c>
      <c r="Z409" s="1850">
        <f t="shared" si="154"/>
        <v>-315.83160099166162</v>
      </c>
      <c r="AA409" s="1850">
        <f t="shared" si="155"/>
        <v>-52.612636689931705</v>
      </c>
      <c r="AB409" s="2733"/>
      <c r="AC409" s="3009"/>
    </row>
    <row r="410" spans="1:29" ht="18.75" x14ac:dyDescent="0.25">
      <c r="A410" s="2982"/>
      <c r="B410" s="2753"/>
      <c r="C410" s="1863">
        <v>2041</v>
      </c>
      <c r="D410" s="218">
        <f t="shared" si="164"/>
        <v>-254432.63772672549</v>
      </c>
      <c r="E410" s="221">
        <f t="shared" si="172"/>
        <v>9649.1162358135371</v>
      </c>
      <c r="F410" s="221">
        <f t="shared" si="173"/>
        <v>0</v>
      </c>
      <c r="G410" s="218">
        <f t="shared" si="165"/>
        <v>-12.882665201353189</v>
      </c>
      <c r="H410" s="218">
        <f t="shared" si="166"/>
        <v>-3.2206663003382947</v>
      </c>
      <c r="I410" s="218">
        <f t="shared" si="167"/>
        <v>-67.633992307104208</v>
      </c>
      <c r="J410" s="218">
        <f t="shared" si="168"/>
        <v>-3.2206663003382974</v>
      </c>
      <c r="K410" s="218">
        <f t="shared" si="169"/>
        <v>-341.3906278358595</v>
      </c>
      <c r="L410" s="218">
        <f t="shared" si="170"/>
        <v>-1236.7358593299059</v>
      </c>
      <c r="M410" s="192">
        <f t="shared" si="171"/>
        <v>-244.78352149091194</v>
      </c>
      <c r="N410" s="211">
        <v>87</v>
      </c>
      <c r="O410" s="211">
        <f>'Emission-Waste Transport Vehicl'!N55</f>
        <v>21.087321216192002</v>
      </c>
      <c r="P410" s="211">
        <f>'Emission-Waste Transport Vehicl'!O55</f>
        <v>30.677660665344007</v>
      </c>
      <c r="Q410" s="211">
        <f>'Emission-Waste Transport Vehicl'!P55</f>
        <v>11.732634188352002</v>
      </c>
      <c r="R410" s="211">
        <f>'Emission-Waste Transport Vehicl'!Q55</f>
        <v>9.1118936240640007</v>
      </c>
      <c r="S410" s="211">
        <f>'Emission-Waste Transport Vehicl'!R55</f>
        <v>0.9069047729280002</v>
      </c>
      <c r="T410" s="211">
        <f>'Emission-Waste Transport Vehicl'!S55</f>
        <v>4.1703337589760005E-2</v>
      </c>
      <c r="U410" s="1850">
        <f t="shared" si="149"/>
        <v>-21296.166369709339</v>
      </c>
      <c r="V410" s="1850">
        <f t="shared" si="150"/>
        <v>-271.66089922159352</v>
      </c>
      <c r="W410" s="1850">
        <f t="shared" si="151"/>
        <v>-98.802507878087113</v>
      </c>
      <c r="X410" s="1850">
        <f t="shared" si="152"/>
        <v>-793.52489043706714</v>
      </c>
      <c r="Y410" s="1850">
        <f t="shared" si="153"/>
        <v>-29.346368727290326</v>
      </c>
      <c r="Z410" s="1850">
        <f t="shared" si="154"/>
        <v>-309.6087898172276</v>
      </c>
      <c r="AA410" s="1850">
        <f t="shared" si="155"/>
        <v>-51.576013050997005</v>
      </c>
      <c r="AB410" s="2733"/>
      <c r="AC410" s="3009"/>
    </row>
    <row r="411" spans="1:29" ht="18.75" x14ac:dyDescent="0.25">
      <c r="A411" s="2982"/>
      <c r="B411" s="2753"/>
      <c r="C411" s="1863">
        <v>2042</v>
      </c>
      <c r="D411" s="218">
        <f t="shared" si="164"/>
        <v>-254432.63772672549</v>
      </c>
      <c r="E411" s="221">
        <f t="shared" si="172"/>
        <v>9649.1162358135371</v>
      </c>
      <c r="F411" s="221">
        <f t="shared" si="173"/>
        <v>0</v>
      </c>
      <c r="G411" s="218">
        <f t="shared" si="165"/>
        <v>-12.882665201353189</v>
      </c>
      <c r="H411" s="218">
        <f t="shared" si="166"/>
        <v>-3.2206663003382947</v>
      </c>
      <c r="I411" s="218">
        <f t="shared" si="167"/>
        <v>-67.633992307104208</v>
      </c>
      <c r="J411" s="218">
        <f t="shared" si="168"/>
        <v>-3.2206663003382974</v>
      </c>
      <c r="K411" s="218">
        <f t="shared" si="169"/>
        <v>-341.3906278358595</v>
      </c>
      <c r="L411" s="218">
        <f t="shared" si="170"/>
        <v>-1236.7358593299059</v>
      </c>
      <c r="M411" s="192">
        <f t="shared" si="171"/>
        <v>-244.78352149091194</v>
      </c>
      <c r="N411" s="211">
        <v>88</v>
      </c>
      <c r="O411" s="211">
        <f>'Emission-Waste Transport Vehicl'!N56</f>
        <v>20.676529244448002</v>
      </c>
      <c r="P411" s="211">
        <f>'Emission-Waste Transport Vehicl'!O56</f>
        <v>30.080043899136001</v>
      </c>
      <c r="Q411" s="211">
        <f>'Emission-Waste Transport Vehicl'!P56</f>
        <v>11.504076379488001</v>
      </c>
      <c r="R411" s="211">
        <f>'Emission-Waste Transport Vehicl'!Q56</f>
        <v>8.9343892028159999</v>
      </c>
      <c r="S411" s="211">
        <f>'Emission-Waste Transport Vehicl'!R56</f>
        <v>0.8892377968320001</v>
      </c>
      <c r="T411" s="211">
        <f>'Emission-Waste Transport Vehicl'!S56</f>
        <v>4.0890934909439999E-2</v>
      </c>
      <c r="U411" s="1850">
        <f t="shared" si="149"/>
        <v>-21540.949891200249</v>
      </c>
      <c r="V411" s="1850">
        <f t="shared" si="150"/>
        <v>-266.36880378221184</v>
      </c>
      <c r="W411" s="1850">
        <f t="shared" si="151"/>
        <v>-96.877783698643839</v>
      </c>
      <c r="X411" s="1850">
        <f t="shared" si="152"/>
        <v>-778.06661335063075</v>
      </c>
      <c r="Y411" s="1850">
        <f t="shared" si="153"/>
        <v>-28.774686219615838</v>
      </c>
      <c r="Z411" s="1850">
        <f t="shared" si="154"/>
        <v>-303.57744975585297</v>
      </c>
      <c r="AA411" s="1850">
        <f t="shared" si="155"/>
        <v>-50.571285524029527</v>
      </c>
      <c r="AB411" s="2733"/>
      <c r="AC411" s="3009"/>
    </row>
    <row r="412" spans="1:29" ht="18.75" x14ac:dyDescent="0.25">
      <c r="A412" s="2982"/>
      <c r="B412" s="2753"/>
      <c r="C412" s="1863">
        <v>2043</v>
      </c>
      <c r="D412" s="218">
        <f t="shared" si="164"/>
        <v>-254432.63772672549</v>
      </c>
      <c r="E412" s="221">
        <f t="shared" si="172"/>
        <v>9649.1162358135371</v>
      </c>
      <c r="F412" s="221">
        <f t="shared" si="173"/>
        <v>0</v>
      </c>
      <c r="G412" s="218">
        <f t="shared" si="165"/>
        <v>-12.882665201353189</v>
      </c>
      <c r="H412" s="218">
        <f t="shared" si="166"/>
        <v>-3.2206663003382947</v>
      </c>
      <c r="I412" s="218">
        <f t="shared" si="167"/>
        <v>-67.633992307104208</v>
      </c>
      <c r="J412" s="218">
        <f t="shared" si="168"/>
        <v>-3.2206663003382974</v>
      </c>
      <c r="K412" s="218">
        <f t="shared" si="169"/>
        <v>-341.3906278358595</v>
      </c>
      <c r="L412" s="218">
        <f t="shared" si="170"/>
        <v>-1236.7358593299059</v>
      </c>
      <c r="M412" s="192">
        <f t="shared" si="171"/>
        <v>-244.78352149091194</v>
      </c>
      <c r="N412" s="211">
        <v>89</v>
      </c>
      <c r="O412" s="211">
        <f>'Emission-Waste Transport Vehicl'!N57</f>
        <v>20.268997526448004</v>
      </c>
      <c r="P412" s="211">
        <f>'Emission-Waste Transport Vehicl'!O57</f>
        <v>29.487170123136003</v>
      </c>
      <c r="Q412" s="211">
        <f>'Emission-Waste Transport Vehicl'!P57</f>
        <v>11.277332521488001</v>
      </c>
      <c r="R412" s="211">
        <f>'Emission-Waste Transport Vehicl'!Q57</f>
        <v>8.7582935468160006</v>
      </c>
      <c r="S412" s="211">
        <f>'Emission-Waste Transport Vehicl'!R57</f>
        <v>0.87171103483200019</v>
      </c>
      <c r="T412" s="211">
        <f>'Emission-Waste Transport Vehicl'!S57</f>
        <v>4.0084979869440006E-2</v>
      </c>
      <c r="U412" s="1850">
        <f t="shared" si="149"/>
        <v>-21785.733412691163</v>
      </c>
      <c r="V412" s="1850">
        <f t="shared" si="150"/>
        <v>-261.11870910028557</v>
      </c>
      <c r="W412" s="1850">
        <f t="shared" si="151"/>
        <v>-94.968335107926336</v>
      </c>
      <c r="X412" s="1850">
        <f t="shared" si="152"/>
        <v>-762.73102100297558</v>
      </c>
      <c r="Y412" s="1850">
        <f t="shared" si="153"/>
        <v>-28.207540874700673</v>
      </c>
      <c r="Z412" s="1850">
        <f t="shared" si="154"/>
        <v>-297.59397747274335</v>
      </c>
      <c r="AA412" s="1850">
        <f t="shared" si="155"/>
        <v>-49.574532025053863</v>
      </c>
      <c r="AB412" s="2733"/>
      <c r="AC412" s="3009"/>
    </row>
    <row r="413" spans="1:29" ht="18.75" x14ac:dyDescent="0.25">
      <c r="A413" s="2982"/>
      <c r="B413" s="2753"/>
      <c r="C413" s="1863">
        <v>2044</v>
      </c>
      <c r="D413" s="218">
        <f t="shared" si="164"/>
        <v>-254432.63772672549</v>
      </c>
      <c r="E413" s="221">
        <f t="shared" si="172"/>
        <v>9649.1162358135371</v>
      </c>
      <c r="F413" s="221">
        <f t="shared" si="173"/>
        <v>0</v>
      </c>
      <c r="G413" s="218">
        <f t="shared" si="165"/>
        <v>-12.882665201353189</v>
      </c>
      <c r="H413" s="218">
        <f t="shared" si="166"/>
        <v>-3.2206663003382947</v>
      </c>
      <c r="I413" s="218">
        <f t="shared" si="167"/>
        <v>-67.633992307104208</v>
      </c>
      <c r="J413" s="218">
        <f t="shared" si="168"/>
        <v>-3.2206663003382974</v>
      </c>
      <c r="K413" s="218">
        <f t="shared" si="169"/>
        <v>-341.3906278358595</v>
      </c>
      <c r="L413" s="218">
        <f t="shared" si="170"/>
        <v>-1236.7358593299059</v>
      </c>
      <c r="M413" s="192">
        <f t="shared" si="171"/>
        <v>-244.78352149091194</v>
      </c>
      <c r="N413" s="211">
        <v>90</v>
      </c>
      <c r="O413" s="211">
        <f>'Emission-Waste Transport Vehicl'!N58</f>
        <v>19.871246569680004</v>
      </c>
      <c r="P413" s="211">
        <f>'Emission-Waste Transport Vehicl'!O58</f>
        <v>28.908525317760002</v>
      </c>
      <c r="Q413" s="211">
        <f>'Emission-Waste Transport Vehicl'!P58</f>
        <v>11.056030516080002</v>
      </c>
      <c r="R413" s="211">
        <f>'Emission-Waste Transport Vehicl'!Q58</f>
        <v>8.5864241865600004</v>
      </c>
      <c r="S413" s="211">
        <f>'Emission-Waste Transport Vehicl'!R58</f>
        <v>0.85460491512000014</v>
      </c>
      <c r="T413" s="211">
        <f>'Emission-Waste Transport Vehicl'!S58</f>
        <v>3.9298367750400007E-2</v>
      </c>
      <c r="U413" s="1850">
        <f t="shared" si="149"/>
        <v>-22030.516934182073</v>
      </c>
      <c r="V413" s="1850">
        <f t="shared" si="150"/>
        <v>-255.99461669072554</v>
      </c>
      <c r="W413" s="1850">
        <f t="shared" si="151"/>
        <v>-93.104713283386033</v>
      </c>
      <c r="X413" s="1850">
        <f t="shared" si="152"/>
        <v>-747.76348287166422</v>
      </c>
      <c r="Y413" s="1850">
        <f t="shared" si="153"/>
        <v>-27.654007018063471</v>
      </c>
      <c r="Z413" s="1850">
        <f t="shared" si="154"/>
        <v>-291.75410852442826</v>
      </c>
      <c r="AA413" s="1850">
        <f t="shared" si="155"/>
        <v>-48.601700610053612</v>
      </c>
      <c r="AB413" s="2733"/>
      <c r="AC413" s="3009"/>
    </row>
    <row r="414" spans="1:29" ht="18.75" x14ac:dyDescent="0.25">
      <c r="A414" s="2982"/>
      <c r="B414" s="2753"/>
      <c r="C414" s="1863">
        <v>2045</v>
      </c>
      <c r="D414" s="218">
        <f t="shared" si="164"/>
        <v>-254432.63772672549</v>
      </c>
      <c r="E414" s="221">
        <f t="shared" si="172"/>
        <v>9649.1162358135371</v>
      </c>
      <c r="F414" s="221">
        <f t="shared" si="173"/>
        <v>0</v>
      </c>
      <c r="G414" s="218">
        <f t="shared" si="165"/>
        <v>-12.882665201353189</v>
      </c>
      <c r="H414" s="218">
        <f t="shared" si="166"/>
        <v>-3.2206663003382947</v>
      </c>
      <c r="I414" s="218">
        <f t="shared" si="167"/>
        <v>-67.633992307104208</v>
      </c>
      <c r="J414" s="218">
        <f t="shared" si="168"/>
        <v>-3.2206663003382974</v>
      </c>
      <c r="K414" s="218">
        <f t="shared" si="169"/>
        <v>-341.3906278358595</v>
      </c>
      <c r="L414" s="218">
        <f t="shared" si="170"/>
        <v>-1236.7358593299059</v>
      </c>
      <c r="M414" s="192">
        <f t="shared" si="171"/>
        <v>-244.78352149091194</v>
      </c>
      <c r="N414" s="211">
        <v>92</v>
      </c>
      <c r="O414" s="211">
        <f>'Emission-Waste Transport Vehicl'!N59</f>
        <v>19.483276374144001</v>
      </c>
      <c r="P414" s="211">
        <f>'Emission-Waste Transport Vehicl'!O59</f>
        <v>28.344109483008001</v>
      </c>
      <c r="Q414" s="211">
        <f>'Emission-Waste Transport Vehicl'!P59</f>
        <v>10.840170363264003</v>
      </c>
      <c r="R414" s="211">
        <f>'Emission-Waste Transport Vehicl'!Q59</f>
        <v>8.4187811220480011</v>
      </c>
      <c r="S414" s="211">
        <f>'Emission-Waste Transport Vehicl'!R59</f>
        <v>0.83791943769600008</v>
      </c>
      <c r="T414" s="211">
        <f>'Emission-Waste Transport Vehicl'!S59</f>
        <v>3.8531098552320009E-2</v>
      </c>
      <c r="U414" s="1850">
        <f t="shared" si="149"/>
        <v>-22520.083977163897</v>
      </c>
      <c r="V414" s="1850">
        <f t="shared" si="150"/>
        <v>-250.99652655353168</v>
      </c>
      <c r="W414" s="1850">
        <f t="shared" si="151"/>
        <v>-91.286918225022958</v>
      </c>
      <c r="X414" s="1850">
        <f t="shared" si="152"/>
        <v>-733.16399895669656</v>
      </c>
      <c r="Y414" s="1850">
        <f t="shared" si="153"/>
        <v>-27.114084649704235</v>
      </c>
      <c r="Z414" s="1850">
        <f t="shared" si="154"/>
        <v>-286.05784291090782</v>
      </c>
      <c r="AA414" s="1850">
        <f t="shared" si="155"/>
        <v>-47.652791279028783</v>
      </c>
      <c r="AB414" s="2733"/>
      <c r="AC414" s="3009"/>
    </row>
    <row r="415" spans="1:29" ht="18.75" x14ac:dyDescent="0.25">
      <c r="A415" s="2982"/>
      <c r="B415" s="2753"/>
      <c r="C415" s="1863">
        <v>2046</v>
      </c>
      <c r="D415" s="218">
        <f t="shared" si="164"/>
        <v>-254432.63772672549</v>
      </c>
      <c r="E415" s="221">
        <f t="shared" si="172"/>
        <v>9649.1162358135371</v>
      </c>
      <c r="F415" s="221">
        <f t="shared" si="173"/>
        <v>0</v>
      </c>
      <c r="G415" s="218">
        <f t="shared" si="165"/>
        <v>-12.882665201353189</v>
      </c>
      <c r="H415" s="218">
        <f t="shared" si="166"/>
        <v>-3.2206663003382947</v>
      </c>
      <c r="I415" s="218">
        <f t="shared" si="167"/>
        <v>-67.633992307104208</v>
      </c>
      <c r="J415" s="218">
        <f t="shared" si="168"/>
        <v>-3.2206663003382974</v>
      </c>
      <c r="K415" s="218">
        <f t="shared" si="169"/>
        <v>-341.3906278358595</v>
      </c>
      <c r="L415" s="218">
        <f t="shared" si="170"/>
        <v>-1236.7358593299059</v>
      </c>
      <c r="M415" s="192">
        <f t="shared" ref="M415:M438" si="174">(D415/1000)+(E415/1000)+(F415/1000)</f>
        <v>-244.78352149091194</v>
      </c>
      <c r="N415" s="211">
        <v>93</v>
      </c>
      <c r="O415" s="211">
        <f>'Emission-Waste Transport Vehicl'!N60</f>
        <v>19.101826686096</v>
      </c>
      <c r="P415" s="211">
        <f>'Emission-Waste Transport Vehicl'!O60</f>
        <v>27.789179628671999</v>
      </c>
      <c r="Q415" s="211">
        <f>'Emission-Waste Transport Vehicl'!P60</f>
        <v>10.627938112176002</v>
      </c>
      <c r="R415" s="211">
        <f>'Emission-Waste Transport Vehicl'!Q60</f>
        <v>8.2539555880319995</v>
      </c>
      <c r="S415" s="211">
        <f>'Emission-Waste Transport Vehicl'!R60</f>
        <v>0.82151438846400004</v>
      </c>
      <c r="T415" s="211">
        <f>'Emission-Waste Transport Vehicl'!S60</f>
        <v>3.777672463488E-2</v>
      </c>
      <c r="U415" s="1850">
        <f t="shared" ref="U415:U438" si="175">M415*N415</f>
        <v>-22764.86749865481</v>
      </c>
      <c r="V415" s="1850">
        <f t="shared" ref="V415:V438" si="176">G415*O415</f>
        <v>-246.08243793124865</v>
      </c>
      <c r="W415" s="1850">
        <f t="shared" ref="W415:W438" si="177">H415*P415</f>
        <v>-89.499674344111355</v>
      </c>
      <c r="X415" s="1850">
        <f t="shared" ref="X415:X438" si="178">I415*Q415</f>
        <v>-718.80988451929136</v>
      </c>
      <c r="Y415" s="1850">
        <f t="shared" ref="Y415:Y438" si="179">J415*R415</f>
        <v>-26.583236606863636</v>
      </c>
      <c r="Z415" s="1850">
        <f t="shared" ref="Z415:Z438" si="180">K415*S415</f>
        <v>-280.45731285391713</v>
      </c>
      <c r="AA415" s="1850">
        <f t="shared" ref="AA415:AA438" si="181">T415*L415</f>
        <v>-46.719830003987546</v>
      </c>
      <c r="AB415" s="2733"/>
      <c r="AC415" s="3009"/>
    </row>
    <row r="416" spans="1:29" ht="18.75" x14ac:dyDescent="0.25">
      <c r="A416" s="2982"/>
      <c r="B416" s="2753"/>
      <c r="C416" s="1863">
        <v>2047</v>
      </c>
      <c r="D416" s="218">
        <f t="shared" si="164"/>
        <v>-254432.63772672549</v>
      </c>
      <c r="E416" s="221">
        <f t="shared" si="172"/>
        <v>9649.1162358135371</v>
      </c>
      <c r="F416" s="221">
        <f t="shared" si="173"/>
        <v>0</v>
      </c>
      <c r="G416" s="218">
        <f t="shared" si="165"/>
        <v>-12.882665201353189</v>
      </c>
      <c r="H416" s="218">
        <f t="shared" si="166"/>
        <v>-3.2206663003382947</v>
      </c>
      <c r="I416" s="218">
        <f t="shared" si="167"/>
        <v>-67.633992307104208</v>
      </c>
      <c r="J416" s="218">
        <f t="shared" si="168"/>
        <v>-3.2206663003382974</v>
      </c>
      <c r="K416" s="218">
        <f t="shared" si="169"/>
        <v>-341.3906278358595</v>
      </c>
      <c r="L416" s="218">
        <f t="shared" si="170"/>
        <v>-1236.7358593299059</v>
      </c>
      <c r="M416" s="192">
        <f t="shared" si="174"/>
        <v>-244.78352149091194</v>
      </c>
      <c r="N416" s="211">
        <v>94</v>
      </c>
      <c r="O416" s="211">
        <f>'Emission-Waste Transport Vehicl'!N61</f>
        <v>18.726897505536005</v>
      </c>
      <c r="P416" s="211">
        <f>'Emission-Waste Transport Vehicl'!O61</f>
        <v>27.243735754752002</v>
      </c>
      <c r="Q416" s="211">
        <f>'Emission-Waste Transport Vehicl'!P61</f>
        <v>10.419333762816001</v>
      </c>
      <c r="R416" s="211">
        <f>'Emission-Waste Transport Vehicl'!Q61</f>
        <v>8.0919475845120008</v>
      </c>
      <c r="S416" s="211">
        <f>'Emission-Waste Transport Vehicl'!R61</f>
        <v>0.80538976742400015</v>
      </c>
      <c r="T416" s="211">
        <f>'Emission-Waste Transport Vehicl'!S61</f>
        <v>3.7035245998080002E-2</v>
      </c>
      <c r="U416" s="1850">
        <f t="shared" si="175"/>
        <v>-23009.65102014572</v>
      </c>
      <c r="V416" s="1850">
        <f t="shared" si="176"/>
        <v>-241.25235082387655</v>
      </c>
      <c r="W416" s="1850">
        <f t="shared" si="177"/>
        <v>-87.742981640651251</v>
      </c>
      <c r="X416" s="1850">
        <f t="shared" si="178"/>
        <v>-704.70113955944851</v>
      </c>
      <c r="Y416" s="1850">
        <f t="shared" si="179"/>
        <v>-26.061462889541687</v>
      </c>
      <c r="Z416" s="1850">
        <f t="shared" si="180"/>
        <v>-274.9525183534563</v>
      </c>
      <c r="AA416" s="1850">
        <f t="shared" si="181"/>
        <v>-45.802816784929931</v>
      </c>
      <c r="AB416" s="2733"/>
      <c r="AC416" s="3009"/>
    </row>
    <row r="417" spans="1:29" ht="18.75" x14ac:dyDescent="0.25">
      <c r="A417" s="2982"/>
      <c r="B417" s="2753"/>
      <c r="C417" s="1863">
        <v>2048</v>
      </c>
      <c r="D417" s="218">
        <f t="shared" si="164"/>
        <v>-254432.63772672549</v>
      </c>
      <c r="E417" s="221">
        <f t="shared" si="172"/>
        <v>9649.1162358135371</v>
      </c>
      <c r="F417" s="221">
        <f t="shared" si="173"/>
        <v>0</v>
      </c>
      <c r="G417" s="218">
        <f t="shared" si="165"/>
        <v>-12.882665201353189</v>
      </c>
      <c r="H417" s="218">
        <f t="shared" si="166"/>
        <v>-3.2206663003382947</v>
      </c>
      <c r="I417" s="218">
        <f t="shared" si="167"/>
        <v>-67.633992307104208</v>
      </c>
      <c r="J417" s="218">
        <f t="shared" si="168"/>
        <v>-3.2206663003382974</v>
      </c>
      <c r="K417" s="218">
        <f t="shared" si="169"/>
        <v>-341.3906278358595</v>
      </c>
      <c r="L417" s="218">
        <f t="shared" si="170"/>
        <v>-1236.7358593299059</v>
      </c>
      <c r="M417" s="192">
        <f t="shared" si="174"/>
        <v>-244.78352149091194</v>
      </c>
      <c r="N417" s="211">
        <v>95</v>
      </c>
      <c r="O417" s="211">
        <f>'Emission-Waste Transport Vehicl'!N62</f>
        <v>18.358488832464005</v>
      </c>
      <c r="P417" s="211">
        <f>'Emission-Waste Transport Vehicl'!O62</f>
        <v>26.707777861248005</v>
      </c>
      <c r="Q417" s="211">
        <f>'Emission-Waste Transport Vehicl'!P62</f>
        <v>10.214357315184001</v>
      </c>
      <c r="R417" s="211">
        <f>'Emission-Waste Transport Vehicl'!Q62</f>
        <v>7.9327571114880007</v>
      </c>
      <c r="S417" s="211">
        <f>'Emission-Waste Transport Vehicl'!R62</f>
        <v>0.78954557457600016</v>
      </c>
      <c r="T417" s="211">
        <f>'Emission-Waste Transport Vehicl'!S62</f>
        <v>3.6306662641920007E-2</v>
      </c>
      <c r="U417" s="1850">
        <f t="shared" si="175"/>
        <v>-23254.434541636634</v>
      </c>
      <c r="V417" s="1850">
        <f t="shared" si="176"/>
        <v>-236.50626523141517</v>
      </c>
      <c r="W417" s="1850">
        <f t="shared" si="177"/>
        <v>-86.016840114642619</v>
      </c>
      <c r="X417" s="1850">
        <f t="shared" si="178"/>
        <v>-690.83776407716834</v>
      </c>
      <c r="Y417" s="1850">
        <f t="shared" si="179"/>
        <v>-25.548763497738378</v>
      </c>
      <c r="Z417" s="1850">
        <f t="shared" si="180"/>
        <v>-269.54345940952516</v>
      </c>
      <c r="AA417" s="1850">
        <f t="shared" si="181"/>
        <v>-44.901751621855929</v>
      </c>
      <c r="AB417" s="2733"/>
      <c r="AC417" s="3009"/>
    </row>
    <row r="418" spans="1:29" ht="18.75" x14ac:dyDescent="0.25">
      <c r="A418" s="2982"/>
      <c r="B418" s="2753"/>
      <c r="C418" s="1863">
        <v>2049</v>
      </c>
      <c r="D418" s="218">
        <f t="shared" si="164"/>
        <v>-254432.63772672549</v>
      </c>
      <c r="E418" s="221">
        <f t="shared" si="172"/>
        <v>9649.1162358135371</v>
      </c>
      <c r="F418" s="221">
        <f t="shared" si="173"/>
        <v>0</v>
      </c>
      <c r="G418" s="218">
        <f t="shared" si="165"/>
        <v>-12.882665201353189</v>
      </c>
      <c r="H418" s="218">
        <f t="shared" si="166"/>
        <v>-3.2206663003382947</v>
      </c>
      <c r="I418" s="218">
        <f t="shared" si="167"/>
        <v>-67.633992307104208</v>
      </c>
      <c r="J418" s="218">
        <f t="shared" si="168"/>
        <v>-3.2206663003382974</v>
      </c>
      <c r="K418" s="218">
        <f t="shared" si="169"/>
        <v>-341.3906278358595</v>
      </c>
      <c r="L418" s="218">
        <f t="shared" si="170"/>
        <v>-1236.7358593299059</v>
      </c>
      <c r="M418" s="192">
        <f t="shared" si="174"/>
        <v>-244.78352149091194</v>
      </c>
      <c r="N418" s="211">
        <v>96</v>
      </c>
      <c r="O418" s="211">
        <f>'Emission-Waste Transport Vehicl'!N63</f>
        <v>17.999860920624005</v>
      </c>
      <c r="P418" s="211">
        <f>'Emission-Waste Transport Vehicl'!O63</f>
        <v>26.186048938368003</v>
      </c>
      <c r="Q418" s="211">
        <f>'Emission-Waste Transport Vehicl'!P63</f>
        <v>10.014822720144002</v>
      </c>
      <c r="R418" s="211">
        <f>'Emission-Waste Transport Vehicl'!Q63</f>
        <v>7.7777929342080014</v>
      </c>
      <c r="S418" s="211">
        <f>'Emission-Waste Transport Vehicl'!R63</f>
        <v>0.77412202401600017</v>
      </c>
      <c r="T418" s="211">
        <f>'Emission-Waste Transport Vehicl'!S63</f>
        <v>3.5597422206719999E-2</v>
      </c>
      <c r="U418" s="1850">
        <f t="shared" si="175"/>
        <v>-23499.218063127548</v>
      </c>
      <c r="V418" s="1850">
        <f t="shared" si="176"/>
        <v>-231.88618191132005</v>
      </c>
      <c r="W418" s="1850">
        <f t="shared" si="177"/>
        <v>-84.336525354811201</v>
      </c>
      <c r="X418" s="1850">
        <f t="shared" si="178"/>
        <v>-677.34244281123188</v>
      </c>
      <c r="Y418" s="1850">
        <f t="shared" si="179"/>
        <v>-25.049675594213035</v>
      </c>
      <c r="Z418" s="1850">
        <f t="shared" si="180"/>
        <v>-264.2780038003886</v>
      </c>
      <c r="AA418" s="1850">
        <f t="shared" si="181"/>
        <v>-44.024608542757335</v>
      </c>
      <c r="AB418" s="2733"/>
      <c r="AC418" s="3009"/>
    </row>
    <row r="419" spans="1:29" ht="18.75" x14ac:dyDescent="0.25">
      <c r="A419" s="2982"/>
      <c r="B419" s="2753"/>
      <c r="C419" s="1863">
        <v>2050</v>
      </c>
      <c r="D419" s="218">
        <f t="shared" si="164"/>
        <v>-254432.63772672549</v>
      </c>
      <c r="E419" s="221">
        <f t="shared" si="172"/>
        <v>9649.1162358135371</v>
      </c>
      <c r="F419" s="221">
        <f t="shared" si="173"/>
        <v>0</v>
      </c>
      <c r="G419" s="218">
        <f t="shared" si="165"/>
        <v>-12.882665201353189</v>
      </c>
      <c r="H419" s="218">
        <f t="shared" si="166"/>
        <v>-3.2206663003382947</v>
      </c>
      <c r="I419" s="218">
        <f t="shared" si="167"/>
        <v>-67.633992307104208</v>
      </c>
      <c r="J419" s="218">
        <f t="shared" si="168"/>
        <v>-3.2206663003382974</v>
      </c>
      <c r="K419" s="218">
        <f t="shared" si="169"/>
        <v>-341.3906278358595</v>
      </c>
      <c r="L419" s="218">
        <f t="shared" si="170"/>
        <v>-1236.7358593299059</v>
      </c>
      <c r="M419" s="192">
        <f t="shared" si="174"/>
        <v>-244.78352149091194</v>
      </c>
      <c r="N419" s="211">
        <v>97</v>
      </c>
      <c r="O419" s="211">
        <f>'Emission-Waste Transport Vehicl'!N64</f>
        <v>17.644493262528005</v>
      </c>
      <c r="P419" s="211">
        <f>'Emission-Waste Transport Vehicl'!O64</f>
        <v>25.669063005696003</v>
      </c>
      <c r="Q419" s="211">
        <f>'Emission-Waste Transport Vehicl'!P64</f>
        <v>9.8171020759680019</v>
      </c>
      <c r="R419" s="211">
        <f>'Emission-Waste Transport Vehicl'!Q64</f>
        <v>7.624237522176001</v>
      </c>
      <c r="S419" s="211">
        <f>'Emission-Waste Transport Vehicl'!R64</f>
        <v>0.75883868755200012</v>
      </c>
      <c r="T419" s="211">
        <f>'Emission-Waste Transport Vehicl'!S64</f>
        <v>3.4894629411840003E-2</v>
      </c>
      <c r="U419" s="1850">
        <f t="shared" si="175"/>
        <v>-23744.001584618458</v>
      </c>
      <c r="V419" s="1850">
        <f t="shared" si="176"/>
        <v>-227.30809934868034</v>
      </c>
      <c r="W419" s="1850">
        <f t="shared" si="177"/>
        <v>-82.671486183705539</v>
      </c>
      <c r="X419" s="1850">
        <f t="shared" si="178"/>
        <v>-663.96980628407664</v>
      </c>
      <c r="Y419" s="1850">
        <f t="shared" si="179"/>
        <v>-24.555124853447008</v>
      </c>
      <c r="Z419" s="1850">
        <f t="shared" si="180"/>
        <v>-259.06041596951695</v>
      </c>
      <c r="AA419" s="1850">
        <f t="shared" si="181"/>
        <v>-43.155439491650554</v>
      </c>
      <c r="AB419" s="2733"/>
      <c r="AC419" s="3009"/>
    </row>
    <row r="420" spans="1:29" ht="18.75" x14ac:dyDescent="0.25">
      <c r="A420" s="2982"/>
      <c r="B420" s="2753"/>
      <c r="C420" s="1863">
        <v>2051</v>
      </c>
      <c r="D420" s="218">
        <f t="shared" ref="D420:D438" si="182">$AC$14</f>
        <v>-254432.63772672549</v>
      </c>
      <c r="E420" s="221">
        <f t="shared" si="172"/>
        <v>9649.1162358135371</v>
      </c>
      <c r="F420" s="221">
        <f t="shared" si="173"/>
        <v>0</v>
      </c>
      <c r="G420" s="218">
        <f t="shared" ref="G420:G438" si="183">$Y$14</f>
        <v>-12.882665201353189</v>
      </c>
      <c r="H420" s="218">
        <f t="shared" ref="H420:H438" si="184">$Z$14</f>
        <v>-3.2206663003382947</v>
      </c>
      <c r="I420" s="218">
        <f t="shared" ref="I420:I438" si="185">$X$14</f>
        <v>-67.633992307104208</v>
      </c>
      <c r="J420" s="218">
        <f t="shared" ref="J420:J438" si="186">$AA$14</f>
        <v>-3.2206663003382974</v>
      </c>
      <c r="K420" s="218">
        <f t="shared" ref="K420:K438" si="187">$V$14</f>
        <v>-341.3906278358595</v>
      </c>
      <c r="L420" s="218">
        <f t="shared" ref="L420:L438" si="188">$W$14</f>
        <v>-1236.7358593299059</v>
      </c>
      <c r="M420" s="192">
        <f t="shared" si="174"/>
        <v>-244.78352149091194</v>
      </c>
      <c r="N420" s="211">
        <v>97</v>
      </c>
      <c r="O420" s="211">
        <f>'Emission-Waste Transport Vehicl'!N65</f>
        <v>17.298906365664003</v>
      </c>
      <c r="P420" s="211">
        <f>'Emission-Waste Transport Vehicl'!O65</f>
        <v>25.166306043648003</v>
      </c>
      <c r="Q420" s="211">
        <f>'Emission-Waste Transport Vehicl'!P65</f>
        <v>9.624823284384</v>
      </c>
      <c r="R420" s="211">
        <f>'Emission-Waste Transport Vehicl'!Q65</f>
        <v>7.4749084058879998</v>
      </c>
      <c r="S420" s="211">
        <f>'Emission-Waste Transport Vehicl'!R65</f>
        <v>0.74397599337600007</v>
      </c>
      <c r="T420" s="211">
        <f>'Emission-Waste Transport Vehicl'!S65</f>
        <v>3.4211179537920001E-2</v>
      </c>
      <c r="U420" s="1850">
        <f t="shared" si="175"/>
        <v>-23744.001584618458</v>
      </c>
      <c r="V420" s="1850">
        <f t="shared" si="176"/>
        <v>-222.85601905840682</v>
      </c>
      <c r="W420" s="1850">
        <f t="shared" si="177"/>
        <v>-81.052273778777078</v>
      </c>
      <c r="X420" s="1850">
        <f t="shared" si="178"/>
        <v>-650.96522397326487</v>
      </c>
      <c r="Y420" s="1850">
        <f t="shared" si="179"/>
        <v>-24.074185600958945</v>
      </c>
      <c r="Z420" s="1850">
        <f t="shared" si="180"/>
        <v>-253.98643147343992</v>
      </c>
      <c r="AA420" s="1850">
        <f t="shared" si="181"/>
        <v>-42.310192524519188</v>
      </c>
      <c r="AB420" s="2733"/>
      <c r="AC420" s="3009"/>
    </row>
    <row r="421" spans="1:29" ht="18.75" x14ac:dyDescent="0.25">
      <c r="A421" s="2982"/>
      <c r="B421" s="2753"/>
      <c r="C421" s="1863">
        <v>2052</v>
      </c>
      <c r="D421" s="218">
        <f t="shared" si="182"/>
        <v>-254432.63772672549</v>
      </c>
      <c r="E421" s="221">
        <f t="shared" si="172"/>
        <v>9649.1162358135371</v>
      </c>
      <c r="F421" s="221">
        <f t="shared" si="173"/>
        <v>0</v>
      </c>
      <c r="G421" s="218">
        <f t="shared" si="183"/>
        <v>-12.882665201353189</v>
      </c>
      <c r="H421" s="218">
        <f t="shared" si="184"/>
        <v>-3.2206663003382947</v>
      </c>
      <c r="I421" s="218">
        <f t="shared" si="185"/>
        <v>-67.633992307104208</v>
      </c>
      <c r="J421" s="218">
        <f t="shared" si="186"/>
        <v>-3.2206663003382974</v>
      </c>
      <c r="K421" s="218">
        <f t="shared" si="187"/>
        <v>-341.3906278358595</v>
      </c>
      <c r="L421" s="218">
        <f t="shared" si="188"/>
        <v>-1236.7358593299059</v>
      </c>
      <c r="M421" s="192">
        <f t="shared" si="174"/>
        <v>-244.78352149091194</v>
      </c>
      <c r="N421" s="211">
        <v>97</v>
      </c>
      <c r="O421" s="211">
        <f>'Emission-Waste Transport Vehicl'!N66</f>
        <v>16.959839976288002</v>
      </c>
      <c r="P421" s="211">
        <f>'Emission-Waste Transport Vehicl'!O66</f>
        <v>24.673035062016002</v>
      </c>
      <c r="Q421" s="211">
        <f>'Emission-Waste Transport Vehicl'!P66</f>
        <v>9.4361723945280005</v>
      </c>
      <c r="R421" s="211">
        <f>'Emission-Waste Transport Vehicl'!Q66</f>
        <v>7.3283968200960006</v>
      </c>
      <c r="S421" s="211">
        <f>'Emission-Waste Transport Vehicl'!R66</f>
        <v>0.72939372739200004</v>
      </c>
      <c r="T421" s="211">
        <f>'Emission-Waste Transport Vehicl'!S66</f>
        <v>3.3540624944640003E-2</v>
      </c>
      <c r="U421" s="1850">
        <f t="shared" si="175"/>
        <v>-23744.001584618458</v>
      </c>
      <c r="V421" s="1850">
        <f t="shared" si="176"/>
        <v>-218.48794028304414</v>
      </c>
      <c r="W421" s="1850">
        <f t="shared" si="177"/>
        <v>-79.463612551300102</v>
      </c>
      <c r="X421" s="1850">
        <f t="shared" si="178"/>
        <v>-638.2060111400159</v>
      </c>
      <c r="Y421" s="1850">
        <f t="shared" si="179"/>
        <v>-23.602320673989528</v>
      </c>
      <c r="Z421" s="1850">
        <f t="shared" si="180"/>
        <v>-249.00818253389264</v>
      </c>
      <c r="AA421" s="1850">
        <f t="shared" si="181"/>
        <v>-41.480893613371435</v>
      </c>
      <c r="AB421" s="2733"/>
      <c r="AC421" s="3009"/>
    </row>
    <row r="422" spans="1:29" ht="18.75" x14ac:dyDescent="0.25">
      <c r="A422" s="2982"/>
      <c r="B422" s="2753"/>
      <c r="C422" s="1863">
        <v>2053</v>
      </c>
      <c r="D422" s="218">
        <f t="shared" si="182"/>
        <v>-254432.63772672549</v>
      </c>
      <c r="E422" s="221">
        <f t="shared" si="172"/>
        <v>9649.1162358135371</v>
      </c>
      <c r="F422" s="221">
        <f t="shared" si="173"/>
        <v>0</v>
      </c>
      <c r="G422" s="218">
        <f t="shared" si="183"/>
        <v>-12.882665201353189</v>
      </c>
      <c r="H422" s="218">
        <f t="shared" si="184"/>
        <v>-3.2206663003382947</v>
      </c>
      <c r="I422" s="218">
        <f t="shared" si="185"/>
        <v>-67.633992307104208</v>
      </c>
      <c r="J422" s="218">
        <f t="shared" si="186"/>
        <v>-3.2206663003382974</v>
      </c>
      <c r="K422" s="218">
        <f t="shared" si="187"/>
        <v>-341.3906278358595</v>
      </c>
      <c r="L422" s="218">
        <f t="shared" si="188"/>
        <v>-1236.7358593299059</v>
      </c>
      <c r="M422" s="192">
        <f t="shared" si="174"/>
        <v>-244.78352149091194</v>
      </c>
      <c r="N422" s="211">
        <v>97</v>
      </c>
      <c r="O422" s="211">
        <f>'Emission-Waste Transport Vehicl'!N67</f>
        <v>15.361506000000002</v>
      </c>
      <c r="P422" s="211">
        <f>'Emission-Waste Transport Vehicl'!O67</f>
        <v>24.189250060800003</v>
      </c>
      <c r="Q422" s="211">
        <f>'Emission-Waste Transport Vehicl'!P67</f>
        <v>9.2511494064000015</v>
      </c>
      <c r="R422" s="211">
        <f>'Emission-Waste Transport Vehicl'!Q67</f>
        <v>7.1847027647999999</v>
      </c>
      <c r="S422" s="211">
        <f>'Emission-Waste Transport Vehicl'!R67</f>
        <v>0.71509188960000014</v>
      </c>
      <c r="T422" s="211">
        <f>'Emission-Waste Transport Vehicl'!S67</f>
        <v>3.2882965632000001E-2</v>
      </c>
      <c r="U422" s="1850">
        <f t="shared" si="175"/>
        <v>-23744.001584618458</v>
      </c>
      <c r="V422" s="1850">
        <f t="shared" si="176"/>
        <v>-197.89713878657827</v>
      </c>
      <c r="W422" s="1850">
        <f t="shared" si="177"/>
        <v>-77.905502501274611</v>
      </c>
      <c r="X422" s="1850">
        <f t="shared" si="178"/>
        <v>-625.6921677843294</v>
      </c>
      <c r="Y422" s="1850">
        <f t="shared" si="179"/>
        <v>-23.139530072538751</v>
      </c>
      <c r="Z422" s="1850">
        <f t="shared" si="180"/>
        <v>-244.12566915087518</v>
      </c>
      <c r="AA422" s="1850">
        <f t="shared" si="181"/>
        <v>-40.667542758207283</v>
      </c>
      <c r="AB422" s="2733"/>
      <c r="AC422" s="3009"/>
    </row>
    <row r="423" spans="1:29" ht="18.75" x14ac:dyDescent="0.25">
      <c r="A423" s="2982"/>
      <c r="B423" s="2753"/>
      <c r="C423" s="1863">
        <v>2054</v>
      </c>
      <c r="D423" s="218">
        <f t="shared" si="182"/>
        <v>-254432.63772672549</v>
      </c>
      <c r="E423" s="221">
        <f t="shared" si="172"/>
        <v>9649.1162358135371</v>
      </c>
      <c r="F423" s="221">
        <f t="shared" si="173"/>
        <v>0</v>
      </c>
      <c r="G423" s="218">
        <f t="shared" si="183"/>
        <v>-12.882665201353189</v>
      </c>
      <c r="H423" s="218">
        <f t="shared" si="184"/>
        <v>-3.2206663003382947</v>
      </c>
      <c r="I423" s="218">
        <f t="shared" si="185"/>
        <v>-67.633992307104208</v>
      </c>
      <c r="J423" s="218">
        <f t="shared" si="186"/>
        <v>-3.2206663003382974</v>
      </c>
      <c r="K423" s="218">
        <f t="shared" si="187"/>
        <v>-341.3906278358595</v>
      </c>
      <c r="L423" s="218">
        <f t="shared" si="188"/>
        <v>-1236.7358593299059</v>
      </c>
      <c r="M423" s="192">
        <f t="shared" si="174"/>
        <v>-244.78352149091194</v>
      </c>
      <c r="N423" s="211">
        <v>97</v>
      </c>
      <c r="O423" s="211">
        <f>'Emission-Waste Transport Vehicl'!N68</f>
        <v>16.301268720000003</v>
      </c>
      <c r="P423" s="211">
        <f>'Emission-Waste Transport Vehicl'!O68</f>
        <v>23.714951040000003</v>
      </c>
      <c r="Q423" s="211">
        <f>'Emission-Waste Transport Vehicl'!P68</f>
        <v>9.0697543200000013</v>
      </c>
      <c r="R423" s="211">
        <f>'Emission-Waste Transport Vehicl'!Q68</f>
        <v>7.0438262400000005</v>
      </c>
      <c r="S423" s="211">
        <f>'Emission-Waste Transport Vehicl'!R68</f>
        <v>0.70107048000000005</v>
      </c>
      <c r="T423" s="211">
        <f>'Emission-Waste Transport Vehicl'!S68</f>
        <v>3.2238201600000002E-2</v>
      </c>
      <c r="U423" s="1850">
        <f t="shared" si="175"/>
        <v>-23744.001584618458</v>
      </c>
      <c r="V423" s="1850">
        <f t="shared" si="176"/>
        <v>-210.00378727705129</v>
      </c>
      <c r="W423" s="1850">
        <f t="shared" si="177"/>
        <v>-76.377943628700606</v>
      </c>
      <c r="X423" s="1850">
        <f t="shared" si="178"/>
        <v>-613.42369390620524</v>
      </c>
      <c r="Y423" s="1850">
        <f t="shared" si="179"/>
        <v>-22.68581379660662</v>
      </c>
      <c r="Z423" s="1850">
        <f t="shared" si="180"/>
        <v>-239.33889132438739</v>
      </c>
      <c r="AA423" s="1850">
        <f t="shared" si="181"/>
        <v>-39.870139959026751</v>
      </c>
      <c r="AB423" s="2733"/>
      <c r="AC423" s="3009"/>
    </row>
    <row r="424" spans="1:29" ht="18.75" x14ac:dyDescent="0.25">
      <c r="A424" s="2982"/>
      <c r="B424" s="2753"/>
      <c r="C424" s="1863">
        <v>2055</v>
      </c>
      <c r="D424" s="218">
        <f t="shared" si="182"/>
        <v>-254432.63772672549</v>
      </c>
      <c r="E424" s="221">
        <f t="shared" si="172"/>
        <v>9649.1162358135371</v>
      </c>
      <c r="F424" s="221">
        <f t="shared" si="173"/>
        <v>0</v>
      </c>
      <c r="G424" s="218">
        <f t="shared" si="183"/>
        <v>-12.882665201353189</v>
      </c>
      <c r="H424" s="218">
        <f t="shared" si="184"/>
        <v>-3.2206663003382947</v>
      </c>
      <c r="I424" s="218">
        <f t="shared" si="185"/>
        <v>-67.633992307104208</v>
      </c>
      <c r="J424" s="218">
        <f t="shared" si="186"/>
        <v>-3.2206663003382974</v>
      </c>
      <c r="K424" s="218">
        <f t="shared" si="187"/>
        <v>-341.3906278358595</v>
      </c>
      <c r="L424" s="218">
        <f t="shared" si="188"/>
        <v>-1236.7358593299059</v>
      </c>
      <c r="M424" s="192">
        <f t="shared" si="174"/>
        <v>-244.78352149091194</v>
      </c>
      <c r="N424" s="211">
        <v>97</v>
      </c>
      <c r="O424" s="211">
        <f>'Emission-Waste Transport Vehicl'!N69</f>
        <v>15.981763853088003</v>
      </c>
      <c r="P424" s="211">
        <f>'Emission-Waste Transport Vehicl'!O69</f>
        <v>23.250137999616001</v>
      </c>
      <c r="Q424" s="211">
        <f>'Emission-Waste Transport Vehicl'!P69</f>
        <v>8.8919871353280016</v>
      </c>
      <c r="R424" s="211">
        <f>'Emission-Waste Transport Vehicl'!Q69</f>
        <v>6.9057672456960004</v>
      </c>
      <c r="S424" s="211">
        <f>'Emission-Waste Transport Vehicl'!R69</f>
        <v>0.6873294985920001</v>
      </c>
      <c r="T424" s="211">
        <f>'Emission-Waste Transport Vehicl'!S69</f>
        <v>3.1606332848640006E-2</v>
      </c>
      <c r="U424" s="1850">
        <f t="shared" si="175"/>
        <v>-23744.001584618458</v>
      </c>
      <c r="V424" s="1850">
        <f t="shared" si="176"/>
        <v>-205.88771304642108</v>
      </c>
      <c r="W424" s="1850">
        <f t="shared" si="177"/>
        <v>-74.880935933578073</v>
      </c>
      <c r="X424" s="1850">
        <f t="shared" si="178"/>
        <v>-601.40058950564367</v>
      </c>
      <c r="Y424" s="1850">
        <f t="shared" si="179"/>
        <v>-22.241171846193133</v>
      </c>
      <c r="Z424" s="1850">
        <f t="shared" si="180"/>
        <v>-234.64784905442943</v>
      </c>
      <c r="AA424" s="1850">
        <f t="shared" si="181"/>
        <v>-39.088685215829834</v>
      </c>
      <c r="AB424" s="2733"/>
      <c r="AC424" s="3009"/>
    </row>
    <row r="425" spans="1:29" ht="18.75" x14ac:dyDescent="0.25">
      <c r="A425" s="2982"/>
      <c r="B425" s="2753"/>
      <c r="C425" s="1863">
        <v>2056</v>
      </c>
      <c r="D425" s="218">
        <f t="shared" si="182"/>
        <v>-254432.63772672549</v>
      </c>
      <c r="E425" s="221">
        <f t="shared" si="172"/>
        <v>9649.1162358135371</v>
      </c>
      <c r="F425" s="221">
        <f t="shared" si="173"/>
        <v>0</v>
      </c>
      <c r="G425" s="218">
        <f t="shared" si="183"/>
        <v>-12.882665201353189</v>
      </c>
      <c r="H425" s="218">
        <f t="shared" si="184"/>
        <v>-3.2206663003382947</v>
      </c>
      <c r="I425" s="218">
        <f t="shared" si="185"/>
        <v>-67.633992307104208</v>
      </c>
      <c r="J425" s="218">
        <f t="shared" si="186"/>
        <v>-3.2206663003382974</v>
      </c>
      <c r="K425" s="218">
        <f t="shared" si="187"/>
        <v>-341.3906278358595</v>
      </c>
      <c r="L425" s="218">
        <f t="shared" si="188"/>
        <v>-1236.7358593299059</v>
      </c>
      <c r="M425" s="192">
        <f t="shared" si="174"/>
        <v>-244.78352149091194</v>
      </c>
      <c r="N425" s="211">
        <v>97</v>
      </c>
      <c r="O425" s="211">
        <f>'Emission-Waste Transport Vehicl'!N70</f>
        <v>15.668779493664003</v>
      </c>
      <c r="P425" s="211">
        <f>'Emission-Waste Transport Vehicl'!O70</f>
        <v>22.794810939648006</v>
      </c>
      <c r="Q425" s="211">
        <f>'Emission-Waste Transport Vehicl'!P70</f>
        <v>8.7178478523840006</v>
      </c>
      <c r="R425" s="211">
        <f>'Emission-Waste Transport Vehicl'!Q70</f>
        <v>6.7705257818880007</v>
      </c>
      <c r="S425" s="211">
        <f>'Emission-Waste Transport Vehicl'!R70</f>
        <v>0.67386894537600017</v>
      </c>
      <c r="T425" s="211">
        <f>'Emission-Waste Transport Vehicl'!S70</f>
        <v>3.0987359377920003E-2</v>
      </c>
      <c r="U425" s="1850">
        <f t="shared" si="175"/>
        <v>-23744.001584618458</v>
      </c>
      <c r="V425" s="1850">
        <f t="shared" si="176"/>
        <v>-201.8556403307017</v>
      </c>
      <c r="W425" s="1850">
        <f t="shared" si="177"/>
        <v>-73.414479415907024</v>
      </c>
      <c r="X425" s="1850">
        <f t="shared" si="178"/>
        <v>-589.62285458264444</v>
      </c>
      <c r="Y425" s="1850">
        <f t="shared" si="179"/>
        <v>-21.805604221298285</v>
      </c>
      <c r="Z425" s="1850">
        <f t="shared" si="180"/>
        <v>-230.05254234100121</v>
      </c>
      <c r="AA425" s="1850">
        <f t="shared" si="181"/>
        <v>-38.323178528616516</v>
      </c>
      <c r="AB425" s="2733"/>
      <c r="AC425" s="3009"/>
    </row>
    <row r="426" spans="1:29" ht="18.75" x14ac:dyDescent="0.25">
      <c r="A426" s="2982"/>
      <c r="B426" s="2753"/>
      <c r="C426" s="1863">
        <v>2057</v>
      </c>
      <c r="D426" s="218">
        <f t="shared" si="182"/>
        <v>-254432.63772672549</v>
      </c>
      <c r="E426" s="221">
        <f t="shared" si="172"/>
        <v>9649.1162358135371</v>
      </c>
      <c r="F426" s="221">
        <f t="shared" si="173"/>
        <v>0</v>
      </c>
      <c r="G426" s="218">
        <f t="shared" si="183"/>
        <v>-12.882665201353189</v>
      </c>
      <c r="H426" s="218">
        <f t="shared" si="184"/>
        <v>-3.2206663003382947</v>
      </c>
      <c r="I426" s="218">
        <f t="shared" si="185"/>
        <v>-67.633992307104208</v>
      </c>
      <c r="J426" s="218">
        <f t="shared" si="186"/>
        <v>-3.2206663003382974</v>
      </c>
      <c r="K426" s="218">
        <f t="shared" si="187"/>
        <v>-341.3906278358595</v>
      </c>
      <c r="L426" s="218">
        <f t="shared" si="188"/>
        <v>-1236.7358593299059</v>
      </c>
      <c r="M426" s="192">
        <f t="shared" si="174"/>
        <v>-244.78352149091194</v>
      </c>
      <c r="N426" s="211">
        <v>97</v>
      </c>
      <c r="O426" s="211">
        <f>'Emission-Waste Transport Vehicl'!N71</f>
        <v>15.362315641728001</v>
      </c>
      <c r="P426" s="211">
        <f>'Emission-Waste Transport Vehicl'!O71</f>
        <v>22.348969860096002</v>
      </c>
      <c r="Q426" s="211">
        <f>'Emission-Waste Transport Vehicl'!P71</f>
        <v>8.547336471168002</v>
      </c>
      <c r="R426" s="211">
        <f>'Emission-Waste Transport Vehicl'!Q71</f>
        <v>6.6381018485760004</v>
      </c>
      <c r="S426" s="211">
        <f>'Emission-Waste Transport Vehicl'!R71</f>
        <v>0.66068882035200005</v>
      </c>
      <c r="T426" s="211">
        <f>'Emission-Waste Transport Vehicl'!S71</f>
        <v>3.038128118784E-2</v>
      </c>
      <c r="U426" s="1850">
        <f t="shared" si="175"/>
        <v>-23744.001584618458</v>
      </c>
      <c r="V426" s="1850">
        <f t="shared" si="176"/>
        <v>-197.90756912989312</v>
      </c>
      <c r="W426" s="1850">
        <f t="shared" si="177"/>
        <v>-71.978574075687447</v>
      </c>
      <c r="X426" s="1850">
        <f t="shared" si="178"/>
        <v>-578.0904891372079</v>
      </c>
      <c r="Y426" s="1850">
        <f t="shared" si="179"/>
        <v>-21.379110921922081</v>
      </c>
      <c r="Z426" s="1850">
        <f t="shared" si="180"/>
        <v>-225.55297118410269</v>
      </c>
      <c r="AA426" s="1850">
        <f t="shared" si="181"/>
        <v>-37.573619897386806</v>
      </c>
      <c r="AB426" s="2733"/>
      <c r="AC426" s="3009"/>
    </row>
    <row r="427" spans="1:29" ht="18.75" x14ac:dyDescent="0.25">
      <c r="A427" s="2982"/>
      <c r="B427" s="2753"/>
      <c r="C427" s="1863">
        <v>2058</v>
      </c>
      <c r="D427" s="218">
        <f t="shared" si="182"/>
        <v>-254432.63772672549</v>
      </c>
      <c r="E427" s="221">
        <f t="shared" si="172"/>
        <v>9649.1162358135371</v>
      </c>
      <c r="F427" s="221">
        <f t="shared" si="173"/>
        <v>0</v>
      </c>
      <c r="G427" s="218">
        <f t="shared" si="183"/>
        <v>-12.882665201353189</v>
      </c>
      <c r="H427" s="218">
        <f t="shared" si="184"/>
        <v>-3.2206663003382947</v>
      </c>
      <c r="I427" s="218">
        <f t="shared" si="185"/>
        <v>-67.633992307104208</v>
      </c>
      <c r="J427" s="218">
        <f t="shared" si="186"/>
        <v>-3.2206663003382974</v>
      </c>
      <c r="K427" s="218">
        <f t="shared" si="187"/>
        <v>-341.3906278358595</v>
      </c>
      <c r="L427" s="218">
        <f t="shared" si="188"/>
        <v>-1236.7358593299059</v>
      </c>
      <c r="M427" s="192">
        <f t="shared" si="174"/>
        <v>-244.78352149091194</v>
      </c>
      <c r="N427" s="211">
        <v>97</v>
      </c>
      <c r="O427" s="211">
        <f>'Emission-Waste Transport Vehicl'!N72</f>
        <v>15.059112043536</v>
      </c>
      <c r="P427" s="211">
        <f>'Emission-Waste Transport Vehicl'!O72</f>
        <v>21.907871770752003</v>
      </c>
      <c r="Q427" s="211">
        <f>'Emission-Waste Transport Vehicl'!P72</f>
        <v>8.378639040816001</v>
      </c>
      <c r="R427" s="211">
        <f>'Emission-Waste Transport Vehicl'!Q72</f>
        <v>6.5070866805119998</v>
      </c>
      <c r="S427" s="211">
        <f>'Emission-Waste Transport Vehicl'!R72</f>
        <v>0.647648909424</v>
      </c>
      <c r="T427" s="211">
        <f>'Emission-Waste Transport Vehicl'!S72</f>
        <v>2.9781650638080002E-2</v>
      </c>
      <c r="U427" s="1850">
        <f t="shared" si="175"/>
        <v>-23744.001584618458</v>
      </c>
      <c r="V427" s="1850">
        <f t="shared" si="176"/>
        <v>-194.00149868653995</v>
      </c>
      <c r="W427" s="1850">
        <f t="shared" si="177"/>
        <v>-70.557944324193613</v>
      </c>
      <c r="X427" s="1850">
        <f t="shared" si="178"/>
        <v>-566.68080843055236</v>
      </c>
      <c r="Y427" s="1850">
        <f t="shared" si="179"/>
        <v>-20.957154785305196</v>
      </c>
      <c r="Z427" s="1850">
        <f t="shared" si="180"/>
        <v>-221.10126780546906</v>
      </c>
      <c r="AA427" s="1850">
        <f t="shared" si="181"/>
        <v>-36.832035294148909</v>
      </c>
      <c r="AB427" s="2733"/>
      <c r="AC427" s="3009"/>
    </row>
    <row r="428" spans="1:29" ht="18.75" x14ac:dyDescent="0.25">
      <c r="A428" s="2982"/>
      <c r="B428" s="2753"/>
      <c r="C428" s="1863">
        <v>2059</v>
      </c>
      <c r="D428" s="218">
        <f t="shared" si="182"/>
        <v>-254432.63772672549</v>
      </c>
      <c r="E428" s="221">
        <f t="shared" si="172"/>
        <v>9649.1162358135371</v>
      </c>
      <c r="F428" s="221">
        <f t="shared" si="173"/>
        <v>0</v>
      </c>
      <c r="G428" s="218">
        <f t="shared" si="183"/>
        <v>-12.882665201353189</v>
      </c>
      <c r="H428" s="218">
        <f t="shared" si="184"/>
        <v>-3.2206663003382947</v>
      </c>
      <c r="I428" s="218">
        <f t="shared" si="185"/>
        <v>-67.633992307104208</v>
      </c>
      <c r="J428" s="218">
        <f t="shared" si="186"/>
        <v>-3.2206663003382974</v>
      </c>
      <c r="K428" s="218">
        <f t="shared" si="187"/>
        <v>-341.3906278358595</v>
      </c>
      <c r="L428" s="218">
        <f t="shared" si="188"/>
        <v>-1236.7358593299059</v>
      </c>
      <c r="M428" s="192">
        <f t="shared" si="174"/>
        <v>-244.78352149091194</v>
      </c>
      <c r="N428" s="211">
        <v>97</v>
      </c>
      <c r="O428" s="211">
        <f>'Emission-Waste Transport Vehicl'!N73</f>
        <v>14.765689206576004</v>
      </c>
      <c r="P428" s="211">
        <f>'Emission-Waste Transport Vehicl'!O73</f>
        <v>21.481002652032004</v>
      </c>
      <c r="Q428" s="211">
        <f>'Emission-Waste Transport Vehicl'!P73</f>
        <v>8.2153834630560016</v>
      </c>
      <c r="R428" s="211">
        <f>'Emission-Waste Transport Vehicl'!Q73</f>
        <v>6.380297808192001</v>
      </c>
      <c r="S428" s="211">
        <f>'Emission-Waste Transport Vehicl'!R73</f>
        <v>0.63502964078400004</v>
      </c>
      <c r="T428" s="211">
        <f>'Emission-Waste Transport Vehicl'!S73</f>
        <v>2.9201363009280005E-2</v>
      </c>
      <c r="U428" s="1850">
        <f t="shared" si="175"/>
        <v>-23744.001584618458</v>
      </c>
      <c r="V428" s="1850">
        <f t="shared" si="176"/>
        <v>-190.22143051555307</v>
      </c>
      <c r="W428" s="1850">
        <f t="shared" si="177"/>
        <v>-69.183141338877007</v>
      </c>
      <c r="X428" s="1850">
        <f t="shared" si="178"/>
        <v>-555.63918194024075</v>
      </c>
      <c r="Y428" s="1850">
        <f t="shared" si="179"/>
        <v>-20.548810136966278</v>
      </c>
      <c r="Z428" s="1850">
        <f t="shared" si="180"/>
        <v>-216.79316776163012</v>
      </c>
      <c r="AA428" s="1850">
        <f t="shared" si="181"/>
        <v>-36.114372774886434</v>
      </c>
      <c r="AB428" s="2733"/>
      <c r="AC428" s="3009"/>
    </row>
    <row r="429" spans="1:29" ht="18.75" x14ac:dyDescent="0.25">
      <c r="A429" s="2982"/>
      <c r="B429" s="2753"/>
      <c r="C429" s="1863">
        <v>2060</v>
      </c>
      <c r="D429" s="218">
        <f t="shared" si="182"/>
        <v>-254432.63772672549</v>
      </c>
      <c r="E429" s="221">
        <f t="shared" si="172"/>
        <v>9649.1162358135371</v>
      </c>
      <c r="F429" s="221">
        <f t="shared" si="173"/>
        <v>0</v>
      </c>
      <c r="G429" s="218">
        <f t="shared" si="183"/>
        <v>-12.882665201353189</v>
      </c>
      <c r="H429" s="218">
        <f t="shared" si="184"/>
        <v>-3.2206663003382947</v>
      </c>
      <c r="I429" s="218">
        <f t="shared" si="185"/>
        <v>-67.633992307104208</v>
      </c>
      <c r="J429" s="218">
        <f t="shared" si="186"/>
        <v>-3.2206663003382974</v>
      </c>
      <c r="K429" s="218">
        <f t="shared" si="187"/>
        <v>-341.3906278358595</v>
      </c>
      <c r="L429" s="218">
        <f t="shared" si="188"/>
        <v>-1236.7358593299059</v>
      </c>
      <c r="M429" s="192">
        <f t="shared" si="174"/>
        <v>-244.78352149091194</v>
      </c>
      <c r="N429" s="211">
        <v>97</v>
      </c>
      <c r="O429" s="211">
        <f>'Emission-Waste Transport Vehicl'!N74</f>
        <v>14.475526623360002</v>
      </c>
      <c r="P429" s="211">
        <f>'Emission-Waste Transport Vehicl'!O74</f>
        <v>21.058876523520002</v>
      </c>
      <c r="Q429" s="211">
        <f>'Emission-Waste Transport Vehicl'!P74</f>
        <v>8.0539418361599999</v>
      </c>
      <c r="R429" s="211">
        <f>'Emission-Waste Transport Vehicl'!Q74</f>
        <v>6.2549177011200001</v>
      </c>
      <c r="S429" s="211">
        <f>'Emission-Waste Transport Vehicl'!R74</f>
        <v>0.62255058624000004</v>
      </c>
      <c r="T429" s="211">
        <f>'Emission-Waste Transport Vehicl'!S74</f>
        <v>2.8627523020800003E-2</v>
      </c>
      <c r="U429" s="1850">
        <f t="shared" si="175"/>
        <v>-23744.001584618458</v>
      </c>
      <c r="V429" s="1850">
        <f t="shared" si="176"/>
        <v>-186.48336310202154</v>
      </c>
      <c r="W429" s="1850">
        <f t="shared" si="177"/>
        <v>-67.82361394228613</v>
      </c>
      <c r="X429" s="1850">
        <f t="shared" si="178"/>
        <v>-544.72024018871014</v>
      </c>
      <c r="Y429" s="1850">
        <f t="shared" si="179"/>
        <v>-20.14500265138668</v>
      </c>
      <c r="Z429" s="1850">
        <f t="shared" si="180"/>
        <v>-212.53293549605601</v>
      </c>
      <c r="AA429" s="1850">
        <f t="shared" si="181"/>
        <v>-35.404684283615758</v>
      </c>
      <c r="AB429" s="2733"/>
      <c r="AC429" s="3009"/>
    </row>
    <row r="430" spans="1:29" ht="18.75" x14ac:dyDescent="0.25">
      <c r="A430" s="2982"/>
      <c r="B430" s="2753"/>
      <c r="C430" s="1863">
        <v>2061</v>
      </c>
      <c r="D430" s="218">
        <f t="shared" si="182"/>
        <v>-254432.63772672549</v>
      </c>
      <c r="E430" s="221">
        <f t="shared" si="172"/>
        <v>9649.1162358135371</v>
      </c>
      <c r="F430" s="221">
        <f t="shared" si="173"/>
        <v>0</v>
      </c>
      <c r="G430" s="218">
        <f t="shared" si="183"/>
        <v>-12.882665201353189</v>
      </c>
      <c r="H430" s="218">
        <f t="shared" si="184"/>
        <v>-3.2206663003382947</v>
      </c>
      <c r="I430" s="218">
        <f t="shared" si="185"/>
        <v>-67.633992307104208</v>
      </c>
      <c r="J430" s="218">
        <f t="shared" si="186"/>
        <v>-3.2206663003382974</v>
      </c>
      <c r="K430" s="218">
        <f t="shared" si="187"/>
        <v>-341.3906278358595</v>
      </c>
      <c r="L430" s="218">
        <f t="shared" si="188"/>
        <v>-1236.7358593299059</v>
      </c>
      <c r="M430" s="192">
        <f t="shared" si="174"/>
        <v>-244.78352149091194</v>
      </c>
      <c r="N430" s="211">
        <v>97</v>
      </c>
      <c r="O430" s="211">
        <f>'Emission-Waste Transport Vehicl'!N75</f>
        <v>14.191884547632004</v>
      </c>
      <c r="P430" s="211">
        <f>'Emission-Waste Transport Vehicl'!O75</f>
        <v>20.646236375424003</v>
      </c>
      <c r="Q430" s="211">
        <f>'Emission-Waste Transport Vehicl'!P75</f>
        <v>7.8961281109920014</v>
      </c>
      <c r="R430" s="211">
        <f>'Emission-Waste Transport Vehicl'!Q75</f>
        <v>6.1323551245440004</v>
      </c>
      <c r="S430" s="211">
        <f>'Emission-Waste Transport Vehicl'!R75</f>
        <v>0.61035195988800006</v>
      </c>
      <c r="T430" s="211">
        <f>'Emission-Waste Transport Vehicl'!S75</f>
        <v>2.8066578312960003E-2</v>
      </c>
      <c r="U430" s="1850">
        <f t="shared" si="175"/>
        <v>-23744.001584618458</v>
      </c>
      <c r="V430" s="1850">
        <f t="shared" si="176"/>
        <v>-182.82929720340087</v>
      </c>
      <c r="W430" s="1850">
        <f t="shared" si="177"/>
        <v>-66.494637723146752</v>
      </c>
      <c r="X430" s="1850">
        <f t="shared" si="178"/>
        <v>-534.04666791474233</v>
      </c>
      <c r="Y430" s="1850">
        <f t="shared" si="179"/>
        <v>-19.750269491325724</v>
      </c>
      <c r="Z430" s="1850">
        <f t="shared" si="180"/>
        <v>-208.36843878701168</v>
      </c>
      <c r="AA430" s="1850">
        <f t="shared" si="181"/>
        <v>-34.710943848328689</v>
      </c>
      <c r="AB430" s="2733"/>
      <c r="AC430" s="3009"/>
    </row>
    <row r="431" spans="1:29" ht="18.75" x14ac:dyDescent="0.25">
      <c r="A431" s="2982"/>
      <c r="B431" s="2753"/>
      <c r="C431" s="1863">
        <v>2062</v>
      </c>
      <c r="D431" s="218">
        <f t="shared" si="182"/>
        <v>-254432.63772672549</v>
      </c>
      <c r="E431" s="221">
        <f t="shared" si="172"/>
        <v>9649.1162358135371</v>
      </c>
      <c r="F431" s="221">
        <f t="shared" si="173"/>
        <v>0</v>
      </c>
      <c r="G431" s="218">
        <f t="shared" si="183"/>
        <v>-12.882665201353189</v>
      </c>
      <c r="H431" s="218">
        <f t="shared" si="184"/>
        <v>-3.2206663003382947</v>
      </c>
      <c r="I431" s="218">
        <f t="shared" si="185"/>
        <v>-67.633992307104208</v>
      </c>
      <c r="J431" s="218">
        <f t="shared" si="186"/>
        <v>-3.2206663003382974</v>
      </c>
      <c r="K431" s="218">
        <f t="shared" si="187"/>
        <v>-341.3906278358595</v>
      </c>
      <c r="L431" s="218">
        <f t="shared" si="188"/>
        <v>-1236.7358593299059</v>
      </c>
      <c r="M431" s="192">
        <f t="shared" si="174"/>
        <v>-244.78352149091194</v>
      </c>
      <c r="N431" s="211">
        <v>97</v>
      </c>
      <c r="O431" s="211">
        <f>'Emission-Waste Transport Vehicl'!N76</f>
        <v>13.914762979392002</v>
      </c>
      <c r="P431" s="211">
        <f>'Emission-Waste Transport Vehicl'!O76</f>
        <v>20.243082207744003</v>
      </c>
      <c r="Q431" s="211">
        <f>'Emission-Waste Transport Vehicl'!P76</f>
        <v>7.7419422875520008</v>
      </c>
      <c r="R431" s="211">
        <f>'Emission-Waste Transport Vehicl'!Q76</f>
        <v>6.0126100784640002</v>
      </c>
      <c r="S431" s="211">
        <f>'Emission-Waste Transport Vehicl'!R76</f>
        <v>0.59843376172800011</v>
      </c>
      <c r="T431" s="211">
        <f>'Emission-Waste Transport Vehicl'!S76</f>
        <v>2.7518528885760004E-2</v>
      </c>
      <c r="U431" s="1850">
        <f t="shared" si="175"/>
        <v>-23744.001584618458</v>
      </c>
      <c r="V431" s="1850">
        <f t="shared" si="176"/>
        <v>-179.25923281969096</v>
      </c>
      <c r="W431" s="1850">
        <f t="shared" si="177"/>
        <v>-65.196212681458832</v>
      </c>
      <c r="X431" s="1850">
        <f t="shared" si="178"/>
        <v>-523.61846511833676</v>
      </c>
      <c r="Y431" s="1850">
        <f t="shared" si="179"/>
        <v>-19.364610656783412</v>
      </c>
      <c r="Z431" s="1850">
        <f t="shared" si="180"/>
        <v>-204.2996776344971</v>
      </c>
      <c r="AA431" s="1850">
        <f t="shared" si="181"/>
        <v>-34.033151469025235</v>
      </c>
      <c r="AB431" s="2733"/>
      <c r="AC431" s="3009"/>
    </row>
    <row r="432" spans="1:29" ht="18.75" x14ac:dyDescent="0.25">
      <c r="A432" s="2982"/>
      <c r="B432" s="2753"/>
      <c r="C432" s="1863">
        <v>2063</v>
      </c>
      <c r="D432" s="218">
        <f t="shared" si="182"/>
        <v>-254432.63772672549</v>
      </c>
      <c r="E432" s="221">
        <f t="shared" si="172"/>
        <v>9649.1162358135371</v>
      </c>
      <c r="F432" s="221">
        <f t="shared" si="173"/>
        <v>0</v>
      </c>
      <c r="G432" s="218">
        <f t="shared" si="183"/>
        <v>-12.882665201353189</v>
      </c>
      <c r="H432" s="218">
        <f t="shared" si="184"/>
        <v>-3.2206663003382947</v>
      </c>
      <c r="I432" s="218">
        <f t="shared" si="185"/>
        <v>-67.633992307104208</v>
      </c>
      <c r="J432" s="218">
        <f t="shared" si="186"/>
        <v>-3.2206663003382974</v>
      </c>
      <c r="K432" s="218">
        <f t="shared" si="187"/>
        <v>-341.3906278358595</v>
      </c>
      <c r="L432" s="218">
        <f t="shared" si="188"/>
        <v>-1236.7358593299059</v>
      </c>
      <c r="M432" s="192">
        <f t="shared" si="174"/>
        <v>-244.78352149091194</v>
      </c>
      <c r="N432" s="211">
        <v>97</v>
      </c>
      <c r="O432" s="211">
        <f>'Emission-Waste Transport Vehicl'!N77</f>
        <v>13.640901664896001</v>
      </c>
      <c r="P432" s="211">
        <f>'Emission-Waste Transport Vehicl'!O77</f>
        <v>19.844671030272</v>
      </c>
      <c r="Q432" s="211">
        <f>'Emission-Waste Transport Vehicl'!P77</f>
        <v>7.5895704149760004</v>
      </c>
      <c r="R432" s="211">
        <f>'Emission-Waste Transport Vehicl'!Q77</f>
        <v>5.8942737976319997</v>
      </c>
      <c r="S432" s="211">
        <f>'Emission-Waste Transport Vehicl'!R77</f>
        <v>0.58665577766400001</v>
      </c>
      <c r="T432" s="211">
        <f>'Emission-Waste Transport Vehicl'!S77</f>
        <v>2.6976927098879999E-2</v>
      </c>
      <c r="U432" s="1850">
        <f t="shared" si="175"/>
        <v>-23744.001584618458</v>
      </c>
      <c r="V432" s="1850">
        <f t="shared" si="176"/>
        <v>-175.7311691934365</v>
      </c>
      <c r="W432" s="1850">
        <f t="shared" si="177"/>
        <v>-63.913063228496654</v>
      </c>
      <c r="X432" s="1850">
        <f t="shared" si="178"/>
        <v>-513.31294706071253</v>
      </c>
      <c r="Y432" s="1850">
        <f t="shared" si="179"/>
        <v>-18.983488985000417</v>
      </c>
      <c r="Z432" s="1850">
        <f t="shared" si="180"/>
        <v>-200.27878426024736</v>
      </c>
      <c r="AA432" s="1850">
        <f t="shared" si="181"/>
        <v>-33.36333311771358</v>
      </c>
      <c r="AB432" s="2733"/>
      <c r="AC432" s="3009"/>
    </row>
    <row r="433" spans="1:29" ht="18.75" x14ac:dyDescent="0.25">
      <c r="A433" s="2982"/>
      <c r="B433" s="2753"/>
      <c r="C433" s="1863">
        <v>2064</v>
      </c>
      <c r="D433" s="218">
        <f t="shared" si="182"/>
        <v>-254432.63772672549</v>
      </c>
      <c r="E433" s="221">
        <f t="shared" si="172"/>
        <v>9649.1162358135371</v>
      </c>
      <c r="F433" s="221">
        <f t="shared" si="173"/>
        <v>0</v>
      </c>
      <c r="G433" s="218">
        <f t="shared" si="183"/>
        <v>-12.882665201353189</v>
      </c>
      <c r="H433" s="218">
        <f t="shared" si="184"/>
        <v>-3.2206663003382947</v>
      </c>
      <c r="I433" s="218">
        <f t="shared" si="185"/>
        <v>-67.633992307104208</v>
      </c>
      <c r="J433" s="218">
        <f t="shared" si="186"/>
        <v>-3.2206663003382974</v>
      </c>
      <c r="K433" s="218">
        <f t="shared" si="187"/>
        <v>-341.3906278358595</v>
      </c>
      <c r="L433" s="218">
        <f t="shared" si="188"/>
        <v>-1236.7358593299059</v>
      </c>
      <c r="M433" s="192">
        <f t="shared" si="174"/>
        <v>-244.78352149091194</v>
      </c>
      <c r="N433" s="211">
        <v>97</v>
      </c>
      <c r="O433" s="211">
        <f>'Emission-Waste Transport Vehicl'!N78</f>
        <v>13.373560857888002</v>
      </c>
      <c r="P433" s="211">
        <f>'Emission-Waste Transport Vehicl'!O78</f>
        <v>19.455745833216003</v>
      </c>
      <c r="Q433" s="211">
        <f>'Emission-Waste Transport Vehicl'!P78</f>
        <v>7.4408264441280014</v>
      </c>
      <c r="R433" s="211">
        <f>'Emission-Waste Transport Vehicl'!Q78</f>
        <v>5.7787550472960003</v>
      </c>
      <c r="S433" s="211">
        <f>'Emission-Waste Transport Vehicl'!R78</f>
        <v>0.57515822179200005</v>
      </c>
      <c r="T433" s="211">
        <f>'Emission-Waste Transport Vehicl'!S78</f>
        <v>2.6448220592640001E-2</v>
      </c>
      <c r="U433" s="1850">
        <f t="shared" si="175"/>
        <v>-23744.001584618458</v>
      </c>
      <c r="V433" s="1850">
        <f t="shared" si="176"/>
        <v>-172.28710708209286</v>
      </c>
      <c r="W433" s="1850">
        <f t="shared" si="177"/>
        <v>-62.660464952985976</v>
      </c>
      <c r="X433" s="1850">
        <f t="shared" si="178"/>
        <v>-503.25279848065082</v>
      </c>
      <c r="Y433" s="1850">
        <f t="shared" si="179"/>
        <v>-18.611441638736071</v>
      </c>
      <c r="Z433" s="1850">
        <f t="shared" si="180"/>
        <v>-196.35362644252743</v>
      </c>
      <c r="AA433" s="1850">
        <f t="shared" si="181"/>
        <v>-32.709462822385547</v>
      </c>
      <c r="AB433" s="2733"/>
      <c r="AC433" s="3009"/>
    </row>
    <row r="434" spans="1:29" ht="18.75" x14ac:dyDescent="0.25">
      <c r="A434" s="2982"/>
      <c r="B434" s="2753"/>
      <c r="C434" s="1863">
        <v>2065</v>
      </c>
      <c r="D434" s="218">
        <f t="shared" si="182"/>
        <v>-254432.63772672549</v>
      </c>
      <c r="E434" s="221">
        <f t="shared" si="172"/>
        <v>9649.1162358135371</v>
      </c>
      <c r="F434" s="221">
        <f t="shared" si="173"/>
        <v>0</v>
      </c>
      <c r="G434" s="218">
        <f t="shared" si="183"/>
        <v>-12.882665201353189</v>
      </c>
      <c r="H434" s="218">
        <f t="shared" si="184"/>
        <v>-3.2206663003382947</v>
      </c>
      <c r="I434" s="218">
        <f t="shared" si="185"/>
        <v>-67.633992307104208</v>
      </c>
      <c r="J434" s="218">
        <f t="shared" si="186"/>
        <v>-3.2206663003382974</v>
      </c>
      <c r="K434" s="218">
        <f t="shared" si="187"/>
        <v>-341.3906278358595</v>
      </c>
      <c r="L434" s="218">
        <f t="shared" si="188"/>
        <v>-1236.7358593299059</v>
      </c>
      <c r="M434" s="192">
        <f t="shared" si="174"/>
        <v>-244.78352149091194</v>
      </c>
      <c r="N434" s="211">
        <v>97</v>
      </c>
      <c r="O434" s="211">
        <f>'Emission-Waste Transport Vehicl'!N79</f>
        <v>13.112740558368001</v>
      </c>
      <c r="P434" s="211">
        <f>'Emission-Waste Transport Vehicl'!O79</f>
        <v>19.076306616576002</v>
      </c>
      <c r="Q434" s="211">
        <f>'Emission-Waste Transport Vehicl'!P79</f>
        <v>7.2957103750080003</v>
      </c>
      <c r="R434" s="211">
        <f>'Emission-Waste Transport Vehicl'!Q79</f>
        <v>5.6660538274560004</v>
      </c>
      <c r="S434" s="211">
        <f>'Emission-Waste Transport Vehicl'!R79</f>
        <v>0.56394109411200011</v>
      </c>
      <c r="T434" s="211">
        <f>'Emission-Waste Transport Vehicl'!S79</f>
        <v>2.5932409367040003E-2</v>
      </c>
      <c r="U434" s="1850">
        <f t="shared" si="175"/>
        <v>-23744.001584618458</v>
      </c>
      <c r="V434" s="1850">
        <f t="shared" si="176"/>
        <v>-168.92704648566004</v>
      </c>
      <c r="W434" s="1850">
        <f t="shared" si="177"/>
        <v>-61.438417854926762</v>
      </c>
      <c r="X434" s="1850">
        <f t="shared" si="178"/>
        <v>-493.43801937815147</v>
      </c>
      <c r="Y434" s="1850">
        <f t="shared" si="179"/>
        <v>-18.248468617990365</v>
      </c>
      <c r="Z434" s="1850">
        <f t="shared" si="180"/>
        <v>-192.52420418133724</v>
      </c>
      <c r="AA434" s="1850">
        <f t="shared" si="181"/>
        <v>-32.07154058304112</v>
      </c>
      <c r="AB434" s="2733"/>
      <c r="AC434" s="3009"/>
    </row>
    <row r="435" spans="1:29" ht="18.75" x14ac:dyDescent="0.25">
      <c r="A435" s="2982"/>
      <c r="B435" s="2753"/>
      <c r="C435" s="1863">
        <v>2066</v>
      </c>
      <c r="D435" s="218">
        <f t="shared" si="182"/>
        <v>-254432.63772672549</v>
      </c>
      <c r="E435" s="221">
        <f t="shared" si="172"/>
        <v>9649.1162358135371</v>
      </c>
      <c r="F435" s="221">
        <f t="shared" si="173"/>
        <v>0</v>
      </c>
      <c r="G435" s="218">
        <f t="shared" si="183"/>
        <v>-12.882665201353189</v>
      </c>
      <c r="H435" s="218">
        <f t="shared" si="184"/>
        <v>-3.2206663003382947</v>
      </c>
      <c r="I435" s="218">
        <f t="shared" si="185"/>
        <v>-67.633992307104208</v>
      </c>
      <c r="J435" s="218">
        <f t="shared" si="186"/>
        <v>-3.2206663003382974</v>
      </c>
      <c r="K435" s="218">
        <f t="shared" si="187"/>
        <v>-341.3906278358595</v>
      </c>
      <c r="L435" s="218">
        <f t="shared" si="188"/>
        <v>-1236.7358593299059</v>
      </c>
      <c r="M435" s="192">
        <f t="shared" si="174"/>
        <v>-244.78352149091194</v>
      </c>
      <c r="N435" s="211">
        <v>97</v>
      </c>
      <c r="O435" s="211">
        <f>'Emission-Waste Transport Vehicl'!N80</f>
        <v>12.855180512592</v>
      </c>
      <c r="P435" s="211">
        <f>'Emission-Waste Transport Vehicl'!O80</f>
        <v>18.701610390143998</v>
      </c>
      <c r="Q435" s="211">
        <f>'Emission-Waste Transport Vehicl'!P80</f>
        <v>7.1524082567520004</v>
      </c>
      <c r="R435" s="211">
        <f>'Emission-Waste Transport Vehicl'!Q80</f>
        <v>5.5547613728639993</v>
      </c>
      <c r="S435" s="211">
        <f>'Emission-Waste Transport Vehicl'!R80</f>
        <v>0.55286418052800002</v>
      </c>
      <c r="T435" s="211">
        <f>'Emission-Waste Transport Vehicl'!S80</f>
        <v>2.5423045781760002E-2</v>
      </c>
      <c r="U435" s="1850">
        <f t="shared" si="175"/>
        <v>-23744.001584618458</v>
      </c>
      <c r="V435" s="1850">
        <f t="shared" si="176"/>
        <v>-165.60898664668261</v>
      </c>
      <c r="W435" s="1850">
        <f t="shared" si="177"/>
        <v>-60.231646345593283</v>
      </c>
      <c r="X435" s="1850">
        <f t="shared" si="178"/>
        <v>-483.7459250144334</v>
      </c>
      <c r="Y435" s="1850">
        <f t="shared" si="179"/>
        <v>-17.890032760003979</v>
      </c>
      <c r="Z435" s="1850">
        <f t="shared" si="180"/>
        <v>-188.7426496984119</v>
      </c>
      <c r="AA435" s="1850">
        <f t="shared" si="181"/>
        <v>-31.441592371688497</v>
      </c>
      <c r="AB435" s="2733"/>
      <c r="AC435" s="3009"/>
    </row>
    <row r="436" spans="1:29" ht="18.75" x14ac:dyDescent="0.25">
      <c r="A436" s="2982"/>
      <c r="B436" s="2753"/>
      <c r="C436" s="1863">
        <v>2067</v>
      </c>
      <c r="D436" s="218">
        <f t="shared" si="182"/>
        <v>-254432.63772672549</v>
      </c>
      <c r="E436" s="221">
        <f t="shared" si="172"/>
        <v>9649.1162358135371</v>
      </c>
      <c r="F436" s="221">
        <f t="shared" si="173"/>
        <v>0</v>
      </c>
      <c r="G436" s="218">
        <f t="shared" si="183"/>
        <v>-12.882665201353189</v>
      </c>
      <c r="H436" s="218">
        <f t="shared" si="184"/>
        <v>-3.2206663003382947</v>
      </c>
      <c r="I436" s="218">
        <f t="shared" si="185"/>
        <v>-67.633992307104208</v>
      </c>
      <c r="J436" s="218">
        <f t="shared" si="186"/>
        <v>-3.2206663003382974</v>
      </c>
      <c r="K436" s="218">
        <f t="shared" si="187"/>
        <v>-341.3906278358595</v>
      </c>
      <c r="L436" s="218">
        <f t="shared" si="188"/>
        <v>-1236.7358593299059</v>
      </c>
      <c r="M436" s="192">
        <f t="shared" si="174"/>
        <v>-244.78352149091194</v>
      </c>
      <c r="N436" s="211">
        <v>97</v>
      </c>
      <c r="O436" s="211">
        <f>'Emission-Waste Transport Vehicl'!N81</f>
        <v>12.600880720560001</v>
      </c>
      <c r="P436" s="211">
        <f>'Emission-Waste Transport Vehicl'!O81</f>
        <v>18.331657153920002</v>
      </c>
      <c r="Q436" s="211">
        <f>'Emission-Waste Transport Vehicl'!P81</f>
        <v>7.0109200893600008</v>
      </c>
      <c r="R436" s="211">
        <f>'Emission-Waste Transport Vehicl'!Q81</f>
        <v>5.4448776835200006</v>
      </c>
      <c r="S436" s="211">
        <f>'Emission-Waste Transport Vehicl'!R81</f>
        <v>0.5419274810400001</v>
      </c>
      <c r="T436" s="211">
        <f>'Emission-Waste Transport Vehicl'!S81</f>
        <v>2.4920129836800003E-2</v>
      </c>
      <c r="U436" s="1850">
        <f t="shared" si="175"/>
        <v>-23744.001584618458</v>
      </c>
      <c r="V436" s="1850">
        <f t="shared" si="176"/>
        <v>-162.33292756516062</v>
      </c>
      <c r="W436" s="1850">
        <f t="shared" si="177"/>
        <v>-59.040150424985569</v>
      </c>
      <c r="X436" s="1850">
        <f t="shared" si="178"/>
        <v>-474.17651538949661</v>
      </c>
      <c r="Y436" s="1850">
        <f t="shared" si="179"/>
        <v>-17.53613406477692</v>
      </c>
      <c r="Z436" s="1850">
        <f t="shared" si="180"/>
        <v>-185.00896299375148</v>
      </c>
      <c r="AA436" s="1850">
        <f t="shared" si="181"/>
        <v>-30.819618188327681</v>
      </c>
      <c r="AB436" s="2733"/>
      <c r="AC436" s="3009"/>
    </row>
    <row r="437" spans="1:29" ht="18.75" x14ac:dyDescent="0.25">
      <c r="A437" s="2982"/>
      <c r="B437" s="2753"/>
      <c r="C437" s="1863">
        <v>2068</v>
      </c>
      <c r="D437" s="218">
        <f t="shared" si="182"/>
        <v>-254432.63772672549</v>
      </c>
      <c r="E437" s="221">
        <f t="shared" si="172"/>
        <v>9649.1162358135371</v>
      </c>
      <c r="F437" s="221">
        <f t="shared" si="173"/>
        <v>0</v>
      </c>
      <c r="G437" s="218">
        <f t="shared" si="183"/>
        <v>-12.882665201353189</v>
      </c>
      <c r="H437" s="218">
        <f t="shared" si="184"/>
        <v>-3.2206663003382947</v>
      </c>
      <c r="I437" s="218">
        <f t="shared" si="185"/>
        <v>-67.633992307104208</v>
      </c>
      <c r="J437" s="218">
        <f t="shared" si="186"/>
        <v>-3.2206663003382974</v>
      </c>
      <c r="K437" s="218">
        <f t="shared" si="187"/>
        <v>-341.3906278358595</v>
      </c>
      <c r="L437" s="218">
        <f t="shared" si="188"/>
        <v>-1236.7358593299059</v>
      </c>
      <c r="M437" s="192">
        <f t="shared" si="174"/>
        <v>-244.78352149091194</v>
      </c>
      <c r="N437" s="211">
        <v>97</v>
      </c>
      <c r="O437" s="211">
        <f>'Emission-Waste Transport Vehicl'!N82</f>
        <v>12.356361689760002</v>
      </c>
      <c r="P437" s="211">
        <f>'Emission-Waste Transport Vehicl'!O82</f>
        <v>17.975932888320003</v>
      </c>
      <c r="Q437" s="211">
        <f>'Emission-Waste Transport Vehicl'!P82</f>
        <v>6.8748737745600002</v>
      </c>
      <c r="R437" s="211">
        <f>'Emission-Waste Transport Vehicl'!Q82</f>
        <v>5.339220289920001</v>
      </c>
      <c r="S437" s="211">
        <f>'Emission-Waste Transport Vehicl'!R82</f>
        <v>0.53141142384000006</v>
      </c>
      <c r="T437" s="211">
        <f>'Emission-Waste Transport Vehicl'!S82</f>
        <v>2.4436556812800003E-2</v>
      </c>
      <c r="U437" s="1850">
        <f t="shared" si="175"/>
        <v>-23744.001584618458</v>
      </c>
      <c r="V437" s="1850">
        <f t="shared" si="176"/>
        <v>-159.18287075600486</v>
      </c>
      <c r="W437" s="1850">
        <f t="shared" si="177"/>
        <v>-57.894481270555062</v>
      </c>
      <c r="X437" s="1850">
        <f t="shared" si="178"/>
        <v>-464.97515998090353</v>
      </c>
      <c r="Y437" s="1850">
        <f t="shared" si="179"/>
        <v>-17.195846857827821</v>
      </c>
      <c r="Z437" s="1850">
        <f t="shared" si="180"/>
        <v>-181.41887962388566</v>
      </c>
      <c r="AA437" s="1850">
        <f t="shared" si="181"/>
        <v>-30.221566088942279</v>
      </c>
      <c r="AB437" s="2733"/>
      <c r="AC437" s="3009"/>
    </row>
    <row r="438" spans="1:29" ht="19.5" thickBot="1" x14ac:dyDescent="0.3">
      <c r="A438" s="2983"/>
      <c r="B438" s="2754"/>
      <c r="C438" s="1864">
        <v>2069</v>
      </c>
      <c r="D438" s="222">
        <f t="shared" si="182"/>
        <v>-254432.63772672549</v>
      </c>
      <c r="E438" s="328">
        <f t="shared" si="172"/>
        <v>9649.1162358135371</v>
      </c>
      <c r="F438" s="328">
        <f t="shared" si="173"/>
        <v>0</v>
      </c>
      <c r="G438" s="222">
        <f t="shared" si="183"/>
        <v>-12.882665201353189</v>
      </c>
      <c r="H438" s="222">
        <f t="shared" si="184"/>
        <v>-3.2206663003382947</v>
      </c>
      <c r="I438" s="222">
        <f t="shared" si="185"/>
        <v>-67.633992307104208</v>
      </c>
      <c r="J438" s="222">
        <f t="shared" si="186"/>
        <v>-3.2206663003382974</v>
      </c>
      <c r="K438" s="222">
        <f t="shared" si="187"/>
        <v>-341.3906278358595</v>
      </c>
      <c r="L438" s="222">
        <f t="shared" si="188"/>
        <v>-1236.7358593299059</v>
      </c>
      <c r="M438" s="220">
        <f t="shared" si="174"/>
        <v>-244.78352149091194</v>
      </c>
      <c r="N438" s="416">
        <v>97</v>
      </c>
      <c r="O438" s="416">
        <f>'Emission-Waste Transport Vehicl'!N83</f>
        <v>12.111842658960002</v>
      </c>
      <c r="P438" s="416">
        <f>'Emission-Waste Transport Vehicl'!O83</f>
        <v>17.62020862272</v>
      </c>
      <c r="Q438" s="416">
        <f>'Emission-Waste Transport Vehicl'!P83</f>
        <v>6.7388274597600004</v>
      </c>
      <c r="R438" s="416">
        <f>'Emission-Waste Transport Vehicl'!Q83</f>
        <v>5.2335628963200005</v>
      </c>
      <c r="S438" s="416">
        <f>'Emission-Waste Transport Vehicl'!R83</f>
        <v>0.52089536664000002</v>
      </c>
      <c r="T438" s="416">
        <f>'Emission-Waste Transport Vehicl'!S83</f>
        <v>2.3952983788800002E-2</v>
      </c>
      <c r="U438" s="175">
        <f t="shared" si="175"/>
        <v>-23744.001584618458</v>
      </c>
      <c r="V438" s="175">
        <f t="shared" si="176"/>
        <v>-156.0328139468491</v>
      </c>
      <c r="W438" s="175">
        <f t="shared" si="177"/>
        <v>-56.74881211612454</v>
      </c>
      <c r="X438" s="175">
        <f t="shared" si="178"/>
        <v>-455.77380457231044</v>
      </c>
      <c r="Y438" s="175">
        <f t="shared" si="179"/>
        <v>-16.855559650878721</v>
      </c>
      <c r="Z438" s="175">
        <f t="shared" si="180"/>
        <v>-177.82879625401984</v>
      </c>
      <c r="AA438" s="175">
        <f t="shared" si="181"/>
        <v>-29.623513989556876</v>
      </c>
      <c r="AB438" s="2735"/>
      <c r="AC438" s="3010"/>
    </row>
    <row r="439" spans="1:29" ht="15.75" thickBot="1" x14ac:dyDescent="0.3"/>
    <row r="440" spans="1:29" ht="75" customHeight="1" thickBot="1" x14ac:dyDescent="0.3">
      <c r="A440" s="2749" t="s">
        <v>1184</v>
      </c>
      <c r="B440" s="2750"/>
      <c r="C440" s="2750"/>
      <c r="D440" s="2750"/>
      <c r="E440" s="2750"/>
      <c r="F440" s="2750"/>
      <c r="G440" s="2750"/>
      <c r="H440" s="2750"/>
      <c r="I440" s="2750"/>
      <c r="J440" s="2750"/>
      <c r="K440" s="2750"/>
      <c r="L440" s="2750"/>
      <c r="M440" s="2750"/>
      <c r="N440" s="2750"/>
      <c r="O440" s="2750"/>
      <c r="P440" s="2750"/>
      <c r="Q440" s="2750"/>
      <c r="R440" s="2750"/>
      <c r="S440" s="2750"/>
      <c r="T440" s="2750"/>
      <c r="U440" s="2750"/>
      <c r="V440" s="2750"/>
      <c r="W440" s="2750"/>
      <c r="X440" s="2750"/>
      <c r="Y440" s="2750"/>
      <c r="Z440" s="2750"/>
      <c r="AA440" s="2750"/>
      <c r="AB440" s="2750"/>
      <c r="AC440" s="2751"/>
    </row>
    <row r="441" spans="1:29" ht="120.75" thickBot="1" x14ac:dyDescent="0.3">
      <c r="A441" s="739" t="s">
        <v>28</v>
      </c>
      <c r="B441" s="740" t="s">
        <v>176</v>
      </c>
      <c r="C441" s="253" t="s">
        <v>177</v>
      </c>
      <c r="D441" s="741" t="s">
        <v>208</v>
      </c>
      <c r="E441" s="741" t="s">
        <v>209</v>
      </c>
      <c r="F441" s="741" t="s">
        <v>210</v>
      </c>
      <c r="G441" s="741" t="s">
        <v>226</v>
      </c>
      <c r="H441" s="741" t="s">
        <v>227</v>
      </c>
      <c r="I441" s="741" t="s">
        <v>228</v>
      </c>
      <c r="J441" s="741" t="s">
        <v>454</v>
      </c>
      <c r="K441" s="741" t="s">
        <v>229</v>
      </c>
      <c r="L441" s="741" t="s">
        <v>287</v>
      </c>
      <c r="M441" s="262" t="s">
        <v>211</v>
      </c>
      <c r="N441" s="128" t="s">
        <v>272</v>
      </c>
      <c r="O441" s="741" t="s">
        <v>318</v>
      </c>
      <c r="P441" s="741" t="s">
        <v>319</v>
      </c>
      <c r="Q441" s="741" t="s">
        <v>273</v>
      </c>
      <c r="R441" s="741" t="s">
        <v>455</v>
      </c>
      <c r="S441" s="741" t="s">
        <v>274</v>
      </c>
      <c r="T441" s="741" t="s">
        <v>288</v>
      </c>
      <c r="U441" s="741" t="s">
        <v>275</v>
      </c>
      <c r="V441" s="741" t="s">
        <v>276</v>
      </c>
      <c r="W441" s="741" t="s">
        <v>317</v>
      </c>
      <c r="X441" s="741" t="s">
        <v>271</v>
      </c>
      <c r="Y441" s="741" t="s">
        <v>277</v>
      </c>
      <c r="Z441" s="741" t="s">
        <v>278</v>
      </c>
      <c r="AA441" s="741" t="s">
        <v>315</v>
      </c>
      <c r="AB441" s="83" t="s">
        <v>316</v>
      </c>
      <c r="AC441" s="755" t="s">
        <v>1100</v>
      </c>
    </row>
    <row r="442" spans="1:29" ht="18.75" x14ac:dyDescent="0.3">
      <c r="A442" s="3011" t="s">
        <v>167</v>
      </c>
      <c r="B442" s="2313" t="s">
        <v>1797</v>
      </c>
      <c r="C442" s="1867">
        <v>2019</v>
      </c>
      <c r="D442" s="216">
        <f t="shared" ref="D442:D473" si="189">$AC$20</f>
        <v>-965129.30539621902</v>
      </c>
      <c r="E442" s="216">
        <f>$AB$20*28</f>
        <v>-10382.515156185884</v>
      </c>
      <c r="F442" s="216">
        <f>$AD$20*298</f>
        <v>-13831.819536486613</v>
      </c>
      <c r="G442" s="216">
        <f t="shared" ref="G442:G473" si="190">$Y$20</f>
        <v>-59.43834317922591</v>
      </c>
      <c r="H442" s="216">
        <f t="shared" ref="H442:H473" si="191">$Z$20</f>
        <v>-45.480178542001376</v>
      </c>
      <c r="I442" s="216">
        <f t="shared" ref="I442:I473" si="192">$X$20</f>
        <v>-697.79105205002384</v>
      </c>
      <c r="J442" s="1879">
        <f t="shared" ref="J442:J473" si="193">$AA$20</f>
        <v>-253.38497454684352</v>
      </c>
      <c r="K442" s="216">
        <f t="shared" ref="K442:K473" si="194">$V$20</f>
        <v>-651.64029518685186</v>
      </c>
      <c r="L442" s="216">
        <f t="shared" ref="L442:L473" si="195">$W$20</f>
        <v>-7537.0188859362288</v>
      </c>
      <c r="M442" s="217">
        <f>(D442/1000)+(E442/1000)+(F442/1000)</f>
        <v>-989.34364008889145</v>
      </c>
      <c r="N442" s="1867">
        <v>62</v>
      </c>
      <c r="O442" s="643">
        <f>'Emission-Waste Transport Vehicl'!N33</f>
        <v>32.602537440000006</v>
      </c>
      <c r="P442" s="643">
        <f>'Emission-Waste Transport Vehicl'!O33</f>
        <v>47.429902080000005</v>
      </c>
      <c r="Q442" s="643">
        <f>'Emission-Waste Transport Vehicl'!P33</f>
        <v>18.139508640000003</v>
      </c>
      <c r="R442" s="643">
        <f>'Emission-Waste Transport Vehicl'!Q33</f>
        <v>14.087652480000001</v>
      </c>
      <c r="S442" s="643">
        <f>'Emission-Waste Transport Vehicl'!R33</f>
        <v>1.4021409600000001</v>
      </c>
      <c r="T442" s="643">
        <f>'Emission-Waste Transport Vehicl'!S33</f>
        <v>6.4476403200000004E-2</v>
      </c>
      <c r="U442" s="644">
        <f>M442*N442</f>
        <v>-61339.305685511266</v>
      </c>
      <c r="V442" s="644">
        <f t="shared" ref="V442:V505" si="196">G442*O442</f>
        <v>-1937.8408088722817</v>
      </c>
      <c r="W442" s="644">
        <f t="shared" ref="W442:W505" si="197">H442*P442</f>
        <v>-2157.1204148280426</v>
      </c>
      <c r="X442" s="644">
        <f t="shared" ref="X442:X505" si="198">I442*Q442</f>
        <v>-12657.586817576099</v>
      </c>
      <c r="Y442" s="644">
        <f>J442*R442</f>
        <v>-3569.5994650695775</v>
      </c>
      <c r="Z442" s="644">
        <f t="shared" ref="Z442:Z505" si="199">K442*S442</f>
        <v>-913.69154906797587</v>
      </c>
      <c r="AA442" s="644">
        <f t="shared" ref="AA442:AA505" si="200">T442*L442</f>
        <v>-485.95986861563915</v>
      </c>
      <c r="AB442" s="2732">
        <f>(SUM(U442:U492)*1.2682)+(SUM(V442:V492))+(SUM(W442:W492))+(SUM(X442:X492))+(SUM(Y442:Y492))+(SUM(Z442:Z492))+(SUM(AA442:AA492))</f>
        <v>-6218566.9144114358</v>
      </c>
      <c r="AC442" s="3014">
        <f>SUM(AB442:AB849)</f>
        <v>-19311985.882913291</v>
      </c>
    </row>
    <row r="443" spans="1:29" ht="18.75" x14ac:dyDescent="0.3">
      <c r="A443" s="3012"/>
      <c r="B443" s="2303"/>
      <c r="C443" s="1849">
        <v>2020</v>
      </c>
      <c r="D443" s="218">
        <f t="shared" si="189"/>
        <v>-965129.30539621902</v>
      </c>
      <c r="E443" s="218">
        <f t="shared" ref="E443:E492" si="201">$AB$20*28</f>
        <v>-10382.515156185884</v>
      </c>
      <c r="F443" s="218">
        <f t="shared" ref="F443:F492" si="202">$AD$20*298</f>
        <v>-13831.819536486613</v>
      </c>
      <c r="G443" s="218">
        <f t="shared" si="190"/>
        <v>-59.43834317922591</v>
      </c>
      <c r="H443" s="218">
        <f t="shared" si="191"/>
        <v>-45.480178542001376</v>
      </c>
      <c r="I443" s="218">
        <f t="shared" si="192"/>
        <v>-697.79105205002384</v>
      </c>
      <c r="J443" s="1880">
        <f t="shared" si="193"/>
        <v>-253.38497454684352</v>
      </c>
      <c r="K443" s="218">
        <f t="shared" si="194"/>
        <v>-651.64029518685186</v>
      </c>
      <c r="L443" s="218">
        <f t="shared" si="195"/>
        <v>-7537.0188859362288</v>
      </c>
      <c r="M443" s="192">
        <f t="shared" ref="M443:M506" si="203">(D443/1000)+(E443/1000)+(F443/1000)</f>
        <v>-989.34364008889145</v>
      </c>
      <c r="N443" s="1849">
        <v>64</v>
      </c>
      <c r="O443" s="211">
        <f>'Emission-Waste Transport Vehicl'!N34</f>
        <v>31.963527706176006</v>
      </c>
      <c r="P443" s="211">
        <f>'Emission-Waste Transport Vehicl'!O34</f>
        <v>46.500275999232002</v>
      </c>
      <c r="Q443" s="211">
        <f>'Emission-Waste Transport Vehicl'!P34</f>
        <v>17.783974270656003</v>
      </c>
      <c r="R443" s="211">
        <f>'Emission-Waste Transport Vehicl'!Q34</f>
        <v>13.811534491392001</v>
      </c>
      <c r="S443" s="211">
        <f>'Emission-Waste Transport Vehicl'!R34</f>
        <v>1.3746589971840002</v>
      </c>
      <c r="T443" s="211">
        <f>'Emission-Waste Transport Vehicl'!S34</f>
        <v>6.3212665697280013E-2</v>
      </c>
      <c r="U443" s="1850">
        <f t="shared" ref="U443:U506" si="204">M443*N443</f>
        <v>-63317.992965689053</v>
      </c>
      <c r="V443" s="1850">
        <f t="shared" si="196"/>
        <v>-1899.8591290183849</v>
      </c>
      <c r="W443" s="1850">
        <f t="shared" si="197"/>
        <v>-2114.8408546974129</v>
      </c>
      <c r="X443" s="1850">
        <f t="shared" si="198"/>
        <v>-12409.498115951608</v>
      </c>
      <c r="Y443" s="1850">
        <f>J443*R443</f>
        <v>-3499.6353155542133</v>
      </c>
      <c r="Z443" s="1850">
        <f t="shared" si="199"/>
        <v>-895.78319470624365</v>
      </c>
      <c r="AA443" s="1850">
        <f t="shared" si="200"/>
        <v>-476.43505519077269</v>
      </c>
      <c r="AB443" s="2733"/>
      <c r="AC443" s="3015"/>
    </row>
    <row r="444" spans="1:29" ht="18.75" x14ac:dyDescent="0.3">
      <c r="A444" s="3012"/>
      <c r="B444" s="2303"/>
      <c r="C444" s="1849">
        <v>2021</v>
      </c>
      <c r="D444" s="218">
        <f t="shared" si="189"/>
        <v>-965129.30539621902</v>
      </c>
      <c r="E444" s="218">
        <f t="shared" si="201"/>
        <v>-10382.515156185884</v>
      </c>
      <c r="F444" s="218">
        <f t="shared" si="202"/>
        <v>-13831.819536486613</v>
      </c>
      <c r="G444" s="218">
        <f t="shared" si="190"/>
        <v>-59.43834317922591</v>
      </c>
      <c r="H444" s="218">
        <f t="shared" si="191"/>
        <v>-45.480178542001376</v>
      </c>
      <c r="I444" s="218">
        <f t="shared" si="192"/>
        <v>-697.79105205002384</v>
      </c>
      <c r="J444" s="1880">
        <f t="shared" si="193"/>
        <v>-253.38497454684352</v>
      </c>
      <c r="K444" s="218">
        <f t="shared" si="194"/>
        <v>-651.64029518685186</v>
      </c>
      <c r="L444" s="218">
        <f t="shared" si="195"/>
        <v>-7537.0188859362288</v>
      </c>
      <c r="M444" s="192">
        <f t="shared" si="203"/>
        <v>-989.34364008889145</v>
      </c>
      <c r="N444" s="1849">
        <v>65</v>
      </c>
      <c r="O444" s="211">
        <f>'Emission-Waste Transport Vehicl'!N35</f>
        <v>31.337558987328006</v>
      </c>
      <c r="P444" s="211">
        <f>'Emission-Waste Transport Vehicl'!O35</f>
        <v>45.589621879296011</v>
      </c>
      <c r="Q444" s="211">
        <f>'Emission-Waste Transport Vehicl'!P35</f>
        <v>17.435695704768001</v>
      </c>
      <c r="R444" s="211">
        <f>'Emission-Waste Transport Vehicl'!Q35</f>
        <v>13.541051563776001</v>
      </c>
      <c r="S444" s="211">
        <f>'Emission-Waste Transport Vehicl'!R35</f>
        <v>1.3477378907520003</v>
      </c>
      <c r="T444" s="211">
        <f>'Emission-Waste Transport Vehicl'!S35</f>
        <v>6.1974718755840007E-2</v>
      </c>
      <c r="U444" s="1850">
        <f t="shared" si="204"/>
        <v>-64307.336605777942</v>
      </c>
      <c r="V444" s="1850">
        <f t="shared" si="196"/>
        <v>-1862.6525854880372</v>
      </c>
      <c r="W444" s="1850">
        <f t="shared" si="197"/>
        <v>-2073.4241427327147</v>
      </c>
      <c r="X444" s="1850">
        <f t="shared" si="198"/>
        <v>-12166.472449054145</v>
      </c>
      <c r="Y444" s="1850">
        <f t="shared" ref="Y444:Y505" si="205">J444*R444</f>
        <v>-3431.0990058248776</v>
      </c>
      <c r="Z444" s="1850">
        <f t="shared" si="199"/>
        <v>-878.24031696413863</v>
      </c>
      <c r="AA444" s="1850">
        <f t="shared" si="200"/>
        <v>-467.10462571335233</v>
      </c>
      <c r="AB444" s="2733"/>
      <c r="AC444" s="3015"/>
    </row>
    <row r="445" spans="1:29" ht="18.75" x14ac:dyDescent="0.3">
      <c r="A445" s="3012"/>
      <c r="B445" s="2303"/>
      <c r="C445" s="1849">
        <v>2022</v>
      </c>
      <c r="D445" s="218">
        <f t="shared" si="189"/>
        <v>-965129.30539621902</v>
      </c>
      <c r="E445" s="218">
        <f t="shared" si="201"/>
        <v>-10382.515156185884</v>
      </c>
      <c r="F445" s="218">
        <f t="shared" si="202"/>
        <v>-13831.819536486613</v>
      </c>
      <c r="G445" s="218">
        <f t="shared" si="190"/>
        <v>-59.43834317922591</v>
      </c>
      <c r="H445" s="218">
        <f t="shared" si="191"/>
        <v>-45.480178542001376</v>
      </c>
      <c r="I445" s="218">
        <f t="shared" si="192"/>
        <v>-697.79105205002384</v>
      </c>
      <c r="J445" s="1880">
        <f t="shared" si="193"/>
        <v>-253.38497454684352</v>
      </c>
      <c r="K445" s="218">
        <f t="shared" si="194"/>
        <v>-651.64029518685186</v>
      </c>
      <c r="L445" s="218">
        <f t="shared" si="195"/>
        <v>-7537.0188859362288</v>
      </c>
      <c r="M445" s="192">
        <f t="shared" si="203"/>
        <v>-989.34364008889145</v>
      </c>
      <c r="N445" s="1849">
        <v>66</v>
      </c>
      <c r="O445" s="211">
        <f>'Emission-Waste Transport Vehicl'!N36</f>
        <v>30.721371029712003</v>
      </c>
      <c r="P445" s="211">
        <f>'Emission-Waste Transport Vehicl'!O36</f>
        <v>44.693196729984003</v>
      </c>
      <c r="Q445" s="211">
        <f>'Emission-Waste Transport Vehicl'!P36</f>
        <v>17.092858991472003</v>
      </c>
      <c r="R445" s="211">
        <f>'Emission-Waste Transport Vehicl'!Q36</f>
        <v>13.274794931903999</v>
      </c>
      <c r="S445" s="211">
        <f>'Emission-Waste Transport Vehicl'!R36</f>
        <v>1.3212374266080003</v>
      </c>
      <c r="T445" s="211">
        <f>'Emission-Waste Transport Vehicl'!S36</f>
        <v>6.0756114735360002E-2</v>
      </c>
      <c r="U445" s="1850">
        <f t="shared" si="204"/>
        <v>-65296.680245866839</v>
      </c>
      <c r="V445" s="1850">
        <f t="shared" si="196"/>
        <v>-1826.027394200351</v>
      </c>
      <c r="W445" s="1850">
        <f t="shared" si="197"/>
        <v>-2032.6545668924646</v>
      </c>
      <c r="X445" s="1850">
        <f t="shared" si="198"/>
        <v>-11927.244058201959</v>
      </c>
      <c r="Y445" s="1850">
        <f t="shared" si="205"/>
        <v>-3363.6335759350623</v>
      </c>
      <c r="Z445" s="1850">
        <f t="shared" si="199"/>
        <v>-860.97154668675375</v>
      </c>
      <c r="AA445" s="1850">
        <f t="shared" si="200"/>
        <v>-457.91998419651674</v>
      </c>
      <c r="AB445" s="2733"/>
      <c r="AC445" s="3015"/>
    </row>
    <row r="446" spans="1:29" ht="18.75" x14ac:dyDescent="0.3">
      <c r="A446" s="3012"/>
      <c r="B446" s="2303"/>
      <c r="C446" s="1849">
        <v>2023</v>
      </c>
      <c r="D446" s="218">
        <f t="shared" si="189"/>
        <v>-965129.30539621902</v>
      </c>
      <c r="E446" s="218">
        <f t="shared" si="201"/>
        <v>-10382.515156185884</v>
      </c>
      <c r="F446" s="218">
        <f t="shared" si="202"/>
        <v>-13831.819536486613</v>
      </c>
      <c r="G446" s="218">
        <f t="shared" si="190"/>
        <v>-59.43834317922591</v>
      </c>
      <c r="H446" s="218">
        <f t="shared" si="191"/>
        <v>-45.480178542001376</v>
      </c>
      <c r="I446" s="218">
        <f t="shared" si="192"/>
        <v>-697.79105205002384</v>
      </c>
      <c r="J446" s="1880">
        <f t="shared" si="193"/>
        <v>-253.38497454684352</v>
      </c>
      <c r="K446" s="218">
        <f t="shared" si="194"/>
        <v>-651.64029518685186</v>
      </c>
      <c r="L446" s="218">
        <f t="shared" si="195"/>
        <v>-7537.0188859362288</v>
      </c>
      <c r="M446" s="192">
        <f t="shared" si="203"/>
        <v>-989.34364008889145</v>
      </c>
      <c r="N446" s="1849">
        <v>67</v>
      </c>
      <c r="O446" s="211">
        <f>'Emission-Waste Transport Vehicl'!N37</f>
        <v>30.118224087072001</v>
      </c>
      <c r="P446" s="211">
        <f>'Emission-Waste Transport Vehicl'!O37</f>
        <v>43.815743541504006</v>
      </c>
      <c r="Q446" s="211">
        <f>'Emission-Waste Transport Vehicl'!P37</f>
        <v>16.757278081632002</v>
      </c>
      <c r="R446" s="211">
        <f>'Emission-Waste Transport Vehicl'!Q37</f>
        <v>13.014173361024</v>
      </c>
      <c r="S446" s="211">
        <f>'Emission-Waste Transport Vehicl'!R37</f>
        <v>1.295297818848</v>
      </c>
      <c r="T446" s="211">
        <f>'Emission-Waste Transport Vehicl'!S37</f>
        <v>5.9563301276160004E-2</v>
      </c>
      <c r="U446" s="1850">
        <f t="shared" si="204"/>
        <v>-66286.023885955728</v>
      </c>
      <c r="V446" s="1850">
        <f t="shared" si="196"/>
        <v>-1790.1773392362136</v>
      </c>
      <c r="W446" s="1850">
        <f t="shared" si="197"/>
        <v>-1992.7478392181458</v>
      </c>
      <c r="X446" s="1850">
        <f t="shared" si="198"/>
        <v>-11693.0787020768</v>
      </c>
      <c r="Y446" s="1850">
        <f t="shared" si="205"/>
        <v>-3297.5959858312754</v>
      </c>
      <c r="Z446" s="1850">
        <f t="shared" si="199"/>
        <v>-844.06825302899608</v>
      </c>
      <c r="AA446" s="1850">
        <f t="shared" si="200"/>
        <v>-448.92972662712742</v>
      </c>
      <c r="AB446" s="2733"/>
      <c r="AC446" s="3015"/>
    </row>
    <row r="447" spans="1:29" ht="18.75" x14ac:dyDescent="0.3">
      <c r="A447" s="3012"/>
      <c r="B447" s="2303"/>
      <c r="C447" s="1849">
        <v>2024</v>
      </c>
      <c r="D447" s="218">
        <f t="shared" si="189"/>
        <v>-965129.30539621902</v>
      </c>
      <c r="E447" s="218">
        <f t="shared" si="201"/>
        <v>-10382.515156185884</v>
      </c>
      <c r="F447" s="218">
        <f t="shared" si="202"/>
        <v>-13831.819536486613</v>
      </c>
      <c r="G447" s="218">
        <f t="shared" si="190"/>
        <v>-59.43834317922591</v>
      </c>
      <c r="H447" s="218">
        <f t="shared" si="191"/>
        <v>-45.480178542001376</v>
      </c>
      <c r="I447" s="218">
        <f t="shared" si="192"/>
        <v>-697.79105205002384</v>
      </c>
      <c r="J447" s="1880">
        <f t="shared" si="193"/>
        <v>-253.38497454684352</v>
      </c>
      <c r="K447" s="218">
        <f t="shared" si="194"/>
        <v>-651.64029518685186</v>
      </c>
      <c r="L447" s="218">
        <f t="shared" si="195"/>
        <v>-7537.0188859362288</v>
      </c>
      <c r="M447" s="192">
        <f t="shared" si="203"/>
        <v>-989.34364008889145</v>
      </c>
      <c r="N447" s="1849">
        <v>68</v>
      </c>
      <c r="O447" s="211">
        <f>'Emission-Waste Transport Vehicl'!N38</f>
        <v>29.528118159408002</v>
      </c>
      <c r="P447" s="211">
        <f>'Emission-Waste Transport Vehicl'!O38</f>
        <v>42.957262313856006</v>
      </c>
      <c r="Q447" s="211">
        <f>'Emission-Waste Transport Vehicl'!P38</f>
        <v>16.428952975248002</v>
      </c>
      <c r="R447" s="211">
        <f>'Emission-Waste Transport Vehicl'!Q38</f>
        <v>12.759186851135999</v>
      </c>
      <c r="S447" s="211">
        <f>'Emission-Waste Transport Vehicl'!R38</f>
        <v>1.269919067472</v>
      </c>
      <c r="T447" s="211">
        <f>'Emission-Waste Transport Vehicl'!S38</f>
        <v>5.8396278378240005E-2</v>
      </c>
      <c r="U447" s="1850">
        <f t="shared" si="204"/>
        <v>-67275.367526044618</v>
      </c>
      <c r="V447" s="1850">
        <f t="shared" si="196"/>
        <v>-1755.1024205956253</v>
      </c>
      <c r="W447" s="1850">
        <f t="shared" si="197"/>
        <v>-1953.7039597097582</v>
      </c>
      <c r="X447" s="1850">
        <f t="shared" si="198"/>
        <v>-11463.976380678672</v>
      </c>
      <c r="Y447" s="1850">
        <f t="shared" si="205"/>
        <v>-3232.9862355135156</v>
      </c>
      <c r="Z447" s="1850">
        <f t="shared" si="199"/>
        <v>-827.53043599086573</v>
      </c>
      <c r="AA447" s="1850">
        <f t="shared" si="200"/>
        <v>-440.13385300518439</v>
      </c>
      <c r="AB447" s="2733"/>
      <c r="AC447" s="3015"/>
    </row>
    <row r="448" spans="1:29" ht="18.75" x14ac:dyDescent="0.3">
      <c r="A448" s="3012"/>
      <c r="B448" s="2303"/>
      <c r="C448" s="1849">
        <v>2025</v>
      </c>
      <c r="D448" s="218">
        <f t="shared" si="189"/>
        <v>-965129.30539621902</v>
      </c>
      <c r="E448" s="218">
        <f t="shared" si="201"/>
        <v>-10382.515156185884</v>
      </c>
      <c r="F448" s="218">
        <f t="shared" si="202"/>
        <v>-13831.819536486613</v>
      </c>
      <c r="G448" s="218">
        <f t="shared" si="190"/>
        <v>-59.43834317922591</v>
      </c>
      <c r="H448" s="218">
        <f t="shared" si="191"/>
        <v>-45.480178542001376</v>
      </c>
      <c r="I448" s="218">
        <f t="shared" si="192"/>
        <v>-697.79105205002384</v>
      </c>
      <c r="J448" s="1880">
        <f t="shared" si="193"/>
        <v>-253.38497454684352</v>
      </c>
      <c r="K448" s="218">
        <f t="shared" si="194"/>
        <v>-651.64029518685186</v>
      </c>
      <c r="L448" s="218">
        <f t="shared" si="195"/>
        <v>-7537.0188859362288</v>
      </c>
      <c r="M448" s="192">
        <f t="shared" si="203"/>
        <v>-989.34364008889145</v>
      </c>
      <c r="N448" s="1849">
        <v>69</v>
      </c>
      <c r="O448" s="211">
        <f>'Emission-Waste Transport Vehicl'!N39</f>
        <v>28.951053246720004</v>
      </c>
      <c r="P448" s="211">
        <f>'Emission-Waste Transport Vehicl'!O39</f>
        <v>42.117753047040004</v>
      </c>
      <c r="Q448" s="211">
        <f>'Emission-Waste Transport Vehicl'!P39</f>
        <v>16.10788367232</v>
      </c>
      <c r="R448" s="211">
        <f>'Emission-Waste Transport Vehicl'!Q39</f>
        <v>12.50983540224</v>
      </c>
      <c r="S448" s="211">
        <f>'Emission-Waste Transport Vehicl'!R39</f>
        <v>1.2451011724800001</v>
      </c>
      <c r="T448" s="211">
        <f>'Emission-Waste Transport Vehicl'!S39</f>
        <v>5.7255046041600005E-2</v>
      </c>
      <c r="U448" s="1850">
        <f t="shared" si="204"/>
        <v>-68264.711166133508</v>
      </c>
      <c r="V448" s="1850">
        <f t="shared" si="196"/>
        <v>-1720.8026382785861</v>
      </c>
      <c r="W448" s="1850">
        <f t="shared" si="197"/>
        <v>-1915.5229283673018</v>
      </c>
      <c r="X448" s="1850">
        <f t="shared" si="198"/>
        <v>-11239.937094007573</v>
      </c>
      <c r="Y448" s="1850">
        <f t="shared" si="205"/>
        <v>-3169.8043249817842</v>
      </c>
      <c r="Z448" s="1850">
        <f t="shared" si="199"/>
        <v>-811.35809557236257</v>
      </c>
      <c r="AA448" s="1850">
        <f t="shared" si="200"/>
        <v>-431.53236333068753</v>
      </c>
      <c r="AB448" s="2733"/>
      <c r="AC448" s="3015"/>
    </row>
    <row r="449" spans="1:29" ht="18.75" x14ac:dyDescent="0.3">
      <c r="A449" s="3012"/>
      <c r="B449" s="2303"/>
      <c r="C449" s="1849">
        <v>2026</v>
      </c>
      <c r="D449" s="218">
        <f t="shared" si="189"/>
        <v>-965129.30539621902</v>
      </c>
      <c r="E449" s="218">
        <f t="shared" si="201"/>
        <v>-10382.515156185884</v>
      </c>
      <c r="F449" s="218">
        <f t="shared" si="202"/>
        <v>-13831.819536486613</v>
      </c>
      <c r="G449" s="218">
        <f t="shared" si="190"/>
        <v>-59.43834317922591</v>
      </c>
      <c r="H449" s="218">
        <f t="shared" si="191"/>
        <v>-45.480178542001376</v>
      </c>
      <c r="I449" s="218">
        <f t="shared" si="192"/>
        <v>-697.79105205002384</v>
      </c>
      <c r="J449" s="1880">
        <f t="shared" si="193"/>
        <v>-253.38497454684352</v>
      </c>
      <c r="K449" s="218">
        <f t="shared" si="194"/>
        <v>-651.64029518685186</v>
      </c>
      <c r="L449" s="218">
        <f t="shared" si="195"/>
        <v>-7537.0188859362288</v>
      </c>
      <c r="M449" s="192">
        <f t="shared" si="203"/>
        <v>-989.34364008889145</v>
      </c>
      <c r="N449" s="1849">
        <v>70</v>
      </c>
      <c r="O449" s="211">
        <f>'Emission-Waste Transport Vehicl'!N40</f>
        <v>28.383769095264007</v>
      </c>
      <c r="P449" s="211">
        <f>'Emission-Waste Transport Vehicl'!O40</f>
        <v>41.292472750848006</v>
      </c>
      <c r="Q449" s="211">
        <f>'Emission-Waste Transport Vehicl'!P40</f>
        <v>15.792256221984003</v>
      </c>
      <c r="R449" s="211">
        <f>'Emission-Waste Transport Vehicl'!Q40</f>
        <v>12.264710249088001</v>
      </c>
      <c r="S449" s="211">
        <f>'Emission-Waste Transport Vehicl'!R40</f>
        <v>1.2207039197760001</v>
      </c>
      <c r="T449" s="211">
        <f>'Emission-Waste Transport Vehicl'!S40</f>
        <v>5.6133156625920007E-2</v>
      </c>
      <c r="U449" s="1850">
        <f t="shared" si="204"/>
        <v>-69254.054806222397</v>
      </c>
      <c r="V449" s="1850">
        <f t="shared" si="196"/>
        <v>-1687.0842082042086</v>
      </c>
      <c r="W449" s="1850">
        <f t="shared" si="197"/>
        <v>-1877.9890331492941</v>
      </c>
      <c r="X449" s="1850">
        <f t="shared" si="198"/>
        <v>-11019.695083381752</v>
      </c>
      <c r="Y449" s="1850">
        <f t="shared" si="205"/>
        <v>-3107.6932942895742</v>
      </c>
      <c r="Z449" s="1850">
        <f t="shared" si="199"/>
        <v>-795.4598626185799</v>
      </c>
      <c r="AA449" s="1850">
        <f t="shared" si="200"/>
        <v>-423.07666161677543</v>
      </c>
      <c r="AB449" s="2733"/>
      <c r="AC449" s="3015"/>
    </row>
    <row r="450" spans="1:29" ht="18.75" x14ac:dyDescent="0.3">
      <c r="A450" s="3012"/>
      <c r="B450" s="2303"/>
      <c r="C450" s="1849">
        <v>2027</v>
      </c>
      <c r="D450" s="218">
        <f t="shared" si="189"/>
        <v>-965129.30539621902</v>
      </c>
      <c r="E450" s="218">
        <f t="shared" si="201"/>
        <v>-10382.515156185884</v>
      </c>
      <c r="F450" s="218">
        <f t="shared" si="202"/>
        <v>-13831.819536486613</v>
      </c>
      <c r="G450" s="218">
        <f t="shared" si="190"/>
        <v>-59.43834317922591</v>
      </c>
      <c r="H450" s="218">
        <f t="shared" si="191"/>
        <v>-45.480178542001376</v>
      </c>
      <c r="I450" s="218">
        <f t="shared" si="192"/>
        <v>-697.79105205002384</v>
      </c>
      <c r="J450" s="1880">
        <f t="shared" si="193"/>
        <v>-253.38497454684352</v>
      </c>
      <c r="K450" s="218">
        <f t="shared" si="194"/>
        <v>-651.64029518685186</v>
      </c>
      <c r="L450" s="218">
        <f t="shared" si="195"/>
        <v>-7537.0188859362288</v>
      </c>
      <c r="M450" s="192">
        <f t="shared" si="203"/>
        <v>-989.34364008889145</v>
      </c>
      <c r="N450" s="1849">
        <v>71</v>
      </c>
      <c r="O450" s="211">
        <f>'Emission-Waste Transport Vehicl'!N41</f>
        <v>27.826265705040004</v>
      </c>
      <c r="P450" s="211">
        <f>'Emission-Waste Transport Vehicl'!O41</f>
        <v>40.481421425280004</v>
      </c>
      <c r="Q450" s="211">
        <f>'Emission-Waste Transport Vehicl'!P41</f>
        <v>15.482070624240002</v>
      </c>
      <c r="R450" s="211">
        <f>'Emission-Waste Transport Vehicl'!Q41</f>
        <v>12.023811391680001</v>
      </c>
      <c r="S450" s="211">
        <f>'Emission-Waste Transport Vehicl'!R41</f>
        <v>1.1967273093600002</v>
      </c>
      <c r="T450" s="211">
        <f>'Emission-Waste Transport Vehicl'!S41</f>
        <v>5.503061013120001E-2</v>
      </c>
      <c r="U450" s="1850">
        <f t="shared" si="204"/>
        <v>-70243.398446311287</v>
      </c>
      <c r="V450" s="1850">
        <f t="shared" si="196"/>
        <v>-1653.9471303724924</v>
      </c>
      <c r="W450" s="1850">
        <f t="shared" si="197"/>
        <v>-1841.1022740557344</v>
      </c>
      <c r="X450" s="1850">
        <f t="shared" si="198"/>
        <v>-10803.250348801201</v>
      </c>
      <c r="Y450" s="1850">
        <f t="shared" si="205"/>
        <v>-3046.653143436884</v>
      </c>
      <c r="Z450" s="1850">
        <f t="shared" si="199"/>
        <v>-779.8357371295175</v>
      </c>
      <c r="AA450" s="1850">
        <f t="shared" si="200"/>
        <v>-414.76674786344802</v>
      </c>
      <c r="AB450" s="2733"/>
      <c r="AC450" s="3015"/>
    </row>
    <row r="451" spans="1:29" ht="18.75" x14ac:dyDescent="0.3">
      <c r="A451" s="3012"/>
      <c r="B451" s="2303"/>
      <c r="C451" s="1849">
        <v>2028</v>
      </c>
      <c r="D451" s="218">
        <f t="shared" si="189"/>
        <v>-965129.30539621902</v>
      </c>
      <c r="E451" s="218">
        <f t="shared" si="201"/>
        <v>-10382.515156185884</v>
      </c>
      <c r="F451" s="218">
        <f t="shared" si="202"/>
        <v>-13831.819536486613</v>
      </c>
      <c r="G451" s="218">
        <f t="shared" si="190"/>
        <v>-59.43834317922591</v>
      </c>
      <c r="H451" s="218">
        <f t="shared" si="191"/>
        <v>-45.480178542001376</v>
      </c>
      <c r="I451" s="218">
        <f t="shared" si="192"/>
        <v>-697.79105205002384</v>
      </c>
      <c r="J451" s="1880">
        <f t="shared" si="193"/>
        <v>-253.38497454684352</v>
      </c>
      <c r="K451" s="218">
        <f t="shared" si="194"/>
        <v>-651.64029518685186</v>
      </c>
      <c r="L451" s="218">
        <f t="shared" si="195"/>
        <v>-7537.0188859362288</v>
      </c>
      <c r="M451" s="192">
        <f t="shared" si="203"/>
        <v>-989.34364008889145</v>
      </c>
      <c r="N451" s="1849">
        <v>72</v>
      </c>
      <c r="O451" s="211">
        <f>'Emission-Waste Transport Vehicl'!N42</f>
        <v>27.281803329792002</v>
      </c>
      <c r="P451" s="211">
        <f>'Emission-Waste Transport Vehicl'!O42</f>
        <v>39.689342060544</v>
      </c>
      <c r="Q451" s="211">
        <f>'Emission-Waste Transport Vehicl'!P42</f>
        <v>15.179140829952001</v>
      </c>
      <c r="R451" s="211">
        <f>'Emission-Waste Transport Vehicl'!Q42</f>
        <v>11.788547595263999</v>
      </c>
      <c r="S451" s="211">
        <f>'Emission-Waste Transport Vehicl'!R42</f>
        <v>1.173311555328</v>
      </c>
      <c r="T451" s="211">
        <f>'Emission-Waste Transport Vehicl'!S42</f>
        <v>5.3953854197759998E-2</v>
      </c>
      <c r="U451" s="1850">
        <f t="shared" si="204"/>
        <v>-71232.742086400191</v>
      </c>
      <c r="V451" s="1850">
        <f t="shared" si="196"/>
        <v>-1621.5851888643251</v>
      </c>
      <c r="W451" s="1850">
        <f t="shared" si="197"/>
        <v>-1805.0783631281058</v>
      </c>
      <c r="X451" s="1850">
        <f t="shared" si="198"/>
        <v>-10591.868648947679</v>
      </c>
      <c r="Y451" s="1850">
        <f t="shared" si="205"/>
        <v>-2987.0408323702218</v>
      </c>
      <c r="Z451" s="1850">
        <f t="shared" si="199"/>
        <v>-764.57708826008218</v>
      </c>
      <c r="AA451" s="1850">
        <f t="shared" si="200"/>
        <v>-406.65121805756678</v>
      </c>
      <c r="AB451" s="2733"/>
      <c r="AC451" s="3015"/>
    </row>
    <row r="452" spans="1:29" ht="18.75" x14ac:dyDescent="0.3">
      <c r="A452" s="3012"/>
      <c r="B452" s="2303"/>
      <c r="C452" s="1849">
        <v>2029</v>
      </c>
      <c r="D452" s="218">
        <f t="shared" si="189"/>
        <v>-965129.30539621902</v>
      </c>
      <c r="E452" s="218">
        <f t="shared" si="201"/>
        <v>-10382.515156185884</v>
      </c>
      <c r="F452" s="218">
        <f t="shared" si="202"/>
        <v>-13831.819536486613</v>
      </c>
      <c r="G452" s="218">
        <f t="shared" si="190"/>
        <v>-59.43834317922591</v>
      </c>
      <c r="H452" s="218">
        <f t="shared" si="191"/>
        <v>-45.480178542001376</v>
      </c>
      <c r="I452" s="218">
        <f t="shared" si="192"/>
        <v>-697.79105205002384</v>
      </c>
      <c r="J452" s="1880">
        <f t="shared" si="193"/>
        <v>-253.38497454684352</v>
      </c>
      <c r="K452" s="218">
        <f t="shared" si="194"/>
        <v>-651.64029518685186</v>
      </c>
      <c r="L452" s="218">
        <f t="shared" si="195"/>
        <v>-7537.0188859362288</v>
      </c>
      <c r="M452" s="192">
        <f t="shared" si="203"/>
        <v>-989.34364008889145</v>
      </c>
      <c r="N452" s="1849">
        <v>73</v>
      </c>
      <c r="O452" s="211">
        <f>'Emission-Waste Transport Vehicl'!N43</f>
        <v>26.743861462032005</v>
      </c>
      <c r="P452" s="211">
        <f>'Emission-Waste Transport Vehicl'!O43</f>
        <v>38.906748676224005</v>
      </c>
      <c r="Q452" s="211">
        <f>'Emission-Waste Transport Vehicl'!P43</f>
        <v>14.879838937392002</v>
      </c>
      <c r="R452" s="211">
        <f>'Emission-Waste Transport Vehicl'!Q43</f>
        <v>11.556101329344001</v>
      </c>
      <c r="S452" s="211">
        <f>'Emission-Waste Transport Vehicl'!R43</f>
        <v>1.1501762294880002</v>
      </c>
      <c r="T452" s="211">
        <f>'Emission-Waste Transport Vehicl'!S43</f>
        <v>5.2889993544960004E-2</v>
      </c>
      <c r="U452" s="1850">
        <f t="shared" si="204"/>
        <v>-72222.08572648908</v>
      </c>
      <c r="V452" s="1850">
        <f t="shared" si="196"/>
        <v>-1589.6108155179327</v>
      </c>
      <c r="W452" s="1850">
        <f t="shared" si="197"/>
        <v>-1769.4858762834435</v>
      </c>
      <c r="X452" s="1850">
        <f t="shared" si="198"/>
        <v>-10383.018466457674</v>
      </c>
      <c r="Y452" s="1850">
        <f t="shared" si="205"/>
        <v>-2928.1424411965741</v>
      </c>
      <c r="Z452" s="1850">
        <f t="shared" si="199"/>
        <v>-749.50117770046074</v>
      </c>
      <c r="AA452" s="1850">
        <f t="shared" si="200"/>
        <v>-398.63288022540877</v>
      </c>
      <c r="AB452" s="2733"/>
      <c r="AC452" s="3015"/>
    </row>
    <row r="453" spans="1:29" ht="18.75" x14ac:dyDescent="0.3">
      <c r="A453" s="3012"/>
      <c r="B453" s="2303"/>
      <c r="C453" s="1849">
        <v>2030</v>
      </c>
      <c r="D453" s="218">
        <f t="shared" si="189"/>
        <v>-965129.30539621902</v>
      </c>
      <c r="E453" s="218">
        <f t="shared" si="201"/>
        <v>-10382.515156185884</v>
      </c>
      <c r="F453" s="218">
        <f t="shared" si="202"/>
        <v>-13831.819536486613</v>
      </c>
      <c r="G453" s="218">
        <f t="shared" si="190"/>
        <v>-59.43834317922591</v>
      </c>
      <c r="H453" s="218">
        <f t="shared" si="191"/>
        <v>-45.480178542001376</v>
      </c>
      <c r="I453" s="218">
        <f t="shared" si="192"/>
        <v>-697.79105205002384</v>
      </c>
      <c r="J453" s="1880">
        <f t="shared" si="193"/>
        <v>-253.38497454684352</v>
      </c>
      <c r="K453" s="218">
        <f t="shared" si="194"/>
        <v>-651.64029518685186</v>
      </c>
      <c r="L453" s="218">
        <f t="shared" si="195"/>
        <v>-7537.0188859362288</v>
      </c>
      <c r="M453" s="192">
        <f t="shared" si="203"/>
        <v>-989.34364008889145</v>
      </c>
      <c r="N453" s="1849">
        <v>75</v>
      </c>
      <c r="O453" s="211">
        <f>'Emission-Waste Transport Vehicl'!N44</f>
        <v>26.222220862992003</v>
      </c>
      <c r="P453" s="211">
        <f>'Emission-Waste Transport Vehicl'!O44</f>
        <v>38.147870242944002</v>
      </c>
      <c r="Q453" s="211">
        <f>'Emission-Waste Transport Vehicl'!P44</f>
        <v>14.589606799152003</v>
      </c>
      <c r="R453" s="211">
        <f>'Emission-Waste Transport Vehicl'!Q44</f>
        <v>11.330698889664001</v>
      </c>
      <c r="S453" s="211">
        <f>'Emission-Waste Transport Vehicl'!R44</f>
        <v>1.1277419741280001</v>
      </c>
      <c r="T453" s="211">
        <f>'Emission-Waste Transport Vehicl'!S44</f>
        <v>5.1858371093760007E-2</v>
      </c>
      <c r="U453" s="1850">
        <f t="shared" si="204"/>
        <v>-74200.773006666859</v>
      </c>
      <c r="V453" s="1850">
        <f t="shared" si="196"/>
        <v>-1558.6053625759762</v>
      </c>
      <c r="W453" s="1850">
        <f t="shared" si="197"/>
        <v>-1734.9719496461946</v>
      </c>
      <c r="X453" s="1850">
        <f t="shared" si="198"/>
        <v>-10180.497077376456</v>
      </c>
      <c r="Y453" s="1850">
        <f t="shared" si="205"/>
        <v>-2871.0288497554611</v>
      </c>
      <c r="Z453" s="1850">
        <f t="shared" si="199"/>
        <v>-734.88211291537311</v>
      </c>
      <c r="AA453" s="1850">
        <f t="shared" si="200"/>
        <v>-390.85752232755857</v>
      </c>
      <c r="AB453" s="2733"/>
      <c r="AC453" s="3015"/>
    </row>
    <row r="454" spans="1:29" ht="18.75" x14ac:dyDescent="0.3">
      <c r="A454" s="3012"/>
      <c r="B454" s="2303"/>
      <c r="C454" s="1849">
        <v>2031</v>
      </c>
      <c r="D454" s="218">
        <f t="shared" si="189"/>
        <v>-965129.30539621902</v>
      </c>
      <c r="E454" s="218">
        <f t="shared" si="201"/>
        <v>-10382.515156185884</v>
      </c>
      <c r="F454" s="218">
        <f t="shared" si="202"/>
        <v>-13831.819536486613</v>
      </c>
      <c r="G454" s="218">
        <f t="shared" si="190"/>
        <v>-59.43834317922591</v>
      </c>
      <c r="H454" s="218">
        <f t="shared" si="191"/>
        <v>-45.480178542001376</v>
      </c>
      <c r="I454" s="218">
        <f t="shared" si="192"/>
        <v>-697.79105205002384</v>
      </c>
      <c r="J454" s="1880">
        <f t="shared" si="193"/>
        <v>-253.38497454684352</v>
      </c>
      <c r="K454" s="218">
        <f t="shared" si="194"/>
        <v>-651.64029518685186</v>
      </c>
      <c r="L454" s="218">
        <f t="shared" si="195"/>
        <v>-7537.0188859362288</v>
      </c>
      <c r="M454" s="192">
        <f t="shared" si="203"/>
        <v>-989.34364008889145</v>
      </c>
      <c r="N454" s="1849">
        <v>76</v>
      </c>
      <c r="O454" s="211">
        <f>'Emission-Waste Transport Vehicl'!N45</f>
        <v>25.70710077144</v>
      </c>
      <c r="P454" s="211">
        <f>'Emission-Waste Transport Vehicl'!O45</f>
        <v>37.398477790080001</v>
      </c>
      <c r="Q454" s="211">
        <f>'Emission-Waste Transport Vehicl'!P45</f>
        <v>14.303002562640001</v>
      </c>
      <c r="R454" s="211">
        <f>'Emission-Waste Transport Vehicl'!Q45</f>
        <v>11.108113980480001</v>
      </c>
      <c r="S454" s="211">
        <f>'Emission-Waste Transport Vehicl'!R45</f>
        <v>1.1055881469600002</v>
      </c>
      <c r="T454" s="211">
        <f>'Emission-Waste Transport Vehicl'!S45</f>
        <v>5.0839643923200006E-2</v>
      </c>
      <c r="U454" s="1850">
        <f t="shared" si="204"/>
        <v>-75190.116646755749</v>
      </c>
      <c r="V454" s="1850">
        <f t="shared" si="196"/>
        <v>-1527.9874777957939</v>
      </c>
      <c r="W454" s="1850">
        <f t="shared" si="197"/>
        <v>-1700.8894470919115</v>
      </c>
      <c r="X454" s="1850">
        <f t="shared" si="198"/>
        <v>-9980.5072056587542</v>
      </c>
      <c r="Y454" s="1850">
        <f t="shared" si="205"/>
        <v>-2814.6291782073617</v>
      </c>
      <c r="Z454" s="1850">
        <f t="shared" si="199"/>
        <v>-720.44578644009903</v>
      </c>
      <c r="AA454" s="1850">
        <f t="shared" si="200"/>
        <v>-383.17935640343148</v>
      </c>
      <c r="AB454" s="2733"/>
      <c r="AC454" s="3015"/>
    </row>
    <row r="455" spans="1:29" ht="18.75" x14ac:dyDescent="0.3">
      <c r="A455" s="3012"/>
      <c r="B455" s="2303"/>
      <c r="C455" s="1849">
        <v>2032</v>
      </c>
      <c r="D455" s="218">
        <f t="shared" si="189"/>
        <v>-965129.30539621902</v>
      </c>
      <c r="E455" s="218">
        <f t="shared" si="201"/>
        <v>-10382.515156185884</v>
      </c>
      <c r="F455" s="218">
        <f t="shared" si="202"/>
        <v>-13831.819536486613</v>
      </c>
      <c r="G455" s="218">
        <f t="shared" si="190"/>
        <v>-59.43834317922591</v>
      </c>
      <c r="H455" s="218">
        <f t="shared" si="191"/>
        <v>-45.480178542001376</v>
      </c>
      <c r="I455" s="218">
        <f t="shared" si="192"/>
        <v>-697.79105205002384</v>
      </c>
      <c r="J455" s="1880">
        <f t="shared" si="193"/>
        <v>-253.38497454684352</v>
      </c>
      <c r="K455" s="218">
        <f t="shared" si="194"/>
        <v>-651.64029518685186</v>
      </c>
      <c r="L455" s="218">
        <f t="shared" si="195"/>
        <v>-7537.0188859362288</v>
      </c>
      <c r="M455" s="192">
        <f t="shared" si="203"/>
        <v>-989.34364008889145</v>
      </c>
      <c r="N455" s="1849">
        <v>77</v>
      </c>
      <c r="O455" s="211">
        <f>'Emission-Waste Transport Vehicl'!N46</f>
        <v>25.201761441120002</v>
      </c>
      <c r="P455" s="211">
        <f>'Emission-Waste Transport Vehicl'!O46</f>
        <v>36.663314307840004</v>
      </c>
      <c r="Q455" s="211">
        <f>'Emission-Waste Transport Vehicl'!P46</f>
        <v>14.021840178720002</v>
      </c>
      <c r="R455" s="211">
        <f>'Emission-Waste Transport Vehicl'!Q46</f>
        <v>10.889755367040001</v>
      </c>
      <c r="S455" s="211">
        <f>'Emission-Waste Transport Vehicl'!R46</f>
        <v>1.0838549620800002</v>
      </c>
      <c r="T455" s="211">
        <f>'Emission-Waste Transport Vehicl'!S46</f>
        <v>4.9840259673600007E-2</v>
      </c>
      <c r="U455" s="1850">
        <f t="shared" si="204"/>
        <v>-76179.460286844638</v>
      </c>
      <c r="V455" s="1850">
        <f t="shared" si="196"/>
        <v>-1497.9509452582736</v>
      </c>
      <c r="W455" s="1850">
        <f t="shared" si="197"/>
        <v>-1667.4540806620769</v>
      </c>
      <c r="X455" s="1850">
        <f t="shared" si="198"/>
        <v>-9784.3146099863243</v>
      </c>
      <c r="Y455" s="1850">
        <f t="shared" si="205"/>
        <v>-2759.3003864987832</v>
      </c>
      <c r="Z455" s="1850">
        <f t="shared" si="199"/>
        <v>-706.28356742954543</v>
      </c>
      <c r="AA455" s="1850">
        <f t="shared" si="200"/>
        <v>-375.6469784398891</v>
      </c>
      <c r="AB455" s="2733"/>
      <c r="AC455" s="3015"/>
    </row>
    <row r="456" spans="1:29" ht="18.75" x14ac:dyDescent="0.3">
      <c r="A456" s="3012"/>
      <c r="B456" s="2303"/>
      <c r="C456" s="1849">
        <v>2033</v>
      </c>
      <c r="D456" s="218">
        <f t="shared" si="189"/>
        <v>-965129.30539621902</v>
      </c>
      <c r="E456" s="218">
        <f t="shared" si="201"/>
        <v>-10382.515156185884</v>
      </c>
      <c r="F456" s="218">
        <f t="shared" si="202"/>
        <v>-13831.819536486613</v>
      </c>
      <c r="G456" s="218">
        <f t="shared" si="190"/>
        <v>-59.43834317922591</v>
      </c>
      <c r="H456" s="218">
        <f t="shared" si="191"/>
        <v>-45.480178542001376</v>
      </c>
      <c r="I456" s="218">
        <f t="shared" si="192"/>
        <v>-697.79105205002384</v>
      </c>
      <c r="J456" s="1880">
        <f t="shared" si="193"/>
        <v>-253.38497454684352</v>
      </c>
      <c r="K456" s="218">
        <f t="shared" si="194"/>
        <v>-651.64029518685186</v>
      </c>
      <c r="L456" s="218">
        <f t="shared" si="195"/>
        <v>-7537.0188859362288</v>
      </c>
      <c r="M456" s="192">
        <f t="shared" si="203"/>
        <v>-989.34364008889145</v>
      </c>
      <c r="N456" s="1849">
        <v>78</v>
      </c>
      <c r="O456" s="211">
        <f>'Emission-Waste Transport Vehicl'!N47</f>
        <v>24.709463125776001</v>
      </c>
      <c r="P456" s="211">
        <f>'Emission-Waste Transport Vehicl'!O47</f>
        <v>35.947122786432004</v>
      </c>
      <c r="Q456" s="211">
        <f>'Emission-Waste Transport Vehicl'!P47</f>
        <v>13.747933598256003</v>
      </c>
      <c r="R456" s="211">
        <f>'Emission-Waste Transport Vehicl'!Q47</f>
        <v>10.677031814592</v>
      </c>
      <c r="S456" s="211">
        <f>'Emission-Waste Transport Vehicl'!R47</f>
        <v>1.0626826335840001</v>
      </c>
      <c r="T456" s="211">
        <f>'Emission-Waste Transport Vehicl'!S47</f>
        <v>4.8866665985280007E-2</v>
      </c>
      <c r="U456" s="1850">
        <f t="shared" si="204"/>
        <v>-77168.803926933528</v>
      </c>
      <c r="V456" s="1850">
        <f t="shared" si="196"/>
        <v>-1468.6895490443021</v>
      </c>
      <c r="W456" s="1850">
        <f t="shared" si="197"/>
        <v>-1634.8815623981736</v>
      </c>
      <c r="X456" s="1850">
        <f t="shared" si="198"/>
        <v>-9593.1850490409252</v>
      </c>
      <c r="Y456" s="1850">
        <f t="shared" si="205"/>
        <v>-2705.3994345762326</v>
      </c>
      <c r="Z456" s="1850">
        <f t="shared" si="199"/>
        <v>-692.48682503861892</v>
      </c>
      <c r="AA456" s="1850">
        <f t="shared" si="200"/>
        <v>-368.30898442379294</v>
      </c>
      <c r="AB456" s="2733"/>
      <c r="AC456" s="3015"/>
    </row>
    <row r="457" spans="1:29" ht="18.75" x14ac:dyDescent="0.3">
      <c r="A457" s="3012"/>
      <c r="B457" s="2303"/>
      <c r="C457" s="1849">
        <v>2034</v>
      </c>
      <c r="D457" s="218">
        <f t="shared" si="189"/>
        <v>-965129.30539621902</v>
      </c>
      <c r="E457" s="218">
        <f t="shared" si="201"/>
        <v>-10382.515156185884</v>
      </c>
      <c r="F457" s="218">
        <f t="shared" si="202"/>
        <v>-13831.819536486613</v>
      </c>
      <c r="G457" s="218">
        <f t="shared" si="190"/>
        <v>-59.43834317922591</v>
      </c>
      <c r="H457" s="218">
        <f t="shared" si="191"/>
        <v>-45.480178542001376</v>
      </c>
      <c r="I457" s="218">
        <f t="shared" si="192"/>
        <v>-697.79105205002384</v>
      </c>
      <c r="J457" s="1880">
        <f t="shared" si="193"/>
        <v>-253.38497454684352</v>
      </c>
      <c r="K457" s="218">
        <f t="shared" si="194"/>
        <v>-651.64029518685186</v>
      </c>
      <c r="L457" s="218">
        <f t="shared" si="195"/>
        <v>-7537.0188859362288</v>
      </c>
      <c r="M457" s="192">
        <f t="shared" si="203"/>
        <v>-989.34364008889145</v>
      </c>
      <c r="N457" s="1849">
        <v>79</v>
      </c>
      <c r="O457" s="211">
        <f>'Emission-Waste Transport Vehicl'!N48</f>
        <v>24.223685317920005</v>
      </c>
      <c r="P457" s="211">
        <f>'Emission-Waste Transport Vehicl'!O48</f>
        <v>35.24041724544</v>
      </c>
      <c r="Q457" s="211">
        <f>'Emission-Waste Transport Vehicl'!P48</f>
        <v>13.477654919520001</v>
      </c>
      <c r="R457" s="211">
        <f>'Emission-Waste Transport Vehicl'!Q48</f>
        <v>10.467125792640001</v>
      </c>
      <c r="S457" s="211">
        <f>'Emission-Waste Transport Vehicl'!R48</f>
        <v>1.04179073328</v>
      </c>
      <c r="T457" s="211">
        <f>'Emission-Waste Transport Vehicl'!S48</f>
        <v>4.7905967577600003E-2</v>
      </c>
      <c r="U457" s="1850">
        <f t="shared" si="204"/>
        <v>-78158.147567022417</v>
      </c>
      <c r="V457" s="1850">
        <f t="shared" si="196"/>
        <v>-1439.8157209921053</v>
      </c>
      <c r="W457" s="1850">
        <f t="shared" si="197"/>
        <v>-1602.7404682172355</v>
      </c>
      <c r="X457" s="1850">
        <f t="shared" si="198"/>
        <v>-9404.5870054590414</v>
      </c>
      <c r="Y457" s="1850">
        <f t="shared" si="205"/>
        <v>-2652.212402546696</v>
      </c>
      <c r="Z457" s="1850">
        <f t="shared" si="199"/>
        <v>-678.87282095750606</v>
      </c>
      <c r="AA457" s="1850">
        <f t="shared" si="200"/>
        <v>-361.06818238141989</v>
      </c>
      <c r="AB457" s="2733"/>
      <c r="AC457" s="3015"/>
    </row>
    <row r="458" spans="1:29" ht="18.75" x14ac:dyDescent="0.3">
      <c r="A458" s="3012"/>
      <c r="B458" s="2303"/>
      <c r="C458" s="1849">
        <v>2035</v>
      </c>
      <c r="D458" s="218">
        <f t="shared" si="189"/>
        <v>-965129.30539621902</v>
      </c>
      <c r="E458" s="218">
        <f t="shared" si="201"/>
        <v>-10382.515156185884</v>
      </c>
      <c r="F458" s="218">
        <f t="shared" si="202"/>
        <v>-13831.819536486613</v>
      </c>
      <c r="G458" s="218">
        <f t="shared" si="190"/>
        <v>-59.43834317922591</v>
      </c>
      <c r="H458" s="218">
        <f t="shared" si="191"/>
        <v>-45.480178542001376</v>
      </c>
      <c r="I458" s="218">
        <f t="shared" si="192"/>
        <v>-697.79105205002384</v>
      </c>
      <c r="J458" s="1880">
        <f t="shared" si="193"/>
        <v>-253.38497454684352</v>
      </c>
      <c r="K458" s="218">
        <f t="shared" si="194"/>
        <v>-651.64029518685186</v>
      </c>
      <c r="L458" s="218">
        <f t="shared" si="195"/>
        <v>-7537.0188859362288</v>
      </c>
      <c r="M458" s="192">
        <f t="shared" si="203"/>
        <v>-989.34364008889145</v>
      </c>
      <c r="N458" s="1849">
        <v>80</v>
      </c>
      <c r="O458" s="211">
        <f>'Emission-Waste Transport Vehicl'!N49</f>
        <v>23.747688271296006</v>
      </c>
      <c r="P458" s="211">
        <f>'Emission-Waste Transport Vehicl'!O49</f>
        <v>34.547940675072006</v>
      </c>
      <c r="Q458" s="211">
        <f>'Emission-Waste Transport Vehicl'!P49</f>
        <v>13.212818093376002</v>
      </c>
      <c r="R458" s="211">
        <f>'Emission-Waste Transport Vehicl'!Q49</f>
        <v>10.261446066432002</v>
      </c>
      <c r="S458" s="211">
        <f>'Emission-Waste Transport Vehicl'!R49</f>
        <v>1.0213194752640002</v>
      </c>
      <c r="T458" s="211">
        <f>'Emission-Waste Transport Vehicl'!S49</f>
        <v>4.6964612090880008E-2</v>
      </c>
      <c r="U458" s="1850">
        <f t="shared" si="204"/>
        <v>-79147.491207111321</v>
      </c>
      <c r="V458" s="1850">
        <f t="shared" si="196"/>
        <v>-1411.52324518257</v>
      </c>
      <c r="W458" s="1850">
        <f t="shared" si="197"/>
        <v>-1571.2465101607463</v>
      </c>
      <c r="X458" s="1850">
        <f t="shared" si="198"/>
        <v>-9219.7862379224316</v>
      </c>
      <c r="Y458" s="1850">
        <f t="shared" si="205"/>
        <v>-2600.0962503566807</v>
      </c>
      <c r="Z458" s="1850">
        <f t="shared" si="199"/>
        <v>-665.53292434111381</v>
      </c>
      <c r="AA458" s="1850">
        <f t="shared" si="200"/>
        <v>-353.9731682996316</v>
      </c>
      <c r="AB458" s="2733"/>
      <c r="AC458" s="3015"/>
    </row>
    <row r="459" spans="1:29" ht="18.75" x14ac:dyDescent="0.3">
      <c r="A459" s="3012"/>
      <c r="B459" s="2303"/>
      <c r="C459" s="1849">
        <v>2036</v>
      </c>
      <c r="D459" s="218">
        <f t="shared" si="189"/>
        <v>-965129.30539621902</v>
      </c>
      <c r="E459" s="218">
        <f t="shared" si="201"/>
        <v>-10382.515156185884</v>
      </c>
      <c r="F459" s="218">
        <f t="shared" si="202"/>
        <v>-13831.819536486613</v>
      </c>
      <c r="G459" s="218">
        <f t="shared" si="190"/>
        <v>-59.43834317922591</v>
      </c>
      <c r="H459" s="218">
        <f t="shared" si="191"/>
        <v>-45.480178542001376</v>
      </c>
      <c r="I459" s="218">
        <f t="shared" si="192"/>
        <v>-697.79105205002384</v>
      </c>
      <c r="J459" s="1880">
        <f t="shared" si="193"/>
        <v>-253.38497454684352</v>
      </c>
      <c r="K459" s="218">
        <f t="shared" si="194"/>
        <v>-651.64029518685186</v>
      </c>
      <c r="L459" s="218">
        <f t="shared" si="195"/>
        <v>-7537.0188859362288</v>
      </c>
      <c r="M459" s="192">
        <f t="shared" si="203"/>
        <v>-989.34364008889145</v>
      </c>
      <c r="N459" s="1849">
        <v>81</v>
      </c>
      <c r="O459" s="211">
        <f>'Emission-Waste Transport Vehicl'!N50</f>
        <v>23.284732239648001</v>
      </c>
      <c r="P459" s="211">
        <f>'Emission-Waste Transport Vehicl'!O50</f>
        <v>33.874436065536003</v>
      </c>
      <c r="Q459" s="211">
        <f>'Emission-Waste Transport Vehicl'!P50</f>
        <v>12.955237070688</v>
      </c>
      <c r="R459" s="211">
        <f>'Emission-Waste Transport Vehicl'!Q50</f>
        <v>10.061401401215999</v>
      </c>
      <c r="S459" s="211">
        <f>'Emission-Waste Transport Vehicl'!R50</f>
        <v>1.001409073632</v>
      </c>
      <c r="T459" s="211">
        <f>'Emission-Waste Transport Vehicl'!S50</f>
        <v>4.6049047165439998E-2</v>
      </c>
      <c r="U459" s="1850">
        <f t="shared" si="204"/>
        <v>-80136.834847200211</v>
      </c>
      <c r="V459" s="1850">
        <f t="shared" si="196"/>
        <v>-1384.0059056965833</v>
      </c>
      <c r="W459" s="1850">
        <f t="shared" si="197"/>
        <v>-1540.615400270188</v>
      </c>
      <c r="X459" s="1850">
        <f t="shared" si="198"/>
        <v>-9040.0485051128489</v>
      </c>
      <c r="Y459" s="1850">
        <f t="shared" si="205"/>
        <v>-2549.4079379526916</v>
      </c>
      <c r="Z459" s="1850">
        <f t="shared" si="199"/>
        <v>-652.55850434434842</v>
      </c>
      <c r="AA459" s="1850">
        <f t="shared" si="200"/>
        <v>-347.07253816528942</v>
      </c>
      <c r="AB459" s="2733"/>
      <c r="AC459" s="3015"/>
    </row>
    <row r="460" spans="1:29" ht="18.75" x14ac:dyDescent="0.3">
      <c r="A460" s="3012"/>
      <c r="B460" s="2303"/>
      <c r="C460" s="1849">
        <v>2037</v>
      </c>
      <c r="D460" s="218">
        <f t="shared" si="189"/>
        <v>-965129.30539621902</v>
      </c>
      <c r="E460" s="218">
        <f t="shared" si="201"/>
        <v>-10382.515156185884</v>
      </c>
      <c r="F460" s="218">
        <f t="shared" si="202"/>
        <v>-13831.819536486613</v>
      </c>
      <c r="G460" s="218">
        <f t="shared" si="190"/>
        <v>-59.43834317922591</v>
      </c>
      <c r="H460" s="218">
        <f t="shared" si="191"/>
        <v>-45.480178542001376</v>
      </c>
      <c r="I460" s="218">
        <f t="shared" si="192"/>
        <v>-697.79105205002384</v>
      </c>
      <c r="J460" s="1880">
        <f t="shared" si="193"/>
        <v>-253.38497454684352</v>
      </c>
      <c r="K460" s="218">
        <f t="shared" si="194"/>
        <v>-651.64029518685186</v>
      </c>
      <c r="L460" s="218">
        <f t="shared" si="195"/>
        <v>-7537.0188859362288</v>
      </c>
      <c r="M460" s="192">
        <f t="shared" si="203"/>
        <v>-989.34364008889145</v>
      </c>
      <c r="N460" s="1849">
        <v>83</v>
      </c>
      <c r="O460" s="211">
        <f>'Emission-Waste Transport Vehicl'!N51</f>
        <v>22.828296715488005</v>
      </c>
      <c r="P460" s="211">
        <f>'Emission-Waste Transport Vehicl'!O51</f>
        <v>33.210417436416002</v>
      </c>
      <c r="Q460" s="211">
        <f>'Emission-Waste Transport Vehicl'!P51</f>
        <v>12.701283949728003</v>
      </c>
      <c r="R460" s="211">
        <f>'Emission-Waste Transport Vehicl'!Q51</f>
        <v>9.8641742664960006</v>
      </c>
      <c r="S460" s="211">
        <f>'Emission-Waste Transport Vehicl'!R51</f>
        <v>0.9817791001920001</v>
      </c>
      <c r="T460" s="211">
        <f>'Emission-Waste Transport Vehicl'!S51</f>
        <v>4.5146377520640005E-2</v>
      </c>
      <c r="U460" s="1850">
        <f t="shared" si="204"/>
        <v>-82115.52212737799</v>
      </c>
      <c r="V460" s="1850">
        <f t="shared" si="196"/>
        <v>-1356.8761343723718</v>
      </c>
      <c r="W460" s="1850">
        <f t="shared" si="197"/>
        <v>-1510.4157144625954</v>
      </c>
      <c r="X460" s="1850">
        <f t="shared" si="198"/>
        <v>-8862.8422896667853</v>
      </c>
      <c r="Y460" s="1850">
        <f t="shared" si="205"/>
        <v>-2499.4335454417178</v>
      </c>
      <c r="Z460" s="1850">
        <f t="shared" si="199"/>
        <v>-639.7668226573968</v>
      </c>
      <c r="AA460" s="1850">
        <f t="shared" si="200"/>
        <v>-340.26910000467052</v>
      </c>
      <c r="AB460" s="2733"/>
      <c r="AC460" s="3015"/>
    </row>
    <row r="461" spans="1:29" ht="18.75" x14ac:dyDescent="0.3">
      <c r="A461" s="3012"/>
      <c r="B461" s="2303"/>
      <c r="C461" s="1849">
        <v>2038</v>
      </c>
      <c r="D461" s="218">
        <f t="shared" si="189"/>
        <v>-965129.30539621902</v>
      </c>
      <c r="E461" s="218">
        <f t="shared" si="201"/>
        <v>-10382.515156185884</v>
      </c>
      <c r="F461" s="218">
        <f t="shared" si="202"/>
        <v>-13831.819536486613</v>
      </c>
      <c r="G461" s="218">
        <f t="shared" si="190"/>
        <v>-59.43834317922591</v>
      </c>
      <c r="H461" s="218">
        <f t="shared" si="191"/>
        <v>-45.480178542001376</v>
      </c>
      <c r="I461" s="218">
        <f t="shared" si="192"/>
        <v>-697.79105205002384</v>
      </c>
      <c r="J461" s="1880">
        <f t="shared" si="193"/>
        <v>-253.38497454684352</v>
      </c>
      <c r="K461" s="218">
        <f t="shared" si="194"/>
        <v>-651.64029518685186</v>
      </c>
      <c r="L461" s="218">
        <f t="shared" si="195"/>
        <v>-7537.0188859362288</v>
      </c>
      <c r="M461" s="192">
        <f t="shared" si="203"/>
        <v>-989.34364008889145</v>
      </c>
      <c r="N461" s="1849">
        <v>84</v>
      </c>
      <c r="O461" s="211">
        <f>'Emission-Waste Transport Vehicl'!N52</f>
        <v>22.378381698816003</v>
      </c>
      <c r="P461" s="211">
        <f>'Emission-Waste Transport Vehicl'!O52</f>
        <v>32.555884787712003</v>
      </c>
      <c r="Q461" s="211">
        <f>'Emission-Waste Transport Vehicl'!P52</f>
        <v>12.450958730496001</v>
      </c>
      <c r="R461" s="211">
        <f>'Emission-Waste Transport Vehicl'!Q52</f>
        <v>9.6697646622720015</v>
      </c>
      <c r="S461" s="211">
        <f>'Emission-Waste Transport Vehicl'!R52</f>
        <v>0.96242955494400007</v>
      </c>
      <c r="T461" s="211">
        <f>'Emission-Waste Transport Vehicl'!S52</f>
        <v>4.4256603156480001E-2</v>
      </c>
      <c r="U461" s="1850">
        <f t="shared" si="204"/>
        <v>-83104.865767466879</v>
      </c>
      <c r="V461" s="1850">
        <f t="shared" si="196"/>
        <v>-1330.1339312099342</v>
      </c>
      <c r="W461" s="1850">
        <f t="shared" si="197"/>
        <v>-1480.6474527379685</v>
      </c>
      <c r="X461" s="1850">
        <f t="shared" si="198"/>
        <v>-8688.1675915842334</v>
      </c>
      <c r="Y461" s="1850">
        <f t="shared" si="205"/>
        <v>-2450.173072823758</v>
      </c>
      <c r="Z461" s="1850">
        <f t="shared" si="199"/>
        <v>-627.15787928025861</v>
      </c>
      <c r="AA461" s="1850">
        <f t="shared" si="200"/>
        <v>-333.56285381777468</v>
      </c>
      <c r="AB461" s="2733"/>
      <c r="AC461" s="3015"/>
    </row>
    <row r="462" spans="1:29" ht="18.75" x14ac:dyDescent="0.3">
      <c r="A462" s="3012"/>
      <c r="B462" s="2303"/>
      <c r="C462" s="1849">
        <v>2039</v>
      </c>
      <c r="D462" s="218">
        <f t="shared" si="189"/>
        <v>-965129.30539621902</v>
      </c>
      <c r="E462" s="218">
        <f t="shared" si="201"/>
        <v>-10382.515156185884</v>
      </c>
      <c r="F462" s="218">
        <f t="shared" si="202"/>
        <v>-13831.819536486613</v>
      </c>
      <c r="G462" s="218">
        <f t="shared" si="190"/>
        <v>-59.43834317922591</v>
      </c>
      <c r="H462" s="218">
        <f t="shared" si="191"/>
        <v>-45.480178542001376</v>
      </c>
      <c r="I462" s="218">
        <f t="shared" si="192"/>
        <v>-697.79105205002384</v>
      </c>
      <c r="J462" s="1880">
        <f t="shared" si="193"/>
        <v>-253.38497454684352</v>
      </c>
      <c r="K462" s="218">
        <f t="shared" si="194"/>
        <v>-651.64029518685186</v>
      </c>
      <c r="L462" s="218">
        <f t="shared" si="195"/>
        <v>-7537.0188859362288</v>
      </c>
      <c r="M462" s="192">
        <f t="shared" si="203"/>
        <v>-989.34364008889145</v>
      </c>
      <c r="N462" s="1849">
        <v>85</v>
      </c>
      <c r="O462" s="211">
        <f>'Emission-Waste Transport Vehicl'!N53</f>
        <v>21.941507697120006</v>
      </c>
      <c r="P462" s="211">
        <f>'Emission-Waste Transport Vehicl'!O53</f>
        <v>31.920324099840006</v>
      </c>
      <c r="Q462" s="211">
        <f>'Emission-Waste Transport Vehicl'!P53</f>
        <v>12.207889314720003</v>
      </c>
      <c r="R462" s="211">
        <f>'Emission-Waste Transport Vehicl'!Q53</f>
        <v>9.4809901190400012</v>
      </c>
      <c r="S462" s="211">
        <f>'Emission-Waste Transport Vehicl'!R53</f>
        <v>0.9436408660800002</v>
      </c>
      <c r="T462" s="211">
        <f>'Emission-Waste Transport Vehicl'!S53</f>
        <v>4.3392619353600011E-2</v>
      </c>
      <c r="U462" s="1850">
        <f t="shared" si="204"/>
        <v>-84094.209407555769</v>
      </c>
      <c r="V462" s="1850">
        <f t="shared" si="196"/>
        <v>-1304.1668643710457</v>
      </c>
      <c r="W462" s="1850">
        <f t="shared" si="197"/>
        <v>-1451.7420391792728</v>
      </c>
      <c r="X462" s="1850">
        <f t="shared" si="198"/>
        <v>-8518.5559282287159</v>
      </c>
      <c r="Y462" s="1850">
        <f t="shared" si="205"/>
        <v>-2402.3404399918259</v>
      </c>
      <c r="Z462" s="1850">
        <f t="shared" si="199"/>
        <v>-614.91441252274785</v>
      </c>
      <c r="AA462" s="1850">
        <f t="shared" si="200"/>
        <v>-327.05099157832518</v>
      </c>
      <c r="AB462" s="2733"/>
      <c r="AC462" s="3015"/>
    </row>
    <row r="463" spans="1:29" ht="18.75" x14ac:dyDescent="0.3">
      <c r="A463" s="3012"/>
      <c r="B463" s="2303"/>
      <c r="C463" s="1849">
        <v>2040</v>
      </c>
      <c r="D463" s="218">
        <f t="shared" si="189"/>
        <v>-965129.30539621902</v>
      </c>
      <c r="E463" s="218">
        <f t="shared" si="201"/>
        <v>-10382.515156185884</v>
      </c>
      <c r="F463" s="218">
        <f t="shared" si="202"/>
        <v>-13831.819536486613</v>
      </c>
      <c r="G463" s="218">
        <f t="shared" si="190"/>
        <v>-59.43834317922591</v>
      </c>
      <c r="H463" s="218">
        <f t="shared" si="191"/>
        <v>-45.480178542001376</v>
      </c>
      <c r="I463" s="218">
        <f t="shared" si="192"/>
        <v>-697.79105205002384</v>
      </c>
      <c r="J463" s="1880">
        <f t="shared" si="193"/>
        <v>-253.38497454684352</v>
      </c>
      <c r="K463" s="218">
        <f t="shared" si="194"/>
        <v>-651.64029518685186</v>
      </c>
      <c r="L463" s="218">
        <f t="shared" si="195"/>
        <v>-7537.0188859362288</v>
      </c>
      <c r="M463" s="192">
        <f t="shared" si="203"/>
        <v>-989.34364008889145</v>
      </c>
      <c r="N463" s="1849">
        <v>86</v>
      </c>
      <c r="O463" s="211">
        <f>'Emission-Waste Transport Vehicl'!N54</f>
        <v>21.511154202912003</v>
      </c>
      <c r="P463" s="211">
        <f>'Emission-Waste Transport Vehicl'!O54</f>
        <v>31.294249392384003</v>
      </c>
      <c r="Q463" s="211">
        <f>'Emission-Waste Transport Vehicl'!P54</f>
        <v>11.968447800672001</v>
      </c>
      <c r="R463" s="211">
        <f>'Emission-Waste Transport Vehicl'!Q54</f>
        <v>9.2950331063040004</v>
      </c>
      <c r="S463" s="211">
        <f>'Emission-Waste Transport Vehicl'!R54</f>
        <v>0.92513260540800013</v>
      </c>
      <c r="T463" s="211">
        <f>'Emission-Waste Transport Vehicl'!S54</f>
        <v>4.254153083136001E-2</v>
      </c>
      <c r="U463" s="1850">
        <f t="shared" si="204"/>
        <v>-85083.553047644658</v>
      </c>
      <c r="V463" s="1850">
        <f t="shared" si="196"/>
        <v>-1278.5873656939314</v>
      </c>
      <c r="W463" s="1850">
        <f t="shared" si="197"/>
        <v>-1423.2680497035426</v>
      </c>
      <c r="X463" s="1850">
        <f t="shared" si="198"/>
        <v>-8351.4757822367101</v>
      </c>
      <c r="Y463" s="1850">
        <f t="shared" si="205"/>
        <v>-2355.2217270529072</v>
      </c>
      <c r="Z463" s="1850">
        <f t="shared" si="199"/>
        <v>-602.85368407505052</v>
      </c>
      <c r="AA463" s="1850">
        <f t="shared" si="200"/>
        <v>-320.63632131259874</v>
      </c>
      <c r="AB463" s="2733"/>
      <c r="AC463" s="3015"/>
    </row>
    <row r="464" spans="1:29" ht="18.75" x14ac:dyDescent="0.3">
      <c r="A464" s="3012"/>
      <c r="B464" s="2303"/>
      <c r="C464" s="1849">
        <v>2041</v>
      </c>
      <c r="D464" s="218">
        <f t="shared" si="189"/>
        <v>-965129.30539621902</v>
      </c>
      <c r="E464" s="218">
        <f t="shared" si="201"/>
        <v>-10382.515156185884</v>
      </c>
      <c r="F464" s="218">
        <f t="shared" si="202"/>
        <v>-13831.819536486613</v>
      </c>
      <c r="G464" s="218">
        <f t="shared" si="190"/>
        <v>-59.43834317922591</v>
      </c>
      <c r="H464" s="218">
        <f t="shared" si="191"/>
        <v>-45.480178542001376</v>
      </c>
      <c r="I464" s="218">
        <f t="shared" si="192"/>
        <v>-697.79105205002384</v>
      </c>
      <c r="J464" s="1880">
        <f t="shared" si="193"/>
        <v>-253.38497454684352</v>
      </c>
      <c r="K464" s="218">
        <f t="shared" si="194"/>
        <v>-651.64029518685186</v>
      </c>
      <c r="L464" s="218">
        <f t="shared" si="195"/>
        <v>-7537.0188859362288</v>
      </c>
      <c r="M464" s="192">
        <f t="shared" si="203"/>
        <v>-989.34364008889145</v>
      </c>
      <c r="N464" s="1849">
        <v>87</v>
      </c>
      <c r="O464" s="211">
        <f>'Emission-Waste Transport Vehicl'!N55</f>
        <v>21.087321216192002</v>
      </c>
      <c r="P464" s="211">
        <f>'Emission-Waste Transport Vehicl'!O55</f>
        <v>30.677660665344007</v>
      </c>
      <c r="Q464" s="211">
        <f>'Emission-Waste Transport Vehicl'!P55</f>
        <v>11.732634188352002</v>
      </c>
      <c r="R464" s="211">
        <f>'Emission-Waste Transport Vehicl'!Q55</f>
        <v>9.1118936240640007</v>
      </c>
      <c r="S464" s="211">
        <f>'Emission-Waste Transport Vehicl'!R55</f>
        <v>0.9069047729280002</v>
      </c>
      <c r="T464" s="211">
        <f>'Emission-Waste Transport Vehicl'!S55</f>
        <v>4.1703337589760005E-2</v>
      </c>
      <c r="U464" s="1850">
        <f t="shared" si="204"/>
        <v>-86072.896687733562</v>
      </c>
      <c r="V464" s="1850">
        <f t="shared" si="196"/>
        <v>-1253.3954351785917</v>
      </c>
      <c r="W464" s="1850">
        <f t="shared" si="197"/>
        <v>-1395.2254843107783</v>
      </c>
      <c r="X464" s="1850">
        <f t="shared" si="198"/>
        <v>-8186.9271536082206</v>
      </c>
      <c r="Y464" s="1850">
        <f t="shared" si="205"/>
        <v>-2308.8169340070026</v>
      </c>
      <c r="Z464" s="1850">
        <f t="shared" si="199"/>
        <v>-590.97569393716685</v>
      </c>
      <c r="AA464" s="1850">
        <f t="shared" si="200"/>
        <v>-314.31884302059541</v>
      </c>
      <c r="AB464" s="2733"/>
      <c r="AC464" s="3015"/>
    </row>
    <row r="465" spans="1:29" ht="18.75" x14ac:dyDescent="0.3">
      <c r="A465" s="3012"/>
      <c r="B465" s="2303"/>
      <c r="C465" s="1849">
        <v>2042</v>
      </c>
      <c r="D465" s="218">
        <f t="shared" si="189"/>
        <v>-965129.30539621902</v>
      </c>
      <c r="E465" s="218">
        <f t="shared" si="201"/>
        <v>-10382.515156185884</v>
      </c>
      <c r="F465" s="218">
        <f t="shared" si="202"/>
        <v>-13831.819536486613</v>
      </c>
      <c r="G465" s="218">
        <f t="shared" si="190"/>
        <v>-59.43834317922591</v>
      </c>
      <c r="H465" s="218">
        <f t="shared" si="191"/>
        <v>-45.480178542001376</v>
      </c>
      <c r="I465" s="218">
        <f t="shared" si="192"/>
        <v>-697.79105205002384</v>
      </c>
      <c r="J465" s="1880">
        <f t="shared" si="193"/>
        <v>-253.38497454684352</v>
      </c>
      <c r="K465" s="218">
        <f t="shared" si="194"/>
        <v>-651.64029518685186</v>
      </c>
      <c r="L465" s="218">
        <f t="shared" si="195"/>
        <v>-7537.0188859362288</v>
      </c>
      <c r="M465" s="192">
        <f t="shared" si="203"/>
        <v>-989.34364008889145</v>
      </c>
      <c r="N465" s="1849">
        <v>88</v>
      </c>
      <c r="O465" s="211">
        <f>'Emission-Waste Transport Vehicl'!N56</f>
        <v>20.676529244448002</v>
      </c>
      <c r="P465" s="211">
        <f>'Emission-Waste Transport Vehicl'!O56</f>
        <v>30.080043899136001</v>
      </c>
      <c r="Q465" s="211">
        <f>'Emission-Waste Transport Vehicl'!P56</f>
        <v>11.504076379488001</v>
      </c>
      <c r="R465" s="211">
        <f>'Emission-Waste Transport Vehicl'!Q56</f>
        <v>8.9343892028159999</v>
      </c>
      <c r="S465" s="211">
        <f>'Emission-Waste Transport Vehicl'!R56</f>
        <v>0.8892377968320001</v>
      </c>
      <c r="T465" s="211">
        <f>'Emission-Waste Transport Vehicl'!S56</f>
        <v>4.0890934909439999E-2</v>
      </c>
      <c r="U465" s="1850">
        <f t="shared" si="204"/>
        <v>-87062.240327822452</v>
      </c>
      <c r="V465" s="1850">
        <f t="shared" si="196"/>
        <v>-1228.9786409868009</v>
      </c>
      <c r="W465" s="1850">
        <f t="shared" si="197"/>
        <v>-1368.0457670839446</v>
      </c>
      <c r="X465" s="1850">
        <f t="shared" si="198"/>
        <v>-8027.4415597067618</v>
      </c>
      <c r="Y465" s="1850">
        <f t="shared" si="205"/>
        <v>-2263.8399807471255</v>
      </c>
      <c r="Z465" s="1850">
        <f t="shared" si="199"/>
        <v>-579.46318041891038</v>
      </c>
      <c r="AA465" s="1850">
        <f t="shared" si="200"/>
        <v>-308.19574867603831</v>
      </c>
      <c r="AB465" s="2733"/>
      <c r="AC465" s="3015"/>
    </row>
    <row r="466" spans="1:29" ht="18.75" x14ac:dyDescent="0.3">
      <c r="A466" s="3012"/>
      <c r="B466" s="2303"/>
      <c r="C466" s="1849">
        <v>2043</v>
      </c>
      <c r="D466" s="218">
        <f t="shared" si="189"/>
        <v>-965129.30539621902</v>
      </c>
      <c r="E466" s="218">
        <f t="shared" si="201"/>
        <v>-10382.515156185884</v>
      </c>
      <c r="F466" s="218">
        <f t="shared" si="202"/>
        <v>-13831.819536486613</v>
      </c>
      <c r="G466" s="218">
        <f t="shared" si="190"/>
        <v>-59.43834317922591</v>
      </c>
      <c r="H466" s="218">
        <f t="shared" si="191"/>
        <v>-45.480178542001376</v>
      </c>
      <c r="I466" s="218">
        <f t="shared" si="192"/>
        <v>-697.79105205002384</v>
      </c>
      <c r="J466" s="1880">
        <f t="shared" si="193"/>
        <v>-253.38497454684352</v>
      </c>
      <c r="K466" s="218">
        <f t="shared" si="194"/>
        <v>-651.64029518685186</v>
      </c>
      <c r="L466" s="218">
        <f t="shared" si="195"/>
        <v>-7537.0188859362288</v>
      </c>
      <c r="M466" s="192">
        <f t="shared" si="203"/>
        <v>-989.34364008889145</v>
      </c>
      <c r="N466" s="1849">
        <v>89</v>
      </c>
      <c r="O466" s="211">
        <f>'Emission-Waste Transport Vehicl'!N57</f>
        <v>20.268997526448004</v>
      </c>
      <c r="P466" s="211">
        <f>'Emission-Waste Transport Vehicl'!O57</f>
        <v>29.487170123136003</v>
      </c>
      <c r="Q466" s="211">
        <f>'Emission-Waste Transport Vehicl'!P57</f>
        <v>11.277332521488001</v>
      </c>
      <c r="R466" s="211">
        <f>'Emission-Waste Transport Vehicl'!Q57</f>
        <v>8.7582935468160006</v>
      </c>
      <c r="S466" s="211">
        <f>'Emission-Waste Transport Vehicl'!R57</f>
        <v>0.87171103483200019</v>
      </c>
      <c r="T466" s="211">
        <f>'Emission-Waste Transport Vehicl'!S57</f>
        <v>4.0084979869440006E-2</v>
      </c>
      <c r="U466" s="1850">
        <f t="shared" si="204"/>
        <v>-88051.583967911341</v>
      </c>
      <c r="V466" s="1850">
        <f t="shared" si="196"/>
        <v>-1204.7556308758976</v>
      </c>
      <c r="W466" s="1850">
        <f t="shared" si="197"/>
        <v>-1341.0817618985941</v>
      </c>
      <c r="X466" s="1850">
        <f t="shared" si="198"/>
        <v>-7869.2217244870599</v>
      </c>
      <c r="Y466" s="1850">
        <f t="shared" si="205"/>
        <v>-2219.2199874337562</v>
      </c>
      <c r="Z466" s="1850">
        <f t="shared" si="199"/>
        <v>-568.04203605556074</v>
      </c>
      <c r="AA466" s="1850">
        <f t="shared" si="200"/>
        <v>-302.12125031834285</v>
      </c>
      <c r="AB466" s="2733"/>
      <c r="AC466" s="3015"/>
    </row>
    <row r="467" spans="1:29" ht="18.75" x14ac:dyDescent="0.3">
      <c r="A467" s="3012"/>
      <c r="B467" s="2303"/>
      <c r="C467" s="1849">
        <v>2044</v>
      </c>
      <c r="D467" s="218">
        <f t="shared" si="189"/>
        <v>-965129.30539621902</v>
      </c>
      <c r="E467" s="218">
        <f t="shared" si="201"/>
        <v>-10382.515156185884</v>
      </c>
      <c r="F467" s="218">
        <f t="shared" si="202"/>
        <v>-13831.819536486613</v>
      </c>
      <c r="G467" s="218">
        <f t="shared" si="190"/>
        <v>-59.43834317922591</v>
      </c>
      <c r="H467" s="218">
        <f t="shared" si="191"/>
        <v>-45.480178542001376</v>
      </c>
      <c r="I467" s="218">
        <f t="shared" si="192"/>
        <v>-697.79105205002384</v>
      </c>
      <c r="J467" s="1880">
        <f t="shared" si="193"/>
        <v>-253.38497454684352</v>
      </c>
      <c r="K467" s="218">
        <f t="shared" si="194"/>
        <v>-651.64029518685186</v>
      </c>
      <c r="L467" s="218">
        <f t="shared" si="195"/>
        <v>-7537.0188859362288</v>
      </c>
      <c r="M467" s="192">
        <f t="shared" si="203"/>
        <v>-989.34364008889145</v>
      </c>
      <c r="N467" s="1849">
        <v>90</v>
      </c>
      <c r="O467" s="211">
        <f>'Emission-Waste Transport Vehicl'!N58</f>
        <v>19.871246569680004</v>
      </c>
      <c r="P467" s="211">
        <f>'Emission-Waste Transport Vehicl'!O58</f>
        <v>28.908525317760002</v>
      </c>
      <c r="Q467" s="211">
        <f>'Emission-Waste Transport Vehicl'!P58</f>
        <v>11.056030516080002</v>
      </c>
      <c r="R467" s="211">
        <f>'Emission-Waste Transport Vehicl'!Q58</f>
        <v>8.5864241865600004</v>
      </c>
      <c r="S467" s="211">
        <f>'Emission-Waste Transport Vehicl'!R58</f>
        <v>0.85460491512000014</v>
      </c>
      <c r="T467" s="211">
        <f>'Emission-Waste Transport Vehicl'!S58</f>
        <v>3.9298367750400007E-2</v>
      </c>
      <c r="U467" s="1850">
        <f t="shared" si="204"/>
        <v>-89040.927608000231</v>
      </c>
      <c r="V467" s="1850">
        <f t="shared" si="196"/>
        <v>-1181.1139730076557</v>
      </c>
      <c r="W467" s="1850">
        <f t="shared" si="197"/>
        <v>-1314.7648928376921</v>
      </c>
      <c r="X467" s="1850">
        <f t="shared" si="198"/>
        <v>-7714.7991653126319</v>
      </c>
      <c r="Y467" s="1850">
        <f t="shared" si="205"/>
        <v>-2175.6708739599071</v>
      </c>
      <c r="Z467" s="1850">
        <f t="shared" si="199"/>
        <v>-556.89499915693136</v>
      </c>
      <c r="AA467" s="1850">
        <f t="shared" si="200"/>
        <v>-296.19253992123208</v>
      </c>
      <c r="AB467" s="2733"/>
      <c r="AC467" s="3015"/>
    </row>
    <row r="468" spans="1:29" ht="18.75" x14ac:dyDescent="0.3">
      <c r="A468" s="3012"/>
      <c r="B468" s="2303"/>
      <c r="C468" s="1849">
        <v>2045</v>
      </c>
      <c r="D468" s="218">
        <f t="shared" si="189"/>
        <v>-965129.30539621902</v>
      </c>
      <c r="E468" s="218">
        <f t="shared" si="201"/>
        <v>-10382.515156185884</v>
      </c>
      <c r="F468" s="218">
        <f t="shared" si="202"/>
        <v>-13831.819536486613</v>
      </c>
      <c r="G468" s="218">
        <f t="shared" si="190"/>
        <v>-59.43834317922591</v>
      </c>
      <c r="H468" s="218">
        <f t="shared" si="191"/>
        <v>-45.480178542001376</v>
      </c>
      <c r="I468" s="218">
        <f t="shared" si="192"/>
        <v>-697.79105205002384</v>
      </c>
      <c r="J468" s="1880">
        <f t="shared" si="193"/>
        <v>-253.38497454684352</v>
      </c>
      <c r="K468" s="218">
        <f t="shared" si="194"/>
        <v>-651.64029518685186</v>
      </c>
      <c r="L468" s="218">
        <f t="shared" si="195"/>
        <v>-7537.0188859362288</v>
      </c>
      <c r="M468" s="192">
        <f t="shared" si="203"/>
        <v>-989.34364008889145</v>
      </c>
      <c r="N468" s="1849">
        <v>92</v>
      </c>
      <c r="O468" s="211">
        <f>'Emission-Waste Transport Vehicl'!N59</f>
        <v>19.483276374144001</v>
      </c>
      <c r="P468" s="211">
        <f>'Emission-Waste Transport Vehicl'!O59</f>
        <v>28.344109483008001</v>
      </c>
      <c r="Q468" s="211">
        <f>'Emission-Waste Transport Vehicl'!P59</f>
        <v>10.840170363264003</v>
      </c>
      <c r="R468" s="211">
        <f>'Emission-Waste Transport Vehicl'!Q59</f>
        <v>8.4187811220480011</v>
      </c>
      <c r="S468" s="211">
        <f>'Emission-Waste Transport Vehicl'!R59</f>
        <v>0.83791943769600008</v>
      </c>
      <c r="T468" s="211">
        <f>'Emission-Waste Transport Vehicl'!S59</f>
        <v>3.8531098552320009E-2</v>
      </c>
      <c r="U468" s="1850">
        <f t="shared" si="204"/>
        <v>-91019.61488817801</v>
      </c>
      <c r="V468" s="1850">
        <f t="shared" si="196"/>
        <v>-1158.0536673820754</v>
      </c>
      <c r="W468" s="1850">
        <f t="shared" si="197"/>
        <v>-1289.0951599012383</v>
      </c>
      <c r="X468" s="1850">
        <f t="shared" si="198"/>
        <v>-7564.173882183477</v>
      </c>
      <c r="Y468" s="1850">
        <f t="shared" si="205"/>
        <v>-2133.1926403255793</v>
      </c>
      <c r="Z468" s="1850">
        <f t="shared" si="199"/>
        <v>-546.02206972302247</v>
      </c>
      <c r="AA468" s="1850">
        <f t="shared" si="200"/>
        <v>-290.40961748470602</v>
      </c>
      <c r="AB468" s="2733"/>
      <c r="AC468" s="3015"/>
    </row>
    <row r="469" spans="1:29" ht="18.75" x14ac:dyDescent="0.3">
      <c r="A469" s="3012"/>
      <c r="B469" s="2303"/>
      <c r="C469" s="1849">
        <v>2046</v>
      </c>
      <c r="D469" s="218">
        <f t="shared" si="189"/>
        <v>-965129.30539621902</v>
      </c>
      <c r="E469" s="218">
        <f t="shared" si="201"/>
        <v>-10382.515156185884</v>
      </c>
      <c r="F469" s="218">
        <f t="shared" si="202"/>
        <v>-13831.819536486613</v>
      </c>
      <c r="G469" s="218">
        <f t="shared" si="190"/>
        <v>-59.43834317922591</v>
      </c>
      <c r="H469" s="218">
        <f t="shared" si="191"/>
        <v>-45.480178542001376</v>
      </c>
      <c r="I469" s="218">
        <f t="shared" si="192"/>
        <v>-697.79105205002384</v>
      </c>
      <c r="J469" s="1880">
        <f t="shared" si="193"/>
        <v>-253.38497454684352</v>
      </c>
      <c r="K469" s="218">
        <f t="shared" si="194"/>
        <v>-651.64029518685186</v>
      </c>
      <c r="L469" s="218">
        <f t="shared" si="195"/>
        <v>-7537.0188859362288</v>
      </c>
      <c r="M469" s="192">
        <f t="shared" si="203"/>
        <v>-989.34364008889145</v>
      </c>
      <c r="N469" s="1849">
        <v>93</v>
      </c>
      <c r="O469" s="211">
        <f>'Emission-Waste Transport Vehicl'!N60</f>
        <v>19.101826686096</v>
      </c>
      <c r="P469" s="211">
        <f>'Emission-Waste Transport Vehicl'!O60</f>
        <v>27.789179628671999</v>
      </c>
      <c r="Q469" s="211">
        <f>'Emission-Waste Transport Vehicl'!P60</f>
        <v>10.627938112176002</v>
      </c>
      <c r="R469" s="211">
        <f>'Emission-Waste Transport Vehicl'!Q60</f>
        <v>8.2539555880319995</v>
      </c>
      <c r="S469" s="211">
        <f>'Emission-Waste Transport Vehicl'!R60</f>
        <v>0.82151438846400004</v>
      </c>
      <c r="T469" s="211">
        <f>'Emission-Waste Transport Vehicl'!S60</f>
        <v>3.777672463488E-2</v>
      </c>
      <c r="U469" s="1850">
        <f t="shared" si="204"/>
        <v>-92008.9585282669</v>
      </c>
      <c r="V469" s="1850">
        <f t="shared" si="196"/>
        <v>-1135.3809299182697</v>
      </c>
      <c r="W469" s="1850">
        <f t="shared" si="197"/>
        <v>-1263.8568510477501</v>
      </c>
      <c r="X469" s="1850">
        <f t="shared" si="198"/>
        <v>-7416.0801164178365</v>
      </c>
      <c r="Y469" s="1850">
        <f t="shared" si="205"/>
        <v>-2091.4283265842651</v>
      </c>
      <c r="Z469" s="1850">
        <f t="shared" si="199"/>
        <v>-535.33187859892712</v>
      </c>
      <c r="AA469" s="1850">
        <f t="shared" si="200"/>
        <v>-284.72388702190295</v>
      </c>
      <c r="AB469" s="2733"/>
      <c r="AC469" s="3015"/>
    </row>
    <row r="470" spans="1:29" ht="18.75" x14ac:dyDescent="0.3">
      <c r="A470" s="3012"/>
      <c r="B470" s="2303"/>
      <c r="C470" s="1849">
        <v>2047</v>
      </c>
      <c r="D470" s="218">
        <f t="shared" si="189"/>
        <v>-965129.30539621902</v>
      </c>
      <c r="E470" s="218">
        <f t="shared" si="201"/>
        <v>-10382.515156185884</v>
      </c>
      <c r="F470" s="218">
        <f t="shared" si="202"/>
        <v>-13831.819536486613</v>
      </c>
      <c r="G470" s="218">
        <f t="shared" si="190"/>
        <v>-59.43834317922591</v>
      </c>
      <c r="H470" s="218">
        <f t="shared" si="191"/>
        <v>-45.480178542001376</v>
      </c>
      <c r="I470" s="218">
        <f t="shared" si="192"/>
        <v>-697.79105205002384</v>
      </c>
      <c r="J470" s="1880">
        <f t="shared" si="193"/>
        <v>-253.38497454684352</v>
      </c>
      <c r="K470" s="218">
        <f t="shared" si="194"/>
        <v>-651.64029518685186</v>
      </c>
      <c r="L470" s="218">
        <f t="shared" si="195"/>
        <v>-7537.0188859362288</v>
      </c>
      <c r="M470" s="192">
        <f t="shared" si="203"/>
        <v>-989.34364008889145</v>
      </c>
      <c r="N470" s="1849">
        <v>94</v>
      </c>
      <c r="O470" s="211">
        <f>'Emission-Waste Transport Vehicl'!N61</f>
        <v>18.726897505536005</v>
      </c>
      <c r="P470" s="211">
        <f>'Emission-Waste Transport Vehicl'!O61</f>
        <v>27.243735754752002</v>
      </c>
      <c r="Q470" s="211">
        <f>'Emission-Waste Transport Vehicl'!P61</f>
        <v>10.419333762816001</v>
      </c>
      <c r="R470" s="211">
        <f>'Emission-Waste Transport Vehicl'!Q61</f>
        <v>8.0919475845120008</v>
      </c>
      <c r="S470" s="211">
        <f>'Emission-Waste Transport Vehicl'!R61</f>
        <v>0.80538976742400015</v>
      </c>
      <c r="T470" s="211">
        <f>'Emission-Waste Transport Vehicl'!S61</f>
        <v>3.7035245998080002E-2</v>
      </c>
      <c r="U470" s="1850">
        <f t="shared" si="204"/>
        <v>-92998.302168355789</v>
      </c>
      <c r="V470" s="1850">
        <f t="shared" si="196"/>
        <v>-1113.0957606162387</v>
      </c>
      <c r="W470" s="1850">
        <f t="shared" si="197"/>
        <v>-1239.0499662772277</v>
      </c>
      <c r="X470" s="1850">
        <f t="shared" si="198"/>
        <v>-7270.5178680157105</v>
      </c>
      <c r="Y470" s="1850">
        <f t="shared" si="205"/>
        <v>-2050.3779327359653</v>
      </c>
      <c r="Z470" s="1850">
        <f t="shared" si="199"/>
        <v>-524.82442578464543</v>
      </c>
      <c r="AA470" s="1850">
        <f t="shared" si="200"/>
        <v>-279.13534853282312</v>
      </c>
      <c r="AB470" s="2733"/>
      <c r="AC470" s="3015"/>
    </row>
    <row r="471" spans="1:29" ht="18.75" x14ac:dyDescent="0.3">
      <c r="A471" s="3012"/>
      <c r="B471" s="2303"/>
      <c r="C471" s="1849">
        <v>2048</v>
      </c>
      <c r="D471" s="218">
        <f t="shared" si="189"/>
        <v>-965129.30539621902</v>
      </c>
      <c r="E471" s="218">
        <f t="shared" si="201"/>
        <v>-10382.515156185884</v>
      </c>
      <c r="F471" s="218">
        <f t="shared" si="202"/>
        <v>-13831.819536486613</v>
      </c>
      <c r="G471" s="218">
        <f t="shared" si="190"/>
        <v>-59.43834317922591</v>
      </c>
      <c r="H471" s="218">
        <f t="shared" si="191"/>
        <v>-45.480178542001376</v>
      </c>
      <c r="I471" s="218">
        <f t="shared" si="192"/>
        <v>-697.79105205002384</v>
      </c>
      <c r="J471" s="1880">
        <f t="shared" si="193"/>
        <v>-253.38497454684352</v>
      </c>
      <c r="K471" s="218">
        <f t="shared" si="194"/>
        <v>-651.64029518685186</v>
      </c>
      <c r="L471" s="218">
        <f t="shared" si="195"/>
        <v>-7537.0188859362288</v>
      </c>
      <c r="M471" s="192">
        <f t="shared" si="203"/>
        <v>-989.34364008889145</v>
      </c>
      <c r="N471" s="1849">
        <v>95</v>
      </c>
      <c r="O471" s="211">
        <f>'Emission-Waste Transport Vehicl'!N62</f>
        <v>18.358488832464005</v>
      </c>
      <c r="P471" s="211">
        <f>'Emission-Waste Transport Vehicl'!O62</f>
        <v>26.707777861248005</v>
      </c>
      <c r="Q471" s="211">
        <f>'Emission-Waste Transport Vehicl'!P62</f>
        <v>10.214357315184001</v>
      </c>
      <c r="R471" s="211">
        <f>'Emission-Waste Transport Vehicl'!Q62</f>
        <v>7.9327571114880007</v>
      </c>
      <c r="S471" s="211">
        <f>'Emission-Waste Transport Vehicl'!R62</f>
        <v>0.78954557457600016</v>
      </c>
      <c r="T471" s="211">
        <f>'Emission-Waste Transport Vehicl'!S62</f>
        <v>3.6306662641920007E-2</v>
      </c>
      <c r="U471" s="1850">
        <f t="shared" si="204"/>
        <v>-93987.645808444693</v>
      </c>
      <c r="V471" s="1850">
        <f t="shared" si="196"/>
        <v>-1091.1981594759818</v>
      </c>
      <c r="W471" s="1850">
        <f t="shared" si="197"/>
        <v>-1214.6745055896708</v>
      </c>
      <c r="X471" s="1850">
        <f t="shared" si="198"/>
        <v>-7127.4871369771008</v>
      </c>
      <c r="Y471" s="1850">
        <f t="shared" si="205"/>
        <v>-2010.041458780679</v>
      </c>
      <c r="Z471" s="1850">
        <f t="shared" si="199"/>
        <v>-514.49971128017728</v>
      </c>
      <c r="AA471" s="1850">
        <f t="shared" si="200"/>
        <v>-273.64400201746645</v>
      </c>
      <c r="AB471" s="2733"/>
      <c r="AC471" s="3015"/>
    </row>
    <row r="472" spans="1:29" ht="18.75" x14ac:dyDescent="0.3">
      <c r="A472" s="3012"/>
      <c r="B472" s="2303"/>
      <c r="C472" s="1849">
        <v>2049</v>
      </c>
      <c r="D472" s="218">
        <f t="shared" si="189"/>
        <v>-965129.30539621902</v>
      </c>
      <c r="E472" s="218">
        <f t="shared" si="201"/>
        <v>-10382.515156185884</v>
      </c>
      <c r="F472" s="218">
        <f t="shared" si="202"/>
        <v>-13831.819536486613</v>
      </c>
      <c r="G472" s="218">
        <f t="shared" si="190"/>
        <v>-59.43834317922591</v>
      </c>
      <c r="H472" s="218">
        <f t="shared" si="191"/>
        <v>-45.480178542001376</v>
      </c>
      <c r="I472" s="218">
        <f t="shared" si="192"/>
        <v>-697.79105205002384</v>
      </c>
      <c r="J472" s="1880">
        <f t="shared" si="193"/>
        <v>-253.38497454684352</v>
      </c>
      <c r="K472" s="218">
        <f t="shared" si="194"/>
        <v>-651.64029518685186</v>
      </c>
      <c r="L472" s="218">
        <f t="shared" si="195"/>
        <v>-7537.0188859362288</v>
      </c>
      <c r="M472" s="192">
        <f t="shared" si="203"/>
        <v>-989.34364008889145</v>
      </c>
      <c r="N472" s="1849">
        <v>96</v>
      </c>
      <c r="O472" s="211">
        <f>'Emission-Waste Transport Vehicl'!N63</f>
        <v>17.999860920624005</v>
      </c>
      <c r="P472" s="211">
        <f>'Emission-Waste Transport Vehicl'!O63</f>
        <v>26.186048938368003</v>
      </c>
      <c r="Q472" s="211">
        <f>'Emission-Waste Transport Vehicl'!P63</f>
        <v>10.014822720144002</v>
      </c>
      <c r="R472" s="211">
        <f>'Emission-Waste Transport Vehicl'!Q63</f>
        <v>7.7777929342080014</v>
      </c>
      <c r="S472" s="211">
        <f>'Emission-Waste Transport Vehicl'!R63</f>
        <v>0.77412202401600017</v>
      </c>
      <c r="T472" s="211">
        <f>'Emission-Waste Transport Vehicl'!S63</f>
        <v>3.5597422206719999E-2</v>
      </c>
      <c r="U472" s="1850">
        <f t="shared" si="204"/>
        <v>-94976.989448533583</v>
      </c>
      <c r="V472" s="1850">
        <f t="shared" si="196"/>
        <v>-1069.8819105783869</v>
      </c>
      <c r="W472" s="1850">
        <f t="shared" si="197"/>
        <v>-1190.9461810265623</v>
      </c>
      <c r="X472" s="1850">
        <f t="shared" si="198"/>
        <v>-6988.2536819837642</v>
      </c>
      <c r="Y472" s="1850">
        <f t="shared" si="205"/>
        <v>-1970.7758646649138</v>
      </c>
      <c r="Z472" s="1850">
        <f t="shared" si="199"/>
        <v>-504.44910424042956</v>
      </c>
      <c r="AA472" s="1850">
        <f t="shared" si="200"/>
        <v>-268.29844346269437</v>
      </c>
      <c r="AB472" s="2733"/>
      <c r="AC472" s="3015"/>
    </row>
    <row r="473" spans="1:29" ht="18.75" x14ac:dyDescent="0.3">
      <c r="A473" s="3012"/>
      <c r="B473" s="2303"/>
      <c r="C473" s="1849">
        <v>2050</v>
      </c>
      <c r="D473" s="218">
        <f t="shared" si="189"/>
        <v>-965129.30539621902</v>
      </c>
      <c r="E473" s="218">
        <f t="shared" si="201"/>
        <v>-10382.515156185884</v>
      </c>
      <c r="F473" s="218">
        <f t="shared" si="202"/>
        <v>-13831.819536486613</v>
      </c>
      <c r="G473" s="218">
        <f t="shared" si="190"/>
        <v>-59.43834317922591</v>
      </c>
      <c r="H473" s="218">
        <f t="shared" si="191"/>
        <v>-45.480178542001376</v>
      </c>
      <c r="I473" s="218">
        <f t="shared" si="192"/>
        <v>-697.79105205002384</v>
      </c>
      <c r="J473" s="1880">
        <f t="shared" si="193"/>
        <v>-253.38497454684352</v>
      </c>
      <c r="K473" s="218">
        <f t="shared" si="194"/>
        <v>-651.64029518685186</v>
      </c>
      <c r="L473" s="218">
        <f t="shared" si="195"/>
        <v>-7537.0188859362288</v>
      </c>
      <c r="M473" s="192">
        <f t="shared" si="203"/>
        <v>-989.34364008889145</v>
      </c>
      <c r="N473" s="1849">
        <v>97</v>
      </c>
      <c r="O473" s="211">
        <f>'Emission-Waste Transport Vehicl'!N64</f>
        <v>17.644493262528005</v>
      </c>
      <c r="P473" s="211">
        <f>'Emission-Waste Transport Vehicl'!O64</f>
        <v>25.669063005696003</v>
      </c>
      <c r="Q473" s="211">
        <f>'Emission-Waste Transport Vehicl'!P64</f>
        <v>9.8171020759680019</v>
      </c>
      <c r="R473" s="211">
        <f>'Emission-Waste Transport Vehicl'!Q64</f>
        <v>7.624237522176001</v>
      </c>
      <c r="S473" s="211">
        <f>'Emission-Waste Transport Vehicl'!R64</f>
        <v>0.75883868755200012</v>
      </c>
      <c r="T473" s="211">
        <f>'Emission-Waste Transport Vehicl'!S64</f>
        <v>3.4894629411840003E-2</v>
      </c>
      <c r="U473" s="1850">
        <f t="shared" si="204"/>
        <v>-95966.333088622472</v>
      </c>
      <c r="V473" s="1850">
        <f t="shared" si="196"/>
        <v>-1048.759445761679</v>
      </c>
      <c r="W473" s="1850">
        <f t="shared" si="197"/>
        <v>-1167.4335685049366</v>
      </c>
      <c r="X473" s="1850">
        <f t="shared" si="198"/>
        <v>-6850.2859856721852</v>
      </c>
      <c r="Y473" s="1850">
        <f t="shared" si="205"/>
        <v>-1931.8672304956553</v>
      </c>
      <c r="Z473" s="1850">
        <f t="shared" si="199"/>
        <v>-494.48986635558862</v>
      </c>
      <c r="AA473" s="1850">
        <f t="shared" si="200"/>
        <v>-263.00148089478392</v>
      </c>
      <c r="AB473" s="2733"/>
      <c r="AC473" s="3015"/>
    </row>
    <row r="474" spans="1:29" ht="18.75" x14ac:dyDescent="0.3">
      <c r="A474" s="3012"/>
      <c r="B474" s="2303"/>
      <c r="C474" s="1849">
        <v>2051</v>
      </c>
      <c r="D474" s="218">
        <f t="shared" ref="D474:D492" si="206">$AC$20</f>
        <v>-965129.30539621902</v>
      </c>
      <c r="E474" s="218">
        <f t="shared" si="201"/>
        <v>-10382.515156185884</v>
      </c>
      <c r="F474" s="218">
        <f t="shared" si="202"/>
        <v>-13831.819536486613</v>
      </c>
      <c r="G474" s="218">
        <f t="shared" ref="G474:G492" si="207">$Y$20</f>
        <v>-59.43834317922591</v>
      </c>
      <c r="H474" s="218">
        <f t="shared" ref="H474:H492" si="208">$Z$20</f>
        <v>-45.480178542001376</v>
      </c>
      <c r="I474" s="218">
        <f t="shared" ref="I474:I492" si="209">$X$20</f>
        <v>-697.79105205002384</v>
      </c>
      <c r="J474" s="1880">
        <f t="shared" ref="J474:J492" si="210">$AA$20</f>
        <v>-253.38497454684352</v>
      </c>
      <c r="K474" s="218">
        <f t="shared" ref="K474:K492" si="211">$V$20</f>
        <v>-651.64029518685186</v>
      </c>
      <c r="L474" s="218">
        <f t="shared" ref="L474:L492" si="212">$W$20</f>
        <v>-7537.0188859362288</v>
      </c>
      <c r="M474" s="192">
        <f t="shared" si="203"/>
        <v>-989.34364008889145</v>
      </c>
      <c r="N474" s="1849">
        <v>97</v>
      </c>
      <c r="O474" s="211">
        <f>'Emission-Waste Transport Vehicl'!N65</f>
        <v>17.298906365664003</v>
      </c>
      <c r="P474" s="211">
        <f>'Emission-Waste Transport Vehicl'!O65</f>
        <v>25.166306043648003</v>
      </c>
      <c r="Q474" s="211">
        <f>'Emission-Waste Transport Vehicl'!P65</f>
        <v>9.624823284384</v>
      </c>
      <c r="R474" s="211">
        <f>'Emission-Waste Transport Vehicl'!Q65</f>
        <v>7.4749084058879998</v>
      </c>
      <c r="S474" s="211">
        <f>'Emission-Waste Transport Vehicl'!R65</f>
        <v>0.74397599337600007</v>
      </c>
      <c r="T474" s="211">
        <f>'Emission-Waste Transport Vehicl'!S65</f>
        <v>3.4211179537920001E-2</v>
      </c>
      <c r="U474" s="1850">
        <f t="shared" si="204"/>
        <v>-95966.333088622472</v>
      </c>
      <c r="V474" s="1850">
        <f t="shared" si="196"/>
        <v>-1028.2183331876327</v>
      </c>
      <c r="W474" s="1850">
        <f t="shared" si="197"/>
        <v>-1144.5680921077594</v>
      </c>
      <c r="X474" s="1850">
        <f t="shared" si="198"/>
        <v>-6716.1155654058775</v>
      </c>
      <c r="Y474" s="1850">
        <f t="shared" si="205"/>
        <v>-1894.0294761659175</v>
      </c>
      <c r="Z474" s="1850">
        <f t="shared" si="199"/>
        <v>-484.80473593546805</v>
      </c>
      <c r="AA474" s="1850">
        <f t="shared" si="200"/>
        <v>-257.85030628745812</v>
      </c>
      <c r="AB474" s="2733"/>
      <c r="AC474" s="3015"/>
    </row>
    <row r="475" spans="1:29" ht="18.75" x14ac:dyDescent="0.3">
      <c r="A475" s="3012"/>
      <c r="B475" s="2303"/>
      <c r="C475" s="1849">
        <v>2052</v>
      </c>
      <c r="D475" s="218">
        <f t="shared" si="206"/>
        <v>-965129.30539621902</v>
      </c>
      <c r="E475" s="218">
        <f t="shared" si="201"/>
        <v>-10382.515156185884</v>
      </c>
      <c r="F475" s="218">
        <f t="shared" si="202"/>
        <v>-13831.819536486613</v>
      </c>
      <c r="G475" s="218">
        <f t="shared" si="207"/>
        <v>-59.43834317922591</v>
      </c>
      <c r="H475" s="218">
        <f t="shared" si="208"/>
        <v>-45.480178542001376</v>
      </c>
      <c r="I475" s="218">
        <f t="shared" si="209"/>
        <v>-697.79105205002384</v>
      </c>
      <c r="J475" s="1880">
        <f t="shared" si="210"/>
        <v>-253.38497454684352</v>
      </c>
      <c r="K475" s="218">
        <f t="shared" si="211"/>
        <v>-651.64029518685186</v>
      </c>
      <c r="L475" s="218">
        <f t="shared" si="212"/>
        <v>-7537.0188859362288</v>
      </c>
      <c r="M475" s="192">
        <f t="shared" si="203"/>
        <v>-989.34364008889145</v>
      </c>
      <c r="N475" s="1849">
        <v>97</v>
      </c>
      <c r="O475" s="211">
        <f>'Emission-Waste Transport Vehicl'!N66</f>
        <v>16.959839976288002</v>
      </c>
      <c r="P475" s="211">
        <f>'Emission-Waste Transport Vehicl'!O66</f>
        <v>24.673035062016002</v>
      </c>
      <c r="Q475" s="211">
        <f>'Emission-Waste Transport Vehicl'!P66</f>
        <v>9.4361723945280005</v>
      </c>
      <c r="R475" s="211">
        <f>'Emission-Waste Transport Vehicl'!Q66</f>
        <v>7.3283968200960006</v>
      </c>
      <c r="S475" s="211">
        <f>'Emission-Waste Transport Vehicl'!R66</f>
        <v>0.72939372739200004</v>
      </c>
      <c r="T475" s="211">
        <f>'Emission-Waste Transport Vehicl'!S66</f>
        <v>3.3540624944640003E-2</v>
      </c>
      <c r="U475" s="1850">
        <f t="shared" si="204"/>
        <v>-95966.333088622472</v>
      </c>
      <c r="V475" s="1850">
        <f t="shared" si="196"/>
        <v>-1008.0647887753609</v>
      </c>
      <c r="W475" s="1850">
        <f t="shared" si="197"/>
        <v>-1122.1340397935478</v>
      </c>
      <c r="X475" s="1850">
        <f t="shared" si="198"/>
        <v>-6584.4766625030861</v>
      </c>
      <c r="Y475" s="1850">
        <f t="shared" si="205"/>
        <v>-1856.905641729194</v>
      </c>
      <c r="Z475" s="1850">
        <f t="shared" si="199"/>
        <v>-475.30234382516107</v>
      </c>
      <c r="AA475" s="1850">
        <f t="shared" si="200"/>
        <v>-252.7963236538555</v>
      </c>
      <c r="AB475" s="2733"/>
      <c r="AC475" s="3015"/>
    </row>
    <row r="476" spans="1:29" ht="18.75" x14ac:dyDescent="0.3">
      <c r="A476" s="3012"/>
      <c r="B476" s="2303"/>
      <c r="C476" s="1849">
        <v>2053</v>
      </c>
      <c r="D476" s="218">
        <f t="shared" si="206"/>
        <v>-965129.30539621902</v>
      </c>
      <c r="E476" s="218">
        <f t="shared" si="201"/>
        <v>-10382.515156185884</v>
      </c>
      <c r="F476" s="218">
        <f t="shared" si="202"/>
        <v>-13831.819536486613</v>
      </c>
      <c r="G476" s="218">
        <f t="shared" si="207"/>
        <v>-59.43834317922591</v>
      </c>
      <c r="H476" s="218">
        <f t="shared" si="208"/>
        <v>-45.480178542001376</v>
      </c>
      <c r="I476" s="218">
        <f t="shared" si="209"/>
        <v>-697.79105205002384</v>
      </c>
      <c r="J476" s="1880">
        <f t="shared" si="210"/>
        <v>-253.38497454684352</v>
      </c>
      <c r="K476" s="218">
        <f t="shared" si="211"/>
        <v>-651.64029518685186</v>
      </c>
      <c r="L476" s="218">
        <f t="shared" si="212"/>
        <v>-7537.0188859362288</v>
      </c>
      <c r="M476" s="192">
        <f t="shared" si="203"/>
        <v>-989.34364008889145</v>
      </c>
      <c r="N476" s="1849">
        <v>97</v>
      </c>
      <c r="O476" s="211">
        <f>'Emission-Waste Transport Vehicl'!N67</f>
        <v>15.361506000000002</v>
      </c>
      <c r="P476" s="211">
        <f>'Emission-Waste Transport Vehicl'!O67</f>
        <v>24.189250060800003</v>
      </c>
      <c r="Q476" s="211">
        <f>'Emission-Waste Transport Vehicl'!P67</f>
        <v>9.2511494064000015</v>
      </c>
      <c r="R476" s="211">
        <f>'Emission-Waste Transport Vehicl'!Q67</f>
        <v>7.1847027647999999</v>
      </c>
      <c r="S476" s="211">
        <f>'Emission-Waste Transport Vehicl'!R67</f>
        <v>0.71509188960000014</v>
      </c>
      <c r="T476" s="211">
        <f>'Emission-Waste Transport Vehicl'!S67</f>
        <v>3.2882965632000001E-2</v>
      </c>
      <c r="U476" s="1850">
        <f t="shared" si="204"/>
        <v>-95966.333088622472</v>
      </c>
      <c r="V476" s="1850">
        <f t="shared" si="196"/>
        <v>-913.06246537773802</v>
      </c>
      <c r="W476" s="1850">
        <f t="shared" si="197"/>
        <v>-1100.1314115623018</v>
      </c>
      <c r="X476" s="1850">
        <f t="shared" si="198"/>
        <v>-6455.369276963811</v>
      </c>
      <c r="Y476" s="1850">
        <f t="shared" si="205"/>
        <v>-1820.4957271854842</v>
      </c>
      <c r="Z476" s="1850">
        <f t="shared" si="199"/>
        <v>-465.98269002466776</v>
      </c>
      <c r="AA476" s="1850">
        <f t="shared" si="200"/>
        <v>-247.83953299397595</v>
      </c>
      <c r="AB476" s="2733"/>
      <c r="AC476" s="3015"/>
    </row>
    <row r="477" spans="1:29" ht="18.75" x14ac:dyDescent="0.3">
      <c r="A477" s="3012"/>
      <c r="B477" s="2303"/>
      <c r="C477" s="1849">
        <v>2054</v>
      </c>
      <c r="D477" s="218">
        <f t="shared" si="206"/>
        <v>-965129.30539621902</v>
      </c>
      <c r="E477" s="218">
        <f t="shared" si="201"/>
        <v>-10382.515156185884</v>
      </c>
      <c r="F477" s="218">
        <f t="shared" si="202"/>
        <v>-13831.819536486613</v>
      </c>
      <c r="G477" s="218">
        <f t="shared" si="207"/>
        <v>-59.43834317922591</v>
      </c>
      <c r="H477" s="218">
        <f t="shared" si="208"/>
        <v>-45.480178542001376</v>
      </c>
      <c r="I477" s="218">
        <f t="shared" si="209"/>
        <v>-697.79105205002384</v>
      </c>
      <c r="J477" s="1880">
        <f t="shared" si="210"/>
        <v>-253.38497454684352</v>
      </c>
      <c r="K477" s="218">
        <f t="shared" si="211"/>
        <v>-651.64029518685186</v>
      </c>
      <c r="L477" s="218">
        <f t="shared" si="212"/>
        <v>-7537.0188859362288</v>
      </c>
      <c r="M477" s="192">
        <f t="shared" si="203"/>
        <v>-989.34364008889145</v>
      </c>
      <c r="N477" s="1849">
        <v>97</v>
      </c>
      <c r="O477" s="211">
        <f>'Emission-Waste Transport Vehicl'!N68</f>
        <v>16.301268720000003</v>
      </c>
      <c r="P477" s="211">
        <f>'Emission-Waste Transport Vehicl'!O68</f>
        <v>23.714951040000003</v>
      </c>
      <c r="Q477" s="211">
        <f>'Emission-Waste Transport Vehicl'!P68</f>
        <v>9.0697543200000013</v>
      </c>
      <c r="R477" s="211">
        <f>'Emission-Waste Transport Vehicl'!Q68</f>
        <v>7.0438262400000005</v>
      </c>
      <c r="S477" s="211">
        <f>'Emission-Waste Transport Vehicl'!R68</f>
        <v>0.70107048000000005</v>
      </c>
      <c r="T477" s="211">
        <f>'Emission-Waste Transport Vehicl'!S68</f>
        <v>3.2238201600000002E-2</v>
      </c>
      <c r="U477" s="1850">
        <f t="shared" si="204"/>
        <v>-95966.333088622472</v>
      </c>
      <c r="V477" s="1850">
        <f t="shared" si="196"/>
        <v>-968.92040443614087</v>
      </c>
      <c r="W477" s="1850">
        <f t="shared" si="197"/>
        <v>-1078.5602074140213</v>
      </c>
      <c r="X477" s="1850">
        <f t="shared" si="198"/>
        <v>-6328.7934087880494</v>
      </c>
      <c r="Y477" s="1850">
        <f t="shared" si="205"/>
        <v>-1784.7997325347887</v>
      </c>
      <c r="Z477" s="1850">
        <f t="shared" si="199"/>
        <v>-456.84577453398794</v>
      </c>
      <c r="AA477" s="1850">
        <f t="shared" si="200"/>
        <v>-242.97993430781958</v>
      </c>
      <c r="AB477" s="2733"/>
      <c r="AC477" s="3015"/>
    </row>
    <row r="478" spans="1:29" ht="18.75" x14ac:dyDescent="0.3">
      <c r="A478" s="3012"/>
      <c r="B478" s="2303"/>
      <c r="C478" s="1849">
        <v>2055</v>
      </c>
      <c r="D478" s="218">
        <f t="shared" si="206"/>
        <v>-965129.30539621902</v>
      </c>
      <c r="E478" s="218">
        <f t="shared" si="201"/>
        <v>-10382.515156185884</v>
      </c>
      <c r="F478" s="218">
        <f t="shared" si="202"/>
        <v>-13831.819536486613</v>
      </c>
      <c r="G478" s="218">
        <f t="shared" si="207"/>
        <v>-59.43834317922591</v>
      </c>
      <c r="H478" s="218">
        <f t="shared" si="208"/>
        <v>-45.480178542001376</v>
      </c>
      <c r="I478" s="218">
        <f t="shared" si="209"/>
        <v>-697.79105205002384</v>
      </c>
      <c r="J478" s="1880">
        <f t="shared" si="210"/>
        <v>-253.38497454684352</v>
      </c>
      <c r="K478" s="218">
        <f t="shared" si="211"/>
        <v>-651.64029518685186</v>
      </c>
      <c r="L478" s="218">
        <f t="shared" si="212"/>
        <v>-7537.0188859362288</v>
      </c>
      <c r="M478" s="192">
        <f t="shared" si="203"/>
        <v>-989.34364008889145</v>
      </c>
      <c r="N478" s="1849">
        <v>97</v>
      </c>
      <c r="O478" s="211">
        <f>'Emission-Waste Transport Vehicl'!N69</f>
        <v>15.981763853088003</v>
      </c>
      <c r="P478" s="211">
        <f>'Emission-Waste Transport Vehicl'!O69</f>
        <v>23.250137999616001</v>
      </c>
      <c r="Q478" s="211">
        <f>'Emission-Waste Transport Vehicl'!P69</f>
        <v>8.8919871353280016</v>
      </c>
      <c r="R478" s="211">
        <f>'Emission-Waste Transport Vehicl'!Q69</f>
        <v>6.9057672456960004</v>
      </c>
      <c r="S478" s="211">
        <f>'Emission-Waste Transport Vehicl'!R69</f>
        <v>0.6873294985920001</v>
      </c>
      <c r="T478" s="211">
        <f>'Emission-Waste Transport Vehicl'!S69</f>
        <v>3.1606332848640006E-2</v>
      </c>
      <c r="U478" s="1850">
        <f t="shared" si="204"/>
        <v>-95966.333088622472</v>
      </c>
      <c r="V478" s="1850">
        <f t="shared" si="196"/>
        <v>-949.92956450919246</v>
      </c>
      <c r="W478" s="1850">
        <f t="shared" si="197"/>
        <v>-1057.4204273487064</v>
      </c>
      <c r="X478" s="1850">
        <f t="shared" si="198"/>
        <v>-6204.7490579758041</v>
      </c>
      <c r="Y478" s="1850">
        <f t="shared" si="205"/>
        <v>-1749.8176577771067</v>
      </c>
      <c r="Z478" s="1850">
        <f t="shared" si="199"/>
        <v>-447.89159735312182</v>
      </c>
      <c r="AA478" s="1850">
        <f t="shared" si="200"/>
        <v>-238.21752759538634</v>
      </c>
      <c r="AB478" s="2733"/>
      <c r="AC478" s="3015"/>
    </row>
    <row r="479" spans="1:29" ht="18.75" x14ac:dyDescent="0.3">
      <c r="A479" s="3012"/>
      <c r="B479" s="2303"/>
      <c r="C479" s="1849">
        <v>2056</v>
      </c>
      <c r="D479" s="218">
        <f t="shared" si="206"/>
        <v>-965129.30539621902</v>
      </c>
      <c r="E479" s="218">
        <f t="shared" si="201"/>
        <v>-10382.515156185884</v>
      </c>
      <c r="F479" s="218">
        <f t="shared" si="202"/>
        <v>-13831.819536486613</v>
      </c>
      <c r="G479" s="218">
        <f t="shared" si="207"/>
        <v>-59.43834317922591</v>
      </c>
      <c r="H479" s="218">
        <f t="shared" si="208"/>
        <v>-45.480178542001376</v>
      </c>
      <c r="I479" s="218">
        <f t="shared" si="209"/>
        <v>-697.79105205002384</v>
      </c>
      <c r="J479" s="1880">
        <f t="shared" si="210"/>
        <v>-253.38497454684352</v>
      </c>
      <c r="K479" s="218">
        <f t="shared" si="211"/>
        <v>-651.64029518685186</v>
      </c>
      <c r="L479" s="218">
        <f t="shared" si="212"/>
        <v>-7537.0188859362288</v>
      </c>
      <c r="M479" s="192">
        <f t="shared" si="203"/>
        <v>-989.34364008889145</v>
      </c>
      <c r="N479" s="1849">
        <v>97</v>
      </c>
      <c r="O479" s="211">
        <f>'Emission-Waste Transport Vehicl'!N70</f>
        <v>15.668779493664003</v>
      </c>
      <c r="P479" s="211">
        <f>'Emission-Waste Transport Vehicl'!O70</f>
        <v>22.794810939648006</v>
      </c>
      <c r="Q479" s="211">
        <f>'Emission-Waste Transport Vehicl'!P70</f>
        <v>8.7178478523840006</v>
      </c>
      <c r="R479" s="211">
        <f>'Emission-Waste Transport Vehicl'!Q70</f>
        <v>6.7705257818880007</v>
      </c>
      <c r="S479" s="211">
        <f>'Emission-Waste Transport Vehicl'!R70</f>
        <v>0.67386894537600017</v>
      </c>
      <c r="T479" s="211">
        <f>'Emission-Waste Transport Vehicl'!S70</f>
        <v>3.0987359377920003E-2</v>
      </c>
      <c r="U479" s="1850">
        <f t="shared" si="204"/>
        <v>-95966.333088622472</v>
      </c>
      <c r="V479" s="1850">
        <f t="shared" si="196"/>
        <v>-931.32629274401859</v>
      </c>
      <c r="W479" s="1850">
        <f t="shared" si="197"/>
        <v>-1036.7120713663573</v>
      </c>
      <c r="X479" s="1850">
        <f t="shared" si="198"/>
        <v>-6083.2362245270724</v>
      </c>
      <c r="Y479" s="1850">
        <f t="shared" si="205"/>
        <v>-1715.5495029124388</v>
      </c>
      <c r="Z479" s="1850">
        <f t="shared" si="199"/>
        <v>-439.12015848206931</v>
      </c>
      <c r="AA479" s="1850">
        <f t="shared" si="200"/>
        <v>-233.55231285667617</v>
      </c>
      <c r="AB479" s="2733"/>
      <c r="AC479" s="3015"/>
    </row>
    <row r="480" spans="1:29" ht="18.75" x14ac:dyDescent="0.3">
      <c r="A480" s="3012"/>
      <c r="B480" s="2303"/>
      <c r="C480" s="1849">
        <v>2057</v>
      </c>
      <c r="D480" s="218">
        <f t="shared" si="206"/>
        <v>-965129.30539621902</v>
      </c>
      <c r="E480" s="218">
        <f t="shared" si="201"/>
        <v>-10382.515156185884</v>
      </c>
      <c r="F480" s="218">
        <f t="shared" si="202"/>
        <v>-13831.819536486613</v>
      </c>
      <c r="G480" s="218">
        <f t="shared" si="207"/>
        <v>-59.43834317922591</v>
      </c>
      <c r="H480" s="218">
        <f t="shared" si="208"/>
        <v>-45.480178542001376</v>
      </c>
      <c r="I480" s="218">
        <f t="shared" si="209"/>
        <v>-697.79105205002384</v>
      </c>
      <c r="J480" s="1880">
        <f t="shared" si="210"/>
        <v>-253.38497454684352</v>
      </c>
      <c r="K480" s="218">
        <f t="shared" si="211"/>
        <v>-651.64029518685186</v>
      </c>
      <c r="L480" s="218">
        <f t="shared" si="212"/>
        <v>-7537.0188859362288</v>
      </c>
      <c r="M480" s="192">
        <f t="shared" si="203"/>
        <v>-989.34364008889145</v>
      </c>
      <c r="N480" s="1849">
        <v>97</v>
      </c>
      <c r="O480" s="211">
        <f>'Emission-Waste Transport Vehicl'!N71</f>
        <v>15.362315641728001</v>
      </c>
      <c r="P480" s="211">
        <f>'Emission-Waste Transport Vehicl'!O71</f>
        <v>22.348969860096002</v>
      </c>
      <c r="Q480" s="211">
        <f>'Emission-Waste Transport Vehicl'!P71</f>
        <v>8.547336471168002</v>
      </c>
      <c r="R480" s="211">
        <f>'Emission-Waste Transport Vehicl'!Q71</f>
        <v>6.6381018485760004</v>
      </c>
      <c r="S480" s="211">
        <f>'Emission-Waste Transport Vehicl'!R71</f>
        <v>0.66068882035200005</v>
      </c>
      <c r="T480" s="211">
        <f>'Emission-Waste Transport Vehicl'!S71</f>
        <v>3.038128118784E-2</v>
      </c>
      <c r="U480" s="1850">
        <f t="shared" si="204"/>
        <v>-95966.333088622472</v>
      </c>
      <c r="V480" s="1850">
        <f t="shared" si="196"/>
        <v>-913.11058914061903</v>
      </c>
      <c r="W480" s="1850">
        <f t="shared" si="197"/>
        <v>-1016.4351394669736</v>
      </c>
      <c r="X480" s="1850">
        <f t="shared" si="198"/>
        <v>-5964.2549084418588</v>
      </c>
      <c r="Y480" s="1850">
        <f t="shared" si="205"/>
        <v>-1681.9952679407847</v>
      </c>
      <c r="Z480" s="1850">
        <f t="shared" si="199"/>
        <v>-430.53145792083023</v>
      </c>
      <c r="AA480" s="1850">
        <f t="shared" si="200"/>
        <v>-228.98429009168913</v>
      </c>
      <c r="AB480" s="2733"/>
      <c r="AC480" s="3015"/>
    </row>
    <row r="481" spans="1:29" ht="18.75" x14ac:dyDescent="0.3">
      <c r="A481" s="3012"/>
      <c r="B481" s="2303"/>
      <c r="C481" s="1849">
        <v>2058</v>
      </c>
      <c r="D481" s="218">
        <f t="shared" si="206"/>
        <v>-965129.30539621902</v>
      </c>
      <c r="E481" s="218">
        <f t="shared" si="201"/>
        <v>-10382.515156185884</v>
      </c>
      <c r="F481" s="218">
        <f t="shared" si="202"/>
        <v>-13831.819536486613</v>
      </c>
      <c r="G481" s="218">
        <f t="shared" si="207"/>
        <v>-59.43834317922591</v>
      </c>
      <c r="H481" s="218">
        <f t="shared" si="208"/>
        <v>-45.480178542001376</v>
      </c>
      <c r="I481" s="218">
        <f t="shared" si="209"/>
        <v>-697.79105205002384</v>
      </c>
      <c r="J481" s="1880">
        <f t="shared" si="210"/>
        <v>-253.38497454684352</v>
      </c>
      <c r="K481" s="218">
        <f t="shared" si="211"/>
        <v>-651.64029518685186</v>
      </c>
      <c r="L481" s="218">
        <f t="shared" si="212"/>
        <v>-7537.0188859362288</v>
      </c>
      <c r="M481" s="192">
        <f t="shared" si="203"/>
        <v>-989.34364008889145</v>
      </c>
      <c r="N481" s="1849">
        <v>97</v>
      </c>
      <c r="O481" s="211">
        <f>'Emission-Waste Transport Vehicl'!N72</f>
        <v>15.059112043536</v>
      </c>
      <c r="P481" s="211">
        <f>'Emission-Waste Transport Vehicl'!O72</f>
        <v>21.907871770752003</v>
      </c>
      <c r="Q481" s="211">
        <f>'Emission-Waste Transport Vehicl'!P72</f>
        <v>8.378639040816001</v>
      </c>
      <c r="R481" s="211">
        <f>'Emission-Waste Transport Vehicl'!Q72</f>
        <v>6.5070866805119998</v>
      </c>
      <c r="S481" s="211">
        <f>'Emission-Waste Transport Vehicl'!R72</f>
        <v>0.647648909424</v>
      </c>
      <c r="T481" s="211">
        <f>'Emission-Waste Transport Vehicl'!S72</f>
        <v>2.9781650638080002E-2</v>
      </c>
      <c r="U481" s="1850">
        <f t="shared" si="204"/>
        <v>-95966.333088622472</v>
      </c>
      <c r="V481" s="1850">
        <f t="shared" si="196"/>
        <v>-895.08866961810679</v>
      </c>
      <c r="W481" s="1850">
        <f t="shared" si="197"/>
        <v>-996.37391960907291</v>
      </c>
      <c r="X481" s="1850">
        <f t="shared" si="198"/>
        <v>-5846.5393510384001</v>
      </c>
      <c r="Y481" s="1850">
        <f t="shared" si="205"/>
        <v>-1648.7979929156377</v>
      </c>
      <c r="Z481" s="1850">
        <f t="shared" si="199"/>
        <v>-422.03412651449804</v>
      </c>
      <c r="AA481" s="1850">
        <f t="shared" si="200"/>
        <v>-224.46486331356371</v>
      </c>
      <c r="AB481" s="2733"/>
      <c r="AC481" s="3015"/>
    </row>
    <row r="482" spans="1:29" ht="18.75" x14ac:dyDescent="0.3">
      <c r="A482" s="3012"/>
      <c r="B482" s="2303"/>
      <c r="C482" s="1849">
        <v>2059</v>
      </c>
      <c r="D482" s="218">
        <f t="shared" si="206"/>
        <v>-965129.30539621902</v>
      </c>
      <c r="E482" s="218">
        <f t="shared" si="201"/>
        <v>-10382.515156185884</v>
      </c>
      <c r="F482" s="218">
        <f t="shared" si="202"/>
        <v>-13831.819536486613</v>
      </c>
      <c r="G482" s="218">
        <f t="shared" si="207"/>
        <v>-59.43834317922591</v>
      </c>
      <c r="H482" s="218">
        <f t="shared" si="208"/>
        <v>-45.480178542001376</v>
      </c>
      <c r="I482" s="218">
        <f t="shared" si="209"/>
        <v>-697.79105205002384</v>
      </c>
      <c r="J482" s="1880">
        <f t="shared" si="210"/>
        <v>-253.38497454684352</v>
      </c>
      <c r="K482" s="218">
        <f t="shared" si="211"/>
        <v>-651.64029518685186</v>
      </c>
      <c r="L482" s="218">
        <f t="shared" si="212"/>
        <v>-7537.0188859362288</v>
      </c>
      <c r="M482" s="192">
        <f t="shared" si="203"/>
        <v>-989.34364008889145</v>
      </c>
      <c r="N482" s="1849">
        <v>97</v>
      </c>
      <c r="O482" s="211">
        <f>'Emission-Waste Transport Vehicl'!N73</f>
        <v>14.765689206576004</v>
      </c>
      <c r="P482" s="211">
        <f>'Emission-Waste Transport Vehicl'!O73</f>
        <v>21.481002652032004</v>
      </c>
      <c r="Q482" s="211">
        <f>'Emission-Waste Transport Vehicl'!P73</f>
        <v>8.2153834630560016</v>
      </c>
      <c r="R482" s="211">
        <f>'Emission-Waste Transport Vehicl'!Q73</f>
        <v>6.380297808192001</v>
      </c>
      <c r="S482" s="211">
        <f>'Emission-Waste Transport Vehicl'!R73</f>
        <v>0.63502964078400004</v>
      </c>
      <c r="T482" s="211">
        <f>'Emission-Waste Transport Vehicl'!S73</f>
        <v>2.9201363009280005E-2</v>
      </c>
      <c r="U482" s="1850">
        <f t="shared" si="204"/>
        <v>-95966.333088622472</v>
      </c>
      <c r="V482" s="1850">
        <f t="shared" si="196"/>
        <v>-877.64810233825654</v>
      </c>
      <c r="W482" s="1850">
        <f t="shared" si="197"/>
        <v>-976.95983587562057</v>
      </c>
      <c r="X482" s="1850">
        <f t="shared" si="198"/>
        <v>-5732.6210696802154</v>
      </c>
      <c r="Y482" s="1850">
        <f t="shared" si="205"/>
        <v>-1616.6715977300116</v>
      </c>
      <c r="Z482" s="1850">
        <f t="shared" si="199"/>
        <v>-413.81090257288628</v>
      </c>
      <c r="AA482" s="1850">
        <f t="shared" si="200"/>
        <v>-220.09122449602299</v>
      </c>
      <c r="AB482" s="2733"/>
      <c r="AC482" s="3015"/>
    </row>
    <row r="483" spans="1:29" ht="18.75" x14ac:dyDescent="0.3">
      <c r="A483" s="3012"/>
      <c r="B483" s="2303"/>
      <c r="C483" s="1849">
        <v>2060</v>
      </c>
      <c r="D483" s="218">
        <f t="shared" si="206"/>
        <v>-965129.30539621902</v>
      </c>
      <c r="E483" s="218">
        <f t="shared" si="201"/>
        <v>-10382.515156185884</v>
      </c>
      <c r="F483" s="218">
        <f t="shared" si="202"/>
        <v>-13831.819536486613</v>
      </c>
      <c r="G483" s="218">
        <f t="shared" si="207"/>
        <v>-59.43834317922591</v>
      </c>
      <c r="H483" s="218">
        <f t="shared" si="208"/>
        <v>-45.480178542001376</v>
      </c>
      <c r="I483" s="218">
        <f t="shared" si="209"/>
        <v>-697.79105205002384</v>
      </c>
      <c r="J483" s="1880">
        <f t="shared" si="210"/>
        <v>-253.38497454684352</v>
      </c>
      <c r="K483" s="218">
        <f t="shared" si="211"/>
        <v>-651.64029518685186</v>
      </c>
      <c r="L483" s="218">
        <f t="shared" si="212"/>
        <v>-7537.0188859362288</v>
      </c>
      <c r="M483" s="192">
        <f t="shared" si="203"/>
        <v>-989.34364008889145</v>
      </c>
      <c r="N483" s="1849">
        <v>97</v>
      </c>
      <c r="O483" s="211">
        <f>'Emission-Waste Transport Vehicl'!N74</f>
        <v>14.475526623360002</v>
      </c>
      <c r="P483" s="211">
        <f>'Emission-Waste Transport Vehicl'!O74</f>
        <v>21.058876523520002</v>
      </c>
      <c r="Q483" s="211">
        <f>'Emission-Waste Transport Vehicl'!P74</f>
        <v>8.0539418361599999</v>
      </c>
      <c r="R483" s="211">
        <f>'Emission-Waste Transport Vehicl'!Q74</f>
        <v>6.2549177011200001</v>
      </c>
      <c r="S483" s="211">
        <f>'Emission-Waste Transport Vehicl'!R74</f>
        <v>0.62255058624000004</v>
      </c>
      <c r="T483" s="211">
        <f>'Emission-Waste Transport Vehicl'!S74</f>
        <v>2.8627523020800003E-2</v>
      </c>
      <c r="U483" s="1850">
        <f t="shared" si="204"/>
        <v>-95966.333088622472</v>
      </c>
      <c r="V483" s="1850">
        <f t="shared" si="196"/>
        <v>-860.40131913929304</v>
      </c>
      <c r="W483" s="1850">
        <f t="shared" si="197"/>
        <v>-957.7614641836509</v>
      </c>
      <c r="X483" s="1850">
        <f t="shared" si="198"/>
        <v>-5619.9685470037866</v>
      </c>
      <c r="Y483" s="1850">
        <f t="shared" si="205"/>
        <v>-1584.9021624908921</v>
      </c>
      <c r="Z483" s="1850">
        <f t="shared" si="199"/>
        <v>-405.67904778618129</v>
      </c>
      <c r="AA483" s="1850">
        <f t="shared" si="200"/>
        <v>-215.76618166534377</v>
      </c>
      <c r="AB483" s="2733"/>
      <c r="AC483" s="3015"/>
    </row>
    <row r="484" spans="1:29" ht="18.75" x14ac:dyDescent="0.3">
      <c r="A484" s="3012"/>
      <c r="B484" s="2303"/>
      <c r="C484" s="1849">
        <v>2061</v>
      </c>
      <c r="D484" s="218">
        <f t="shared" si="206"/>
        <v>-965129.30539621902</v>
      </c>
      <c r="E484" s="218">
        <f t="shared" si="201"/>
        <v>-10382.515156185884</v>
      </c>
      <c r="F484" s="218">
        <f t="shared" si="202"/>
        <v>-13831.819536486613</v>
      </c>
      <c r="G484" s="218">
        <f t="shared" si="207"/>
        <v>-59.43834317922591</v>
      </c>
      <c r="H484" s="218">
        <f t="shared" si="208"/>
        <v>-45.480178542001376</v>
      </c>
      <c r="I484" s="218">
        <f t="shared" si="209"/>
        <v>-697.79105205002384</v>
      </c>
      <c r="J484" s="1880">
        <f t="shared" si="210"/>
        <v>-253.38497454684352</v>
      </c>
      <c r="K484" s="218">
        <f t="shared" si="211"/>
        <v>-651.64029518685186</v>
      </c>
      <c r="L484" s="218">
        <f t="shared" si="212"/>
        <v>-7537.0188859362288</v>
      </c>
      <c r="M484" s="192">
        <f t="shared" si="203"/>
        <v>-989.34364008889145</v>
      </c>
      <c r="N484" s="1849">
        <v>97</v>
      </c>
      <c r="O484" s="211">
        <f>'Emission-Waste Transport Vehicl'!N75</f>
        <v>14.191884547632004</v>
      </c>
      <c r="P484" s="211">
        <f>'Emission-Waste Transport Vehicl'!O75</f>
        <v>20.646236375424003</v>
      </c>
      <c r="Q484" s="211">
        <f>'Emission-Waste Transport Vehicl'!P75</f>
        <v>7.8961281109920014</v>
      </c>
      <c r="R484" s="211">
        <f>'Emission-Waste Transport Vehicl'!Q75</f>
        <v>6.1323551245440004</v>
      </c>
      <c r="S484" s="211">
        <f>'Emission-Waste Transport Vehicl'!R75</f>
        <v>0.61035195988800006</v>
      </c>
      <c r="T484" s="211">
        <f>'Emission-Waste Transport Vehicl'!S75</f>
        <v>2.8066578312960003E-2</v>
      </c>
      <c r="U484" s="1850">
        <f t="shared" si="204"/>
        <v>-95966.333088622472</v>
      </c>
      <c r="V484" s="1850">
        <f t="shared" si="196"/>
        <v>-843.5421041021043</v>
      </c>
      <c r="W484" s="1850">
        <f t="shared" si="197"/>
        <v>-938.99451657464704</v>
      </c>
      <c r="X484" s="1850">
        <f t="shared" si="198"/>
        <v>-5509.8475416908759</v>
      </c>
      <c r="Y484" s="1850">
        <f t="shared" si="205"/>
        <v>-1553.8466471447871</v>
      </c>
      <c r="Z484" s="1850">
        <f t="shared" si="199"/>
        <v>-397.72993130928995</v>
      </c>
      <c r="AA484" s="1850">
        <f t="shared" si="200"/>
        <v>-211.53833080838771</v>
      </c>
      <c r="AB484" s="2733"/>
      <c r="AC484" s="3015"/>
    </row>
    <row r="485" spans="1:29" ht="18.75" x14ac:dyDescent="0.3">
      <c r="A485" s="3012"/>
      <c r="B485" s="2303"/>
      <c r="C485" s="1849">
        <v>2062</v>
      </c>
      <c r="D485" s="218">
        <f t="shared" si="206"/>
        <v>-965129.30539621902</v>
      </c>
      <c r="E485" s="218">
        <f t="shared" si="201"/>
        <v>-10382.515156185884</v>
      </c>
      <c r="F485" s="218">
        <f t="shared" si="202"/>
        <v>-13831.819536486613</v>
      </c>
      <c r="G485" s="218">
        <f t="shared" si="207"/>
        <v>-59.43834317922591</v>
      </c>
      <c r="H485" s="218">
        <f t="shared" si="208"/>
        <v>-45.480178542001376</v>
      </c>
      <c r="I485" s="218">
        <f t="shared" si="209"/>
        <v>-697.79105205002384</v>
      </c>
      <c r="J485" s="1880">
        <f t="shared" si="210"/>
        <v>-253.38497454684352</v>
      </c>
      <c r="K485" s="218">
        <f t="shared" si="211"/>
        <v>-651.64029518685186</v>
      </c>
      <c r="L485" s="218">
        <f t="shared" si="212"/>
        <v>-7537.0188859362288</v>
      </c>
      <c r="M485" s="192">
        <f t="shared" si="203"/>
        <v>-989.34364008889145</v>
      </c>
      <c r="N485" s="1849">
        <v>97</v>
      </c>
      <c r="O485" s="211">
        <f>'Emission-Waste Transport Vehicl'!N76</f>
        <v>13.914762979392002</v>
      </c>
      <c r="P485" s="211">
        <f>'Emission-Waste Transport Vehicl'!O76</f>
        <v>20.243082207744003</v>
      </c>
      <c r="Q485" s="211">
        <f>'Emission-Waste Transport Vehicl'!P76</f>
        <v>7.7419422875520008</v>
      </c>
      <c r="R485" s="211">
        <f>'Emission-Waste Transport Vehicl'!Q76</f>
        <v>6.0126100784640002</v>
      </c>
      <c r="S485" s="211">
        <f>'Emission-Waste Transport Vehicl'!R76</f>
        <v>0.59843376172800011</v>
      </c>
      <c r="T485" s="211">
        <f>'Emission-Waste Transport Vehicl'!S76</f>
        <v>2.7518528885760004E-2</v>
      </c>
      <c r="U485" s="1850">
        <f t="shared" si="204"/>
        <v>-95966.333088622472</v>
      </c>
      <c r="V485" s="1850">
        <f t="shared" si="196"/>
        <v>-827.07045722668977</v>
      </c>
      <c r="W485" s="1850">
        <f t="shared" si="197"/>
        <v>-920.65899304860864</v>
      </c>
      <c r="X485" s="1850">
        <f t="shared" si="198"/>
        <v>-5402.2580537414788</v>
      </c>
      <c r="Y485" s="1850">
        <f t="shared" si="205"/>
        <v>-1523.5050516916956</v>
      </c>
      <c r="Z485" s="1850">
        <f t="shared" si="199"/>
        <v>-389.96355314221216</v>
      </c>
      <c r="AA485" s="1850">
        <f t="shared" si="200"/>
        <v>-207.4076719251548</v>
      </c>
      <c r="AB485" s="2733"/>
      <c r="AC485" s="3015"/>
    </row>
    <row r="486" spans="1:29" ht="18.75" x14ac:dyDescent="0.3">
      <c r="A486" s="3012"/>
      <c r="B486" s="2303"/>
      <c r="C486" s="1849">
        <v>2063</v>
      </c>
      <c r="D486" s="218">
        <f t="shared" si="206"/>
        <v>-965129.30539621902</v>
      </c>
      <c r="E486" s="218">
        <f t="shared" si="201"/>
        <v>-10382.515156185884</v>
      </c>
      <c r="F486" s="218">
        <f t="shared" si="202"/>
        <v>-13831.819536486613</v>
      </c>
      <c r="G486" s="218">
        <f t="shared" si="207"/>
        <v>-59.43834317922591</v>
      </c>
      <c r="H486" s="218">
        <f t="shared" si="208"/>
        <v>-45.480178542001376</v>
      </c>
      <c r="I486" s="218">
        <f t="shared" si="209"/>
        <v>-697.79105205002384</v>
      </c>
      <c r="J486" s="1880">
        <f t="shared" si="210"/>
        <v>-253.38497454684352</v>
      </c>
      <c r="K486" s="218">
        <f t="shared" si="211"/>
        <v>-651.64029518685186</v>
      </c>
      <c r="L486" s="218">
        <f t="shared" si="212"/>
        <v>-7537.0188859362288</v>
      </c>
      <c r="M486" s="192">
        <f t="shared" si="203"/>
        <v>-989.34364008889145</v>
      </c>
      <c r="N486" s="1849">
        <v>97</v>
      </c>
      <c r="O486" s="211">
        <f>'Emission-Waste Transport Vehicl'!N77</f>
        <v>13.640901664896001</v>
      </c>
      <c r="P486" s="211">
        <f>'Emission-Waste Transport Vehicl'!O77</f>
        <v>19.844671030272</v>
      </c>
      <c r="Q486" s="211">
        <f>'Emission-Waste Transport Vehicl'!P77</f>
        <v>7.5895704149760004</v>
      </c>
      <c r="R486" s="211">
        <f>'Emission-Waste Transport Vehicl'!Q77</f>
        <v>5.8942737976319997</v>
      </c>
      <c r="S486" s="211">
        <f>'Emission-Waste Transport Vehicl'!R77</f>
        <v>0.58665577766400001</v>
      </c>
      <c r="T486" s="211">
        <f>'Emission-Waste Transport Vehicl'!S77</f>
        <v>2.6976927098879999E-2</v>
      </c>
      <c r="U486" s="1850">
        <f t="shared" si="204"/>
        <v>-95966.333088622472</v>
      </c>
      <c r="V486" s="1850">
        <f t="shared" si="196"/>
        <v>-810.79259443216256</v>
      </c>
      <c r="W486" s="1850">
        <f t="shared" si="197"/>
        <v>-902.53918156405291</v>
      </c>
      <c r="X486" s="1850">
        <f t="shared" si="198"/>
        <v>-5295.9343244738393</v>
      </c>
      <c r="Y486" s="1850">
        <f t="shared" si="205"/>
        <v>-1493.5204161851109</v>
      </c>
      <c r="Z486" s="1850">
        <f t="shared" si="199"/>
        <v>-382.28854413004109</v>
      </c>
      <c r="AA486" s="1850">
        <f t="shared" si="200"/>
        <v>-203.32560902878339</v>
      </c>
      <c r="AB486" s="2733"/>
      <c r="AC486" s="3015"/>
    </row>
    <row r="487" spans="1:29" ht="18.75" x14ac:dyDescent="0.3">
      <c r="A487" s="3012"/>
      <c r="B487" s="2303"/>
      <c r="C487" s="1849">
        <v>2064</v>
      </c>
      <c r="D487" s="218">
        <f t="shared" si="206"/>
        <v>-965129.30539621902</v>
      </c>
      <c r="E487" s="218">
        <f t="shared" si="201"/>
        <v>-10382.515156185884</v>
      </c>
      <c r="F487" s="218">
        <f t="shared" si="202"/>
        <v>-13831.819536486613</v>
      </c>
      <c r="G487" s="218">
        <f t="shared" si="207"/>
        <v>-59.43834317922591</v>
      </c>
      <c r="H487" s="218">
        <f t="shared" si="208"/>
        <v>-45.480178542001376</v>
      </c>
      <c r="I487" s="218">
        <f t="shared" si="209"/>
        <v>-697.79105205002384</v>
      </c>
      <c r="J487" s="1880">
        <f t="shared" si="210"/>
        <v>-253.38497454684352</v>
      </c>
      <c r="K487" s="218">
        <f t="shared" si="211"/>
        <v>-651.64029518685186</v>
      </c>
      <c r="L487" s="218">
        <f t="shared" si="212"/>
        <v>-7537.0188859362288</v>
      </c>
      <c r="M487" s="192">
        <f t="shared" si="203"/>
        <v>-989.34364008889145</v>
      </c>
      <c r="N487" s="1849">
        <v>97</v>
      </c>
      <c r="O487" s="211">
        <f>'Emission-Waste Transport Vehicl'!N78</f>
        <v>13.373560857888002</v>
      </c>
      <c r="P487" s="211">
        <f>'Emission-Waste Transport Vehicl'!O78</f>
        <v>19.455745833216003</v>
      </c>
      <c r="Q487" s="211">
        <f>'Emission-Waste Transport Vehicl'!P78</f>
        <v>7.4408264441280014</v>
      </c>
      <c r="R487" s="211">
        <f>'Emission-Waste Transport Vehicl'!Q78</f>
        <v>5.7787550472960003</v>
      </c>
      <c r="S487" s="211">
        <f>'Emission-Waste Transport Vehicl'!R78</f>
        <v>0.57515822179200005</v>
      </c>
      <c r="T487" s="211">
        <f>'Emission-Waste Transport Vehicl'!S78</f>
        <v>2.6448220592640001E-2</v>
      </c>
      <c r="U487" s="1850">
        <f t="shared" si="204"/>
        <v>-95966.333088622472</v>
      </c>
      <c r="V487" s="1850">
        <f t="shared" si="196"/>
        <v>-794.90229979940989</v>
      </c>
      <c r="W487" s="1850">
        <f t="shared" si="197"/>
        <v>-884.8507941624631</v>
      </c>
      <c r="X487" s="1850">
        <f t="shared" si="198"/>
        <v>-5192.1421125697161</v>
      </c>
      <c r="Y487" s="1850">
        <f t="shared" si="205"/>
        <v>-1464.2497005715406</v>
      </c>
      <c r="Z487" s="1850">
        <f t="shared" si="199"/>
        <v>-374.79627342768373</v>
      </c>
      <c r="AA487" s="1850">
        <f t="shared" si="200"/>
        <v>-199.34073810613518</v>
      </c>
      <c r="AB487" s="2733"/>
      <c r="AC487" s="3015"/>
    </row>
    <row r="488" spans="1:29" ht="18.75" x14ac:dyDescent="0.3">
      <c r="A488" s="3012"/>
      <c r="B488" s="2303"/>
      <c r="C488" s="1849">
        <v>2065</v>
      </c>
      <c r="D488" s="218">
        <f t="shared" si="206"/>
        <v>-965129.30539621902</v>
      </c>
      <c r="E488" s="218">
        <f t="shared" si="201"/>
        <v>-10382.515156185884</v>
      </c>
      <c r="F488" s="218">
        <f t="shared" si="202"/>
        <v>-13831.819536486613</v>
      </c>
      <c r="G488" s="218">
        <f t="shared" si="207"/>
        <v>-59.43834317922591</v>
      </c>
      <c r="H488" s="218">
        <f t="shared" si="208"/>
        <v>-45.480178542001376</v>
      </c>
      <c r="I488" s="218">
        <f t="shared" si="209"/>
        <v>-697.79105205002384</v>
      </c>
      <c r="J488" s="1880">
        <f t="shared" si="210"/>
        <v>-253.38497454684352</v>
      </c>
      <c r="K488" s="218">
        <f t="shared" si="211"/>
        <v>-651.64029518685186</v>
      </c>
      <c r="L488" s="218">
        <f t="shared" si="212"/>
        <v>-7537.0188859362288</v>
      </c>
      <c r="M488" s="192">
        <f t="shared" si="203"/>
        <v>-989.34364008889145</v>
      </c>
      <c r="N488" s="1849">
        <v>97</v>
      </c>
      <c r="O488" s="211">
        <f>'Emission-Waste Transport Vehicl'!N79</f>
        <v>13.112740558368001</v>
      </c>
      <c r="P488" s="211">
        <f>'Emission-Waste Transport Vehicl'!O79</f>
        <v>19.076306616576002</v>
      </c>
      <c r="Q488" s="211">
        <f>'Emission-Waste Transport Vehicl'!P79</f>
        <v>7.2957103750080003</v>
      </c>
      <c r="R488" s="211">
        <f>'Emission-Waste Transport Vehicl'!Q79</f>
        <v>5.6660538274560004</v>
      </c>
      <c r="S488" s="211">
        <f>'Emission-Waste Transport Vehicl'!R79</f>
        <v>0.56394109411200011</v>
      </c>
      <c r="T488" s="211">
        <f>'Emission-Waste Transport Vehicl'!S79</f>
        <v>2.5932409367040003E-2</v>
      </c>
      <c r="U488" s="1850">
        <f t="shared" si="204"/>
        <v>-95966.333088622472</v>
      </c>
      <c r="V488" s="1850">
        <f t="shared" si="196"/>
        <v>-779.39957332843164</v>
      </c>
      <c r="W488" s="1850">
        <f t="shared" si="197"/>
        <v>-867.59383084383876</v>
      </c>
      <c r="X488" s="1850">
        <f t="shared" si="198"/>
        <v>-5090.8814180291065</v>
      </c>
      <c r="Y488" s="1850">
        <f t="shared" si="205"/>
        <v>-1435.692904850984</v>
      </c>
      <c r="Z488" s="1850">
        <f t="shared" si="199"/>
        <v>-367.48674103513997</v>
      </c>
      <c r="AA488" s="1850">
        <f t="shared" si="200"/>
        <v>-195.45305915721008</v>
      </c>
      <c r="AB488" s="2733"/>
      <c r="AC488" s="3015"/>
    </row>
    <row r="489" spans="1:29" ht="18.75" x14ac:dyDescent="0.3">
      <c r="A489" s="3012"/>
      <c r="B489" s="2303"/>
      <c r="C489" s="1849">
        <v>2066</v>
      </c>
      <c r="D489" s="218">
        <f t="shared" si="206"/>
        <v>-965129.30539621902</v>
      </c>
      <c r="E489" s="218">
        <f t="shared" si="201"/>
        <v>-10382.515156185884</v>
      </c>
      <c r="F489" s="218">
        <f t="shared" si="202"/>
        <v>-13831.819536486613</v>
      </c>
      <c r="G489" s="218">
        <f t="shared" si="207"/>
        <v>-59.43834317922591</v>
      </c>
      <c r="H489" s="218">
        <f t="shared" si="208"/>
        <v>-45.480178542001376</v>
      </c>
      <c r="I489" s="218">
        <f t="shared" si="209"/>
        <v>-697.79105205002384</v>
      </c>
      <c r="J489" s="1880">
        <f t="shared" si="210"/>
        <v>-253.38497454684352</v>
      </c>
      <c r="K489" s="218">
        <f t="shared" si="211"/>
        <v>-651.64029518685186</v>
      </c>
      <c r="L489" s="218">
        <f t="shared" si="212"/>
        <v>-7537.0188859362288</v>
      </c>
      <c r="M489" s="192">
        <f t="shared" si="203"/>
        <v>-989.34364008889145</v>
      </c>
      <c r="N489" s="1849">
        <v>97</v>
      </c>
      <c r="O489" s="211">
        <f>'Emission-Waste Transport Vehicl'!N80</f>
        <v>12.855180512592</v>
      </c>
      <c r="P489" s="211">
        <f>'Emission-Waste Transport Vehicl'!O80</f>
        <v>18.701610390143998</v>
      </c>
      <c r="Q489" s="211">
        <f>'Emission-Waste Transport Vehicl'!P80</f>
        <v>7.1524082567520004</v>
      </c>
      <c r="R489" s="211">
        <f>'Emission-Waste Transport Vehicl'!Q80</f>
        <v>5.5547613728639993</v>
      </c>
      <c r="S489" s="211">
        <f>'Emission-Waste Transport Vehicl'!R80</f>
        <v>0.55286418052800002</v>
      </c>
      <c r="T489" s="211">
        <f>'Emission-Waste Transport Vehicl'!S80</f>
        <v>2.5423045781760002E-2</v>
      </c>
      <c r="U489" s="1850">
        <f t="shared" si="204"/>
        <v>-95966.333088622472</v>
      </c>
      <c r="V489" s="1850">
        <f t="shared" si="196"/>
        <v>-764.0906309383405</v>
      </c>
      <c r="W489" s="1850">
        <f t="shared" si="197"/>
        <v>-850.55257956669698</v>
      </c>
      <c r="X489" s="1850">
        <f t="shared" si="198"/>
        <v>-4990.8864821702555</v>
      </c>
      <c r="Y489" s="1850">
        <f t="shared" si="205"/>
        <v>-1407.493069076934</v>
      </c>
      <c r="Z489" s="1850">
        <f t="shared" si="199"/>
        <v>-360.26857779750287</v>
      </c>
      <c r="AA489" s="1850">
        <f t="shared" si="200"/>
        <v>-191.61397619514651</v>
      </c>
      <c r="AB489" s="2733"/>
      <c r="AC489" s="3015"/>
    </row>
    <row r="490" spans="1:29" ht="18.75" x14ac:dyDescent="0.3">
      <c r="A490" s="3012"/>
      <c r="B490" s="2303"/>
      <c r="C490" s="1849">
        <v>2067</v>
      </c>
      <c r="D490" s="218">
        <f t="shared" si="206"/>
        <v>-965129.30539621902</v>
      </c>
      <c r="E490" s="218">
        <f t="shared" si="201"/>
        <v>-10382.515156185884</v>
      </c>
      <c r="F490" s="218">
        <f t="shared" si="202"/>
        <v>-13831.819536486613</v>
      </c>
      <c r="G490" s="218">
        <f t="shared" si="207"/>
        <v>-59.43834317922591</v>
      </c>
      <c r="H490" s="218">
        <f t="shared" si="208"/>
        <v>-45.480178542001376</v>
      </c>
      <c r="I490" s="218">
        <f t="shared" si="209"/>
        <v>-697.79105205002384</v>
      </c>
      <c r="J490" s="1880">
        <f t="shared" si="210"/>
        <v>-253.38497454684352</v>
      </c>
      <c r="K490" s="218">
        <f t="shared" si="211"/>
        <v>-651.64029518685186</v>
      </c>
      <c r="L490" s="218">
        <f t="shared" si="212"/>
        <v>-7537.0188859362288</v>
      </c>
      <c r="M490" s="192">
        <f t="shared" si="203"/>
        <v>-989.34364008889145</v>
      </c>
      <c r="N490" s="1849">
        <v>97</v>
      </c>
      <c r="O490" s="211">
        <f>'Emission-Waste Transport Vehicl'!N81</f>
        <v>12.600880720560001</v>
      </c>
      <c r="P490" s="211">
        <f>'Emission-Waste Transport Vehicl'!O81</f>
        <v>18.331657153920002</v>
      </c>
      <c r="Q490" s="211">
        <f>'Emission-Waste Transport Vehicl'!P81</f>
        <v>7.0109200893600008</v>
      </c>
      <c r="R490" s="211">
        <f>'Emission-Waste Transport Vehicl'!Q81</f>
        <v>5.4448776835200006</v>
      </c>
      <c r="S490" s="211">
        <f>'Emission-Waste Transport Vehicl'!R81</f>
        <v>0.5419274810400001</v>
      </c>
      <c r="T490" s="211">
        <f>'Emission-Waste Transport Vehicl'!S81</f>
        <v>2.4920129836800003E-2</v>
      </c>
      <c r="U490" s="1850">
        <f t="shared" si="204"/>
        <v>-95966.333088622472</v>
      </c>
      <c r="V490" s="1850">
        <f t="shared" si="196"/>
        <v>-748.97547262913679</v>
      </c>
      <c r="W490" s="1850">
        <f t="shared" si="197"/>
        <v>-833.72704033103844</v>
      </c>
      <c r="X490" s="1850">
        <f t="shared" si="198"/>
        <v>-4892.1573049931621</v>
      </c>
      <c r="Y490" s="1850">
        <f t="shared" si="205"/>
        <v>-1379.6501932493916</v>
      </c>
      <c r="Z490" s="1850">
        <f t="shared" si="199"/>
        <v>-353.14178371477271</v>
      </c>
      <c r="AA490" s="1850">
        <f t="shared" si="200"/>
        <v>-187.82348921994455</v>
      </c>
      <c r="AB490" s="2733"/>
      <c r="AC490" s="3015"/>
    </row>
    <row r="491" spans="1:29" ht="18.75" x14ac:dyDescent="0.3">
      <c r="A491" s="3012"/>
      <c r="B491" s="2303"/>
      <c r="C491" s="1849">
        <v>2068</v>
      </c>
      <c r="D491" s="218">
        <f t="shared" si="206"/>
        <v>-965129.30539621902</v>
      </c>
      <c r="E491" s="218">
        <f t="shared" si="201"/>
        <v>-10382.515156185884</v>
      </c>
      <c r="F491" s="218">
        <f t="shared" si="202"/>
        <v>-13831.819536486613</v>
      </c>
      <c r="G491" s="218">
        <f t="shared" si="207"/>
        <v>-59.43834317922591</v>
      </c>
      <c r="H491" s="218">
        <f t="shared" si="208"/>
        <v>-45.480178542001376</v>
      </c>
      <c r="I491" s="218">
        <f t="shared" si="209"/>
        <v>-697.79105205002384</v>
      </c>
      <c r="J491" s="1880">
        <f t="shared" si="210"/>
        <v>-253.38497454684352</v>
      </c>
      <c r="K491" s="218">
        <f t="shared" si="211"/>
        <v>-651.64029518685186</v>
      </c>
      <c r="L491" s="218">
        <f t="shared" si="212"/>
        <v>-7537.0188859362288</v>
      </c>
      <c r="M491" s="192">
        <f t="shared" si="203"/>
        <v>-989.34364008889145</v>
      </c>
      <c r="N491" s="1849">
        <v>97</v>
      </c>
      <c r="O491" s="211">
        <f>'Emission-Waste Transport Vehicl'!N82</f>
        <v>12.356361689760002</v>
      </c>
      <c r="P491" s="211">
        <f>'Emission-Waste Transport Vehicl'!O82</f>
        <v>17.975932888320003</v>
      </c>
      <c r="Q491" s="211">
        <f>'Emission-Waste Transport Vehicl'!P82</f>
        <v>6.8748737745600002</v>
      </c>
      <c r="R491" s="211">
        <f>'Emission-Waste Transport Vehicl'!Q82</f>
        <v>5.339220289920001</v>
      </c>
      <c r="S491" s="211">
        <f>'Emission-Waste Transport Vehicl'!R82</f>
        <v>0.53141142384000006</v>
      </c>
      <c r="T491" s="211">
        <f>'Emission-Waste Transport Vehicl'!S82</f>
        <v>2.4436556812800003E-2</v>
      </c>
      <c r="U491" s="1850">
        <f t="shared" si="204"/>
        <v>-95966.333088622472</v>
      </c>
      <c r="V491" s="1850">
        <f t="shared" si="196"/>
        <v>-734.44166656259472</v>
      </c>
      <c r="W491" s="1850">
        <f t="shared" si="197"/>
        <v>-817.54863721982815</v>
      </c>
      <c r="X491" s="1850">
        <f t="shared" si="198"/>
        <v>-4797.225403861341</v>
      </c>
      <c r="Y491" s="1850">
        <f t="shared" si="205"/>
        <v>-1352.8781972613699</v>
      </c>
      <c r="Z491" s="1850">
        <f t="shared" si="199"/>
        <v>-346.28909709676287</v>
      </c>
      <c r="AA491" s="1850">
        <f t="shared" si="200"/>
        <v>-184.17879020532723</v>
      </c>
      <c r="AB491" s="2733"/>
      <c r="AC491" s="3015"/>
    </row>
    <row r="492" spans="1:29" ht="19.5" thickBot="1" x14ac:dyDescent="0.35">
      <c r="A492" s="3013"/>
      <c r="B492" s="2304"/>
      <c r="C492" s="1851">
        <v>2069</v>
      </c>
      <c r="D492" s="222">
        <f t="shared" si="206"/>
        <v>-965129.30539621902</v>
      </c>
      <c r="E492" s="222">
        <f t="shared" si="201"/>
        <v>-10382.515156185884</v>
      </c>
      <c r="F492" s="222">
        <f t="shared" si="202"/>
        <v>-13831.819536486613</v>
      </c>
      <c r="G492" s="222">
        <f t="shared" si="207"/>
        <v>-59.43834317922591</v>
      </c>
      <c r="H492" s="222">
        <f t="shared" si="208"/>
        <v>-45.480178542001376</v>
      </c>
      <c r="I492" s="222">
        <f t="shared" si="209"/>
        <v>-697.79105205002384</v>
      </c>
      <c r="J492" s="1881">
        <f t="shared" si="210"/>
        <v>-253.38497454684352</v>
      </c>
      <c r="K492" s="222">
        <f t="shared" si="211"/>
        <v>-651.64029518685186</v>
      </c>
      <c r="L492" s="222">
        <f t="shared" si="212"/>
        <v>-7537.0188859362288</v>
      </c>
      <c r="M492" s="220">
        <f t="shared" si="203"/>
        <v>-989.34364008889145</v>
      </c>
      <c r="N492" s="1851">
        <v>97</v>
      </c>
      <c r="O492" s="416">
        <f>'Emission-Waste Transport Vehicl'!N83</f>
        <v>12.111842658960002</v>
      </c>
      <c r="P492" s="416">
        <f>'Emission-Waste Transport Vehicl'!O83</f>
        <v>17.62020862272</v>
      </c>
      <c r="Q492" s="416">
        <f>'Emission-Waste Transport Vehicl'!P83</f>
        <v>6.7388274597600004</v>
      </c>
      <c r="R492" s="416">
        <f>'Emission-Waste Transport Vehicl'!Q83</f>
        <v>5.2335628963200005</v>
      </c>
      <c r="S492" s="416">
        <f>'Emission-Waste Transport Vehicl'!R83</f>
        <v>0.52089536664000002</v>
      </c>
      <c r="T492" s="416">
        <f>'Emission-Waste Transport Vehicl'!S83</f>
        <v>2.3952983788800002E-2</v>
      </c>
      <c r="U492" s="175">
        <f t="shared" si="204"/>
        <v>-95966.333088622472</v>
      </c>
      <c r="V492" s="175">
        <f t="shared" si="196"/>
        <v>-719.90786049605265</v>
      </c>
      <c r="W492" s="175">
        <f t="shared" si="197"/>
        <v>-801.37023410861775</v>
      </c>
      <c r="X492" s="175">
        <f t="shared" si="198"/>
        <v>-4702.2935027295207</v>
      </c>
      <c r="Y492" s="175">
        <f t="shared" si="205"/>
        <v>-1326.106201273348</v>
      </c>
      <c r="Z492" s="175">
        <f t="shared" si="199"/>
        <v>-339.43641047875303</v>
      </c>
      <c r="AA492" s="175">
        <f t="shared" si="200"/>
        <v>-180.53409119070994</v>
      </c>
      <c r="AB492" s="2735"/>
      <c r="AC492" s="3015"/>
    </row>
    <row r="493" spans="1:29" ht="18.75" x14ac:dyDescent="0.25">
      <c r="A493" s="2992" t="s">
        <v>168</v>
      </c>
      <c r="B493" s="2997" t="s">
        <v>1798</v>
      </c>
      <c r="C493" s="1862">
        <v>2019</v>
      </c>
      <c r="D493" s="216">
        <f t="shared" ref="D493:D524" si="213">$AC$22</f>
        <v>-48837.297314260592</v>
      </c>
      <c r="E493" s="216">
        <f>$AB$22*28</f>
        <v>57393.591803719057</v>
      </c>
      <c r="F493" s="216">
        <f>$AD$22*298</f>
        <v>1491.9431538155131</v>
      </c>
      <c r="G493" s="216">
        <f t="shared" ref="G493:G524" si="214">$Y$22</f>
        <v>-3.2665175146481169</v>
      </c>
      <c r="H493" s="216">
        <f t="shared" ref="H493:H524" si="215">$Z$22</f>
        <v>-3.0348891902433364</v>
      </c>
      <c r="I493" s="216">
        <f t="shared" ref="I493:I524" si="216">$X$22</f>
        <v>19.534918925704222</v>
      </c>
      <c r="J493" s="216">
        <f t="shared" ref="J493:J524" si="217">$AA$22</f>
        <v>16.744216222032204</v>
      </c>
      <c r="K493" s="216">
        <f t="shared" ref="K493:K524" si="218">$V$22</f>
        <v>16.7442162220322</v>
      </c>
      <c r="L493" s="216">
        <f t="shared" ref="L493:L524" si="219">$W$22</f>
        <v>3209.308109222839</v>
      </c>
      <c r="M493" s="765">
        <f t="shared" si="203"/>
        <v>10.048237643273978</v>
      </c>
      <c r="N493" s="1862">
        <v>62</v>
      </c>
      <c r="O493" s="766">
        <f>'Emission-Waste Transport Vehicl'!N33</f>
        <v>32.602537440000006</v>
      </c>
      <c r="P493" s="766">
        <f>'Emission-Waste Transport Vehicl'!O33</f>
        <v>47.429902080000005</v>
      </c>
      <c r="Q493" s="766">
        <f>'Emission-Waste Transport Vehicl'!P33</f>
        <v>18.139508640000003</v>
      </c>
      <c r="R493" s="766">
        <f>'Emission-Waste Transport Vehicl'!Q33</f>
        <v>14.087652480000001</v>
      </c>
      <c r="S493" s="766">
        <f>'Emission-Waste Transport Vehicl'!R33</f>
        <v>1.4021409600000001</v>
      </c>
      <c r="T493" s="766">
        <f>'Emission-Waste Transport Vehicl'!S33</f>
        <v>6.4476403200000004E-2</v>
      </c>
      <c r="U493" s="645">
        <f t="shared" si="204"/>
        <v>622.99073388298666</v>
      </c>
      <c r="V493" s="645">
        <f t="shared" si="196"/>
        <v>-106.496759569731</v>
      </c>
      <c r="W493" s="645">
        <f t="shared" si="197"/>
        <v>-143.94449711689194</v>
      </c>
      <c r="X493" s="645">
        <f t="shared" si="198"/>
        <v>354.35383063451133</v>
      </c>
      <c r="Y493" s="645">
        <f t="shared" si="205"/>
        <v>235.88669918596821</v>
      </c>
      <c r="Z493" s="645">
        <f t="shared" si="199"/>
        <v>23.477751408007805</v>
      </c>
      <c r="AA493" s="645">
        <f t="shared" si="200"/>
        <v>206.92464364328143</v>
      </c>
      <c r="AB493" s="2995">
        <f>(SUM(U493:U543)*1.2682)+(SUM(V493:V543))+(SUM(W493:W543))+(SUM(X493:X543))+(SUM(Y493:Y543))+(SUM(Z493:Z543))+(SUM(AA493:AA543))</f>
        <v>74498.379561132388</v>
      </c>
      <c r="AC493" s="3015"/>
    </row>
    <row r="494" spans="1:29" ht="18.75" x14ac:dyDescent="0.25">
      <c r="A494" s="2993"/>
      <c r="B494" s="2998"/>
      <c r="C494" s="1863">
        <v>2020</v>
      </c>
      <c r="D494" s="218">
        <f t="shared" si="213"/>
        <v>-48837.297314260592</v>
      </c>
      <c r="E494" s="221">
        <f t="shared" ref="E494:E543" si="220">$AB$22*28</f>
        <v>57393.591803719057</v>
      </c>
      <c r="F494" s="221">
        <f t="shared" ref="F494:F543" si="221">$AD$22*298</f>
        <v>1491.9431538155131</v>
      </c>
      <c r="G494" s="218">
        <f t="shared" si="214"/>
        <v>-3.2665175146481169</v>
      </c>
      <c r="H494" s="218">
        <f t="shared" si="215"/>
        <v>-3.0348891902433364</v>
      </c>
      <c r="I494" s="218">
        <f t="shared" si="216"/>
        <v>19.534918925704222</v>
      </c>
      <c r="J494" s="218">
        <f t="shared" si="217"/>
        <v>16.744216222032204</v>
      </c>
      <c r="K494" s="218">
        <f t="shared" si="218"/>
        <v>16.7442162220322</v>
      </c>
      <c r="L494" s="218">
        <f t="shared" si="219"/>
        <v>3209.308109222839</v>
      </c>
      <c r="M494" s="764">
        <f t="shared" si="203"/>
        <v>10.048237643273978</v>
      </c>
      <c r="N494" s="1863">
        <v>64</v>
      </c>
      <c r="O494" s="761">
        <f>'Emission-Waste Transport Vehicl'!N34</f>
        <v>31.963527706176006</v>
      </c>
      <c r="P494" s="761">
        <f>'Emission-Waste Transport Vehicl'!O34</f>
        <v>46.500275999232002</v>
      </c>
      <c r="Q494" s="761">
        <f>'Emission-Waste Transport Vehicl'!P34</f>
        <v>17.783974270656003</v>
      </c>
      <c r="R494" s="761">
        <f>'Emission-Waste Transport Vehicl'!Q34</f>
        <v>13.811534491392001</v>
      </c>
      <c r="S494" s="761">
        <f>'Emission-Waste Transport Vehicl'!R34</f>
        <v>1.3746589971840002</v>
      </c>
      <c r="T494" s="761">
        <f>'Emission-Waste Transport Vehicl'!S34</f>
        <v>6.3212665697280013E-2</v>
      </c>
      <c r="U494" s="174">
        <f t="shared" si="204"/>
        <v>643.08720916953462</v>
      </c>
      <c r="V494" s="174">
        <f t="shared" si="196"/>
        <v>-104.40942308216427</v>
      </c>
      <c r="W494" s="174">
        <f t="shared" si="197"/>
        <v>-141.12318497340087</v>
      </c>
      <c r="X494" s="174">
        <f t="shared" si="198"/>
        <v>347.40849555407488</v>
      </c>
      <c r="Y494" s="174">
        <f t="shared" si="205"/>
        <v>231.26331988192325</v>
      </c>
      <c r="Z494" s="174">
        <f t="shared" si="199"/>
        <v>23.017587480410853</v>
      </c>
      <c r="AA494" s="174">
        <f t="shared" si="200"/>
        <v>202.86892062787314</v>
      </c>
      <c r="AB494" s="2987"/>
      <c r="AC494" s="3015"/>
    </row>
    <row r="495" spans="1:29" ht="18.75" x14ac:dyDescent="0.25">
      <c r="A495" s="2993"/>
      <c r="B495" s="2998"/>
      <c r="C495" s="1863">
        <v>2021</v>
      </c>
      <c r="D495" s="218">
        <f t="shared" si="213"/>
        <v>-48837.297314260592</v>
      </c>
      <c r="E495" s="221">
        <f t="shared" si="220"/>
        <v>57393.591803719057</v>
      </c>
      <c r="F495" s="221">
        <f t="shared" si="221"/>
        <v>1491.9431538155131</v>
      </c>
      <c r="G495" s="218">
        <f t="shared" si="214"/>
        <v>-3.2665175146481169</v>
      </c>
      <c r="H495" s="218">
        <f t="shared" si="215"/>
        <v>-3.0348891902433364</v>
      </c>
      <c r="I495" s="218">
        <f t="shared" si="216"/>
        <v>19.534918925704222</v>
      </c>
      <c r="J495" s="218">
        <f t="shared" si="217"/>
        <v>16.744216222032204</v>
      </c>
      <c r="K495" s="218">
        <f t="shared" si="218"/>
        <v>16.7442162220322</v>
      </c>
      <c r="L495" s="218">
        <f t="shared" si="219"/>
        <v>3209.308109222839</v>
      </c>
      <c r="M495" s="764">
        <f t="shared" si="203"/>
        <v>10.048237643273978</v>
      </c>
      <c r="N495" s="1863">
        <v>65</v>
      </c>
      <c r="O495" s="761">
        <f>'Emission-Waste Transport Vehicl'!N35</f>
        <v>31.337558987328006</v>
      </c>
      <c r="P495" s="761">
        <f>'Emission-Waste Transport Vehicl'!O35</f>
        <v>45.589621879296011</v>
      </c>
      <c r="Q495" s="761">
        <f>'Emission-Waste Transport Vehicl'!P35</f>
        <v>17.435695704768001</v>
      </c>
      <c r="R495" s="761">
        <f>'Emission-Waste Transport Vehicl'!Q35</f>
        <v>13.541051563776001</v>
      </c>
      <c r="S495" s="761">
        <f>'Emission-Waste Transport Vehicl'!R35</f>
        <v>1.3477378907520003</v>
      </c>
      <c r="T495" s="761">
        <f>'Emission-Waste Transport Vehicl'!S35</f>
        <v>6.1974718755840007E-2</v>
      </c>
      <c r="U495" s="174">
        <f t="shared" si="204"/>
        <v>653.1354468128086</v>
      </c>
      <c r="V495" s="174">
        <f t="shared" si="196"/>
        <v>-102.36468529842544</v>
      </c>
      <c r="W495" s="174">
        <f t="shared" si="197"/>
        <v>-138.35945062875658</v>
      </c>
      <c r="X495" s="174">
        <f t="shared" si="198"/>
        <v>340.60490200589226</v>
      </c>
      <c r="Y495" s="174">
        <f t="shared" si="205"/>
        <v>226.73429525755267</v>
      </c>
      <c r="Z495" s="174">
        <f t="shared" si="199"/>
        <v>22.566814653377104</v>
      </c>
      <c r="AA495" s="174">
        <f t="shared" si="200"/>
        <v>198.89596746992211</v>
      </c>
      <c r="AB495" s="2987"/>
      <c r="AC495" s="3015"/>
    </row>
    <row r="496" spans="1:29" ht="18.75" x14ac:dyDescent="0.25">
      <c r="A496" s="2993"/>
      <c r="B496" s="2998"/>
      <c r="C496" s="1863">
        <v>2022</v>
      </c>
      <c r="D496" s="218">
        <f t="shared" si="213"/>
        <v>-48837.297314260592</v>
      </c>
      <c r="E496" s="221">
        <f t="shared" si="220"/>
        <v>57393.591803719057</v>
      </c>
      <c r="F496" s="221">
        <f t="shared" si="221"/>
        <v>1491.9431538155131</v>
      </c>
      <c r="G496" s="218">
        <f t="shared" si="214"/>
        <v>-3.2665175146481169</v>
      </c>
      <c r="H496" s="218">
        <f t="shared" si="215"/>
        <v>-3.0348891902433364</v>
      </c>
      <c r="I496" s="218">
        <f t="shared" si="216"/>
        <v>19.534918925704222</v>
      </c>
      <c r="J496" s="218">
        <f t="shared" si="217"/>
        <v>16.744216222032204</v>
      </c>
      <c r="K496" s="218">
        <f t="shared" si="218"/>
        <v>16.7442162220322</v>
      </c>
      <c r="L496" s="218">
        <f t="shared" si="219"/>
        <v>3209.308109222839</v>
      </c>
      <c r="M496" s="764">
        <f t="shared" si="203"/>
        <v>10.048237643273978</v>
      </c>
      <c r="N496" s="1863">
        <v>66</v>
      </c>
      <c r="O496" s="761">
        <f>'Emission-Waste Transport Vehicl'!N36</f>
        <v>30.721371029712003</v>
      </c>
      <c r="P496" s="761">
        <f>'Emission-Waste Transport Vehicl'!O36</f>
        <v>44.693196729984003</v>
      </c>
      <c r="Q496" s="761">
        <f>'Emission-Waste Transport Vehicl'!P36</f>
        <v>17.092858991472003</v>
      </c>
      <c r="R496" s="761">
        <f>'Emission-Waste Transport Vehicl'!Q36</f>
        <v>13.274794931903999</v>
      </c>
      <c r="S496" s="761">
        <f>'Emission-Waste Transport Vehicl'!R36</f>
        <v>1.3212374266080003</v>
      </c>
      <c r="T496" s="761">
        <f>'Emission-Waste Transport Vehicl'!S36</f>
        <v>6.0756114735360002E-2</v>
      </c>
      <c r="U496" s="174">
        <f t="shared" si="204"/>
        <v>663.18368445608257</v>
      </c>
      <c r="V496" s="174">
        <f t="shared" si="196"/>
        <v>-100.35189654255751</v>
      </c>
      <c r="W496" s="174">
        <f t="shared" si="197"/>
        <v>-135.63889963324729</v>
      </c>
      <c r="X496" s="174">
        <f t="shared" si="198"/>
        <v>333.90761460689998</v>
      </c>
      <c r="Y496" s="174">
        <f t="shared" si="205"/>
        <v>222.27603664293784</v>
      </c>
      <c r="Z496" s="174">
        <f t="shared" si="199"/>
        <v>22.123085151765757</v>
      </c>
      <c r="AA496" s="174">
        <f t="shared" si="200"/>
        <v>194.98509170506406</v>
      </c>
      <c r="AB496" s="2987"/>
      <c r="AC496" s="3015"/>
    </row>
    <row r="497" spans="1:29" ht="18.75" x14ac:dyDescent="0.25">
      <c r="A497" s="2993"/>
      <c r="B497" s="2998"/>
      <c r="C497" s="1863">
        <v>2023</v>
      </c>
      <c r="D497" s="218">
        <f t="shared" si="213"/>
        <v>-48837.297314260592</v>
      </c>
      <c r="E497" s="221">
        <f t="shared" si="220"/>
        <v>57393.591803719057</v>
      </c>
      <c r="F497" s="221">
        <f t="shared" si="221"/>
        <v>1491.9431538155131</v>
      </c>
      <c r="G497" s="218">
        <f t="shared" si="214"/>
        <v>-3.2665175146481169</v>
      </c>
      <c r="H497" s="218">
        <f t="shared" si="215"/>
        <v>-3.0348891902433364</v>
      </c>
      <c r="I497" s="218">
        <f t="shared" si="216"/>
        <v>19.534918925704222</v>
      </c>
      <c r="J497" s="218">
        <f t="shared" si="217"/>
        <v>16.744216222032204</v>
      </c>
      <c r="K497" s="218">
        <f t="shared" si="218"/>
        <v>16.7442162220322</v>
      </c>
      <c r="L497" s="218">
        <f t="shared" si="219"/>
        <v>3209.308109222839</v>
      </c>
      <c r="M497" s="764">
        <f t="shared" si="203"/>
        <v>10.048237643273978</v>
      </c>
      <c r="N497" s="1863">
        <v>67</v>
      </c>
      <c r="O497" s="761">
        <f>'Emission-Waste Transport Vehicl'!N37</f>
        <v>30.118224087072001</v>
      </c>
      <c r="P497" s="761">
        <f>'Emission-Waste Transport Vehicl'!O37</f>
        <v>43.815743541504006</v>
      </c>
      <c r="Q497" s="761">
        <f>'Emission-Waste Transport Vehicl'!P37</f>
        <v>16.757278081632002</v>
      </c>
      <c r="R497" s="761">
        <f>'Emission-Waste Transport Vehicl'!Q37</f>
        <v>13.014173361024</v>
      </c>
      <c r="S497" s="761">
        <f>'Emission-Waste Transport Vehicl'!R37</f>
        <v>1.295297818848</v>
      </c>
      <c r="T497" s="761">
        <f>'Emission-Waste Transport Vehicl'!S37</f>
        <v>5.9563301276160004E-2</v>
      </c>
      <c r="U497" s="174">
        <f t="shared" si="204"/>
        <v>673.23192209935655</v>
      </c>
      <c r="V497" s="174">
        <f t="shared" si="196"/>
        <v>-98.381706490517487</v>
      </c>
      <c r="W497" s="174">
        <f t="shared" si="197"/>
        <v>-132.97592643658479</v>
      </c>
      <c r="X497" s="174">
        <f t="shared" si="198"/>
        <v>327.35206874016154</v>
      </c>
      <c r="Y497" s="174">
        <f t="shared" si="205"/>
        <v>217.91213270799742</v>
      </c>
      <c r="Z497" s="174">
        <f t="shared" si="199"/>
        <v>21.688746750717609</v>
      </c>
      <c r="AA497" s="174">
        <f t="shared" si="200"/>
        <v>191.15698579766337</v>
      </c>
      <c r="AB497" s="2987"/>
      <c r="AC497" s="3015"/>
    </row>
    <row r="498" spans="1:29" ht="18.75" x14ac:dyDescent="0.25">
      <c r="A498" s="2993"/>
      <c r="B498" s="2998"/>
      <c r="C498" s="1863">
        <v>2024</v>
      </c>
      <c r="D498" s="218">
        <f t="shared" si="213"/>
        <v>-48837.297314260592</v>
      </c>
      <c r="E498" s="221">
        <f t="shared" si="220"/>
        <v>57393.591803719057</v>
      </c>
      <c r="F498" s="221">
        <f t="shared" si="221"/>
        <v>1491.9431538155131</v>
      </c>
      <c r="G498" s="218">
        <f t="shared" si="214"/>
        <v>-3.2665175146481169</v>
      </c>
      <c r="H498" s="218">
        <f t="shared" si="215"/>
        <v>-3.0348891902433364</v>
      </c>
      <c r="I498" s="218">
        <f t="shared" si="216"/>
        <v>19.534918925704222</v>
      </c>
      <c r="J498" s="218">
        <f t="shared" si="217"/>
        <v>16.744216222032204</v>
      </c>
      <c r="K498" s="218">
        <f t="shared" si="218"/>
        <v>16.7442162220322</v>
      </c>
      <c r="L498" s="218">
        <f t="shared" si="219"/>
        <v>3209.308109222839</v>
      </c>
      <c r="M498" s="764">
        <f t="shared" si="203"/>
        <v>10.048237643273978</v>
      </c>
      <c r="N498" s="1863">
        <v>68</v>
      </c>
      <c r="O498" s="761">
        <f>'Emission-Waste Transport Vehicl'!N38</f>
        <v>29.528118159408002</v>
      </c>
      <c r="P498" s="761">
        <f>'Emission-Waste Transport Vehicl'!O38</f>
        <v>42.957262313856006</v>
      </c>
      <c r="Q498" s="761">
        <f>'Emission-Waste Transport Vehicl'!P38</f>
        <v>16.428952975248002</v>
      </c>
      <c r="R498" s="761">
        <f>'Emission-Waste Transport Vehicl'!Q38</f>
        <v>12.759186851135999</v>
      </c>
      <c r="S498" s="761">
        <f>'Emission-Waste Transport Vehicl'!R38</f>
        <v>1.269919067472</v>
      </c>
      <c r="T498" s="761">
        <f>'Emission-Waste Transport Vehicl'!S38</f>
        <v>5.8396278378240005E-2</v>
      </c>
      <c r="U498" s="174">
        <f t="shared" si="204"/>
        <v>683.28015974263053</v>
      </c>
      <c r="V498" s="174">
        <f t="shared" si="196"/>
        <v>-96.454115142305355</v>
      </c>
      <c r="W498" s="174">
        <f t="shared" si="197"/>
        <v>-130.37053103876903</v>
      </c>
      <c r="X498" s="174">
        <f t="shared" si="198"/>
        <v>320.93826440567688</v>
      </c>
      <c r="Y498" s="174">
        <f t="shared" si="205"/>
        <v>213.64258345273137</v>
      </c>
      <c r="Z498" s="174">
        <f t="shared" si="199"/>
        <v>21.263799450232668</v>
      </c>
      <c r="AA498" s="174">
        <f t="shared" si="200"/>
        <v>187.41164974771999</v>
      </c>
      <c r="AB498" s="2987"/>
      <c r="AC498" s="3015"/>
    </row>
    <row r="499" spans="1:29" ht="18.75" x14ac:dyDescent="0.25">
      <c r="A499" s="2993"/>
      <c r="B499" s="2998"/>
      <c r="C499" s="1863">
        <v>2025</v>
      </c>
      <c r="D499" s="218">
        <f t="shared" si="213"/>
        <v>-48837.297314260592</v>
      </c>
      <c r="E499" s="221">
        <f t="shared" si="220"/>
        <v>57393.591803719057</v>
      </c>
      <c r="F499" s="221">
        <f t="shared" si="221"/>
        <v>1491.9431538155131</v>
      </c>
      <c r="G499" s="218">
        <f t="shared" si="214"/>
        <v>-3.2665175146481169</v>
      </c>
      <c r="H499" s="218">
        <f t="shared" si="215"/>
        <v>-3.0348891902433364</v>
      </c>
      <c r="I499" s="218">
        <f t="shared" si="216"/>
        <v>19.534918925704222</v>
      </c>
      <c r="J499" s="218">
        <f t="shared" si="217"/>
        <v>16.744216222032204</v>
      </c>
      <c r="K499" s="218">
        <f t="shared" si="218"/>
        <v>16.7442162220322</v>
      </c>
      <c r="L499" s="218">
        <f t="shared" si="219"/>
        <v>3209.308109222839</v>
      </c>
      <c r="M499" s="764">
        <f t="shared" si="203"/>
        <v>10.048237643273978</v>
      </c>
      <c r="N499" s="1863">
        <v>69</v>
      </c>
      <c r="O499" s="761">
        <f>'Emission-Waste Transport Vehicl'!N39</f>
        <v>28.951053246720004</v>
      </c>
      <c r="P499" s="761">
        <f>'Emission-Waste Transport Vehicl'!O39</f>
        <v>42.117753047040004</v>
      </c>
      <c r="Q499" s="761">
        <f>'Emission-Waste Transport Vehicl'!P39</f>
        <v>16.10788367232</v>
      </c>
      <c r="R499" s="761">
        <f>'Emission-Waste Transport Vehicl'!Q39</f>
        <v>12.50983540224</v>
      </c>
      <c r="S499" s="761">
        <f>'Emission-Waste Transport Vehicl'!R39</f>
        <v>1.2451011724800001</v>
      </c>
      <c r="T499" s="761">
        <f>'Emission-Waste Transport Vehicl'!S39</f>
        <v>5.7255046041600005E-2</v>
      </c>
      <c r="U499" s="174">
        <f t="shared" si="204"/>
        <v>693.32839738590451</v>
      </c>
      <c r="V499" s="174">
        <f t="shared" si="196"/>
        <v>-94.569122497921128</v>
      </c>
      <c r="W499" s="174">
        <f t="shared" si="197"/>
        <v>-127.82271343980005</v>
      </c>
      <c r="X499" s="174">
        <f t="shared" si="198"/>
        <v>314.66620160344598</v>
      </c>
      <c r="Y499" s="174">
        <f t="shared" si="205"/>
        <v>209.46738887713977</v>
      </c>
      <c r="Z499" s="174">
        <f t="shared" si="199"/>
        <v>20.848243250310929</v>
      </c>
      <c r="AA499" s="174">
        <f t="shared" si="200"/>
        <v>183.74908355523391</v>
      </c>
      <c r="AB499" s="2987"/>
      <c r="AC499" s="3015"/>
    </row>
    <row r="500" spans="1:29" ht="18.75" x14ac:dyDescent="0.25">
      <c r="A500" s="2993"/>
      <c r="B500" s="2998"/>
      <c r="C500" s="1863">
        <v>2026</v>
      </c>
      <c r="D500" s="218">
        <f t="shared" si="213"/>
        <v>-48837.297314260592</v>
      </c>
      <c r="E500" s="221">
        <f t="shared" si="220"/>
        <v>57393.591803719057</v>
      </c>
      <c r="F500" s="221">
        <f t="shared" si="221"/>
        <v>1491.9431538155131</v>
      </c>
      <c r="G500" s="218">
        <f t="shared" si="214"/>
        <v>-3.2665175146481169</v>
      </c>
      <c r="H500" s="218">
        <f t="shared" si="215"/>
        <v>-3.0348891902433364</v>
      </c>
      <c r="I500" s="218">
        <f t="shared" si="216"/>
        <v>19.534918925704222</v>
      </c>
      <c r="J500" s="218">
        <f t="shared" si="217"/>
        <v>16.744216222032204</v>
      </c>
      <c r="K500" s="218">
        <f t="shared" si="218"/>
        <v>16.7442162220322</v>
      </c>
      <c r="L500" s="218">
        <f t="shared" si="219"/>
        <v>3209.308109222839</v>
      </c>
      <c r="M500" s="764">
        <f t="shared" si="203"/>
        <v>10.048237643273978</v>
      </c>
      <c r="N500" s="1863">
        <v>70</v>
      </c>
      <c r="O500" s="761">
        <f>'Emission-Waste Transport Vehicl'!N40</f>
        <v>28.383769095264007</v>
      </c>
      <c r="P500" s="761">
        <f>'Emission-Waste Transport Vehicl'!O40</f>
        <v>41.292472750848006</v>
      </c>
      <c r="Q500" s="761">
        <f>'Emission-Waste Transport Vehicl'!P40</f>
        <v>15.792256221984003</v>
      </c>
      <c r="R500" s="761">
        <f>'Emission-Waste Transport Vehicl'!Q40</f>
        <v>12.264710249088001</v>
      </c>
      <c r="S500" s="761">
        <f>'Emission-Waste Transport Vehicl'!R40</f>
        <v>1.2207039197760001</v>
      </c>
      <c r="T500" s="761">
        <f>'Emission-Waste Transport Vehicl'!S40</f>
        <v>5.6133156625920007E-2</v>
      </c>
      <c r="U500" s="174">
        <f t="shared" si="204"/>
        <v>703.37663502917849</v>
      </c>
      <c r="V500" s="174">
        <f t="shared" si="196"/>
        <v>-92.71607888140781</v>
      </c>
      <c r="W500" s="174">
        <f t="shared" si="197"/>
        <v>-125.31807918996614</v>
      </c>
      <c r="X500" s="174">
        <f t="shared" si="198"/>
        <v>308.50044495040555</v>
      </c>
      <c r="Y500" s="174">
        <f t="shared" si="205"/>
        <v>205.36296031130394</v>
      </c>
      <c r="Z500" s="174">
        <f t="shared" si="199"/>
        <v>20.439730375811596</v>
      </c>
      <c r="AA500" s="174">
        <f t="shared" si="200"/>
        <v>180.1485947558408</v>
      </c>
      <c r="AB500" s="2987"/>
      <c r="AC500" s="3015"/>
    </row>
    <row r="501" spans="1:29" ht="18.75" x14ac:dyDescent="0.25">
      <c r="A501" s="2993"/>
      <c r="B501" s="2998"/>
      <c r="C501" s="1863">
        <v>2027</v>
      </c>
      <c r="D501" s="218">
        <f t="shared" si="213"/>
        <v>-48837.297314260592</v>
      </c>
      <c r="E501" s="221">
        <f t="shared" si="220"/>
        <v>57393.591803719057</v>
      </c>
      <c r="F501" s="221">
        <f t="shared" si="221"/>
        <v>1491.9431538155131</v>
      </c>
      <c r="G501" s="218">
        <f t="shared" si="214"/>
        <v>-3.2665175146481169</v>
      </c>
      <c r="H501" s="218">
        <f t="shared" si="215"/>
        <v>-3.0348891902433364</v>
      </c>
      <c r="I501" s="218">
        <f t="shared" si="216"/>
        <v>19.534918925704222</v>
      </c>
      <c r="J501" s="218">
        <f t="shared" si="217"/>
        <v>16.744216222032204</v>
      </c>
      <c r="K501" s="218">
        <f t="shared" si="218"/>
        <v>16.7442162220322</v>
      </c>
      <c r="L501" s="218">
        <f t="shared" si="219"/>
        <v>3209.308109222839</v>
      </c>
      <c r="M501" s="764">
        <f t="shared" si="203"/>
        <v>10.048237643273978</v>
      </c>
      <c r="N501" s="1863">
        <v>71</v>
      </c>
      <c r="O501" s="761">
        <f>'Emission-Waste Transport Vehicl'!N41</f>
        <v>27.826265705040004</v>
      </c>
      <c r="P501" s="761">
        <f>'Emission-Waste Transport Vehicl'!O41</f>
        <v>40.481421425280004</v>
      </c>
      <c r="Q501" s="761">
        <f>'Emission-Waste Transport Vehicl'!P41</f>
        <v>15.482070624240002</v>
      </c>
      <c r="R501" s="761">
        <f>'Emission-Waste Transport Vehicl'!Q41</f>
        <v>12.023811391680001</v>
      </c>
      <c r="S501" s="761">
        <f>'Emission-Waste Transport Vehicl'!R41</f>
        <v>1.1967273093600002</v>
      </c>
      <c r="T501" s="761">
        <f>'Emission-Waste Transport Vehicl'!S41</f>
        <v>5.503061013120001E-2</v>
      </c>
      <c r="U501" s="174">
        <f t="shared" si="204"/>
        <v>713.42487267245247</v>
      </c>
      <c r="V501" s="174">
        <f t="shared" si="196"/>
        <v>-90.8949842927654</v>
      </c>
      <c r="W501" s="174">
        <f t="shared" si="197"/>
        <v>-122.85662828926728</v>
      </c>
      <c r="X501" s="174">
        <f t="shared" si="198"/>
        <v>302.44099444655541</v>
      </c>
      <c r="Y501" s="174">
        <f t="shared" si="205"/>
        <v>201.32929775522388</v>
      </c>
      <c r="Z501" s="174">
        <f t="shared" si="199"/>
        <v>20.03826082673466</v>
      </c>
      <c r="AA501" s="174">
        <f t="shared" si="200"/>
        <v>176.6101833495407</v>
      </c>
      <c r="AB501" s="2987"/>
      <c r="AC501" s="3015"/>
    </row>
    <row r="502" spans="1:29" ht="18.75" x14ac:dyDescent="0.25">
      <c r="A502" s="2993"/>
      <c r="B502" s="2998"/>
      <c r="C502" s="1863">
        <v>2028</v>
      </c>
      <c r="D502" s="218">
        <f t="shared" si="213"/>
        <v>-48837.297314260592</v>
      </c>
      <c r="E502" s="221">
        <f t="shared" si="220"/>
        <v>57393.591803719057</v>
      </c>
      <c r="F502" s="221">
        <f t="shared" si="221"/>
        <v>1491.9431538155131</v>
      </c>
      <c r="G502" s="218">
        <f t="shared" si="214"/>
        <v>-3.2665175146481169</v>
      </c>
      <c r="H502" s="218">
        <f t="shared" si="215"/>
        <v>-3.0348891902433364</v>
      </c>
      <c r="I502" s="218">
        <f t="shared" si="216"/>
        <v>19.534918925704222</v>
      </c>
      <c r="J502" s="218">
        <f t="shared" si="217"/>
        <v>16.744216222032204</v>
      </c>
      <c r="K502" s="218">
        <f t="shared" si="218"/>
        <v>16.7442162220322</v>
      </c>
      <c r="L502" s="218">
        <f t="shared" si="219"/>
        <v>3209.308109222839</v>
      </c>
      <c r="M502" s="764">
        <f t="shared" si="203"/>
        <v>10.048237643273978</v>
      </c>
      <c r="N502" s="1863">
        <v>72</v>
      </c>
      <c r="O502" s="761">
        <f>'Emission-Waste Transport Vehicl'!N42</f>
        <v>27.281803329792002</v>
      </c>
      <c r="P502" s="761">
        <f>'Emission-Waste Transport Vehicl'!O42</f>
        <v>39.689342060544</v>
      </c>
      <c r="Q502" s="761">
        <f>'Emission-Waste Transport Vehicl'!P42</f>
        <v>15.179140829952001</v>
      </c>
      <c r="R502" s="761">
        <f>'Emission-Waste Transport Vehicl'!Q42</f>
        <v>11.788547595263999</v>
      </c>
      <c r="S502" s="761">
        <f>'Emission-Waste Transport Vehicl'!R42</f>
        <v>1.173311555328</v>
      </c>
      <c r="T502" s="761">
        <f>'Emission-Waste Transport Vehicl'!S42</f>
        <v>5.3953854197759998E-2</v>
      </c>
      <c r="U502" s="174">
        <f t="shared" si="204"/>
        <v>723.47311031572644</v>
      </c>
      <c r="V502" s="174">
        <f t="shared" si="196"/>
        <v>-89.116488407950897</v>
      </c>
      <c r="W502" s="174">
        <f t="shared" si="197"/>
        <v>-120.45275518741516</v>
      </c>
      <c r="X502" s="174">
        <f t="shared" si="198"/>
        <v>296.52328547495904</v>
      </c>
      <c r="Y502" s="174">
        <f t="shared" si="205"/>
        <v>197.3899898788182</v>
      </c>
      <c r="Z502" s="174">
        <f t="shared" si="199"/>
        <v>19.646182378220928</v>
      </c>
      <c r="AA502" s="174">
        <f t="shared" si="200"/>
        <v>173.15454180069787</v>
      </c>
      <c r="AB502" s="2987"/>
      <c r="AC502" s="3015"/>
    </row>
    <row r="503" spans="1:29" ht="18.75" x14ac:dyDescent="0.25">
      <c r="A503" s="2993"/>
      <c r="B503" s="2998"/>
      <c r="C503" s="1863">
        <v>2029</v>
      </c>
      <c r="D503" s="218">
        <f t="shared" si="213"/>
        <v>-48837.297314260592</v>
      </c>
      <c r="E503" s="221">
        <f t="shared" si="220"/>
        <v>57393.591803719057</v>
      </c>
      <c r="F503" s="221">
        <f t="shared" si="221"/>
        <v>1491.9431538155131</v>
      </c>
      <c r="G503" s="218">
        <f t="shared" si="214"/>
        <v>-3.2665175146481169</v>
      </c>
      <c r="H503" s="218">
        <f t="shared" si="215"/>
        <v>-3.0348891902433364</v>
      </c>
      <c r="I503" s="218">
        <f t="shared" si="216"/>
        <v>19.534918925704222</v>
      </c>
      <c r="J503" s="218">
        <f t="shared" si="217"/>
        <v>16.744216222032204</v>
      </c>
      <c r="K503" s="218">
        <f t="shared" si="218"/>
        <v>16.7442162220322</v>
      </c>
      <c r="L503" s="218">
        <f t="shared" si="219"/>
        <v>3209.308109222839</v>
      </c>
      <c r="M503" s="764">
        <f t="shared" si="203"/>
        <v>10.048237643273978</v>
      </c>
      <c r="N503" s="1863">
        <v>73</v>
      </c>
      <c r="O503" s="761">
        <f>'Emission-Waste Transport Vehicl'!N43</f>
        <v>26.743861462032005</v>
      </c>
      <c r="P503" s="761">
        <f>'Emission-Waste Transport Vehicl'!O43</f>
        <v>38.906748676224005</v>
      </c>
      <c r="Q503" s="761">
        <f>'Emission-Waste Transport Vehicl'!P43</f>
        <v>14.879838937392002</v>
      </c>
      <c r="R503" s="761">
        <f>'Emission-Waste Transport Vehicl'!Q43</f>
        <v>11.556101329344001</v>
      </c>
      <c r="S503" s="761">
        <f>'Emission-Waste Transport Vehicl'!R43</f>
        <v>1.1501762294880002</v>
      </c>
      <c r="T503" s="761">
        <f>'Emission-Waste Transport Vehicl'!S43</f>
        <v>5.2889993544960004E-2</v>
      </c>
      <c r="U503" s="174">
        <f t="shared" si="204"/>
        <v>733.52134795900042</v>
      </c>
      <c r="V503" s="174">
        <f t="shared" si="196"/>
        <v>-87.359291875050332</v>
      </c>
      <c r="W503" s="174">
        <f t="shared" si="197"/>
        <v>-118.07767098498647</v>
      </c>
      <c r="X503" s="174">
        <f t="shared" si="198"/>
        <v>290.67644726948959</v>
      </c>
      <c r="Y503" s="174">
        <f t="shared" si="205"/>
        <v>193.49785934224974</v>
      </c>
      <c r="Z503" s="174">
        <f t="shared" si="199"/>
        <v>19.258799479988806</v>
      </c>
      <c r="AA503" s="174">
        <f t="shared" si="200"/>
        <v>169.74028518058375</v>
      </c>
      <c r="AB503" s="2987"/>
      <c r="AC503" s="3015"/>
    </row>
    <row r="504" spans="1:29" ht="18.75" x14ac:dyDescent="0.25">
      <c r="A504" s="2993"/>
      <c r="B504" s="2998"/>
      <c r="C504" s="1863">
        <v>2030</v>
      </c>
      <c r="D504" s="218">
        <f t="shared" si="213"/>
        <v>-48837.297314260592</v>
      </c>
      <c r="E504" s="221">
        <f t="shared" si="220"/>
        <v>57393.591803719057</v>
      </c>
      <c r="F504" s="221">
        <f t="shared" si="221"/>
        <v>1491.9431538155131</v>
      </c>
      <c r="G504" s="218">
        <f t="shared" si="214"/>
        <v>-3.2665175146481169</v>
      </c>
      <c r="H504" s="218">
        <f t="shared" si="215"/>
        <v>-3.0348891902433364</v>
      </c>
      <c r="I504" s="218">
        <f t="shared" si="216"/>
        <v>19.534918925704222</v>
      </c>
      <c r="J504" s="218">
        <f t="shared" si="217"/>
        <v>16.744216222032204</v>
      </c>
      <c r="K504" s="218">
        <f t="shared" si="218"/>
        <v>16.7442162220322</v>
      </c>
      <c r="L504" s="218">
        <f t="shared" si="219"/>
        <v>3209.308109222839</v>
      </c>
      <c r="M504" s="764">
        <f t="shared" si="203"/>
        <v>10.048237643273978</v>
      </c>
      <c r="N504" s="1863">
        <v>75</v>
      </c>
      <c r="O504" s="761">
        <f>'Emission-Waste Transport Vehicl'!N44</f>
        <v>26.222220862992003</v>
      </c>
      <c r="P504" s="761">
        <f>'Emission-Waste Transport Vehicl'!O44</f>
        <v>38.147870242944002</v>
      </c>
      <c r="Q504" s="761">
        <f>'Emission-Waste Transport Vehicl'!P44</f>
        <v>14.589606799152003</v>
      </c>
      <c r="R504" s="761">
        <f>'Emission-Waste Transport Vehicl'!Q44</f>
        <v>11.330698889664001</v>
      </c>
      <c r="S504" s="761">
        <f>'Emission-Waste Transport Vehicl'!R44</f>
        <v>1.1277419741280001</v>
      </c>
      <c r="T504" s="761">
        <f>'Emission-Waste Transport Vehicl'!S44</f>
        <v>5.1858371093760007E-2</v>
      </c>
      <c r="U504" s="174">
        <f t="shared" si="204"/>
        <v>753.61782324554838</v>
      </c>
      <c r="V504" s="174">
        <f t="shared" si="196"/>
        <v>-85.655343721934642</v>
      </c>
      <c r="W504" s="174">
        <f t="shared" si="197"/>
        <v>-115.77455903111618</v>
      </c>
      <c r="X504" s="174">
        <f t="shared" si="198"/>
        <v>285.00678597933745</v>
      </c>
      <c r="Y504" s="174">
        <f t="shared" si="205"/>
        <v>189.72367215527424</v>
      </c>
      <c r="Z504" s="174">
        <f t="shared" si="199"/>
        <v>18.883155457460678</v>
      </c>
      <c r="AA504" s="174">
        <f t="shared" si="200"/>
        <v>166.42949088229125</v>
      </c>
      <c r="AB504" s="2987"/>
      <c r="AC504" s="3015"/>
    </row>
    <row r="505" spans="1:29" ht="18.75" x14ac:dyDescent="0.25">
      <c r="A505" s="2993"/>
      <c r="B505" s="2998"/>
      <c r="C505" s="1863">
        <v>2031</v>
      </c>
      <c r="D505" s="218">
        <f t="shared" si="213"/>
        <v>-48837.297314260592</v>
      </c>
      <c r="E505" s="221">
        <f t="shared" si="220"/>
        <v>57393.591803719057</v>
      </c>
      <c r="F505" s="221">
        <f t="shared" si="221"/>
        <v>1491.9431538155131</v>
      </c>
      <c r="G505" s="218">
        <f t="shared" si="214"/>
        <v>-3.2665175146481169</v>
      </c>
      <c r="H505" s="218">
        <f t="shared" si="215"/>
        <v>-3.0348891902433364</v>
      </c>
      <c r="I505" s="218">
        <f t="shared" si="216"/>
        <v>19.534918925704222</v>
      </c>
      <c r="J505" s="218">
        <f t="shared" si="217"/>
        <v>16.744216222032204</v>
      </c>
      <c r="K505" s="218">
        <f t="shared" si="218"/>
        <v>16.7442162220322</v>
      </c>
      <c r="L505" s="218">
        <f t="shared" si="219"/>
        <v>3209.308109222839</v>
      </c>
      <c r="M505" s="764">
        <f t="shared" si="203"/>
        <v>10.048237643273978</v>
      </c>
      <c r="N505" s="1863">
        <v>76</v>
      </c>
      <c r="O505" s="761">
        <f>'Emission-Waste Transport Vehicl'!N45</f>
        <v>25.70710077144</v>
      </c>
      <c r="P505" s="761">
        <f>'Emission-Waste Transport Vehicl'!O45</f>
        <v>37.398477790080001</v>
      </c>
      <c r="Q505" s="761">
        <f>'Emission-Waste Transport Vehicl'!P45</f>
        <v>14.303002562640001</v>
      </c>
      <c r="R505" s="761">
        <f>'Emission-Waste Transport Vehicl'!Q45</f>
        <v>11.108113980480001</v>
      </c>
      <c r="S505" s="761">
        <f>'Emission-Waste Transport Vehicl'!R45</f>
        <v>1.1055881469600002</v>
      </c>
      <c r="T505" s="761">
        <f>'Emission-Waste Transport Vehicl'!S45</f>
        <v>5.0839643923200006E-2</v>
      </c>
      <c r="U505" s="174">
        <f t="shared" si="204"/>
        <v>763.66606088882236</v>
      </c>
      <c r="V505" s="174">
        <f t="shared" si="196"/>
        <v>-83.972694920732877</v>
      </c>
      <c r="W505" s="174">
        <f t="shared" si="197"/>
        <v>-113.50023597666929</v>
      </c>
      <c r="X505" s="174">
        <f t="shared" si="198"/>
        <v>279.40799545531218</v>
      </c>
      <c r="Y505" s="174">
        <f t="shared" si="205"/>
        <v>185.99666230813594</v>
      </c>
      <c r="Z505" s="174">
        <f t="shared" si="199"/>
        <v>18.512206985214156</v>
      </c>
      <c r="AA505" s="174">
        <f t="shared" si="200"/>
        <v>163.1600815127274</v>
      </c>
      <c r="AB505" s="2987"/>
      <c r="AC505" s="3015"/>
    </row>
    <row r="506" spans="1:29" ht="18.75" x14ac:dyDescent="0.25">
      <c r="A506" s="2993"/>
      <c r="B506" s="2998"/>
      <c r="C506" s="1863">
        <v>2032</v>
      </c>
      <c r="D506" s="218">
        <f t="shared" si="213"/>
        <v>-48837.297314260592</v>
      </c>
      <c r="E506" s="221">
        <f t="shared" si="220"/>
        <v>57393.591803719057</v>
      </c>
      <c r="F506" s="221">
        <f t="shared" si="221"/>
        <v>1491.9431538155131</v>
      </c>
      <c r="G506" s="218">
        <f t="shared" si="214"/>
        <v>-3.2665175146481169</v>
      </c>
      <c r="H506" s="218">
        <f t="shared" si="215"/>
        <v>-3.0348891902433364</v>
      </c>
      <c r="I506" s="218">
        <f t="shared" si="216"/>
        <v>19.534918925704222</v>
      </c>
      <c r="J506" s="218">
        <f t="shared" si="217"/>
        <v>16.744216222032204</v>
      </c>
      <c r="K506" s="218">
        <f t="shared" si="218"/>
        <v>16.7442162220322</v>
      </c>
      <c r="L506" s="218">
        <f t="shared" si="219"/>
        <v>3209.308109222839</v>
      </c>
      <c r="M506" s="764">
        <f t="shared" si="203"/>
        <v>10.048237643273978</v>
      </c>
      <c r="N506" s="1863">
        <v>77</v>
      </c>
      <c r="O506" s="761">
        <f>'Emission-Waste Transport Vehicl'!N46</f>
        <v>25.201761441120002</v>
      </c>
      <c r="P506" s="761">
        <f>'Emission-Waste Transport Vehicl'!O46</f>
        <v>36.663314307840004</v>
      </c>
      <c r="Q506" s="761">
        <f>'Emission-Waste Transport Vehicl'!P46</f>
        <v>14.021840178720002</v>
      </c>
      <c r="R506" s="761">
        <f>'Emission-Waste Transport Vehicl'!Q46</f>
        <v>10.889755367040001</v>
      </c>
      <c r="S506" s="761">
        <f>'Emission-Waste Transport Vehicl'!R46</f>
        <v>1.0838549620800002</v>
      </c>
      <c r="T506" s="761">
        <f>'Emission-Waste Transport Vehicl'!S46</f>
        <v>4.9840259673600007E-2</v>
      </c>
      <c r="U506" s="174">
        <f t="shared" si="204"/>
        <v>773.71429853209634</v>
      </c>
      <c r="V506" s="174">
        <f t="shared" ref="V506:V569" si="222">G506*O506</f>
        <v>-82.321995147402049</v>
      </c>
      <c r="W506" s="174">
        <f t="shared" ref="W506:W569" si="223">H506*P506</f>
        <v>-111.26909627135748</v>
      </c>
      <c r="X506" s="174">
        <f t="shared" ref="X506:X569" si="224">I506*Q506</f>
        <v>273.91551108047724</v>
      </c>
      <c r="Y506" s="174">
        <f t="shared" ref="Y506:Y569" si="225">J506*R506</f>
        <v>182.34041847075343</v>
      </c>
      <c r="Z506" s="174">
        <f t="shared" ref="Z506:Z569" si="226">K506*S506</f>
        <v>18.148301838390037</v>
      </c>
      <c r="AA506" s="174">
        <f t="shared" ref="AA506:AA569" si="227">T506*L506</f>
        <v>159.95274953625656</v>
      </c>
      <c r="AB506" s="2987"/>
      <c r="AC506" s="3015"/>
    </row>
    <row r="507" spans="1:29" ht="18.75" x14ac:dyDescent="0.25">
      <c r="A507" s="2993"/>
      <c r="B507" s="2998"/>
      <c r="C507" s="1863">
        <v>2033</v>
      </c>
      <c r="D507" s="218">
        <f t="shared" si="213"/>
        <v>-48837.297314260592</v>
      </c>
      <c r="E507" s="221">
        <f t="shared" si="220"/>
        <v>57393.591803719057</v>
      </c>
      <c r="F507" s="221">
        <f t="shared" si="221"/>
        <v>1491.9431538155131</v>
      </c>
      <c r="G507" s="218">
        <f t="shared" si="214"/>
        <v>-3.2665175146481169</v>
      </c>
      <c r="H507" s="218">
        <f t="shared" si="215"/>
        <v>-3.0348891902433364</v>
      </c>
      <c r="I507" s="218">
        <f t="shared" si="216"/>
        <v>19.534918925704222</v>
      </c>
      <c r="J507" s="218">
        <f t="shared" si="217"/>
        <v>16.744216222032204</v>
      </c>
      <c r="K507" s="218">
        <f t="shared" si="218"/>
        <v>16.7442162220322</v>
      </c>
      <c r="L507" s="218">
        <f t="shared" si="219"/>
        <v>3209.308109222839</v>
      </c>
      <c r="M507" s="764">
        <f t="shared" ref="M507:M570" si="228">(D507/1000)+(E507/1000)+(F507/1000)</f>
        <v>10.048237643273978</v>
      </c>
      <c r="N507" s="1863">
        <v>78</v>
      </c>
      <c r="O507" s="761">
        <f>'Emission-Waste Transport Vehicl'!N47</f>
        <v>24.709463125776001</v>
      </c>
      <c r="P507" s="761">
        <f>'Emission-Waste Transport Vehicl'!O47</f>
        <v>35.947122786432004</v>
      </c>
      <c r="Q507" s="761">
        <f>'Emission-Waste Transport Vehicl'!P47</f>
        <v>13.747933598256003</v>
      </c>
      <c r="R507" s="761">
        <f>'Emission-Waste Transport Vehicl'!Q47</f>
        <v>10.677031814592</v>
      </c>
      <c r="S507" s="761">
        <f>'Emission-Waste Transport Vehicl'!R47</f>
        <v>1.0626826335840001</v>
      </c>
      <c r="T507" s="761">
        <f>'Emission-Waste Transport Vehicl'!S47</f>
        <v>4.8866665985280007E-2</v>
      </c>
      <c r="U507" s="174">
        <f t="shared" ref="U507:U570" si="229">M507*N507</f>
        <v>783.76253617537031</v>
      </c>
      <c r="V507" s="174">
        <f t="shared" si="222"/>
        <v>-80.713894077899113</v>
      </c>
      <c r="W507" s="174">
        <f t="shared" si="223"/>
        <v>-109.09553436489242</v>
      </c>
      <c r="X507" s="174">
        <f t="shared" si="224"/>
        <v>268.56476823789615</v>
      </c>
      <c r="Y507" s="174">
        <f t="shared" si="225"/>
        <v>178.77852931304531</v>
      </c>
      <c r="Z507" s="174">
        <f t="shared" si="226"/>
        <v>17.793787792129116</v>
      </c>
      <c r="AA507" s="174">
        <f t="shared" si="227"/>
        <v>156.82818741724299</v>
      </c>
      <c r="AB507" s="2987"/>
      <c r="AC507" s="3015"/>
    </row>
    <row r="508" spans="1:29" ht="18.75" x14ac:dyDescent="0.25">
      <c r="A508" s="2993"/>
      <c r="B508" s="2998"/>
      <c r="C508" s="1863">
        <v>2034</v>
      </c>
      <c r="D508" s="218">
        <f t="shared" si="213"/>
        <v>-48837.297314260592</v>
      </c>
      <c r="E508" s="221">
        <f t="shared" si="220"/>
        <v>57393.591803719057</v>
      </c>
      <c r="F508" s="221">
        <f t="shared" si="221"/>
        <v>1491.9431538155131</v>
      </c>
      <c r="G508" s="218">
        <f t="shared" si="214"/>
        <v>-3.2665175146481169</v>
      </c>
      <c r="H508" s="218">
        <f t="shared" si="215"/>
        <v>-3.0348891902433364</v>
      </c>
      <c r="I508" s="218">
        <f t="shared" si="216"/>
        <v>19.534918925704222</v>
      </c>
      <c r="J508" s="218">
        <f t="shared" si="217"/>
        <v>16.744216222032204</v>
      </c>
      <c r="K508" s="218">
        <f t="shared" si="218"/>
        <v>16.7442162220322</v>
      </c>
      <c r="L508" s="218">
        <f t="shared" si="219"/>
        <v>3209.308109222839</v>
      </c>
      <c r="M508" s="764">
        <f t="shared" si="228"/>
        <v>10.048237643273978</v>
      </c>
      <c r="N508" s="1863">
        <v>79</v>
      </c>
      <c r="O508" s="761">
        <f>'Emission-Waste Transport Vehicl'!N48</f>
        <v>24.223685317920005</v>
      </c>
      <c r="P508" s="761">
        <f>'Emission-Waste Transport Vehicl'!O48</f>
        <v>35.24041724544</v>
      </c>
      <c r="Q508" s="761">
        <f>'Emission-Waste Transport Vehicl'!P48</f>
        <v>13.477654919520001</v>
      </c>
      <c r="R508" s="761">
        <f>'Emission-Waste Transport Vehicl'!Q48</f>
        <v>10.467125792640001</v>
      </c>
      <c r="S508" s="761">
        <f>'Emission-Waste Transport Vehicl'!R48</f>
        <v>1.04179073328</v>
      </c>
      <c r="T508" s="761">
        <f>'Emission-Waste Transport Vehicl'!S48</f>
        <v>4.7905967577600003E-2</v>
      </c>
      <c r="U508" s="174">
        <f t="shared" si="229"/>
        <v>793.81077381864429</v>
      </c>
      <c r="V508" s="174">
        <f t="shared" si="222"/>
        <v>-79.127092360310129</v>
      </c>
      <c r="W508" s="174">
        <f t="shared" si="223"/>
        <v>-106.95076135785071</v>
      </c>
      <c r="X508" s="174">
        <f t="shared" si="224"/>
        <v>263.28489616144185</v>
      </c>
      <c r="Y508" s="174">
        <f t="shared" si="225"/>
        <v>175.26381749517441</v>
      </c>
      <c r="Z508" s="174">
        <f t="shared" si="226"/>
        <v>17.443969296149799</v>
      </c>
      <c r="AA508" s="174">
        <f t="shared" si="227"/>
        <v>153.7450102269581</v>
      </c>
      <c r="AB508" s="2987"/>
      <c r="AC508" s="3015"/>
    </row>
    <row r="509" spans="1:29" ht="18.75" x14ac:dyDescent="0.25">
      <c r="A509" s="2993"/>
      <c r="B509" s="2998"/>
      <c r="C509" s="1863">
        <v>2035</v>
      </c>
      <c r="D509" s="218">
        <f t="shared" si="213"/>
        <v>-48837.297314260592</v>
      </c>
      <c r="E509" s="221">
        <f t="shared" si="220"/>
        <v>57393.591803719057</v>
      </c>
      <c r="F509" s="221">
        <f t="shared" si="221"/>
        <v>1491.9431538155131</v>
      </c>
      <c r="G509" s="218">
        <f t="shared" si="214"/>
        <v>-3.2665175146481169</v>
      </c>
      <c r="H509" s="218">
        <f t="shared" si="215"/>
        <v>-3.0348891902433364</v>
      </c>
      <c r="I509" s="218">
        <f t="shared" si="216"/>
        <v>19.534918925704222</v>
      </c>
      <c r="J509" s="218">
        <f t="shared" si="217"/>
        <v>16.744216222032204</v>
      </c>
      <c r="K509" s="218">
        <f t="shared" si="218"/>
        <v>16.7442162220322</v>
      </c>
      <c r="L509" s="218">
        <f t="shared" si="219"/>
        <v>3209.308109222839</v>
      </c>
      <c r="M509" s="764">
        <f t="shared" si="228"/>
        <v>10.048237643273978</v>
      </c>
      <c r="N509" s="1863">
        <v>80</v>
      </c>
      <c r="O509" s="761">
        <f>'Emission-Waste Transport Vehicl'!N49</f>
        <v>23.747688271296006</v>
      </c>
      <c r="P509" s="761">
        <f>'Emission-Waste Transport Vehicl'!O49</f>
        <v>34.547940675072006</v>
      </c>
      <c r="Q509" s="761">
        <f>'Emission-Waste Transport Vehicl'!P49</f>
        <v>13.212818093376002</v>
      </c>
      <c r="R509" s="761">
        <f>'Emission-Waste Transport Vehicl'!Q49</f>
        <v>10.261446066432002</v>
      </c>
      <c r="S509" s="761">
        <f>'Emission-Waste Transport Vehicl'!R49</f>
        <v>1.0213194752640002</v>
      </c>
      <c r="T509" s="761">
        <f>'Emission-Waste Transport Vehicl'!S49</f>
        <v>4.6964612090880008E-2</v>
      </c>
      <c r="U509" s="174">
        <f t="shared" si="229"/>
        <v>803.85901146191827</v>
      </c>
      <c r="V509" s="174">
        <f t="shared" si="222"/>
        <v>-77.572239670592069</v>
      </c>
      <c r="W509" s="174">
        <f t="shared" si="223"/>
        <v>-104.84917169994411</v>
      </c>
      <c r="X509" s="174">
        <f t="shared" si="224"/>
        <v>258.11133023417807</v>
      </c>
      <c r="Y509" s="174">
        <f t="shared" si="225"/>
        <v>171.81987168705928</v>
      </c>
      <c r="Z509" s="174">
        <f t="shared" si="226"/>
        <v>17.101194125592887</v>
      </c>
      <c r="AA509" s="174">
        <f t="shared" si="227"/>
        <v>150.72391042976619</v>
      </c>
      <c r="AB509" s="2987"/>
      <c r="AC509" s="3015"/>
    </row>
    <row r="510" spans="1:29" ht="18.75" x14ac:dyDescent="0.25">
      <c r="A510" s="2993"/>
      <c r="B510" s="2998"/>
      <c r="C510" s="1863">
        <v>2036</v>
      </c>
      <c r="D510" s="218">
        <f t="shared" si="213"/>
        <v>-48837.297314260592</v>
      </c>
      <c r="E510" s="221">
        <f t="shared" si="220"/>
        <v>57393.591803719057</v>
      </c>
      <c r="F510" s="221">
        <f t="shared" si="221"/>
        <v>1491.9431538155131</v>
      </c>
      <c r="G510" s="218">
        <f t="shared" si="214"/>
        <v>-3.2665175146481169</v>
      </c>
      <c r="H510" s="218">
        <f t="shared" si="215"/>
        <v>-3.0348891902433364</v>
      </c>
      <c r="I510" s="218">
        <f t="shared" si="216"/>
        <v>19.534918925704222</v>
      </c>
      <c r="J510" s="218">
        <f t="shared" si="217"/>
        <v>16.744216222032204</v>
      </c>
      <c r="K510" s="218">
        <f t="shared" si="218"/>
        <v>16.7442162220322</v>
      </c>
      <c r="L510" s="218">
        <f t="shared" si="219"/>
        <v>3209.308109222839</v>
      </c>
      <c r="M510" s="764">
        <f t="shared" si="228"/>
        <v>10.048237643273978</v>
      </c>
      <c r="N510" s="1863">
        <v>81</v>
      </c>
      <c r="O510" s="761">
        <f>'Emission-Waste Transport Vehicl'!N50</f>
        <v>23.284732239648001</v>
      </c>
      <c r="P510" s="761">
        <f>'Emission-Waste Transport Vehicl'!O50</f>
        <v>33.874436065536003</v>
      </c>
      <c r="Q510" s="761">
        <f>'Emission-Waste Transport Vehicl'!P50</f>
        <v>12.955237070688</v>
      </c>
      <c r="R510" s="761">
        <f>'Emission-Waste Transport Vehicl'!Q50</f>
        <v>10.061401401215999</v>
      </c>
      <c r="S510" s="761">
        <f>'Emission-Waste Transport Vehicl'!R50</f>
        <v>1.001409073632</v>
      </c>
      <c r="T510" s="761">
        <f>'Emission-Waste Transport Vehicl'!S50</f>
        <v>4.6049047165439998E-2</v>
      </c>
      <c r="U510" s="174">
        <f t="shared" si="229"/>
        <v>813.90724910519225</v>
      </c>
      <c r="V510" s="174">
        <f t="shared" si="222"/>
        <v>-76.059985684701871</v>
      </c>
      <c r="W510" s="174">
        <f t="shared" si="223"/>
        <v>-102.80515984088423</v>
      </c>
      <c r="X510" s="174">
        <f t="shared" si="224"/>
        <v>253.07950583916792</v>
      </c>
      <c r="Y510" s="174">
        <f t="shared" si="225"/>
        <v>168.47028055861847</v>
      </c>
      <c r="Z510" s="174">
        <f t="shared" si="226"/>
        <v>16.767810055599174</v>
      </c>
      <c r="AA510" s="174">
        <f t="shared" si="227"/>
        <v>147.78558049003158</v>
      </c>
      <c r="AB510" s="2987"/>
      <c r="AC510" s="3015"/>
    </row>
    <row r="511" spans="1:29" ht="18.75" x14ac:dyDescent="0.25">
      <c r="A511" s="2993"/>
      <c r="B511" s="2998"/>
      <c r="C511" s="1863">
        <v>2037</v>
      </c>
      <c r="D511" s="218">
        <f t="shared" si="213"/>
        <v>-48837.297314260592</v>
      </c>
      <c r="E511" s="221">
        <f t="shared" si="220"/>
        <v>57393.591803719057</v>
      </c>
      <c r="F511" s="221">
        <f t="shared" si="221"/>
        <v>1491.9431538155131</v>
      </c>
      <c r="G511" s="218">
        <f t="shared" si="214"/>
        <v>-3.2665175146481169</v>
      </c>
      <c r="H511" s="218">
        <f t="shared" si="215"/>
        <v>-3.0348891902433364</v>
      </c>
      <c r="I511" s="218">
        <f t="shared" si="216"/>
        <v>19.534918925704222</v>
      </c>
      <c r="J511" s="218">
        <f t="shared" si="217"/>
        <v>16.744216222032204</v>
      </c>
      <c r="K511" s="218">
        <f t="shared" si="218"/>
        <v>16.7442162220322</v>
      </c>
      <c r="L511" s="218">
        <f t="shared" si="219"/>
        <v>3209.308109222839</v>
      </c>
      <c r="M511" s="764">
        <f t="shared" si="228"/>
        <v>10.048237643273978</v>
      </c>
      <c r="N511" s="1863">
        <v>83</v>
      </c>
      <c r="O511" s="761">
        <f>'Emission-Waste Transport Vehicl'!N51</f>
        <v>22.828296715488005</v>
      </c>
      <c r="P511" s="761">
        <f>'Emission-Waste Transport Vehicl'!O51</f>
        <v>33.210417436416002</v>
      </c>
      <c r="Q511" s="761">
        <f>'Emission-Waste Transport Vehicl'!P51</f>
        <v>12.701283949728003</v>
      </c>
      <c r="R511" s="761">
        <f>'Emission-Waste Transport Vehicl'!Q51</f>
        <v>9.8641742664960006</v>
      </c>
      <c r="S511" s="761">
        <f>'Emission-Waste Transport Vehicl'!R51</f>
        <v>0.9817791001920001</v>
      </c>
      <c r="T511" s="761">
        <f>'Emission-Waste Transport Vehicl'!S51</f>
        <v>4.5146377520640005E-2</v>
      </c>
      <c r="U511" s="174">
        <f t="shared" si="229"/>
        <v>834.00372439174021</v>
      </c>
      <c r="V511" s="174">
        <f t="shared" si="222"/>
        <v>-74.569031050725641</v>
      </c>
      <c r="W511" s="174">
        <f t="shared" si="223"/>
        <v>-100.78993688124774</v>
      </c>
      <c r="X511" s="174">
        <f t="shared" si="224"/>
        <v>248.11855221028483</v>
      </c>
      <c r="Y511" s="174">
        <f t="shared" si="225"/>
        <v>165.16786677001494</v>
      </c>
      <c r="Z511" s="174">
        <f t="shared" si="226"/>
        <v>16.439121535887065</v>
      </c>
      <c r="AA511" s="174">
        <f t="shared" si="227"/>
        <v>144.88863547902565</v>
      </c>
      <c r="AB511" s="2987"/>
      <c r="AC511" s="3015"/>
    </row>
    <row r="512" spans="1:29" ht="18.75" x14ac:dyDescent="0.25">
      <c r="A512" s="2993"/>
      <c r="B512" s="2998"/>
      <c r="C512" s="1863">
        <v>2038</v>
      </c>
      <c r="D512" s="218">
        <f t="shared" si="213"/>
        <v>-48837.297314260592</v>
      </c>
      <c r="E512" s="221">
        <f t="shared" si="220"/>
        <v>57393.591803719057</v>
      </c>
      <c r="F512" s="221">
        <f t="shared" si="221"/>
        <v>1491.9431538155131</v>
      </c>
      <c r="G512" s="218">
        <f t="shared" si="214"/>
        <v>-3.2665175146481169</v>
      </c>
      <c r="H512" s="218">
        <f t="shared" si="215"/>
        <v>-3.0348891902433364</v>
      </c>
      <c r="I512" s="218">
        <f t="shared" si="216"/>
        <v>19.534918925704222</v>
      </c>
      <c r="J512" s="218">
        <f t="shared" si="217"/>
        <v>16.744216222032204</v>
      </c>
      <c r="K512" s="218">
        <f t="shared" si="218"/>
        <v>16.7442162220322</v>
      </c>
      <c r="L512" s="218">
        <f t="shared" si="219"/>
        <v>3209.308109222839</v>
      </c>
      <c r="M512" s="764">
        <f t="shared" si="228"/>
        <v>10.048237643273978</v>
      </c>
      <c r="N512" s="1863">
        <v>84</v>
      </c>
      <c r="O512" s="761">
        <f>'Emission-Waste Transport Vehicl'!N52</f>
        <v>22.378381698816003</v>
      </c>
      <c r="P512" s="761">
        <f>'Emission-Waste Transport Vehicl'!O52</f>
        <v>32.555884787712003</v>
      </c>
      <c r="Q512" s="761">
        <f>'Emission-Waste Transport Vehicl'!P52</f>
        <v>12.450958730496001</v>
      </c>
      <c r="R512" s="761">
        <f>'Emission-Waste Transport Vehicl'!Q52</f>
        <v>9.6697646622720015</v>
      </c>
      <c r="S512" s="761">
        <f>'Emission-Waste Transport Vehicl'!R52</f>
        <v>0.96242955494400007</v>
      </c>
      <c r="T512" s="761">
        <f>'Emission-Waste Transport Vehicl'!S52</f>
        <v>4.4256603156480001E-2</v>
      </c>
      <c r="U512" s="174">
        <f t="shared" si="229"/>
        <v>844.05196203501418</v>
      </c>
      <c r="V512" s="174">
        <f t="shared" si="222"/>
        <v>-73.09937576866335</v>
      </c>
      <c r="W512" s="174">
        <f t="shared" si="223"/>
        <v>-98.803502821034627</v>
      </c>
      <c r="X512" s="174">
        <f t="shared" si="224"/>
        <v>243.22846934752855</v>
      </c>
      <c r="Y512" s="174">
        <f t="shared" si="225"/>
        <v>161.9126303212486</v>
      </c>
      <c r="Z512" s="174">
        <f t="shared" si="226"/>
        <v>16.115128566456558</v>
      </c>
      <c r="AA512" s="174">
        <f t="shared" si="227"/>
        <v>142.03307539674836</v>
      </c>
      <c r="AB512" s="2987"/>
      <c r="AC512" s="3015"/>
    </row>
    <row r="513" spans="1:29" ht="18.75" x14ac:dyDescent="0.25">
      <c r="A513" s="2993"/>
      <c r="B513" s="2998"/>
      <c r="C513" s="1863">
        <v>2039</v>
      </c>
      <c r="D513" s="218">
        <f t="shared" si="213"/>
        <v>-48837.297314260592</v>
      </c>
      <c r="E513" s="221">
        <f t="shared" si="220"/>
        <v>57393.591803719057</v>
      </c>
      <c r="F513" s="221">
        <f t="shared" si="221"/>
        <v>1491.9431538155131</v>
      </c>
      <c r="G513" s="218">
        <f t="shared" si="214"/>
        <v>-3.2665175146481169</v>
      </c>
      <c r="H513" s="218">
        <f t="shared" si="215"/>
        <v>-3.0348891902433364</v>
      </c>
      <c r="I513" s="218">
        <f t="shared" si="216"/>
        <v>19.534918925704222</v>
      </c>
      <c r="J513" s="218">
        <f t="shared" si="217"/>
        <v>16.744216222032204</v>
      </c>
      <c r="K513" s="218">
        <f t="shared" si="218"/>
        <v>16.7442162220322</v>
      </c>
      <c r="L513" s="218">
        <f t="shared" si="219"/>
        <v>3209.308109222839</v>
      </c>
      <c r="M513" s="764">
        <f t="shared" si="228"/>
        <v>10.048237643273978</v>
      </c>
      <c r="N513" s="1863">
        <v>85</v>
      </c>
      <c r="O513" s="761">
        <f>'Emission-Waste Transport Vehicl'!N53</f>
        <v>21.941507697120006</v>
      </c>
      <c r="P513" s="761">
        <f>'Emission-Waste Transport Vehicl'!O53</f>
        <v>31.920324099840006</v>
      </c>
      <c r="Q513" s="761">
        <f>'Emission-Waste Transport Vehicl'!P53</f>
        <v>12.207889314720003</v>
      </c>
      <c r="R513" s="761">
        <f>'Emission-Waste Transport Vehicl'!Q53</f>
        <v>9.4809901190400012</v>
      </c>
      <c r="S513" s="761">
        <f>'Emission-Waste Transport Vehicl'!R53</f>
        <v>0.9436408660800002</v>
      </c>
      <c r="T513" s="761">
        <f>'Emission-Waste Transport Vehicl'!S53</f>
        <v>4.3392619353600011E-2</v>
      </c>
      <c r="U513" s="174">
        <f t="shared" si="229"/>
        <v>854.10019967828816</v>
      </c>
      <c r="V513" s="174">
        <f t="shared" si="222"/>
        <v>-71.672319190428965</v>
      </c>
      <c r="W513" s="174">
        <f t="shared" si="223"/>
        <v>-96.874646559668292</v>
      </c>
      <c r="X513" s="174">
        <f t="shared" si="224"/>
        <v>238.48012801702612</v>
      </c>
      <c r="Y513" s="174">
        <f t="shared" si="225"/>
        <v>158.75174855215661</v>
      </c>
      <c r="Z513" s="174">
        <f t="shared" si="226"/>
        <v>15.800526697589255</v>
      </c>
      <c r="AA513" s="174">
        <f t="shared" si="227"/>
        <v>139.26028517192842</v>
      </c>
      <c r="AB513" s="2987"/>
      <c r="AC513" s="3015"/>
    </row>
    <row r="514" spans="1:29" ht="18.75" x14ac:dyDescent="0.25">
      <c r="A514" s="2993"/>
      <c r="B514" s="2998"/>
      <c r="C514" s="1863">
        <v>2040</v>
      </c>
      <c r="D514" s="218">
        <f t="shared" si="213"/>
        <v>-48837.297314260592</v>
      </c>
      <c r="E514" s="221">
        <f t="shared" si="220"/>
        <v>57393.591803719057</v>
      </c>
      <c r="F514" s="221">
        <f t="shared" si="221"/>
        <v>1491.9431538155131</v>
      </c>
      <c r="G514" s="218">
        <f t="shared" si="214"/>
        <v>-3.2665175146481169</v>
      </c>
      <c r="H514" s="218">
        <f t="shared" si="215"/>
        <v>-3.0348891902433364</v>
      </c>
      <c r="I514" s="218">
        <f t="shared" si="216"/>
        <v>19.534918925704222</v>
      </c>
      <c r="J514" s="218">
        <f t="shared" si="217"/>
        <v>16.744216222032204</v>
      </c>
      <c r="K514" s="218">
        <f t="shared" si="218"/>
        <v>16.7442162220322</v>
      </c>
      <c r="L514" s="218">
        <f t="shared" si="219"/>
        <v>3209.308109222839</v>
      </c>
      <c r="M514" s="764">
        <f t="shared" si="228"/>
        <v>10.048237643273978</v>
      </c>
      <c r="N514" s="1863">
        <v>86</v>
      </c>
      <c r="O514" s="761">
        <f>'Emission-Waste Transport Vehicl'!N54</f>
        <v>21.511154202912003</v>
      </c>
      <c r="P514" s="761">
        <f>'Emission-Waste Transport Vehicl'!O54</f>
        <v>31.294249392384003</v>
      </c>
      <c r="Q514" s="761">
        <f>'Emission-Waste Transport Vehicl'!P54</f>
        <v>11.968447800672001</v>
      </c>
      <c r="R514" s="761">
        <f>'Emission-Waste Transport Vehicl'!Q54</f>
        <v>9.2950331063040004</v>
      </c>
      <c r="S514" s="761">
        <f>'Emission-Waste Transport Vehicl'!R54</f>
        <v>0.92513260540800013</v>
      </c>
      <c r="T514" s="761">
        <f>'Emission-Waste Transport Vehicl'!S54</f>
        <v>4.254153083136001E-2</v>
      </c>
      <c r="U514" s="174">
        <f t="shared" si="229"/>
        <v>864.14843732156214</v>
      </c>
      <c r="V514" s="174">
        <f t="shared" si="222"/>
        <v>-70.266561964108504</v>
      </c>
      <c r="W514" s="174">
        <f t="shared" si="223"/>
        <v>-94.974579197725305</v>
      </c>
      <c r="X514" s="174">
        <f t="shared" si="224"/>
        <v>233.80265745265055</v>
      </c>
      <c r="Y514" s="174">
        <f t="shared" si="225"/>
        <v>155.63804412290182</v>
      </c>
      <c r="Z514" s="174">
        <f t="shared" si="226"/>
        <v>15.49062037900355</v>
      </c>
      <c r="AA514" s="174">
        <f t="shared" si="227"/>
        <v>136.52887987583711</v>
      </c>
      <c r="AB514" s="2987"/>
      <c r="AC514" s="3015"/>
    </row>
    <row r="515" spans="1:29" ht="18.75" x14ac:dyDescent="0.25">
      <c r="A515" s="2993"/>
      <c r="B515" s="2998"/>
      <c r="C515" s="1863">
        <v>2041</v>
      </c>
      <c r="D515" s="218">
        <f t="shared" si="213"/>
        <v>-48837.297314260592</v>
      </c>
      <c r="E515" s="221">
        <f t="shared" si="220"/>
        <v>57393.591803719057</v>
      </c>
      <c r="F515" s="221">
        <f t="shared" si="221"/>
        <v>1491.9431538155131</v>
      </c>
      <c r="G515" s="218">
        <f t="shared" si="214"/>
        <v>-3.2665175146481169</v>
      </c>
      <c r="H515" s="218">
        <f t="shared" si="215"/>
        <v>-3.0348891902433364</v>
      </c>
      <c r="I515" s="218">
        <f t="shared" si="216"/>
        <v>19.534918925704222</v>
      </c>
      <c r="J515" s="218">
        <f t="shared" si="217"/>
        <v>16.744216222032204</v>
      </c>
      <c r="K515" s="218">
        <f t="shared" si="218"/>
        <v>16.7442162220322</v>
      </c>
      <c r="L515" s="218">
        <f t="shared" si="219"/>
        <v>3209.308109222839</v>
      </c>
      <c r="M515" s="764">
        <f t="shared" si="228"/>
        <v>10.048237643273978</v>
      </c>
      <c r="N515" s="1863">
        <v>87</v>
      </c>
      <c r="O515" s="761">
        <f>'Emission-Waste Transport Vehicl'!N55</f>
        <v>21.087321216192002</v>
      </c>
      <c r="P515" s="761">
        <f>'Emission-Waste Transport Vehicl'!O55</f>
        <v>30.677660665344007</v>
      </c>
      <c r="Q515" s="761">
        <f>'Emission-Waste Transport Vehicl'!P55</f>
        <v>11.732634188352002</v>
      </c>
      <c r="R515" s="761">
        <f>'Emission-Waste Transport Vehicl'!Q55</f>
        <v>9.1118936240640007</v>
      </c>
      <c r="S515" s="761">
        <f>'Emission-Waste Transport Vehicl'!R55</f>
        <v>0.9069047729280002</v>
      </c>
      <c r="T515" s="761">
        <f>'Emission-Waste Transport Vehicl'!S55</f>
        <v>4.1703337589760005E-2</v>
      </c>
      <c r="U515" s="174">
        <f t="shared" si="229"/>
        <v>874.19667496483612</v>
      </c>
      <c r="V515" s="174">
        <f t="shared" si="222"/>
        <v>-68.882104089702011</v>
      </c>
      <c r="W515" s="174">
        <f t="shared" si="223"/>
        <v>-93.103300735205721</v>
      </c>
      <c r="X515" s="174">
        <f t="shared" si="224"/>
        <v>229.1960576544019</v>
      </c>
      <c r="Y515" s="174">
        <f t="shared" si="225"/>
        <v>152.57151703348424</v>
      </c>
      <c r="Z515" s="174">
        <f t="shared" si="226"/>
        <v>15.18540961069945</v>
      </c>
      <c r="AA515" s="174">
        <f t="shared" si="227"/>
        <v>133.83885950847443</v>
      </c>
      <c r="AB515" s="2987"/>
      <c r="AC515" s="3015"/>
    </row>
    <row r="516" spans="1:29" ht="18.75" x14ac:dyDescent="0.25">
      <c r="A516" s="2993"/>
      <c r="B516" s="2998"/>
      <c r="C516" s="1863">
        <v>2042</v>
      </c>
      <c r="D516" s="218">
        <f t="shared" si="213"/>
        <v>-48837.297314260592</v>
      </c>
      <c r="E516" s="221">
        <f t="shared" si="220"/>
        <v>57393.591803719057</v>
      </c>
      <c r="F516" s="221">
        <f t="shared" si="221"/>
        <v>1491.9431538155131</v>
      </c>
      <c r="G516" s="218">
        <f t="shared" si="214"/>
        <v>-3.2665175146481169</v>
      </c>
      <c r="H516" s="218">
        <f t="shared" si="215"/>
        <v>-3.0348891902433364</v>
      </c>
      <c r="I516" s="218">
        <f t="shared" si="216"/>
        <v>19.534918925704222</v>
      </c>
      <c r="J516" s="218">
        <f t="shared" si="217"/>
        <v>16.744216222032204</v>
      </c>
      <c r="K516" s="218">
        <f t="shared" si="218"/>
        <v>16.7442162220322</v>
      </c>
      <c r="L516" s="218">
        <f t="shared" si="219"/>
        <v>3209.308109222839</v>
      </c>
      <c r="M516" s="764">
        <f t="shared" si="228"/>
        <v>10.048237643273978</v>
      </c>
      <c r="N516" s="1863">
        <v>88</v>
      </c>
      <c r="O516" s="761">
        <f>'Emission-Waste Transport Vehicl'!N56</f>
        <v>20.676529244448002</v>
      </c>
      <c r="P516" s="761">
        <f>'Emission-Waste Transport Vehicl'!O56</f>
        <v>30.080043899136001</v>
      </c>
      <c r="Q516" s="761">
        <f>'Emission-Waste Transport Vehicl'!P56</f>
        <v>11.504076379488001</v>
      </c>
      <c r="R516" s="761">
        <f>'Emission-Waste Transport Vehicl'!Q56</f>
        <v>8.9343892028159999</v>
      </c>
      <c r="S516" s="761">
        <f>'Emission-Waste Transport Vehicl'!R56</f>
        <v>0.8892377968320001</v>
      </c>
      <c r="T516" s="761">
        <f>'Emission-Waste Transport Vehicl'!S56</f>
        <v>4.0890934909439999E-2</v>
      </c>
      <c r="U516" s="174">
        <f t="shared" si="229"/>
        <v>884.2449126081101</v>
      </c>
      <c r="V516" s="174">
        <f t="shared" si="222"/>
        <v>-67.540244919123396</v>
      </c>
      <c r="W516" s="174">
        <f t="shared" si="223"/>
        <v>-91.289600071532874</v>
      </c>
      <c r="X516" s="174">
        <f t="shared" si="224"/>
        <v>224.73119938840708</v>
      </c>
      <c r="Y516" s="174">
        <f t="shared" si="225"/>
        <v>149.59934462374105</v>
      </c>
      <c r="Z516" s="174">
        <f t="shared" si="226"/>
        <v>14.889589942958549</v>
      </c>
      <c r="AA516" s="174">
        <f t="shared" si="227"/>
        <v>131.23160899856907</v>
      </c>
      <c r="AB516" s="2987"/>
      <c r="AC516" s="3015"/>
    </row>
    <row r="517" spans="1:29" ht="18.75" x14ac:dyDescent="0.25">
      <c r="A517" s="2993"/>
      <c r="B517" s="2998"/>
      <c r="C517" s="1863">
        <v>2043</v>
      </c>
      <c r="D517" s="218">
        <f t="shared" si="213"/>
        <v>-48837.297314260592</v>
      </c>
      <c r="E517" s="221">
        <f t="shared" si="220"/>
        <v>57393.591803719057</v>
      </c>
      <c r="F517" s="221">
        <f t="shared" si="221"/>
        <v>1491.9431538155131</v>
      </c>
      <c r="G517" s="218">
        <f t="shared" si="214"/>
        <v>-3.2665175146481169</v>
      </c>
      <c r="H517" s="218">
        <f t="shared" si="215"/>
        <v>-3.0348891902433364</v>
      </c>
      <c r="I517" s="218">
        <f t="shared" si="216"/>
        <v>19.534918925704222</v>
      </c>
      <c r="J517" s="218">
        <f t="shared" si="217"/>
        <v>16.744216222032204</v>
      </c>
      <c r="K517" s="218">
        <f t="shared" si="218"/>
        <v>16.7442162220322</v>
      </c>
      <c r="L517" s="218">
        <f t="shared" si="219"/>
        <v>3209.308109222839</v>
      </c>
      <c r="M517" s="764">
        <f t="shared" si="228"/>
        <v>10.048237643273978</v>
      </c>
      <c r="N517" s="1863">
        <v>89</v>
      </c>
      <c r="O517" s="761">
        <f>'Emission-Waste Transport Vehicl'!N57</f>
        <v>20.268997526448004</v>
      </c>
      <c r="P517" s="761">
        <f>'Emission-Waste Transport Vehicl'!O57</f>
        <v>29.487170123136003</v>
      </c>
      <c r="Q517" s="761">
        <f>'Emission-Waste Transport Vehicl'!P57</f>
        <v>11.277332521488001</v>
      </c>
      <c r="R517" s="761">
        <f>'Emission-Waste Transport Vehicl'!Q57</f>
        <v>8.7582935468160006</v>
      </c>
      <c r="S517" s="761">
        <f>'Emission-Waste Transport Vehicl'!R57</f>
        <v>0.87171103483200019</v>
      </c>
      <c r="T517" s="761">
        <f>'Emission-Waste Transport Vehicl'!S57</f>
        <v>4.0084979869440006E-2</v>
      </c>
      <c r="U517" s="174">
        <f t="shared" si="229"/>
        <v>894.29315025138408</v>
      </c>
      <c r="V517" s="174">
        <f t="shared" si="222"/>
        <v>-66.209035424501764</v>
      </c>
      <c r="W517" s="174">
        <f t="shared" si="223"/>
        <v>-89.490293857571729</v>
      </c>
      <c r="X517" s="174">
        <f t="shared" si="224"/>
        <v>220.30177650547566</v>
      </c>
      <c r="Y517" s="174">
        <f t="shared" si="225"/>
        <v>146.65076088391643</v>
      </c>
      <c r="Z517" s="174">
        <f t="shared" si="226"/>
        <v>14.596118050358454</v>
      </c>
      <c r="AA517" s="174">
        <f t="shared" si="227"/>
        <v>128.64505095302806</v>
      </c>
      <c r="AB517" s="2987"/>
      <c r="AC517" s="3015"/>
    </row>
    <row r="518" spans="1:29" ht="18.75" x14ac:dyDescent="0.25">
      <c r="A518" s="2993"/>
      <c r="B518" s="2998"/>
      <c r="C518" s="1863">
        <v>2044</v>
      </c>
      <c r="D518" s="218">
        <f t="shared" si="213"/>
        <v>-48837.297314260592</v>
      </c>
      <c r="E518" s="221">
        <f t="shared" si="220"/>
        <v>57393.591803719057</v>
      </c>
      <c r="F518" s="221">
        <f t="shared" si="221"/>
        <v>1491.9431538155131</v>
      </c>
      <c r="G518" s="218">
        <f t="shared" si="214"/>
        <v>-3.2665175146481169</v>
      </c>
      <c r="H518" s="218">
        <f t="shared" si="215"/>
        <v>-3.0348891902433364</v>
      </c>
      <c r="I518" s="218">
        <f t="shared" si="216"/>
        <v>19.534918925704222</v>
      </c>
      <c r="J518" s="218">
        <f t="shared" si="217"/>
        <v>16.744216222032204</v>
      </c>
      <c r="K518" s="218">
        <f t="shared" si="218"/>
        <v>16.7442162220322</v>
      </c>
      <c r="L518" s="218">
        <f t="shared" si="219"/>
        <v>3209.308109222839</v>
      </c>
      <c r="M518" s="764">
        <f t="shared" si="228"/>
        <v>10.048237643273978</v>
      </c>
      <c r="N518" s="1863">
        <v>90</v>
      </c>
      <c r="O518" s="761">
        <f>'Emission-Waste Transport Vehicl'!N58</f>
        <v>19.871246569680004</v>
      </c>
      <c r="P518" s="761">
        <f>'Emission-Waste Transport Vehicl'!O58</f>
        <v>28.908525317760002</v>
      </c>
      <c r="Q518" s="761">
        <f>'Emission-Waste Transport Vehicl'!P58</f>
        <v>11.056030516080002</v>
      </c>
      <c r="R518" s="761">
        <f>'Emission-Waste Transport Vehicl'!Q58</f>
        <v>8.5864241865600004</v>
      </c>
      <c r="S518" s="761">
        <f>'Emission-Waste Transport Vehicl'!R58</f>
        <v>0.85460491512000014</v>
      </c>
      <c r="T518" s="761">
        <f>'Emission-Waste Transport Vehicl'!S58</f>
        <v>3.9298367750400007E-2</v>
      </c>
      <c r="U518" s="174">
        <f t="shared" si="229"/>
        <v>904.34138789465806</v>
      </c>
      <c r="V518" s="174">
        <f t="shared" si="222"/>
        <v>-64.90977495775104</v>
      </c>
      <c r="W518" s="174">
        <f t="shared" si="223"/>
        <v>-87.734170992745646</v>
      </c>
      <c r="X518" s="174">
        <f t="shared" si="224"/>
        <v>215.97865977173464</v>
      </c>
      <c r="Y518" s="174">
        <f t="shared" si="225"/>
        <v>143.77294315384762</v>
      </c>
      <c r="Z518" s="174">
        <f t="shared" si="226"/>
        <v>14.309689483180758</v>
      </c>
      <c r="AA518" s="174">
        <f t="shared" si="227"/>
        <v>126.12057030058004</v>
      </c>
      <c r="AB518" s="2987"/>
      <c r="AC518" s="3015"/>
    </row>
    <row r="519" spans="1:29" ht="18.75" x14ac:dyDescent="0.25">
      <c r="A519" s="2993"/>
      <c r="B519" s="2998"/>
      <c r="C519" s="1863">
        <v>2045</v>
      </c>
      <c r="D519" s="218">
        <f t="shared" si="213"/>
        <v>-48837.297314260592</v>
      </c>
      <c r="E519" s="221">
        <f t="shared" si="220"/>
        <v>57393.591803719057</v>
      </c>
      <c r="F519" s="221">
        <f t="shared" si="221"/>
        <v>1491.9431538155131</v>
      </c>
      <c r="G519" s="218">
        <f t="shared" si="214"/>
        <v>-3.2665175146481169</v>
      </c>
      <c r="H519" s="218">
        <f t="shared" si="215"/>
        <v>-3.0348891902433364</v>
      </c>
      <c r="I519" s="218">
        <f t="shared" si="216"/>
        <v>19.534918925704222</v>
      </c>
      <c r="J519" s="218">
        <f t="shared" si="217"/>
        <v>16.744216222032204</v>
      </c>
      <c r="K519" s="218">
        <f t="shared" si="218"/>
        <v>16.7442162220322</v>
      </c>
      <c r="L519" s="218">
        <f t="shared" si="219"/>
        <v>3209.308109222839</v>
      </c>
      <c r="M519" s="764">
        <f t="shared" si="228"/>
        <v>10.048237643273978</v>
      </c>
      <c r="N519" s="1863">
        <v>92</v>
      </c>
      <c r="O519" s="761">
        <f>'Emission-Waste Transport Vehicl'!N59</f>
        <v>19.483276374144001</v>
      </c>
      <c r="P519" s="761">
        <f>'Emission-Waste Transport Vehicl'!O59</f>
        <v>28.344109483008001</v>
      </c>
      <c r="Q519" s="761">
        <f>'Emission-Waste Transport Vehicl'!P59</f>
        <v>10.840170363264003</v>
      </c>
      <c r="R519" s="761">
        <f>'Emission-Waste Transport Vehicl'!Q59</f>
        <v>8.4187811220480011</v>
      </c>
      <c r="S519" s="761">
        <f>'Emission-Waste Transport Vehicl'!R59</f>
        <v>0.83791943769600008</v>
      </c>
      <c r="T519" s="761">
        <f>'Emission-Waste Transport Vehicl'!S59</f>
        <v>3.8531098552320009E-2</v>
      </c>
      <c r="U519" s="174">
        <f t="shared" si="229"/>
        <v>924.43786318120601</v>
      </c>
      <c r="V519" s="174">
        <f t="shared" si="222"/>
        <v>-63.642463518871239</v>
      </c>
      <c r="W519" s="174">
        <f t="shared" si="223"/>
        <v>-86.021231477054627</v>
      </c>
      <c r="X519" s="174">
        <f t="shared" si="224"/>
        <v>211.76184918718397</v>
      </c>
      <c r="Y519" s="174">
        <f t="shared" si="225"/>
        <v>140.96589143353461</v>
      </c>
      <c r="Z519" s="174">
        <f t="shared" si="226"/>
        <v>14.030304241425464</v>
      </c>
      <c r="AA519" s="174">
        <f t="shared" si="227"/>
        <v>123.658167041225</v>
      </c>
      <c r="AB519" s="2987"/>
      <c r="AC519" s="3015"/>
    </row>
    <row r="520" spans="1:29" ht="18.75" x14ac:dyDescent="0.25">
      <c r="A520" s="2993"/>
      <c r="B520" s="2998"/>
      <c r="C520" s="1863">
        <v>2046</v>
      </c>
      <c r="D520" s="218">
        <f t="shared" si="213"/>
        <v>-48837.297314260592</v>
      </c>
      <c r="E520" s="221">
        <f t="shared" si="220"/>
        <v>57393.591803719057</v>
      </c>
      <c r="F520" s="221">
        <f t="shared" si="221"/>
        <v>1491.9431538155131</v>
      </c>
      <c r="G520" s="218">
        <f t="shared" si="214"/>
        <v>-3.2665175146481169</v>
      </c>
      <c r="H520" s="218">
        <f t="shared" si="215"/>
        <v>-3.0348891902433364</v>
      </c>
      <c r="I520" s="218">
        <f t="shared" si="216"/>
        <v>19.534918925704222</v>
      </c>
      <c r="J520" s="218">
        <f t="shared" si="217"/>
        <v>16.744216222032204</v>
      </c>
      <c r="K520" s="218">
        <f t="shared" si="218"/>
        <v>16.7442162220322</v>
      </c>
      <c r="L520" s="218">
        <f t="shared" si="219"/>
        <v>3209.308109222839</v>
      </c>
      <c r="M520" s="764">
        <f t="shared" si="228"/>
        <v>10.048237643273978</v>
      </c>
      <c r="N520" s="1863">
        <v>93</v>
      </c>
      <c r="O520" s="761">
        <f>'Emission-Waste Transport Vehicl'!N60</f>
        <v>19.101826686096</v>
      </c>
      <c r="P520" s="761">
        <f>'Emission-Waste Transport Vehicl'!O60</f>
        <v>27.789179628671999</v>
      </c>
      <c r="Q520" s="761">
        <f>'Emission-Waste Transport Vehicl'!P60</f>
        <v>10.627938112176002</v>
      </c>
      <c r="R520" s="761">
        <f>'Emission-Waste Transport Vehicl'!Q60</f>
        <v>8.2539555880319995</v>
      </c>
      <c r="S520" s="761">
        <f>'Emission-Waste Transport Vehicl'!R60</f>
        <v>0.82151438846400004</v>
      </c>
      <c r="T520" s="761">
        <f>'Emission-Waste Transport Vehicl'!S60</f>
        <v>3.777672463488E-2</v>
      </c>
      <c r="U520" s="174">
        <f t="shared" si="229"/>
        <v>934.48610082447999</v>
      </c>
      <c r="V520" s="174">
        <f t="shared" si="222"/>
        <v>-62.396451431905383</v>
      </c>
      <c r="W520" s="174">
        <f t="shared" si="223"/>
        <v>-84.337080860786983</v>
      </c>
      <c r="X520" s="174">
        <f t="shared" si="224"/>
        <v>207.61590936876019</v>
      </c>
      <c r="Y520" s="174">
        <f t="shared" si="225"/>
        <v>138.20601705305876</v>
      </c>
      <c r="Z520" s="174">
        <f t="shared" si="226"/>
        <v>13.755614549951773</v>
      </c>
      <c r="AA520" s="174">
        <f t="shared" si="227"/>
        <v>121.23714871059858</v>
      </c>
      <c r="AB520" s="2987"/>
      <c r="AC520" s="3015"/>
    </row>
    <row r="521" spans="1:29" ht="18.75" x14ac:dyDescent="0.25">
      <c r="A521" s="2993"/>
      <c r="B521" s="2998"/>
      <c r="C521" s="1863">
        <v>2047</v>
      </c>
      <c r="D521" s="218">
        <f t="shared" si="213"/>
        <v>-48837.297314260592</v>
      </c>
      <c r="E521" s="221">
        <f t="shared" si="220"/>
        <v>57393.591803719057</v>
      </c>
      <c r="F521" s="221">
        <f t="shared" si="221"/>
        <v>1491.9431538155131</v>
      </c>
      <c r="G521" s="218">
        <f t="shared" si="214"/>
        <v>-3.2665175146481169</v>
      </c>
      <c r="H521" s="218">
        <f t="shared" si="215"/>
        <v>-3.0348891902433364</v>
      </c>
      <c r="I521" s="218">
        <f t="shared" si="216"/>
        <v>19.534918925704222</v>
      </c>
      <c r="J521" s="218">
        <f t="shared" si="217"/>
        <v>16.744216222032204</v>
      </c>
      <c r="K521" s="218">
        <f t="shared" si="218"/>
        <v>16.7442162220322</v>
      </c>
      <c r="L521" s="218">
        <f t="shared" si="219"/>
        <v>3209.308109222839</v>
      </c>
      <c r="M521" s="764">
        <f t="shared" si="228"/>
        <v>10.048237643273978</v>
      </c>
      <c r="N521" s="1863">
        <v>94</v>
      </c>
      <c r="O521" s="761">
        <f>'Emission-Waste Transport Vehicl'!N61</f>
        <v>18.726897505536005</v>
      </c>
      <c r="P521" s="761">
        <f>'Emission-Waste Transport Vehicl'!O61</f>
        <v>27.243735754752002</v>
      </c>
      <c r="Q521" s="761">
        <f>'Emission-Waste Transport Vehicl'!P61</f>
        <v>10.419333762816001</v>
      </c>
      <c r="R521" s="761">
        <f>'Emission-Waste Transport Vehicl'!Q61</f>
        <v>8.0919475845120008</v>
      </c>
      <c r="S521" s="761">
        <f>'Emission-Waste Transport Vehicl'!R61</f>
        <v>0.80538976742400015</v>
      </c>
      <c r="T521" s="761">
        <f>'Emission-Waste Transport Vehicl'!S61</f>
        <v>3.7035245998080002E-2</v>
      </c>
      <c r="U521" s="174">
        <f t="shared" si="229"/>
        <v>944.53433846775397</v>
      </c>
      <c r="V521" s="174">
        <f t="shared" si="222"/>
        <v>-61.171738696853488</v>
      </c>
      <c r="W521" s="174">
        <f t="shared" si="223"/>
        <v>-82.681719143942729</v>
      </c>
      <c r="X521" s="174">
        <f t="shared" si="224"/>
        <v>203.54084031646326</v>
      </c>
      <c r="Y521" s="174">
        <f t="shared" si="225"/>
        <v>135.49332001242016</v>
      </c>
      <c r="Z521" s="174">
        <f t="shared" si="226"/>
        <v>13.485620408759685</v>
      </c>
      <c r="AA521" s="174">
        <f t="shared" si="227"/>
        <v>118.85751530870084</v>
      </c>
      <c r="AB521" s="2987"/>
      <c r="AC521" s="3015"/>
    </row>
    <row r="522" spans="1:29" ht="18.75" x14ac:dyDescent="0.25">
      <c r="A522" s="2993"/>
      <c r="B522" s="2998"/>
      <c r="C522" s="1863">
        <v>2048</v>
      </c>
      <c r="D522" s="218">
        <f t="shared" si="213"/>
        <v>-48837.297314260592</v>
      </c>
      <c r="E522" s="221">
        <f t="shared" si="220"/>
        <v>57393.591803719057</v>
      </c>
      <c r="F522" s="221">
        <f t="shared" si="221"/>
        <v>1491.9431538155131</v>
      </c>
      <c r="G522" s="218">
        <f t="shared" si="214"/>
        <v>-3.2665175146481169</v>
      </c>
      <c r="H522" s="218">
        <f t="shared" si="215"/>
        <v>-3.0348891902433364</v>
      </c>
      <c r="I522" s="218">
        <f t="shared" si="216"/>
        <v>19.534918925704222</v>
      </c>
      <c r="J522" s="218">
        <f t="shared" si="217"/>
        <v>16.744216222032204</v>
      </c>
      <c r="K522" s="218">
        <f t="shared" si="218"/>
        <v>16.7442162220322</v>
      </c>
      <c r="L522" s="218">
        <f t="shared" si="219"/>
        <v>3209.308109222839</v>
      </c>
      <c r="M522" s="764">
        <f t="shared" si="228"/>
        <v>10.048237643273978</v>
      </c>
      <c r="N522" s="1863">
        <v>95</v>
      </c>
      <c r="O522" s="761">
        <f>'Emission-Waste Transport Vehicl'!N62</f>
        <v>18.358488832464005</v>
      </c>
      <c r="P522" s="761">
        <f>'Emission-Waste Transport Vehicl'!O62</f>
        <v>26.707777861248005</v>
      </c>
      <c r="Q522" s="761">
        <f>'Emission-Waste Transport Vehicl'!P62</f>
        <v>10.214357315184001</v>
      </c>
      <c r="R522" s="761">
        <f>'Emission-Waste Transport Vehicl'!Q62</f>
        <v>7.9327571114880007</v>
      </c>
      <c r="S522" s="761">
        <f>'Emission-Waste Transport Vehicl'!R62</f>
        <v>0.78954557457600016</v>
      </c>
      <c r="T522" s="761">
        <f>'Emission-Waste Transport Vehicl'!S62</f>
        <v>3.6306662641920007E-2</v>
      </c>
      <c r="U522" s="174">
        <f t="shared" si="229"/>
        <v>954.58257611102795</v>
      </c>
      <c r="V522" s="174">
        <f t="shared" si="222"/>
        <v>-59.968325313715532</v>
      </c>
      <c r="W522" s="174">
        <f t="shared" si="223"/>
        <v>-81.055146326521864</v>
      </c>
      <c r="X522" s="174">
        <f t="shared" si="224"/>
        <v>199.53664203029331</v>
      </c>
      <c r="Y522" s="174">
        <f t="shared" si="225"/>
        <v>132.82780031161872</v>
      </c>
      <c r="Z522" s="174">
        <f t="shared" si="226"/>
        <v>13.220321817849197</v>
      </c>
      <c r="AA522" s="174">
        <f t="shared" si="227"/>
        <v>116.51926683553178</v>
      </c>
      <c r="AB522" s="2987"/>
      <c r="AC522" s="3015"/>
    </row>
    <row r="523" spans="1:29" ht="18.75" x14ac:dyDescent="0.25">
      <c r="A523" s="2993"/>
      <c r="B523" s="2998"/>
      <c r="C523" s="1863">
        <v>2049</v>
      </c>
      <c r="D523" s="218">
        <f t="shared" si="213"/>
        <v>-48837.297314260592</v>
      </c>
      <c r="E523" s="221">
        <f t="shared" si="220"/>
        <v>57393.591803719057</v>
      </c>
      <c r="F523" s="221">
        <f t="shared" si="221"/>
        <v>1491.9431538155131</v>
      </c>
      <c r="G523" s="218">
        <f t="shared" si="214"/>
        <v>-3.2665175146481169</v>
      </c>
      <c r="H523" s="218">
        <f t="shared" si="215"/>
        <v>-3.0348891902433364</v>
      </c>
      <c r="I523" s="218">
        <f t="shared" si="216"/>
        <v>19.534918925704222</v>
      </c>
      <c r="J523" s="218">
        <f t="shared" si="217"/>
        <v>16.744216222032204</v>
      </c>
      <c r="K523" s="218">
        <f t="shared" si="218"/>
        <v>16.7442162220322</v>
      </c>
      <c r="L523" s="218">
        <f t="shared" si="219"/>
        <v>3209.308109222839</v>
      </c>
      <c r="M523" s="764">
        <f t="shared" si="228"/>
        <v>10.048237643273978</v>
      </c>
      <c r="N523" s="1863">
        <v>96</v>
      </c>
      <c r="O523" s="761">
        <f>'Emission-Waste Transport Vehicl'!N63</f>
        <v>17.999860920624005</v>
      </c>
      <c r="P523" s="761">
        <f>'Emission-Waste Transport Vehicl'!O63</f>
        <v>26.186048938368003</v>
      </c>
      <c r="Q523" s="761">
        <f>'Emission-Waste Transport Vehicl'!P63</f>
        <v>10.014822720144002</v>
      </c>
      <c r="R523" s="761">
        <f>'Emission-Waste Transport Vehicl'!Q63</f>
        <v>7.7777929342080014</v>
      </c>
      <c r="S523" s="761">
        <f>'Emission-Waste Transport Vehicl'!R63</f>
        <v>0.77412202401600017</v>
      </c>
      <c r="T523" s="761">
        <f>'Emission-Waste Transport Vehicl'!S63</f>
        <v>3.5597422206719999E-2</v>
      </c>
      <c r="U523" s="174">
        <f t="shared" si="229"/>
        <v>964.63081375430193</v>
      </c>
      <c r="V523" s="174">
        <f t="shared" si="222"/>
        <v>-58.796860958448491</v>
      </c>
      <c r="W523" s="174">
        <f t="shared" si="223"/>
        <v>-79.471756858236049</v>
      </c>
      <c r="X523" s="174">
        <f t="shared" si="224"/>
        <v>195.6387498933137</v>
      </c>
      <c r="Y523" s="174">
        <f t="shared" si="225"/>
        <v>130.23304662057308</v>
      </c>
      <c r="Z523" s="174">
        <f t="shared" si="226"/>
        <v>12.96206655236111</v>
      </c>
      <c r="AA523" s="174">
        <f t="shared" si="227"/>
        <v>114.24309575545566</v>
      </c>
      <c r="AB523" s="2987"/>
      <c r="AC523" s="3015"/>
    </row>
    <row r="524" spans="1:29" ht="18.75" x14ac:dyDescent="0.25">
      <c r="A524" s="2993"/>
      <c r="B524" s="2998"/>
      <c r="C524" s="1863">
        <v>2050</v>
      </c>
      <c r="D524" s="218">
        <f t="shared" si="213"/>
        <v>-48837.297314260592</v>
      </c>
      <c r="E524" s="221">
        <f t="shared" si="220"/>
        <v>57393.591803719057</v>
      </c>
      <c r="F524" s="221">
        <f t="shared" si="221"/>
        <v>1491.9431538155131</v>
      </c>
      <c r="G524" s="218">
        <f t="shared" si="214"/>
        <v>-3.2665175146481169</v>
      </c>
      <c r="H524" s="218">
        <f t="shared" si="215"/>
        <v>-3.0348891902433364</v>
      </c>
      <c r="I524" s="218">
        <f t="shared" si="216"/>
        <v>19.534918925704222</v>
      </c>
      <c r="J524" s="218">
        <f t="shared" si="217"/>
        <v>16.744216222032204</v>
      </c>
      <c r="K524" s="218">
        <f t="shared" si="218"/>
        <v>16.7442162220322</v>
      </c>
      <c r="L524" s="218">
        <f t="shared" si="219"/>
        <v>3209.308109222839</v>
      </c>
      <c r="M524" s="764">
        <f t="shared" si="228"/>
        <v>10.048237643273978</v>
      </c>
      <c r="N524" s="1863">
        <v>97</v>
      </c>
      <c r="O524" s="761">
        <f>'Emission-Waste Transport Vehicl'!N64</f>
        <v>17.644493262528005</v>
      </c>
      <c r="P524" s="761">
        <f>'Emission-Waste Transport Vehicl'!O64</f>
        <v>25.669063005696003</v>
      </c>
      <c r="Q524" s="761">
        <f>'Emission-Waste Transport Vehicl'!P64</f>
        <v>9.8171020759680019</v>
      </c>
      <c r="R524" s="761">
        <f>'Emission-Waste Transport Vehicl'!Q64</f>
        <v>7.624237522176001</v>
      </c>
      <c r="S524" s="761">
        <f>'Emission-Waste Transport Vehicl'!R64</f>
        <v>0.75883868755200012</v>
      </c>
      <c r="T524" s="761">
        <f>'Emission-Waste Transport Vehicl'!S64</f>
        <v>3.4894629411840003E-2</v>
      </c>
      <c r="U524" s="174">
        <f t="shared" si="229"/>
        <v>974.6790513975759</v>
      </c>
      <c r="V524" s="174">
        <f t="shared" si="222"/>
        <v>-57.636046279138426</v>
      </c>
      <c r="W524" s="174">
        <f t="shared" si="223"/>
        <v>-77.90276183966192</v>
      </c>
      <c r="X524" s="174">
        <f t="shared" si="224"/>
        <v>191.77629313939752</v>
      </c>
      <c r="Y524" s="174">
        <f t="shared" si="225"/>
        <v>127.661881599446</v>
      </c>
      <c r="Z524" s="174">
        <f t="shared" si="226"/>
        <v>12.706159062013825</v>
      </c>
      <c r="AA524" s="174">
        <f t="shared" si="227"/>
        <v>111.9876171397439</v>
      </c>
      <c r="AB524" s="2987"/>
      <c r="AC524" s="3015"/>
    </row>
    <row r="525" spans="1:29" ht="18.75" x14ac:dyDescent="0.25">
      <c r="A525" s="2993"/>
      <c r="B525" s="2998"/>
      <c r="C525" s="1863">
        <v>2051</v>
      </c>
      <c r="D525" s="218">
        <f t="shared" ref="D525:D543" si="230">$AC$22</f>
        <v>-48837.297314260592</v>
      </c>
      <c r="E525" s="221">
        <f t="shared" si="220"/>
        <v>57393.591803719057</v>
      </c>
      <c r="F525" s="221">
        <f t="shared" si="221"/>
        <v>1491.9431538155131</v>
      </c>
      <c r="G525" s="218">
        <f t="shared" ref="G525:G543" si="231">$Y$22</f>
        <v>-3.2665175146481169</v>
      </c>
      <c r="H525" s="218">
        <f t="shared" ref="H525:H543" si="232">$Z$22</f>
        <v>-3.0348891902433364</v>
      </c>
      <c r="I525" s="218">
        <f t="shared" ref="I525:I543" si="233">$X$22</f>
        <v>19.534918925704222</v>
      </c>
      <c r="J525" s="218">
        <f t="shared" ref="J525:J543" si="234">$AA$22</f>
        <v>16.744216222032204</v>
      </c>
      <c r="K525" s="218">
        <f t="shared" ref="K525:K543" si="235">$V$22</f>
        <v>16.7442162220322</v>
      </c>
      <c r="L525" s="218">
        <f t="shared" ref="L525:L543" si="236">$W$22</f>
        <v>3209.308109222839</v>
      </c>
      <c r="M525" s="764">
        <f t="shared" si="228"/>
        <v>10.048237643273978</v>
      </c>
      <c r="N525" s="1863">
        <v>97</v>
      </c>
      <c r="O525" s="761">
        <f>'Emission-Waste Transport Vehicl'!N65</f>
        <v>17.298906365664003</v>
      </c>
      <c r="P525" s="761">
        <f>'Emission-Waste Transport Vehicl'!O65</f>
        <v>25.166306043648003</v>
      </c>
      <c r="Q525" s="761">
        <f>'Emission-Waste Transport Vehicl'!P65</f>
        <v>9.624823284384</v>
      </c>
      <c r="R525" s="761">
        <f>'Emission-Waste Transport Vehicl'!Q65</f>
        <v>7.4749084058879998</v>
      </c>
      <c r="S525" s="761">
        <f>'Emission-Waste Transport Vehicl'!R65</f>
        <v>0.74397599337600007</v>
      </c>
      <c r="T525" s="761">
        <f>'Emission-Waste Transport Vehicl'!S65</f>
        <v>3.4211179537920001E-2</v>
      </c>
      <c r="U525" s="174">
        <f t="shared" si="229"/>
        <v>974.6790513975759</v>
      </c>
      <c r="V525" s="174">
        <f t="shared" si="222"/>
        <v>-56.50718062769927</v>
      </c>
      <c r="W525" s="174">
        <f t="shared" si="223"/>
        <v>-76.376950170222869</v>
      </c>
      <c r="X525" s="174">
        <f t="shared" si="224"/>
        <v>188.02014253467166</v>
      </c>
      <c r="Y525" s="174">
        <f t="shared" si="225"/>
        <v>125.16148258807473</v>
      </c>
      <c r="Z525" s="174">
        <f t="shared" si="226"/>
        <v>12.457294897088941</v>
      </c>
      <c r="AA525" s="174">
        <f t="shared" si="227"/>
        <v>109.79421591712511</v>
      </c>
      <c r="AB525" s="2987"/>
      <c r="AC525" s="3015"/>
    </row>
    <row r="526" spans="1:29" ht="18.75" x14ac:dyDescent="0.25">
      <c r="A526" s="2993"/>
      <c r="B526" s="2998"/>
      <c r="C526" s="1863">
        <v>2052</v>
      </c>
      <c r="D526" s="218">
        <f t="shared" si="230"/>
        <v>-48837.297314260592</v>
      </c>
      <c r="E526" s="221">
        <f t="shared" si="220"/>
        <v>57393.591803719057</v>
      </c>
      <c r="F526" s="221">
        <f t="shared" si="221"/>
        <v>1491.9431538155131</v>
      </c>
      <c r="G526" s="218">
        <f t="shared" si="231"/>
        <v>-3.2665175146481169</v>
      </c>
      <c r="H526" s="218">
        <f t="shared" si="232"/>
        <v>-3.0348891902433364</v>
      </c>
      <c r="I526" s="218">
        <f t="shared" si="233"/>
        <v>19.534918925704222</v>
      </c>
      <c r="J526" s="218">
        <f t="shared" si="234"/>
        <v>16.744216222032204</v>
      </c>
      <c r="K526" s="218">
        <f t="shared" si="235"/>
        <v>16.7442162220322</v>
      </c>
      <c r="L526" s="218">
        <f t="shared" si="236"/>
        <v>3209.308109222839</v>
      </c>
      <c r="M526" s="764">
        <f t="shared" si="228"/>
        <v>10.048237643273978</v>
      </c>
      <c r="N526" s="1863">
        <v>97</v>
      </c>
      <c r="O526" s="761">
        <f>'Emission-Waste Transport Vehicl'!N66</f>
        <v>16.959839976288002</v>
      </c>
      <c r="P526" s="761">
        <f>'Emission-Waste Transport Vehicl'!O66</f>
        <v>24.673035062016002</v>
      </c>
      <c r="Q526" s="761">
        <f>'Emission-Waste Transport Vehicl'!P66</f>
        <v>9.4361723945280005</v>
      </c>
      <c r="R526" s="761">
        <f>'Emission-Waste Transport Vehicl'!Q66</f>
        <v>7.3283968200960006</v>
      </c>
      <c r="S526" s="761">
        <f>'Emission-Waste Transport Vehicl'!R66</f>
        <v>0.72939372739200004</v>
      </c>
      <c r="T526" s="761">
        <f>'Emission-Waste Transport Vehicl'!S66</f>
        <v>3.3540624944640003E-2</v>
      </c>
      <c r="U526" s="174">
        <f t="shared" si="229"/>
        <v>974.6790513975759</v>
      </c>
      <c r="V526" s="174">
        <f t="shared" si="222"/>
        <v>-55.39961432817406</v>
      </c>
      <c r="W526" s="174">
        <f t="shared" si="223"/>
        <v>-74.879927400207194</v>
      </c>
      <c r="X526" s="174">
        <f t="shared" si="224"/>
        <v>184.33486269607278</v>
      </c>
      <c r="Y526" s="174">
        <f t="shared" si="225"/>
        <v>122.70826091654067</v>
      </c>
      <c r="Z526" s="174">
        <f t="shared" si="226"/>
        <v>12.213126282445659</v>
      </c>
      <c r="AA526" s="174">
        <f t="shared" si="227"/>
        <v>107.642199623235</v>
      </c>
      <c r="AB526" s="2987"/>
      <c r="AC526" s="3015"/>
    </row>
    <row r="527" spans="1:29" ht="18.75" x14ac:dyDescent="0.25">
      <c r="A527" s="2993"/>
      <c r="B527" s="2998"/>
      <c r="C527" s="1863">
        <v>2053</v>
      </c>
      <c r="D527" s="218">
        <f t="shared" si="230"/>
        <v>-48837.297314260592</v>
      </c>
      <c r="E527" s="221">
        <f t="shared" si="220"/>
        <v>57393.591803719057</v>
      </c>
      <c r="F527" s="221">
        <f t="shared" si="221"/>
        <v>1491.9431538155131</v>
      </c>
      <c r="G527" s="218">
        <f t="shared" si="231"/>
        <v>-3.2665175146481169</v>
      </c>
      <c r="H527" s="218">
        <f t="shared" si="232"/>
        <v>-3.0348891902433364</v>
      </c>
      <c r="I527" s="218">
        <f t="shared" si="233"/>
        <v>19.534918925704222</v>
      </c>
      <c r="J527" s="218">
        <f t="shared" si="234"/>
        <v>16.744216222032204</v>
      </c>
      <c r="K527" s="218">
        <f t="shared" si="235"/>
        <v>16.7442162220322</v>
      </c>
      <c r="L527" s="218">
        <f t="shared" si="236"/>
        <v>3209.308109222839</v>
      </c>
      <c r="M527" s="764">
        <f t="shared" si="228"/>
        <v>10.048237643273978</v>
      </c>
      <c r="N527" s="1863">
        <v>97</v>
      </c>
      <c r="O527" s="761">
        <f>'Emission-Waste Transport Vehicl'!N67</f>
        <v>15.361506000000002</v>
      </c>
      <c r="P527" s="761">
        <f>'Emission-Waste Transport Vehicl'!O67</f>
        <v>24.189250060800003</v>
      </c>
      <c r="Q527" s="761">
        <f>'Emission-Waste Transport Vehicl'!P67</f>
        <v>9.2511494064000015</v>
      </c>
      <c r="R527" s="761">
        <f>'Emission-Waste Transport Vehicl'!Q67</f>
        <v>7.1847027647999999</v>
      </c>
      <c r="S527" s="761">
        <f>'Emission-Waste Transport Vehicl'!R67</f>
        <v>0.71509188960000014</v>
      </c>
      <c r="T527" s="761">
        <f>'Emission-Waste Transport Vehicl'!S67</f>
        <v>3.2882965632000001E-2</v>
      </c>
      <c r="U527" s="174">
        <f t="shared" si="229"/>
        <v>974.6790513975759</v>
      </c>
      <c r="V527" s="174">
        <f t="shared" si="222"/>
        <v>-50.178628400372141</v>
      </c>
      <c r="W527" s="174">
        <f t="shared" si="223"/>
        <v>-73.411693529614894</v>
      </c>
      <c r="X527" s="174">
        <f t="shared" si="224"/>
        <v>180.72045362360078</v>
      </c>
      <c r="Y527" s="174">
        <f t="shared" si="225"/>
        <v>120.30221658484379</v>
      </c>
      <c r="Z527" s="174">
        <f t="shared" si="226"/>
        <v>11.973653218083982</v>
      </c>
      <c r="AA527" s="174">
        <f t="shared" si="227"/>
        <v>105.53156825807352</v>
      </c>
      <c r="AB527" s="2987"/>
      <c r="AC527" s="3015"/>
    </row>
    <row r="528" spans="1:29" ht="18.75" x14ac:dyDescent="0.25">
      <c r="A528" s="2993"/>
      <c r="B528" s="2998"/>
      <c r="C528" s="1863">
        <v>2054</v>
      </c>
      <c r="D528" s="218">
        <f t="shared" si="230"/>
        <v>-48837.297314260592</v>
      </c>
      <c r="E528" s="221">
        <f t="shared" si="220"/>
        <v>57393.591803719057</v>
      </c>
      <c r="F528" s="221">
        <f t="shared" si="221"/>
        <v>1491.9431538155131</v>
      </c>
      <c r="G528" s="218">
        <f t="shared" si="231"/>
        <v>-3.2665175146481169</v>
      </c>
      <c r="H528" s="218">
        <f t="shared" si="232"/>
        <v>-3.0348891902433364</v>
      </c>
      <c r="I528" s="218">
        <f t="shared" si="233"/>
        <v>19.534918925704222</v>
      </c>
      <c r="J528" s="218">
        <f t="shared" si="234"/>
        <v>16.744216222032204</v>
      </c>
      <c r="K528" s="218">
        <f t="shared" si="235"/>
        <v>16.7442162220322</v>
      </c>
      <c r="L528" s="218">
        <f t="shared" si="236"/>
        <v>3209.308109222839</v>
      </c>
      <c r="M528" s="764">
        <f t="shared" si="228"/>
        <v>10.048237643273978</v>
      </c>
      <c r="N528" s="1863">
        <v>97</v>
      </c>
      <c r="O528" s="761">
        <f>'Emission-Waste Transport Vehicl'!N68</f>
        <v>16.301268720000003</v>
      </c>
      <c r="P528" s="761">
        <f>'Emission-Waste Transport Vehicl'!O68</f>
        <v>23.714951040000003</v>
      </c>
      <c r="Q528" s="761">
        <f>'Emission-Waste Transport Vehicl'!P68</f>
        <v>9.0697543200000013</v>
      </c>
      <c r="R528" s="761">
        <f>'Emission-Waste Transport Vehicl'!Q68</f>
        <v>7.0438262400000005</v>
      </c>
      <c r="S528" s="761">
        <f>'Emission-Waste Transport Vehicl'!R68</f>
        <v>0.70107048000000005</v>
      </c>
      <c r="T528" s="761">
        <f>'Emission-Waste Transport Vehicl'!S68</f>
        <v>3.2238201600000002E-2</v>
      </c>
      <c r="U528" s="174">
        <f t="shared" si="229"/>
        <v>974.6790513975759</v>
      </c>
      <c r="V528" s="174">
        <f t="shared" si="222"/>
        <v>-53.248379784865499</v>
      </c>
      <c r="W528" s="174">
        <f t="shared" si="223"/>
        <v>-71.972248558445969</v>
      </c>
      <c r="X528" s="174">
        <f t="shared" si="224"/>
        <v>177.17691531725566</v>
      </c>
      <c r="Y528" s="174">
        <f t="shared" si="225"/>
        <v>117.94334959298411</v>
      </c>
      <c r="Z528" s="174">
        <f t="shared" si="226"/>
        <v>11.738875704003902</v>
      </c>
      <c r="AA528" s="174">
        <f t="shared" si="227"/>
        <v>103.46232182164071</v>
      </c>
      <c r="AB528" s="2987"/>
      <c r="AC528" s="3015"/>
    </row>
    <row r="529" spans="1:29" ht="18.75" x14ac:dyDescent="0.25">
      <c r="A529" s="2993"/>
      <c r="B529" s="2998"/>
      <c r="C529" s="1863">
        <v>2055</v>
      </c>
      <c r="D529" s="218">
        <f t="shared" si="230"/>
        <v>-48837.297314260592</v>
      </c>
      <c r="E529" s="221">
        <f t="shared" si="220"/>
        <v>57393.591803719057</v>
      </c>
      <c r="F529" s="221">
        <f t="shared" si="221"/>
        <v>1491.9431538155131</v>
      </c>
      <c r="G529" s="218">
        <f t="shared" si="231"/>
        <v>-3.2665175146481169</v>
      </c>
      <c r="H529" s="218">
        <f t="shared" si="232"/>
        <v>-3.0348891902433364</v>
      </c>
      <c r="I529" s="218">
        <f t="shared" si="233"/>
        <v>19.534918925704222</v>
      </c>
      <c r="J529" s="218">
        <f t="shared" si="234"/>
        <v>16.744216222032204</v>
      </c>
      <c r="K529" s="218">
        <f t="shared" si="235"/>
        <v>16.7442162220322</v>
      </c>
      <c r="L529" s="218">
        <f t="shared" si="236"/>
        <v>3209.308109222839</v>
      </c>
      <c r="M529" s="764">
        <f t="shared" si="228"/>
        <v>10.048237643273978</v>
      </c>
      <c r="N529" s="1863">
        <v>97</v>
      </c>
      <c r="O529" s="761">
        <f>'Emission-Waste Transport Vehicl'!N69</f>
        <v>15.981763853088003</v>
      </c>
      <c r="P529" s="761">
        <f>'Emission-Waste Transport Vehicl'!O69</f>
        <v>23.250137999616001</v>
      </c>
      <c r="Q529" s="761">
        <f>'Emission-Waste Transport Vehicl'!P69</f>
        <v>8.8919871353280016</v>
      </c>
      <c r="R529" s="761">
        <f>'Emission-Waste Transport Vehicl'!Q69</f>
        <v>6.9057672456960004</v>
      </c>
      <c r="S529" s="761">
        <f>'Emission-Waste Transport Vehicl'!R69</f>
        <v>0.6873294985920001</v>
      </c>
      <c r="T529" s="761">
        <f>'Emission-Waste Transport Vehicl'!S69</f>
        <v>3.1606332848640006E-2</v>
      </c>
      <c r="U529" s="174">
        <f t="shared" si="229"/>
        <v>974.6790513975759</v>
      </c>
      <c r="V529" s="174">
        <f t="shared" si="222"/>
        <v>-52.204711541082133</v>
      </c>
      <c r="W529" s="174">
        <f t="shared" si="223"/>
        <v>-70.561592486700434</v>
      </c>
      <c r="X529" s="174">
        <f t="shared" si="224"/>
        <v>173.70424777703744</v>
      </c>
      <c r="Y529" s="174">
        <f t="shared" si="225"/>
        <v>115.63165994096163</v>
      </c>
      <c r="Z529" s="174">
        <f t="shared" si="226"/>
        <v>11.508793740205427</v>
      </c>
      <c r="AA529" s="174">
        <f t="shared" si="227"/>
        <v>101.43446031393657</v>
      </c>
      <c r="AB529" s="2987"/>
      <c r="AC529" s="3015"/>
    </row>
    <row r="530" spans="1:29" ht="18.75" x14ac:dyDescent="0.25">
      <c r="A530" s="2993"/>
      <c r="B530" s="2998"/>
      <c r="C530" s="1863">
        <v>2056</v>
      </c>
      <c r="D530" s="218">
        <f t="shared" si="230"/>
        <v>-48837.297314260592</v>
      </c>
      <c r="E530" s="221">
        <f t="shared" si="220"/>
        <v>57393.591803719057</v>
      </c>
      <c r="F530" s="221">
        <f t="shared" si="221"/>
        <v>1491.9431538155131</v>
      </c>
      <c r="G530" s="218">
        <f t="shared" si="231"/>
        <v>-3.2665175146481169</v>
      </c>
      <c r="H530" s="218">
        <f t="shared" si="232"/>
        <v>-3.0348891902433364</v>
      </c>
      <c r="I530" s="218">
        <f t="shared" si="233"/>
        <v>19.534918925704222</v>
      </c>
      <c r="J530" s="218">
        <f t="shared" si="234"/>
        <v>16.744216222032204</v>
      </c>
      <c r="K530" s="218">
        <f t="shared" si="235"/>
        <v>16.7442162220322</v>
      </c>
      <c r="L530" s="218">
        <f t="shared" si="236"/>
        <v>3209.308109222839</v>
      </c>
      <c r="M530" s="764">
        <f t="shared" si="228"/>
        <v>10.048237643273978</v>
      </c>
      <c r="N530" s="1863">
        <v>97</v>
      </c>
      <c r="O530" s="761">
        <f>'Emission-Waste Transport Vehicl'!N70</f>
        <v>15.668779493664003</v>
      </c>
      <c r="P530" s="761">
        <f>'Emission-Waste Transport Vehicl'!O70</f>
        <v>22.794810939648006</v>
      </c>
      <c r="Q530" s="761">
        <f>'Emission-Waste Transport Vehicl'!P70</f>
        <v>8.7178478523840006</v>
      </c>
      <c r="R530" s="761">
        <f>'Emission-Waste Transport Vehicl'!Q70</f>
        <v>6.7705257818880007</v>
      </c>
      <c r="S530" s="761">
        <f>'Emission-Waste Transport Vehicl'!R70</f>
        <v>0.67386894537600017</v>
      </c>
      <c r="T530" s="761">
        <f>'Emission-Waste Transport Vehicl'!S70</f>
        <v>3.0987359377920003E-2</v>
      </c>
      <c r="U530" s="174">
        <f t="shared" si="229"/>
        <v>974.6790513975759</v>
      </c>
      <c r="V530" s="174">
        <f t="shared" si="222"/>
        <v>-51.182342649212721</v>
      </c>
      <c r="W530" s="174">
        <f t="shared" si="223"/>
        <v>-69.179725314378288</v>
      </c>
      <c r="X530" s="174">
        <f t="shared" si="224"/>
        <v>170.30245100294613</v>
      </c>
      <c r="Y530" s="174">
        <f t="shared" si="225"/>
        <v>113.36714762877634</v>
      </c>
      <c r="Z530" s="174">
        <f t="shared" si="226"/>
        <v>11.283407326688552</v>
      </c>
      <c r="AA530" s="174">
        <f t="shared" si="227"/>
        <v>99.447983734961056</v>
      </c>
      <c r="AB530" s="2987"/>
      <c r="AC530" s="3015"/>
    </row>
    <row r="531" spans="1:29" ht="18.75" x14ac:dyDescent="0.25">
      <c r="A531" s="2993"/>
      <c r="B531" s="2998"/>
      <c r="C531" s="1863">
        <v>2057</v>
      </c>
      <c r="D531" s="218">
        <f t="shared" si="230"/>
        <v>-48837.297314260592</v>
      </c>
      <c r="E531" s="221">
        <f t="shared" si="220"/>
        <v>57393.591803719057</v>
      </c>
      <c r="F531" s="221">
        <f t="shared" si="221"/>
        <v>1491.9431538155131</v>
      </c>
      <c r="G531" s="218">
        <f t="shared" si="231"/>
        <v>-3.2665175146481169</v>
      </c>
      <c r="H531" s="218">
        <f t="shared" si="232"/>
        <v>-3.0348891902433364</v>
      </c>
      <c r="I531" s="218">
        <f t="shared" si="233"/>
        <v>19.534918925704222</v>
      </c>
      <c r="J531" s="218">
        <f t="shared" si="234"/>
        <v>16.744216222032204</v>
      </c>
      <c r="K531" s="218">
        <f t="shared" si="235"/>
        <v>16.7442162220322</v>
      </c>
      <c r="L531" s="218">
        <f t="shared" si="236"/>
        <v>3209.308109222839</v>
      </c>
      <c r="M531" s="764">
        <f t="shared" si="228"/>
        <v>10.048237643273978</v>
      </c>
      <c r="N531" s="1863">
        <v>97</v>
      </c>
      <c r="O531" s="761">
        <f>'Emission-Waste Transport Vehicl'!N71</f>
        <v>15.362315641728001</v>
      </c>
      <c r="P531" s="761">
        <f>'Emission-Waste Transport Vehicl'!O71</f>
        <v>22.348969860096002</v>
      </c>
      <c r="Q531" s="761">
        <f>'Emission-Waste Transport Vehicl'!P71</f>
        <v>8.547336471168002</v>
      </c>
      <c r="R531" s="761">
        <f>'Emission-Waste Transport Vehicl'!Q71</f>
        <v>6.6381018485760004</v>
      </c>
      <c r="S531" s="761">
        <f>'Emission-Waste Transport Vehicl'!R71</f>
        <v>0.66068882035200005</v>
      </c>
      <c r="T531" s="761">
        <f>'Emission-Waste Transport Vehicl'!S71</f>
        <v>3.038128118784E-2</v>
      </c>
      <c r="U531" s="174">
        <f t="shared" si="229"/>
        <v>974.6790513975759</v>
      </c>
      <c r="V531" s="174">
        <f t="shared" si="222"/>
        <v>-50.181273109257241</v>
      </c>
      <c r="W531" s="174">
        <f t="shared" si="223"/>
        <v>-67.82664704147949</v>
      </c>
      <c r="X531" s="174">
        <f t="shared" si="224"/>
        <v>166.97152499498173</v>
      </c>
      <c r="Y531" s="174">
        <f t="shared" si="225"/>
        <v>111.14981265642822</v>
      </c>
      <c r="Z531" s="174">
        <f t="shared" si="226"/>
        <v>11.062716463453278</v>
      </c>
      <c r="AA531" s="174">
        <f t="shared" si="227"/>
        <v>97.502892084714205</v>
      </c>
      <c r="AB531" s="2987"/>
      <c r="AC531" s="3015"/>
    </row>
    <row r="532" spans="1:29" ht="18.75" x14ac:dyDescent="0.25">
      <c r="A532" s="2993"/>
      <c r="B532" s="2998"/>
      <c r="C532" s="1863">
        <v>2058</v>
      </c>
      <c r="D532" s="218">
        <f t="shared" si="230"/>
        <v>-48837.297314260592</v>
      </c>
      <c r="E532" s="221">
        <f t="shared" si="220"/>
        <v>57393.591803719057</v>
      </c>
      <c r="F532" s="221">
        <f t="shared" si="221"/>
        <v>1491.9431538155131</v>
      </c>
      <c r="G532" s="218">
        <f t="shared" si="231"/>
        <v>-3.2665175146481169</v>
      </c>
      <c r="H532" s="218">
        <f t="shared" si="232"/>
        <v>-3.0348891902433364</v>
      </c>
      <c r="I532" s="218">
        <f t="shared" si="233"/>
        <v>19.534918925704222</v>
      </c>
      <c r="J532" s="218">
        <f t="shared" si="234"/>
        <v>16.744216222032204</v>
      </c>
      <c r="K532" s="218">
        <f t="shared" si="235"/>
        <v>16.7442162220322</v>
      </c>
      <c r="L532" s="218">
        <f t="shared" si="236"/>
        <v>3209.308109222839</v>
      </c>
      <c r="M532" s="764">
        <f t="shared" si="228"/>
        <v>10.048237643273978</v>
      </c>
      <c r="N532" s="1863">
        <v>97</v>
      </c>
      <c r="O532" s="761">
        <f>'Emission-Waste Transport Vehicl'!N72</f>
        <v>15.059112043536</v>
      </c>
      <c r="P532" s="761">
        <f>'Emission-Waste Transport Vehicl'!O72</f>
        <v>21.907871770752003</v>
      </c>
      <c r="Q532" s="761">
        <f>'Emission-Waste Transport Vehicl'!P72</f>
        <v>8.378639040816001</v>
      </c>
      <c r="R532" s="761">
        <f>'Emission-Waste Transport Vehicl'!Q72</f>
        <v>6.5070866805119998</v>
      </c>
      <c r="S532" s="761">
        <f>'Emission-Waste Transport Vehicl'!R72</f>
        <v>0.647648909424</v>
      </c>
      <c r="T532" s="761">
        <f>'Emission-Waste Transport Vehicl'!S72</f>
        <v>2.9781650638080002E-2</v>
      </c>
      <c r="U532" s="174">
        <f t="shared" si="229"/>
        <v>974.6790513975759</v>
      </c>
      <c r="V532" s="174">
        <f t="shared" si="222"/>
        <v>-49.190853245258744</v>
      </c>
      <c r="W532" s="174">
        <f t="shared" si="223"/>
        <v>-66.487963218292393</v>
      </c>
      <c r="X532" s="174">
        <f t="shared" si="224"/>
        <v>163.67603437008077</v>
      </c>
      <c r="Y532" s="174">
        <f t="shared" si="225"/>
        <v>108.95606635399871</v>
      </c>
      <c r="Z532" s="174">
        <f t="shared" si="226"/>
        <v>10.844373375358805</v>
      </c>
      <c r="AA532" s="174">
        <f t="shared" si="227"/>
        <v>95.578492898831684</v>
      </c>
      <c r="AB532" s="2987"/>
      <c r="AC532" s="3015"/>
    </row>
    <row r="533" spans="1:29" ht="18.75" x14ac:dyDescent="0.25">
      <c r="A533" s="2993"/>
      <c r="B533" s="2998"/>
      <c r="C533" s="1863">
        <v>2059</v>
      </c>
      <c r="D533" s="218">
        <f t="shared" si="230"/>
        <v>-48837.297314260592</v>
      </c>
      <c r="E533" s="221">
        <f t="shared" si="220"/>
        <v>57393.591803719057</v>
      </c>
      <c r="F533" s="221">
        <f t="shared" si="221"/>
        <v>1491.9431538155131</v>
      </c>
      <c r="G533" s="218">
        <f t="shared" si="231"/>
        <v>-3.2665175146481169</v>
      </c>
      <c r="H533" s="218">
        <f t="shared" si="232"/>
        <v>-3.0348891902433364</v>
      </c>
      <c r="I533" s="218">
        <f t="shared" si="233"/>
        <v>19.534918925704222</v>
      </c>
      <c r="J533" s="218">
        <f t="shared" si="234"/>
        <v>16.744216222032204</v>
      </c>
      <c r="K533" s="218">
        <f t="shared" si="235"/>
        <v>16.7442162220322</v>
      </c>
      <c r="L533" s="218">
        <f t="shared" si="236"/>
        <v>3209.308109222839</v>
      </c>
      <c r="M533" s="764">
        <f t="shared" si="228"/>
        <v>10.048237643273978</v>
      </c>
      <c r="N533" s="1863">
        <v>97</v>
      </c>
      <c r="O533" s="761">
        <f>'Emission-Waste Transport Vehicl'!N73</f>
        <v>14.765689206576004</v>
      </c>
      <c r="P533" s="761">
        <f>'Emission-Waste Transport Vehicl'!O73</f>
        <v>21.481002652032004</v>
      </c>
      <c r="Q533" s="761">
        <f>'Emission-Waste Transport Vehicl'!P73</f>
        <v>8.2153834630560016</v>
      </c>
      <c r="R533" s="761">
        <f>'Emission-Waste Transport Vehicl'!Q73</f>
        <v>6.380297808192001</v>
      </c>
      <c r="S533" s="761">
        <f>'Emission-Waste Transport Vehicl'!R73</f>
        <v>0.63502964078400004</v>
      </c>
      <c r="T533" s="761">
        <f>'Emission-Waste Transport Vehicl'!S73</f>
        <v>2.9201363009280005E-2</v>
      </c>
      <c r="U533" s="174">
        <f t="shared" si="229"/>
        <v>974.6790513975759</v>
      </c>
      <c r="V533" s="174">
        <f t="shared" si="222"/>
        <v>-48.232382409131176</v>
      </c>
      <c r="W533" s="174">
        <f t="shared" si="223"/>
        <v>-65.192462744240373</v>
      </c>
      <c r="X533" s="174">
        <f t="shared" si="224"/>
        <v>160.48684989437018</v>
      </c>
      <c r="Y533" s="174">
        <f t="shared" si="225"/>
        <v>106.83308606132502</v>
      </c>
      <c r="Z533" s="174">
        <f t="shared" si="226"/>
        <v>10.633073612686735</v>
      </c>
      <c r="AA533" s="174">
        <f t="shared" si="227"/>
        <v>93.716171106042168</v>
      </c>
      <c r="AB533" s="2987"/>
      <c r="AC533" s="3015"/>
    </row>
    <row r="534" spans="1:29" ht="18.75" x14ac:dyDescent="0.25">
      <c r="A534" s="2993"/>
      <c r="B534" s="2998"/>
      <c r="C534" s="1863">
        <v>2060</v>
      </c>
      <c r="D534" s="218">
        <f t="shared" si="230"/>
        <v>-48837.297314260592</v>
      </c>
      <c r="E534" s="221">
        <f t="shared" si="220"/>
        <v>57393.591803719057</v>
      </c>
      <c r="F534" s="221">
        <f t="shared" si="221"/>
        <v>1491.9431538155131</v>
      </c>
      <c r="G534" s="218">
        <f t="shared" si="231"/>
        <v>-3.2665175146481169</v>
      </c>
      <c r="H534" s="218">
        <f t="shared" si="232"/>
        <v>-3.0348891902433364</v>
      </c>
      <c r="I534" s="218">
        <f t="shared" si="233"/>
        <v>19.534918925704222</v>
      </c>
      <c r="J534" s="218">
        <f t="shared" si="234"/>
        <v>16.744216222032204</v>
      </c>
      <c r="K534" s="218">
        <f t="shared" si="235"/>
        <v>16.7442162220322</v>
      </c>
      <c r="L534" s="218">
        <f t="shared" si="236"/>
        <v>3209.308109222839</v>
      </c>
      <c r="M534" s="764">
        <f t="shared" si="228"/>
        <v>10.048237643273978</v>
      </c>
      <c r="N534" s="1863">
        <v>97</v>
      </c>
      <c r="O534" s="761">
        <f>'Emission-Waste Transport Vehicl'!N74</f>
        <v>14.475526623360002</v>
      </c>
      <c r="P534" s="761">
        <f>'Emission-Waste Transport Vehicl'!O74</f>
        <v>21.058876523520002</v>
      </c>
      <c r="Q534" s="761">
        <f>'Emission-Waste Transport Vehicl'!P74</f>
        <v>8.0539418361599999</v>
      </c>
      <c r="R534" s="761">
        <f>'Emission-Waste Transport Vehicl'!Q74</f>
        <v>6.2549177011200001</v>
      </c>
      <c r="S534" s="761">
        <f>'Emission-Waste Transport Vehicl'!R74</f>
        <v>0.62255058624000004</v>
      </c>
      <c r="T534" s="761">
        <f>'Emission-Waste Transport Vehicl'!S74</f>
        <v>2.8627523020800003E-2</v>
      </c>
      <c r="U534" s="174">
        <f t="shared" si="229"/>
        <v>974.6790513975759</v>
      </c>
      <c r="V534" s="174">
        <f t="shared" si="222"/>
        <v>-47.284561248960564</v>
      </c>
      <c r="W534" s="174">
        <f t="shared" si="223"/>
        <v>-63.911356719900027</v>
      </c>
      <c r="X534" s="174">
        <f t="shared" si="224"/>
        <v>157.33310080172299</v>
      </c>
      <c r="Y534" s="174">
        <f t="shared" si="225"/>
        <v>104.73369443856988</v>
      </c>
      <c r="Z534" s="174">
        <f t="shared" si="226"/>
        <v>10.424121625155465</v>
      </c>
      <c r="AA534" s="174">
        <f t="shared" si="227"/>
        <v>91.874541777616955</v>
      </c>
      <c r="AB534" s="2987"/>
      <c r="AC534" s="3015"/>
    </row>
    <row r="535" spans="1:29" ht="18.75" x14ac:dyDescent="0.25">
      <c r="A535" s="2993"/>
      <c r="B535" s="2998"/>
      <c r="C535" s="1863">
        <v>2061</v>
      </c>
      <c r="D535" s="218">
        <f t="shared" si="230"/>
        <v>-48837.297314260592</v>
      </c>
      <c r="E535" s="221">
        <f t="shared" si="220"/>
        <v>57393.591803719057</v>
      </c>
      <c r="F535" s="221">
        <f t="shared" si="221"/>
        <v>1491.9431538155131</v>
      </c>
      <c r="G535" s="218">
        <f t="shared" si="231"/>
        <v>-3.2665175146481169</v>
      </c>
      <c r="H535" s="218">
        <f t="shared" si="232"/>
        <v>-3.0348891902433364</v>
      </c>
      <c r="I535" s="218">
        <f t="shared" si="233"/>
        <v>19.534918925704222</v>
      </c>
      <c r="J535" s="218">
        <f t="shared" si="234"/>
        <v>16.744216222032204</v>
      </c>
      <c r="K535" s="218">
        <f t="shared" si="235"/>
        <v>16.7442162220322</v>
      </c>
      <c r="L535" s="218">
        <f t="shared" si="236"/>
        <v>3209.308109222839</v>
      </c>
      <c r="M535" s="764">
        <f t="shared" si="228"/>
        <v>10.048237643273978</v>
      </c>
      <c r="N535" s="1863">
        <v>97</v>
      </c>
      <c r="O535" s="761">
        <f>'Emission-Waste Transport Vehicl'!N75</f>
        <v>14.191884547632004</v>
      </c>
      <c r="P535" s="761">
        <f>'Emission-Waste Transport Vehicl'!O75</f>
        <v>20.646236375424003</v>
      </c>
      <c r="Q535" s="761">
        <f>'Emission-Waste Transport Vehicl'!P75</f>
        <v>7.8961281109920014</v>
      </c>
      <c r="R535" s="761">
        <f>'Emission-Waste Transport Vehicl'!Q75</f>
        <v>6.1323551245440004</v>
      </c>
      <c r="S535" s="761">
        <f>'Emission-Waste Transport Vehicl'!R75</f>
        <v>0.61035195988800006</v>
      </c>
      <c r="T535" s="761">
        <f>'Emission-Waste Transport Vehicl'!S75</f>
        <v>2.8066578312960003E-2</v>
      </c>
      <c r="U535" s="174">
        <f t="shared" si="229"/>
        <v>974.6790513975759</v>
      </c>
      <c r="V535" s="174">
        <f t="shared" si="222"/>
        <v>-46.358039440703905</v>
      </c>
      <c r="W535" s="174">
        <f t="shared" si="223"/>
        <v>-62.659039594983071</v>
      </c>
      <c r="X535" s="174">
        <f t="shared" si="224"/>
        <v>154.25022247520278</v>
      </c>
      <c r="Y535" s="174">
        <f t="shared" si="225"/>
        <v>102.68148015565197</v>
      </c>
      <c r="Z535" s="174">
        <f t="shared" si="226"/>
        <v>10.219865187905798</v>
      </c>
      <c r="AA535" s="174">
        <f t="shared" si="227"/>
        <v>90.074297377920402</v>
      </c>
      <c r="AB535" s="2987"/>
      <c r="AC535" s="3015"/>
    </row>
    <row r="536" spans="1:29" ht="18.75" x14ac:dyDescent="0.25">
      <c r="A536" s="2993"/>
      <c r="B536" s="2998"/>
      <c r="C536" s="1863">
        <v>2062</v>
      </c>
      <c r="D536" s="218">
        <f t="shared" si="230"/>
        <v>-48837.297314260592</v>
      </c>
      <c r="E536" s="221">
        <f t="shared" si="220"/>
        <v>57393.591803719057</v>
      </c>
      <c r="F536" s="221">
        <f t="shared" si="221"/>
        <v>1491.9431538155131</v>
      </c>
      <c r="G536" s="218">
        <f t="shared" si="231"/>
        <v>-3.2665175146481169</v>
      </c>
      <c r="H536" s="218">
        <f t="shared" si="232"/>
        <v>-3.0348891902433364</v>
      </c>
      <c r="I536" s="218">
        <f t="shared" si="233"/>
        <v>19.534918925704222</v>
      </c>
      <c r="J536" s="218">
        <f t="shared" si="234"/>
        <v>16.744216222032204</v>
      </c>
      <c r="K536" s="218">
        <f t="shared" si="235"/>
        <v>16.7442162220322</v>
      </c>
      <c r="L536" s="218">
        <f t="shared" si="236"/>
        <v>3209.308109222839</v>
      </c>
      <c r="M536" s="764">
        <f t="shared" si="228"/>
        <v>10.048237643273978</v>
      </c>
      <c r="N536" s="1863">
        <v>97</v>
      </c>
      <c r="O536" s="761">
        <f>'Emission-Waste Transport Vehicl'!N76</f>
        <v>13.914762979392002</v>
      </c>
      <c r="P536" s="761">
        <f>'Emission-Waste Transport Vehicl'!O76</f>
        <v>20.243082207744003</v>
      </c>
      <c r="Q536" s="761">
        <f>'Emission-Waste Transport Vehicl'!P76</f>
        <v>7.7419422875520008</v>
      </c>
      <c r="R536" s="761">
        <f>'Emission-Waste Transport Vehicl'!Q76</f>
        <v>6.0126100784640002</v>
      </c>
      <c r="S536" s="761">
        <f>'Emission-Waste Transport Vehicl'!R76</f>
        <v>0.59843376172800011</v>
      </c>
      <c r="T536" s="761">
        <f>'Emission-Waste Transport Vehicl'!S76</f>
        <v>2.7518528885760004E-2</v>
      </c>
      <c r="U536" s="174">
        <f t="shared" si="229"/>
        <v>974.6790513975759</v>
      </c>
      <c r="V536" s="174">
        <f t="shared" si="222"/>
        <v>-45.452816984361185</v>
      </c>
      <c r="W536" s="174">
        <f t="shared" si="223"/>
        <v>-61.435511369489483</v>
      </c>
      <c r="X536" s="174">
        <f t="shared" si="224"/>
        <v>151.23821491480942</v>
      </c>
      <c r="Y536" s="174">
        <f t="shared" si="225"/>
        <v>100.67644321257123</v>
      </c>
      <c r="Z536" s="174">
        <f t="shared" si="226"/>
        <v>10.020304300937733</v>
      </c>
      <c r="AA536" s="174">
        <f t="shared" si="227"/>
        <v>88.315437906952511</v>
      </c>
      <c r="AB536" s="2987"/>
      <c r="AC536" s="3015"/>
    </row>
    <row r="537" spans="1:29" ht="18.75" x14ac:dyDescent="0.25">
      <c r="A537" s="2993"/>
      <c r="B537" s="2998"/>
      <c r="C537" s="1863">
        <v>2063</v>
      </c>
      <c r="D537" s="218">
        <f t="shared" si="230"/>
        <v>-48837.297314260592</v>
      </c>
      <c r="E537" s="221">
        <f t="shared" si="220"/>
        <v>57393.591803719057</v>
      </c>
      <c r="F537" s="221">
        <f t="shared" si="221"/>
        <v>1491.9431538155131</v>
      </c>
      <c r="G537" s="218">
        <f t="shared" si="231"/>
        <v>-3.2665175146481169</v>
      </c>
      <c r="H537" s="218">
        <f t="shared" si="232"/>
        <v>-3.0348891902433364</v>
      </c>
      <c r="I537" s="218">
        <f t="shared" si="233"/>
        <v>19.534918925704222</v>
      </c>
      <c r="J537" s="218">
        <f t="shared" si="234"/>
        <v>16.744216222032204</v>
      </c>
      <c r="K537" s="218">
        <f t="shared" si="235"/>
        <v>16.7442162220322</v>
      </c>
      <c r="L537" s="218">
        <f t="shared" si="236"/>
        <v>3209.308109222839</v>
      </c>
      <c r="M537" s="764">
        <f t="shared" si="228"/>
        <v>10.048237643273978</v>
      </c>
      <c r="N537" s="1863">
        <v>97</v>
      </c>
      <c r="O537" s="761">
        <f>'Emission-Waste Transport Vehicl'!N77</f>
        <v>13.640901664896001</v>
      </c>
      <c r="P537" s="761">
        <f>'Emission-Waste Transport Vehicl'!O77</f>
        <v>19.844671030272</v>
      </c>
      <c r="Q537" s="761">
        <f>'Emission-Waste Transport Vehicl'!P77</f>
        <v>7.5895704149760004</v>
      </c>
      <c r="R537" s="761">
        <f>'Emission-Waste Transport Vehicl'!Q77</f>
        <v>5.8942737976319997</v>
      </c>
      <c r="S537" s="761">
        <f>'Emission-Waste Transport Vehicl'!R77</f>
        <v>0.58665577766400001</v>
      </c>
      <c r="T537" s="761">
        <f>'Emission-Waste Transport Vehicl'!S77</f>
        <v>2.6976927098879999E-2</v>
      </c>
      <c r="U537" s="174">
        <f t="shared" si="229"/>
        <v>974.6790513975759</v>
      </c>
      <c r="V537" s="174">
        <f t="shared" si="222"/>
        <v>-44.558244203975448</v>
      </c>
      <c r="W537" s="174">
        <f t="shared" si="223"/>
        <v>-60.226377593707582</v>
      </c>
      <c r="X537" s="174">
        <f t="shared" si="224"/>
        <v>148.26164273747952</v>
      </c>
      <c r="Y537" s="174">
        <f t="shared" si="225"/>
        <v>98.694994939409099</v>
      </c>
      <c r="Z537" s="174">
        <f t="shared" si="226"/>
        <v>9.823091189110464</v>
      </c>
      <c r="AA537" s="174">
        <f t="shared" si="227"/>
        <v>86.577270900348935</v>
      </c>
      <c r="AB537" s="2987"/>
      <c r="AC537" s="3015"/>
    </row>
    <row r="538" spans="1:29" ht="18.75" x14ac:dyDescent="0.25">
      <c r="A538" s="2993"/>
      <c r="B538" s="2998"/>
      <c r="C538" s="1863">
        <v>2064</v>
      </c>
      <c r="D538" s="218">
        <f t="shared" si="230"/>
        <v>-48837.297314260592</v>
      </c>
      <c r="E538" s="221">
        <f t="shared" si="220"/>
        <v>57393.591803719057</v>
      </c>
      <c r="F538" s="221">
        <f t="shared" si="221"/>
        <v>1491.9431538155131</v>
      </c>
      <c r="G538" s="218">
        <f t="shared" si="231"/>
        <v>-3.2665175146481169</v>
      </c>
      <c r="H538" s="218">
        <f t="shared" si="232"/>
        <v>-3.0348891902433364</v>
      </c>
      <c r="I538" s="218">
        <f t="shared" si="233"/>
        <v>19.534918925704222</v>
      </c>
      <c r="J538" s="218">
        <f t="shared" si="234"/>
        <v>16.744216222032204</v>
      </c>
      <c r="K538" s="218">
        <f t="shared" si="235"/>
        <v>16.7442162220322</v>
      </c>
      <c r="L538" s="218">
        <f t="shared" si="236"/>
        <v>3209.308109222839</v>
      </c>
      <c r="M538" s="764">
        <f t="shared" si="228"/>
        <v>10.048237643273978</v>
      </c>
      <c r="N538" s="1863">
        <v>97</v>
      </c>
      <c r="O538" s="761">
        <f>'Emission-Waste Transport Vehicl'!N78</f>
        <v>13.373560857888002</v>
      </c>
      <c r="P538" s="761">
        <f>'Emission-Waste Transport Vehicl'!O78</f>
        <v>19.455745833216003</v>
      </c>
      <c r="Q538" s="761">
        <f>'Emission-Waste Transport Vehicl'!P78</f>
        <v>7.4408264441280014</v>
      </c>
      <c r="R538" s="761">
        <f>'Emission-Waste Transport Vehicl'!Q78</f>
        <v>5.7787550472960003</v>
      </c>
      <c r="S538" s="761">
        <f>'Emission-Waste Transport Vehicl'!R78</f>
        <v>0.57515822179200005</v>
      </c>
      <c r="T538" s="761">
        <f>'Emission-Waste Transport Vehicl'!S78</f>
        <v>2.6448220592640001E-2</v>
      </c>
      <c r="U538" s="174">
        <f t="shared" si="229"/>
        <v>974.6790513975759</v>
      </c>
      <c r="V538" s="174">
        <f t="shared" si="222"/>
        <v>-43.68497077550365</v>
      </c>
      <c r="W538" s="174">
        <f t="shared" si="223"/>
        <v>-59.046032717349078</v>
      </c>
      <c r="X538" s="174">
        <f t="shared" si="224"/>
        <v>145.35594132627654</v>
      </c>
      <c r="Y538" s="174">
        <f t="shared" si="225"/>
        <v>96.76072400608416</v>
      </c>
      <c r="Z538" s="174">
        <f t="shared" si="226"/>
        <v>9.630573627564802</v>
      </c>
      <c r="AA538" s="174">
        <f t="shared" si="227"/>
        <v>84.880488822474035</v>
      </c>
      <c r="AB538" s="2987"/>
      <c r="AC538" s="3015"/>
    </row>
    <row r="539" spans="1:29" ht="18.75" x14ac:dyDescent="0.25">
      <c r="A539" s="2993"/>
      <c r="B539" s="2998"/>
      <c r="C539" s="1863">
        <v>2065</v>
      </c>
      <c r="D539" s="218">
        <f t="shared" si="230"/>
        <v>-48837.297314260592</v>
      </c>
      <c r="E539" s="221">
        <f t="shared" si="220"/>
        <v>57393.591803719057</v>
      </c>
      <c r="F539" s="221">
        <f t="shared" si="221"/>
        <v>1491.9431538155131</v>
      </c>
      <c r="G539" s="218">
        <f t="shared" si="231"/>
        <v>-3.2665175146481169</v>
      </c>
      <c r="H539" s="218">
        <f t="shared" si="232"/>
        <v>-3.0348891902433364</v>
      </c>
      <c r="I539" s="218">
        <f t="shared" si="233"/>
        <v>19.534918925704222</v>
      </c>
      <c r="J539" s="218">
        <f t="shared" si="234"/>
        <v>16.744216222032204</v>
      </c>
      <c r="K539" s="218">
        <f t="shared" si="235"/>
        <v>16.7442162220322</v>
      </c>
      <c r="L539" s="218">
        <f t="shared" si="236"/>
        <v>3209.308109222839</v>
      </c>
      <c r="M539" s="764">
        <f t="shared" si="228"/>
        <v>10.048237643273978</v>
      </c>
      <c r="N539" s="1863">
        <v>97</v>
      </c>
      <c r="O539" s="761">
        <f>'Emission-Waste Transport Vehicl'!N79</f>
        <v>13.112740558368001</v>
      </c>
      <c r="P539" s="761">
        <f>'Emission-Waste Transport Vehicl'!O79</f>
        <v>19.076306616576002</v>
      </c>
      <c r="Q539" s="761">
        <f>'Emission-Waste Transport Vehicl'!P79</f>
        <v>7.2957103750080003</v>
      </c>
      <c r="R539" s="761">
        <f>'Emission-Waste Transport Vehicl'!Q79</f>
        <v>5.6660538274560004</v>
      </c>
      <c r="S539" s="761">
        <f>'Emission-Waste Transport Vehicl'!R79</f>
        <v>0.56394109411200011</v>
      </c>
      <c r="T539" s="761">
        <f>'Emission-Waste Transport Vehicl'!S79</f>
        <v>2.5932409367040003E-2</v>
      </c>
      <c r="U539" s="174">
        <f t="shared" si="229"/>
        <v>974.6790513975759</v>
      </c>
      <c r="V539" s="174">
        <f t="shared" si="222"/>
        <v>-42.832996698945806</v>
      </c>
      <c r="W539" s="174">
        <f t="shared" si="223"/>
        <v>-57.894476740413943</v>
      </c>
      <c r="X539" s="174">
        <f t="shared" si="224"/>
        <v>142.52111068120044</v>
      </c>
      <c r="Y539" s="174">
        <f t="shared" si="225"/>
        <v>94.873630412596427</v>
      </c>
      <c r="Z539" s="174">
        <f t="shared" si="226"/>
        <v>9.4427516163007397</v>
      </c>
      <c r="AA539" s="174">
        <f t="shared" si="227"/>
        <v>83.225091673327796</v>
      </c>
      <c r="AB539" s="2987"/>
      <c r="AC539" s="3015"/>
    </row>
    <row r="540" spans="1:29" ht="18.75" x14ac:dyDescent="0.25">
      <c r="A540" s="2993"/>
      <c r="B540" s="2998"/>
      <c r="C540" s="1863">
        <v>2066</v>
      </c>
      <c r="D540" s="218">
        <f t="shared" si="230"/>
        <v>-48837.297314260592</v>
      </c>
      <c r="E540" s="221">
        <f t="shared" si="220"/>
        <v>57393.591803719057</v>
      </c>
      <c r="F540" s="221">
        <f t="shared" si="221"/>
        <v>1491.9431538155131</v>
      </c>
      <c r="G540" s="218">
        <f t="shared" si="231"/>
        <v>-3.2665175146481169</v>
      </c>
      <c r="H540" s="218">
        <f t="shared" si="232"/>
        <v>-3.0348891902433364</v>
      </c>
      <c r="I540" s="218">
        <f t="shared" si="233"/>
        <v>19.534918925704222</v>
      </c>
      <c r="J540" s="218">
        <f t="shared" si="234"/>
        <v>16.744216222032204</v>
      </c>
      <c r="K540" s="218">
        <f t="shared" si="235"/>
        <v>16.7442162220322</v>
      </c>
      <c r="L540" s="218">
        <f t="shared" si="236"/>
        <v>3209.308109222839</v>
      </c>
      <c r="M540" s="764">
        <f t="shared" si="228"/>
        <v>10.048237643273978</v>
      </c>
      <c r="N540" s="1863">
        <v>97</v>
      </c>
      <c r="O540" s="761">
        <f>'Emission-Waste Transport Vehicl'!N80</f>
        <v>12.855180512592</v>
      </c>
      <c r="P540" s="761">
        <f>'Emission-Waste Transport Vehicl'!O80</f>
        <v>18.701610390143998</v>
      </c>
      <c r="Q540" s="761">
        <f>'Emission-Waste Transport Vehicl'!P80</f>
        <v>7.1524082567520004</v>
      </c>
      <c r="R540" s="761">
        <f>'Emission-Waste Transport Vehicl'!Q80</f>
        <v>5.5547613728639993</v>
      </c>
      <c r="S540" s="761">
        <f>'Emission-Waste Transport Vehicl'!R80</f>
        <v>0.55286418052800002</v>
      </c>
      <c r="T540" s="761">
        <f>'Emission-Waste Transport Vehicl'!S80</f>
        <v>2.5423045781760002E-2</v>
      </c>
      <c r="U540" s="174">
        <f t="shared" si="229"/>
        <v>974.6790513975759</v>
      </c>
      <c r="V540" s="174">
        <f t="shared" si="222"/>
        <v>-41.991672298344923</v>
      </c>
      <c r="W540" s="174">
        <f t="shared" si="223"/>
        <v>-56.757315213190481</v>
      </c>
      <c r="X540" s="174">
        <f t="shared" si="224"/>
        <v>139.7217154191878</v>
      </c>
      <c r="Y540" s="174">
        <f t="shared" si="225"/>
        <v>93.010125489027246</v>
      </c>
      <c r="Z540" s="174">
        <f t="shared" si="226"/>
        <v>9.2572773801774773</v>
      </c>
      <c r="AA540" s="174">
        <f t="shared" si="227"/>
        <v>81.590386988545859</v>
      </c>
      <c r="AB540" s="2987"/>
      <c r="AC540" s="3015"/>
    </row>
    <row r="541" spans="1:29" ht="18.75" x14ac:dyDescent="0.25">
      <c r="A541" s="2993"/>
      <c r="B541" s="2998"/>
      <c r="C541" s="1863">
        <v>2067</v>
      </c>
      <c r="D541" s="218">
        <f t="shared" si="230"/>
        <v>-48837.297314260592</v>
      </c>
      <c r="E541" s="221">
        <f t="shared" si="220"/>
        <v>57393.591803719057</v>
      </c>
      <c r="F541" s="221">
        <f t="shared" si="221"/>
        <v>1491.9431538155131</v>
      </c>
      <c r="G541" s="218">
        <f t="shared" si="231"/>
        <v>-3.2665175146481169</v>
      </c>
      <c r="H541" s="218">
        <f t="shared" si="232"/>
        <v>-3.0348891902433364</v>
      </c>
      <c r="I541" s="218">
        <f t="shared" si="233"/>
        <v>19.534918925704222</v>
      </c>
      <c r="J541" s="218">
        <f t="shared" si="234"/>
        <v>16.744216222032204</v>
      </c>
      <c r="K541" s="218">
        <f t="shared" si="235"/>
        <v>16.7442162220322</v>
      </c>
      <c r="L541" s="218">
        <f t="shared" si="236"/>
        <v>3209.308109222839</v>
      </c>
      <c r="M541" s="764">
        <f t="shared" si="228"/>
        <v>10.048237643273978</v>
      </c>
      <c r="N541" s="1863">
        <v>97</v>
      </c>
      <c r="O541" s="761">
        <f>'Emission-Waste Transport Vehicl'!N81</f>
        <v>12.600880720560001</v>
      </c>
      <c r="P541" s="761">
        <f>'Emission-Waste Transport Vehicl'!O81</f>
        <v>18.331657153920002</v>
      </c>
      <c r="Q541" s="761">
        <f>'Emission-Waste Transport Vehicl'!P81</f>
        <v>7.0109200893600008</v>
      </c>
      <c r="R541" s="761">
        <f>'Emission-Waste Transport Vehicl'!Q81</f>
        <v>5.4448776835200006</v>
      </c>
      <c r="S541" s="761">
        <f>'Emission-Waste Transport Vehicl'!R81</f>
        <v>0.5419274810400001</v>
      </c>
      <c r="T541" s="761">
        <f>'Emission-Waste Transport Vehicl'!S81</f>
        <v>2.4920129836800003E-2</v>
      </c>
      <c r="U541" s="174">
        <f t="shared" si="229"/>
        <v>974.6790513975759</v>
      </c>
      <c r="V541" s="174">
        <f t="shared" si="222"/>
        <v>-41.160997573701025</v>
      </c>
      <c r="W541" s="174">
        <f t="shared" si="223"/>
        <v>-55.634548135678742</v>
      </c>
      <c r="X541" s="174">
        <f t="shared" si="224"/>
        <v>136.95775554023862</v>
      </c>
      <c r="Y541" s="174">
        <f t="shared" si="225"/>
        <v>91.170209235376717</v>
      </c>
      <c r="Z541" s="174">
        <f t="shared" si="226"/>
        <v>9.0741509191950183</v>
      </c>
      <c r="AA541" s="174">
        <f t="shared" si="227"/>
        <v>79.976374768128281</v>
      </c>
      <c r="AB541" s="2987"/>
      <c r="AC541" s="3015"/>
    </row>
    <row r="542" spans="1:29" ht="18.75" x14ac:dyDescent="0.25">
      <c r="A542" s="2993"/>
      <c r="B542" s="2998"/>
      <c r="C542" s="1863">
        <v>2068</v>
      </c>
      <c r="D542" s="218">
        <f t="shared" si="230"/>
        <v>-48837.297314260592</v>
      </c>
      <c r="E542" s="221">
        <f t="shared" si="220"/>
        <v>57393.591803719057</v>
      </c>
      <c r="F542" s="221">
        <f t="shared" si="221"/>
        <v>1491.9431538155131</v>
      </c>
      <c r="G542" s="218">
        <f t="shared" si="231"/>
        <v>-3.2665175146481169</v>
      </c>
      <c r="H542" s="218">
        <f t="shared" si="232"/>
        <v>-3.0348891902433364</v>
      </c>
      <c r="I542" s="218">
        <f t="shared" si="233"/>
        <v>19.534918925704222</v>
      </c>
      <c r="J542" s="218">
        <f t="shared" si="234"/>
        <v>16.744216222032204</v>
      </c>
      <c r="K542" s="218">
        <f t="shared" si="235"/>
        <v>16.7442162220322</v>
      </c>
      <c r="L542" s="218">
        <f t="shared" si="236"/>
        <v>3209.308109222839</v>
      </c>
      <c r="M542" s="764">
        <f t="shared" si="228"/>
        <v>10.048237643273978</v>
      </c>
      <c r="N542" s="1863">
        <v>97</v>
      </c>
      <c r="O542" s="761">
        <f>'Emission-Waste Transport Vehicl'!N82</f>
        <v>12.356361689760002</v>
      </c>
      <c r="P542" s="761">
        <f>'Emission-Waste Transport Vehicl'!O82</f>
        <v>17.975932888320003</v>
      </c>
      <c r="Q542" s="761">
        <f>'Emission-Waste Transport Vehicl'!P82</f>
        <v>6.8748737745600002</v>
      </c>
      <c r="R542" s="761">
        <f>'Emission-Waste Transport Vehicl'!Q82</f>
        <v>5.339220289920001</v>
      </c>
      <c r="S542" s="761">
        <f>'Emission-Waste Transport Vehicl'!R82</f>
        <v>0.53141142384000006</v>
      </c>
      <c r="T542" s="761">
        <f>'Emission-Waste Transport Vehicl'!S82</f>
        <v>2.4436556812800003E-2</v>
      </c>
      <c r="U542" s="174">
        <f t="shared" si="229"/>
        <v>974.6790513975759</v>
      </c>
      <c r="V542" s="174">
        <f t="shared" si="222"/>
        <v>-40.362271876928048</v>
      </c>
      <c r="W542" s="174">
        <f t="shared" si="223"/>
        <v>-54.554964407302052</v>
      </c>
      <c r="X542" s="174">
        <f t="shared" si="224"/>
        <v>134.30010181047976</v>
      </c>
      <c r="Y542" s="174">
        <f t="shared" si="225"/>
        <v>89.40105899148196</v>
      </c>
      <c r="Z542" s="174">
        <f t="shared" si="226"/>
        <v>8.8980677836349589</v>
      </c>
      <c r="AA542" s="174">
        <f t="shared" si="227"/>
        <v>78.424439940803666</v>
      </c>
      <c r="AB542" s="2987"/>
      <c r="AC542" s="3015"/>
    </row>
    <row r="543" spans="1:29" ht="19.5" thickBot="1" x14ac:dyDescent="0.3">
      <c r="A543" s="2994"/>
      <c r="B543" s="2999"/>
      <c r="C543" s="1864">
        <v>2069</v>
      </c>
      <c r="D543" s="222">
        <f t="shared" si="230"/>
        <v>-48837.297314260592</v>
      </c>
      <c r="E543" s="328">
        <f t="shared" si="220"/>
        <v>57393.591803719057</v>
      </c>
      <c r="F543" s="328">
        <f t="shared" si="221"/>
        <v>1491.9431538155131</v>
      </c>
      <c r="G543" s="222">
        <f t="shared" si="231"/>
        <v>-3.2665175146481169</v>
      </c>
      <c r="H543" s="222">
        <f t="shared" si="232"/>
        <v>-3.0348891902433364</v>
      </c>
      <c r="I543" s="222">
        <f t="shared" si="233"/>
        <v>19.534918925704222</v>
      </c>
      <c r="J543" s="222">
        <f t="shared" si="234"/>
        <v>16.744216222032204</v>
      </c>
      <c r="K543" s="222">
        <f t="shared" si="235"/>
        <v>16.7442162220322</v>
      </c>
      <c r="L543" s="222">
        <f t="shared" si="236"/>
        <v>3209.308109222839</v>
      </c>
      <c r="M543" s="759">
        <f t="shared" si="228"/>
        <v>10.048237643273978</v>
      </c>
      <c r="N543" s="1864">
        <v>97</v>
      </c>
      <c r="O543" s="767">
        <f>'Emission-Waste Transport Vehicl'!N83</f>
        <v>12.111842658960002</v>
      </c>
      <c r="P543" s="767">
        <f>'Emission-Waste Transport Vehicl'!O83</f>
        <v>17.62020862272</v>
      </c>
      <c r="Q543" s="767">
        <f>'Emission-Waste Transport Vehicl'!P83</f>
        <v>6.7388274597600004</v>
      </c>
      <c r="R543" s="767">
        <f>'Emission-Waste Transport Vehicl'!Q83</f>
        <v>5.2335628963200005</v>
      </c>
      <c r="S543" s="767">
        <f>'Emission-Waste Transport Vehicl'!R83</f>
        <v>0.52089536664000002</v>
      </c>
      <c r="T543" s="767">
        <f>'Emission-Waste Transport Vehicl'!S83</f>
        <v>2.3952983788800002E-2</v>
      </c>
      <c r="U543" s="647">
        <f t="shared" si="229"/>
        <v>974.6790513975759</v>
      </c>
      <c r="V543" s="647">
        <f t="shared" si="222"/>
        <v>-39.563546180155065</v>
      </c>
      <c r="W543" s="647">
        <f t="shared" si="223"/>
        <v>-53.475380678925355</v>
      </c>
      <c r="X543" s="647">
        <f t="shared" si="224"/>
        <v>131.64244808072092</v>
      </c>
      <c r="Y543" s="647">
        <f t="shared" si="225"/>
        <v>87.631908747587204</v>
      </c>
      <c r="Z543" s="647">
        <f t="shared" si="226"/>
        <v>8.7219846480748995</v>
      </c>
      <c r="AA543" s="647">
        <f t="shared" si="227"/>
        <v>76.87250511347905</v>
      </c>
      <c r="AB543" s="2996"/>
      <c r="AC543" s="3015"/>
    </row>
    <row r="544" spans="1:29" ht="18.75" x14ac:dyDescent="0.25">
      <c r="A544" s="3000" t="s">
        <v>169</v>
      </c>
      <c r="B544" s="3002" t="s">
        <v>1799</v>
      </c>
      <c r="C544" s="1865">
        <v>2019</v>
      </c>
      <c r="D544" s="221">
        <f t="shared" ref="D544:D575" si="237">$AC$24</f>
        <v>-889058.6721188972</v>
      </c>
      <c r="E544" s="221">
        <f>$AB$24*28</f>
        <v>-807.61818306983798</v>
      </c>
      <c r="F544" s="221">
        <f>$AD$24*298</f>
        <v>-20729.997816695963</v>
      </c>
      <c r="G544" s="221">
        <f t="shared" ref="G544:G575" si="238">$Y$24</f>
        <v>-20.360122262264817</v>
      </c>
      <c r="H544" s="221">
        <f t="shared" ref="H544:H575" si="239">$Z$24</f>
        <v>-16.966768551887348</v>
      </c>
      <c r="I544" s="221">
        <f t="shared" ref="I544:I575" si="240">$X$24</f>
        <v>-714.30095603445739</v>
      </c>
      <c r="J544" s="221">
        <f t="shared" ref="J544:J575" si="241">$AA$24</f>
        <v>-5.090030565566205</v>
      </c>
      <c r="K544" s="221">
        <f t="shared" ref="K544:K575" si="242">$V$24</f>
        <v>-397.02238411416403</v>
      </c>
      <c r="L544" s="221">
        <f t="shared" ref="L544:L575" si="243">$W$24</f>
        <v>-10622.89379033667</v>
      </c>
      <c r="M544" s="768">
        <f t="shared" si="228"/>
        <v>-910.59628811866298</v>
      </c>
      <c r="N544" s="1865">
        <v>62</v>
      </c>
      <c r="O544" s="760">
        <f>'Emission-Waste Transport Vehicl'!N33</f>
        <v>32.602537440000006</v>
      </c>
      <c r="P544" s="760">
        <f>'Emission-Waste Transport Vehicl'!O33</f>
        <v>47.429902080000005</v>
      </c>
      <c r="Q544" s="760">
        <f>'Emission-Waste Transport Vehicl'!P33</f>
        <v>18.139508640000003</v>
      </c>
      <c r="R544" s="760">
        <f>'Emission-Waste Transport Vehicl'!Q33</f>
        <v>14.087652480000001</v>
      </c>
      <c r="S544" s="760">
        <f>'Emission-Waste Transport Vehicl'!R33</f>
        <v>1.4021409600000001</v>
      </c>
      <c r="T544" s="760">
        <f>'Emission-Waste Transport Vehicl'!S33</f>
        <v>6.4476403200000004E-2</v>
      </c>
      <c r="U544" s="757">
        <f t="shared" si="229"/>
        <v>-56456.969863357102</v>
      </c>
      <c r="V544" s="757">
        <f t="shared" si="222"/>
        <v>-663.7916483384663</v>
      </c>
      <c r="W544" s="757">
        <f t="shared" si="223"/>
        <v>-804.73217103004038</v>
      </c>
      <c r="X544" s="757">
        <f t="shared" si="224"/>
        <v>-12957.068363547301</v>
      </c>
      <c r="Y544" s="757">
        <f t="shared" si="225"/>
        <v>-71.706581720274556</v>
      </c>
      <c r="Z544" s="757">
        <f t="shared" si="226"/>
        <v>-556.68134680332275</v>
      </c>
      <c r="AA544" s="757">
        <f t="shared" si="227"/>
        <v>-684.92598317652346</v>
      </c>
      <c r="AB544" s="2986">
        <f>(SUM(U544:U594)*1.2682)+(SUM(V544:V594))+(SUM(W544:W594))+(SUM(X544:X594))+(SUM(Y544:Y594))+(SUM(Z544:Z594))+(SUM(AA544:AA594))</f>
        <v>-5585712.2683912627</v>
      </c>
      <c r="AC544" s="2727"/>
    </row>
    <row r="545" spans="1:29" ht="18.75" x14ac:dyDescent="0.25">
      <c r="A545" s="2993"/>
      <c r="B545" s="2998"/>
      <c r="C545" s="1863">
        <v>2020</v>
      </c>
      <c r="D545" s="221">
        <f t="shared" si="237"/>
        <v>-889058.6721188972</v>
      </c>
      <c r="E545" s="221">
        <f t="shared" ref="E545:E594" si="244">$AB$24*28</f>
        <v>-807.61818306983798</v>
      </c>
      <c r="F545" s="221">
        <f t="shared" ref="F545:F594" si="245">$AD$24*298</f>
        <v>-20729.997816695963</v>
      </c>
      <c r="G545" s="221">
        <f t="shared" si="238"/>
        <v>-20.360122262264817</v>
      </c>
      <c r="H545" s="221">
        <f t="shared" si="239"/>
        <v>-16.966768551887348</v>
      </c>
      <c r="I545" s="221">
        <f t="shared" si="240"/>
        <v>-714.30095603445739</v>
      </c>
      <c r="J545" s="221">
        <f t="shared" si="241"/>
        <v>-5.090030565566205</v>
      </c>
      <c r="K545" s="221">
        <f t="shared" si="242"/>
        <v>-397.02238411416403</v>
      </c>
      <c r="L545" s="221">
        <f t="shared" si="243"/>
        <v>-10622.89379033667</v>
      </c>
      <c r="M545" s="764">
        <f t="shared" si="228"/>
        <v>-910.59628811866298</v>
      </c>
      <c r="N545" s="1863">
        <v>64</v>
      </c>
      <c r="O545" s="761">
        <f>'Emission-Waste Transport Vehicl'!N34</f>
        <v>31.963527706176006</v>
      </c>
      <c r="P545" s="761">
        <f>'Emission-Waste Transport Vehicl'!O34</f>
        <v>46.500275999232002</v>
      </c>
      <c r="Q545" s="761">
        <f>'Emission-Waste Transport Vehicl'!P34</f>
        <v>17.783974270656003</v>
      </c>
      <c r="R545" s="761">
        <f>'Emission-Waste Transport Vehicl'!Q34</f>
        <v>13.811534491392001</v>
      </c>
      <c r="S545" s="761">
        <f>'Emission-Waste Transport Vehicl'!R34</f>
        <v>1.3746589971840002</v>
      </c>
      <c r="T545" s="761">
        <f>'Emission-Waste Transport Vehicl'!S34</f>
        <v>6.3212665697280013E-2</v>
      </c>
      <c r="U545" s="174">
        <f t="shared" si="229"/>
        <v>-58278.162439594431</v>
      </c>
      <c r="V545" s="174">
        <f t="shared" si="222"/>
        <v>-650.78133203103232</v>
      </c>
      <c r="W545" s="174">
        <f t="shared" si="223"/>
        <v>-788.95942047785161</v>
      </c>
      <c r="X545" s="174">
        <f t="shared" si="224"/>
        <v>-12703.109823621775</v>
      </c>
      <c r="Y545" s="174">
        <f t="shared" si="225"/>
        <v>-70.30113271855717</v>
      </c>
      <c r="Z545" s="174">
        <f t="shared" si="226"/>
        <v>-545.77039240597765</v>
      </c>
      <c r="AA545" s="174">
        <f t="shared" si="227"/>
        <v>-671.50143390626363</v>
      </c>
      <c r="AB545" s="2987"/>
      <c r="AC545" s="2727"/>
    </row>
    <row r="546" spans="1:29" ht="18.75" x14ac:dyDescent="0.25">
      <c r="A546" s="2993"/>
      <c r="B546" s="2998"/>
      <c r="C546" s="1863">
        <v>2021</v>
      </c>
      <c r="D546" s="221">
        <f t="shared" si="237"/>
        <v>-889058.6721188972</v>
      </c>
      <c r="E546" s="221">
        <f t="shared" si="244"/>
        <v>-807.61818306983798</v>
      </c>
      <c r="F546" s="221">
        <f t="shared" si="245"/>
        <v>-20729.997816695963</v>
      </c>
      <c r="G546" s="221">
        <f t="shared" si="238"/>
        <v>-20.360122262264817</v>
      </c>
      <c r="H546" s="221">
        <f t="shared" si="239"/>
        <v>-16.966768551887348</v>
      </c>
      <c r="I546" s="221">
        <f t="shared" si="240"/>
        <v>-714.30095603445739</v>
      </c>
      <c r="J546" s="221">
        <f t="shared" si="241"/>
        <v>-5.090030565566205</v>
      </c>
      <c r="K546" s="221">
        <f t="shared" si="242"/>
        <v>-397.02238411416403</v>
      </c>
      <c r="L546" s="221">
        <f t="shared" si="243"/>
        <v>-10622.89379033667</v>
      </c>
      <c r="M546" s="764">
        <f t="shared" si="228"/>
        <v>-910.59628811866298</v>
      </c>
      <c r="N546" s="1863">
        <v>65</v>
      </c>
      <c r="O546" s="761">
        <f>'Emission-Waste Transport Vehicl'!N35</f>
        <v>31.337558987328006</v>
      </c>
      <c r="P546" s="761">
        <f>'Emission-Waste Transport Vehicl'!O35</f>
        <v>45.589621879296011</v>
      </c>
      <c r="Q546" s="761">
        <f>'Emission-Waste Transport Vehicl'!P35</f>
        <v>17.435695704768001</v>
      </c>
      <c r="R546" s="761">
        <f>'Emission-Waste Transport Vehicl'!Q35</f>
        <v>13.541051563776001</v>
      </c>
      <c r="S546" s="761">
        <f>'Emission-Waste Transport Vehicl'!R35</f>
        <v>1.3477378907520003</v>
      </c>
      <c r="T546" s="761">
        <f>'Emission-Waste Transport Vehicl'!S35</f>
        <v>6.1974718755840007E-2</v>
      </c>
      <c r="U546" s="174">
        <f t="shared" si="229"/>
        <v>-59188.758727713095</v>
      </c>
      <c r="V546" s="174">
        <f t="shared" si="222"/>
        <v>-638.03653238293384</v>
      </c>
      <c r="W546" s="174">
        <f t="shared" si="223"/>
        <v>-773.50856279407492</v>
      </c>
      <c r="X546" s="174">
        <f t="shared" si="224"/>
        <v>-12454.334111041666</v>
      </c>
      <c r="Y546" s="174">
        <f t="shared" si="225"/>
        <v>-68.924366349527901</v>
      </c>
      <c r="Z546" s="174">
        <f t="shared" si="226"/>
        <v>-535.08211054735386</v>
      </c>
      <c r="AA546" s="174">
        <f t="shared" si="227"/>
        <v>-658.35085502927438</v>
      </c>
      <c r="AB546" s="2987"/>
      <c r="AC546" s="2727"/>
    </row>
    <row r="547" spans="1:29" ht="18.75" x14ac:dyDescent="0.25">
      <c r="A547" s="2993"/>
      <c r="B547" s="2998"/>
      <c r="C547" s="1863">
        <v>2022</v>
      </c>
      <c r="D547" s="221">
        <f t="shared" si="237"/>
        <v>-889058.6721188972</v>
      </c>
      <c r="E547" s="221">
        <f t="shared" si="244"/>
        <v>-807.61818306983798</v>
      </c>
      <c r="F547" s="221">
        <f t="shared" si="245"/>
        <v>-20729.997816695963</v>
      </c>
      <c r="G547" s="221">
        <f t="shared" si="238"/>
        <v>-20.360122262264817</v>
      </c>
      <c r="H547" s="221">
        <f t="shared" si="239"/>
        <v>-16.966768551887348</v>
      </c>
      <c r="I547" s="221">
        <f t="shared" si="240"/>
        <v>-714.30095603445739</v>
      </c>
      <c r="J547" s="221">
        <f t="shared" si="241"/>
        <v>-5.090030565566205</v>
      </c>
      <c r="K547" s="221">
        <f t="shared" si="242"/>
        <v>-397.02238411416403</v>
      </c>
      <c r="L547" s="221">
        <f t="shared" si="243"/>
        <v>-10622.89379033667</v>
      </c>
      <c r="M547" s="764">
        <f t="shared" si="228"/>
        <v>-910.59628811866298</v>
      </c>
      <c r="N547" s="1863">
        <v>66</v>
      </c>
      <c r="O547" s="761">
        <f>'Emission-Waste Transport Vehicl'!N36</f>
        <v>30.721371029712003</v>
      </c>
      <c r="P547" s="761">
        <f>'Emission-Waste Transport Vehicl'!O36</f>
        <v>44.693196729984003</v>
      </c>
      <c r="Q547" s="761">
        <f>'Emission-Waste Transport Vehicl'!P36</f>
        <v>17.092858991472003</v>
      </c>
      <c r="R547" s="761">
        <f>'Emission-Waste Transport Vehicl'!Q36</f>
        <v>13.274794931903999</v>
      </c>
      <c r="S547" s="761">
        <f>'Emission-Waste Transport Vehicl'!R36</f>
        <v>1.3212374266080003</v>
      </c>
      <c r="T547" s="761">
        <f>'Emission-Waste Transport Vehicl'!S36</f>
        <v>6.0756114735360002E-2</v>
      </c>
      <c r="U547" s="174">
        <f t="shared" si="229"/>
        <v>-60099.355015831759</v>
      </c>
      <c r="V547" s="174">
        <f t="shared" si="222"/>
        <v>-625.49087022933679</v>
      </c>
      <c r="W547" s="174">
        <f t="shared" si="223"/>
        <v>-758.299124761607</v>
      </c>
      <c r="X547" s="174">
        <f t="shared" si="224"/>
        <v>-12209.445518970622</v>
      </c>
      <c r="Y547" s="174">
        <f t="shared" si="225"/>
        <v>-67.569111955014705</v>
      </c>
      <c r="Z547" s="174">
        <f t="shared" si="226"/>
        <v>-524.56083309277108</v>
      </c>
      <c r="AA547" s="174">
        <f t="shared" si="227"/>
        <v>-645.40575394723794</v>
      </c>
      <c r="AB547" s="2987"/>
      <c r="AC547" s="2727"/>
    </row>
    <row r="548" spans="1:29" ht="18.75" x14ac:dyDescent="0.25">
      <c r="A548" s="2993"/>
      <c r="B548" s="2998"/>
      <c r="C548" s="1863">
        <v>2023</v>
      </c>
      <c r="D548" s="221">
        <f t="shared" si="237"/>
        <v>-889058.6721188972</v>
      </c>
      <c r="E548" s="221">
        <f t="shared" si="244"/>
        <v>-807.61818306983798</v>
      </c>
      <c r="F548" s="221">
        <f t="shared" si="245"/>
        <v>-20729.997816695963</v>
      </c>
      <c r="G548" s="221">
        <f t="shared" si="238"/>
        <v>-20.360122262264817</v>
      </c>
      <c r="H548" s="221">
        <f t="shared" si="239"/>
        <v>-16.966768551887348</v>
      </c>
      <c r="I548" s="221">
        <f t="shared" si="240"/>
        <v>-714.30095603445739</v>
      </c>
      <c r="J548" s="221">
        <f t="shared" si="241"/>
        <v>-5.090030565566205</v>
      </c>
      <c r="K548" s="221">
        <f t="shared" si="242"/>
        <v>-397.02238411416403</v>
      </c>
      <c r="L548" s="221">
        <f t="shared" si="243"/>
        <v>-10622.89379033667</v>
      </c>
      <c r="M548" s="764">
        <f t="shared" si="228"/>
        <v>-910.59628811866298</v>
      </c>
      <c r="N548" s="1863">
        <v>67</v>
      </c>
      <c r="O548" s="761">
        <f>'Emission-Waste Transport Vehicl'!N37</f>
        <v>30.118224087072001</v>
      </c>
      <c r="P548" s="761">
        <f>'Emission-Waste Transport Vehicl'!O37</f>
        <v>43.815743541504006</v>
      </c>
      <c r="Q548" s="761">
        <f>'Emission-Waste Transport Vehicl'!P37</f>
        <v>16.757278081632002</v>
      </c>
      <c r="R548" s="761">
        <f>'Emission-Waste Transport Vehicl'!Q37</f>
        <v>13.014173361024</v>
      </c>
      <c r="S548" s="761">
        <f>'Emission-Waste Transport Vehicl'!R37</f>
        <v>1.295297818848</v>
      </c>
      <c r="T548" s="761">
        <f>'Emission-Waste Transport Vehicl'!S37</f>
        <v>5.9563301276160004E-2</v>
      </c>
      <c r="U548" s="174">
        <f t="shared" si="229"/>
        <v>-61009.951303950416</v>
      </c>
      <c r="V548" s="174">
        <f t="shared" si="222"/>
        <v>-613.21072473507513</v>
      </c>
      <c r="W548" s="174">
        <f t="shared" si="223"/>
        <v>-743.41157959755139</v>
      </c>
      <c r="X548" s="174">
        <f t="shared" si="224"/>
        <v>-11969.739754244996</v>
      </c>
      <c r="Y548" s="174">
        <f t="shared" si="225"/>
        <v>-66.242540193189626</v>
      </c>
      <c r="Z548" s="174">
        <f t="shared" si="226"/>
        <v>-514.2622281769095</v>
      </c>
      <c r="AA548" s="174">
        <f t="shared" si="227"/>
        <v>-632.73462325847231</v>
      </c>
      <c r="AB548" s="2987"/>
      <c r="AC548" s="2727"/>
    </row>
    <row r="549" spans="1:29" ht="18.75" x14ac:dyDescent="0.25">
      <c r="A549" s="2993"/>
      <c r="B549" s="2998"/>
      <c r="C549" s="1863">
        <v>2024</v>
      </c>
      <c r="D549" s="221">
        <f t="shared" si="237"/>
        <v>-889058.6721188972</v>
      </c>
      <c r="E549" s="221">
        <f t="shared" si="244"/>
        <v>-807.61818306983798</v>
      </c>
      <c r="F549" s="221">
        <f t="shared" si="245"/>
        <v>-20729.997816695963</v>
      </c>
      <c r="G549" s="221">
        <f t="shared" si="238"/>
        <v>-20.360122262264817</v>
      </c>
      <c r="H549" s="221">
        <f t="shared" si="239"/>
        <v>-16.966768551887348</v>
      </c>
      <c r="I549" s="221">
        <f t="shared" si="240"/>
        <v>-714.30095603445739</v>
      </c>
      <c r="J549" s="221">
        <f t="shared" si="241"/>
        <v>-5.090030565566205</v>
      </c>
      <c r="K549" s="221">
        <f t="shared" si="242"/>
        <v>-397.02238411416403</v>
      </c>
      <c r="L549" s="221">
        <f t="shared" si="243"/>
        <v>-10622.89379033667</v>
      </c>
      <c r="M549" s="764">
        <f t="shared" si="228"/>
        <v>-910.59628811866298</v>
      </c>
      <c r="N549" s="1863">
        <v>68</v>
      </c>
      <c r="O549" s="761">
        <f>'Emission-Waste Transport Vehicl'!N38</f>
        <v>29.528118159408002</v>
      </c>
      <c r="P549" s="761">
        <f>'Emission-Waste Transport Vehicl'!O38</f>
        <v>42.957262313856006</v>
      </c>
      <c r="Q549" s="761">
        <f>'Emission-Waste Transport Vehicl'!P38</f>
        <v>16.428952975248002</v>
      </c>
      <c r="R549" s="761">
        <f>'Emission-Waste Transport Vehicl'!Q38</f>
        <v>12.759186851135999</v>
      </c>
      <c r="S549" s="761">
        <f>'Emission-Waste Transport Vehicl'!R38</f>
        <v>1.269919067472</v>
      </c>
      <c r="T549" s="761">
        <f>'Emission-Waste Transport Vehicl'!S38</f>
        <v>5.8396278378240005E-2</v>
      </c>
      <c r="U549" s="174">
        <f t="shared" si="229"/>
        <v>-61920.547592069081</v>
      </c>
      <c r="V549" s="174">
        <f t="shared" si="222"/>
        <v>-601.19609590014886</v>
      </c>
      <c r="W549" s="174">
        <f t="shared" si="223"/>
        <v>-728.84592730190764</v>
      </c>
      <c r="X549" s="174">
        <f t="shared" si="224"/>
        <v>-11735.216816864791</v>
      </c>
      <c r="Y549" s="174">
        <f t="shared" si="225"/>
        <v>-64.94465106405265</v>
      </c>
      <c r="Z549" s="174">
        <f t="shared" si="226"/>
        <v>-504.18629579976937</v>
      </c>
      <c r="AA549" s="174">
        <f t="shared" si="227"/>
        <v>-620.33746296297727</v>
      </c>
      <c r="AB549" s="2987"/>
      <c r="AC549" s="2727"/>
    </row>
    <row r="550" spans="1:29" ht="18.75" x14ac:dyDescent="0.25">
      <c r="A550" s="2993"/>
      <c r="B550" s="2998"/>
      <c r="C550" s="1863">
        <v>2025</v>
      </c>
      <c r="D550" s="221">
        <f t="shared" si="237"/>
        <v>-889058.6721188972</v>
      </c>
      <c r="E550" s="221">
        <f t="shared" si="244"/>
        <v>-807.61818306983798</v>
      </c>
      <c r="F550" s="221">
        <f t="shared" si="245"/>
        <v>-20729.997816695963</v>
      </c>
      <c r="G550" s="221">
        <f t="shared" si="238"/>
        <v>-20.360122262264817</v>
      </c>
      <c r="H550" s="221">
        <f t="shared" si="239"/>
        <v>-16.966768551887348</v>
      </c>
      <c r="I550" s="221">
        <f t="shared" si="240"/>
        <v>-714.30095603445739</v>
      </c>
      <c r="J550" s="221">
        <f t="shared" si="241"/>
        <v>-5.090030565566205</v>
      </c>
      <c r="K550" s="221">
        <f t="shared" si="242"/>
        <v>-397.02238411416403</v>
      </c>
      <c r="L550" s="221">
        <f t="shared" si="243"/>
        <v>-10622.89379033667</v>
      </c>
      <c r="M550" s="764">
        <f t="shared" si="228"/>
        <v>-910.59628811866298</v>
      </c>
      <c r="N550" s="1863">
        <v>69</v>
      </c>
      <c r="O550" s="761">
        <f>'Emission-Waste Transport Vehicl'!N39</f>
        <v>28.951053246720004</v>
      </c>
      <c r="P550" s="761">
        <f>'Emission-Waste Transport Vehicl'!O39</f>
        <v>42.117753047040004</v>
      </c>
      <c r="Q550" s="761">
        <f>'Emission-Waste Transport Vehicl'!P39</f>
        <v>16.10788367232</v>
      </c>
      <c r="R550" s="761">
        <f>'Emission-Waste Transport Vehicl'!Q39</f>
        <v>12.50983540224</v>
      </c>
      <c r="S550" s="761">
        <f>'Emission-Waste Transport Vehicl'!R39</f>
        <v>1.2451011724800001</v>
      </c>
      <c r="T550" s="761">
        <f>'Emission-Waste Transport Vehicl'!S39</f>
        <v>5.7255046041600005E-2</v>
      </c>
      <c r="U550" s="174">
        <f t="shared" si="229"/>
        <v>-62831.143880187745</v>
      </c>
      <c r="V550" s="174">
        <f t="shared" si="222"/>
        <v>-589.44698372455809</v>
      </c>
      <c r="W550" s="174">
        <f t="shared" si="223"/>
        <v>-714.60216787467584</v>
      </c>
      <c r="X550" s="174">
        <f t="shared" si="224"/>
        <v>-11505.876706830002</v>
      </c>
      <c r="Y550" s="174">
        <f t="shared" si="225"/>
        <v>-63.675444567603805</v>
      </c>
      <c r="Z550" s="174">
        <f t="shared" si="226"/>
        <v>-494.33303596135056</v>
      </c>
      <c r="AA550" s="174">
        <f t="shared" si="227"/>
        <v>-608.21427306075282</v>
      </c>
      <c r="AB550" s="2987"/>
      <c r="AC550" s="2727"/>
    </row>
    <row r="551" spans="1:29" ht="18.75" x14ac:dyDescent="0.25">
      <c r="A551" s="2993"/>
      <c r="B551" s="2998"/>
      <c r="C551" s="1863">
        <v>2026</v>
      </c>
      <c r="D551" s="221">
        <f t="shared" si="237"/>
        <v>-889058.6721188972</v>
      </c>
      <c r="E551" s="221">
        <f t="shared" si="244"/>
        <v>-807.61818306983798</v>
      </c>
      <c r="F551" s="221">
        <f t="shared" si="245"/>
        <v>-20729.997816695963</v>
      </c>
      <c r="G551" s="221">
        <f t="shared" si="238"/>
        <v>-20.360122262264817</v>
      </c>
      <c r="H551" s="221">
        <f t="shared" si="239"/>
        <v>-16.966768551887348</v>
      </c>
      <c r="I551" s="221">
        <f t="shared" si="240"/>
        <v>-714.30095603445739</v>
      </c>
      <c r="J551" s="221">
        <f t="shared" si="241"/>
        <v>-5.090030565566205</v>
      </c>
      <c r="K551" s="221">
        <f t="shared" si="242"/>
        <v>-397.02238411416403</v>
      </c>
      <c r="L551" s="221">
        <f t="shared" si="243"/>
        <v>-10622.89379033667</v>
      </c>
      <c r="M551" s="764">
        <f t="shared" si="228"/>
        <v>-910.59628811866298</v>
      </c>
      <c r="N551" s="1863">
        <v>70</v>
      </c>
      <c r="O551" s="761">
        <f>'Emission-Waste Transport Vehicl'!N40</f>
        <v>28.383769095264007</v>
      </c>
      <c r="P551" s="761">
        <f>'Emission-Waste Transport Vehicl'!O40</f>
        <v>41.292472750848006</v>
      </c>
      <c r="Q551" s="761">
        <f>'Emission-Waste Transport Vehicl'!P40</f>
        <v>15.792256221984003</v>
      </c>
      <c r="R551" s="761">
        <f>'Emission-Waste Transport Vehicl'!Q40</f>
        <v>12.264710249088001</v>
      </c>
      <c r="S551" s="761">
        <f>'Emission-Waste Transport Vehicl'!R40</f>
        <v>1.2207039197760001</v>
      </c>
      <c r="T551" s="761">
        <f>'Emission-Waste Transport Vehicl'!S40</f>
        <v>5.6133156625920007E-2</v>
      </c>
      <c r="U551" s="174">
        <f t="shared" si="229"/>
        <v>-63741.740168306409</v>
      </c>
      <c r="V551" s="174">
        <f t="shared" si="222"/>
        <v>-577.89700904346876</v>
      </c>
      <c r="W551" s="174">
        <f t="shared" si="223"/>
        <v>-700.59982809875316</v>
      </c>
      <c r="X551" s="174">
        <f t="shared" si="224"/>
        <v>-11280.423717304282</v>
      </c>
      <c r="Y551" s="174">
        <f t="shared" si="225"/>
        <v>-62.427750045671026</v>
      </c>
      <c r="Z551" s="174">
        <f t="shared" si="226"/>
        <v>-484.6467805269728</v>
      </c>
      <c r="AA551" s="174">
        <f t="shared" si="227"/>
        <v>-596.29656095348128</v>
      </c>
      <c r="AB551" s="2987"/>
      <c r="AC551" s="2727"/>
    </row>
    <row r="552" spans="1:29" ht="18.75" x14ac:dyDescent="0.25">
      <c r="A552" s="2993"/>
      <c r="B552" s="2998"/>
      <c r="C552" s="1863">
        <v>2027</v>
      </c>
      <c r="D552" s="221">
        <f t="shared" si="237"/>
        <v>-889058.6721188972</v>
      </c>
      <c r="E552" s="221">
        <f t="shared" si="244"/>
        <v>-807.61818306983798</v>
      </c>
      <c r="F552" s="221">
        <f t="shared" si="245"/>
        <v>-20729.997816695963</v>
      </c>
      <c r="G552" s="221">
        <f t="shared" si="238"/>
        <v>-20.360122262264817</v>
      </c>
      <c r="H552" s="221">
        <f t="shared" si="239"/>
        <v>-16.966768551887348</v>
      </c>
      <c r="I552" s="221">
        <f t="shared" si="240"/>
        <v>-714.30095603445739</v>
      </c>
      <c r="J552" s="221">
        <f t="shared" si="241"/>
        <v>-5.090030565566205</v>
      </c>
      <c r="K552" s="221">
        <f t="shared" si="242"/>
        <v>-397.02238411416403</v>
      </c>
      <c r="L552" s="221">
        <f t="shared" si="243"/>
        <v>-10622.89379033667</v>
      </c>
      <c r="M552" s="764">
        <f t="shared" si="228"/>
        <v>-910.59628811866298</v>
      </c>
      <c r="N552" s="1863">
        <v>71</v>
      </c>
      <c r="O552" s="761">
        <f>'Emission-Waste Transport Vehicl'!N41</f>
        <v>27.826265705040004</v>
      </c>
      <c r="P552" s="761">
        <f>'Emission-Waste Transport Vehicl'!O41</f>
        <v>40.481421425280004</v>
      </c>
      <c r="Q552" s="761">
        <f>'Emission-Waste Transport Vehicl'!P41</f>
        <v>15.482070624240002</v>
      </c>
      <c r="R552" s="761">
        <f>'Emission-Waste Transport Vehicl'!Q41</f>
        <v>12.023811391680001</v>
      </c>
      <c r="S552" s="761">
        <f>'Emission-Waste Transport Vehicl'!R41</f>
        <v>1.1967273093600002</v>
      </c>
      <c r="T552" s="761">
        <f>'Emission-Waste Transport Vehicl'!S41</f>
        <v>5.503061013120001E-2</v>
      </c>
      <c r="U552" s="174">
        <f t="shared" si="229"/>
        <v>-64652.336456425073</v>
      </c>
      <c r="V552" s="174">
        <f t="shared" si="222"/>
        <v>-566.54617185688096</v>
      </c>
      <c r="W552" s="174">
        <f t="shared" si="223"/>
        <v>-686.83890797413949</v>
      </c>
      <c r="X552" s="174">
        <f t="shared" si="224"/>
        <v>-11058.857848287622</v>
      </c>
      <c r="Y552" s="174">
        <f t="shared" si="225"/>
        <v>-61.201567498254335</v>
      </c>
      <c r="Z552" s="174">
        <f t="shared" si="226"/>
        <v>-475.12752949663599</v>
      </c>
      <c r="AA552" s="174">
        <f t="shared" si="227"/>
        <v>-584.58432664116276</v>
      </c>
      <c r="AB552" s="2987"/>
      <c r="AC552" s="2727"/>
    </row>
    <row r="553" spans="1:29" ht="18.75" x14ac:dyDescent="0.25">
      <c r="A553" s="2993"/>
      <c r="B553" s="2998"/>
      <c r="C553" s="1863">
        <v>2028</v>
      </c>
      <c r="D553" s="221">
        <f t="shared" si="237"/>
        <v>-889058.6721188972</v>
      </c>
      <c r="E553" s="221">
        <f t="shared" si="244"/>
        <v>-807.61818306983798</v>
      </c>
      <c r="F553" s="221">
        <f t="shared" si="245"/>
        <v>-20729.997816695963</v>
      </c>
      <c r="G553" s="221">
        <f t="shared" si="238"/>
        <v>-20.360122262264817</v>
      </c>
      <c r="H553" s="221">
        <f t="shared" si="239"/>
        <v>-16.966768551887348</v>
      </c>
      <c r="I553" s="221">
        <f t="shared" si="240"/>
        <v>-714.30095603445739</v>
      </c>
      <c r="J553" s="221">
        <f t="shared" si="241"/>
        <v>-5.090030565566205</v>
      </c>
      <c r="K553" s="221">
        <f t="shared" si="242"/>
        <v>-397.02238411416403</v>
      </c>
      <c r="L553" s="221">
        <f t="shared" si="243"/>
        <v>-10622.89379033667</v>
      </c>
      <c r="M553" s="764">
        <f t="shared" si="228"/>
        <v>-910.59628811866298</v>
      </c>
      <c r="N553" s="1863">
        <v>72</v>
      </c>
      <c r="O553" s="761">
        <f>'Emission-Waste Transport Vehicl'!N42</f>
        <v>27.281803329792002</v>
      </c>
      <c r="P553" s="761">
        <f>'Emission-Waste Transport Vehicl'!O42</f>
        <v>39.689342060544</v>
      </c>
      <c r="Q553" s="761">
        <f>'Emission-Waste Transport Vehicl'!P42</f>
        <v>15.179140829952001</v>
      </c>
      <c r="R553" s="761">
        <f>'Emission-Waste Transport Vehicl'!Q42</f>
        <v>11.788547595263999</v>
      </c>
      <c r="S553" s="761">
        <f>'Emission-Waste Transport Vehicl'!R42</f>
        <v>1.173311555328</v>
      </c>
      <c r="T553" s="761">
        <f>'Emission-Waste Transport Vehicl'!S42</f>
        <v>5.3953854197759998E-2</v>
      </c>
      <c r="U553" s="174">
        <f t="shared" si="229"/>
        <v>-65562.932744543737</v>
      </c>
      <c r="V553" s="174">
        <f t="shared" si="222"/>
        <v>-555.46085132962855</v>
      </c>
      <c r="W553" s="174">
        <f t="shared" si="223"/>
        <v>-673.39988071793778</v>
      </c>
      <c r="X553" s="174">
        <f t="shared" si="224"/>
        <v>-10842.474806616381</v>
      </c>
      <c r="Y553" s="174">
        <f t="shared" si="225"/>
        <v>-60.004067583525739</v>
      </c>
      <c r="Z553" s="174">
        <f t="shared" si="226"/>
        <v>-465.83095100502044</v>
      </c>
      <c r="AA553" s="174">
        <f t="shared" si="227"/>
        <v>-573.14606272211472</v>
      </c>
      <c r="AB553" s="2987"/>
      <c r="AC553" s="2727"/>
    </row>
    <row r="554" spans="1:29" ht="18.75" x14ac:dyDescent="0.25">
      <c r="A554" s="2993"/>
      <c r="B554" s="2998"/>
      <c r="C554" s="1863">
        <v>2029</v>
      </c>
      <c r="D554" s="221">
        <f t="shared" si="237"/>
        <v>-889058.6721188972</v>
      </c>
      <c r="E554" s="221">
        <f t="shared" si="244"/>
        <v>-807.61818306983798</v>
      </c>
      <c r="F554" s="221">
        <f t="shared" si="245"/>
        <v>-20729.997816695963</v>
      </c>
      <c r="G554" s="221">
        <f t="shared" si="238"/>
        <v>-20.360122262264817</v>
      </c>
      <c r="H554" s="221">
        <f t="shared" si="239"/>
        <v>-16.966768551887348</v>
      </c>
      <c r="I554" s="221">
        <f t="shared" si="240"/>
        <v>-714.30095603445739</v>
      </c>
      <c r="J554" s="221">
        <f t="shared" si="241"/>
        <v>-5.090030565566205</v>
      </c>
      <c r="K554" s="221">
        <f t="shared" si="242"/>
        <v>-397.02238411416403</v>
      </c>
      <c r="L554" s="221">
        <f t="shared" si="243"/>
        <v>-10622.89379033667</v>
      </c>
      <c r="M554" s="764">
        <f t="shared" si="228"/>
        <v>-910.59628811866298</v>
      </c>
      <c r="N554" s="1863">
        <v>73</v>
      </c>
      <c r="O554" s="761">
        <f>'Emission-Waste Transport Vehicl'!N43</f>
        <v>26.743861462032005</v>
      </c>
      <c r="P554" s="761">
        <f>'Emission-Waste Transport Vehicl'!O43</f>
        <v>38.906748676224005</v>
      </c>
      <c r="Q554" s="761">
        <f>'Emission-Waste Transport Vehicl'!P43</f>
        <v>14.879838937392002</v>
      </c>
      <c r="R554" s="761">
        <f>'Emission-Waste Transport Vehicl'!Q43</f>
        <v>11.556101329344001</v>
      </c>
      <c r="S554" s="761">
        <f>'Emission-Waste Transport Vehicl'!R43</f>
        <v>1.1501762294880002</v>
      </c>
      <c r="T554" s="761">
        <f>'Emission-Waste Transport Vehicl'!S43</f>
        <v>5.2889993544960004E-2</v>
      </c>
      <c r="U554" s="174">
        <f t="shared" si="229"/>
        <v>-66473.529032662394</v>
      </c>
      <c r="V554" s="174">
        <f t="shared" si="222"/>
        <v>-544.50828913204396</v>
      </c>
      <c r="W554" s="174">
        <f t="shared" si="223"/>
        <v>-660.12179989594222</v>
      </c>
      <c r="X554" s="174">
        <f t="shared" si="224"/>
        <v>-10628.683178617852</v>
      </c>
      <c r="Y554" s="174">
        <f t="shared" si="225"/>
        <v>-58.820908985141216</v>
      </c>
      <c r="Z554" s="174">
        <f t="shared" si="226"/>
        <v>-456.64570878276572</v>
      </c>
      <c r="AA554" s="174">
        <f t="shared" si="227"/>
        <v>-561.84478399970214</v>
      </c>
      <c r="AB554" s="2987"/>
      <c r="AC554" s="2727"/>
    </row>
    <row r="555" spans="1:29" ht="18.75" x14ac:dyDescent="0.25">
      <c r="A555" s="2993"/>
      <c r="B555" s="2998"/>
      <c r="C555" s="1863">
        <v>2030</v>
      </c>
      <c r="D555" s="221">
        <f t="shared" si="237"/>
        <v>-889058.6721188972</v>
      </c>
      <c r="E555" s="221">
        <f t="shared" si="244"/>
        <v>-807.61818306983798</v>
      </c>
      <c r="F555" s="221">
        <f t="shared" si="245"/>
        <v>-20729.997816695963</v>
      </c>
      <c r="G555" s="221">
        <f t="shared" si="238"/>
        <v>-20.360122262264817</v>
      </c>
      <c r="H555" s="221">
        <f t="shared" si="239"/>
        <v>-16.966768551887348</v>
      </c>
      <c r="I555" s="221">
        <f t="shared" si="240"/>
        <v>-714.30095603445739</v>
      </c>
      <c r="J555" s="221">
        <f t="shared" si="241"/>
        <v>-5.090030565566205</v>
      </c>
      <c r="K555" s="221">
        <f t="shared" si="242"/>
        <v>-397.02238411416403</v>
      </c>
      <c r="L555" s="221">
        <f t="shared" si="243"/>
        <v>-10622.89379033667</v>
      </c>
      <c r="M555" s="764">
        <f t="shared" si="228"/>
        <v>-910.59628811866298</v>
      </c>
      <c r="N555" s="1863">
        <v>75</v>
      </c>
      <c r="O555" s="761">
        <f>'Emission-Waste Transport Vehicl'!N44</f>
        <v>26.222220862992003</v>
      </c>
      <c r="P555" s="761">
        <f>'Emission-Waste Transport Vehicl'!O44</f>
        <v>38.147870242944002</v>
      </c>
      <c r="Q555" s="761">
        <f>'Emission-Waste Transport Vehicl'!P44</f>
        <v>14.589606799152003</v>
      </c>
      <c r="R555" s="761">
        <f>'Emission-Waste Transport Vehicl'!Q44</f>
        <v>11.330698889664001</v>
      </c>
      <c r="S555" s="761">
        <f>'Emission-Waste Transport Vehicl'!R44</f>
        <v>1.1277419741280001</v>
      </c>
      <c r="T555" s="761">
        <f>'Emission-Waste Transport Vehicl'!S44</f>
        <v>5.1858371093760007E-2</v>
      </c>
      <c r="U555" s="174">
        <f t="shared" si="229"/>
        <v>-68294.721608899723</v>
      </c>
      <c r="V555" s="174">
        <f t="shared" si="222"/>
        <v>-533.88762275862837</v>
      </c>
      <c r="W555" s="174">
        <f t="shared" si="223"/>
        <v>-647.24608515946147</v>
      </c>
      <c r="X555" s="174">
        <f t="shared" si="224"/>
        <v>-10421.370084801096</v>
      </c>
      <c r="Y555" s="174">
        <f t="shared" si="225"/>
        <v>-57.673603677616825</v>
      </c>
      <c r="Z555" s="174">
        <f t="shared" si="226"/>
        <v>-447.7388072339125</v>
      </c>
      <c r="AA555" s="174">
        <f t="shared" si="227"/>
        <v>-550.88596826887783</v>
      </c>
      <c r="AB555" s="2987"/>
      <c r="AC555" s="2727"/>
    </row>
    <row r="556" spans="1:29" ht="18.75" x14ac:dyDescent="0.25">
      <c r="A556" s="2993"/>
      <c r="B556" s="2998"/>
      <c r="C556" s="1863">
        <v>2031</v>
      </c>
      <c r="D556" s="221">
        <f t="shared" si="237"/>
        <v>-889058.6721188972</v>
      </c>
      <c r="E556" s="221">
        <f t="shared" si="244"/>
        <v>-807.61818306983798</v>
      </c>
      <c r="F556" s="221">
        <f t="shared" si="245"/>
        <v>-20729.997816695963</v>
      </c>
      <c r="G556" s="221">
        <f t="shared" si="238"/>
        <v>-20.360122262264817</v>
      </c>
      <c r="H556" s="221">
        <f t="shared" si="239"/>
        <v>-16.966768551887348</v>
      </c>
      <c r="I556" s="221">
        <f t="shared" si="240"/>
        <v>-714.30095603445739</v>
      </c>
      <c r="J556" s="221">
        <f t="shared" si="241"/>
        <v>-5.090030565566205</v>
      </c>
      <c r="K556" s="221">
        <f t="shared" si="242"/>
        <v>-397.02238411416403</v>
      </c>
      <c r="L556" s="221">
        <f t="shared" si="243"/>
        <v>-10622.89379033667</v>
      </c>
      <c r="M556" s="764">
        <f t="shared" si="228"/>
        <v>-910.59628811866298</v>
      </c>
      <c r="N556" s="1863">
        <v>76</v>
      </c>
      <c r="O556" s="761">
        <f>'Emission-Waste Transport Vehicl'!N45</f>
        <v>25.70710077144</v>
      </c>
      <c r="P556" s="761">
        <f>'Emission-Waste Transport Vehicl'!O45</f>
        <v>37.398477790080001</v>
      </c>
      <c r="Q556" s="761">
        <f>'Emission-Waste Transport Vehicl'!P45</f>
        <v>14.303002562640001</v>
      </c>
      <c r="R556" s="761">
        <f>'Emission-Waste Transport Vehicl'!Q45</f>
        <v>11.108113980480001</v>
      </c>
      <c r="S556" s="761">
        <f>'Emission-Waste Transport Vehicl'!R45</f>
        <v>1.1055881469600002</v>
      </c>
      <c r="T556" s="761">
        <f>'Emission-Waste Transport Vehicl'!S45</f>
        <v>5.0839643923200006E-2</v>
      </c>
      <c r="U556" s="174">
        <f t="shared" si="229"/>
        <v>-69205.31789701838</v>
      </c>
      <c r="V556" s="174">
        <f t="shared" si="222"/>
        <v>-523.39971471488059</v>
      </c>
      <c r="W556" s="174">
        <f t="shared" si="223"/>
        <v>-634.53131685718677</v>
      </c>
      <c r="X556" s="174">
        <f t="shared" si="224"/>
        <v>-10216.648404657048</v>
      </c>
      <c r="Y556" s="174">
        <f t="shared" si="225"/>
        <v>-56.540639686436485</v>
      </c>
      <c r="Z556" s="174">
        <f t="shared" si="226"/>
        <v>-438.94324195442005</v>
      </c>
      <c r="AA556" s="174">
        <f t="shared" si="227"/>
        <v>-540.06413773468876</v>
      </c>
      <c r="AB556" s="2987"/>
      <c r="AC556" s="2727"/>
    </row>
    <row r="557" spans="1:29" ht="18.75" x14ac:dyDescent="0.25">
      <c r="A557" s="2993"/>
      <c r="B557" s="2998"/>
      <c r="C557" s="1863">
        <v>2032</v>
      </c>
      <c r="D557" s="221">
        <f t="shared" si="237"/>
        <v>-889058.6721188972</v>
      </c>
      <c r="E557" s="221">
        <f t="shared" si="244"/>
        <v>-807.61818306983798</v>
      </c>
      <c r="F557" s="221">
        <f t="shared" si="245"/>
        <v>-20729.997816695963</v>
      </c>
      <c r="G557" s="221">
        <f t="shared" si="238"/>
        <v>-20.360122262264817</v>
      </c>
      <c r="H557" s="221">
        <f t="shared" si="239"/>
        <v>-16.966768551887348</v>
      </c>
      <c r="I557" s="221">
        <f t="shared" si="240"/>
        <v>-714.30095603445739</v>
      </c>
      <c r="J557" s="221">
        <f t="shared" si="241"/>
        <v>-5.090030565566205</v>
      </c>
      <c r="K557" s="221">
        <f t="shared" si="242"/>
        <v>-397.02238411416403</v>
      </c>
      <c r="L557" s="221">
        <f t="shared" si="243"/>
        <v>-10622.89379033667</v>
      </c>
      <c r="M557" s="764">
        <f t="shared" si="228"/>
        <v>-910.59628811866298</v>
      </c>
      <c r="N557" s="1863">
        <v>77</v>
      </c>
      <c r="O557" s="761">
        <f>'Emission-Waste Transport Vehicl'!N46</f>
        <v>25.201761441120002</v>
      </c>
      <c r="P557" s="761">
        <f>'Emission-Waste Transport Vehicl'!O46</f>
        <v>36.663314307840004</v>
      </c>
      <c r="Q557" s="761">
        <f>'Emission-Waste Transport Vehicl'!P46</f>
        <v>14.021840178720002</v>
      </c>
      <c r="R557" s="761">
        <f>'Emission-Waste Transport Vehicl'!Q46</f>
        <v>10.889755367040001</v>
      </c>
      <c r="S557" s="761">
        <f>'Emission-Waste Transport Vehicl'!R46</f>
        <v>1.0838549620800002</v>
      </c>
      <c r="T557" s="761">
        <f>'Emission-Waste Transport Vehicl'!S46</f>
        <v>4.9840259673600007E-2</v>
      </c>
      <c r="U557" s="174">
        <f t="shared" si="229"/>
        <v>-70115.914185137051</v>
      </c>
      <c r="V557" s="174">
        <f t="shared" si="222"/>
        <v>-513.11094416563435</v>
      </c>
      <c r="W557" s="174">
        <f t="shared" si="223"/>
        <v>-622.05796820622129</v>
      </c>
      <c r="X557" s="174">
        <f t="shared" si="224"/>
        <v>-10015.813845022063</v>
      </c>
      <c r="Y557" s="174">
        <f t="shared" si="225"/>
        <v>-55.429187669772233</v>
      </c>
      <c r="Z557" s="174">
        <f t="shared" si="226"/>
        <v>-430.31468107896853</v>
      </c>
      <c r="AA557" s="174">
        <f t="shared" si="227"/>
        <v>-529.44778499545259</v>
      </c>
      <c r="AB557" s="2987"/>
      <c r="AC557" s="2727"/>
    </row>
    <row r="558" spans="1:29" ht="18.75" x14ac:dyDescent="0.25">
      <c r="A558" s="2993"/>
      <c r="B558" s="2998"/>
      <c r="C558" s="1863">
        <v>2033</v>
      </c>
      <c r="D558" s="221">
        <f t="shared" si="237"/>
        <v>-889058.6721188972</v>
      </c>
      <c r="E558" s="221">
        <f t="shared" si="244"/>
        <v>-807.61818306983798</v>
      </c>
      <c r="F558" s="221">
        <f t="shared" si="245"/>
        <v>-20729.997816695963</v>
      </c>
      <c r="G558" s="221">
        <f t="shared" si="238"/>
        <v>-20.360122262264817</v>
      </c>
      <c r="H558" s="221">
        <f t="shared" si="239"/>
        <v>-16.966768551887348</v>
      </c>
      <c r="I558" s="221">
        <f t="shared" si="240"/>
        <v>-714.30095603445739</v>
      </c>
      <c r="J558" s="221">
        <f t="shared" si="241"/>
        <v>-5.090030565566205</v>
      </c>
      <c r="K558" s="221">
        <f t="shared" si="242"/>
        <v>-397.02238411416403</v>
      </c>
      <c r="L558" s="221">
        <f t="shared" si="243"/>
        <v>-10622.89379033667</v>
      </c>
      <c r="M558" s="764">
        <f t="shared" si="228"/>
        <v>-910.59628811866298</v>
      </c>
      <c r="N558" s="1863">
        <v>78</v>
      </c>
      <c r="O558" s="761">
        <f>'Emission-Waste Transport Vehicl'!N47</f>
        <v>24.709463125776001</v>
      </c>
      <c r="P558" s="761">
        <f>'Emission-Waste Transport Vehicl'!O47</f>
        <v>35.947122786432004</v>
      </c>
      <c r="Q558" s="761">
        <f>'Emission-Waste Transport Vehicl'!P47</f>
        <v>13.747933598256003</v>
      </c>
      <c r="R558" s="761">
        <f>'Emission-Waste Transport Vehicl'!Q47</f>
        <v>10.677031814592</v>
      </c>
      <c r="S558" s="761">
        <f>'Emission-Waste Transport Vehicl'!R47</f>
        <v>1.0626826335840001</v>
      </c>
      <c r="T558" s="761">
        <f>'Emission-Waste Transport Vehicl'!S47</f>
        <v>4.8866665985280007E-2</v>
      </c>
      <c r="U558" s="174">
        <f t="shared" si="229"/>
        <v>-71026.510473255708</v>
      </c>
      <c r="V558" s="174">
        <f t="shared" si="222"/>
        <v>-503.08769027572356</v>
      </c>
      <c r="W558" s="174">
        <f t="shared" si="223"/>
        <v>-609.90651242366766</v>
      </c>
      <c r="X558" s="174">
        <f t="shared" si="224"/>
        <v>-9820.1621127324997</v>
      </c>
      <c r="Y558" s="174">
        <f t="shared" si="225"/>
        <v>-54.346418285796084</v>
      </c>
      <c r="Z558" s="174">
        <f t="shared" si="226"/>
        <v>-421.90879274223829</v>
      </c>
      <c r="AA558" s="174">
        <f t="shared" si="227"/>
        <v>-519.10540264948713</v>
      </c>
      <c r="AB558" s="2987"/>
      <c r="AC558" s="2727"/>
    </row>
    <row r="559" spans="1:29" ht="18.75" x14ac:dyDescent="0.25">
      <c r="A559" s="2993"/>
      <c r="B559" s="2998"/>
      <c r="C559" s="1863">
        <v>2034</v>
      </c>
      <c r="D559" s="221">
        <f t="shared" si="237"/>
        <v>-889058.6721188972</v>
      </c>
      <c r="E559" s="221">
        <f t="shared" si="244"/>
        <v>-807.61818306983798</v>
      </c>
      <c r="F559" s="221">
        <f t="shared" si="245"/>
        <v>-20729.997816695963</v>
      </c>
      <c r="G559" s="221">
        <f t="shared" si="238"/>
        <v>-20.360122262264817</v>
      </c>
      <c r="H559" s="221">
        <f t="shared" si="239"/>
        <v>-16.966768551887348</v>
      </c>
      <c r="I559" s="221">
        <f t="shared" si="240"/>
        <v>-714.30095603445739</v>
      </c>
      <c r="J559" s="221">
        <f t="shared" si="241"/>
        <v>-5.090030565566205</v>
      </c>
      <c r="K559" s="221">
        <f t="shared" si="242"/>
        <v>-397.02238411416403</v>
      </c>
      <c r="L559" s="221">
        <f t="shared" si="243"/>
        <v>-10622.89379033667</v>
      </c>
      <c r="M559" s="764">
        <f t="shared" si="228"/>
        <v>-910.59628811866298</v>
      </c>
      <c r="N559" s="1863">
        <v>79</v>
      </c>
      <c r="O559" s="761">
        <f>'Emission-Waste Transport Vehicl'!N48</f>
        <v>24.223685317920005</v>
      </c>
      <c r="P559" s="761">
        <f>'Emission-Waste Transport Vehicl'!O48</f>
        <v>35.24041724544</v>
      </c>
      <c r="Q559" s="761">
        <f>'Emission-Waste Transport Vehicl'!P48</f>
        <v>13.477654919520001</v>
      </c>
      <c r="R559" s="761">
        <f>'Emission-Waste Transport Vehicl'!Q48</f>
        <v>10.467125792640001</v>
      </c>
      <c r="S559" s="761">
        <f>'Emission-Waste Transport Vehicl'!R48</f>
        <v>1.04179073328</v>
      </c>
      <c r="T559" s="761">
        <f>'Emission-Waste Transport Vehicl'!S48</f>
        <v>4.7905967577600003E-2</v>
      </c>
      <c r="U559" s="174">
        <f t="shared" si="229"/>
        <v>-71937.10676137438</v>
      </c>
      <c r="V559" s="174">
        <f t="shared" si="222"/>
        <v>-493.19719471548046</v>
      </c>
      <c r="W559" s="174">
        <f t="shared" si="223"/>
        <v>-597.91600307531996</v>
      </c>
      <c r="X559" s="174">
        <f t="shared" si="224"/>
        <v>-9627.1017941156442</v>
      </c>
      <c r="Y559" s="174">
        <f t="shared" si="225"/>
        <v>-53.277990218164</v>
      </c>
      <c r="Z559" s="174">
        <f t="shared" si="226"/>
        <v>-413.61424067486877</v>
      </c>
      <c r="AA559" s="174">
        <f t="shared" si="227"/>
        <v>-508.90000550015691</v>
      </c>
      <c r="AB559" s="2987"/>
      <c r="AC559" s="2727"/>
    </row>
    <row r="560" spans="1:29" ht="18.75" x14ac:dyDescent="0.25">
      <c r="A560" s="2993"/>
      <c r="B560" s="2998"/>
      <c r="C560" s="1863">
        <v>2035</v>
      </c>
      <c r="D560" s="221">
        <f t="shared" si="237"/>
        <v>-889058.6721188972</v>
      </c>
      <c r="E560" s="221">
        <f t="shared" si="244"/>
        <v>-807.61818306983798</v>
      </c>
      <c r="F560" s="221">
        <f t="shared" si="245"/>
        <v>-20729.997816695963</v>
      </c>
      <c r="G560" s="221">
        <f t="shared" si="238"/>
        <v>-20.360122262264817</v>
      </c>
      <c r="H560" s="221">
        <f t="shared" si="239"/>
        <v>-16.966768551887348</v>
      </c>
      <c r="I560" s="221">
        <f t="shared" si="240"/>
        <v>-714.30095603445739</v>
      </c>
      <c r="J560" s="221">
        <f t="shared" si="241"/>
        <v>-5.090030565566205</v>
      </c>
      <c r="K560" s="221">
        <f t="shared" si="242"/>
        <v>-397.02238411416403</v>
      </c>
      <c r="L560" s="221">
        <f t="shared" si="243"/>
        <v>-10622.89379033667</v>
      </c>
      <c r="M560" s="764">
        <f t="shared" si="228"/>
        <v>-910.59628811866298</v>
      </c>
      <c r="N560" s="1863">
        <v>80</v>
      </c>
      <c r="O560" s="761">
        <f>'Emission-Waste Transport Vehicl'!N49</f>
        <v>23.747688271296006</v>
      </c>
      <c r="P560" s="761">
        <f>'Emission-Waste Transport Vehicl'!O49</f>
        <v>34.547940675072006</v>
      </c>
      <c r="Q560" s="761">
        <f>'Emission-Waste Transport Vehicl'!P49</f>
        <v>13.212818093376002</v>
      </c>
      <c r="R560" s="761">
        <f>'Emission-Waste Transport Vehicl'!Q49</f>
        <v>10.261446066432002</v>
      </c>
      <c r="S560" s="761">
        <f>'Emission-Waste Transport Vehicl'!R49</f>
        <v>1.0213194752640002</v>
      </c>
      <c r="T560" s="761">
        <f>'Emission-Waste Transport Vehicl'!S49</f>
        <v>4.6964612090880008E-2</v>
      </c>
      <c r="U560" s="174">
        <f t="shared" si="229"/>
        <v>-72847.703049493037</v>
      </c>
      <c r="V560" s="174">
        <f t="shared" si="222"/>
        <v>-483.50583664973891</v>
      </c>
      <c r="W560" s="174">
        <f t="shared" si="223"/>
        <v>-586.16691337828149</v>
      </c>
      <c r="X560" s="174">
        <f t="shared" si="224"/>
        <v>-9437.9285960078541</v>
      </c>
      <c r="Y560" s="174">
        <f t="shared" si="225"/>
        <v>-52.231074125047996</v>
      </c>
      <c r="Z560" s="174">
        <f t="shared" si="226"/>
        <v>-405.48669301154035</v>
      </c>
      <c r="AA560" s="174">
        <f t="shared" si="227"/>
        <v>-498.90008614577971</v>
      </c>
      <c r="AB560" s="2987"/>
      <c r="AC560" s="2727"/>
    </row>
    <row r="561" spans="1:29" ht="18.75" x14ac:dyDescent="0.25">
      <c r="A561" s="2993"/>
      <c r="B561" s="2998"/>
      <c r="C561" s="1863">
        <v>2036</v>
      </c>
      <c r="D561" s="221">
        <f t="shared" si="237"/>
        <v>-889058.6721188972</v>
      </c>
      <c r="E561" s="221">
        <f t="shared" si="244"/>
        <v>-807.61818306983798</v>
      </c>
      <c r="F561" s="221">
        <f t="shared" si="245"/>
        <v>-20729.997816695963</v>
      </c>
      <c r="G561" s="221">
        <f t="shared" si="238"/>
        <v>-20.360122262264817</v>
      </c>
      <c r="H561" s="221">
        <f t="shared" si="239"/>
        <v>-16.966768551887348</v>
      </c>
      <c r="I561" s="221">
        <f t="shared" si="240"/>
        <v>-714.30095603445739</v>
      </c>
      <c r="J561" s="221">
        <f t="shared" si="241"/>
        <v>-5.090030565566205</v>
      </c>
      <c r="K561" s="221">
        <f t="shared" si="242"/>
        <v>-397.02238411416403</v>
      </c>
      <c r="L561" s="221">
        <f t="shared" si="243"/>
        <v>-10622.89379033667</v>
      </c>
      <c r="M561" s="764">
        <f t="shared" si="228"/>
        <v>-910.59628811866298</v>
      </c>
      <c r="N561" s="1863">
        <v>81</v>
      </c>
      <c r="O561" s="761">
        <f>'Emission-Waste Transport Vehicl'!N50</f>
        <v>23.284732239648001</v>
      </c>
      <c r="P561" s="761">
        <f>'Emission-Waste Transport Vehicl'!O50</f>
        <v>33.874436065536003</v>
      </c>
      <c r="Q561" s="761">
        <f>'Emission-Waste Transport Vehicl'!P50</f>
        <v>12.955237070688</v>
      </c>
      <c r="R561" s="761">
        <f>'Emission-Waste Transport Vehicl'!Q50</f>
        <v>10.061401401215999</v>
      </c>
      <c r="S561" s="761">
        <f>'Emission-Waste Transport Vehicl'!R50</f>
        <v>1.001409073632</v>
      </c>
      <c r="T561" s="761">
        <f>'Emission-Waste Transport Vehicl'!S50</f>
        <v>4.6049047165439998E-2</v>
      </c>
      <c r="U561" s="174">
        <f t="shared" si="229"/>
        <v>-73758.299337611708</v>
      </c>
      <c r="V561" s="174">
        <f t="shared" si="222"/>
        <v>-474.07999524333258</v>
      </c>
      <c r="W561" s="174">
        <f t="shared" si="223"/>
        <v>-574.73971654965487</v>
      </c>
      <c r="X561" s="174">
        <f t="shared" si="224"/>
        <v>-9253.9382252454816</v>
      </c>
      <c r="Y561" s="174">
        <f t="shared" si="225"/>
        <v>-51.212840664620082</v>
      </c>
      <c r="Z561" s="174">
        <f t="shared" si="226"/>
        <v>-397.58181788693309</v>
      </c>
      <c r="AA561" s="174">
        <f t="shared" si="227"/>
        <v>-489.17413718467299</v>
      </c>
      <c r="AB561" s="2987"/>
      <c r="AC561" s="2727"/>
    </row>
    <row r="562" spans="1:29" ht="18.75" x14ac:dyDescent="0.25">
      <c r="A562" s="2993"/>
      <c r="B562" s="2998"/>
      <c r="C562" s="1863">
        <v>2037</v>
      </c>
      <c r="D562" s="221">
        <f t="shared" si="237"/>
        <v>-889058.6721188972</v>
      </c>
      <c r="E562" s="221">
        <f t="shared" si="244"/>
        <v>-807.61818306983798</v>
      </c>
      <c r="F562" s="221">
        <f t="shared" si="245"/>
        <v>-20729.997816695963</v>
      </c>
      <c r="G562" s="221">
        <f t="shared" si="238"/>
        <v>-20.360122262264817</v>
      </c>
      <c r="H562" s="221">
        <f t="shared" si="239"/>
        <v>-16.966768551887348</v>
      </c>
      <c r="I562" s="221">
        <f t="shared" si="240"/>
        <v>-714.30095603445739</v>
      </c>
      <c r="J562" s="221">
        <f t="shared" si="241"/>
        <v>-5.090030565566205</v>
      </c>
      <c r="K562" s="221">
        <f t="shared" si="242"/>
        <v>-397.02238411416403</v>
      </c>
      <c r="L562" s="221">
        <f t="shared" si="243"/>
        <v>-10622.89379033667</v>
      </c>
      <c r="M562" s="764">
        <f t="shared" si="228"/>
        <v>-910.59628811866298</v>
      </c>
      <c r="N562" s="1863">
        <v>83</v>
      </c>
      <c r="O562" s="761">
        <f>'Emission-Waste Transport Vehicl'!N51</f>
        <v>22.828296715488005</v>
      </c>
      <c r="P562" s="761">
        <f>'Emission-Waste Transport Vehicl'!O51</f>
        <v>33.210417436416002</v>
      </c>
      <c r="Q562" s="761">
        <f>'Emission-Waste Transport Vehicl'!P51</f>
        <v>12.701283949728003</v>
      </c>
      <c r="R562" s="761">
        <f>'Emission-Waste Transport Vehicl'!Q51</f>
        <v>9.8641742664960006</v>
      </c>
      <c r="S562" s="761">
        <f>'Emission-Waste Transport Vehicl'!R51</f>
        <v>0.9817791001920001</v>
      </c>
      <c r="T562" s="761">
        <f>'Emission-Waste Transport Vehicl'!S51</f>
        <v>4.5146377520640005E-2</v>
      </c>
      <c r="U562" s="174">
        <f t="shared" si="229"/>
        <v>-75579.491913849022</v>
      </c>
      <c r="V562" s="174">
        <f t="shared" si="222"/>
        <v>-464.78691216659411</v>
      </c>
      <c r="W562" s="174">
        <f t="shared" si="223"/>
        <v>-563.47346615523429</v>
      </c>
      <c r="X562" s="174">
        <f t="shared" si="224"/>
        <v>-9072.5392681558224</v>
      </c>
      <c r="Y562" s="174">
        <f t="shared" si="225"/>
        <v>-50.208948520536246</v>
      </c>
      <c r="Z562" s="174">
        <f t="shared" si="226"/>
        <v>-389.78827903168661</v>
      </c>
      <c r="AA562" s="174">
        <f t="shared" si="227"/>
        <v>-479.58517342020173</v>
      </c>
      <c r="AB562" s="2987"/>
      <c r="AC562" s="2727"/>
    </row>
    <row r="563" spans="1:29" ht="18.75" x14ac:dyDescent="0.25">
      <c r="A563" s="2993"/>
      <c r="B563" s="2998"/>
      <c r="C563" s="1863">
        <v>2038</v>
      </c>
      <c r="D563" s="221">
        <f t="shared" si="237"/>
        <v>-889058.6721188972</v>
      </c>
      <c r="E563" s="221">
        <f t="shared" si="244"/>
        <v>-807.61818306983798</v>
      </c>
      <c r="F563" s="221">
        <f t="shared" si="245"/>
        <v>-20729.997816695963</v>
      </c>
      <c r="G563" s="221">
        <f t="shared" si="238"/>
        <v>-20.360122262264817</v>
      </c>
      <c r="H563" s="221">
        <f t="shared" si="239"/>
        <v>-16.966768551887348</v>
      </c>
      <c r="I563" s="221">
        <f t="shared" si="240"/>
        <v>-714.30095603445739</v>
      </c>
      <c r="J563" s="221">
        <f t="shared" si="241"/>
        <v>-5.090030565566205</v>
      </c>
      <c r="K563" s="221">
        <f t="shared" si="242"/>
        <v>-397.02238411416403</v>
      </c>
      <c r="L563" s="221">
        <f t="shared" si="243"/>
        <v>-10622.89379033667</v>
      </c>
      <c r="M563" s="764">
        <f t="shared" si="228"/>
        <v>-910.59628811866298</v>
      </c>
      <c r="N563" s="1863">
        <v>84</v>
      </c>
      <c r="O563" s="761">
        <f>'Emission-Waste Transport Vehicl'!N52</f>
        <v>22.378381698816003</v>
      </c>
      <c r="P563" s="761">
        <f>'Emission-Waste Transport Vehicl'!O52</f>
        <v>32.555884787712003</v>
      </c>
      <c r="Q563" s="761">
        <f>'Emission-Waste Transport Vehicl'!P52</f>
        <v>12.450958730496001</v>
      </c>
      <c r="R563" s="761">
        <f>'Emission-Waste Transport Vehicl'!Q52</f>
        <v>9.6697646622720015</v>
      </c>
      <c r="S563" s="761">
        <f>'Emission-Waste Transport Vehicl'!R52</f>
        <v>0.96242955494400007</v>
      </c>
      <c r="T563" s="761">
        <f>'Emission-Waste Transport Vehicl'!S52</f>
        <v>4.4256603156480001E-2</v>
      </c>
      <c r="U563" s="174">
        <f t="shared" si="229"/>
        <v>-76490.088201967694</v>
      </c>
      <c r="V563" s="174">
        <f t="shared" si="222"/>
        <v>-455.62658741952328</v>
      </c>
      <c r="W563" s="174">
        <f t="shared" si="223"/>
        <v>-552.36816219501975</v>
      </c>
      <c r="X563" s="174">
        <f t="shared" si="224"/>
        <v>-8893.7317247388673</v>
      </c>
      <c r="Y563" s="174">
        <f t="shared" si="225"/>
        <v>-49.219397692796463</v>
      </c>
      <c r="Z563" s="174">
        <f t="shared" si="226"/>
        <v>-382.10607644580074</v>
      </c>
      <c r="AA563" s="174">
        <f t="shared" si="227"/>
        <v>-470.13319485236565</v>
      </c>
      <c r="AB563" s="2987"/>
      <c r="AC563" s="2727"/>
    </row>
    <row r="564" spans="1:29" ht="18.75" x14ac:dyDescent="0.25">
      <c r="A564" s="2993"/>
      <c r="B564" s="2998"/>
      <c r="C564" s="1863">
        <v>2039</v>
      </c>
      <c r="D564" s="221">
        <f t="shared" si="237"/>
        <v>-889058.6721188972</v>
      </c>
      <c r="E564" s="221">
        <f t="shared" si="244"/>
        <v>-807.61818306983798</v>
      </c>
      <c r="F564" s="221">
        <f t="shared" si="245"/>
        <v>-20729.997816695963</v>
      </c>
      <c r="G564" s="221">
        <f t="shared" si="238"/>
        <v>-20.360122262264817</v>
      </c>
      <c r="H564" s="221">
        <f t="shared" si="239"/>
        <v>-16.966768551887348</v>
      </c>
      <c r="I564" s="221">
        <f t="shared" si="240"/>
        <v>-714.30095603445739</v>
      </c>
      <c r="J564" s="221">
        <f t="shared" si="241"/>
        <v>-5.090030565566205</v>
      </c>
      <c r="K564" s="221">
        <f t="shared" si="242"/>
        <v>-397.02238411416403</v>
      </c>
      <c r="L564" s="221">
        <f t="shared" si="243"/>
        <v>-10622.89379033667</v>
      </c>
      <c r="M564" s="764">
        <f t="shared" si="228"/>
        <v>-910.59628811866298</v>
      </c>
      <c r="N564" s="1863">
        <v>85</v>
      </c>
      <c r="O564" s="761">
        <f>'Emission-Waste Transport Vehicl'!N53</f>
        <v>21.941507697120006</v>
      </c>
      <c r="P564" s="761">
        <f>'Emission-Waste Transport Vehicl'!O53</f>
        <v>31.920324099840006</v>
      </c>
      <c r="Q564" s="761">
        <f>'Emission-Waste Transport Vehicl'!P53</f>
        <v>12.207889314720003</v>
      </c>
      <c r="R564" s="761">
        <f>'Emission-Waste Transport Vehicl'!Q53</f>
        <v>9.4809901190400012</v>
      </c>
      <c r="S564" s="761">
        <f>'Emission-Waste Transport Vehicl'!R53</f>
        <v>0.9436408660800002</v>
      </c>
      <c r="T564" s="761">
        <f>'Emission-Waste Transport Vehicl'!S53</f>
        <v>4.3392619353600011E-2</v>
      </c>
      <c r="U564" s="174">
        <f t="shared" si="229"/>
        <v>-77400.684490086351</v>
      </c>
      <c r="V564" s="174">
        <f t="shared" si="222"/>
        <v>-446.73177933178783</v>
      </c>
      <c r="W564" s="174">
        <f t="shared" si="223"/>
        <v>-541.58475110321729</v>
      </c>
      <c r="X564" s="174">
        <f t="shared" si="224"/>
        <v>-8720.1070086673353</v>
      </c>
      <c r="Y564" s="174">
        <f t="shared" si="225"/>
        <v>-48.258529497744782</v>
      </c>
      <c r="Z564" s="174">
        <f t="shared" si="226"/>
        <v>-374.64654639863625</v>
      </c>
      <c r="AA564" s="174">
        <f t="shared" si="227"/>
        <v>-460.95518667780033</v>
      </c>
      <c r="AB564" s="2987"/>
      <c r="AC564" s="2727"/>
    </row>
    <row r="565" spans="1:29" ht="18.75" x14ac:dyDescent="0.25">
      <c r="A565" s="2993"/>
      <c r="B565" s="2998"/>
      <c r="C565" s="1863">
        <v>2040</v>
      </c>
      <c r="D565" s="221">
        <f t="shared" si="237"/>
        <v>-889058.6721188972</v>
      </c>
      <c r="E565" s="221">
        <f t="shared" si="244"/>
        <v>-807.61818306983798</v>
      </c>
      <c r="F565" s="221">
        <f t="shared" si="245"/>
        <v>-20729.997816695963</v>
      </c>
      <c r="G565" s="221">
        <f t="shared" si="238"/>
        <v>-20.360122262264817</v>
      </c>
      <c r="H565" s="221">
        <f t="shared" si="239"/>
        <v>-16.966768551887348</v>
      </c>
      <c r="I565" s="221">
        <f t="shared" si="240"/>
        <v>-714.30095603445739</v>
      </c>
      <c r="J565" s="221">
        <f t="shared" si="241"/>
        <v>-5.090030565566205</v>
      </c>
      <c r="K565" s="221">
        <f t="shared" si="242"/>
        <v>-397.02238411416403</v>
      </c>
      <c r="L565" s="221">
        <f t="shared" si="243"/>
        <v>-10622.89379033667</v>
      </c>
      <c r="M565" s="764">
        <f t="shared" si="228"/>
        <v>-910.59628811866298</v>
      </c>
      <c r="N565" s="1863">
        <v>86</v>
      </c>
      <c r="O565" s="761">
        <f>'Emission-Waste Transport Vehicl'!N54</f>
        <v>21.511154202912003</v>
      </c>
      <c r="P565" s="761">
        <f>'Emission-Waste Transport Vehicl'!O54</f>
        <v>31.294249392384003</v>
      </c>
      <c r="Q565" s="761">
        <f>'Emission-Waste Transport Vehicl'!P54</f>
        <v>11.968447800672001</v>
      </c>
      <c r="R565" s="761">
        <f>'Emission-Waste Transport Vehicl'!Q54</f>
        <v>9.2950331063040004</v>
      </c>
      <c r="S565" s="761">
        <f>'Emission-Waste Transport Vehicl'!R54</f>
        <v>0.92513260540800013</v>
      </c>
      <c r="T565" s="761">
        <f>'Emission-Waste Transport Vehicl'!S54</f>
        <v>4.254153083136001E-2</v>
      </c>
      <c r="U565" s="174">
        <f t="shared" si="229"/>
        <v>-78311.280778205022</v>
      </c>
      <c r="V565" s="174">
        <f t="shared" si="222"/>
        <v>-437.96972957372003</v>
      </c>
      <c r="W565" s="174">
        <f t="shared" si="223"/>
        <v>-530.96228644562063</v>
      </c>
      <c r="X565" s="174">
        <f t="shared" si="224"/>
        <v>-8549.0737062685093</v>
      </c>
      <c r="Y565" s="174">
        <f t="shared" si="225"/>
        <v>-47.312002619037152</v>
      </c>
      <c r="Z565" s="174">
        <f t="shared" si="226"/>
        <v>-367.29835262083236</v>
      </c>
      <c r="AA565" s="174">
        <f t="shared" si="227"/>
        <v>-451.91416369987024</v>
      </c>
      <c r="AB565" s="2987"/>
      <c r="AC565" s="2727"/>
    </row>
    <row r="566" spans="1:29" ht="18.75" x14ac:dyDescent="0.25">
      <c r="A566" s="2993"/>
      <c r="B566" s="2998"/>
      <c r="C566" s="1863">
        <v>2041</v>
      </c>
      <c r="D566" s="221">
        <f t="shared" si="237"/>
        <v>-889058.6721188972</v>
      </c>
      <c r="E566" s="221">
        <f t="shared" si="244"/>
        <v>-807.61818306983798</v>
      </c>
      <c r="F566" s="221">
        <f t="shared" si="245"/>
        <v>-20729.997816695963</v>
      </c>
      <c r="G566" s="221">
        <f t="shared" si="238"/>
        <v>-20.360122262264817</v>
      </c>
      <c r="H566" s="221">
        <f t="shared" si="239"/>
        <v>-16.966768551887348</v>
      </c>
      <c r="I566" s="221">
        <f t="shared" si="240"/>
        <v>-714.30095603445739</v>
      </c>
      <c r="J566" s="221">
        <f t="shared" si="241"/>
        <v>-5.090030565566205</v>
      </c>
      <c r="K566" s="221">
        <f t="shared" si="242"/>
        <v>-397.02238411416403</v>
      </c>
      <c r="L566" s="221">
        <f t="shared" si="243"/>
        <v>-10622.89379033667</v>
      </c>
      <c r="M566" s="764">
        <f t="shared" si="228"/>
        <v>-910.59628811866298</v>
      </c>
      <c r="N566" s="1863">
        <v>87</v>
      </c>
      <c r="O566" s="761">
        <f>'Emission-Waste Transport Vehicl'!N55</f>
        <v>21.087321216192002</v>
      </c>
      <c r="P566" s="761">
        <f>'Emission-Waste Transport Vehicl'!O55</f>
        <v>30.677660665344007</v>
      </c>
      <c r="Q566" s="761">
        <f>'Emission-Waste Transport Vehicl'!P55</f>
        <v>11.732634188352002</v>
      </c>
      <c r="R566" s="761">
        <f>'Emission-Waste Transport Vehicl'!Q55</f>
        <v>9.1118936240640007</v>
      </c>
      <c r="S566" s="761">
        <f>'Emission-Waste Transport Vehicl'!R55</f>
        <v>0.9069047729280002</v>
      </c>
      <c r="T566" s="761">
        <f>'Emission-Waste Transport Vehicl'!S55</f>
        <v>4.1703337589760005E-2</v>
      </c>
      <c r="U566" s="174">
        <f t="shared" si="229"/>
        <v>-79221.877066323679</v>
      </c>
      <c r="V566" s="174">
        <f t="shared" si="222"/>
        <v>-429.34043814531998</v>
      </c>
      <c r="W566" s="174">
        <f t="shared" si="223"/>
        <v>-520.50076822223025</v>
      </c>
      <c r="X566" s="174">
        <f t="shared" si="224"/>
        <v>-8380.6318175423949</v>
      </c>
      <c r="Y566" s="174">
        <f t="shared" si="225"/>
        <v>-46.379817056673581</v>
      </c>
      <c r="Z566" s="174">
        <f t="shared" si="226"/>
        <v>-360.0614951123892</v>
      </c>
      <c r="AA566" s="174">
        <f t="shared" si="227"/>
        <v>-443.01012591857534</v>
      </c>
      <c r="AB566" s="2987"/>
      <c r="AC566" s="2727"/>
    </row>
    <row r="567" spans="1:29" ht="18.75" x14ac:dyDescent="0.25">
      <c r="A567" s="2993"/>
      <c r="B567" s="2998"/>
      <c r="C567" s="1863">
        <v>2042</v>
      </c>
      <c r="D567" s="221">
        <f t="shared" si="237"/>
        <v>-889058.6721188972</v>
      </c>
      <c r="E567" s="221">
        <f t="shared" si="244"/>
        <v>-807.61818306983798</v>
      </c>
      <c r="F567" s="221">
        <f t="shared" si="245"/>
        <v>-20729.997816695963</v>
      </c>
      <c r="G567" s="221">
        <f t="shared" si="238"/>
        <v>-20.360122262264817</v>
      </c>
      <c r="H567" s="221">
        <f t="shared" si="239"/>
        <v>-16.966768551887348</v>
      </c>
      <c r="I567" s="221">
        <f t="shared" si="240"/>
        <v>-714.30095603445739</v>
      </c>
      <c r="J567" s="221">
        <f t="shared" si="241"/>
        <v>-5.090030565566205</v>
      </c>
      <c r="K567" s="221">
        <f t="shared" si="242"/>
        <v>-397.02238411416403</v>
      </c>
      <c r="L567" s="221">
        <f t="shared" si="243"/>
        <v>-10622.89379033667</v>
      </c>
      <c r="M567" s="764">
        <f t="shared" si="228"/>
        <v>-910.59628811866298</v>
      </c>
      <c r="N567" s="1863">
        <v>88</v>
      </c>
      <c r="O567" s="761">
        <f>'Emission-Waste Transport Vehicl'!N56</f>
        <v>20.676529244448002</v>
      </c>
      <c r="P567" s="761">
        <f>'Emission-Waste Transport Vehicl'!O56</f>
        <v>30.080043899136001</v>
      </c>
      <c r="Q567" s="761">
        <f>'Emission-Waste Transport Vehicl'!P56</f>
        <v>11.504076379488001</v>
      </c>
      <c r="R567" s="761">
        <f>'Emission-Waste Transport Vehicl'!Q56</f>
        <v>8.9343892028159999</v>
      </c>
      <c r="S567" s="761">
        <f>'Emission-Waste Transport Vehicl'!R56</f>
        <v>0.8892377968320001</v>
      </c>
      <c r="T567" s="761">
        <f>'Emission-Waste Transport Vehicl'!S56</f>
        <v>4.0890934909439999E-2</v>
      </c>
      <c r="U567" s="174">
        <f t="shared" si="229"/>
        <v>-80132.473354442336</v>
      </c>
      <c r="V567" s="174">
        <f t="shared" si="222"/>
        <v>-420.97666337625532</v>
      </c>
      <c r="W567" s="174">
        <f t="shared" si="223"/>
        <v>-510.3611428672516</v>
      </c>
      <c r="X567" s="174">
        <f t="shared" si="224"/>
        <v>-8217.3727561616979</v>
      </c>
      <c r="Y567" s="174">
        <f t="shared" si="225"/>
        <v>-45.476314126998119</v>
      </c>
      <c r="Z567" s="174">
        <f t="shared" si="226"/>
        <v>-353.0473101426673</v>
      </c>
      <c r="AA567" s="174">
        <f t="shared" si="227"/>
        <v>-434.38005853055114</v>
      </c>
      <c r="AB567" s="2987"/>
      <c r="AC567" s="2727"/>
    </row>
    <row r="568" spans="1:29" ht="18.75" x14ac:dyDescent="0.25">
      <c r="A568" s="2993"/>
      <c r="B568" s="2998"/>
      <c r="C568" s="1863">
        <v>2043</v>
      </c>
      <c r="D568" s="221">
        <f t="shared" si="237"/>
        <v>-889058.6721188972</v>
      </c>
      <c r="E568" s="221">
        <f t="shared" si="244"/>
        <v>-807.61818306983798</v>
      </c>
      <c r="F568" s="221">
        <f t="shared" si="245"/>
        <v>-20729.997816695963</v>
      </c>
      <c r="G568" s="221">
        <f t="shared" si="238"/>
        <v>-20.360122262264817</v>
      </c>
      <c r="H568" s="221">
        <f t="shared" si="239"/>
        <v>-16.966768551887348</v>
      </c>
      <c r="I568" s="221">
        <f t="shared" si="240"/>
        <v>-714.30095603445739</v>
      </c>
      <c r="J568" s="221">
        <f t="shared" si="241"/>
        <v>-5.090030565566205</v>
      </c>
      <c r="K568" s="221">
        <f t="shared" si="242"/>
        <v>-397.02238411416403</v>
      </c>
      <c r="L568" s="221">
        <f t="shared" si="243"/>
        <v>-10622.89379033667</v>
      </c>
      <c r="M568" s="764">
        <f t="shared" si="228"/>
        <v>-910.59628811866298</v>
      </c>
      <c r="N568" s="1863">
        <v>89</v>
      </c>
      <c r="O568" s="761">
        <f>'Emission-Waste Transport Vehicl'!N57</f>
        <v>20.268997526448004</v>
      </c>
      <c r="P568" s="761">
        <f>'Emission-Waste Transport Vehicl'!O57</f>
        <v>29.487170123136003</v>
      </c>
      <c r="Q568" s="761">
        <f>'Emission-Waste Transport Vehicl'!P57</f>
        <v>11.277332521488001</v>
      </c>
      <c r="R568" s="761">
        <f>'Emission-Waste Transport Vehicl'!Q57</f>
        <v>8.7582935468160006</v>
      </c>
      <c r="S568" s="761">
        <f>'Emission-Waste Transport Vehicl'!R57</f>
        <v>0.87171103483200019</v>
      </c>
      <c r="T568" s="761">
        <f>'Emission-Waste Transport Vehicl'!S57</f>
        <v>4.0084979869440006E-2</v>
      </c>
      <c r="U568" s="174">
        <f t="shared" si="229"/>
        <v>-81043.069642561008</v>
      </c>
      <c r="V568" s="174">
        <f t="shared" si="222"/>
        <v>-412.6792677720245</v>
      </c>
      <c r="W568" s="174">
        <f t="shared" si="223"/>
        <v>-500.30199072937614</v>
      </c>
      <c r="X568" s="174">
        <f t="shared" si="224"/>
        <v>-8055.4094016173567</v>
      </c>
      <c r="Y568" s="174">
        <f t="shared" si="225"/>
        <v>-44.579981855494694</v>
      </c>
      <c r="Z568" s="174">
        <f t="shared" si="226"/>
        <v>-346.08879330762579</v>
      </c>
      <c r="AA568" s="174">
        <f t="shared" si="227"/>
        <v>-425.81848374084461</v>
      </c>
      <c r="AB568" s="2987"/>
      <c r="AC568" s="2727"/>
    </row>
    <row r="569" spans="1:29" ht="18.75" x14ac:dyDescent="0.25">
      <c r="A569" s="2993"/>
      <c r="B569" s="2998"/>
      <c r="C569" s="1863">
        <v>2044</v>
      </c>
      <c r="D569" s="221">
        <f t="shared" si="237"/>
        <v>-889058.6721188972</v>
      </c>
      <c r="E569" s="221">
        <f t="shared" si="244"/>
        <v>-807.61818306983798</v>
      </c>
      <c r="F569" s="221">
        <f t="shared" si="245"/>
        <v>-20729.997816695963</v>
      </c>
      <c r="G569" s="221">
        <f t="shared" si="238"/>
        <v>-20.360122262264817</v>
      </c>
      <c r="H569" s="221">
        <f t="shared" si="239"/>
        <v>-16.966768551887348</v>
      </c>
      <c r="I569" s="221">
        <f t="shared" si="240"/>
        <v>-714.30095603445739</v>
      </c>
      <c r="J569" s="221">
        <f t="shared" si="241"/>
        <v>-5.090030565566205</v>
      </c>
      <c r="K569" s="221">
        <f t="shared" si="242"/>
        <v>-397.02238411416403</v>
      </c>
      <c r="L569" s="221">
        <f t="shared" si="243"/>
        <v>-10622.89379033667</v>
      </c>
      <c r="M569" s="764">
        <f t="shared" si="228"/>
        <v>-910.59628811866298</v>
      </c>
      <c r="N569" s="1863">
        <v>90</v>
      </c>
      <c r="O569" s="761">
        <f>'Emission-Waste Transport Vehicl'!N58</f>
        <v>19.871246569680004</v>
      </c>
      <c r="P569" s="761">
        <f>'Emission-Waste Transport Vehicl'!O58</f>
        <v>28.908525317760002</v>
      </c>
      <c r="Q569" s="761">
        <f>'Emission-Waste Transport Vehicl'!P58</f>
        <v>11.056030516080002</v>
      </c>
      <c r="R569" s="761">
        <f>'Emission-Waste Transport Vehicl'!Q58</f>
        <v>8.5864241865600004</v>
      </c>
      <c r="S569" s="761">
        <f>'Emission-Waste Transport Vehicl'!R58</f>
        <v>0.85460491512000014</v>
      </c>
      <c r="T569" s="761">
        <f>'Emission-Waste Transport Vehicl'!S58</f>
        <v>3.9298367750400007E-2</v>
      </c>
      <c r="U569" s="174">
        <f t="shared" si="229"/>
        <v>-81953.665930679665</v>
      </c>
      <c r="V569" s="174">
        <f t="shared" si="222"/>
        <v>-404.58100966229523</v>
      </c>
      <c r="W569" s="174">
        <f t="shared" si="223"/>
        <v>-490.48425824280963</v>
      </c>
      <c r="X569" s="174">
        <f t="shared" si="224"/>
        <v>-7897.33316758208</v>
      </c>
      <c r="Y569" s="174">
        <f t="shared" si="225"/>
        <v>-43.705161558507342</v>
      </c>
      <c r="Z569" s="174">
        <f t="shared" si="226"/>
        <v>-339.29728087662522</v>
      </c>
      <c r="AA569" s="174">
        <f t="shared" si="227"/>
        <v>-417.46238674609106</v>
      </c>
      <c r="AB569" s="2987"/>
      <c r="AC569" s="2727"/>
    </row>
    <row r="570" spans="1:29" ht="18.75" x14ac:dyDescent="0.25">
      <c r="A570" s="2993"/>
      <c r="B570" s="2998"/>
      <c r="C570" s="1863">
        <v>2045</v>
      </c>
      <c r="D570" s="221">
        <f t="shared" si="237"/>
        <v>-889058.6721188972</v>
      </c>
      <c r="E570" s="221">
        <f t="shared" si="244"/>
        <v>-807.61818306983798</v>
      </c>
      <c r="F570" s="221">
        <f t="shared" si="245"/>
        <v>-20729.997816695963</v>
      </c>
      <c r="G570" s="221">
        <f t="shared" si="238"/>
        <v>-20.360122262264817</v>
      </c>
      <c r="H570" s="221">
        <f t="shared" si="239"/>
        <v>-16.966768551887348</v>
      </c>
      <c r="I570" s="221">
        <f t="shared" si="240"/>
        <v>-714.30095603445739</v>
      </c>
      <c r="J570" s="221">
        <f t="shared" si="241"/>
        <v>-5.090030565566205</v>
      </c>
      <c r="K570" s="221">
        <f t="shared" si="242"/>
        <v>-397.02238411416403</v>
      </c>
      <c r="L570" s="221">
        <f t="shared" si="243"/>
        <v>-10622.89379033667</v>
      </c>
      <c r="M570" s="764">
        <f t="shared" si="228"/>
        <v>-910.59628811866298</v>
      </c>
      <c r="N570" s="1863">
        <v>92</v>
      </c>
      <c r="O570" s="761">
        <f>'Emission-Waste Transport Vehicl'!N59</f>
        <v>19.483276374144001</v>
      </c>
      <c r="P570" s="761">
        <f>'Emission-Waste Transport Vehicl'!O59</f>
        <v>28.344109483008001</v>
      </c>
      <c r="Q570" s="761">
        <f>'Emission-Waste Transport Vehicl'!P59</f>
        <v>10.840170363264003</v>
      </c>
      <c r="R570" s="761">
        <f>'Emission-Waste Transport Vehicl'!Q59</f>
        <v>8.4187811220480011</v>
      </c>
      <c r="S570" s="761">
        <f>'Emission-Waste Transport Vehicl'!R59</f>
        <v>0.83791943769600008</v>
      </c>
      <c r="T570" s="761">
        <f>'Emission-Waste Transport Vehicl'!S59</f>
        <v>3.8531098552320009E-2</v>
      </c>
      <c r="U570" s="174">
        <f t="shared" si="229"/>
        <v>-83774.858506916993</v>
      </c>
      <c r="V570" s="174">
        <f t="shared" ref="V570:V633" si="246">G570*O570</f>
        <v>-396.68188904706739</v>
      </c>
      <c r="W570" s="174">
        <f t="shared" ref="W570:W633" si="247">H570*P570</f>
        <v>-480.90794540755212</v>
      </c>
      <c r="X570" s="174">
        <f t="shared" ref="X570:X633" si="248">I570*Q570</f>
        <v>-7743.1440540558679</v>
      </c>
      <c r="Y570" s="174">
        <f t="shared" ref="Y570:Y633" si="249">J570*R570</f>
        <v>-42.851853236036078</v>
      </c>
      <c r="Z570" s="174">
        <f t="shared" ref="Z570:Z633" si="250">K570*S570</f>
        <v>-332.67277284966565</v>
      </c>
      <c r="AA570" s="174">
        <f t="shared" ref="AA570:AA633" si="251">T570*L570</f>
        <v>-409.31176754629047</v>
      </c>
      <c r="AB570" s="2987"/>
      <c r="AC570" s="2727"/>
    </row>
    <row r="571" spans="1:29" ht="18.75" x14ac:dyDescent="0.25">
      <c r="A571" s="2993"/>
      <c r="B571" s="2998"/>
      <c r="C571" s="1863">
        <v>2046</v>
      </c>
      <c r="D571" s="221">
        <f t="shared" si="237"/>
        <v>-889058.6721188972</v>
      </c>
      <c r="E571" s="221">
        <f t="shared" si="244"/>
        <v>-807.61818306983798</v>
      </c>
      <c r="F571" s="221">
        <f t="shared" si="245"/>
        <v>-20729.997816695963</v>
      </c>
      <c r="G571" s="221">
        <f t="shared" si="238"/>
        <v>-20.360122262264817</v>
      </c>
      <c r="H571" s="221">
        <f t="shared" si="239"/>
        <v>-16.966768551887348</v>
      </c>
      <c r="I571" s="221">
        <f t="shared" si="240"/>
        <v>-714.30095603445739</v>
      </c>
      <c r="J571" s="221">
        <f t="shared" si="241"/>
        <v>-5.090030565566205</v>
      </c>
      <c r="K571" s="221">
        <f t="shared" si="242"/>
        <v>-397.02238411416403</v>
      </c>
      <c r="L571" s="221">
        <f t="shared" si="243"/>
        <v>-10622.89379033667</v>
      </c>
      <c r="M571" s="764">
        <f t="shared" ref="M571:M634" si="252">(D571/1000)+(E571/1000)+(F571/1000)</f>
        <v>-910.59628811866298</v>
      </c>
      <c r="N571" s="1863">
        <v>93</v>
      </c>
      <c r="O571" s="761">
        <f>'Emission-Waste Transport Vehicl'!N60</f>
        <v>19.101826686096</v>
      </c>
      <c r="P571" s="761">
        <f>'Emission-Waste Transport Vehicl'!O60</f>
        <v>27.789179628671999</v>
      </c>
      <c r="Q571" s="761">
        <f>'Emission-Waste Transport Vehicl'!P60</f>
        <v>10.627938112176002</v>
      </c>
      <c r="R571" s="761">
        <f>'Emission-Waste Transport Vehicl'!Q60</f>
        <v>8.2539555880319995</v>
      </c>
      <c r="S571" s="761">
        <f>'Emission-Waste Transport Vehicl'!R60</f>
        <v>0.82151438846400004</v>
      </c>
      <c r="T571" s="761">
        <f>'Emission-Waste Transport Vehicl'!S60</f>
        <v>3.777672463488E-2</v>
      </c>
      <c r="U571" s="174">
        <f t="shared" ref="U571:U634" si="253">M571*N571</f>
        <v>-84685.454795035665</v>
      </c>
      <c r="V571" s="174">
        <f t="shared" si="246"/>
        <v>-388.91552676150735</v>
      </c>
      <c r="W571" s="174">
        <f t="shared" si="247"/>
        <v>-471.49257900650059</v>
      </c>
      <c r="X571" s="174">
        <f t="shared" si="248"/>
        <v>-7591.5463542023645</v>
      </c>
      <c r="Y571" s="174">
        <f t="shared" si="249"/>
        <v>-42.012886229908858</v>
      </c>
      <c r="Z571" s="174">
        <f t="shared" si="250"/>
        <v>-326.15960109206679</v>
      </c>
      <c r="AA571" s="174">
        <f t="shared" si="251"/>
        <v>-401.29813354312506</v>
      </c>
      <c r="AB571" s="2987"/>
      <c r="AC571" s="2727"/>
    </row>
    <row r="572" spans="1:29" ht="18.75" x14ac:dyDescent="0.25">
      <c r="A572" s="2993"/>
      <c r="B572" s="2998"/>
      <c r="C572" s="1863">
        <v>2047</v>
      </c>
      <c r="D572" s="221">
        <f t="shared" si="237"/>
        <v>-889058.6721188972</v>
      </c>
      <c r="E572" s="221">
        <f t="shared" si="244"/>
        <v>-807.61818306983798</v>
      </c>
      <c r="F572" s="221">
        <f t="shared" si="245"/>
        <v>-20729.997816695963</v>
      </c>
      <c r="G572" s="221">
        <f t="shared" si="238"/>
        <v>-20.360122262264817</v>
      </c>
      <c r="H572" s="221">
        <f t="shared" si="239"/>
        <v>-16.966768551887348</v>
      </c>
      <c r="I572" s="221">
        <f t="shared" si="240"/>
        <v>-714.30095603445739</v>
      </c>
      <c r="J572" s="221">
        <f t="shared" si="241"/>
        <v>-5.090030565566205</v>
      </c>
      <c r="K572" s="221">
        <f t="shared" si="242"/>
        <v>-397.02238411416403</v>
      </c>
      <c r="L572" s="221">
        <f t="shared" si="243"/>
        <v>-10622.89379033667</v>
      </c>
      <c r="M572" s="764">
        <f t="shared" si="252"/>
        <v>-910.59628811866298</v>
      </c>
      <c r="N572" s="1863">
        <v>94</v>
      </c>
      <c r="O572" s="761">
        <f>'Emission-Waste Transport Vehicl'!N61</f>
        <v>18.726897505536005</v>
      </c>
      <c r="P572" s="761">
        <f>'Emission-Waste Transport Vehicl'!O61</f>
        <v>27.243735754752002</v>
      </c>
      <c r="Q572" s="761">
        <f>'Emission-Waste Transport Vehicl'!P61</f>
        <v>10.419333762816001</v>
      </c>
      <c r="R572" s="761">
        <f>'Emission-Waste Transport Vehicl'!Q61</f>
        <v>8.0919475845120008</v>
      </c>
      <c r="S572" s="761">
        <f>'Emission-Waste Transport Vehicl'!R61</f>
        <v>0.80538976742400015</v>
      </c>
      <c r="T572" s="761">
        <f>'Emission-Waste Transport Vehicl'!S61</f>
        <v>3.7035245998080002E-2</v>
      </c>
      <c r="U572" s="174">
        <f t="shared" si="253"/>
        <v>-85596.051083154322</v>
      </c>
      <c r="V572" s="174">
        <f t="shared" si="246"/>
        <v>-381.28192280561507</v>
      </c>
      <c r="W572" s="174">
        <f t="shared" si="247"/>
        <v>-462.23815903965522</v>
      </c>
      <c r="X572" s="174">
        <f t="shared" si="248"/>
        <v>-7442.5400680215698</v>
      </c>
      <c r="Y572" s="174">
        <f t="shared" si="249"/>
        <v>-41.188260540125704</v>
      </c>
      <c r="Z572" s="174">
        <f t="shared" si="250"/>
        <v>-319.7577656038286</v>
      </c>
      <c r="AA572" s="174">
        <f t="shared" si="251"/>
        <v>-393.42148473659506</v>
      </c>
      <c r="AB572" s="2987"/>
      <c r="AC572" s="2727"/>
    </row>
    <row r="573" spans="1:29" ht="18.75" x14ac:dyDescent="0.25">
      <c r="A573" s="2993"/>
      <c r="B573" s="2998"/>
      <c r="C573" s="1863">
        <v>2048</v>
      </c>
      <c r="D573" s="221">
        <f t="shared" si="237"/>
        <v>-889058.6721188972</v>
      </c>
      <c r="E573" s="221">
        <f t="shared" si="244"/>
        <v>-807.61818306983798</v>
      </c>
      <c r="F573" s="221">
        <f t="shared" si="245"/>
        <v>-20729.997816695963</v>
      </c>
      <c r="G573" s="221">
        <f t="shared" si="238"/>
        <v>-20.360122262264817</v>
      </c>
      <c r="H573" s="221">
        <f t="shared" si="239"/>
        <v>-16.966768551887348</v>
      </c>
      <c r="I573" s="221">
        <f t="shared" si="240"/>
        <v>-714.30095603445739</v>
      </c>
      <c r="J573" s="221">
        <f t="shared" si="241"/>
        <v>-5.090030565566205</v>
      </c>
      <c r="K573" s="221">
        <f t="shared" si="242"/>
        <v>-397.02238411416403</v>
      </c>
      <c r="L573" s="221">
        <f t="shared" si="243"/>
        <v>-10622.89379033667</v>
      </c>
      <c r="M573" s="764">
        <f t="shared" si="252"/>
        <v>-910.59628811866298</v>
      </c>
      <c r="N573" s="1863">
        <v>95</v>
      </c>
      <c r="O573" s="761">
        <f>'Emission-Waste Transport Vehicl'!N62</f>
        <v>18.358488832464005</v>
      </c>
      <c r="P573" s="761">
        <f>'Emission-Waste Transport Vehicl'!O62</f>
        <v>26.707777861248005</v>
      </c>
      <c r="Q573" s="761">
        <f>'Emission-Waste Transport Vehicl'!P62</f>
        <v>10.214357315184001</v>
      </c>
      <c r="R573" s="761">
        <f>'Emission-Waste Transport Vehicl'!Q62</f>
        <v>7.9327571114880007</v>
      </c>
      <c r="S573" s="761">
        <f>'Emission-Waste Transport Vehicl'!R62</f>
        <v>0.78954557457600016</v>
      </c>
      <c r="T573" s="761">
        <f>'Emission-Waste Transport Vehicl'!S62</f>
        <v>3.6306662641920007E-2</v>
      </c>
      <c r="U573" s="174">
        <f t="shared" si="253"/>
        <v>-86506.647371272978</v>
      </c>
      <c r="V573" s="174">
        <f t="shared" si="246"/>
        <v>-373.78107717939042</v>
      </c>
      <c r="W573" s="174">
        <f t="shared" si="247"/>
        <v>-453.14468550701577</v>
      </c>
      <c r="X573" s="174">
        <f t="shared" si="248"/>
        <v>-7296.1251955134858</v>
      </c>
      <c r="Y573" s="174">
        <f t="shared" si="249"/>
        <v>-40.377976166686601</v>
      </c>
      <c r="Z573" s="174">
        <f t="shared" si="250"/>
        <v>-313.46726638495107</v>
      </c>
      <c r="AA573" s="174">
        <f t="shared" si="251"/>
        <v>-385.68182112670036</v>
      </c>
      <c r="AB573" s="2987"/>
      <c r="AC573" s="2727"/>
    </row>
    <row r="574" spans="1:29" ht="18.75" x14ac:dyDescent="0.25">
      <c r="A574" s="2993"/>
      <c r="B574" s="2998"/>
      <c r="C574" s="1863">
        <v>2049</v>
      </c>
      <c r="D574" s="221">
        <f t="shared" si="237"/>
        <v>-889058.6721188972</v>
      </c>
      <c r="E574" s="221">
        <f t="shared" si="244"/>
        <v>-807.61818306983798</v>
      </c>
      <c r="F574" s="221">
        <f t="shared" si="245"/>
        <v>-20729.997816695963</v>
      </c>
      <c r="G574" s="221">
        <f t="shared" si="238"/>
        <v>-20.360122262264817</v>
      </c>
      <c r="H574" s="221">
        <f t="shared" si="239"/>
        <v>-16.966768551887348</v>
      </c>
      <c r="I574" s="221">
        <f t="shared" si="240"/>
        <v>-714.30095603445739</v>
      </c>
      <c r="J574" s="221">
        <f t="shared" si="241"/>
        <v>-5.090030565566205</v>
      </c>
      <c r="K574" s="221">
        <f t="shared" si="242"/>
        <v>-397.02238411416403</v>
      </c>
      <c r="L574" s="221">
        <f t="shared" si="243"/>
        <v>-10622.89379033667</v>
      </c>
      <c r="M574" s="764">
        <f t="shared" si="252"/>
        <v>-910.59628811866298</v>
      </c>
      <c r="N574" s="1863">
        <v>96</v>
      </c>
      <c r="O574" s="761">
        <f>'Emission-Waste Transport Vehicl'!N63</f>
        <v>17.999860920624005</v>
      </c>
      <c r="P574" s="761">
        <f>'Emission-Waste Transport Vehicl'!O63</f>
        <v>26.186048938368003</v>
      </c>
      <c r="Q574" s="761">
        <f>'Emission-Waste Transport Vehicl'!P63</f>
        <v>10.014822720144002</v>
      </c>
      <c r="R574" s="761">
        <f>'Emission-Waste Transport Vehicl'!Q63</f>
        <v>7.7777929342080014</v>
      </c>
      <c r="S574" s="761">
        <f>'Emission-Waste Transport Vehicl'!R63</f>
        <v>0.77412202401600017</v>
      </c>
      <c r="T574" s="761">
        <f>'Emission-Waste Transport Vehicl'!S63</f>
        <v>3.5597422206719999E-2</v>
      </c>
      <c r="U574" s="174">
        <f t="shared" si="253"/>
        <v>-87417.24365939165</v>
      </c>
      <c r="V574" s="174">
        <f t="shared" si="246"/>
        <v>-366.47936904766726</v>
      </c>
      <c r="W574" s="174">
        <f t="shared" si="247"/>
        <v>-444.29263162568532</v>
      </c>
      <c r="X574" s="174">
        <f t="shared" si="248"/>
        <v>-7153.5974435144653</v>
      </c>
      <c r="Y574" s="174">
        <f t="shared" si="249"/>
        <v>-39.589203767763586</v>
      </c>
      <c r="Z574" s="174">
        <f t="shared" si="250"/>
        <v>-307.34377157011454</v>
      </c>
      <c r="AA574" s="174">
        <f t="shared" si="251"/>
        <v>-378.14763531175856</v>
      </c>
      <c r="AB574" s="2987"/>
      <c r="AC574" s="2727"/>
    </row>
    <row r="575" spans="1:29" ht="18.75" x14ac:dyDescent="0.25">
      <c r="A575" s="2993"/>
      <c r="B575" s="2998"/>
      <c r="C575" s="1863">
        <v>2050</v>
      </c>
      <c r="D575" s="221">
        <f t="shared" si="237"/>
        <v>-889058.6721188972</v>
      </c>
      <c r="E575" s="221">
        <f t="shared" si="244"/>
        <v>-807.61818306983798</v>
      </c>
      <c r="F575" s="221">
        <f t="shared" si="245"/>
        <v>-20729.997816695963</v>
      </c>
      <c r="G575" s="221">
        <f t="shared" si="238"/>
        <v>-20.360122262264817</v>
      </c>
      <c r="H575" s="221">
        <f t="shared" si="239"/>
        <v>-16.966768551887348</v>
      </c>
      <c r="I575" s="221">
        <f t="shared" si="240"/>
        <v>-714.30095603445739</v>
      </c>
      <c r="J575" s="221">
        <f t="shared" si="241"/>
        <v>-5.090030565566205</v>
      </c>
      <c r="K575" s="221">
        <f t="shared" si="242"/>
        <v>-397.02238411416403</v>
      </c>
      <c r="L575" s="221">
        <f t="shared" si="243"/>
        <v>-10622.89379033667</v>
      </c>
      <c r="M575" s="764">
        <f t="shared" si="252"/>
        <v>-910.59628811866298</v>
      </c>
      <c r="N575" s="1863">
        <v>97</v>
      </c>
      <c r="O575" s="761">
        <f>'Emission-Waste Transport Vehicl'!N64</f>
        <v>17.644493262528005</v>
      </c>
      <c r="P575" s="761">
        <f>'Emission-Waste Transport Vehicl'!O64</f>
        <v>25.669063005696003</v>
      </c>
      <c r="Q575" s="761">
        <f>'Emission-Waste Transport Vehicl'!P64</f>
        <v>9.8171020759680019</v>
      </c>
      <c r="R575" s="761">
        <f>'Emission-Waste Transport Vehicl'!Q64</f>
        <v>7.624237522176001</v>
      </c>
      <c r="S575" s="761">
        <f>'Emission-Waste Transport Vehicl'!R64</f>
        <v>0.75883868755200012</v>
      </c>
      <c r="T575" s="761">
        <f>'Emission-Waste Transport Vehicl'!S64</f>
        <v>3.4894629411840003E-2</v>
      </c>
      <c r="U575" s="174">
        <f t="shared" si="253"/>
        <v>-88327.839947510307</v>
      </c>
      <c r="V575" s="174">
        <f t="shared" si="246"/>
        <v>-359.24404008077801</v>
      </c>
      <c r="W575" s="174">
        <f t="shared" si="247"/>
        <v>-435.52105096145789</v>
      </c>
      <c r="X575" s="174">
        <f t="shared" si="248"/>
        <v>-7012.3653983517997</v>
      </c>
      <c r="Y575" s="174">
        <f t="shared" si="249"/>
        <v>-38.807602027012592</v>
      </c>
      <c r="Z575" s="174">
        <f t="shared" si="250"/>
        <v>-301.27594488995828</v>
      </c>
      <c r="AA575" s="174">
        <f t="shared" si="251"/>
        <v>-370.6819420951345</v>
      </c>
      <c r="AB575" s="2987"/>
      <c r="AC575" s="2727"/>
    </row>
    <row r="576" spans="1:29" ht="18.75" x14ac:dyDescent="0.25">
      <c r="A576" s="2993"/>
      <c r="B576" s="2998"/>
      <c r="C576" s="1863">
        <v>2051</v>
      </c>
      <c r="D576" s="221">
        <f t="shared" ref="D576:D594" si="254">$AC$24</f>
        <v>-889058.6721188972</v>
      </c>
      <c r="E576" s="221">
        <f t="shared" si="244"/>
        <v>-807.61818306983798</v>
      </c>
      <c r="F576" s="221">
        <f t="shared" si="245"/>
        <v>-20729.997816695963</v>
      </c>
      <c r="G576" s="221">
        <f t="shared" ref="G576:G594" si="255">$Y$24</f>
        <v>-20.360122262264817</v>
      </c>
      <c r="H576" s="221">
        <f t="shared" ref="H576:H594" si="256">$Z$24</f>
        <v>-16.966768551887348</v>
      </c>
      <c r="I576" s="221">
        <f t="shared" ref="I576:I594" si="257">$X$24</f>
        <v>-714.30095603445739</v>
      </c>
      <c r="J576" s="221">
        <f t="shared" ref="J576:J594" si="258">$AA$24</f>
        <v>-5.090030565566205</v>
      </c>
      <c r="K576" s="221">
        <f t="shared" ref="K576:K594" si="259">$V$24</f>
        <v>-397.02238411416403</v>
      </c>
      <c r="L576" s="221">
        <f t="shared" ref="L576:L594" si="260">$W$24</f>
        <v>-10622.89379033667</v>
      </c>
      <c r="M576" s="764">
        <f t="shared" si="252"/>
        <v>-910.59628811866298</v>
      </c>
      <c r="N576" s="1863">
        <v>97</v>
      </c>
      <c r="O576" s="761">
        <f>'Emission-Waste Transport Vehicl'!N65</f>
        <v>17.298906365664003</v>
      </c>
      <c r="P576" s="761">
        <f>'Emission-Waste Transport Vehicl'!O65</f>
        <v>25.166306043648003</v>
      </c>
      <c r="Q576" s="761">
        <f>'Emission-Waste Transport Vehicl'!P65</f>
        <v>9.624823284384</v>
      </c>
      <c r="R576" s="761">
        <f>'Emission-Waste Transport Vehicl'!Q65</f>
        <v>7.4749084058879998</v>
      </c>
      <c r="S576" s="761">
        <f>'Emission-Waste Transport Vehicl'!R65</f>
        <v>0.74397599337600007</v>
      </c>
      <c r="T576" s="761">
        <f>'Emission-Waste Transport Vehicl'!S65</f>
        <v>3.4211179537920001E-2</v>
      </c>
      <c r="U576" s="174">
        <f t="shared" si="253"/>
        <v>-88327.839947510307</v>
      </c>
      <c r="V576" s="174">
        <f t="shared" si="246"/>
        <v>-352.20784860839024</v>
      </c>
      <c r="W576" s="174">
        <f t="shared" si="247"/>
        <v>-426.99088994853946</v>
      </c>
      <c r="X576" s="174">
        <f t="shared" si="248"/>
        <v>-6875.0204736981977</v>
      </c>
      <c r="Y576" s="174">
        <f t="shared" si="249"/>
        <v>-38.047512260777673</v>
      </c>
      <c r="Z576" s="174">
        <f t="shared" si="250"/>
        <v>-295.37512261384308</v>
      </c>
      <c r="AA576" s="174">
        <f t="shared" si="251"/>
        <v>-363.4217266734633</v>
      </c>
      <c r="AB576" s="2987"/>
      <c r="AC576" s="2727"/>
    </row>
    <row r="577" spans="1:29" ht="18.75" x14ac:dyDescent="0.25">
      <c r="A577" s="2993"/>
      <c r="B577" s="2998"/>
      <c r="C577" s="1863">
        <v>2052</v>
      </c>
      <c r="D577" s="221">
        <f t="shared" si="254"/>
        <v>-889058.6721188972</v>
      </c>
      <c r="E577" s="221">
        <f t="shared" si="244"/>
        <v>-807.61818306983798</v>
      </c>
      <c r="F577" s="221">
        <f t="shared" si="245"/>
        <v>-20729.997816695963</v>
      </c>
      <c r="G577" s="221">
        <f t="shared" si="255"/>
        <v>-20.360122262264817</v>
      </c>
      <c r="H577" s="221">
        <f t="shared" si="256"/>
        <v>-16.966768551887348</v>
      </c>
      <c r="I577" s="221">
        <f t="shared" si="257"/>
        <v>-714.30095603445739</v>
      </c>
      <c r="J577" s="221">
        <f t="shared" si="258"/>
        <v>-5.090030565566205</v>
      </c>
      <c r="K577" s="221">
        <f t="shared" si="259"/>
        <v>-397.02238411416403</v>
      </c>
      <c r="L577" s="221">
        <f t="shared" si="260"/>
        <v>-10622.89379033667</v>
      </c>
      <c r="M577" s="764">
        <f t="shared" si="252"/>
        <v>-910.59628811866298</v>
      </c>
      <c r="N577" s="1863">
        <v>97</v>
      </c>
      <c r="O577" s="761">
        <f>'Emission-Waste Transport Vehicl'!N66</f>
        <v>16.959839976288002</v>
      </c>
      <c r="P577" s="761">
        <f>'Emission-Waste Transport Vehicl'!O66</f>
        <v>24.673035062016002</v>
      </c>
      <c r="Q577" s="761">
        <f>'Emission-Waste Transport Vehicl'!P66</f>
        <v>9.4361723945280005</v>
      </c>
      <c r="R577" s="761">
        <f>'Emission-Waste Transport Vehicl'!Q66</f>
        <v>7.3283968200960006</v>
      </c>
      <c r="S577" s="761">
        <f>'Emission-Waste Transport Vehicl'!R66</f>
        <v>0.72939372739200004</v>
      </c>
      <c r="T577" s="761">
        <f>'Emission-Waste Transport Vehicl'!S66</f>
        <v>3.3540624944640003E-2</v>
      </c>
      <c r="U577" s="174">
        <f t="shared" si="253"/>
        <v>-88327.839947510307</v>
      </c>
      <c r="V577" s="174">
        <f t="shared" si="246"/>
        <v>-345.30441546567016</v>
      </c>
      <c r="W577" s="174">
        <f t="shared" si="247"/>
        <v>-418.62167536982702</v>
      </c>
      <c r="X577" s="174">
        <f t="shared" si="248"/>
        <v>-6740.2669627173054</v>
      </c>
      <c r="Y577" s="174">
        <f t="shared" si="249"/>
        <v>-37.301763810886825</v>
      </c>
      <c r="Z577" s="174">
        <f t="shared" si="250"/>
        <v>-289.58563660708847</v>
      </c>
      <c r="AA577" s="174">
        <f t="shared" si="251"/>
        <v>-356.2984964484275</v>
      </c>
      <c r="AB577" s="2987"/>
      <c r="AC577" s="2727"/>
    </row>
    <row r="578" spans="1:29" ht="18.75" x14ac:dyDescent="0.25">
      <c r="A578" s="2993"/>
      <c r="B578" s="2998"/>
      <c r="C578" s="1863">
        <v>2053</v>
      </c>
      <c r="D578" s="221">
        <f t="shared" si="254"/>
        <v>-889058.6721188972</v>
      </c>
      <c r="E578" s="221">
        <f t="shared" si="244"/>
        <v>-807.61818306983798</v>
      </c>
      <c r="F578" s="221">
        <f t="shared" si="245"/>
        <v>-20729.997816695963</v>
      </c>
      <c r="G578" s="221">
        <f t="shared" si="255"/>
        <v>-20.360122262264817</v>
      </c>
      <c r="H578" s="221">
        <f t="shared" si="256"/>
        <v>-16.966768551887348</v>
      </c>
      <c r="I578" s="221">
        <f t="shared" si="257"/>
        <v>-714.30095603445739</v>
      </c>
      <c r="J578" s="221">
        <f t="shared" si="258"/>
        <v>-5.090030565566205</v>
      </c>
      <c r="K578" s="221">
        <f t="shared" si="259"/>
        <v>-397.02238411416403</v>
      </c>
      <c r="L578" s="221">
        <f t="shared" si="260"/>
        <v>-10622.89379033667</v>
      </c>
      <c r="M578" s="764">
        <f t="shared" si="252"/>
        <v>-910.59628811866298</v>
      </c>
      <c r="N578" s="1863">
        <v>97</v>
      </c>
      <c r="O578" s="761">
        <f>'Emission-Waste Transport Vehicl'!N67</f>
        <v>15.361506000000002</v>
      </c>
      <c r="P578" s="761">
        <f>'Emission-Waste Transport Vehicl'!O67</f>
        <v>24.189250060800003</v>
      </c>
      <c r="Q578" s="761">
        <f>'Emission-Waste Transport Vehicl'!P67</f>
        <v>9.2511494064000015</v>
      </c>
      <c r="R578" s="761">
        <f>'Emission-Waste Transport Vehicl'!Q67</f>
        <v>7.1847027647999999</v>
      </c>
      <c r="S578" s="761">
        <f>'Emission-Waste Transport Vehicl'!R67</f>
        <v>0.71509188960000014</v>
      </c>
      <c r="T578" s="761">
        <f>'Emission-Waste Transport Vehicl'!S67</f>
        <v>3.2882965632000001E-2</v>
      </c>
      <c r="U578" s="174">
        <f t="shared" si="253"/>
        <v>-88327.839947510307</v>
      </c>
      <c r="V578" s="174">
        <f t="shared" si="246"/>
        <v>-312.76214029251457</v>
      </c>
      <c r="W578" s="174">
        <f t="shared" si="247"/>
        <v>-410.41340722532061</v>
      </c>
      <c r="X578" s="174">
        <f t="shared" si="248"/>
        <v>-6608.1048654091237</v>
      </c>
      <c r="Y578" s="174">
        <f t="shared" si="249"/>
        <v>-36.570356677340023</v>
      </c>
      <c r="Z578" s="174">
        <f t="shared" si="250"/>
        <v>-283.90748686969465</v>
      </c>
      <c r="AA578" s="174">
        <f t="shared" si="251"/>
        <v>-349.31225142002694</v>
      </c>
      <c r="AB578" s="2987"/>
      <c r="AC578" s="2727"/>
    </row>
    <row r="579" spans="1:29" ht="18.75" x14ac:dyDescent="0.25">
      <c r="A579" s="2993"/>
      <c r="B579" s="2998"/>
      <c r="C579" s="1863">
        <v>2054</v>
      </c>
      <c r="D579" s="221">
        <f t="shared" si="254"/>
        <v>-889058.6721188972</v>
      </c>
      <c r="E579" s="221">
        <f t="shared" si="244"/>
        <v>-807.61818306983798</v>
      </c>
      <c r="F579" s="221">
        <f t="shared" si="245"/>
        <v>-20729.997816695963</v>
      </c>
      <c r="G579" s="221">
        <f t="shared" si="255"/>
        <v>-20.360122262264817</v>
      </c>
      <c r="H579" s="221">
        <f t="shared" si="256"/>
        <v>-16.966768551887348</v>
      </c>
      <c r="I579" s="221">
        <f t="shared" si="257"/>
        <v>-714.30095603445739</v>
      </c>
      <c r="J579" s="221">
        <f t="shared" si="258"/>
        <v>-5.090030565566205</v>
      </c>
      <c r="K579" s="221">
        <f t="shared" si="259"/>
        <v>-397.02238411416403</v>
      </c>
      <c r="L579" s="221">
        <f t="shared" si="260"/>
        <v>-10622.89379033667</v>
      </c>
      <c r="M579" s="764">
        <f t="shared" si="252"/>
        <v>-910.59628811866298</v>
      </c>
      <c r="N579" s="1863">
        <v>97</v>
      </c>
      <c r="O579" s="761">
        <f>'Emission-Waste Transport Vehicl'!N68</f>
        <v>16.301268720000003</v>
      </c>
      <c r="P579" s="761">
        <f>'Emission-Waste Transport Vehicl'!O68</f>
        <v>23.714951040000003</v>
      </c>
      <c r="Q579" s="761">
        <f>'Emission-Waste Transport Vehicl'!P68</f>
        <v>9.0697543200000013</v>
      </c>
      <c r="R579" s="761">
        <f>'Emission-Waste Transport Vehicl'!Q68</f>
        <v>7.0438262400000005</v>
      </c>
      <c r="S579" s="761">
        <f>'Emission-Waste Transport Vehicl'!R68</f>
        <v>0.70107048000000005</v>
      </c>
      <c r="T579" s="761">
        <f>'Emission-Waste Transport Vehicl'!S68</f>
        <v>3.2238201600000002E-2</v>
      </c>
      <c r="U579" s="174">
        <f t="shared" si="253"/>
        <v>-88327.839947510307</v>
      </c>
      <c r="V579" s="174">
        <f t="shared" si="246"/>
        <v>-331.89582416923315</v>
      </c>
      <c r="W579" s="174">
        <f t="shared" si="247"/>
        <v>-402.36608551502019</v>
      </c>
      <c r="X579" s="174">
        <f t="shared" si="248"/>
        <v>-6478.5341817736507</v>
      </c>
      <c r="Y579" s="174">
        <f t="shared" si="249"/>
        <v>-35.853290860137278</v>
      </c>
      <c r="Z579" s="174">
        <f t="shared" si="250"/>
        <v>-278.34067340166138</v>
      </c>
      <c r="AA579" s="174">
        <f t="shared" si="251"/>
        <v>-342.46299158826173</v>
      </c>
      <c r="AB579" s="2987"/>
      <c r="AC579" s="2727"/>
    </row>
    <row r="580" spans="1:29" ht="18.75" x14ac:dyDescent="0.25">
      <c r="A580" s="2993"/>
      <c r="B580" s="2998"/>
      <c r="C580" s="1863">
        <v>2055</v>
      </c>
      <c r="D580" s="221">
        <f t="shared" si="254"/>
        <v>-889058.6721188972</v>
      </c>
      <c r="E580" s="221">
        <f t="shared" si="244"/>
        <v>-807.61818306983798</v>
      </c>
      <c r="F580" s="221">
        <f t="shared" si="245"/>
        <v>-20729.997816695963</v>
      </c>
      <c r="G580" s="221">
        <f t="shared" si="255"/>
        <v>-20.360122262264817</v>
      </c>
      <c r="H580" s="221">
        <f t="shared" si="256"/>
        <v>-16.966768551887348</v>
      </c>
      <c r="I580" s="221">
        <f t="shared" si="257"/>
        <v>-714.30095603445739</v>
      </c>
      <c r="J580" s="221">
        <f t="shared" si="258"/>
        <v>-5.090030565566205</v>
      </c>
      <c r="K580" s="221">
        <f t="shared" si="259"/>
        <v>-397.02238411416403</v>
      </c>
      <c r="L580" s="221">
        <f t="shared" si="260"/>
        <v>-10622.89379033667</v>
      </c>
      <c r="M580" s="764">
        <f t="shared" si="252"/>
        <v>-910.59628811866298</v>
      </c>
      <c r="N580" s="1863">
        <v>97</v>
      </c>
      <c r="O580" s="761">
        <f>'Emission-Waste Transport Vehicl'!N69</f>
        <v>15.981763853088003</v>
      </c>
      <c r="P580" s="761">
        <f>'Emission-Waste Transport Vehicl'!O69</f>
        <v>23.250137999616001</v>
      </c>
      <c r="Q580" s="761">
        <f>'Emission-Waste Transport Vehicl'!P69</f>
        <v>8.8919871353280016</v>
      </c>
      <c r="R580" s="761">
        <f>'Emission-Waste Transport Vehicl'!Q69</f>
        <v>6.9057672456960004</v>
      </c>
      <c r="S580" s="761">
        <f>'Emission-Waste Transport Vehicl'!R69</f>
        <v>0.6873294985920001</v>
      </c>
      <c r="T580" s="761">
        <f>'Emission-Waste Transport Vehicl'!S69</f>
        <v>3.1606332848640006E-2</v>
      </c>
      <c r="U580" s="174">
        <f t="shared" si="253"/>
        <v>-88327.839947510307</v>
      </c>
      <c r="V580" s="174">
        <f t="shared" si="246"/>
        <v>-325.39066601551616</v>
      </c>
      <c r="W580" s="174">
        <f t="shared" si="247"/>
        <v>-394.4797102389258</v>
      </c>
      <c r="X580" s="174">
        <f t="shared" si="248"/>
        <v>-6351.5549118108875</v>
      </c>
      <c r="Y580" s="174">
        <f t="shared" si="249"/>
        <v>-35.150566359278585</v>
      </c>
      <c r="Z580" s="174">
        <f t="shared" si="250"/>
        <v>-272.88519620298882</v>
      </c>
      <c r="AA580" s="174">
        <f t="shared" si="251"/>
        <v>-335.75071695313181</v>
      </c>
      <c r="AB580" s="2987"/>
      <c r="AC580" s="2727"/>
    </row>
    <row r="581" spans="1:29" ht="18.75" x14ac:dyDescent="0.25">
      <c r="A581" s="2993"/>
      <c r="B581" s="2998"/>
      <c r="C581" s="1863">
        <v>2056</v>
      </c>
      <c r="D581" s="221">
        <f t="shared" si="254"/>
        <v>-889058.6721188972</v>
      </c>
      <c r="E581" s="221">
        <f t="shared" si="244"/>
        <v>-807.61818306983798</v>
      </c>
      <c r="F581" s="221">
        <f t="shared" si="245"/>
        <v>-20729.997816695963</v>
      </c>
      <c r="G581" s="221">
        <f t="shared" si="255"/>
        <v>-20.360122262264817</v>
      </c>
      <c r="H581" s="221">
        <f t="shared" si="256"/>
        <v>-16.966768551887348</v>
      </c>
      <c r="I581" s="221">
        <f t="shared" si="257"/>
        <v>-714.30095603445739</v>
      </c>
      <c r="J581" s="221">
        <f t="shared" si="258"/>
        <v>-5.090030565566205</v>
      </c>
      <c r="K581" s="221">
        <f t="shared" si="259"/>
        <v>-397.02238411416403</v>
      </c>
      <c r="L581" s="221">
        <f t="shared" si="260"/>
        <v>-10622.89379033667</v>
      </c>
      <c r="M581" s="764">
        <f t="shared" si="252"/>
        <v>-910.59628811866298</v>
      </c>
      <c r="N581" s="1863">
        <v>97</v>
      </c>
      <c r="O581" s="761">
        <f>'Emission-Waste Transport Vehicl'!N70</f>
        <v>15.668779493664003</v>
      </c>
      <c r="P581" s="761">
        <f>'Emission-Waste Transport Vehicl'!O70</f>
        <v>22.794810939648006</v>
      </c>
      <c r="Q581" s="761">
        <f>'Emission-Waste Transport Vehicl'!P70</f>
        <v>8.7178478523840006</v>
      </c>
      <c r="R581" s="761">
        <f>'Emission-Waste Transport Vehicl'!Q70</f>
        <v>6.7705257818880007</v>
      </c>
      <c r="S581" s="761">
        <f>'Emission-Waste Transport Vehicl'!R70</f>
        <v>0.67386894537600017</v>
      </c>
      <c r="T581" s="761">
        <f>'Emission-Waste Transport Vehicl'!S70</f>
        <v>3.0987359377920003E-2</v>
      </c>
      <c r="U581" s="174">
        <f t="shared" si="253"/>
        <v>-88327.839947510307</v>
      </c>
      <c r="V581" s="174">
        <f t="shared" si="246"/>
        <v>-319.01826619146692</v>
      </c>
      <c r="W581" s="174">
        <f t="shared" si="247"/>
        <v>-386.75428139703746</v>
      </c>
      <c r="X581" s="174">
        <f t="shared" si="248"/>
        <v>-6227.1670555208329</v>
      </c>
      <c r="Y581" s="174">
        <f t="shared" si="249"/>
        <v>-34.46218317476395</v>
      </c>
      <c r="Z581" s="174">
        <f t="shared" si="250"/>
        <v>-267.54105527367693</v>
      </c>
      <c r="AA581" s="174">
        <f t="shared" si="251"/>
        <v>-329.17542751463719</v>
      </c>
      <c r="AB581" s="2987"/>
      <c r="AC581" s="2727"/>
    </row>
    <row r="582" spans="1:29" ht="18.75" x14ac:dyDescent="0.25">
      <c r="A582" s="2993"/>
      <c r="B582" s="2998"/>
      <c r="C582" s="1863">
        <v>2057</v>
      </c>
      <c r="D582" s="221">
        <f t="shared" si="254"/>
        <v>-889058.6721188972</v>
      </c>
      <c r="E582" s="221">
        <f t="shared" si="244"/>
        <v>-807.61818306983798</v>
      </c>
      <c r="F582" s="221">
        <f t="shared" si="245"/>
        <v>-20729.997816695963</v>
      </c>
      <c r="G582" s="221">
        <f t="shared" si="255"/>
        <v>-20.360122262264817</v>
      </c>
      <c r="H582" s="221">
        <f t="shared" si="256"/>
        <v>-16.966768551887348</v>
      </c>
      <c r="I582" s="221">
        <f t="shared" si="257"/>
        <v>-714.30095603445739</v>
      </c>
      <c r="J582" s="221">
        <f t="shared" si="258"/>
        <v>-5.090030565566205</v>
      </c>
      <c r="K582" s="221">
        <f t="shared" si="259"/>
        <v>-397.02238411416403</v>
      </c>
      <c r="L582" s="221">
        <f t="shared" si="260"/>
        <v>-10622.89379033667</v>
      </c>
      <c r="M582" s="764">
        <f t="shared" si="252"/>
        <v>-910.59628811866298</v>
      </c>
      <c r="N582" s="1863">
        <v>97</v>
      </c>
      <c r="O582" s="761">
        <f>'Emission-Waste Transport Vehicl'!N71</f>
        <v>15.362315641728001</v>
      </c>
      <c r="P582" s="761">
        <f>'Emission-Waste Transport Vehicl'!O71</f>
        <v>22.348969860096002</v>
      </c>
      <c r="Q582" s="761">
        <f>'Emission-Waste Transport Vehicl'!P71</f>
        <v>8.547336471168002</v>
      </c>
      <c r="R582" s="761">
        <f>'Emission-Waste Transport Vehicl'!Q71</f>
        <v>6.6381018485760004</v>
      </c>
      <c r="S582" s="761">
        <f>'Emission-Waste Transport Vehicl'!R71</f>
        <v>0.66068882035200005</v>
      </c>
      <c r="T582" s="761">
        <f>'Emission-Waste Transport Vehicl'!S71</f>
        <v>3.038128118784E-2</v>
      </c>
      <c r="U582" s="174">
        <f t="shared" si="253"/>
        <v>-88327.839947510307</v>
      </c>
      <c r="V582" s="174">
        <f t="shared" si="246"/>
        <v>-312.77862469708526</v>
      </c>
      <c r="W582" s="174">
        <f t="shared" si="247"/>
        <v>-379.18979898935504</v>
      </c>
      <c r="X582" s="174">
        <f t="shared" si="248"/>
        <v>-6105.370612903489</v>
      </c>
      <c r="Y582" s="174">
        <f t="shared" si="249"/>
        <v>-33.788141306593367</v>
      </c>
      <c r="Z582" s="174">
        <f t="shared" si="250"/>
        <v>-262.30825061372565</v>
      </c>
      <c r="AA582" s="174">
        <f t="shared" si="251"/>
        <v>-322.73712327277781</v>
      </c>
      <c r="AB582" s="2987"/>
      <c r="AC582" s="2727"/>
    </row>
    <row r="583" spans="1:29" ht="18.75" x14ac:dyDescent="0.25">
      <c r="A583" s="2993"/>
      <c r="B583" s="2998"/>
      <c r="C583" s="1863">
        <v>2058</v>
      </c>
      <c r="D583" s="221">
        <f t="shared" si="254"/>
        <v>-889058.6721188972</v>
      </c>
      <c r="E583" s="221">
        <f t="shared" si="244"/>
        <v>-807.61818306983798</v>
      </c>
      <c r="F583" s="221">
        <f t="shared" si="245"/>
        <v>-20729.997816695963</v>
      </c>
      <c r="G583" s="221">
        <f t="shared" si="255"/>
        <v>-20.360122262264817</v>
      </c>
      <c r="H583" s="221">
        <f t="shared" si="256"/>
        <v>-16.966768551887348</v>
      </c>
      <c r="I583" s="221">
        <f t="shared" si="257"/>
        <v>-714.30095603445739</v>
      </c>
      <c r="J583" s="221">
        <f t="shared" si="258"/>
        <v>-5.090030565566205</v>
      </c>
      <c r="K583" s="221">
        <f t="shared" si="259"/>
        <v>-397.02238411416403</v>
      </c>
      <c r="L583" s="221">
        <f t="shared" si="260"/>
        <v>-10622.89379033667</v>
      </c>
      <c r="M583" s="764">
        <f t="shared" si="252"/>
        <v>-910.59628811866298</v>
      </c>
      <c r="N583" s="1863">
        <v>97</v>
      </c>
      <c r="O583" s="761">
        <f>'Emission-Waste Transport Vehicl'!N72</f>
        <v>15.059112043536</v>
      </c>
      <c r="P583" s="761">
        <f>'Emission-Waste Transport Vehicl'!O72</f>
        <v>21.907871770752003</v>
      </c>
      <c r="Q583" s="761">
        <f>'Emission-Waste Transport Vehicl'!P72</f>
        <v>8.378639040816001</v>
      </c>
      <c r="R583" s="761">
        <f>'Emission-Waste Transport Vehicl'!Q72</f>
        <v>6.5070866805119998</v>
      </c>
      <c r="S583" s="761">
        <f>'Emission-Waste Transport Vehicl'!R72</f>
        <v>0.647648909424</v>
      </c>
      <c r="T583" s="761">
        <f>'Emission-Waste Transport Vehicl'!S72</f>
        <v>2.9781650638080002E-2</v>
      </c>
      <c r="U583" s="174">
        <f t="shared" si="253"/>
        <v>-88327.839947510307</v>
      </c>
      <c r="V583" s="174">
        <f t="shared" si="246"/>
        <v>-306.60536236753757</v>
      </c>
      <c r="W583" s="174">
        <f t="shared" si="247"/>
        <v>-371.7057897987757</v>
      </c>
      <c r="X583" s="174">
        <f t="shared" si="248"/>
        <v>-5984.8698771224981</v>
      </c>
      <c r="Y583" s="174">
        <f t="shared" si="249"/>
        <v>-33.121270096594813</v>
      </c>
      <c r="Z583" s="174">
        <f t="shared" si="250"/>
        <v>-257.13111408845475</v>
      </c>
      <c r="AA583" s="174">
        <f t="shared" si="251"/>
        <v>-316.36731162923616</v>
      </c>
      <c r="AB583" s="2987"/>
      <c r="AC583" s="2727"/>
    </row>
    <row r="584" spans="1:29" ht="18.75" x14ac:dyDescent="0.25">
      <c r="A584" s="2993"/>
      <c r="B584" s="2998"/>
      <c r="C584" s="1863">
        <v>2059</v>
      </c>
      <c r="D584" s="221">
        <f t="shared" si="254"/>
        <v>-889058.6721188972</v>
      </c>
      <c r="E584" s="221">
        <f t="shared" si="244"/>
        <v>-807.61818306983798</v>
      </c>
      <c r="F584" s="221">
        <f t="shared" si="245"/>
        <v>-20729.997816695963</v>
      </c>
      <c r="G584" s="221">
        <f t="shared" si="255"/>
        <v>-20.360122262264817</v>
      </c>
      <c r="H584" s="221">
        <f t="shared" si="256"/>
        <v>-16.966768551887348</v>
      </c>
      <c r="I584" s="221">
        <f t="shared" si="257"/>
        <v>-714.30095603445739</v>
      </c>
      <c r="J584" s="221">
        <f t="shared" si="258"/>
        <v>-5.090030565566205</v>
      </c>
      <c r="K584" s="221">
        <f t="shared" si="259"/>
        <v>-397.02238411416403</v>
      </c>
      <c r="L584" s="221">
        <f t="shared" si="260"/>
        <v>-10622.89379033667</v>
      </c>
      <c r="M584" s="764">
        <f t="shared" si="252"/>
        <v>-910.59628811866298</v>
      </c>
      <c r="N584" s="1863">
        <v>97</v>
      </c>
      <c r="O584" s="761">
        <f>'Emission-Waste Transport Vehicl'!N73</f>
        <v>14.765689206576004</v>
      </c>
      <c r="P584" s="761">
        <f>'Emission-Waste Transport Vehicl'!O73</f>
        <v>21.481002652032004</v>
      </c>
      <c r="Q584" s="761">
        <f>'Emission-Waste Transport Vehicl'!P73</f>
        <v>8.2153834630560016</v>
      </c>
      <c r="R584" s="761">
        <f>'Emission-Waste Transport Vehicl'!Q73</f>
        <v>6.380297808192001</v>
      </c>
      <c r="S584" s="761">
        <f>'Emission-Waste Transport Vehicl'!R73</f>
        <v>0.63502964078400004</v>
      </c>
      <c r="T584" s="761">
        <f>'Emission-Waste Transport Vehicl'!S73</f>
        <v>2.9201363009280005E-2</v>
      </c>
      <c r="U584" s="174">
        <f t="shared" si="253"/>
        <v>-88327.839947510307</v>
      </c>
      <c r="V584" s="174">
        <f t="shared" si="246"/>
        <v>-300.63123753249141</v>
      </c>
      <c r="W584" s="174">
        <f t="shared" si="247"/>
        <v>-364.4632002595053</v>
      </c>
      <c r="X584" s="174">
        <f t="shared" si="248"/>
        <v>-5868.2562618505735</v>
      </c>
      <c r="Y584" s="174">
        <f t="shared" si="249"/>
        <v>-32.475910861112347</v>
      </c>
      <c r="Z584" s="174">
        <f t="shared" si="250"/>
        <v>-252.12098196722488</v>
      </c>
      <c r="AA584" s="174">
        <f t="shared" si="251"/>
        <v>-310.20297778064747</v>
      </c>
      <c r="AB584" s="2987"/>
      <c r="AC584" s="2727"/>
    </row>
    <row r="585" spans="1:29" ht="18.75" x14ac:dyDescent="0.25">
      <c r="A585" s="2993"/>
      <c r="B585" s="2998"/>
      <c r="C585" s="1863">
        <v>2060</v>
      </c>
      <c r="D585" s="221">
        <f t="shared" si="254"/>
        <v>-889058.6721188972</v>
      </c>
      <c r="E585" s="221">
        <f t="shared" si="244"/>
        <v>-807.61818306983798</v>
      </c>
      <c r="F585" s="221">
        <f t="shared" si="245"/>
        <v>-20729.997816695963</v>
      </c>
      <c r="G585" s="221">
        <f t="shared" si="255"/>
        <v>-20.360122262264817</v>
      </c>
      <c r="H585" s="221">
        <f t="shared" si="256"/>
        <v>-16.966768551887348</v>
      </c>
      <c r="I585" s="221">
        <f t="shared" si="257"/>
        <v>-714.30095603445739</v>
      </c>
      <c r="J585" s="221">
        <f t="shared" si="258"/>
        <v>-5.090030565566205</v>
      </c>
      <c r="K585" s="221">
        <f t="shared" si="259"/>
        <v>-397.02238411416403</v>
      </c>
      <c r="L585" s="221">
        <f t="shared" si="260"/>
        <v>-10622.89379033667</v>
      </c>
      <c r="M585" s="764">
        <f t="shared" si="252"/>
        <v>-910.59628811866298</v>
      </c>
      <c r="N585" s="1863">
        <v>97</v>
      </c>
      <c r="O585" s="761">
        <f>'Emission-Waste Transport Vehicl'!N74</f>
        <v>14.475526623360002</v>
      </c>
      <c r="P585" s="761">
        <f>'Emission-Waste Transport Vehicl'!O74</f>
        <v>21.058876523520002</v>
      </c>
      <c r="Q585" s="761">
        <f>'Emission-Waste Transport Vehicl'!P74</f>
        <v>8.0539418361599999</v>
      </c>
      <c r="R585" s="761">
        <f>'Emission-Waste Transport Vehicl'!Q74</f>
        <v>6.2549177011200001</v>
      </c>
      <c r="S585" s="761">
        <f>'Emission-Waste Transport Vehicl'!R74</f>
        <v>0.62255058624000004</v>
      </c>
      <c r="T585" s="761">
        <f>'Emission-Waste Transport Vehicl'!S74</f>
        <v>2.8627523020800003E-2</v>
      </c>
      <c r="U585" s="174">
        <f t="shared" si="253"/>
        <v>-88327.839947510307</v>
      </c>
      <c r="V585" s="174">
        <f t="shared" si="246"/>
        <v>-294.72349186227905</v>
      </c>
      <c r="W585" s="174">
        <f t="shared" si="247"/>
        <v>-357.30108393733792</v>
      </c>
      <c r="X585" s="174">
        <f t="shared" si="248"/>
        <v>-5752.9383534150011</v>
      </c>
      <c r="Y585" s="174">
        <f t="shared" si="249"/>
        <v>-31.837722283801902</v>
      </c>
      <c r="Z585" s="174">
        <f t="shared" si="250"/>
        <v>-247.16651798067528</v>
      </c>
      <c r="AA585" s="174">
        <f t="shared" si="251"/>
        <v>-304.10713653037641</v>
      </c>
      <c r="AB585" s="2987"/>
      <c r="AC585" s="2727"/>
    </row>
    <row r="586" spans="1:29" ht="18.75" x14ac:dyDescent="0.25">
      <c r="A586" s="2993"/>
      <c r="B586" s="2998"/>
      <c r="C586" s="1863">
        <v>2061</v>
      </c>
      <c r="D586" s="221">
        <f t="shared" si="254"/>
        <v>-889058.6721188972</v>
      </c>
      <c r="E586" s="221">
        <f t="shared" si="244"/>
        <v>-807.61818306983798</v>
      </c>
      <c r="F586" s="221">
        <f t="shared" si="245"/>
        <v>-20729.997816695963</v>
      </c>
      <c r="G586" s="221">
        <f t="shared" si="255"/>
        <v>-20.360122262264817</v>
      </c>
      <c r="H586" s="221">
        <f t="shared" si="256"/>
        <v>-16.966768551887348</v>
      </c>
      <c r="I586" s="221">
        <f t="shared" si="257"/>
        <v>-714.30095603445739</v>
      </c>
      <c r="J586" s="221">
        <f t="shared" si="258"/>
        <v>-5.090030565566205</v>
      </c>
      <c r="K586" s="221">
        <f t="shared" si="259"/>
        <v>-397.02238411416403</v>
      </c>
      <c r="L586" s="221">
        <f t="shared" si="260"/>
        <v>-10622.89379033667</v>
      </c>
      <c r="M586" s="764">
        <f t="shared" si="252"/>
        <v>-910.59628811866298</v>
      </c>
      <c r="N586" s="1863">
        <v>97</v>
      </c>
      <c r="O586" s="761">
        <f>'Emission-Waste Transport Vehicl'!N75</f>
        <v>14.191884547632004</v>
      </c>
      <c r="P586" s="761">
        <f>'Emission-Waste Transport Vehicl'!O75</f>
        <v>20.646236375424003</v>
      </c>
      <c r="Q586" s="761">
        <f>'Emission-Waste Transport Vehicl'!P75</f>
        <v>7.8961281109920014</v>
      </c>
      <c r="R586" s="761">
        <f>'Emission-Waste Transport Vehicl'!Q75</f>
        <v>6.1323551245440004</v>
      </c>
      <c r="S586" s="761">
        <f>'Emission-Waste Transport Vehicl'!R75</f>
        <v>0.61035195988800006</v>
      </c>
      <c r="T586" s="761">
        <f>'Emission-Waste Transport Vehicl'!S75</f>
        <v>2.8066578312960003E-2</v>
      </c>
      <c r="U586" s="174">
        <f t="shared" si="253"/>
        <v>-88327.839947510307</v>
      </c>
      <c r="V586" s="174">
        <f t="shared" si="246"/>
        <v>-288.94850452173438</v>
      </c>
      <c r="W586" s="174">
        <f t="shared" si="247"/>
        <v>-350.29991404937658</v>
      </c>
      <c r="X586" s="174">
        <f t="shared" si="248"/>
        <v>-5640.211858652141</v>
      </c>
      <c r="Y586" s="174">
        <f t="shared" si="249"/>
        <v>-31.213875022835513</v>
      </c>
      <c r="Z586" s="174">
        <f t="shared" si="250"/>
        <v>-242.3233902634864</v>
      </c>
      <c r="AA586" s="174">
        <f t="shared" si="251"/>
        <v>-298.14828047674064</v>
      </c>
      <c r="AB586" s="2987"/>
      <c r="AC586" s="2727"/>
    </row>
    <row r="587" spans="1:29" ht="18.75" x14ac:dyDescent="0.25">
      <c r="A587" s="2993"/>
      <c r="B587" s="2998"/>
      <c r="C587" s="1863">
        <v>2062</v>
      </c>
      <c r="D587" s="221">
        <f t="shared" si="254"/>
        <v>-889058.6721188972</v>
      </c>
      <c r="E587" s="221">
        <f t="shared" si="244"/>
        <v>-807.61818306983798</v>
      </c>
      <c r="F587" s="221">
        <f t="shared" si="245"/>
        <v>-20729.997816695963</v>
      </c>
      <c r="G587" s="221">
        <f t="shared" si="255"/>
        <v>-20.360122262264817</v>
      </c>
      <c r="H587" s="221">
        <f t="shared" si="256"/>
        <v>-16.966768551887348</v>
      </c>
      <c r="I587" s="221">
        <f t="shared" si="257"/>
        <v>-714.30095603445739</v>
      </c>
      <c r="J587" s="221">
        <f t="shared" si="258"/>
        <v>-5.090030565566205</v>
      </c>
      <c r="K587" s="221">
        <f t="shared" si="259"/>
        <v>-397.02238411416403</v>
      </c>
      <c r="L587" s="221">
        <f t="shared" si="260"/>
        <v>-10622.89379033667</v>
      </c>
      <c r="M587" s="764">
        <f t="shared" si="252"/>
        <v>-910.59628811866298</v>
      </c>
      <c r="N587" s="1863">
        <v>97</v>
      </c>
      <c r="O587" s="761">
        <f>'Emission-Waste Transport Vehicl'!N76</f>
        <v>13.914762979392002</v>
      </c>
      <c r="P587" s="761">
        <f>'Emission-Waste Transport Vehicl'!O76</f>
        <v>20.243082207744003</v>
      </c>
      <c r="Q587" s="761">
        <f>'Emission-Waste Transport Vehicl'!P76</f>
        <v>7.7419422875520008</v>
      </c>
      <c r="R587" s="761">
        <f>'Emission-Waste Transport Vehicl'!Q76</f>
        <v>6.0126100784640002</v>
      </c>
      <c r="S587" s="761">
        <f>'Emission-Waste Transport Vehicl'!R76</f>
        <v>0.59843376172800011</v>
      </c>
      <c r="T587" s="761">
        <f>'Emission-Waste Transport Vehicl'!S76</f>
        <v>2.7518528885760004E-2</v>
      </c>
      <c r="U587" s="174">
        <f t="shared" si="253"/>
        <v>-88327.839947510307</v>
      </c>
      <c r="V587" s="174">
        <f t="shared" si="246"/>
        <v>-283.3062755108574</v>
      </c>
      <c r="W587" s="174">
        <f t="shared" si="247"/>
        <v>-343.45969059562128</v>
      </c>
      <c r="X587" s="174">
        <f t="shared" si="248"/>
        <v>-5530.0767775619879</v>
      </c>
      <c r="Y587" s="174">
        <f t="shared" si="249"/>
        <v>-30.604369078213178</v>
      </c>
      <c r="Z587" s="174">
        <f t="shared" si="250"/>
        <v>-237.59159881565816</v>
      </c>
      <c r="AA587" s="174">
        <f t="shared" si="251"/>
        <v>-292.32640961974022</v>
      </c>
      <c r="AB587" s="2987"/>
      <c r="AC587" s="2727"/>
    </row>
    <row r="588" spans="1:29" ht="18.75" x14ac:dyDescent="0.25">
      <c r="A588" s="2993"/>
      <c r="B588" s="2998"/>
      <c r="C588" s="1863">
        <v>2063</v>
      </c>
      <c r="D588" s="221">
        <f t="shared" si="254"/>
        <v>-889058.6721188972</v>
      </c>
      <c r="E588" s="221">
        <f t="shared" si="244"/>
        <v>-807.61818306983798</v>
      </c>
      <c r="F588" s="221">
        <f t="shared" si="245"/>
        <v>-20729.997816695963</v>
      </c>
      <c r="G588" s="221">
        <f t="shared" si="255"/>
        <v>-20.360122262264817</v>
      </c>
      <c r="H588" s="221">
        <f t="shared" si="256"/>
        <v>-16.966768551887348</v>
      </c>
      <c r="I588" s="221">
        <f t="shared" si="257"/>
        <v>-714.30095603445739</v>
      </c>
      <c r="J588" s="221">
        <f t="shared" si="258"/>
        <v>-5.090030565566205</v>
      </c>
      <c r="K588" s="221">
        <f t="shared" si="259"/>
        <v>-397.02238411416403</v>
      </c>
      <c r="L588" s="221">
        <f t="shared" si="260"/>
        <v>-10622.89379033667</v>
      </c>
      <c r="M588" s="764">
        <f t="shared" si="252"/>
        <v>-910.59628811866298</v>
      </c>
      <c r="N588" s="1863">
        <v>97</v>
      </c>
      <c r="O588" s="761">
        <f>'Emission-Waste Transport Vehicl'!N77</f>
        <v>13.640901664896001</v>
      </c>
      <c r="P588" s="761">
        <f>'Emission-Waste Transport Vehicl'!O77</f>
        <v>19.844671030272</v>
      </c>
      <c r="Q588" s="761">
        <f>'Emission-Waste Transport Vehicl'!P77</f>
        <v>7.5895704149760004</v>
      </c>
      <c r="R588" s="761">
        <f>'Emission-Waste Transport Vehicl'!Q77</f>
        <v>5.8942737976319997</v>
      </c>
      <c r="S588" s="761">
        <f>'Emission-Waste Transport Vehicl'!R77</f>
        <v>0.58665577766400001</v>
      </c>
      <c r="T588" s="761">
        <f>'Emission-Waste Transport Vehicl'!S77</f>
        <v>2.6976927098879999E-2</v>
      </c>
      <c r="U588" s="174">
        <f t="shared" si="253"/>
        <v>-88327.839947510307</v>
      </c>
      <c r="V588" s="174">
        <f t="shared" si="246"/>
        <v>-277.73042566481428</v>
      </c>
      <c r="W588" s="174">
        <f t="shared" si="247"/>
        <v>-336.69994035896889</v>
      </c>
      <c r="X588" s="174">
        <f t="shared" si="248"/>
        <v>-5421.2374033081906</v>
      </c>
      <c r="Y588" s="174">
        <f t="shared" si="249"/>
        <v>-30.002033791762869</v>
      </c>
      <c r="Z588" s="174">
        <f t="shared" si="250"/>
        <v>-232.91547550251022</v>
      </c>
      <c r="AA588" s="174">
        <f t="shared" si="251"/>
        <v>-286.57303136105736</v>
      </c>
      <c r="AB588" s="2987"/>
      <c r="AC588" s="2727"/>
    </row>
    <row r="589" spans="1:29" ht="18.75" x14ac:dyDescent="0.25">
      <c r="A589" s="2993"/>
      <c r="B589" s="2998"/>
      <c r="C589" s="1863">
        <v>2064</v>
      </c>
      <c r="D589" s="221">
        <f t="shared" si="254"/>
        <v>-889058.6721188972</v>
      </c>
      <c r="E589" s="221">
        <f t="shared" si="244"/>
        <v>-807.61818306983798</v>
      </c>
      <c r="F589" s="221">
        <f t="shared" si="245"/>
        <v>-20729.997816695963</v>
      </c>
      <c r="G589" s="221">
        <f t="shared" si="255"/>
        <v>-20.360122262264817</v>
      </c>
      <c r="H589" s="221">
        <f t="shared" si="256"/>
        <v>-16.966768551887348</v>
      </c>
      <c r="I589" s="221">
        <f t="shared" si="257"/>
        <v>-714.30095603445739</v>
      </c>
      <c r="J589" s="221">
        <f t="shared" si="258"/>
        <v>-5.090030565566205</v>
      </c>
      <c r="K589" s="221">
        <f t="shared" si="259"/>
        <v>-397.02238411416403</v>
      </c>
      <c r="L589" s="221">
        <f t="shared" si="260"/>
        <v>-10622.89379033667</v>
      </c>
      <c r="M589" s="764">
        <f t="shared" si="252"/>
        <v>-910.59628811866298</v>
      </c>
      <c r="N589" s="1863">
        <v>97</v>
      </c>
      <c r="O589" s="761">
        <f>'Emission-Waste Transport Vehicl'!N78</f>
        <v>13.373560857888002</v>
      </c>
      <c r="P589" s="761">
        <f>'Emission-Waste Transport Vehicl'!O78</f>
        <v>19.455745833216003</v>
      </c>
      <c r="Q589" s="761">
        <f>'Emission-Waste Transport Vehicl'!P78</f>
        <v>7.4408264441280014</v>
      </c>
      <c r="R589" s="761">
        <f>'Emission-Waste Transport Vehicl'!Q78</f>
        <v>5.7787550472960003</v>
      </c>
      <c r="S589" s="761">
        <f>'Emission-Waste Transport Vehicl'!R78</f>
        <v>0.57515822179200005</v>
      </c>
      <c r="T589" s="761">
        <f>'Emission-Waste Transport Vehicl'!S78</f>
        <v>2.6448220592640001E-2</v>
      </c>
      <c r="U589" s="174">
        <f t="shared" si="253"/>
        <v>-88327.839947510307</v>
      </c>
      <c r="V589" s="174">
        <f t="shared" si="246"/>
        <v>-272.28733414843884</v>
      </c>
      <c r="W589" s="174">
        <f t="shared" si="247"/>
        <v>-330.10113655652259</v>
      </c>
      <c r="X589" s="174">
        <f t="shared" si="248"/>
        <v>-5314.9894427271038</v>
      </c>
      <c r="Y589" s="174">
        <f t="shared" si="249"/>
        <v>-29.414039821656623</v>
      </c>
      <c r="Z589" s="174">
        <f t="shared" si="250"/>
        <v>-228.350688458723</v>
      </c>
      <c r="AA589" s="174">
        <f t="shared" si="251"/>
        <v>-280.95663829900991</v>
      </c>
      <c r="AB589" s="2987"/>
      <c r="AC589" s="2727"/>
    </row>
    <row r="590" spans="1:29" ht="18.75" x14ac:dyDescent="0.25">
      <c r="A590" s="2993"/>
      <c r="B590" s="2998"/>
      <c r="C590" s="1863">
        <v>2065</v>
      </c>
      <c r="D590" s="221">
        <f t="shared" si="254"/>
        <v>-889058.6721188972</v>
      </c>
      <c r="E590" s="221">
        <f t="shared" si="244"/>
        <v>-807.61818306983798</v>
      </c>
      <c r="F590" s="221">
        <f t="shared" si="245"/>
        <v>-20729.997816695963</v>
      </c>
      <c r="G590" s="221">
        <f t="shared" si="255"/>
        <v>-20.360122262264817</v>
      </c>
      <c r="H590" s="221">
        <f t="shared" si="256"/>
        <v>-16.966768551887348</v>
      </c>
      <c r="I590" s="221">
        <f t="shared" si="257"/>
        <v>-714.30095603445739</v>
      </c>
      <c r="J590" s="221">
        <f t="shared" si="258"/>
        <v>-5.090030565566205</v>
      </c>
      <c r="K590" s="221">
        <f t="shared" si="259"/>
        <v>-397.02238411416403</v>
      </c>
      <c r="L590" s="221">
        <f t="shared" si="260"/>
        <v>-10622.89379033667</v>
      </c>
      <c r="M590" s="764">
        <f t="shared" si="252"/>
        <v>-910.59628811866298</v>
      </c>
      <c r="N590" s="1863">
        <v>97</v>
      </c>
      <c r="O590" s="761">
        <f>'Emission-Waste Transport Vehicl'!N79</f>
        <v>13.112740558368001</v>
      </c>
      <c r="P590" s="761">
        <f>'Emission-Waste Transport Vehicl'!O79</f>
        <v>19.076306616576002</v>
      </c>
      <c r="Q590" s="761">
        <f>'Emission-Waste Transport Vehicl'!P79</f>
        <v>7.2957103750080003</v>
      </c>
      <c r="R590" s="761">
        <f>'Emission-Waste Transport Vehicl'!Q79</f>
        <v>5.6660538274560004</v>
      </c>
      <c r="S590" s="761">
        <f>'Emission-Waste Transport Vehicl'!R79</f>
        <v>0.56394109411200011</v>
      </c>
      <c r="T590" s="761">
        <f>'Emission-Waste Transport Vehicl'!S79</f>
        <v>2.5932409367040003E-2</v>
      </c>
      <c r="U590" s="174">
        <f t="shared" si="253"/>
        <v>-88327.839947510307</v>
      </c>
      <c r="V590" s="174">
        <f t="shared" si="246"/>
        <v>-266.97700096173111</v>
      </c>
      <c r="W590" s="174">
        <f t="shared" si="247"/>
        <v>-323.66327918828227</v>
      </c>
      <c r="X590" s="174">
        <f t="shared" si="248"/>
        <v>-5211.332895818724</v>
      </c>
      <c r="Y590" s="174">
        <f t="shared" si="249"/>
        <v>-28.840387167894427</v>
      </c>
      <c r="Z590" s="174">
        <f t="shared" si="250"/>
        <v>-223.89723768429644</v>
      </c>
      <c r="AA590" s="174">
        <f t="shared" si="251"/>
        <v>-275.47723043359775</v>
      </c>
      <c r="AB590" s="2987"/>
      <c r="AC590" s="2727"/>
    </row>
    <row r="591" spans="1:29" ht="18.75" x14ac:dyDescent="0.25">
      <c r="A591" s="2993"/>
      <c r="B591" s="2998"/>
      <c r="C591" s="1863">
        <v>2066</v>
      </c>
      <c r="D591" s="221">
        <f t="shared" si="254"/>
        <v>-889058.6721188972</v>
      </c>
      <c r="E591" s="221">
        <f t="shared" si="244"/>
        <v>-807.61818306983798</v>
      </c>
      <c r="F591" s="221">
        <f t="shared" si="245"/>
        <v>-20729.997816695963</v>
      </c>
      <c r="G591" s="221">
        <f t="shared" si="255"/>
        <v>-20.360122262264817</v>
      </c>
      <c r="H591" s="221">
        <f t="shared" si="256"/>
        <v>-16.966768551887348</v>
      </c>
      <c r="I591" s="221">
        <f t="shared" si="257"/>
        <v>-714.30095603445739</v>
      </c>
      <c r="J591" s="221">
        <f t="shared" si="258"/>
        <v>-5.090030565566205</v>
      </c>
      <c r="K591" s="221">
        <f t="shared" si="259"/>
        <v>-397.02238411416403</v>
      </c>
      <c r="L591" s="221">
        <f t="shared" si="260"/>
        <v>-10622.89379033667</v>
      </c>
      <c r="M591" s="764">
        <f t="shared" si="252"/>
        <v>-910.59628811866298</v>
      </c>
      <c r="N591" s="1863">
        <v>97</v>
      </c>
      <c r="O591" s="761">
        <f>'Emission-Waste Transport Vehicl'!N80</f>
        <v>12.855180512592</v>
      </c>
      <c r="P591" s="761">
        <f>'Emission-Waste Transport Vehicl'!O80</f>
        <v>18.701610390143998</v>
      </c>
      <c r="Q591" s="761">
        <f>'Emission-Waste Transport Vehicl'!P80</f>
        <v>7.1524082567520004</v>
      </c>
      <c r="R591" s="761">
        <f>'Emission-Waste Transport Vehicl'!Q80</f>
        <v>5.5547613728639993</v>
      </c>
      <c r="S591" s="761">
        <f>'Emission-Waste Transport Vehicl'!R80</f>
        <v>0.55286418052800002</v>
      </c>
      <c r="T591" s="761">
        <f>'Emission-Waste Transport Vehicl'!S80</f>
        <v>2.5423045781760002E-2</v>
      </c>
      <c r="U591" s="174">
        <f t="shared" si="253"/>
        <v>-88327.839947510307</v>
      </c>
      <c r="V591" s="174">
        <f t="shared" si="246"/>
        <v>-261.73304693985722</v>
      </c>
      <c r="W591" s="174">
        <f t="shared" si="247"/>
        <v>-317.30589503714486</v>
      </c>
      <c r="X591" s="174">
        <f t="shared" si="248"/>
        <v>-5108.9720557467008</v>
      </c>
      <c r="Y591" s="174">
        <f t="shared" si="249"/>
        <v>-28.273905172304254</v>
      </c>
      <c r="Z591" s="174">
        <f t="shared" si="250"/>
        <v>-219.49945504455013</v>
      </c>
      <c r="AA591" s="174">
        <f t="shared" si="251"/>
        <v>-270.06631516650322</v>
      </c>
      <c r="AB591" s="2987"/>
      <c r="AC591" s="2727"/>
    </row>
    <row r="592" spans="1:29" ht="18.75" x14ac:dyDescent="0.25">
      <c r="A592" s="2993"/>
      <c r="B592" s="2998"/>
      <c r="C592" s="1863">
        <v>2067</v>
      </c>
      <c r="D592" s="221">
        <f t="shared" si="254"/>
        <v>-889058.6721188972</v>
      </c>
      <c r="E592" s="221">
        <f t="shared" si="244"/>
        <v>-807.61818306983798</v>
      </c>
      <c r="F592" s="221">
        <f t="shared" si="245"/>
        <v>-20729.997816695963</v>
      </c>
      <c r="G592" s="221">
        <f t="shared" si="255"/>
        <v>-20.360122262264817</v>
      </c>
      <c r="H592" s="221">
        <f t="shared" si="256"/>
        <v>-16.966768551887348</v>
      </c>
      <c r="I592" s="221">
        <f t="shared" si="257"/>
        <v>-714.30095603445739</v>
      </c>
      <c r="J592" s="221">
        <f t="shared" si="258"/>
        <v>-5.090030565566205</v>
      </c>
      <c r="K592" s="221">
        <f t="shared" si="259"/>
        <v>-397.02238411416403</v>
      </c>
      <c r="L592" s="221">
        <f t="shared" si="260"/>
        <v>-10622.89379033667</v>
      </c>
      <c r="M592" s="764">
        <f t="shared" si="252"/>
        <v>-910.59628811866298</v>
      </c>
      <c r="N592" s="1863">
        <v>97</v>
      </c>
      <c r="O592" s="761">
        <f>'Emission-Waste Transport Vehicl'!N81</f>
        <v>12.600880720560001</v>
      </c>
      <c r="P592" s="761">
        <f>'Emission-Waste Transport Vehicl'!O81</f>
        <v>18.331657153920002</v>
      </c>
      <c r="Q592" s="761">
        <f>'Emission-Waste Transport Vehicl'!P81</f>
        <v>7.0109200893600008</v>
      </c>
      <c r="R592" s="761">
        <f>'Emission-Waste Transport Vehicl'!Q81</f>
        <v>5.4448776835200006</v>
      </c>
      <c r="S592" s="761">
        <f>'Emission-Waste Transport Vehicl'!R81</f>
        <v>0.5419274810400001</v>
      </c>
      <c r="T592" s="761">
        <f>'Emission-Waste Transport Vehicl'!S81</f>
        <v>2.4920129836800003E-2</v>
      </c>
      <c r="U592" s="174">
        <f t="shared" si="253"/>
        <v>-88327.839947510307</v>
      </c>
      <c r="V592" s="174">
        <f t="shared" si="246"/>
        <v>-256.55547208281718</v>
      </c>
      <c r="W592" s="174">
        <f t="shared" si="247"/>
        <v>-311.02898410311064</v>
      </c>
      <c r="X592" s="174">
        <f t="shared" si="248"/>
        <v>-5007.9069225110316</v>
      </c>
      <c r="Y592" s="174">
        <f t="shared" si="249"/>
        <v>-27.714593834886116</v>
      </c>
      <c r="Z592" s="174">
        <f t="shared" si="250"/>
        <v>-215.15734053948427</v>
      </c>
      <c r="AA592" s="174">
        <f t="shared" si="251"/>
        <v>-264.7238924977263</v>
      </c>
      <c r="AB592" s="2987"/>
      <c r="AC592" s="2727"/>
    </row>
    <row r="593" spans="1:29" ht="18.75" x14ac:dyDescent="0.25">
      <c r="A593" s="2993"/>
      <c r="B593" s="2998"/>
      <c r="C593" s="1863">
        <v>2068</v>
      </c>
      <c r="D593" s="221">
        <f t="shared" si="254"/>
        <v>-889058.6721188972</v>
      </c>
      <c r="E593" s="221">
        <f t="shared" si="244"/>
        <v>-807.61818306983798</v>
      </c>
      <c r="F593" s="221">
        <f t="shared" si="245"/>
        <v>-20729.997816695963</v>
      </c>
      <c r="G593" s="221">
        <f t="shared" si="255"/>
        <v>-20.360122262264817</v>
      </c>
      <c r="H593" s="221">
        <f t="shared" si="256"/>
        <v>-16.966768551887348</v>
      </c>
      <c r="I593" s="221">
        <f t="shared" si="257"/>
        <v>-714.30095603445739</v>
      </c>
      <c r="J593" s="221">
        <f t="shared" si="258"/>
        <v>-5.090030565566205</v>
      </c>
      <c r="K593" s="221">
        <f t="shared" si="259"/>
        <v>-397.02238411416403</v>
      </c>
      <c r="L593" s="221">
        <f t="shared" si="260"/>
        <v>-10622.89379033667</v>
      </c>
      <c r="M593" s="764">
        <f t="shared" si="252"/>
        <v>-910.59628811866298</v>
      </c>
      <c r="N593" s="1863">
        <v>97</v>
      </c>
      <c r="O593" s="761">
        <f>'Emission-Waste Transport Vehicl'!N82</f>
        <v>12.356361689760002</v>
      </c>
      <c r="P593" s="761">
        <f>'Emission-Waste Transport Vehicl'!O82</f>
        <v>17.975932888320003</v>
      </c>
      <c r="Q593" s="761">
        <f>'Emission-Waste Transport Vehicl'!P82</f>
        <v>6.8748737745600002</v>
      </c>
      <c r="R593" s="761">
        <f>'Emission-Waste Transport Vehicl'!Q82</f>
        <v>5.339220289920001</v>
      </c>
      <c r="S593" s="761">
        <f>'Emission-Waste Transport Vehicl'!R82</f>
        <v>0.53141142384000006</v>
      </c>
      <c r="T593" s="761">
        <f>'Emission-Waste Transport Vehicl'!S82</f>
        <v>2.4436556812800003E-2</v>
      </c>
      <c r="U593" s="174">
        <f t="shared" si="253"/>
        <v>-88327.839947510307</v>
      </c>
      <c r="V593" s="174">
        <f t="shared" si="246"/>
        <v>-251.5770347202787</v>
      </c>
      <c r="W593" s="174">
        <f t="shared" si="247"/>
        <v>-304.99349282038531</v>
      </c>
      <c r="X593" s="174">
        <f t="shared" si="248"/>
        <v>-4910.7289097844268</v>
      </c>
      <c r="Y593" s="174">
        <f t="shared" si="249"/>
        <v>-27.17679447198406</v>
      </c>
      <c r="Z593" s="174">
        <f t="shared" si="250"/>
        <v>-210.98223043845934</v>
      </c>
      <c r="AA593" s="174">
        <f t="shared" si="251"/>
        <v>-259.5869476239024</v>
      </c>
      <c r="AB593" s="2987"/>
      <c r="AC593" s="2727"/>
    </row>
    <row r="594" spans="1:29" ht="19.5" thickBot="1" x14ac:dyDescent="0.3">
      <c r="A594" s="3001"/>
      <c r="B594" s="3003"/>
      <c r="C594" s="1866">
        <v>2069</v>
      </c>
      <c r="D594" s="648">
        <f t="shared" si="254"/>
        <v>-889058.6721188972</v>
      </c>
      <c r="E594" s="648">
        <f t="shared" si="244"/>
        <v>-807.61818306983798</v>
      </c>
      <c r="F594" s="648">
        <f t="shared" si="245"/>
        <v>-20729.997816695963</v>
      </c>
      <c r="G594" s="648">
        <f t="shared" si="255"/>
        <v>-20.360122262264817</v>
      </c>
      <c r="H594" s="648">
        <f t="shared" si="256"/>
        <v>-16.966768551887348</v>
      </c>
      <c r="I594" s="648">
        <f t="shared" si="257"/>
        <v>-714.30095603445739</v>
      </c>
      <c r="J594" s="648">
        <f t="shared" si="258"/>
        <v>-5.090030565566205</v>
      </c>
      <c r="K594" s="648">
        <f t="shared" si="259"/>
        <v>-397.02238411416403</v>
      </c>
      <c r="L594" s="648">
        <f t="shared" si="260"/>
        <v>-10622.89379033667</v>
      </c>
      <c r="M594" s="762">
        <f t="shared" si="252"/>
        <v>-910.59628811866298</v>
      </c>
      <c r="N594" s="1866">
        <v>97</v>
      </c>
      <c r="O594" s="763">
        <f>'Emission-Waste Transport Vehicl'!N83</f>
        <v>12.111842658960002</v>
      </c>
      <c r="P594" s="763">
        <f>'Emission-Waste Transport Vehicl'!O83</f>
        <v>17.62020862272</v>
      </c>
      <c r="Q594" s="763">
        <f>'Emission-Waste Transport Vehicl'!P83</f>
        <v>6.7388274597600004</v>
      </c>
      <c r="R594" s="763">
        <f>'Emission-Waste Transport Vehicl'!Q83</f>
        <v>5.2335628963200005</v>
      </c>
      <c r="S594" s="763">
        <f>'Emission-Waste Transport Vehicl'!R83</f>
        <v>0.52089536664000002</v>
      </c>
      <c r="T594" s="763">
        <f>'Emission-Waste Transport Vehicl'!S83</f>
        <v>2.3952983788800002E-2</v>
      </c>
      <c r="U594" s="758">
        <f t="shared" si="253"/>
        <v>-88327.839947510307</v>
      </c>
      <c r="V594" s="758">
        <f t="shared" si="246"/>
        <v>-246.59859735774023</v>
      </c>
      <c r="W594" s="758">
        <f t="shared" si="247"/>
        <v>-298.95800153765998</v>
      </c>
      <c r="X594" s="758">
        <f t="shared" si="248"/>
        <v>-4813.5508970578221</v>
      </c>
      <c r="Y594" s="758">
        <f t="shared" si="249"/>
        <v>-26.638995109082</v>
      </c>
      <c r="Z594" s="758">
        <f t="shared" si="250"/>
        <v>-206.80712033743438</v>
      </c>
      <c r="AA594" s="758">
        <f t="shared" si="251"/>
        <v>-254.45000275007845</v>
      </c>
      <c r="AB594" s="2988"/>
      <c r="AC594" s="2727"/>
    </row>
    <row r="595" spans="1:29" ht="18.75" x14ac:dyDescent="0.25">
      <c r="A595" s="2989" t="s">
        <v>251</v>
      </c>
      <c r="B595" s="2992" t="s">
        <v>1800</v>
      </c>
      <c r="C595" s="1862">
        <v>2019</v>
      </c>
      <c r="D595" s="216">
        <f t="shared" ref="D595:D626" si="261">$AC$26</f>
        <v>-553710.30019232736</v>
      </c>
      <c r="E595" s="216">
        <f>$AB$26*28</f>
        <v>-433.67520015063405</v>
      </c>
      <c r="F595" s="216">
        <f>$AD$26*298</f>
        <v>-3846.2860013359805</v>
      </c>
      <c r="G595" s="216">
        <f t="shared" ref="G595:G626" si="262">$Y$26</f>
        <v>-11.616300004034839</v>
      </c>
      <c r="H595" s="216">
        <f t="shared" ref="H595:H626" si="263">$Z$26</f>
        <v>-7.7442000026898929</v>
      </c>
      <c r="I595" s="216">
        <f t="shared" ref="I595:I626" si="264">$X$26</f>
        <v>-183.2794000636608</v>
      </c>
      <c r="J595" s="216">
        <f t="shared" ref="J595:J626" si="265">$AA$26</f>
        <v>-2.5814000008966316</v>
      </c>
      <c r="K595" s="216">
        <f t="shared" ref="K595:K626" si="266">$V$26</f>
        <v>-238.77950008293837</v>
      </c>
      <c r="L595" s="216">
        <f t="shared" ref="L595:L626" si="267">$W$26</f>
        <v>-3386.7968011763805</v>
      </c>
      <c r="M595" s="765">
        <f t="shared" si="252"/>
        <v>-557.99026139381408</v>
      </c>
      <c r="N595" s="1862">
        <v>62</v>
      </c>
      <c r="O595" s="766">
        <f>'Emission-Waste Transport Vehicl'!N33</f>
        <v>32.602537440000006</v>
      </c>
      <c r="P595" s="766">
        <f>'Emission-Waste Transport Vehicl'!O33</f>
        <v>47.429902080000005</v>
      </c>
      <c r="Q595" s="766">
        <f>'Emission-Waste Transport Vehicl'!P33</f>
        <v>18.139508640000003</v>
      </c>
      <c r="R595" s="766">
        <f>'Emission-Waste Transport Vehicl'!Q33</f>
        <v>14.087652480000001</v>
      </c>
      <c r="S595" s="766">
        <f>'Emission-Waste Transport Vehicl'!R33</f>
        <v>1.4021409600000001</v>
      </c>
      <c r="T595" s="766">
        <f>'Emission-Waste Transport Vehicl'!S33</f>
        <v>6.4476403200000004E-2</v>
      </c>
      <c r="U595" s="645">
        <f t="shared" si="253"/>
        <v>-34595.396206416473</v>
      </c>
      <c r="V595" s="645">
        <f t="shared" si="246"/>
        <v>-378.72085579581807</v>
      </c>
      <c r="W595" s="645">
        <f t="shared" si="247"/>
        <v>-367.30664781551741</v>
      </c>
      <c r="X595" s="645">
        <f t="shared" si="248"/>
        <v>-3324.5982609887919</v>
      </c>
      <c r="Y595" s="645">
        <f t="shared" si="249"/>
        <v>-36.365866124503434</v>
      </c>
      <c r="Z595" s="645">
        <f t="shared" si="250"/>
        <v>-334.80251747461131</v>
      </c>
      <c r="AA595" s="645">
        <f t="shared" si="251"/>
        <v>-218.36847610911855</v>
      </c>
      <c r="AB595" s="2995">
        <f>(SUM(U595:U645)*1.2682)+(SUM(V595:V645))+(SUM(W595:W645))+(SUM(X595:X645))+(SUM(Y595:Y645))+(SUM(Z595:Z645))+(SUM(AA595:AA645))</f>
        <v>-3261176.6266421778</v>
      </c>
      <c r="AC595" s="3015"/>
    </row>
    <row r="596" spans="1:29" ht="18.75" x14ac:dyDescent="0.25">
      <c r="A596" s="2990"/>
      <c r="B596" s="2993"/>
      <c r="C596" s="1863">
        <v>2020</v>
      </c>
      <c r="D596" s="218">
        <f t="shared" si="261"/>
        <v>-553710.30019232736</v>
      </c>
      <c r="E596" s="218">
        <f t="shared" ref="E596:E645" si="268">$AB$26*28</f>
        <v>-433.67520015063405</v>
      </c>
      <c r="F596" s="218">
        <f t="shared" ref="F596:F645" si="269">$AD$26*298</f>
        <v>-3846.2860013359805</v>
      </c>
      <c r="G596" s="218">
        <f t="shared" si="262"/>
        <v>-11.616300004034839</v>
      </c>
      <c r="H596" s="218">
        <f t="shared" si="263"/>
        <v>-7.7442000026898929</v>
      </c>
      <c r="I596" s="218">
        <f t="shared" si="264"/>
        <v>-183.2794000636608</v>
      </c>
      <c r="J596" s="218">
        <f t="shared" si="265"/>
        <v>-2.5814000008966316</v>
      </c>
      <c r="K596" s="218">
        <f t="shared" si="266"/>
        <v>-238.77950008293837</v>
      </c>
      <c r="L596" s="218">
        <f t="shared" si="267"/>
        <v>-3386.7968011763805</v>
      </c>
      <c r="M596" s="764">
        <f t="shared" si="252"/>
        <v>-557.99026139381408</v>
      </c>
      <c r="N596" s="1863">
        <v>64</v>
      </c>
      <c r="O596" s="761">
        <f>'Emission-Waste Transport Vehicl'!N34</f>
        <v>31.963527706176006</v>
      </c>
      <c r="P596" s="761">
        <f>'Emission-Waste Transport Vehicl'!O34</f>
        <v>46.500275999232002</v>
      </c>
      <c r="Q596" s="761">
        <f>'Emission-Waste Transport Vehicl'!P34</f>
        <v>17.783974270656003</v>
      </c>
      <c r="R596" s="761">
        <f>'Emission-Waste Transport Vehicl'!Q34</f>
        <v>13.811534491392001</v>
      </c>
      <c r="S596" s="761">
        <f>'Emission-Waste Transport Vehicl'!R34</f>
        <v>1.3746589971840002</v>
      </c>
      <c r="T596" s="761">
        <f>'Emission-Waste Transport Vehicl'!S34</f>
        <v>6.3212665697280013E-2</v>
      </c>
      <c r="U596" s="174">
        <f t="shared" si="253"/>
        <v>-35711.376729204101</v>
      </c>
      <c r="V596" s="174">
        <f t="shared" si="246"/>
        <v>-371.29792702221999</v>
      </c>
      <c r="W596" s="174">
        <f t="shared" si="247"/>
        <v>-360.10743751833326</v>
      </c>
      <c r="X596" s="174">
        <f t="shared" si="248"/>
        <v>-3259.4361350734121</v>
      </c>
      <c r="Y596" s="174">
        <f t="shared" si="249"/>
        <v>-35.653095148463166</v>
      </c>
      <c r="Z596" s="174">
        <f t="shared" si="250"/>
        <v>-328.24038813210893</v>
      </c>
      <c r="AA596" s="174">
        <f t="shared" si="251"/>
        <v>-214.08845397737986</v>
      </c>
      <c r="AB596" s="2987"/>
      <c r="AC596" s="3015"/>
    </row>
    <row r="597" spans="1:29" ht="18.75" x14ac:dyDescent="0.25">
      <c r="A597" s="2990"/>
      <c r="B597" s="2993"/>
      <c r="C597" s="1863">
        <v>2021</v>
      </c>
      <c r="D597" s="218">
        <f t="shared" si="261"/>
        <v>-553710.30019232736</v>
      </c>
      <c r="E597" s="218">
        <f t="shared" si="268"/>
        <v>-433.67520015063405</v>
      </c>
      <c r="F597" s="218">
        <f t="shared" si="269"/>
        <v>-3846.2860013359805</v>
      </c>
      <c r="G597" s="218">
        <f t="shared" si="262"/>
        <v>-11.616300004034839</v>
      </c>
      <c r="H597" s="218">
        <f t="shared" si="263"/>
        <v>-7.7442000026898929</v>
      </c>
      <c r="I597" s="218">
        <f t="shared" si="264"/>
        <v>-183.2794000636608</v>
      </c>
      <c r="J597" s="218">
        <f t="shared" si="265"/>
        <v>-2.5814000008966316</v>
      </c>
      <c r="K597" s="218">
        <f t="shared" si="266"/>
        <v>-238.77950008293837</v>
      </c>
      <c r="L597" s="218">
        <f t="shared" si="267"/>
        <v>-3386.7968011763805</v>
      </c>
      <c r="M597" s="764">
        <f t="shared" si="252"/>
        <v>-557.99026139381408</v>
      </c>
      <c r="N597" s="1863">
        <v>65</v>
      </c>
      <c r="O597" s="761">
        <f>'Emission-Waste Transport Vehicl'!N35</f>
        <v>31.337558987328006</v>
      </c>
      <c r="P597" s="761">
        <f>'Emission-Waste Transport Vehicl'!O35</f>
        <v>45.589621879296011</v>
      </c>
      <c r="Q597" s="761">
        <f>'Emission-Waste Transport Vehicl'!P35</f>
        <v>17.435695704768001</v>
      </c>
      <c r="R597" s="761">
        <f>'Emission-Waste Transport Vehicl'!Q35</f>
        <v>13.541051563776001</v>
      </c>
      <c r="S597" s="761">
        <f>'Emission-Waste Transport Vehicl'!R35</f>
        <v>1.3477378907520003</v>
      </c>
      <c r="T597" s="761">
        <f>'Emission-Waste Transport Vehicl'!S35</f>
        <v>6.1974718755840007E-2</v>
      </c>
      <c r="U597" s="174">
        <f t="shared" si="253"/>
        <v>-36269.366990597919</v>
      </c>
      <c r="V597" s="174">
        <f t="shared" si="246"/>
        <v>-364.02648659094029</v>
      </c>
      <c r="W597" s="174">
        <f t="shared" si="247"/>
        <v>-353.05514988027539</v>
      </c>
      <c r="X597" s="174">
        <f t="shared" si="248"/>
        <v>-3195.6038484624269</v>
      </c>
      <c r="Y597" s="174">
        <f t="shared" si="249"/>
        <v>-34.954870518872703</v>
      </c>
      <c r="Z597" s="174">
        <f t="shared" si="250"/>
        <v>-321.81217979659647</v>
      </c>
      <c r="AA597" s="174">
        <f t="shared" si="251"/>
        <v>-209.89577923608476</v>
      </c>
      <c r="AB597" s="2987"/>
      <c r="AC597" s="3015"/>
    </row>
    <row r="598" spans="1:29" ht="18.75" x14ac:dyDescent="0.25">
      <c r="A598" s="2990"/>
      <c r="B598" s="2993"/>
      <c r="C598" s="1863">
        <v>2022</v>
      </c>
      <c r="D598" s="218">
        <f t="shared" si="261"/>
        <v>-553710.30019232736</v>
      </c>
      <c r="E598" s="218">
        <f t="shared" si="268"/>
        <v>-433.67520015063405</v>
      </c>
      <c r="F598" s="218">
        <f t="shared" si="269"/>
        <v>-3846.2860013359805</v>
      </c>
      <c r="G598" s="218">
        <f t="shared" si="262"/>
        <v>-11.616300004034839</v>
      </c>
      <c r="H598" s="218">
        <f t="shared" si="263"/>
        <v>-7.7442000026898929</v>
      </c>
      <c r="I598" s="218">
        <f t="shared" si="264"/>
        <v>-183.2794000636608</v>
      </c>
      <c r="J598" s="218">
        <f t="shared" si="265"/>
        <v>-2.5814000008966316</v>
      </c>
      <c r="K598" s="218">
        <f t="shared" si="266"/>
        <v>-238.77950008293837</v>
      </c>
      <c r="L598" s="218">
        <f t="shared" si="267"/>
        <v>-3386.7968011763805</v>
      </c>
      <c r="M598" s="764">
        <f t="shared" si="252"/>
        <v>-557.99026139381408</v>
      </c>
      <c r="N598" s="1863">
        <v>66</v>
      </c>
      <c r="O598" s="761">
        <f>'Emission-Waste Transport Vehicl'!N36</f>
        <v>30.721371029712003</v>
      </c>
      <c r="P598" s="761">
        <f>'Emission-Waste Transport Vehicl'!O36</f>
        <v>44.693196729984003</v>
      </c>
      <c r="Q598" s="761">
        <f>'Emission-Waste Transport Vehicl'!P36</f>
        <v>17.092858991472003</v>
      </c>
      <c r="R598" s="761">
        <f>'Emission-Waste Transport Vehicl'!Q36</f>
        <v>13.274794931903999</v>
      </c>
      <c r="S598" s="761">
        <f>'Emission-Waste Transport Vehicl'!R36</f>
        <v>1.3212374266080003</v>
      </c>
      <c r="T598" s="761">
        <f>'Emission-Waste Transport Vehicl'!S36</f>
        <v>6.0756114735360002E-2</v>
      </c>
      <c r="U598" s="174">
        <f t="shared" si="253"/>
        <v>-36827.357251991729</v>
      </c>
      <c r="V598" s="174">
        <f t="shared" si="246"/>
        <v>-356.86866241639933</v>
      </c>
      <c r="W598" s="174">
        <f t="shared" si="247"/>
        <v>-346.11305423656205</v>
      </c>
      <c r="X598" s="174">
        <f t="shared" si="248"/>
        <v>-3132.7689413297389</v>
      </c>
      <c r="Y598" s="174">
        <f t="shared" si="249"/>
        <v>-34.267555649119586</v>
      </c>
      <c r="Z598" s="174">
        <f t="shared" si="250"/>
        <v>-315.48441221632629</v>
      </c>
      <c r="AA598" s="174">
        <f t="shared" si="251"/>
        <v>-205.76861503762242</v>
      </c>
      <c r="AB598" s="2987"/>
      <c r="AC598" s="3015"/>
    </row>
    <row r="599" spans="1:29" ht="18.75" x14ac:dyDescent="0.25">
      <c r="A599" s="2990"/>
      <c r="B599" s="2993"/>
      <c r="C599" s="1863">
        <v>2023</v>
      </c>
      <c r="D599" s="218">
        <f t="shared" si="261"/>
        <v>-553710.30019232736</v>
      </c>
      <c r="E599" s="218">
        <f t="shared" si="268"/>
        <v>-433.67520015063405</v>
      </c>
      <c r="F599" s="218">
        <f t="shared" si="269"/>
        <v>-3846.2860013359805</v>
      </c>
      <c r="G599" s="218">
        <f t="shared" si="262"/>
        <v>-11.616300004034839</v>
      </c>
      <c r="H599" s="218">
        <f t="shared" si="263"/>
        <v>-7.7442000026898929</v>
      </c>
      <c r="I599" s="218">
        <f t="shared" si="264"/>
        <v>-183.2794000636608</v>
      </c>
      <c r="J599" s="218">
        <f t="shared" si="265"/>
        <v>-2.5814000008966316</v>
      </c>
      <c r="K599" s="218">
        <f t="shared" si="266"/>
        <v>-238.77950008293837</v>
      </c>
      <c r="L599" s="218">
        <f t="shared" si="267"/>
        <v>-3386.7968011763805</v>
      </c>
      <c r="M599" s="764">
        <f t="shared" si="252"/>
        <v>-557.99026139381408</v>
      </c>
      <c r="N599" s="1863">
        <v>67</v>
      </c>
      <c r="O599" s="761">
        <f>'Emission-Waste Transport Vehicl'!N37</f>
        <v>30.118224087072001</v>
      </c>
      <c r="P599" s="761">
        <f>'Emission-Waste Transport Vehicl'!O37</f>
        <v>43.815743541504006</v>
      </c>
      <c r="Q599" s="761">
        <f>'Emission-Waste Transport Vehicl'!P37</f>
        <v>16.757278081632002</v>
      </c>
      <c r="R599" s="761">
        <f>'Emission-Waste Transport Vehicl'!Q37</f>
        <v>13.014173361024</v>
      </c>
      <c r="S599" s="761">
        <f>'Emission-Waste Transport Vehicl'!R37</f>
        <v>1.295297818848</v>
      </c>
      <c r="T599" s="761">
        <f>'Emission-Waste Transport Vehicl'!S37</f>
        <v>5.9563301276160004E-2</v>
      </c>
      <c r="U599" s="174">
        <f t="shared" si="253"/>
        <v>-37385.347513385546</v>
      </c>
      <c r="V599" s="174">
        <f t="shared" si="246"/>
        <v>-349.86232658417669</v>
      </c>
      <c r="W599" s="174">
        <f t="shared" si="247"/>
        <v>-339.317881251975</v>
      </c>
      <c r="X599" s="174">
        <f t="shared" si="248"/>
        <v>-3071.2638735014461</v>
      </c>
      <c r="Y599" s="174">
        <f t="shared" si="249"/>
        <v>-33.594787125816268</v>
      </c>
      <c r="Z599" s="174">
        <f t="shared" si="250"/>
        <v>-309.29056564304591</v>
      </c>
      <c r="AA599" s="174">
        <f t="shared" si="251"/>
        <v>-201.72879822960371</v>
      </c>
      <c r="AB599" s="2987"/>
      <c r="AC599" s="3015"/>
    </row>
    <row r="600" spans="1:29" ht="18.75" x14ac:dyDescent="0.25">
      <c r="A600" s="2990"/>
      <c r="B600" s="2993"/>
      <c r="C600" s="1863">
        <v>2024</v>
      </c>
      <c r="D600" s="218">
        <f t="shared" si="261"/>
        <v>-553710.30019232736</v>
      </c>
      <c r="E600" s="218">
        <f t="shared" si="268"/>
        <v>-433.67520015063405</v>
      </c>
      <c r="F600" s="218">
        <f t="shared" si="269"/>
        <v>-3846.2860013359805</v>
      </c>
      <c r="G600" s="218">
        <f t="shared" si="262"/>
        <v>-11.616300004034839</v>
      </c>
      <c r="H600" s="218">
        <f t="shared" si="263"/>
        <v>-7.7442000026898929</v>
      </c>
      <c r="I600" s="218">
        <f t="shared" si="264"/>
        <v>-183.2794000636608</v>
      </c>
      <c r="J600" s="218">
        <f t="shared" si="265"/>
        <v>-2.5814000008966316</v>
      </c>
      <c r="K600" s="218">
        <f t="shared" si="266"/>
        <v>-238.77950008293837</v>
      </c>
      <c r="L600" s="218">
        <f t="shared" si="267"/>
        <v>-3386.7968011763805</v>
      </c>
      <c r="M600" s="764">
        <f t="shared" si="252"/>
        <v>-557.99026139381408</v>
      </c>
      <c r="N600" s="1863">
        <v>68</v>
      </c>
      <c r="O600" s="761">
        <f>'Emission-Waste Transport Vehicl'!N38</f>
        <v>29.528118159408002</v>
      </c>
      <c r="P600" s="761">
        <f>'Emission-Waste Transport Vehicl'!O38</f>
        <v>42.957262313856006</v>
      </c>
      <c r="Q600" s="761">
        <f>'Emission-Waste Transport Vehicl'!P38</f>
        <v>16.428952975248002</v>
      </c>
      <c r="R600" s="761">
        <f>'Emission-Waste Transport Vehicl'!Q38</f>
        <v>12.759186851135999</v>
      </c>
      <c r="S600" s="761">
        <f>'Emission-Waste Transport Vehicl'!R38</f>
        <v>1.269919067472</v>
      </c>
      <c r="T600" s="761">
        <f>'Emission-Waste Transport Vehicl'!S38</f>
        <v>5.8396278378240005E-2</v>
      </c>
      <c r="U600" s="174">
        <f t="shared" si="253"/>
        <v>-37943.337774779357</v>
      </c>
      <c r="V600" s="174">
        <f t="shared" si="246"/>
        <v>-343.00747909427236</v>
      </c>
      <c r="W600" s="174">
        <f t="shared" si="247"/>
        <v>-332.66963092651412</v>
      </c>
      <c r="X600" s="174">
        <f t="shared" si="248"/>
        <v>-3011.0886449775489</v>
      </c>
      <c r="Y600" s="174">
        <f t="shared" si="249"/>
        <v>-32.936564948962754</v>
      </c>
      <c r="Z600" s="174">
        <f t="shared" si="250"/>
        <v>-303.23064007675544</v>
      </c>
      <c r="AA600" s="174">
        <f t="shared" si="251"/>
        <v>-197.77632881202868</v>
      </c>
      <c r="AB600" s="2987"/>
      <c r="AC600" s="3015"/>
    </row>
    <row r="601" spans="1:29" ht="18.75" x14ac:dyDescent="0.25">
      <c r="A601" s="2990"/>
      <c r="B601" s="2993"/>
      <c r="C601" s="1863">
        <v>2025</v>
      </c>
      <c r="D601" s="218">
        <f t="shared" si="261"/>
        <v>-553710.30019232736</v>
      </c>
      <c r="E601" s="218">
        <f t="shared" si="268"/>
        <v>-433.67520015063405</v>
      </c>
      <c r="F601" s="218">
        <f t="shared" si="269"/>
        <v>-3846.2860013359805</v>
      </c>
      <c r="G601" s="218">
        <f t="shared" si="262"/>
        <v>-11.616300004034839</v>
      </c>
      <c r="H601" s="218">
        <f t="shared" si="263"/>
        <v>-7.7442000026898929</v>
      </c>
      <c r="I601" s="218">
        <f t="shared" si="264"/>
        <v>-183.2794000636608</v>
      </c>
      <c r="J601" s="218">
        <f t="shared" si="265"/>
        <v>-2.5814000008966316</v>
      </c>
      <c r="K601" s="218">
        <f t="shared" si="266"/>
        <v>-238.77950008293837</v>
      </c>
      <c r="L601" s="218">
        <f t="shared" si="267"/>
        <v>-3386.7968011763805</v>
      </c>
      <c r="M601" s="764">
        <f t="shared" si="252"/>
        <v>-557.99026139381408</v>
      </c>
      <c r="N601" s="1863">
        <v>69</v>
      </c>
      <c r="O601" s="761">
        <f>'Emission-Waste Transport Vehicl'!N39</f>
        <v>28.951053246720004</v>
      </c>
      <c r="P601" s="761">
        <f>'Emission-Waste Transport Vehicl'!O39</f>
        <v>42.117753047040004</v>
      </c>
      <c r="Q601" s="761">
        <f>'Emission-Waste Transport Vehicl'!P39</f>
        <v>16.10788367232</v>
      </c>
      <c r="R601" s="761">
        <f>'Emission-Waste Transport Vehicl'!Q39</f>
        <v>12.50983540224</v>
      </c>
      <c r="S601" s="761">
        <f>'Emission-Waste Transport Vehicl'!R39</f>
        <v>1.2451011724800001</v>
      </c>
      <c r="T601" s="761">
        <f>'Emission-Waste Transport Vehicl'!S39</f>
        <v>5.7255046041600005E-2</v>
      </c>
      <c r="U601" s="174">
        <f t="shared" si="253"/>
        <v>-38501.328036173174</v>
      </c>
      <c r="V601" s="174">
        <f t="shared" si="246"/>
        <v>-336.3041199466864</v>
      </c>
      <c r="W601" s="174">
        <f t="shared" si="247"/>
        <v>-326.16830326017947</v>
      </c>
      <c r="X601" s="174">
        <f t="shared" si="248"/>
        <v>-2952.2432557580469</v>
      </c>
      <c r="Y601" s="174">
        <f t="shared" si="249"/>
        <v>-32.292889118559053</v>
      </c>
      <c r="Z601" s="174">
        <f t="shared" si="250"/>
        <v>-297.30463551745481</v>
      </c>
      <c r="AA601" s="174">
        <f t="shared" si="251"/>
        <v>-193.91120678489727</v>
      </c>
      <c r="AB601" s="2987"/>
      <c r="AC601" s="3015"/>
    </row>
    <row r="602" spans="1:29" ht="18.75" x14ac:dyDescent="0.25">
      <c r="A602" s="2990"/>
      <c r="B602" s="2993"/>
      <c r="C602" s="1863">
        <v>2026</v>
      </c>
      <c r="D602" s="218">
        <f t="shared" si="261"/>
        <v>-553710.30019232736</v>
      </c>
      <c r="E602" s="218">
        <f t="shared" si="268"/>
        <v>-433.67520015063405</v>
      </c>
      <c r="F602" s="218">
        <f t="shared" si="269"/>
        <v>-3846.2860013359805</v>
      </c>
      <c r="G602" s="218">
        <f t="shared" si="262"/>
        <v>-11.616300004034839</v>
      </c>
      <c r="H602" s="218">
        <f t="shared" si="263"/>
        <v>-7.7442000026898929</v>
      </c>
      <c r="I602" s="218">
        <f t="shared" si="264"/>
        <v>-183.2794000636608</v>
      </c>
      <c r="J602" s="218">
        <f t="shared" si="265"/>
        <v>-2.5814000008966316</v>
      </c>
      <c r="K602" s="218">
        <f t="shared" si="266"/>
        <v>-238.77950008293837</v>
      </c>
      <c r="L602" s="218">
        <f t="shared" si="267"/>
        <v>-3386.7968011763805</v>
      </c>
      <c r="M602" s="764">
        <f t="shared" si="252"/>
        <v>-557.99026139381408</v>
      </c>
      <c r="N602" s="1863">
        <v>70</v>
      </c>
      <c r="O602" s="761">
        <f>'Emission-Waste Transport Vehicl'!N40</f>
        <v>28.383769095264007</v>
      </c>
      <c r="P602" s="761">
        <f>'Emission-Waste Transport Vehicl'!O40</f>
        <v>41.292472750848006</v>
      </c>
      <c r="Q602" s="761">
        <f>'Emission-Waste Transport Vehicl'!P40</f>
        <v>15.792256221984003</v>
      </c>
      <c r="R602" s="761">
        <f>'Emission-Waste Transport Vehicl'!Q40</f>
        <v>12.264710249088001</v>
      </c>
      <c r="S602" s="761">
        <f>'Emission-Waste Transport Vehicl'!R40</f>
        <v>1.2207039197760001</v>
      </c>
      <c r="T602" s="761">
        <f>'Emission-Waste Transport Vehicl'!S40</f>
        <v>5.6133156625920007E-2</v>
      </c>
      <c r="U602" s="174">
        <f t="shared" si="253"/>
        <v>-39059.318297566984</v>
      </c>
      <c r="V602" s="174">
        <f t="shared" si="246"/>
        <v>-329.71437705583924</v>
      </c>
      <c r="W602" s="174">
        <f t="shared" si="247"/>
        <v>-319.77716758818946</v>
      </c>
      <c r="X602" s="174">
        <f t="shared" si="248"/>
        <v>-2894.3952460168425</v>
      </c>
      <c r="Y602" s="174">
        <f t="shared" si="249"/>
        <v>-31.660123047992691</v>
      </c>
      <c r="Z602" s="174">
        <f t="shared" si="250"/>
        <v>-291.47907171339659</v>
      </c>
      <c r="AA602" s="174">
        <f t="shared" si="251"/>
        <v>-190.11159530059862</v>
      </c>
      <c r="AB602" s="2987"/>
      <c r="AC602" s="3015"/>
    </row>
    <row r="603" spans="1:29" ht="18.75" x14ac:dyDescent="0.25">
      <c r="A603" s="2990"/>
      <c r="B603" s="2993"/>
      <c r="C603" s="1863">
        <v>2027</v>
      </c>
      <c r="D603" s="218">
        <f t="shared" si="261"/>
        <v>-553710.30019232736</v>
      </c>
      <c r="E603" s="218">
        <f t="shared" si="268"/>
        <v>-433.67520015063405</v>
      </c>
      <c r="F603" s="218">
        <f t="shared" si="269"/>
        <v>-3846.2860013359805</v>
      </c>
      <c r="G603" s="218">
        <f t="shared" si="262"/>
        <v>-11.616300004034839</v>
      </c>
      <c r="H603" s="218">
        <f t="shared" si="263"/>
        <v>-7.7442000026898929</v>
      </c>
      <c r="I603" s="218">
        <f t="shared" si="264"/>
        <v>-183.2794000636608</v>
      </c>
      <c r="J603" s="218">
        <f t="shared" si="265"/>
        <v>-2.5814000008966316</v>
      </c>
      <c r="K603" s="218">
        <f t="shared" si="266"/>
        <v>-238.77950008293837</v>
      </c>
      <c r="L603" s="218">
        <f t="shared" si="267"/>
        <v>-3386.7968011763805</v>
      </c>
      <c r="M603" s="764">
        <f t="shared" si="252"/>
        <v>-557.99026139381408</v>
      </c>
      <c r="N603" s="1863">
        <v>71</v>
      </c>
      <c r="O603" s="761">
        <f>'Emission-Waste Transport Vehicl'!N41</f>
        <v>27.826265705040004</v>
      </c>
      <c r="P603" s="761">
        <f>'Emission-Waste Transport Vehicl'!O41</f>
        <v>40.481421425280004</v>
      </c>
      <c r="Q603" s="761">
        <f>'Emission-Waste Transport Vehicl'!P41</f>
        <v>15.482070624240002</v>
      </c>
      <c r="R603" s="761">
        <f>'Emission-Waste Transport Vehicl'!Q41</f>
        <v>12.023811391680001</v>
      </c>
      <c r="S603" s="761">
        <f>'Emission-Waste Transport Vehicl'!R41</f>
        <v>1.1967273093600002</v>
      </c>
      <c r="T603" s="761">
        <f>'Emission-Waste Transport Vehicl'!S41</f>
        <v>5.503061013120001E-2</v>
      </c>
      <c r="U603" s="174">
        <f t="shared" si="253"/>
        <v>-39617.308558960802</v>
      </c>
      <c r="V603" s="174">
        <f t="shared" si="246"/>
        <v>-323.2382504217307</v>
      </c>
      <c r="W603" s="174">
        <f t="shared" si="247"/>
        <v>-313.49622391054407</v>
      </c>
      <c r="X603" s="174">
        <f t="shared" si="248"/>
        <v>-2837.5446157539341</v>
      </c>
      <c r="Y603" s="174">
        <f t="shared" si="249"/>
        <v>-31.038266737263683</v>
      </c>
      <c r="Z603" s="174">
        <f t="shared" si="250"/>
        <v>-285.75394866458078</v>
      </c>
      <c r="AA603" s="174">
        <f t="shared" si="251"/>
        <v>-186.37749435913273</v>
      </c>
      <c r="AB603" s="2987"/>
      <c r="AC603" s="3015"/>
    </row>
    <row r="604" spans="1:29" ht="18.75" x14ac:dyDescent="0.25">
      <c r="A604" s="2990"/>
      <c r="B604" s="2993"/>
      <c r="C604" s="1863">
        <v>2028</v>
      </c>
      <c r="D604" s="218">
        <f t="shared" si="261"/>
        <v>-553710.30019232736</v>
      </c>
      <c r="E604" s="218">
        <f t="shared" si="268"/>
        <v>-433.67520015063405</v>
      </c>
      <c r="F604" s="218">
        <f t="shared" si="269"/>
        <v>-3846.2860013359805</v>
      </c>
      <c r="G604" s="218">
        <f t="shared" si="262"/>
        <v>-11.616300004034839</v>
      </c>
      <c r="H604" s="218">
        <f t="shared" si="263"/>
        <v>-7.7442000026898929</v>
      </c>
      <c r="I604" s="218">
        <f t="shared" si="264"/>
        <v>-183.2794000636608</v>
      </c>
      <c r="J604" s="218">
        <f t="shared" si="265"/>
        <v>-2.5814000008966316</v>
      </c>
      <c r="K604" s="218">
        <f t="shared" si="266"/>
        <v>-238.77950008293837</v>
      </c>
      <c r="L604" s="218">
        <f t="shared" si="267"/>
        <v>-3386.7968011763805</v>
      </c>
      <c r="M604" s="764">
        <f t="shared" si="252"/>
        <v>-557.99026139381408</v>
      </c>
      <c r="N604" s="1863">
        <v>72</v>
      </c>
      <c r="O604" s="761">
        <f>'Emission-Waste Transport Vehicl'!N42</f>
        <v>27.281803329792002</v>
      </c>
      <c r="P604" s="761">
        <f>'Emission-Waste Transport Vehicl'!O42</f>
        <v>39.689342060544</v>
      </c>
      <c r="Q604" s="761">
        <f>'Emission-Waste Transport Vehicl'!P42</f>
        <v>15.179140829952001</v>
      </c>
      <c r="R604" s="761">
        <f>'Emission-Waste Transport Vehicl'!Q42</f>
        <v>11.788547595263999</v>
      </c>
      <c r="S604" s="761">
        <f>'Emission-Waste Transport Vehicl'!R42</f>
        <v>1.173311555328</v>
      </c>
      <c r="T604" s="761">
        <f>'Emission-Waste Transport Vehicl'!S42</f>
        <v>5.3953854197759998E-2</v>
      </c>
      <c r="U604" s="174">
        <f t="shared" si="253"/>
        <v>-40175.298820354612</v>
      </c>
      <c r="V604" s="174">
        <f t="shared" si="246"/>
        <v>-316.91361212994053</v>
      </c>
      <c r="W604" s="174">
        <f t="shared" si="247"/>
        <v>-307.36220289202492</v>
      </c>
      <c r="X604" s="174">
        <f t="shared" si="248"/>
        <v>-2782.0238247954212</v>
      </c>
      <c r="Y604" s="174">
        <f t="shared" si="249"/>
        <v>-30.430956772984473</v>
      </c>
      <c r="Z604" s="174">
        <f t="shared" si="250"/>
        <v>-280.16274662275475</v>
      </c>
      <c r="AA604" s="174">
        <f t="shared" si="251"/>
        <v>-182.7307408081104</v>
      </c>
      <c r="AB604" s="2987"/>
      <c r="AC604" s="3015"/>
    </row>
    <row r="605" spans="1:29" ht="18.75" x14ac:dyDescent="0.25">
      <c r="A605" s="2990"/>
      <c r="B605" s="2993"/>
      <c r="C605" s="1863">
        <v>2029</v>
      </c>
      <c r="D605" s="218">
        <f t="shared" si="261"/>
        <v>-553710.30019232736</v>
      </c>
      <c r="E605" s="218">
        <f t="shared" si="268"/>
        <v>-433.67520015063405</v>
      </c>
      <c r="F605" s="218">
        <f t="shared" si="269"/>
        <v>-3846.2860013359805</v>
      </c>
      <c r="G605" s="218">
        <f t="shared" si="262"/>
        <v>-11.616300004034839</v>
      </c>
      <c r="H605" s="218">
        <f t="shared" si="263"/>
        <v>-7.7442000026898929</v>
      </c>
      <c r="I605" s="218">
        <f t="shared" si="264"/>
        <v>-183.2794000636608</v>
      </c>
      <c r="J605" s="218">
        <f t="shared" si="265"/>
        <v>-2.5814000008966316</v>
      </c>
      <c r="K605" s="218">
        <f t="shared" si="266"/>
        <v>-238.77950008293837</v>
      </c>
      <c r="L605" s="218">
        <f t="shared" si="267"/>
        <v>-3386.7968011763805</v>
      </c>
      <c r="M605" s="764">
        <f t="shared" si="252"/>
        <v>-557.99026139381408</v>
      </c>
      <c r="N605" s="1863">
        <v>73</v>
      </c>
      <c r="O605" s="761">
        <f>'Emission-Waste Transport Vehicl'!N43</f>
        <v>26.743861462032005</v>
      </c>
      <c r="P605" s="761">
        <f>'Emission-Waste Transport Vehicl'!O43</f>
        <v>38.906748676224005</v>
      </c>
      <c r="Q605" s="761">
        <f>'Emission-Waste Transport Vehicl'!P43</f>
        <v>14.879838937392002</v>
      </c>
      <c r="R605" s="761">
        <f>'Emission-Waste Transport Vehicl'!Q43</f>
        <v>11.556101329344001</v>
      </c>
      <c r="S605" s="761">
        <f>'Emission-Waste Transport Vehicl'!R43</f>
        <v>1.1501762294880002</v>
      </c>
      <c r="T605" s="761">
        <f>'Emission-Waste Transport Vehicl'!S43</f>
        <v>5.2889993544960004E-2</v>
      </c>
      <c r="U605" s="174">
        <f t="shared" si="253"/>
        <v>-40733.289081748429</v>
      </c>
      <c r="V605" s="174">
        <f t="shared" si="246"/>
        <v>-310.66471800930952</v>
      </c>
      <c r="W605" s="174">
        <f t="shared" si="247"/>
        <v>-301.30164320306892</v>
      </c>
      <c r="X605" s="174">
        <f t="shared" si="248"/>
        <v>-2727.1679534891059</v>
      </c>
      <c r="Y605" s="174">
        <f t="shared" si="249"/>
        <v>-29.830919981930169</v>
      </c>
      <c r="Z605" s="174">
        <f t="shared" si="250"/>
        <v>-274.63850508442368</v>
      </c>
      <c r="AA605" s="174">
        <f t="shared" si="251"/>
        <v>-179.12766095230995</v>
      </c>
      <c r="AB605" s="2987"/>
      <c r="AC605" s="3015"/>
    </row>
    <row r="606" spans="1:29" ht="18.75" x14ac:dyDescent="0.25">
      <c r="A606" s="2990"/>
      <c r="B606" s="2993"/>
      <c r="C606" s="1863">
        <v>2030</v>
      </c>
      <c r="D606" s="218">
        <f t="shared" si="261"/>
        <v>-553710.30019232736</v>
      </c>
      <c r="E606" s="218">
        <f t="shared" si="268"/>
        <v>-433.67520015063405</v>
      </c>
      <c r="F606" s="218">
        <f t="shared" si="269"/>
        <v>-3846.2860013359805</v>
      </c>
      <c r="G606" s="218">
        <f t="shared" si="262"/>
        <v>-11.616300004034839</v>
      </c>
      <c r="H606" s="218">
        <f t="shared" si="263"/>
        <v>-7.7442000026898929</v>
      </c>
      <c r="I606" s="218">
        <f t="shared" si="264"/>
        <v>-183.2794000636608</v>
      </c>
      <c r="J606" s="218">
        <f t="shared" si="265"/>
        <v>-2.5814000008966316</v>
      </c>
      <c r="K606" s="218">
        <f t="shared" si="266"/>
        <v>-238.77950008293837</v>
      </c>
      <c r="L606" s="218">
        <f t="shared" si="267"/>
        <v>-3386.7968011763805</v>
      </c>
      <c r="M606" s="764">
        <f t="shared" si="252"/>
        <v>-557.99026139381408</v>
      </c>
      <c r="N606" s="1863">
        <v>75</v>
      </c>
      <c r="O606" s="761">
        <f>'Emission-Waste Transport Vehicl'!N44</f>
        <v>26.222220862992003</v>
      </c>
      <c r="P606" s="761">
        <f>'Emission-Waste Transport Vehicl'!O44</f>
        <v>38.147870242944002</v>
      </c>
      <c r="Q606" s="761">
        <f>'Emission-Waste Transport Vehicl'!P44</f>
        <v>14.589606799152003</v>
      </c>
      <c r="R606" s="761">
        <f>'Emission-Waste Transport Vehicl'!Q44</f>
        <v>11.330698889664001</v>
      </c>
      <c r="S606" s="761">
        <f>'Emission-Waste Transport Vehicl'!R44</f>
        <v>1.1277419741280001</v>
      </c>
      <c r="T606" s="761">
        <f>'Emission-Waste Transport Vehicl'!S44</f>
        <v>5.1858371093760007E-2</v>
      </c>
      <c r="U606" s="174">
        <f t="shared" si="253"/>
        <v>-41849.269604536057</v>
      </c>
      <c r="V606" s="174">
        <f t="shared" si="246"/>
        <v>-304.60518431657647</v>
      </c>
      <c r="W606" s="174">
        <f t="shared" si="247"/>
        <v>-295.42473683802064</v>
      </c>
      <c r="X606" s="174">
        <f t="shared" si="248"/>
        <v>-2673.9743813132859</v>
      </c>
      <c r="Y606" s="174">
        <f t="shared" si="249"/>
        <v>-29.249066123938114</v>
      </c>
      <c r="Z606" s="174">
        <f t="shared" si="250"/>
        <v>-269.28166480482992</v>
      </c>
      <c r="AA606" s="174">
        <f t="shared" si="251"/>
        <v>-175.63376533456406</v>
      </c>
      <c r="AB606" s="2987"/>
      <c r="AC606" s="3015"/>
    </row>
    <row r="607" spans="1:29" ht="18.75" x14ac:dyDescent="0.25">
      <c r="A607" s="2990"/>
      <c r="B607" s="2993"/>
      <c r="C607" s="1863">
        <v>2031</v>
      </c>
      <c r="D607" s="218">
        <f t="shared" si="261"/>
        <v>-553710.30019232736</v>
      </c>
      <c r="E607" s="218">
        <f t="shared" si="268"/>
        <v>-433.67520015063405</v>
      </c>
      <c r="F607" s="218">
        <f t="shared" si="269"/>
        <v>-3846.2860013359805</v>
      </c>
      <c r="G607" s="218">
        <f t="shared" si="262"/>
        <v>-11.616300004034839</v>
      </c>
      <c r="H607" s="218">
        <f t="shared" si="263"/>
        <v>-7.7442000026898929</v>
      </c>
      <c r="I607" s="218">
        <f t="shared" si="264"/>
        <v>-183.2794000636608</v>
      </c>
      <c r="J607" s="218">
        <f t="shared" si="265"/>
        <v>-2.5814000008966316</v>
      </c>
      <c r="K607" s="218">
        <f t="shared" si="266"/>
        <v>-238.77950008293837</v>
      </c>
      <c r="L607" s="218">
        <f t="shared" si="267"/>
        <v>-3386.7968011763805</v>
      </c>
      <c r="M607" s="764">
        <f t="shared" si="252"/>
        <v>-557.99026139381408</v>
      </c>
      <c r="N607" s="1863">
        <v>76</v>
      </c>
      <c r="O607" s="761">
        <f>'Emission-Waste Transport Vehicl'!N45</f>
        <v>25.70710077144</v>
      </c>
      <c r="P607" s="761">
        <f>'Emission-Waste Transport Vehicl'!O45</f>
        <v>37.398477790080001</v>
      </c>
      <c r="Q607" s="761">
        <f>'Emission-Waste Transport Vehicl'!P45</f>
        <v>14.303002562640001</v>
      </c>
      <c r="R607" s="761">
        <f>'Emission-Waste Transport Vehicl'!Q45</f>
        <v>11.108113980480001</v>
      </c>
      <c r="S607" s="761">
        <f>'Emission-Waste Transport Vehicl'!R45</f>
        <v>1.1055881469600002</v>
      </c>
      <c r="T607" s="761">
        <f>'Emission-Waste Transport Vehicl'!S45</f>
        <v>5.0839643923200006E-2</v>
      </c>
      <c r="U607" s="174">
        <f t="shared" si="253"/>
        <v>-42407.259865929867</v>
      </c>
      <c r="V607" s="174">
        <f t="shared" si="246"/>
        <v>-298.62139479500252</v>
      </c>
      <c r="W607" s="174">
        <f t="shared" si="247"/>
        <v>-289.62129180253544</v>
      </c>
      <c r="X607" s="174">
        <f t="shared" si="248"/>
        <v>-2621.4457287896626</v>
      </c>
      <c r="Y607" s="174">
        <f t="shared" si="249"/>
        <v>-28.674485439170958</v>
      </c>
      <c r="Z607" s="174">
        <f t="shared" si="250"/>
        <v>-263.99178502873104</v>
      </c>
      <c r="AA607" s="174">
        <f t="shared" si="251"/>
        <v>-172.18354341204</v>
      </c>
      <c r="AB607" s="2987"/>
      <c r="AC607" s="3015"/>
    </row>
    <row r="608" spans="1:29" ht="18.75" x14ac:dyDescent="0.25">
      <c r="A608" s="2990"/>
      <c r="B608" s="2993"/>
      <c r="C608" s="1863">
        <v>2032</v>
      </c>
      <c r="D608" s="218">
        <f t="shared" si="261"/>
        <v>-553710.30019232736</v>
      </c>
      <c r="E608" s="218">
        <f t="shared" si="268"/>
        <v>-433.67520015063405</v>
      </c>
      <c r="F608" s="218">
        <f t="shared" si="269"/>
        <v>-3846.2860013359805</v>
      </c>
      <c r="G608" s="218">
        <f t="shared" si="262"/>
        <v>-11.616300004034839</v>
      </c>
      <c r="H608" s="218">
        <f t="shared" si="263"/>
        <v>-7.7442000026898929</v>
      </c>
      <c r="I608" s="218">
        <f t="shared" si="264"/>
        <v>-183.2794000636608</v>
      </c>
      <c r="J608" s="218">
        <f t="shared" si="265"/>
        <v>-2.5814000008966316</v>
      </c>
      <c r="K608" s="218">
        <f t="shared" si="266"/>
        <v>-238.77950008293837</v>
      </c>
      <c r="L608" s="218">
        <f t="shared" si="267"/>
        <v>-3386.7968011763805</v>
      </c>
      <c r="M608" s="764">
        <f t="shared" si="252"/>
        <v>-557.99026139381408</v>
      </c>
      <c r="N608" s="1863">
        <v>77</v>
      </c>
      <c r="O608" s="761">
        <f>'Emission-Waste Transport Vehicl'!N46</f>
        <v>25.201761441120002</v>
      </c>
      <c r="P608" s="761">
        <f>'Emission-Waste Transport Vehicl'!O46</f>
        <v>36.663314307840004</v>
      </c>
      <c r="Q608" s="761">
        <f>'Emission-Waste Transport Vehicl'!P46</f>
        <v>14.021840178720002</v>
      </c>
      <c r="R608" s="761">
        <f>'Emission-Waste Transport Vehicl'!Q46</f>
        <v>10.889755367040001</v>
      </c>
      <c r="S608" s="761">
        <f>'Emission-Waste Transport Vehicl'!R46</f>
        <v>1.0838549620800002</v>
      </c>
      <c r="T608" s="761">
        <f>'Emission-Waste Transport Vehicl'!S46</f>
        <v>4.9840259673600007E-2</v>
      </c>
      <c r="U608" s="174">
        <f t="shared" si="253"/>
        <v>-42965.250127323685</v>
      </c>
      <c r="V608" s="174">
        <f t="shared" si="246"/>
        <v>-292.75122153016736</v>
      </c>
      <c r="W608" s="174">
        <f t="shared" si="247"/>
        <v>-283.92803876139493</v>
      </c>
      <c r="X608" s="174">
        <f t="shared" si="248"/>
        <v>-2569.9144557443365</v>
      </c>
      <c r="Y608" s="174">
        <f t="shared" si="249"/>
        <v>-28.110814514241156</v>
      </c>
      <c r="Z608" s="174">
        <f t="shared" si="250"/>
        <v>-258.80234600787458</v>
      </c>
      <c r="AA608" s="174">
        <f t="shared" si="251"/>
        <v>-168.79883203234866</v>
      </c>
      <c r="AB608" s="2987"/>
      <c r="AC608" s="3015"/>
    </row>
    <row r="609" spans="1:29" ht="18.75" x14ac:dyDescent="0.25">
      <c r="A609" s="2990"/>
      <c r="B609" s="2993"/>
      <c r="C609" s="1863">
        <v>2033</v>
      </c>
      <c r="D609" s="218">
        <f t="shared" si="261"/>
        <v>-553710.30019232736</v>
      </c>
      <c r="E609" s="218">
        <f t="shared" si="268"/>
        <v>-433.67520015063405</v>
      </c>
      <c r="F609" s="218">
        <f t="shared" si="269"/>
        <v>-3846.2860013359805</v>
      </c>
      <c r="G609" s="218">
        <f t="shared" si="262"/>
        <v>-11.616300004034839</v>
      </c>
      <c r="H609" s="218">
        <f t="shared" si="263"/>
        <v>-7.7442000026898929</v>
      </c>
      <c r="I609" s="218">
        <f t="shared" si="264"/>
        <v>-183.2794000636608</v>
      </c>
      <c r="J609" s="218">
        <f t="shared" si="265"/>
        <v>-2.5814000008966316</v>
      </c>
      <c r="K609" s="218">
        <f t="shared" si="266"/>
        <v>-238.77950008293837</v>
      </c>
      <c r="L609" s="218">
        <f t="shared" si="267"/>
        <v>-3386.7968011763805</v>
      </c>
      <c r="M609" s="764">
        <f t="shared" si="252"/>
        <v>-557.99026139381408</v>
      </c>
      <c r="N609" s="1863">
        <v>78</v>
      </c>
      <c r="O609" s="761">
        <f>'Emission-Waste Transport Vehicl'!N47</f>
        <v>24.709463125776001</v>
      </c>
      <c r="P609" s="761">
        <f>'Emission-Waste Transport Vehicl'!O47</f>
        <v>35.947122786432004</v>
      </c>
      <c r="Q609" s="761">
        <f>'Emission-Waste Transport Vehicl'!P47</f>
        <v>13.747933598256003</v>
      </c>
      <c r="R609" s="761">
        <f>'Emission-Waste Transport Vehicl'!Q47</f>
        <v>10.677031814592</v>
      </c>
      <c r="S609" s="761">
        <f>'Emission-Waste Transport Vehicl'!R47</f>
        <v>1.0626826335840001</v>
      </c>
      <c r="T609" s="761">
        <f>'Emission-Waste Transport Vehicl'!S47</f>
        <v>4.8866665985280007E-2</v>
      </c>
      <c r="U609" s="174">
        <f t="shared" si="253"/>
        <v>-43523.240388717495</v>
      </c>
      <c r="V609" s="174">
        <f t="shared" si="246"/>
        <v>-287.03253660765046</v>
      </c>
      <c r="W609" s="174">
        <f t="shared" si="247"/>
        <v>-278.38170837938065</v>
      </c>
      <c r="X609" s="174">
        <f t="shared" si="248"/>
        <v>-2519.7130220034055</v>
      </c>
      <c r="Y609" s="174">
        <f t="shared" si="249"/>
        <v>-27.561689935761155</v>
      </c>
      <c r="Z609" s="174">
        <f t="shared" si="250"/>
        <v>-253.7468279940079</v>
      </c>
      <c r="AA609" s="174">
        <f t="shared" si="251"/>
        <v>-165.50146804310097</v>
      </c>
      <c r="AB609" s="2987"/>
      <c r="AC609" s="3015"/>
    </row>
    <row r="610" spans="1:29" ht="18.75" x14ac:dyDescent="0.25">
      <c r="A610" s="2990"/>
      <c r="B610" s="2993"/>
      <c r="C610" s="1863">
        <v>2034</v>
      </c>
      <c r="D610" s="218">
        <f t="shared" si="261"/>
        <v>-553710.30019232736</v>
      </c>
      <c r="E610" s="218">
        <f t="shared" si="268"/>
        <v>-433.67520015063405</v>
      </c>
      <c r="F610" s="218">
        <f t="shared" si="269"/>
        <v>-3846.2860013359805</v>
      </c>
      <c r="G610" s="218">
        <f t="shared" si="262"/>
        <v>-11.616300004034839</v>
      </c>
      <c r="H610" s="218">
        <f t="shared" si="263"/>
        <v>-7.7442000026898929</v>
      </c>
      <c r="I610" s="218">
        <f t="shared" si="264"/>
        <v>-183.2794000636608</v>
      </c>
      <c r="J610" s="218">
        <f t="shared" si="265"/>
        <v>-2.5814000008966316</v>
      </c>
      <c r="K610" s="218">
        <f t="shared" si="266"/>
        <v>-238.77950008293837</v>
      </c>
      <c r="L610" s="218">
        <f t="shared" si="267"/>
        <v>-3386.7968011763805</v>
      </c>
      <c r="M610" s="764">
        <f t="shared" si="252"/>
        <v>-557.99026139381408</v>
      </c>
      <c r="N610" s="1863">
        <v>79</v>
      </c>
      <c r="O610" s="761">
        <f>'Emission-Waste Transport Vehicl'!N48</f>
        <v>24.223685317920005</v>
      </c>
      <c r="P610" s="761">
        <f>'Emission-Waste Transport Vehicl'!O48</f>
        <v>35.24041724544</v>
      </c>
      <c r="Q610" s="761">
        <f>'Emission-Waste Transport Vehicl'!P48</f>
        <v>13.477654919520001</v>
      </c>
      <c r="R610" s="761">
        <f>'Emission-Waste Transport Vehicl'!Q48</f>
        <v>10.467125792640001</v>
      </c>
      <c r="S610" s="761">
        <f>'Emission-Waste Transport Vehicl'!R48</f>
        <v>1.04179073328</v>
      </c>
      <c r="T610" s="761">
        <f>'Emission-Waste Transport Vehicl'!S48</f>
        <v>4.7905967577600003E-2</v>
      </c>
      <c r="U610" s="174">
        <f t="shared" si="253"/>
        <v>-44081.230650111313</v>
      </c>
      <c r="V610" s="174">
        <f t="shared" si="246"/>
        <v>-281.38959585629283</v>
      </c>
      <c r="W610" s="174">
        <f t="shared" si="247"/>
        <v>-272.90883932692941</v>
      </c>
      <c r="X610" s="174">
        <f t="shared" si="248"/>
        <v>-2470.1765079146726</v>
      </c>
      <c r="Y610" s="174">
        <f t="shared" si="249"/>
        <v>-27.019838530506053</v>
      </c>
      <c r="Z610" s="174">
        <f t="shared" si="250"/>
        <v>-248.75827048363621</v>
      </c>
      <c r="AA610" s="174">
        <f t="shared" si="251"/>
        <v>-162.24777774907508</v>
      </c>
      <c r="AB610" s="2987"/>
      <c r="AC610" s="3015"/>
    </row>
    <row r="611" spans="1:29" ht="18.75" x14ac:dyDescent="0.25">
      <c r="A611" s="2990"/>
      <c r="B611" s="2993"/>
      <c r="C611" s="1863">
        <v>2035</v>
      </c>
      <c r="D611" s="218">
        <f t="shared" si="261"/>
        <v>-553710.30019232736</v>
      </c>
      <c r="E611" s="218">
        <f t="shared" si="268"/>
        <v>-433.67520015063405</v>
      </c>
      <c r="F611" s="218">
        <f t="shared" si="269"/>
        <v>-3846.2860013359805</v>
      </c>
      <c r="G611" s="218">
        <f t="shared" si="262"/>
        <v>-11.616300004034839</v>
      </c>
      <c r="H611" s="218">
        <f t="shared" si="263"/>
        <v>-7.7442000026898929</v>
      </c>
      <c r="I611" s="218">
        <f t="shared" si="264"/>
        <v>-183.2794000636608</v>
      </c>
      <c r="J611" s="218">
        <f t="shared" si="265"/>
        <v>-2.5814000008966316</v>
      </c>
      <c r="K611" s="218">
        <f t="shared" si="266"/>
        <v>-238.77950008293837</v>
      </c>
      <c r="L611" s="218">
        <f t="shared" si="267"/>
        <v>-3386.7968011763805</v>
      </c>
      <c r="M611" s="764">
        <f t="shared" si="252"/>
        <v>-557.99026139381408</v>
      </c>
      <c r="N611" s="1863">
        <v>80</v>
      </c>
      <c r="O611" s="761">
        <f>'Emission-Waste Transport Vehicl'!N49</f>
        <v>23.747688271296006</v>
      </c>
      <c r="P611" s="761">
        <f>'Emission-Waste Transport Vehicl'!O49</f>
        <v>34.547940675072006</v>
      </c>
      <c r="Q611" s="761">
        <f>'Emission-Waste Transport Vehicl'!P49</f>
        <v>13.212818093376002</v>
      </c>
      <c r="R611" s="761">
        <f>'Emission-Waste Transport Vehicl'!Q49</f>
        <v>10.261446066432002</v>
      </c>
      <c r="S611" s="761">
        <f>'Emission-Waste Transport Vehicl'!R49</f>
        <v>1.0213194752640002</v>
      </c>
      <c r="T611" s="761">
        <f>'Emission-Waste Transport Vehicl'!S49</f>
        <v>4.6964612090880008E-2</v>
      </c>
      <c r="U611" s="174">
        <f t="shared" si="253"/>
        <v>-44639.220911505123</v>
      </c>
      <c r="V611" s="174">
        <f t="shared" si="246"/>
        <v>-275.86027136167388</v>
      </c>
      <c r="W611" s="174">
        <f t="shared" si="247"/>
        <v>-267.54616226882291</v>
      </c>
      <c r="X611" s="174">
        <f t="shared" si="248"/>
        <v>-2421.6373733042365</v>
      </c>
      <c r="Y611" s="174">
        <f t="shared" si="249"/>
        <v>-26.488896885088309</v>
      </c>
      <c r="Z611" s="174">
        <f t="shared" si="250"/>
        <v>-243.87015372850692</v>
      </c>
      <c r="AA611" s="174">
        <f t="shared" si="251"/>
        <v>-159.05959799788198</v>
      </c>
      <c r="AB611" s="2987"/>
      <c r="AC611" s="3015"/>
    </row>
    <row r="612" spans="1:29" ht="18.75" x14ac:dyDescent="0.25">
      <c r="A612" s="2990"/>
      <c r="B612" s="2993"/>
      <c r="C612" s="1863">
        <v>2036</v>
      </c>
      <c r="D612" s="218">
        <f t="shared" si="261"/>
        <v>-553710.30019232736</v>
      </c>
      <c r="E612" s="218">
        <f t="shared" si="268"/>
        <v>-433.67520015063405</v>
      </c>
      <c r="F612" s="218">
        <f t="shared" si="269"/>
        <v>-3846.2860013359805</v>
      </c>
      <c r="G612" s="218">
        <f t="shared" si="262"/>
        <v>-11.616300004034839</v>
      </c>
      <c r="H612" s="218">
        <f t="shared" si="263"/>
        <v>-7.7442000026898929</v>
      </c>
      <c r="I612" s="218">
        <f t="shared" si="264"/>
        <v>-183.2794000636608</v>
      </c>
      <c r="J612" s="218">
        <f t="shared" si="265"/>
        <v>-2.5814000008966316</v>
      </c>
      <c r="K612" s="218">
        <f t="shared" si="266"/>
        <v>-238.77950008293837</v>
      </c>
      <c r="L612" s="218">
        <f t="shared" si="267"/>
        <v>-3386.7968011763805</v>
      </c>
      <c r="M612" s="764">
        <f t="shared" si="252"/>
        <v>-557.99026139381408</v>
      </c>
      <c r="N612" s="1863">
        <v>81</v>
      </c>
      <c r="O612" s="761">
        <f>'Emission-Waste Transport Vehicl'!N50</f>
        <v>23.284732239648001</v>
      </c>
      <c r="P612" s="761">
        <f>'Emission-Waste Transport Vehicl'!O50</f>
        <v>33.874436065536003</v>
      </c>
      <c r="Q612" s="761">
        <f>'Emission-Waste Transport Vehicl'!P50</f>
        <v>12.955237070688</v>
      </c>
      <c r="R612" s="761">
        <f>'Emission-Waste Transport Vehicl'!Q50</f>
        <v>10.061401401215999</v>
      </c>
      <c r="S612" s="761">
        <f>'Emission-Waste Transport Vehicl'!R50</f>
        <v>1.001409073632</v>
      </c>
      <c r="T612" s="761">
        <f>'Emission-Waste Transport Vehicl'!S50</f>
        <v>4.6049047165439998E-2</v>
      </c>
      <c r="U612" s="174">
        <f t="shared" si="253"/>
        <v>-45197.21117289894</v>
      </c>
      <c r="V612" s="174">
        <f t="shared" si="246"/>
        <v>-270.48243520937319</v>
      </c>
      <c r="W612" s="174">
        <f t="shared" si="247"/>
        <v>-262.33040786984253</v>
      </c>
      <c r="X612" s="174">
        <f t="shared" si="248"/>
        <v>-2374.428077998195</v>
      </c>
      <c r="Y612" s="174">
        <f t="shared" si="249"/>
        <v>-25.972501586120352</v>
      </c>
      <c r="Z612" s="174">
        <f t="shared" si="250"/>
        <v>-239.1159579803674</v>
      </c>
      <c r="AA612" s="174">
        <f t="shared" si="251"/>
        <v>-155.95876563713244</v>
      </c>
      <c r="AB612" s="2987"/>
      <c r="AC612" s="3015"/>
    </row>
    <row r="613" spans="1:29" ht="18.75" x14ac:dyDescent="0.25">
      <c r="A613" s="2990"/>
      <c r="B613" s="2993"/>
      <c r="C613" s="1863">
        <v>2037</v>
      </c>
      <c r="D613" s="218">
        <f t="shared" si="261"/>
        <v>-553710.30019232736</v>
      </c>
      <c r="E613" s="218">
        <f t="shared" si="268"/>
        <v>-433.67520015063405</v>
      </c>
      <c r="F613" s="218">
        <f t="shared" si="269"/>
        <v>-3846.2860013359805</v>
      </c>
      <c r="G613" s="218">
        <f t="shared" si="262"/>
        <v>-11.616300004034839</v>
      </c>
      <c r="H613" s="218">
        <f t="shared" si="263"/>
        <v>-7.7442000026898929</v>
      </c>
      <c r="I613" s="218">
        <f t="shared" si="264"/>
        <v>-183.2794000636608</v>
      </c>
      <c r="J613" s="218">
        <f t="shared" si="265"/>
        <v>-2.5814000008966316</v>
      </c>
      <c r="K613" s="218">
        <f t="shared" si="266"/>
        <v>-238.77950008293837</v>
      </c>
      <c r="L613" s="218">
        <f t="shared" si="267"/>
        <v>-3386.7968011763805</v>
      </c>
      <c r="M613" s="764">
        <f t="shared" si="252"/>
        <v>-557.99026139381408</v>
      </c>
      <c r="N613" s="1863">
        <v>83</v>
      </c>
      <c r="O613" s="761">
        <f>'Emission-Waste Transport Vehicl'!N51</f>
        <v>22.828296715488005</v>
      </c>
      <c r="P613" s="761">
        <f>'Emission-Waste Transport Vehicl'!O51</f>
        <v>33.210417436416002</v>
      </c>
      <c r="Q613" s="761">
        <f>'Emission-Waste Transport Vehicl'!P51</f>
        <v>12.701283949728003</v>
      </c>
      <c r="R613" s="761">
        <f>'Emission-Waste Transport Vehicl'!Q51</f>
        <v>9.8641742664960006</v>
      </c>
      <c r="S613" s="761">
        <f>'Emission-Waste Transport Vehicl'!R51</f>
        <v>0.9817791001920001</v>
      </c>
      <c r="T613" s="761">
        <f>'Emission-Waste Transport Vehicl'!S51</f>
        <v>4.5146377520640005E-2</v>
      </c>
      <c r="U613" s="174">
        <f t="shared" si="253"/>
        <v>-46313.191695686568</v>
      </c>
      <c r="V613" s="174">
        <f t="shared" si="246"/>
        <v>-265.18034322823183</v>
      </c>
      <c r="W613" s="174">
        <f t="shared" si="247"/>
        <v>-257.18811480042524</v>
      </c>
      <c r="X613" s="174">
        <f t="shared" si="248"/>
        <v>-2327.8837023443525</v>
      </c>
      <c r="Y613" s="174">
        <f t="shared" si="249"/>
        <v>-25.463379460377308</v>
      </c>
      <c r="Z613" s="174">
        <f t="shared" si="250"/>
        <v>-234.42872273572286</v>
      </c>
      <c r="AA613" s="174">
        <f t="shared" si="251"/>
        <v>-152.90160697160482</v>
      </c>
      <c r="AB613" s="2987"/>
      <c r="AC613" s="3015"/>
    </row>
    <row r="614" spans="1:29" ht="18.75" x14ac:dyDescent="0.25">
      <c r="A614" s="2990"/>
      <c r="B614" s="2993"/>
      <c r="C614" s="1863">
        <v>2038</v>
      </c>
      <c r="D614" s="218">
        <f t="shared" si="261"/>
        <v>-553710.30019232736</v>
      </c>
      <c r="E614" s="218">
        <f t="shared" si="268"/>
        <v>-433.67520015063405</v>
      </c>
      <c r="F614" s="218">
        <f t="shared" si="269"/>
        <v>-3846.2860013359805</v>
      </c>
      <c r="G614" s="218">
        <f t="shared" si="262"/>
        <v>-11.616300004034839</v>
      </c>
      <c r="H614" s="218">
        <f t="shared" si="263"/>
        <v>-7.7442000026898929</v>
      </c>
      <c r="I614" s="218">
        <f t="shared" si="264"/>
        <v>-183.2794000636608</v>
      </c>
      <c r="J614" s="218">
        <f t="shared" si="265"/>
        <v>-2.5814000008966316</v>
      </c>
      <c r="K614" s="218">
        <f t="shared" si="266"/>
        <v>-238.77950008293837</v>
      </c>
      <c r="L614" s="218">
        <f t="shared" si="267"/>
        <v>-3386.7968011763805</v>
      </c>
      <c r="M614" s="764">
        <f t="shared" si="252"/>
        <v>-557.99026139381408</v>
      </c>
      <c r="N614" s="1863">
        <v>84</v>
      </c>
      <c r="O614" s="761">
        <f>'Emission-Waste Transport Vehicl'!N52</f>
        <v>22.378381698816003</v>
      </c>
      <c r="P614" s="761">
        <f>'Emission-Waste Transport Vehicl'!O52</f>
        <v>32.555884787712003</v>
      </c>
      <c r="Q614" s="761">
        <f>'Emission-Waste Transport Vehicl'!P52</f>
        <v>12.450958730496001</v>
      </c>
      <c r="R614" s="761">
        <f>'Emission-Waste Transport Vehicl'!Q52</f>
        <v>9.6697646622720015</v>
      </c>
      <c r="S614" s="761">
        <f>'Emission-Waste Transport Vehicl'!R52</f>
        <v>0.96242955494400007</v>
      </c>
      <c r="T614" s="761">
        <f>'Emission-Waste Transport Vehicl'!S52</f>
        <v>4.4256603156480001E-2</v>
      </c>
      <c r="U614" s="174">
        <f t="shared" si="253"/>
        <v>-46871.181957080385</v>
      </c>
      <c r="V614" s="174">
        <f t="shared" si="246"/>
        <v>-259.95399541824952</v>
      </c>
      <c r="W614" s="174">
        <f t="shared" si="247"/>
        <v>-252.11928306057115</v>
      </c>
      <c r="X614" s="174">
        <f t="shared" si="248"/>
        <v>-2282.0042463427067</v>
      </c>
      <c r="Y614" s="174">
        <f t="shared" si="249"/>
        <v>-24.961530507859162</v>
      </c>
      <c r="Z614" s="174">
        <f t="shared" si="250"/>
        <v>-229.80844799457321</v>
      </c>
      <c r="AA614" s="174">
        <f t="shared" si="251"/>
        <v>-149.88812200129897</v>
      </c>
      <c r="AB614" s="2987"/>
      <c r="AC614" s="3015"/>
    </row>
    <row r="615" spans="1:29" ht="18.75" x14ac:dyDescent="0.25">
      <c r="A615" s="2990"/>
      <c r="B615" s="2993"/>
      <c r="C615" s="1863">
        <v>2039</v>
      </c>
      <c r="D615" s="218">
        <f t="shared" si="261"/>
        <v>-553710.30019232736</v>
      </c>
      <c r="E615" s="218">
        <f t="shared" si="268"/>
        <v>-433.67520015063405</v>
      </c>
      <c r="F615" s="218">
        <f t="shared" si="269"/>
        <v>-3846.2860013359805</v>
      </c>
      <c r="G615" s="218">
        <f t="shared" si="262"/>
        <v>-11.616300004034839</v>
      </c>
      <c r="H615" s="218">
        <f t="shared" si="263"/>
        <v>-7.7442000026898929</v>
      </c>
      <c r="I615" s="218">
        <f t="shared" si="264"/>
        <v>-183.2794000636608</v>
      </c>
      <c r="J615" s="218">
        <f t="shared" si="265"/>
        <v>-2.5814000008966316</v>
      </c>
      <c r="K615" s="218">
        <f t="shared" si="266"/>
        <v>-238.77950008293837</v>
      </c>
      <c r="L615" s="218">
        <f t="shared" si="267"/>
        <v>-3386.7968011763805</v>
      </c>
      <c r="M615" s="764">
        <f t="shared" si="252"/>
        <v>-557.99026139381408</v>
      </c>
      <c r="N615" s="1863">
        <v>85</v>
      </c>
      <c r="O615" s="761">
        <f>'Emission-Waste Transport Vehicl'!N53</f>
        <v>21.941507697120006</v>
      </c>
      <c r="P615" s="761">
        <f>'Emission-Waste Transport Vehicl'!O53</f>
        <v>31.920324099840006</v>
      </c>
      <c r="Q615" s="761">
        <f>'Emission-Waste Transport Vehicl'!P53</f>
        <v>12.207889314720003</v>
      </c>
      <c r="R615" s="761">
        <f>'Emission-Waste Transport Vehicl'!Q53</f>
        <v>9.4809901190400012</v>
      </c>
      <c r="S615" s="761">
        <f>'Emission-Waste Transport Vehicl'!R53</f>
        <v>0.9436408660800002</v>
      </c>
      <c r="T615" s="761">
        <f>'Emission-Waste Transport Vehicl'!S53</f>
        <v>4.3392619353600011E-2</v>
      </c>
      <c r="U615" s="174">
        <f t="shared" si="253"/>
        <v>-47429.172218474196</v>
      </c>
      <c r="V615" s="174">
        <f t="shared" si="246"/>
        <v>-254.87913595058558</v>
      </c>
      <c r="W615" s="174">
        <f t="shared" si="247"/>
        <v>-247.19737397984323</v>
      </c>
      <c r="X615" s="174">
        <f t="shared" si="248"/>
        <v>-2237.4546296454573</v>
      </c>
      <c r="Y615" s="174">
        <f t="shared" si="249"/>
        <v>-24.474227901790815</v>
      </c>
      <c r="Z615" s="174">
        <f t="shared" si="250"/>
        <v>-225.32209426041345</v>
      </c>
      <c r="AA615" s="174">
        <f t="shared" si="251"/>
        <v>-146.96198442143682</v>
      </c>
      <c r="AB615" s="2987"/>
      <c r="AC615" s="3015"/>
    </row>
    <row r="616" spans="1:29" ht="18.75" x14ac:dyDescent="0.25">
      <c r="A616" s="2990"/>
      <c r="B616" s="2993"/>
      <c r="C616" s="1863">
        <v>2040</v>
      </c>
      <c r="D616" s="218">
        <f t="shared" si="261"/>
        <v>-553710.30019232736</v>
      </c>
      <c r="E616" s="218">
        <f t="shared" si="268"/>
        <v>-433.67520015063405</v>
      </c>
      <c r="F616" s="218">
        <f t="shared" si="269"/>
        <v>-3846.2860013359805</v>
      </c>
      <c r="G616" s="218">
        <f t="shared" si="262"/>
        <v>-11.616300004034839</v>
      </c>
      <c r="H616" s="218">
        <f t="shared" si="263"/>
        <v>-7.7442000026898929</v>
      </c>
      <c r="I616" s="218">
        <f t="shared" si="264"/>
        <v>-183.2794000636608</v>
      </c>
      <c r="J616" s="218">
        <f t="shared" si="265"/>
        <v>-2.5814000008966316</v>
      </c>
      <c r="K616" s="218">
        <f t="shared" si="266"/>
        <v>-238.77950008293837</v>
      </c>
      <c r="L616" s="218">
        <f t="shared" si="267"/>
        <v>-3386.7968011763805</v>
      </c>
      <c r="M616" s="764">
        <f t="shared" si="252"/>
        <v>-557.99026139381408</v>
      </c>
      <c r="N616" s="1863">
        <v>86</v>
      </c>
      <c r="O616" s="761">
        <f>'Emission-Waste Transport Vehicl'!N54</f>
        <v>21.511154202912003</v>
      </c>
      <c r="P616" s="761">
        <f>'Emission-Waste Transport Vehicl'!O54</f>
        <v>31.294249392384003</v>
      </c>
      <c r="Q616" s="761">
        <f>'Emission-Waste Transport Vehicl'!P54</f>
        <v>11.968447800672001</v>
      </c>
      <c r="R616" s="761">
        <f>'Emission-Waste Transport Vehicl'!Q54</f>
        <v>9.2950331063040004</v>
      </c>
      <c r="S616" s="761">
        <f>'Emission-Waste Transport Vehicl'!R54</f>
        <v>0.92513260540800013</v>
      </c>
      <c r="T616" s="761">
        <f>'Emission-Waste Transport Vehicl'!S54</f>
        <v>4.254153083136001E-2</v>
      </c>
      <c r="U616" s="174">
        <f t="shared" si="253"/>
        <v>-47987.162479868013</v>
      </c>
      <c r="V616" s="174">
        <f t="shared" si="246"/>
        <v>-249.88002065408074</v>
      </c>
      <c r="W616" s="174">
        <f t="shared" si="247"/>
        <v>-242.34892622867838</v>
      </c>
      <c r="X616" s="174">
        <f t="shared" si="248"/>
        <v>-2193.5699326004051</v>
      </c>
      <c r="Y616" s="174">
        <f t="shared" si="249"/>
        <v>-23.994198468947367</v>
      </c>
      <c r="Z616" s="174">
        <f t="shared" si="250"/>
        <v>-220.90270102974856</v>
      </c>
      <c r="AA616" s="174">
        <f t="shared" si="251"/>
        <v>-144.07952053679645</v>
      </c>
      <c r="AB616" s="2987"/>
      <c r="AC616" s="3015"/>
    </row>
    <row r="617" spans="1:29" ht="18.75" x14ac:dyDescent="0.25">
      <c r="A617" s="2990"/>
      <c r="B617" s="2993"/>
      <c r="C617" s="1863">
        <v>2041</v>
      </c>
      <c r="D617" s="218">
        <f t="shared" si="261"/>
        <v>-553710.30019232736</v>
      </c>
      <c r="E617" s="218">
        <f t="shared" si="268"/>
        <v>-433.67520015063405</v>
      </c>
      <c r="F617" s="218">
        <f t="shared" si="269"/>
        <v>-3846.2860013359805</v>
      </c>
      <c r="G617" s="218">
        <f t="shared" si="262"/>
        <v>-11.616300004034839</v>
      </c>
      <c r="H617" s="218">
        <f t="shared" si="263"/>
        <v>-7.7442000026898929</v>
      </c>
      <c r="I617" s="218">
        <f t="shared" si="264"/>
        <v>-183.2794000636608</v>
      </c>
      <c r="J617" s="218">
        <f t="shared" si="265"/>
        <v>-2.5814000008966316</v>
      </c>
      <c r="K617" s="218">
        <f t="shared" si="266"/>
        <v>-238.77950008293837</v>
      </c>
      <c r="L617" s="218">
        <f t="shared" si="267"/>
        <v>-3386.7968011763805</v>
      </c>
      <c r="M617" s="764">
        <f t="shared" si="252"/>
        <v>-557.99026139381408</v>
      </c>
      <c r="N617" s="1863">
        <v>87</v>
      </c>
      <c r="O617" s="761">
        <f>'Emission-Waste Transport Vehicl'!N55</f>
        <v>21.087321216192002</v>
      </c>
      <c r="P617" s="761">
        <f>'Emission-Waste Transport Vehicl'!O55</f>
        <v>30.677660665344007</v>
      </c>
      <c r="Q617" s="761">
        <f>'Emission-Waste Transport Vehicl'!P55</f>
        <v>11.732634188352002</v>
      </c>
      <c r="R617" s="761">
        <f>'Emission-Waste Transport Vehicl'!Q55</f>
        <v>9.1118936240640007</v>
      </c>
      <c r="S617" s="761">
        <f>'Emission-Waste Transport Vehicl'!R55</f>
        <v>0.9069047729280002</v>
      </c>
      <c r="T617" s="761">
        <f>'Emission-Waste Transport Vehicl'!S55</f>
        <v>4.1703337589760005E-2</v>
      </c>
      <c r="U617" s="174">
        <f t="shared" si="253"/>
        <v>-48545.152741261823</v>
      </c>
      <c r="V617" s="174">
        <f t="shared" si="246"/>
        <v>-244.95664952873511</v>
      </c>
      <c r="W617" s="174">
        <f t="shared" si="247"/>
        <v>-237.57393980707667</v>
      </c>
      <c r="X617" s="174">
        <f t="shared" si="248"/>
        <v>-2150.3501552075509</v>
      </c>
      <c r="Y617" s="174">
        <f t="shared" si="249"/>
        <v>-23.521442209328821</v>
      </c>
      <c r="Z617" s="174">
        <f t="shared" si="250"/>
        <v>-216.55026830257862</v>
      </c>
      <c r="AA617" s="174">
        <f t="shared" si="251"/>
        <v>-141.24073034737791</v>
      </c>
      <c r="AB617" s="2987"/>
      <c r="AC617" s="3015"/>
    </row>
    <row r="618" spans="1:29" ht="18.75" x14ac:dyDescent="0.25">
      <c r="A618" s="2990"/>
      <c r="B618" s="2993"/>
      <c r="C618" s="1863">
        <v>2042</v>
      </c>
      <c r="D618" s="218">
        <f t="shared" si="261"/>
        <v>-553710.30019232736</v>
      </c>
      <c r="E618" s="218">
        <f t="shared" si="268"/>
        <v>-433.67520015063405</v>
      </c>
      <c r="F618" s="218">
        <f t="shared" si="269"/>
        <v>-3846.2860013359805</v>
      </c>
      <c r="G618" s="218">
        <f t="shared" si="262"/>
        <v>-11.616300004034839</v>
      </c>
      <c r="H618" s="218">
        <f t="shared" si="263"/>
        <v>-7.7442000026898929</v>
      </c>
      <c r="I618" s="218">
        <f t="shared" si="264"/>
        <v>-183.2794000636608</v>
      </c>
      <c r="J618" s="218">
        <f t="shared" si="265"/>
        <v>-2.5814000008966316</v>
      </c>
      <c r="K618" s="218">
        <f t="shared" si="266"/>
        <v>-238.77950008293837</v>
      </c>
      <c r="L618" s="218">
        <f t="shared" si="267"/>
        <v>-3386.7968011763805</v>
      </c>
      <c r="M618" s="764">
        <f t="shared" si="252"/>
        <v>-557.99026139381408</v>
      </c>
      <c r="N618" s="1863">
        <v>88</v>
      </c>
      <c r="O618" s="761">
        <f>'Emission-Waste Transport Vehicl'!N56</f>
        <v>20.676529244448002</v>
      </c>
      <c r="P618" s="761">
        <f>'Emission-Waste Transport Vehicl'!O56</f>
        <v>30.080043899136001</v>
      </c>
      <c r="Q618" s="761">
        <f>'Emission-Waste Transport Vehicl'!P56</f>
        <v>11.504076379488001</v>
      </c>
      <c r="R618" s="761">
        <f>'Emission-Waste Transport Vehicl'!Q56</f>
        <v>8.9343892028159999</v>
      </c>
      <c r="S618" s="761">
        <f>'Emission-Waste Transport Vehicl'!R56</f>
        <v>0.8892377968320001</v>
      </c>
      <c r="T618" s="761">
        <f>'Emission-Waste Transport Vehicl'!S56</f>
        <v>4.0890934909439999E-2</v>
      </c>
      <c r="U618" s="174">
        <f t="shared" si="253"/>
        <v>-49103.143002655641</v>
      </c>
      <c r="V618" s="174">
        <f t="shared" si="246"/>
        <v>-240.18476674570778</v>
      </c>
      <c r="W618" s="174">
        <f t="shared" si="247"/>
        <v>-232.94587604460111</v>
      </c>
      <c r="X618" s="174">
        <f t="shared" si="248"/>
        <v>-2108.4602171190918</v>
      </c>
      <c r="Y618" s="174">
        <f t="shared" si="249"/>
        <v>-23.063232296160077</v>
      </c>
      <c r="Z618" s="174">
        <f t="shared" si="250"/>
        <v>-212.3317565823985</v>
      </c>
      <c r="AA618" s="174">
        <f t="shared" si="251"/>
        <v>-138.48928754840298</v>
      </c>
      <c r="AB618" s="2987"/>
      <c r="AC618" s="3015"/>
    </row>
    <row r="619" spans="1:29" ht="18.75" x14ac:dyDescent="0.25">
      <c r="A619" s="2990"/>
      <c r="B619" s="2993"/>
      <c r="C619" s="1863">
        <v>2043</v>
      </c>
      <c r="D619" s="218">
        <f t="shared" si="261"/>
        <v>-553710.30019232736</v>
      </c>
      <c r="E619" s="218">
        <f t="shared" si="268"/>
        <v>-433.67520015063405</v>
      </c>
      <c r="F619" s="218">
        <f t="shared" si="269"/>
        <v>-3846.2860013359805</v>
      </c>
      <c r="G619" s="218">
        <f t="shared" si="262"/>
        <v>-11.616300004034839</v>
      </c>
      <c r="H619" s="218">
        <f t="shared" si="263"/>
        <v>-7.7442000026898929</v>
      </c>
      <c r="I619" s="218">
        <f t="shared" si="264"/>
        <v>-183.2794000636608</v>
      </c>
      <c r="J619" s="218">
        <f t="shared" si="265"/>
        <v>-2.5814000008966316</v>
      </c>
      <c r="K619" s="218">
        <f t="shared" si="266"/>
        <v>-238.77950008293837</v>
      </c>
      <c r="L619" s="218">
        <f t="shared" si="267"/>
        <v>-3386.7968011763805</v>
      </c>
      <c r="M619" s="764">
        <f t="shared" si="252"/>
        <v>-557.99026139381408</v>
      </c>
      <c r="N619" s="1863">
        <v>89</v>
      </c>
      <c r="O619" s="761">
        <f>'Emission-Waste Transport Vehicl'!N57</f>
        <v>20.268997526448004</v>
      </c>
      <c r="P619" s="761">
        <f>'Emission-Waste Transport Vehicl'!O57</f>
        <v>29.487170123136003</v>
      </c>
      <c r="Q619" s="761">
        <f>'Emission-Waste Transport Vehicl'!P57</f>
        <v>11.277332521488001</v>
      </c>
      <c r="R619" s="761">
        <f>'Emission-Waste Transport Vehicl'!Q57</f>
        <v>8.7582935468160006</v>
      </c>
      <c r="S619" s="761">
        <f>'Emission-Waste Transport Vehicl'!R57</f>
        <v>0.87171103483200019</v>
      </c>
      <c r="T619" s="761">
        <f>'Emission-Waste Transport Vehicl'!S57</f>
        <v>4.0084979869440006E-2</v>
      </c>
      <c r="U619" s="174">
        <f t="shared" si="253"/>
        <v>-49661.133264049451</v>
      </c>
      <c r="V619" s="174">
        <f t="shared" si="246"/>
        <v>-235.4507560482601</v>
      </c>
      <c r="W619" s="174">
        <f t="shared" si="247"/>
        <v>-228.35454294690717</v>
      </c>
      <c r="X619" s="174">
        <f t="shared" si="248"/>
        <v>-2066.902738856732</v>
      </c>
      <c r="Y619" s="174">
        <f t="shared" si="249"/>
        <v>-22.608658969603788</v>
      </c>
      <c r="Z619" s="174">
        <f t="shared" si="250"/>
        <v>-208.14672511396589</v>
      </c>
      <c r="AA619" s="174">
        <f t="shared" si="251"/>
        <v>-135.75968159703902</v>
      </c>
      <c r="AB619" s="2987"/>
      <c r="AC619" s="3015"/>
    </row>
    <row r="620" spans="1:29" ht="18.75" x14ac:dyDescent="0.25">
      <c r="A620" s="2990"/>
      <c r="B620" s="2993"/>
      <c r="C620" s="1863">
        <v>2044</v>
      </c>
      <c r="D620" s="218">
        <f t="shared" si="261"/>
        <v>-553710.30019232736</v>
      </c>
      <c r="E620" s="218">
        <f t="shared" si="268"/>
        <v>-433.67520015063405</v>
      </c>
      <c r="F620" s="218">
        <f t="shared" si="269"/>
        <v>-3846.2860013359805</v>
      </c>
      <c r="G620" s="218">
        <f t="shared" si="262"/>
        <v>-11.616300004034839</v>
      </c>
      <c r="H620" s="218">
        <f t="shared" si="263"/>
        <v>-7.7442000026898929</v>
      </c>
      <c r="I620" s="218">
        <f t="shared" si="264"/>
        <v>-183.2794000636608</v>
      </c>
      <c r="J620" s="218">
        <f t="shared" si="265"/>
        <v>-2.5814000008966316</v>
      </c>
      <c r="K620" s="218">
        <f t="shared" si="266"/>
        <v>-238.77950008293837</v>
      </c>
      <c r="L620" s="218">
        <f t="shared" si="267"/>
        <v>-3386.7968011763805</v>
      </c>
      <c r="M620" s="764">
        <f t="shared" si="252"/>
        <v>-557.99026139381408</v>
      </c>
      <c r="N620" s="1863">
        <v>90</v>
      </c>
      <c r="O620" s="761">
        <f>'Emission-Waste Transport Vehicl'!N58</f>
        <v>19.871246569680004</v>
      </c>
      <c r="P620" s="761">
        <f>'Emission-Waste Transport Vehicl'!O58</f>
        <v>28.908525317760002</v>
      </c>
      <c r="Q620" s="761">
        <f>'Emission-Waste Transport Vehicl'!P58</f>
        <v>11.056030516080002</v>
      </c>
      <c r="R620" s="761">
        <f>'Emission-Waste Transport Vehicl'!Q58</f>
        <v>8.5864241865600004</v>
      </c>
      <c r="S620" s="761">
        <f>'Emission-Waste Transport Vehicl'!R58</f>
        <v>0.85460491512000014</v>
      </c>
      <c r="T620" s="761">
        <f>'Emission-Waste Transport Vehicl'!S58</f>
        <v>3.9298367750400007E-2</v>
      </c>
      <c r="U620" s="174">
        <f t="shared" si="253"/>
        <v>-50219.123525443269</v>
      </c>
      <c r="V620" s="174">
        <f t="shared" si="246"/>
        <v>-230.83036160755111</v>
      </c>
      <c r="W620" s="174">
        <f t="shared" si="247"/>
        <v>-223.87340184355784</v>
      </c>
      <c r="X620" s="174">
        <f t="shared" si="248"/>
        <v>-2026.3426400726689</v>
      </c>
      <c r="Y620" s="174">
        <f t="shared" si="249"/>
        <v>-22.164995402884845</v>
      </c>
      <c r="Z620" s="174">
        <f t="shared" si="250"/>
        <v>-204.06213440077562</v>
      </c>
      <c r="AA620" s="174">
        <f t="shared" si="251"/>
        <v>-133.09558618850778</v>
      </c>
      <c r="AB620" s="2987"/>
      <c r="AC620" s="3015"/>
    </row>
    <row r="621" spans="1:29" ht="18.75" x14ac:dyDescent="0.25">
      <c r="A621" s="2990"/>
      <c r="B621" s="2993"/>
      <c r="C621" s="1863">
        <v>2045</v>
      </c>
      <c r="D621" s="218">
        <f t="shared" si="261"/>
        <v>-553710.30019232736</v>
      </c>
      <c r="E621" s="218">
        <f t="shared" si="268"/>
        <v>-433.67520015063405</v>
      </c>
      <c r="F621" s="218">
        <f t="shared" si="269"/>
        <v>-3846.2860013359805</v>
      </c>
      <c r="G621" s="218">
        <f t="shared" si="262"/>
        <v>-11.616300004034839</v>
      </c>
      <c r="H621" s="218">
        <f t="shared" si="263"/>
        <v>-7.7442000026898929</v>
      </c>
      <c r="I621" s="218">
        <f t="shared" si="264"/>
        <v>-183.2794000636608</v>
      </c>
      <c r="J621" s="218">
        <f t="shared" si="265"/>
        <v>-2.5814000008966316</v>
      </c>
      <c r="K621" s="218">
        <f t="shared" si="266"/>
        <v>-238.77950008293837</v>
      </c>
      <c r="L621" s="218">
        <f t="shared" si="267"/>
        <v>-3386.7968011763805</v>
      </c>
      <c r="M621" s="764">
        <f t="shared" si="252"/>
        <v>-557.99026139381408</v>
      </c>
      <c r="N621" s="1863">
        <v>92</v>
      </c>
      <c r="O621" s="761">
        <f>'Emission-Waste Transport Vehicl'!N59</f>
        <v>19.483276374144001</v>
      </c>
      <c r="P621" s="761">
        <f>'Emission-Waste Transport Vehicl'!O59</f>
        <v>28.344109483008001</v>
      </c>
      <c r="Q621" s="761">
        <f>'Emission-Waste Transport Vehicl'!P59</f>
        <v>10.840170363264003</v>
      </c>
      <c r="R621" s="761">
        <f>'Emission-Waste Transport Vehicl'!Q59</f>
        <v>8.4187811220480011</v>
      </c>
      <c r="S621" s="761">
        <f>'Emission-Waste Transport Vehicl'!R59</f>
        <v>0.83791943769600008</v>
      </c>
      <c r="T621" s="761">
        <f>'Emission-Waste Transport Vehicl'!S59</f>
        <v>3.8531098552320009E-2</v>
      </c>
      <c r="U621" s="174">
        <f t="shared" si="253"/>
        <v>-51335.104048230896</v>
      </c>
      <c r="V621" s="174">
        <f t="shared" si="246"/>
        <v>-226.32358342358086</v>
      </c>
      <c r="W621" s="174">
        <f t="shared" si="247"/>
        <v>-219.50245273455317</v>
      </c>
      <c r="X621" s="174">
        <f t="shared" si="248"/>
        <v>-1986.7799207669023</v>
      </c>
      <c r="Y621" s="174">
        <f t="shared" si="249"/>
        <v>-21.732241596003256</v>
      </c>
      <c r="Z621" s="174">
        <f t="shared" si="250"/>
        <v>-200.07798444282773</v>
      </c>
      <c r="AA621" s="174">
        <f t="shared" si="251"/>
        <v>-130.49700132280927</v>
      </c>
      <c r="AB621" s="2987"/>
      <c r="AC621" s="3015"/>
    </row>
    <row r="622" spans="1:29" ht="18.75" x14ac:dyDescent="0.25">
      <c r="A622" s="2990"/>
      <c r="B622" s="2993"/>
      <c r="C622" s="1863">
        <v>2046</v>
      </c>
      <c r="D622" s="218">
        <f t="shared" si="261"/>
        <v>-553710.30019232736</v>
      </c>
      <c r="E622" s="218">
        <f t="shared" si="268"/>
        <v>-433.67520015063405</v>
      </c>
      <c r="F622" s="218">
        <f t="shared" si="269"/>
        <v>-3846.2860013359805</v>
      </c>
      <c r="G622" s="218">
        <f t="shared" si="262"/>
        <v>-11.616300004034839</v>
      </c>
      <c r="H622" s="218">
        <f t="shared" si="263"/>
        <v>-7.7442000026898929</v>
      </c>
      <c r="I622" s="218">
        <f t="shared" si="264"/>
        <v>-183.2794000636608</v>
      </c>
      <c r="J622" s="218">
        <f t="shared" si="265"/>
        <v>-2.5814000008966316</v>
      </c>
      <c r="K622" s="218">
        <f t="shared" si="266"/>
        <v>-238.77950008293837</v>
      </c>
      <c r="L622" s="218">
        <f t="shared" si="267"/>
        <v>-3386.7968011763805</v>
      </c>
      <c r="M622" s="764">
        <f t="shared" si="252"/>
        <v>-557.99026139381408</v>
      </c>
      <c r="N622" s="1863">
        <v>93</v>
      </c>
      <c r="O622" s="761">
        <f>'Emission-Waste Transport Vehicl'!N60</f>
        <v>19.101826686096</v>
      </c>
      <c r="P622" s="761">
        <f>'Emission-Waste Transport Vehicl'!O60</f>
        <v>27.789179628671999</v>
      </c>
      <c r="Q622" s="761">
        <f>'Emission-Waste Transport Vehicl'!P60</f>
        <v>10.627938112176002</v>
      </c>
      <c r="R622" s="761">
        <f>'Emission-Waste Transport Vehicl'!Q60</f>
        <v>8.2539555880319995</v>
      </c>
      <c r="S622" s="761">
        <f>'Emission-Waste Transport Vehicl'!R60</f>
        <v>0.82151438846400004</v>
      </c>
      <c r="T622" s="761">
        <f>'Emission-Waste Transport Vehicl'!S60</f>
        <v>3.777672463488E-2</v>
      </c>
      <c r="U622" s="174">
        <f t="shared" si="253"/>
        <v>-51893.094309624707</v>
      </c>
      <c r="V622" s="174">
        <f t="shared" si="246"/>
        <v>-221.89254941076976</v>
      </c>
      <c r="W622" s="174">
        <f t="shared" si="247"/>
        <v>-215.20496495511162</v>
      </c>
      <c r="X622" s="174">
        <f t="shared" si="248"/>
        <v>-1947.8821211133334</v>
      </c>
      <c r="Y622" s="174">
        <f t="shared" si="249"/>
        <v>-21.306760962346562</v>
      </c>
      <c r="Z622" s="174">
        <f t="shared" si="250"/>
        <v>-196.16079498837476</v>
      </c>
      <c r="AA622" s="174">
        <f t="shared" si="251"/>
        <v>-127.94209015233255</v>
      </c>
      <c r="AB622" s="2987"/>
      <c r="AC622" s="3015"/>
    </row>
    <row r="623" spans="1:29" ht="18.75" x14ac:dyDescent="0.25">
      <c r="A623" s="2990"/>
      <c r="B623" s="2993"/>
      <c r="C623" s="1863">
        <v>2047</v>
      </c>
      <c r="D623" s="218">
        <f t="shared" si="261"/>
        <v>-553710.30019232736</v>
      </c>
      <c r="E623" s="218">
        <f t="shared" si="268"/>
        <v>-433.67520015063405</v>
      </c>
      <c r="F623" s="218">
        <f t="shared" si="269"/>
        <v>-3846.2860013359805</v>
      </c>
      <c r="G623" s="218">
        <f t="shared" si="262"/>
        <v>-11.616300004034839</v>
      </c>
      <c r="H623" s="218">
        <f t="shared" si="263"/>
        <v>-7.7442000026898929</v>
      </c>
      <c r="I623" s="218">
        <f t="shared" si="264"/>
        <v>-183.2794000636608</v>
      </c>
      <c r="J623" s="218">
        <f t="shared" si="265"/>
        <v>-2.5814000008966316</v>
      </c>
      <c r="K623" s="218">
        <f t="shared" si="266"/>
        <v>-238.77950008293837</v>
      </c>
      <c r="L623" s="218">
        <f t="shared" si="267"/>
        <v>-3386.7968011763805</v>
      </c>
      <c r="M623" s="764">
        <f t="shared" si="252"/>
        <v>-557.99026139381408</v>
      </c>
      <c r="N623" s="1863">
        <v>94</v>
      </c>
      <c r="O623" s="761">
        <f>'Emission-Waste Transport Vehicl'!N61</f>
        <v>18.726897505536005</v>
      </c>
      <c r="P623" s="761">
        <f>'Emission-Waste Transport Vehicl'!O61</f>
        <v>27.243735754752002</v>
      </c>
      <c r="Q623" s="761">
        <f>'Emission-Waste Transport Vehicl'!P61</f>
        <v>10.419333762816001</v>
      </c>
      <c r="R623" s="761">
        <f>'Emission-Waste Transport Vehicl'!Q61</f>
        <v>8.0919475845120008</v>
      </c>
      <c r="S623" s="761">
        <f>'Emission-Waste Transport Vehicl'!R61</f>
        <v>0.80538976742400015</v>
      </c>
      <c r="T623" s="761">
        <f>'Emission-Waste Transport Vehicl'!S61</f>
        <v>3.7035245998080002E-2</v>
      </c>
      <c r="U623" s="174">
        <f t="shared" si="253"/>
        <v>-52451.084571018524</v>
      </c>
      <c r="V623" s="174">
        <f t="shared" si="246"/>
        <v>-217.53725956911791</v>
      </c>
      <c r="W623" s="174">
        <f t="shared" si="247"/>
        <v>-210.98093850523318</v>
      </c>
      <c r="X623" s="174">
        <f t="shared" si="248"/>
        <v>-1909.6492411119621</v>
      </c>
      <c r="Y623" s="174">
        <f t="shared" si="249"/>
        <v>-20.888553501914775</v>
      </c>
      <c r="Z623" s="174">
        <f t="shared" si="250"/>
        <v>-192.31056603741675</v>
      </c>
      <c r="AA623" s="174">
        <f t="shared" si="251"/>
        <v>-125.4308526770777</v>
      </c>
      <c r="AB623" s="2987"/>
      <c r="AC623" s="3015"/>
    </row>
    <row r="624" spans="1:29" ht="18.75" x14ac:dyDescent="0.25">
      <c r="A624" s="2990"/>
      <c r="B624" s="2993"/>
      <c r="C624" s="1863">
        <v>2048</v>
      </c>
      <c r="D624" s="218">
        <f t="shared" si="261"/>
        <v>-553710.30019232736</v>
      </c>
      <c r="E624" s="218">
        <f t="shared" si="268"/>
        <v>-433.67520015063405</v>
      </c>
      <c r="F624" s="218">
        <f t="shared" si="269"/>
        <v>-3846.2860013359805</v>
      </c>
      <c r="G624" s="218">
        <f t="shared" si="262"/>
        <v>-11.616300004034839</v>
      </c>
      <c r="H624" s="218">
        <f t="shared" si="263"/>
        <v>-7.7442000026898929</v>
      </c>
      <c r="I624" s="218">
        <f t="shared" si="264"/>
        <v>-183.2794000636608</v>
      </c>
      <c r="J624" s="218">
        <f t="shared" si="265"/>
        <v>-2.5814000008966316</v>
      </c>
      <c r="K624" s="218">
        <f t="shared" si="266"/>
        <v>-238.77950008293837</v>
      </c>
      <c r="L624" s="218">
        <f t="shared" si="267"/>
        <v>-3386.7968011763805</v>
      </c>
      <c r="M624" s="764">
        <f t="shared" si="252"/>
        <v>-557.99026139381408</v>
      </c>
      <c r="N624" s="1863">
        <v>95</v>
      </c>
      <c r="O624" s="761">
        <f>'Emission-Waste Transport Vehicl'!N62</f>
        <v>18.358488832464005</v>
      </c>
      <c r="P624" s="761">
        <f>'Emission-Waste Transport Vehicl'!O62</f>
        <v>26.707777861248005</v>
      </c>
      <c r="Q624" s="761">
        <f>'Emission-Waste Transport Vehicl'!P62</f>
        <v>10.214357315184001</v>
      </c>
      <c r="R624" s="761">
        <f>'Emission-Waste Transport Vehicl'!Q62</f>
        <v>7.9327571114880007</v>
      </c>
      <c r="S624" s="761">
        <f>'Emission-Waste Transport Vehicl'!R62</f>
        <v>0.78954557457600016</v>
      </c>
      <c r="T624" s="761">
        <f>'Emission-Waste Transport Vehicl'!S62</f>
        <v>3.6306662641920007E-2</v>
      </c>
      <c r="U624" s="174">
        <f t="shared" si="253"/>
        <v>-53009.074832412334</v>
      </c>
      <c r="V624" s="174">
        <f t="shared" si="246"/>
        <v>-213.25771389862516</v>
      </c>
      <c r="W624" s="174">
        <f t="shared" si="247"/>
        <v>-206.83037338491786</v>
      </c>
      <c r="X624" s="174">
        <f t="shared" si="248"/>
        <v>-1872.0812807627888</v>
      </c>
      <c r="Y624" s="174">
        <f t="shared" si="249"/>
        <v>-20.477619214707886</v>
      </c>
      <c r="Z624" s="174">
        <f t="shared" si="250"/>
        <v>-188.52729758995366</v>
      </c>
      <c r="AA624" s="174">
        <f t="shared" si="251"/>
        <v>-122.96328889704468</v>
      </c>
      <c r="AB624" s="2987"/>
      <c r="AC624" s="3015"/>
    </row>
    <row r="625" spans="1:29" ht="18.75" x14ac:dyDescent="0.25">
      <c r="A625" s="2990"/>
      <c r="B625" s="2993"/>
      <c r="C625" s="1863">
        <v>2049</v>
      </c>
      <c r="D625" s="218">
        <f t="shared" si="261"/>
        <v>-553710.30019232736</v>
      </c>
      <c r="E625" s="218">
        <f t="shared" si="268"/>
        <v>-433.67520015063405</v>
      </c>
      <c r="F625" s="218">
        <f t="shared" si="269"/>
        <v>-3846.2860013359805</v>
      </c>
      <c r="G625" s="218">
        <f t="shared" si="262"/>
        <v>-11.616300004034839</v>
      </c>
      <c r="H625" s="218">
        <f t="shared" si="263"/>
        <v>-7.7442000026898929</v>
      </c>
      <c r="I625" s="218">
        <f t="shared" si="264"/>
        <v>-183.2794000636608</v>
      </c>
      <c r="J625" s="218">
        <f t="shared" si="265"/>
        <v>-2.5814000008966316</v>
      </c>
      <c r="K625" s="218">
        <f t="shared" si="266"/>
        <v>-238.77950008293837</v>
      </c>
      <c r="L625" s="218">
        <f t="shared" si="267"/>
        <v>-3386.7968011763805</v>
      </c>
      <c r="M625" s="764">
        <f t="shared" si="252"/>
        <v>-557.99026139381408</v>
      </c>
      <c r="N625" s="1863">
        <v>96</v>
      </c>
      <c r="O625" s="761">
        <f>'Emission-Waste Transport Vehicl'!N63</f>
        <v>17.999860920624005</v>
      </c>
      <c r="P625" s="761">
        <f>'Emission-Waste Transport Vehicl'!O63</f>
        <v>26.186048938368003</v>
      </c>
      <c r="Q625" s="761">
        <f>'Emission-Waste Transport Vehicl'!P63</f>
        <v>10.014822720144002</v>
      </c>
      <c r="R625" s="761">
        <f>'Emission-Waste Transport Vehicl'!Q63</f>
        <v>7.7777929342080014</v>
      </c>
      <c r="S625" s="761">
        <f>'Emission-Waste Transport Vehicl'!R63</f>
        <v>0.77412202401600017</v>
      </c>
      <c r="T625" s="761">
        <f>'Emission-Waste Transport Vehicl'!S63</f>
        <v>3.5597422206719999E-2</v>
      </c>
      <c r="U625" s="174">
        <f t="shared" si="253"/>
        <v>-53567.065093806152</v>
      </c>
      <c r="V625" s="174">
        <f t="shared" si="246"/>
        <v>-209.09178448487117</v>
      </c>
      <c r="W625" s="174">
        <f t="shared" si="247"/>
        <v>-202.79000025894715</v>
      </c>
      <c r="X625" s="174">
        <f t="shared" si="248"/>
        <v>-1835.5106998919123</v>
      </c>
      <c r="Y625" s="174">
        <f t="shared" si="249"/>
        <v>-20.077594687338351</v>
      </c>
      <c r="Z625" s="174">
        <f t="shared" si="250"/>
        <v>-184.84446989773292</v>
      </c>
      <c r="AA625" s="174">
        <f t="shared" si="251"/>
        <v>-120.56123565984434</v>
      </c>
      <c r="AB625" s="2987"/>
      <c r="AC625" s="3015"/>
    </row>
    <row r="626" spans="1:29" ht="18.75" x14ac:dyDescent="0.25">
      <c r="A626" s="2990"/>
      <c r="B626" s="2993"/>
      <c r="C626" s="1863">
        <v>2050</v>
      </c>
      <c r="D626" s="218">
        <f t="shared" si="261"/>
        <v>-553710.30019232736</v>
      </c>
      <c r="E626" s="218">
        <f t="shared" si="268"/>
        <v>-433.67520015063405</v>
      </c>
      <c r="F626" s="218">
        <f t="shared" si="269"/>
        <v>-3846.2860013359805</v>
      </c>
      <c r="G626" s="218">
        <f t="shared" si="262"/>
        <v>-11.616300004034839</v>
      </c>
      <c r="H626" s="218">
        <f t="shared" si="263"/>
        <v>-7.7442000026898929</v>
      </c>
      <c r="I626" s="218">
        <f t="shared" si="264"/>
        <v>-183.2794000636608</v>
      </c>
      <c r="J626" s="218">
        <f t="shared" si="265"/>
        <v>-2.5814000008966316</v>
      </c>
      <c r="K626" s="218">
        <f t="shared" si="266"/>
        <v>-238.77950008293837</v>
      </c>
      <c r="L626" s="218">
        <f t="shared" si="267"/>
        <v>-3386.7968011763805</v>
      </c>
      <c r="M626" s="764">
        <f t="shared" si="252"/>
        <v>-557.99026139381408</v>
      </c>
      <c r="N626" s="1863">
        <v>97</v>
      </c>
      <c r="O626" s="761">
        <f>'Emission-Waste Transport Vehicl'!N64</f>
        <v>17.644493262528005</v>
      </c>
      <c r="P626" s="761">
        <f>'Emission-Waste Transport Vehicl'!O64</f>
        <v>25.669063005696003</v>
      </c>
      <c r="Q626" s="761">
        <f>'Emission-Waste Transport Vehicl'!P64</f>
        <v>9.8171020759680019</v>
      </c>
      <c r="R626" s="761">
        <f>'Emission-Waste Transport Vehicl'!Q64</f>
        <v>7.624237522176001</v>
      </c>
      <c r="S626" s="761">
        <f>'Emission-Waste Transport Vehicl'!R64</f>
        <v>0.75883868755200012</v>
      </c>
      <c r="T626" s="761">
        <f>'Emission-Waste Transport Vehicl'!S64</f>
        <v>3.4894629411840003E-2</v>
      </c>
      <c r="U626" s="174">
        <f t="shared" si="253"/>
        <v>-54125.055355199969</v>
      </c>
      <c r="V626" s="174">
        <f t="shared" si="246"/>
        <v>-204.96372715669676</v>
      </c>
      <c r="W626" s="174">
        <f t="shared" si="247"/>
        <v>-198.78635779775803</v>
      </c>
      <c r="X626" s="174">
        <f t="shared" si="248"/>
        <v>-1799.2725788471344</v>
      </c>
      <c r="Y626" s="174">
        <f t="shared" si="249"/>
        <v>-19.68120674658126</v>
      </c>
      <c r="Z626" s="174">
        <f t="shared" si="250"/>
        <v>-181.19512245725966</v>
      </c>
      <c r="AA626" s="174">
        <f t="shared" si="251"/>
        <v>-118.18101927025496</v>
      </c>
      <c r="AB626" s="2987"/>
      <c r="AC626" s="3015"/>
    </row>
    <row r="627" spans="1:29" ht="18.75" x14ac:dyDescent="0.25">
      <c r="A627" s="2990"/>
      <c r="B627" s="2993"/>
      <c r="C627" s="1863">
        <v>2051</v>
      </c>
      <c r="D627" s="218">
        <f t="shared" ref="D627:D645" si="270">$AC$26</f>
        <v>-553710.30019232736</v>
      </c>
      <c r="E627" s="218">
        <f t="shared" si="268"/>
        <v>-433.67520015063405</v>
      </c>
      <c r="F627" s="218">
        <f t="shared" si="269"/>
        <v>-3846.2860013359805</v>
      </c>
      <c r="G627" s="218">
        <f t="shared" ref="G627:G645" si="271">$Y$26</f>
        <v>-11.616300004034839</v>
      </c>
      <c r="H627" s="218">
        <f t="shared" ref="H627:H645" si="272">$Z$26</f>
        <v>-7.7442000026898929</v>
      </c>
      <c r="I627" s="218">
        <f t="shared" ref="I627:I645" si="273">$X$26</f>
        <v>-183.2794000636608</v>
      </c>
      <c r="J627" s="218">
        <f t="shared" ref="J627:J645" si="274">$AA$26</f>
        <v>-2.5814000008966316</v>
      </c>
      <c r="K627" s="218">
        <f t="shared" ref="K627:K645" si="275">$V$26</f>
        <v>-238.77950008293837</v>
      </c>
      <c r="L627" s="218">
        <f t="shared" ref="L627:L645" si="276">$W$26</f>
        <v>-3386.7968011763805</v>
      </c>
      <c r="M627" s="764">
        <f t="shared" si="252"/>
        <v>-557.99026139381408</v>
      </c>
      <c r="N627" s="1863">
        <v>97</v>
      </c>
      <c r="O627" s="761">
        <f>'Emission-Waste Transport Vehicl'!N65</f>
        <v>17.298906365664003</v>
      </c>
      <c r="P627" s="761">
        <f>'Emission-Waste Transport Vehicl'!O65</f>
        <v>25.166306043648003</v>
      </c>
      <c r="Q627" s="761">
        <f>'Emission-Waste Transport Vehicl'!P65</f>
        <v>9.624823284384</v>
      </c>
      <c r="R627" s="761">
        <f>'Emission-Waste Transport Vehicl'!Q65</f>
        <v>7.4749084058879998</v>
      </c>
      <c r="S627" s="761">
        <f>'Emission-Waste Transport Vehicl'!R65</f>
        <v>0.74397599337600007</v>
      </c>
      <c r="T627" s="761">
        <f>'Emission-Waste Transport Vehicl'!S65</f>
        <v>3.4211179537920001E-2</v>
      </c>
      <c r="U627" s="174">
        <f t="shared" si="253"/>
        <v>-54125.055355199969</v>
      </c>
      <c r="V627" s="174">
        <f t="shared" si="246"/>
        <v>-200.94928608526106</v>
      </c>
      <c r="W627" s="174">
        <f t="shared" si="247"/>
        <v>-194.89290733091354</v>
      </c>
      <c r="X627" s="174">
        <f t="shared" si="248"/>
        <v>-1764.0318372806528</v>
      </c>
      <c r="Y627" s="174">
        <f t="shared" si="249"/>
        <v>-19.29572856566152</v>
      </c>
      <c r="Z627" s="174">
        <f t="shared" si="250"/>
        <v>-177.64621577202877</v>
      </c>
      <c r="AA627" s="174">
        <f t="shared" si="251"/>
        <v>-115.86631342349831</v>
      </c>
      <c r="AB627" s="2987"/>
      <c r="AC627" s="3015"/>
    </row>
    <row r="628" spans="1:29" ht="18.75" x14ac:dyDescent="0.25">
      <c r="A628" s="2990"/>
      <c r="B628" s="2993"/>
      <c r="C628" s="1863">
        <v>2052</v>
      </c>
      <c r="D628" s="218">
        <f t="shared" si="270"/>
        <v>-553710.30019232736</v>
      </c>
      <c r="E628" s="218">
        <f t="shared" si="268"/>
        <v>-433.67520015063405</v>
      </c>
      <c r="F628" s="218">
        <f t="shared" si="269"/>
        <v>-3846.2860013359805</v>
      </c>
      <c r="G628" s="218">
        <f t="shared" si="271"/>
        <v>-11.616300004034839</v>
      </c>
      <c r="H628" s="218">
        <f t="shared" si="272"/>
        <v>-7.7442000026898929</v>
      </c>
      <c r="I628" s="218">
        <f t="shared" si="273"/>
        <v>-183.2794000636608</v>
      </c>
      <c r="J628" s="218">
        <f t="shared" si="274"/>
        <v>-2.5814000008966316</v>
      </c>
      <c r="K628" s="218">
        <f t="shared" si="275"/>
        <v>-238.77950008293837</v>
      </c>
      <c r="L628" s="218">
        <f t="shared" si="276"/>
        <v>-3386.7968011763805</v>
      </c>
      <c r="M628" s="764">
        <f t="shared" si="252"/>
        <v>-557.99026139381408</v>
      </c>
      <c r="N628" s="1863">
        <v>97</v>
      </c>
      <c r="O628" s="761">
        <f>'Emission-Waste Transport Vehicl'!N66</f>
        <v>16.959839976288002</v>
      </c>
      <c r="P628" s="761">
        <f>'Emission-Waste Transport Vehicl'!O66</f>
        <v>24.673035062016002</v>
      </c>
      <c r="Q628" s="761">
        <f>'Emission-Waste Transport Vehicl'!P66</f>
        <v>9.4361723945280005</v>
      </c>
      <c r="R628" s="761">
        <f>'Emission-Waste Transport Vehicl'!Q66</f>
        <v>7.3283968200960006</v>
      </c>
      <c r="S628" s="761">
        <f>'Emission-Waste Transport Vehicl'!R66</f>
        <v>0.72939372739200004</v>
      </c>
      <c r="T628" s="761">
        <f>'Emission-Waste Transport Vehicl'!S66</f>
        <v>3.3540624944640003E-2</v>
      </c>
      <c r="U628" s="174">
        <f t="shared" si="253"/>
        <v>-54125.055355199969</v>
      </c>
      <c r="V628" s="174">
        <f t="shared" si="246"/>
        <v>-197.01058918498455</v>
      </c>
      <c r="W628" s="174">
        <f t="shared" si="247"/>
        <v>-191.07291819363215</v>
      </c>
      <c r="X628" s="174">
        <f t="shared" si="248"/>
        <v>-1729.4560153663695</v>
      </c>
      <c r="Y628" s="174">
        <f t="shared" si="249"/>
        <v>-18.917523557966689</v>
      </c>
      <c r="Z628" s="174">
        <f t="shared" si="250"/>
        <v>-174.1642695902928</v>
      </c>
      <c r="AA628" s="174">
        <f t="shared" si="251"/>
        <v>-113.59528127196347</v>
      </c>
      <c r="AB628" s="2987"/>
      <c r="AC628" s="3015"/>
    </row>
    <row r="629" spans="1:29" ht="18.75" x14ac:dyDescent="0.25">
      <c r="A629" s="2990"/>
      <c r="B629" s="2993"/>
      <c r="C629" s="1863">
        <v>2053</v>
      </c>
      <c r="D629" s="218">
        <f t="shared" si="270"/>
        <v>-553710.30019232736</v>
      </c>
      <c r="E629" s="218">
        <f t="shared" si="268"/>
        <v>-433.67520015063405</v>
      </c>
      <c r="F629" s="218">
        <f t="shared" si="269"/>
        <v>-3846.2860013359805</v>
      </c>
      <c r="G629" s="218">
        <f t="shared" si="271"/>
        <v>-11.616300004034839</v>
      </c>
      <c r="H629" s="218">
        <f t="shared" si="272"/>
        <v>-7.7442000026898929</v>
      </c>
      <c r="I629" s="218">
        <f t="shared" si="273"/>
        <v>-183.2794000636608</v>
      </c>
      <c r="J629" s="218">
        <f t="shared" si="274"/>
        <v>-2.5814000008966316</v>
      </c>
      <c r="K629" s="218">
        <f t="shared" si="275"/>
        <v>-238.77950008293837</v>
      </c>
      <c r="L629" s="218">
        <f t="shared" si="276"/>
        <v>-3386.7968011763805</v>
      </c>
      <c r="M629" s="764">
        <f t="shared" si="252"/>
        <v>-557.99026139381408</v>
      </c>
      <c r="N629" s="1863">
        <v>97</v>
      </c>
      <c r="O629" s="761">
        <f>'Emission-Waste Transport Vehicl'!N67</f>
        <v>15.361506000000002</v>
      </c>
      <c r="P629" s="761">
        <f>'Emission-Waste Transport Vehicl'!O67</f>
        <v>24.189250060800003</v>
      </c>
      <c r="Q629" s="761">
        <f>'Emission-Waste Transport Vehicl'!P67</f>
        <v>9.2511494064000015</v>
      </c>
      <c r="R629" s="761">
        <f>'Emission-Waste Transport Vehicl'!Q67</f>
        <v>7.1847027647999999</v>
      </c>
      <c r="S629" s="761">
        <f>'Emission-Waste Transport Vehicl'!R67</f>
        <v>0.71509188960000014</v>
      </c>
      <c r="T629" s="761">
        <f>'Emission-Waste Transport Vehicl'!S67</f>
        <v>3.2882965632000001E-2</v>
      </c>
      <c r="U629" s="174">
        <f t="shared" si="253"/>
        <v>-54125.055355199969</v>
      </c>
      <c r="V629" s="174">
        <f t="shared" si="246"/>
        <v>-178.44386220978123</v>
      </c>
      <c r="W629" s="174">
        <f t="shared" si="247"/>
        <v>-187.32639038591387</v>
      </c>
      <c r="X629" s="174">
        <f t="shared" si="248"/>
        <v>-1695.5451131042839</v>
      </c>
      <c r="Y629" s="174">
        <f t="shared" si="249"/>
        <v>-18.54659172349675</v>
      </c>
      <c r="Z629" s="174">
        <f t="shared" si="250"/>
        <v>-170.74928391205179</v>
      </c>
      <c r="AA629" s="174">
        <f t="shared" si="251"/>
        <v>-111.36792281565046</v>
      </c>
      <c r="AB629" s="2987"/>
      <c r="AC629" s="3015"/>
    </row>
    <row r="630" spans="1:29" ht="18.75" x14ac:dyDescent="0.25">
      <c r="A630" s="2990"/>
      <c r="B630" s="2993"/>
      <c r="C630" s="1863">
        <v>2054</v>
      </c>
      <c r="D630" s="218">
        <f t="shared" si="270"/>
        <v>-553710.30019232736</v>
      </c>
      <c r="E630" s="218">
        <f t="shared" si="268"/>
        <v>-433.67520015063405</v>
      </c>
      <c r="F630" s="218">
        <f t="shared" si="269"/>
        <v>-3846.2860013359805</v>
      </c>
      <c r="G630" s="218">
        <f t="shared" si="271"/>
        <v>-11.616300004034839</v>
      </c>
      <c r="H630" s="218">
        <f t="shared" si="272"/>
        <v>-7.7442000026898929</v>
      </c>
      <c r="I630" s="218">
        <f t="shared" si="273"/>
        <v>-183.2794000636608</v>
      </c>
      <c r="J630" s="218">
        <f t="shared" si="274"/>
        <v>-2.5814000008966316</v>
      </c>
      <c r="K630" s="218">
        <f t="shared" si="275"/>
        <v>-238.77950008293837</v>
      </c>
      <c r="L630" s="218">
        <f t="shared" si="276"/>
        <v>-3386.7968011763805</v>
      </c>
      <c r="M630" s="764">
        <f t="shared" si="252"/>
        <v>-557.99026139381408</v>
      </c>
      <c r="N630" s="1863">
        <v>97</v>
      </c>
      <c r="O630" s="761">
        <f>'Emission-Waste Transport Vehicl'!N68</f>
        <v>16.301268720000003</v>
      </c>
      <c r="P630" s="761">
        <f>'Emission-Waste Transport Vehicl'!O68</f>
        <v>23.714951040000003</v>
      </c>
      <c r="Q630" s="761">
        <f>'Emission-Waste Transport Vehicl'!P68</f>
        <v>9.0697543200000013</v>
      </c>
      <c r="R630" s="761">
        <f>'Emission-Waste Transport Vehicl'!Q68</f>
        <v>7.0438262400000005</v>
      </c>
      <c r="S630" s="761">
        <f>'Emission-Waste Transport Vehicl'!R68</f>
        <v>0.70107048000000005</v>
      </c>
      <c r="T630" s="761">
        <f>'Emission-Waste Transport Vehicl'!S68</f>
        <v>3.2238201600000002E-2</v>
      </c>
      <c r="U630" s="174">
        <f t="shared" si="253"/>
        <v>-54125.055355199969</v>
      </c>
      <c r="V630" s="174">
        <f t="shared" si="246"/>
        <v>-189.36042789790903</v>
      </c>
      <c r="W630" s="174">
        <f t="shared" si="247"/>
        <v>-183.6533239077587</v>
      </c>
      <c r="X630" s="174">
        <f t="shared" si="248"/>
        <v>-1662.299130494396</v>
      </c>
      <c r="Y630" s="174">
        <f t="shared" si="249"/>
        <v>-18.182933062251717</v>
      </c>
      <c r="Z630" s="174">
        <f t="shared" si="250"/>
        <v>-167.40125873730565</v>
      </c>
      <c r="AA630" s="174">
        <f t="shared" si="251"/>
        <v>-109.18423805455927</v>
      </c>
      <c r="AB630" s="2987"/>
      <c r="AC630" s="3015"/>
    </row>
    <row r="631" spans="1:29" ht="18.75" x14ac:dyDescent="0.25">
      <c r="A631" s="2990"/>
      <c r="B631" s="2993"/>
      <c r="C631" s="1863">
        <v>2055</v>
      </c>
      <c r="D631" s="218">
        <f t="shared" si="270"/>
        <v>-553710.30019232736</v>
      </c>
      <c r="E631" s="218">
        <f t="shared" si="268"/>
        <v>-433.67520015063405</v>
      </c>
      <c r="F631" s="218">
        <f t="shared" si="269"/>
        <v>-3846.2860013359805</v>
      </c>
      <c r="G631" s="218">
        <f t="shared" si="271"/>
        <v>-11.616300004034839</v>
      </c>
      <c r="H631" s="218">
        <f t="shared" si="272"/>
        <v>-7.7442000026898929</v>
      </c>
      <c r="I631" s="218">
        <f t="shared" si="273"/>
        <v>-183.2794000636608</v>
      </c>
      <c r="J631" s="218">
        <f t="shared" si="274"/>
        <v>-2.5814000008966316</v>
      </c>
      <c r="K631" s="218">
        <f t="shared" si="275"/>
        <v>-238.77950008293837</v>
      </c>
      <c r="L631" s="218">
        <f t="shared" si="276"/>
        <v>-3386.7968011763805</v>
      </c>
      <c r="M631" s="764">
        <f t="shared" si="252"/>
        <v>-557.99026139381408</v>
      </c>
      <c r="N631" s="1863">
        <v>97</v>
      </c>
      <c r="O631" s="761">
        <f>'Emission-Waste Transport Vehicl'!N69</f>
        <v>15.981763853088003</v>
      </c>
      <c r="P631" s="761">
        <f>'Emission-Waste Transport Vehicl'!O69</f>
        <v>23.250137999616001</v>
      </c>
      <c r="Q631" s="761">
        <f>'Emission-Waste Transport Vehicl'!P69</f>
        <v>8.8919871353280016</v>
      </c>
      <c r="R631" s="761">
        <f>'Emission-Waste Transport Vehicl'!Q69</f>
        <v>6.9057672456960004</v>
      </c>
      <c r="S631" s="761">
        <f>'Emission-Waste Transport Vehicl'!R69</f>
        <v>0.6873294985920001</v>
      </c>
      <c r="T631" s="761">
        <f>'Emission-Waste Transport Vehicl'!S69</f>
        <v>3.1606332848640006E-2</v>
      </c>
      <c r="U631" s="174">
        <f t="shared" si="253"/>
        <v>-54125.055355199969</v>
      </c>
      <c r="V631" s="174">
        <f t="shared" si="246"/>
        <v>-185.64896351111</v>
      </c>
      <c r="W631" s="174">
        <f t="shared" si="247"/>
        <v>-180.05371875916663</v>
      </c>
      <c r="X631" s="174">
        <f t="shared" si="248"/>
        <v>-1629.718067536706</v>
      </c>
      <c r="Y631" s="174">
        <f t="shared" si="249"/>
        <v>-17.826547574231583</v>
      </c>
      <c r="Z631" s="174">
        <f t="shared" si="250"/>
        <v>-164.12019406605447</v>
      </c>
      <c r="AA631" s="174">
        <f t="shared" si="251"/>
        <v>-107.04422698868993</v>
      </c>
      <c r="AB631" s="2987"/>
      <c r="AC631" s="3015"/>
    </row>
    <row r="632" spans="1:29" ht="18.75" x14ac:dyDescent="0.25">
      <c r="A632" s="2990"/>
      <c r="B632" s="2993"/>
      <c r="C632" s="1863">
        <v>2056</v>
      </c>
      <c r="D632" s="218">
        <f t="shared" si="270"/>
        <v>-553710.30019232736</v>
      </c>
      <c r="E632" s="218">
        <f t="shared" si="268"/>
        <v>-433.67520015063405</v>
      </c>
      <c r="F632" s="218">
        <f t="shared" si="269"/>
        <v>-3846.2860013359805</v>
      </c>
      <c r="G632" s="218">
        <f t="shared" si="271"/>
        <v>-11.616300004034839</v>
      </c>
      <c r="H632" s="218">
        <f t="shared" si="272"/>
        <v>-7.7442000026898929</v>
      </c>
      <c r="I632" s="218">
        <f t="shared" si="273"/>
        <v>-183.2794000636608</v>
      </c>
      <c r="J632" s="218">
        <f t="shared" si="274"/>
        <v>-2.5814000008966316</v>
      </c>
      <c r="K632" s="218">
        <f t="shared" si="275"/>
        <v>-238.77950008293837</v>
      </c>
      <c r="L632" s="218">
        <f t="shared" si="276"/>
        <v>-3386.7968011763805</v>
      </c>
      <c r="M632" s="764">
        <f t="shared" si="252"/>
        <v>-557.99026139381408</v>
      </c>
      <c r="N632" s="1863">
        <v>97</v>
      </c>
      <c r="O632" s="761">
        <f>'Emission-Waste Transport Vehicl'!N70</f>
        <v>15.668779493664003</v>
      </c>
      <c r="P632" s="761">
        <f>'Emission-Waste Transport Vehicl'!O70</f>
        <v>22.794810939648006</v>
      </c>
      <c r="Q632" s="761">
        <f>'Emission-Waste Transport Vehicl'!P70</f>
        <v>8.7178478523840006</v>
      </c>
      <c r="R632" s="761">
        <f>'Emission-Waste Transport Vehicl'!Q70</f>
        <v>6.7705257818880007</v>
      </c>
      <c r="S632" s="761">
        <f>'Emission-Waste Transport Vehicl'!R70</f>
        <v>0.67386894537600017</v>
      </c>
      <c r="T632" s="761">
        <f>'Emission-Waste Transport Vehicl'!S70</f>
        <v>3.0987359377920003E-2</v>
      </c>
      <c r="U632" s="174">
        <f t="shared" si="253"/>
        <v>-54125.055355199969</v>
      </c>
      <c r="V632" s="174">
        <f t="shared" si="246"/>
        <v>-182.01324329547015</v>
      </c>
      <c r="W632" s="174">
        <f t="shared" si="247"/>
        <v>-176.5275749401377</v>
      </c>
      <c r="X632" s="174">
        <f t="shared" si="248"/>
        <v>-1597.8019242312134</v>
      </c>
      <c r="Y632" s="174">
        <f t="shared" si="249"/>
        <v>-17.477435259436351</v>
      </c>
      <c r="Z632" s="174">
        <f t="shared" si="250"/>
        <v>-160.90608989829823</v>
      </c>
      <c r="AA632" s="174">
        <f t="shared" si="251"/>
        <v>-104.94788961804238</v>
      </c>
      <c r="AB632" s="2987"/>
      <c r="AC632" s="3015"/>
    </row>
    <row r="633" spans="1:29" ht="18.75" x14ac:dyDescent="0.25">
      <c r="A633" s="2990"/>
      <c r="B633" s="2993"/>
      <c r="C633" s="1863">
        <v>2057</v>
      </c>
      <c r="D633" s="218">
        <f t="shared" si="270"/>
        <v>-553710.30019232736</v>
      </c>
      <c r="E633" s="218">
        <f t="shared" si="268"/>
        <v>-433.67520015063405</v>
      </c>
      <c r="F633" s="218">
        <f t="shared" si="269"/>
        <v>-3846.2860013359805</v>
      </c>
      <c r="G633" s="218">
        <f t="shared" si="271"/>
        <v>-11.616300004034839</v>
      </c>
      <c r="H633" s="218">
        <f t="shared" si="272"/>
        <v>-7.7442000026898929</v>
      </c>
      <c r="I633" s="218">
        <f t="shared" si="273"/>
        <v>-183.2794000636608</v>
      </c>
      <c r="J633" s="218">
        <f t="shared" si="274"/>
        <v>-2.5814000008966316</v>
      </c>
      <c r="K633" s="218">
        <f t="shared" si="275"/>
        <v>-238.77950008293837</v>
      </c>
      <c r="L633" s="218">
        <f t="shared" si="276"/>
        <v>-3386.7968011763805</v>
      </c>
      <c r="M633" s="764">
        <f t="shared" si="252"/>
        <v>-557.99026139381408</v>
      </c>
      <c r="N633" s="1863">
        <v>97</v>
      </c>
      <c r="O633" s="761">
        <f>'Emission-Waste Transport Vehicl'!N71</f>
        <v>15.362315641728001</v>
      </c>
      <c r="P633" s="761">
        <f>'Emission-Waste Transport Vehicl'!O71</f>
        <v>22.348969860096002</v>
      </c>
      <c r="Q633" s="761">
        <f>'Emission-Waste Transport Vehicl'!P71</f>
        <v>8.547336471168002</v>
      </c>
      <c r="R633" s="761">
        <f>'Emission-Waste Transport Vehicl'!Q71</f>
        <v>6.6381018485760004</v>
      </c>
      <c r="S633" s="761">
        <f>'Emission-Waste Transport Vehicl'!R71</f>
        <v>0.66068882035200005</v>
      </c>
      <c r="T633" s="761">
        <f>'Emission-Waste Transport Vehicl'!S71</f>
        <v>3.038128118784E-2</v>
      </c>
      <c r="U633" s="174">
        <f t="shared" si="253"/>
        <v>-54125.055355199969</v>
      </c>
      <c r="V633" s="174">
        <f t="shared" si="246"/>
        <v>-178.45326725098946</v>
      </c>
      <c r="W633" s="174">
        <f t="shared" si="247"/>
        <v>-173.0748924506718</v>
      </c>
      <c r="X633" s="174">
        <f t="shared" si="248"/>
        <v>-1566.5507005779191</v>
      </c>
      <c r="Y633" s="174">
        <f t="shared" si="249"/>
        <v>-17.135596117866019</v>
      </c>
      <c r="Z633" s="174">
        <f t="shared" si="250"/>
        <v>-157.75894623403684</v>
      </c>
      <c r="AA633" s="174">
        <f t="shared" si="251"/>
        <v>-102.89522594261666</v>
      </c>
      <c r="AB633" s="2987"/>
      <c r="AC633" s="3015"/>
    </row>
    <row r="634" spans="1:29" ht="18.75" x14ac:dyDescent="0.25">
      <c r="A634" s="2990"/>
      <c r="B634" s="2993"/>
      <c r="C634" s="1863">
        <v>2058</v>
      </c>
      <c r="D634" s="218">
        <f t="shared" si="270"/>
        <v>-553710.30019232736</v>
      </c>
      <c r="E634" s="218">
        <f t="shared" si="268"/>
        <v>-433.67520015063405</v>
      </c>
      <c r="F634" s="218">
        <f t="shared" si="269"/>
        <v>-3846.2860013359805</v>
      </c>
      <c r="G634" s="218">
        <f t="shared" si="271"/>
        <v>-11.616300004034839</v>
      </c>
      <c r="H634" s="218">
        <f t="shared" si="272"/>
        <v>-7.7442000026898929</v>
      </c>
      <c r="I634" s="218">
        <f t="shared" si="273"/>
        <v>-183.2794000636608</v>
      </c>
      <c r="J634" s="218">
        <f t="shared" si="274"/>
        <v>-2.5814000008966316</v>
      </c>
      <c r="K634" s="218">
        <f t="shared" si="275"/>
        <v>-238.77950008293837</v>
      </c>
      <c r="L634" s="218">
        <f t="shared" si="276"/>
        <v>-3386.7968011763805</v>
      </c>
      <c r="M634" s="764">
        <f t="shared" si="252"/>
        <v>-557.99026139381408</v>
      </c>
      <c r="N634" s="1863">
        <v>97</v>
      </c>
      <c r="O634" s="761">
        <f>'Emission-Waste Transport Vehicl'!N72</f>
        <v>15.059112043536</v>
      </c>
      <c r="P634" s="761">
        <f>'Emission-Waste Transport Vehicl'!O72</f>
        <v>21.907871770752003</v>
      </c>
      <c r="Q634" s="761">
        <f>'Emission-Waste Transport Vehicl'!P72</f>
        <v>8.378639040816001</v>
      </c>
      <c r="R634" s="761">
        <f>'Emission-Waste Transport Vehicl'!Q72</f>
        <v>6.5070866805119998</v>
      </c>
      <c r="S634" s="761">
        <f>'Emission-Waste Transport Vehicl'!R72</f>
        <v>0.647648909424</v>
      </c>
      <c r="T634" s="761">
        <f>'Emission-Waste Transport Vehicl'!S72</f>
        <v>2.9781650638080002E-2</v>
      </c>
      <c r="U634" s="174">
        <f t="shared" si="253"/>
        <v>-54125.055355199969</v>
      </c>
      <c r="V634" s="174">
        <f t="shared" ref="V634:V697" si="277">G634*O634</f>
        <v>-174.93116329208834</v>
      </c>
      <c r="W634" s="174">
        <f t="shared" ref="W634:W697" si="278">H634*P634</f>
        <v>-169.6589406259875</v>
      </c>
      <c r="X634" s="174">
        <f t="shared" ref="X634:X697" si="279">I634*Q634</f>
        <v>-1535.6319367507231</v>
      </c>
      <c r="Y634" s="174">
        <f t="shared" ref="Y634:Y697" si="280">J634*R634</f>
        <v>-16.797393562908134</v>
      </c>
      <c r="Z634" s="174">
        <f t="shared" ref="Z634:Z697" si="281">K634*S634</f>
        <v>-154.64528282152295</v>
      </c>
      <c r="AA634" s="174">
        <f t="shared" ref="AA634:AA697" si="282">T634*L634</f>
        <v>-100.86439911480186</v>
      </c>
      <c r="AB634" s="2987"/>
      <c r="AC634" s="3015"/>
    </row>
    <row r="635" spans="1:29" ht="18.75" x14ac:dyDescent="0.25">
      <c r="A635" s="2990"/>
      <c r="B635" s="2993"/>
      <c r="C635" s="1863">
        <v>2059</v>
      </c>
      <c r="D635" s="218">
        <f t="shared" si="270"/>
        <v>-553710.30019232736</v>
      </c>
      <c r="E635" s="218">
        <f t="shared" si="268"/>
        <v>-433.67520015063405</v>
      </c>
      <c r="F635" s="218">
        <f t="shared" si="269"/>
        <v>-3846.2860013359805</v>
      </c>
      <c r="G635" s="218">
        <f t="shared" si="271"/>
        <v>-11.616300004034839</v>
      </c>
      <c r="H635" s="218">
        <f t="shared" si="272"/>
        <v>-7.7442000026898929</v>
      </c>
      <c r="I635" s="218">
        <f t="shared" si="273"/>
        <v>-183.2794000636608</v>
      </c>
      <c r="J635" s="218">
        <f t="shared" si="274"/>
        <v>-2.5814000008966316</v>
      </c>
      <c r="K635" s="218">
        <f t="shared" si="275"/>
        <v>-238.77950008293837</v>
      </c>
      <c r="L635" s="218">
        <f t="shared" si="276"/>
        <v>-3386.7968011763805</v>
      </c>
      <c r="M635" s="764">
        <f t="shared" ref="M635:M698" si="283">(D635/1000)+(E635/1000)+(F635/1000)</f>
        <v>-557.99026139381408</v>
      </c>
      <c r="N635" s="1863">
        <v>97</v>
      </c>
      <c r="O635" s="761">
        <f>'Emission-Waste Transport Vehicl'!N73</f>
        <v>14.765689206576004</v>
      </c>
      <c r="P635" s="761">
        <f>'Emission-Waste Transport Vehicl'!O73</f>
        <v>21.481002652032004</v>
      </c>
      <c r="Q635" s="761">
        <f>'Emission-Waste Transport Vehicl'!P73</f>
        <v>8.2153834630560016</v>
      </c>
      <c r="R635" s="761">
        <f>'Emission-Waste Transport Vehicl'!Q73</f>
        <v>6.380297808192001</v>
      </c>
      <c r="S635" s="761">
        <f>'Emission-Waste Transport Vehicl'!R73</f>
        <v>0.63502964078400004</v>
      </c>
      <c r="T635" s="761">
        <f>'Emission-Waste Transport Vehicl'!S73</f>
        <v>2.9201363009280005E-2</v>
      </c>
      <c r="U635" s="174">
        <f t="shared" ref="U635:U698" si="284">M635*N635</f>
        <v>-54125.055355199969</v>
      </c>
      <c r="V635" s="174">
        <f t="shared" si="277"/>
        <v>-171.52267558992602</v>
      </c>
      <c r="W635" s="174">
        <f t="shared" si="278"/>
        <v>-166.35318079564783</v>
      </c>
      <c r="X635" s="174">
        <f t="shared" si="279"/>
        <v>-1505.7105524018241</v>
      </c>
      <c r="Y635" s="174">
        <f t="shared" si="280"/>
        <v>-16.470100767787606</v>
      </c>
      <c r="Z635" s="174">
        <f t="shared" si="281"/>
        <v>-151.63206016425147</v>
      </c>
      <c r="AA635" s="174">
        <f t="shared" si="282"/>
        <v>-98.899082829819804</v>
      </c>
      <c r="AB635" s="2987"/>
      <c r="AC635" s="3015"/>
    </row>
    <row r="636" spans="1:29" ht="18.75" x14ac:dyDescent="0.25">
      <c r="A636" s="2990"/>
      <c r="B636" s="2993"/>
      <c r="C636" s="1863">
        <v>2060</v>
      </c>
      <c r="D636" s="218">
        <f t="shared" si="270"/>
        <v>-553710.30019232736</v>
      </c>
      <c r="E636" s="218">
        <f t="shared" si="268"/>
        <v>-433.67520015063405</v>
      </c>
      <c r="F636" s="218">
        <f t="shared" si="269"/>
        <v>-3846.2860013359805</v>
      </c>
      <c r="G636" s="218">
        <f t="shared" si="271"/>
        <v>-11.616300004034839</v>
      </c>
      <c r="H636" s="218">
        <f t="shared" si="272"/>
        <v>-7.7442000026898929</v>
      </c>
      <c r="I636" s="218">
        <f t="shared" si="273"/>
        <v>-183.2794000636608</v>
      </c>
      <c r="J636" s="218">
        <f t="shared" si="274"/>
        <v>-2.5814000008966316</v>
      </c>
      <c r="K636" s="218">
        <f t="shared" si="275"/>
        <v>-238.77950008293837</v>
      </c>
      <c r="L636" s="218">
        <f t="shared" si="276"/>
        <v>-3386.7968011763805</v>
      </c>
      <c r="M636" s="764">
        <f t="shared" si="283"/>
        <v>-557.99026139381408</v>
      </c>
      <c r="N636" s="1863">
        <v>97</v>
      </c>
      <c r="O636" s="761">
        <f>'Emission-Waste Transport Vehicl'!N74</f>
        <v>14.475526623360002</v>
      </c>
      <c r="P636" s="761">
        <f>'Emission-Waste Transport Vehicl'!O74</f>
        <v>21.058876523520002</v>
      </c>
      <c r="Q636" s="761">
        <f>'Emission-Waste Transport Vehicl'!P74</f>
        <v>8.0539418361599999</v>
      </c>
      <c r="R636" s="761">
        <f>'Emission-Waste Transport Vehicl'!Q74</f>
        <v>6.2549177011200001</v>
      </c>
      <c r="S636" s="761">
        <f>'Emission-Waste Transport Vehicl'!R74</f>
        <v>0.62255058624000004</v>
      </c>
      <c r="T636" s="761">
        <f>'Emission-Waste Transport Vehicl'!S74</f>
        <v>2.8627523020800003E-2</v>
      </c>
      <c r="U636" s="174">
        <f t="shared" si="284"/>
        <v>-54125.055355199969</v>
      </c>
      <c r="V636" s="174">
        <f t="shared" si="277"/>
        <v>-168.1520599733432</v>
      </c>
      <c r="W636" s="174">
        <f t="shared" si="278"/>
        <v>-163.08415163008974</v>
      </c>
      <c r="X636" s="174">
        <f t="shared" si="279"/>
        <v>-1476.1216278790234</v>
      </c>
      <c r="Y636" s="174">
        <f t="shared" si="280"/>
        <v>-16.146444559279526</v>
      </c>
      <c r="Z636" s="174">
        <f t="shared" si="281"/>
        <v>-148.65231775872741</v>
      </c>
      <c r="AA636" s="174">
        <f t="shared" si="282"/>
        <v>-96.955603392448637</v>
      </c>
      <c r="AB636" s="2987"/>
      <c r="AC636" s="3015"/>
    </row>
    <row r="637" spans="1:29" ht="18.75" x14ac:dyDescent="0.25">
      <c r="A637" s="2990"/>
      <c r="B637" s="2993"/>
      <c r="C637" s="1863">
        <v>2061</v>
      </c>
      <c r="D637" s="218">
        <f t="shared" si="270"/>
        <v>-553710.30019232736</v>
      </c>
      <c r="E637" s="218">
        <f t="shared" si="268"/>
        <v>-433.67520015063405</v>
      </c>
      <c r="F637" s="218">
        <f t="shared" si="269"/>
        <v>-3846.2860013359805</v>
      </c>
      <c r="G637" s="218">
        <f t="shared" si="271"/>
        <v>-11.616300004034839</v>
      </c>
      <c r="H637" s="218">
        <f t="shared" si="272"/>
        <v>-7.7442000026898929</v>
      </c>
      <c r="I637" s="218">
        <f t="shared" si="273"/>
        <v>-183.2794000636608</v>
      </c>
      <c r="J637" s="218">
        <f t="shared" si="274"/>
        <v>-2.5814000008966316</v>
      </c>
      <c r="K637" s="218">
        <f t="shared" si="275"/>
        <v>-238.77950008293837</v>
      </c>
      <c r="L637" s="218">
        <f t="shared" si="276"/>
        <v>-3386.7968011763805</v>
      </c>
      <c r="M637" s="764">
        <f t="shared" si="283"/>
        <v>-557.99026139381408</v>
      </c>
      <c r="N637" s="1863">
        <v>97</v>
      </c>
      <c r="O637" s="761">
        <f>'Emission-Waste Transport Vehicl'!N75</f>
        <v>14.191884547632004</v>
      </c>
      <c r="P637" s="761">
        <f>'Emission-Waste Transport Vehicl'!O75</f>
        <v>20.646236375424003</v>
      </c>
      <c r="Q637" s="761">
        <f>'Emission-Waste Transport Vehicl'!P75</f>
        <v>7.8961281109920014</v>
      </c>
      <c r="R637" s="761">
        <f>'Emission-Waste Transport Vehicl'!Q75</f>
        <v>6.1323551245440004</v>
      </c>
      <c r="S637" s="761">
        <f>'Emission-Waste Transport Vehicl'!R75</f>
        <v>0.61035195988800006</v>
      </c>
      <c r="T637" s="761">
        <f>'Emission-Waste Transport Vehicl'!S75</f>
        <v>2.8066578312960003E-2</v>
      </c>
      <c r="U637" s="174">
        <f t="shared" si="284"/>
        <v>-54125.055355199969</v>
      </c>
      <c r="V637" s="174">
        <f t="shared" si="277"/>
        <v>-164.85718852791962</v>
      </c>
      <c r="W637" s="174">
        <f t="shared" si="278"/>
        <v>-159.88858379409473</v>
      </c>
      <c r="X637" s="174">
        <f t="shared" si="279"/>
        <v>-1447.1976230084213</v>
      </c>
      <c r="Y637" s="174">
        <f t="shared" si="280"/>
        <v>-15.830061523996346</v>
      </c>
      <c r="Z637" s="174">
        <f t="shared" si="281"/>
        <v>-145.7395358566983</v>
      </c>
      <c r="AA637" s="174">
        <f t="shared" si="282"/>
        <v>-95.055797650299311</v>
      </c>
      <c r="AB637" s="2987"/>
      <c r="AC637" s="3015"/>
    </row>
    <row r="638" spans="1:29" ht="18.75" x14ac:dyDescent="0.25">
      <c r="A638" s="2990"/>
      <c r="B638" s="2993"/>
      <c r="C638" s="1863">
        <v>2062</v>
      </c>
      <c r="D638" s="218">
        <f t="shared" si="270"/>
        <v>-553710.30019232736</v>
      </c>
      <c r="E638" s="218">
        <f t="shared" si="268"/>
        <v>-433.67520015063405</v>
      </c>
      <c r="F638" s="218">
        <f t="shared" si="269"/>
        <v>-3846.2860013359805</v>
      </c>
      <c r="G638" s="218">
        <f t="shared" si="271"/>
        <v>-11.616300004034839</v>
      </c>
      <c r="H638" s="218">
        <f t="shared" si="272"/>
        <v>-7.7442000026898929</v>
      </c>
      <c r="I638" s="218">
        <f t="shared" si="273"/>
        <v>-183.2794000636608</v>
      </c>
      <c r="J638" s="218">
        <f t="shared" si="274"/>
        <v>-2.5814000008966316</v>
      </c>
      <c r="K638" s="218">
        <f t="shared" si="275"/>
        <v>-238.77950008293837</v>
      </c>
      <c r="L638" s="218">
        <f t="shared" si="276"/>
        <v>-3386.7968011763805</v>
      </c>
      <c r="M638" s="764">
        <f t="shared" si="283"/>
        <v>-557.99026139381408</v>
      </c>
      <c r="N638" s="1863">
        <v>97</v>
      </c>
      <c r="O638" s="761">
        <f>'Emission-Waste Transport Vehicl'!N76</f>
        <v>13.914762979392002</v>
      </c>
      <c r="P638" s="761">
        <f>'Emission-Waste Transport Vehicl'!O76</f>
        <v>20.243082207744003</v>
      </c>
      <c r="Q638" s="761">
        <f>'Emission-Waste Transport Vehicl'!P76</f>
        <v>7.7419422875520008</v>
      </c>
      <c r="R638" s="761">
        <f>'Emission-Waste Transport Vehicl'!Q76</f>
        <v>6.0126100784640002</v>
      </c>
      <c r="S638" s="761">
        <f>'Emission-Waste Transport Vehicl'!R76</f>
        <v>0.59843376172800011</v>
      </c>
      <c r="T638" s="761">
        <f>'Emission-Waste Transport Vehicl'!S76</f>
        <v>2.7518528885760004E-2</v>
      </c>
      <c r="U638" s="174">
        <f t="shared" si="284"/>
        <v>-54125.055355199969</v>
      </c>
      <c r="V638" s="174">
        <f t="shared" si="277"/>
        <v>-161.63806125365514</v>
      </c>
      <c r="W638" s="174">
        <f t="shared" si="278"/>
        <v>-156.76647728766284</v>
      </c>
      <c r="X638" s="174">
        <f t="shared" si="279"/>
        <v>-1418.9385377900164</v>
      </c>
      <c r="Y638" s="174">
        <f t="shared" si="280"/>
        <v>-15.520951661938065</v>
      </c>
      <c r="Z638" s="174">
        <f t="shared" si="281"/>
        <v>-142.89371445816411</v>
      </c>
      <c r="AA638" s="174">
        <f t="shared" si="282"/>
        <v>-93.199665603371812</v>
      </c>
      <c r="AB638" s="2987"/>
      <c r="AC638" s="3015"/>
    </row>
    <row r="639" spans="1:29" ht="18.75" x14ac:dyDescent="0.25">
      <c r="A639" s="2990"/>
      <c r="B639" s="2993"/>
      <c r="C639" s="1863">
        <v>2063</v>
      </c>
      <c r="D639" s="218">
        <f t="shared" si="270"/>
        <v>-553710.30019232736</v>
      </c>
      <c r="E639" s="218">
        <f t="shared" si="268"/>
        <v>-433.67520015063405</v>
      </c>
      <c r="F639" s="218">
        <f t="shared" si="269"/>
        <v>-3846.2860013359805</v>
      </c>
      <c r="G639" s="218">
        <f t="shared" si="271"/>
        <v>-11.616300004034839</v>
      </c>
      <c r="H639" s="218">
        <f t="shared" si="272"/>
        <v>-7.7442000026898929</v>
      </c>
      <c r="I639" s="218">
        <f t="shared" si="273"/>
        <v>-183.2794000636608</v>
      </c>
      <c r="J639" s="218">
        <f t="shared" si="274"/>
        <v>-2.5814000008966316</v>
      </c>
      <c r="K639" s="218">
        <f t="shared" si="275"/>
        <v>-238.77950008293837</v>
      </c>
      <c r="L639" s="218">
        <f t="shared" si="276"/>
        <v>-3386.7968011763805</v>
      </c>
      <c r="M639" s="764">
        <f t="shared" si="283"/>
        <v>-557.99026139381408</v>
      </c>
      <c r="N639" s="1863">
        <v>97</v>
      </c>
      <c r="O639" s="761">
        <f>'Emission-Waste Transport Vehicl'!N77</f>
        <v>13.640901664896001</v>
      </c>
      <c r="P639" s="761">
        <f>'Emission-Waste Transport Vehicl'!O77</f>
        <v>19.844671030272</v>
      </c>
      <c r="Q639" s="761">
        <f>'Emission-Waste Transport Vehicl'!P77</f>
        <v>7.5895704149760004</v>
      </c>
      <c r="R639" s="761">
        <f>'Emission-Waste Transport Vehicl'!Q77</f>
        <v>5.8942737976319997</v>
      </c>
      <c r="S639" s="761">
        <f>'Emission-Waste Transport Vehicl'!R77</f>
        <v>0.58665577766400001</v>
      </c>
      <c r="T639" s="761">
        <f>'Emission-Waste Transport Vehicl'!S77</f>
        <v>2.6976927098879999E-2</v>
      </c>
      <c r="U639" s="174">
        <f t="shared" si="284"/>
        <v>-54125.055355199969</v>
      </c>
      <c r="V639" s="174">
        <f t="shared" si="277"/>
        <v>-158.45680606497027</v>
      </c>
      <c r="W639" s="174">
        <f t="shared" si="278"/>
        <v>-153.68110144601246</v>
      </c>
      <c r="X639" s="174">
        <f t="shared" si="279"/>
        <v>-1391.0119123977106</v>
      </c>
      <c r="Y639" s="174">
        <f t="shared" si="280"/>
        <v>-15.215478386492236</v>
      </c>
      <c r="Z639" s="174">
        <f t="shared" si="281"/>
        <v>-140.08137331137738</v>
      </c>
      <c r="AA639" s="174">
        <f t="shared" si="282"/>
        <v>-91.365370404055199</v>
      </c>
      <c r="AB639" s="2987"/>
      <c r="AC639" s="3015"/>
    </row>
    <row r="640" spans="1:29" ht="18.75" x14ac:dyDescent="0.25">
      <c r="A640" s="2990"/>
      <c r="B640" s="2993"/>
      <c r="C640" s="1863">
        <v>2064</v>
      </c>
      <c r="D640" s="218">
        <f t="shared" si="270"/>
        <v>-553710.30019232736</v>
      </c>
      <c r="E640" s="218">
        <f t="shared" si="268"/>
        <v>-433.67520015063405</v>
      </c>
      <c r="F640" s="218">
        <f t="shared" si="269"/>
        <v>-3846.2860013359805</v>
      </c>
      <c r="G640" s="218">
        <f t="shared" si="271"/>
        <v>-11.616300004034839</v>
      </c>
      <c r="H640" s="218">
        <f t="shared" si="272"/>
        <v>-7.7442000026898929</v>
      </c>
      <c r="I640" s="218">
        <f t="shared" si="273"/>
        <v>-183.2794000636608</v>
      </c>
      <c r="J640" s="218">
        <f t="shared" si="274"/>
        <v>-2.5814000008966316</v>
      </c>
      <c r="K640" s="218">
        <f t="shared" si="275"/>
        <v>-238.77950008293837</v>
      </c>
      <c r="L640" s="218">
        <f t="shared" si="276"/>
        <v>-3386.7968011763805</v>
      </c>
      <c r="M640" s="764">
        <f t="shared" si="283"/>
        <v>-557.99026139381408</v>
      </c>
      <c r="N640" s="1863">
        <v>97</v>
      </c>
      <c r="O640" s="761">
        <f>'Emission-Waste Transport Vehicl'!N78</f>
        <v>13.373560857888002</v>
      </c>
      <c r="P640" s="761">
        <f>'Emission-Waste Transport Vehicl'!O78</f>
        <v>19.455745833216003</v>
      </c>
      <c r="Q640" s="761">
        <f>'Emission-Waste Transport Vehicl'!P78</f>
        <v>7.4408264441280014</v>
      </c>
      <c r="R640" s="761">
        <f>'Emission-Waste Transport Vehicl'!Q78</f>
        <v>5.7787550472960003</v>
      </c>
      <c r="S640" s="761">
        <f>'Emission-Waste Transport Vehicl'!R78</f>
        <v>0.57515822179200005</v>
      </c>
      <c r="T640" s="761">
        <f>'Emission-Waste Transport Vehicl'!S78</f>
        <v>2.6448220592640001E-2</v>
      </c>
      <c r="U640" s="174">
        <f t="shared" si="284"/>
        <v>-54125.055355199969</v>
      </c>
      <c r="V640" s="174">
        <f t="shared" si="277"/>
        <v>-155.35129504744455</v>
      </c>
      <c r="W640" s="174">
        <f t="shared" si="278"/>
        <v>-150.66918693392523</v>
      </c>
      <c r="X640" s="174">
        <f t="shared" si="279"/>
        <v>-1363.7502066576026</v>
      </c>
      <c r="Y640" s="174">
        <f t="shared" si="280"/>
        <v>-14.91727828427131</v>
      </c>
      <c r="Z640" s="174">
        <f t="shared" si="281"/>
        <v>-137.33599266808557</v>
      </c>
      <c r="AA640" s="174">
        <f t="shared" si="282"/>
        <v>-89.574748899960426</v>
      </c>
      <c r="AB640" s="2987"/>
      <c r="AC640" s="3015"/>
    </row>
    <row r="641" spans="1:29" ht="18.75" x14ac:dyDescent="0.25">
      <c r="A641" s="2990"/>
      <c r="B641" s="2993"/>
      <c r="C641" s="1863">
        <v>2065</v>
      </c>
      <c r="D641" s="218">
        <f t="shared" si="270"/>
        <v>-553710.30019232736</v>
      </c>
      <c r="E641" s="218">
        <f t="shared" si="268"/>
        <v>-433.67520015063405</v>
      </c>
      <c r="F641" s="218">
        <f t="shared" si="269"/>
        <v>-3846.2860013359805</v>
      </c>
      <c r="G641" s="218">
        <f t="shared" si="271"/>
        <v>-11.616300004034839</v>
      </c>
      <c r="H641" s="218">
        <f t="shared" si="272"/>
        <v>-7.7442000026898929</v>
      </c>
      <c r="I641" s="218">
        <f t="shared" si="273"/>
        <v>-183.2794000636608</v>
      </c>
      <c r="J641" s="218">
        <f t="shared" si="274"/>
        <v>-2.5814000008966316</v>
      </c>
      <c r="K641" s="218">
        <f t="shared" si="275"/>
        <v>-238.77950008293837</v>
      </c>
      <c r="L641" s="218">
        <f t="shared" si="276"/>
        <v>-3386.7968011763805</v>
      </c>
      <c r="M641" s="764">
        <f t="shared" si="283"/>
        <v>-557.99026139381408</v>
      </c>
      <c r="N641" s="1863">
        <v>97</v>
      </c>
      <c r="O641" s="761">
        <f>'Emission-Waste Transport Vehicl'!N79</f>
        <v>13.112740558368001</v>
      </c>
      <c r="P641" s="761">
        <f>'Emission-Waste Transport Vehicl'!O79</f>
        <v>19.076306616576002</v>
      </c>
      <c r="Q641" s="761">
        <f>'Emission-Waste Transport Vehicl'!P79</f>
        <v>7.2957103750080003</v>
      </c>
      <c r="R641" s="761">
        <f>'Emission-Waste Transport Vehicl'!Q79</f>
        <v>5.6660538274560004</v>
      </c>
      <c r="S641" s="761">
        <f>'Emission-Waste Transport Vehicl'!R79</f>
        <v>0.56394109411200011</v>
      </c>
      <c r="T641" s="761">
        <f>'Emission-Waste Transport Vehicl'!S79</f>
        <v>2.5932409367040003E-2</v>
      </c>
      <c r="U641" s="174">
        <f t="shared" si="284"/>
        <v>-54125.055355199969</v>
      </c>
      <c r="V641" s="174">
        <f t="shared" si="277"/>
        <v>-152.321528201078</v>
      </c>
      <c r="W641" s="174">
        <f t="shared" si="278"/>
        <v>-147.73073375140109</v>
      </c>
      <c r="X641" s="174">
        <f t="shared" si="279"/>
        <v>-1337.1534205696921</v>
      </c>
      <c r="Y641" s="174">
        <f t="shared" si="280"/>
        <v>-14.626351355275283</v>
      </c>
      <c r="Z641" s="174">
        <f t="shared" si="281"/>
        <v>-134.65757252828868</v>
      </c>
      <c r="AA641" s="174">
        <f t="shared" si="282"/>
        <v>-87.827801091087494</v>
      </c>
      <c r="AB641" s="2987"/>
      <c r="AC641" s="3015"/>
    </row>
    <row r="642" spans="1:29" ht="18.75" x14ac:dyDescent="0.25">
      <c r="A642" s="2990"/>
      <c r="B642" s="2993"/>
      <c r="C642" s="1863">
        <v>2066</v>
      </c>
      <c r="D642" s="218">
        <f t="shared" si="270"/>
        <v>-553710.30019232736</v>
      </c>
      <c r="E642" s="218">
        <f t="shared" si="268"/>
        <v>-433.67520015063405</v>
      </c>
      <c r="F642" s="218">
        <f t="shared" si="269"/>
        <v>-3846.2860013359805</v>
      </c>
      <c r="G642" s="218">
        <f t="shared" si="271"/>
        <v>-11.616300004034839</v>
      </c>
      <c r="H642" s="218">
        <f t="shared" si="272"/>
        <v>-7.7442000026898929</v>
      </c>
      <c r="I642" s="218">
        <f t="shared" si="273"/>
        <v>-183.2794000636608</v>
      </c>
      <c r="J642" s="218">
        <f t="shared" si="274"/>
        <v>-2.5814000008966316</v>
      </c>
      <c r="K642" s="218">
        <f t="shared" si="275"/>
        <v>-238.77950008293837</v>
      </c>
      <c r="L642" s="218">
        <f t="shared" si="276"/>
        <v>-3386.7968011763805</v>
      </c>
      <c r="M642" s="764">
        <f t="shared" si="283"/>
        <v>-557.99026139381408</v>
      </c>
      <c r="N642" s="1863">
        <v>97</v>
      </c>
      <c r="O642" s="761">
        <f>'Emission-Waste Transport Vehicl'!N80</f>
        <v>12.855180512592</v>
      </c>
      <c r="P642" s="761">
        <f>'Emission-Waste Transport Vehicl'!O80</f>
        <v>18.701610390143998</v>
      </c>
      <c r="Q642" s="761">
        <f>'Emission-Waste Transport Vehicl'!P80</f>
        <v>7.1524082567520004</v>
      </c>
      <c r="R642" s="761">
        <f>'Emission-Waste Transport Vehicl'!Q80</f>
        <v>5.5547613728639993</v>
      </c>
      <c r="S642" s="761">
        <f>'Emission-Waste Transport Vehicl'!R80</f>
        <v>0.55286418052800002</v>
      </c>
      <c r="T642" s="761">
        <f>'Emission-Waste Transport Vehicl'!S80</f>
        <v>2.5423045781760002E-2</v>
      </c>
      <c r="U642" s="174">
        <f t="shared" si="284"/>
        <v>-54125.055355199969</v>
      </c>
      <c r="V642" s="174">
        <f t="shared" si="277"/>
        <v>-149.32963344029102</v>
      </c>
      <c r="W642" s="174">
        <f t="shared" si="278"/>
        <v>-144.82901123365846</v>
      </c>
      <c r="X642" s="174">
        <f t="shared" si="279"/>
        <v>-1310.8890943078807</v>
      </c>
      <c r="Y642" s="174">
        <f t="shared" si="280"/>
        <v>-14.339061012891703</v>
      </c>
      <c r="Z642" s="174">
        <f t="shared" si="281"/>
        <v>-132.01263264023925</v>
      </c>
      <c r="AA642" s="174">
        <f t="shared" si="282"/>
        <v>-86.102690129825447</v>
      </c>
      <c r="AB642" s="2987"/>
      <c r="AC642" s="3015"/>
    </row>
    <row r="643" spans="1:29" ht="18.75" x14ac:dyDescent="0.25">
      <c r="A643" s="2990"/>
      <c r="B643" s="2993"/>
      <c r="C643" s="1863">
        <v>2067</v>
      </c>
      <c r="D643" s="218">
        <f t="shared" si="270"/>
        <v>-553710.30019232736</v>
      </c>
      <c r="E643" s="218">
        <f t="shared" si="268"/>
        <v>-433.67520015063405</v>
      </c>
      <c r="F643" s="218">
        <f t="shared" si="269"/>
        <v>-3846.2860013359805</v>
      </c>
      <c r="G643" s="218">
        <f t="shared" si="271"/>
        <v>-11.616300004034839</v>
      </c>
      <c r="H643" s="218">
        <f t="shared" si="272"/>
        <v>-7.7442000026898929</v>
      </c>
      <c r="I643" s="218">
        <f t="shared" si="273"/>
        <v>-183.2794000636608</v>
      </c>
      <c r="J643" s="218">
        <f t="shared" si="274"/>
        <v>-2.5814000008966316</v>
      </c>
      <c r="K643" s="218">
        <f t="shared" si="275"/>
        <v>-238.77950008293837</v>
      </c>
      <c r="L643" s="218">
        <f t="shared" si="276"/>
        <v>-3386.7968011763805</v>
      </c>
      <c r="M643" s="764">
        <f t="shared" si="283"/>
        <v>-557.99026139381408</v>
      </c>
      <c r="N643" s="1863">
        <v>97</v>
      </c>
      <c r="O643" s="761">
        <f>'Emission-Waste Transport Vehicl'!N81</f>
        <v>12.600880720560001</v>
      </c>
      <c r="P643" s="761">
        <f>'Emission-Waste Transport Vehicl'!O81</f>
        <v>18.331657153920002</v>
      </c>
      <c r="Q643" s="761">
        <f>'Emission-Waste Transport Vehicl'!P81</f>
        <v>7.0109200893600008</v>
      </c>
      <c r="R643" s="761">
        <f>'Emission-Waste Transport Vehicl'!Q81</f>
        <v>5.4448776835200006</v>
      </c>
      <c r="S643" s="761">
        <f>'Emission-Waste Transport Vehicl'!R81</f>
        <v>0.5419274810400001</v>
      </c>
      <c r="T643" s="761">
        <f>'Emission-Waste Transport Vehicl'!S81</f>
        <v>2.4920129836800003E-2</v>
      </c>
      <c r="U643" s="174">
        <f t="shared" si="284"/>
        <v>-54125.055355199969</v>
      </c>
      <c r="V643" s="174">
        <f t="shared" si="277"/>
        <v>-146.37561076508368</v>
      </c>
      <c r="W643" s="174">
        <f t="shared" si="278"/>
        <v>-141.96401938069747</v>
      </c>
      <c r="X643" s="174">
        <f t="shared" si="279"/>
        <v>-1284.9572278721682</v>
      </c>
      <c r="Y643" s="174">
        <f t="shared" si="280"/>
        <v>-14.055407257120578</v>
      </c>
      <c r="Z643" s="174">
        <f t="shared" si="281"/>
        <v>-129.40117300393729</v>
      </c>
      <c r="AA643" s="174">
        <f t="shared" si="282"/>
        <v>-84.399416016174328</v>
      </c>
      <c r="AB643" s="2987"/>
      <c r="AC643" s="3015"/>
    </row>
    <row r="644" spans="1:29" ht="18.75" x14ac:dyDescent="0.25">
      <c r="A644" s="2990"/>
      <c r="B644" s="2993"/>
      <c r="C644" s="1863">
        <v>2068</v>
      </c>
      <c r="D644" s="218">
        <f t="shared" si="270"/>
        <v>-553710.30019232736</v>
      </c>
      <c r="E644" s="218">
        <f t="shared" si="268"/>
        <v>-433.67520015063405</v>
      </c>
      <c r="F644" s="218">
        <f t="shared" si="269"/>
        <v>-3846.2860013359805</v>
      </c>
      <c r="G644" s="218">
        <f t="shared" si="271"/>
        <v>-11.616300004034839</v>
      </c>
      <c r="H644" s="218">
        <f t="shared" si="272"/>
        <v>-7.7442000026898929</v>
      </c>
      <c r="I644" s="218">
        <f t="shared" si="273"/>
        <v>-183.2794000636608</v>
      </c>
      <c r="J644" s="218">
        <f t="shared" si="274"/>
        <v>-2.5814000008966316</v>
      </c>
      <c r="K644" s="218">
        <f t="shared" si="275"/>
        <v>-238.77950008293837</v>
      </c>
      <c r="L644" s="218">
        <f t="shared" si="276"/>
        <v>-3386.7968011763805</v>
      </c>
      <c r="M644" s="764">
        <f t="shared" si="283"/>
        <v>-557.99026139381408</v>
      </c>
      <c r="N644" s="1863">
        <v>97</v>
      </c>
      <c r="O644" s="761">
        <f>'Emission-Waste Transport Vehicl'!N82</f>
        <v>12.356361689760002</v>
      </c>
      <c r="P644" s="761">
        <f>'Emission-Waste Transport Vehicl'!O82</f>
        <v>17.975932888320003</v>
      </c>
      <c r="Q644" s="761">
        <f>'Emission-Waste Transport Vehicl'!P82</f>
        <v>6.8748737745600002</v>
      </c>
      <c r="R644" s="761">
        <f>'Emission-Waste Transport Vehicl'!Q82</f>
        <v>5.339220289920001</v>
      </c>
      <c r="S644" s="761">
        <f>'Emission-Waste Transport Vehicl'!R82</f>
        <v>0.53141142384000006</v>
      </c>
      <c r="T644" s="761">
        <f>'Emission-Waste Transport Vehicl'!S82</f>
        <v>2.4436556812800003E-2</v>
      </c>
      <c r="U644" s="174">
        <f t="shared" si="284"/>
        <v>-54125.055355199969</v>
      </c>
      <c r="V644" s="174">
        <f t="shared" si="277"/>
        <v>-143.53520434661505</v>
      </c>
      <c r="W644" s="174">
        <f t="shared" si="278"/>
        <v>-139.2092195220811</v>
      </c>
      <c r="X644" s="174">
        <f t="shared" si="279"/>
        <v>-1260.0227409147521</v>
      </c>
      <c r="Y644" s="174">
        <f t="shared" si="280"/>
        <v>-13.782663261186803</v>
      </c>
      <c r="Z644" s="174">
        <f t="shared" si="281"/>
        <v>-126.89015412287769</v>
      </c>
      <c r="AA644" s="174">
        <f t="shared" si="282"/>
        <v>-82.761652445355935</v>
      </c>
      <c r="AB644" s="2987"/>
      <c r="AC644" s="3015"/>
    </row>
    <row r="645" spans="1:29" ht="19.5" thickBot="1" x14ac:dyDescent="0.3">
      <c r="A645" s="2991"/>
      <c r="B645" s="2994"/>
      <c r="C645" s="1864">
        <v>2069</v>
      </c>
      <c r="D645" s="222">
        <f t="shared" si="270"/>
        <v>-553710.30019232736</v>
      </c>
      <c r="E645" s="222">
        <f t="shared" si="268"/>
        <v>-433.67520015063405</v>
      </c>
      <c r="F645" s="222">
        <f t="shared" si="269"/>
        <v>-3846.2860013359805</v>
      </c>
      <c r="G645" s="222">
        <f t="shared" si="271"/>
        <v>-11.616300004034839</v>
      </c>
      <c r="H645" s="222">
        <f t="shared" si="272"/>
        <v>-7.7442000026898929</v>
      </c>
      <c r="I645" s="222">
        <f t="shared" si="273"/>
        <v>-183.2794000636608</v>
      </c>
      <c r="J645" s="222">
        <f t="shared" si="274"/>
        <v>-2.5814000008966316</v>
      </c>
      <c r="K645" s="222">
        <f t="shared" si="275"/>
        <v>-238.77950008293837</v>
      </c>
      <c r="L645" s="222">
        <f t="shared" si="276"/>
        <v>-3386.7968011763805</v>
      </c>
      <c r="M645" s="759">
        <f t="shared" si="283"/>
        <v>-557.99026139381408</v>
      </c>
      <c r="N645" s="1864">
        <v>97</v>
      </c>
      <c r="O645" s="767">
        <f>'Emission-Waste Transport Vehicl'!N83</f>
        <v>12.111842658960002</v>
      </c>
      <c r="P645" s="767">
        <f>'Emission-Waste Transport Vehicl'!O83</f>
        <v>17.62020862272</v>
      </c>
      <c r="Q645" s="767">
        <f>'Emission-Waste Transport Vehicl'!P83</f>
        <v>6.7388274597600004</v>
      </c>
      <c r="R645" s="767">
        <f>'Emission-Waste Transport Vehicl'!Q83</f>
        <v>5.2335628963200005</v>
      </c>
      <c r="S645" s="767">
        <f>'Emission-Waste Transport Vehicl'!R83</f>
        <v>0.52089536664000002</v>
      </c>
      <c r="T645" s="767">
        <f>'Emission-Waste Transport Vehicl'!S83</f>
        <v>2.3952983788800002E-2</v>
      </c>
      <c r="U645" s="647">
        <f t="shared" si="284"/>
        <v>-54125.055355199969</v>
      </c>
      <c r="V645" s="647">
        <f t="shared" si="277"/>
        <v>-140.69479792814641</v>
      </c>
      <c r="W645" s="647">
        <f t="shared" si="278"/>
        <v>-136.45441966346471</v>
      </c>
      <c r="X645" s="647">
        <f t="shared" si="279"/>
        <v>-1235.0882539573363</v>
      </c>
      <c r="Y645" s="647">
        <f t="shared" si="280"/>
        <v>-13.509919265253027</v>
      </c>
      <c r="Z645" s="647">
        <f t="shared" si="281"/>
        <v>-124.3791352418181</v>
      </c>
      <c r="AA645" s="647">
        <f t="shared" si="282"/>
        <v>-81.123888874537542</v>
      </c>
      <c r="AB645" s="2996"/>
      <c r="AC645" s="3015"/>
    </row>
    <row r="646" spans="1:29" ht="18.75" x14ac:dyDescent="0.25">
      <c r="A646" s="2992" t="s">
        <v>179</v>
      </c>
      <c r="B646" s="3002" t="s">
        <v>1780</v>
      </c>
      <c r="C646" s="1865">
        <v>2019</v>
      </c>
      <c r="D646" s="221">
        <f t="shared" ref="D646:D677" si="285">$AC$23</f>
        <v>-344423.32708090043</v>
      </c>
      <c r="E646" s="221">
        <f>$AB$23*28</f>
        <v>10780.100343595541</v>
      </c>
      <c r="F646" s="221">
        <f>$AD$23*298</f>
        <v>637.6304884087599</v>
      </c>
      <c r="G646" s="221">
        <f t="shared" ref="G646:G677" si="286">$Y$23</f>
        <v>-10.314280191487157</v>
      </c>
      <c r="H646" s="221">
        <f t="shared" ref="H646:H677" si="287">$Z$23</f>
        <v>-8.6230043200824689</v>
      </c>
      <c r="I646" s="221">
        <f t="shared" ref="I646:I677" si="288">$X$23</f>
        <v>-191.98670873727326</v>
      </c>
      <c r="J646" s="221">
        <f t="shared" ref="J646:J677" si="289">$AA$23</f>
        <v>-8.7088835129789128</v>
      </c>
      <c r="K646" s="221">
        <f t="shared" ref="K646:K677" si="290">$V$23</f>
        <v>-0.96889162262337902</v>
      </c>
      <c r="L646" s="221">
        <f t="shared" ref="L646:L677" si="291">$W$23</f>
        <v>-53.266840116978294</v>
      </c>
      <c r="M646" s="768">
        <f t="shared" si="283"/>
        <v>-333.0055962488961</v>
      </c>
      <c r="N646" s="1865">
        <v>62</v>
      </c>
      <c r="O646" s="760">
        <f>'Emission-Waste Transport Vehicl'!N33</f>
        <v>32.602537440000006</v>
      </c>
      <c r="P646" s="760">
        <f>'Emission-Waste Transport Vehicl'!O33</f>
        <v>47.429902080000005</v>
      </c>
      <c r="Q646" s="760">
        <f>'Emission-Waste Transport Vehicl'!P33</f>
        <v>18.139508640000003</v>
      </c>
      <c r="R646" s="760">
        <f>'Emission-Waste Transport Vehicl'!Q33</f>
        <v>14.087652480000001</v>
      </c>
      <c r="S646" s="760">
        <f>'Emission-Waste Transport Vehicl'!R33</f>
        <v>1.4021409600000001</v>
      </c>
      <c r="T646" s="760">
        <f>'Emission-Waste Transport Vehicl'!S33</f>
        <v>6.4476403200000004E-2</v>
      </c>
      <c r="U646" s="757">
        <f t="shared" si="284"/>
        <v>-20646.346967431557</v>
      </c>
      <c r="V646" s="757">
        <f t="shared" si="277"/>
        <v>-336.27170610961048</v>
      </c>
      <c r="W646" s="757">
        <f t="shared" si="278"/>
        <v>-408.98825053692855</v>
      </c>
      <c r="X646" s="757">
        <f t="shared" si="279"/>
        <v>-3482.5445619049324</v>
      </c>
      <c r="Y646" s="757">
        <f t="shared" si="280"/>
        <v>-122.6877244196485</v>
      </c>
      <c r="Z646" s="757">
        <f t="shared" si="281"/>
        <v>-1.3585226298811024</v>
      </c>
      <c r="AA646" s="757">
        <f t="shared" si="282"/>
        <v>-3.4344542605722279</v>
      </c>
      <c r="AB646" s="2986">
        <f>(SUM(U646:U696)*1.2682)+(SUM(V646:V696))+(SUM(W646:W696))+(SUM(X646:X696))+(SUM(Y646:Y696))+(SUM(Z646:Z696))+(SUM(AA646:AA696))</f>
        <v>-1997287.2491923613</v>
      </c>
      <c r="AC646" s="2727"/>
    </row>
    <row r="647" spans="1:29" ht="18.75" x14ac:dyDescent="0.25">
      <c r="A647" s="2993"/>
      <c r="B647" s="2998"/>
      <c r="C647" s="1863">
        <v>2020</v>
      </c>
      <c r="D647" s="221">
        <f t="shared" si="285"/>
        <v>-344423.32708090043</v>
      </c>
      <c r="E647" s="221">
        <f t="shared" ref="E647:E696" si="292">$AB$23*28</f>
        <v>10780.100343595541</v>
      </c>
      <c r="F647" s="221">
        <f t="shared" ref="F647:F696" si="293">$AD$23*298</f>
        <v>637.6304884087599</v>
      </c>
      <c r="G647" s="218">
        <f t="shared" si="286"/>
        <v>-10.314280191487157</v>
      </c>
      <c r="H647" s="218">
        <f t="shared" si="287"/>
        <v>-8.6230043200824689</v>
      </c>
      <c r="I647" s="218">
        <f t="shared" si="288"/>
        <v>-191.98670873727326</v>
      </c>
      <c r="J647" s="218">
        <f t="shared" si="289"/>
        <v>-8.7088835129789128</v>
      </c>
      <c r="K647" s="218">
        <f t="shared" si="290"/>
        <v>-0.96889162262337902</v>
      </c>
      <c r="L647" s="218">
        <f t="shared" si="291"/>
        <v>-53.266840116978294</v>
      </c>
      <c r="M647" s="764">
        <f t="shared" si="283"/>
        <v>-333.0055962488961</v>
      </c>
      <c r="N647" s="1863">
        <v>64</v>
      </c>
      <c r="O647" s="761">
        <f>'Emission-Waste Transport Vehicl'!N34</f>
        <v>31.963527706176006</v>
      </c>
      <c r="P647" s="761">
        <f>'Emission-Waste Transport Vehicl'!O34</f>
        <v>46.500275999232002</v>
      </c>
      <c r="Q647" s="761">
        <f>'Emission-Waste Transport Vehicl'!P34</f>
        <v>17.783974270656003</v>
      </c>
      <c r="R647" s="761">
        <f>'Emission-Waste Transport Vehicl'!Q34</f>
        <v>13.811534491392001</v>
      </c>
      <c r="S647" s="761">
        <f>'Emission-Waste Transport Vehicl'!R34</f>
        <v>1.3746589971840002</v>
      </c>
      <c r="T647" s="761">
        <f>'Emission-Waste Transport Vehicl'!S34</f>
        <v>6.3212665697280013E-2</v>
      </c>
      <c r="U647" s="174">
        <f t="shared" si="284"/>
        <v>-21312.35815992935</v>
      </c>
      <c r="V647" s="174">
        <f t="shared" si="277"/>
        <v>-329.68078066986209</v>
      </c>
      <c r="W647" s="174">
        <f t="shared" si="278"/>
        <v>-400.97208082640469</v>
      </c>
      <c r="X647" s="174">
        <f t="shared" si="279"/>
        <v>-3414.2866884915957</v>
      </c>
      <c r="Y647" s="174">
        <f t="shared" si="280"/>
        <v>-120.28304502102338</v>
      </c>
      <c r="Z647" s="174">
        <f t="shared" si="281"/>
        <v>-1.3318955863354329</v>
      </c>
      <c r="AA647" s="174">
        <f t="shared" si="282"/>
        <v>-3.3671389570650128</v>
      </c>
      <c r="AB647" s="2987"/>
      <c r="AC647" s="2727"/>
    </row>
    <row r="648" spans="1:29" ht="18.75" x14ac:dyDescent="0.25">
      <c r="A648" s="2993"/>
      <c r="B648" s="2998"/>
      <c r="C648" s="1863">
        <v>2021</v>
      </c>
      <c r="D648" s="221">
        <f t="shared" si="285"/>
        <v>-344423.32708090043</v>
      </c>
      <c r="E648" s="221">
        <f t="shared" si="292"/>
        <v>10780.100343595541</v>
      </c>
      <c r="F648" s="221">
        <f t="shared" si="293"/>
        <v>637.6304884087599</v>
      </c>
      <c r="G648" s="218">
        <f t="shared" si="286"/>
        <v>-10.314280191487157</v>
      </c>
      <c r="H648" s="218">
        <f t="shared" si="287"/>
        <v>-8.6230043200824689</v>
      </c>
      <c r="I648" s="218">
        <f t="shared" si="288"/>
        <v>-191.98670873727326</v>
      </c>
      <c r="J648" s="218">
        <f t="shared" si="289"/>
        <v>-8.7088835129789128</v>
      </c>
      <c r="K648" s="218">
        <f t="shared" si="290"/>
        <v>-0.96889162262337902</v>
      </c>
      <c r="L648" s="218">
        <f t="shared" si="291"/>
        <v>-53.266840116978294</v>
      </c>
      <c r="M648" s="764">
        <f t="shared" si="283"/>
        <v>-333.0055962488961</v>
      </c>
      <c r="N648" s="1863">
        <v>65</v>
      </c>
      <c r="O648" s="761">
        <f>'Emission-Waste Transport Vehicl'!N35</f>
        <v>31.337558987328006</v>
      </c>
      <c r="P648" s="761">
        <f>'Emission-Waste Transport Vehicl'!O35</f>
        <v>45.589621879296011</v>
      </c>
      <c r="Q648" s="761">
        <f>'Emission-Waste Transport Vehicl'!P35</f>
        <v>17.435695704768001</v>
      </c>
      <c r="R648" s="761">
        <f>'Emission-Waste Transport Vehicl'!Q35</f>
        <v>13.541051563776001</v>
      </c>
      <c r="S648" s="761">
        <f>'Emission-Waste Transport Vehicl'!R35</f>
        <v>1.3477378907520003</v>
      </c>
      <c r="T648" s="761">
        <f>'Emission-Waste Transport Vehicl'!S35</f>
        <v>6.1974718755840007E-2</v>
      </c>
      <c r="U648" s="174">
        <f t="shared" si="284"/>
        <v>-21645.363756178245</v>
      </c>
      <c r="V648" s="174">
        <f t="shared" si="277"/>
        <v>-323.22436391255758</v>
      </c>
      <c r="W648" s="174">
        <f t="shared" si="278"/>
        <v>-393.11950641609576</v>
      </c>
      <c r="X648" s="174">
        <f t="shared" si="279"/>
        <v>-3347.4218329030209</v>
      </c>
      <c r="Y648" s="174">
        <f t="shared" si="280"/>
        <v>-117.92744071216615</v>
      </c>
      <c r="Z648" s="174">
        <f t="shared" si="281"/>
        <v>-1.3058119518417159</v>
      </c>
      <c r="AA648" s="174">
        <f t="shared" si="282"/>
        <v>-3.3011974352620257</v>
      </c>
      <c r="AB648" s="2987"/>
      <c r="AC648" s="2727"/>
    </row>
    <row r="649" spans="1:29" ht="18.75" x14ac:dyDescent="0.25">
      <c r="A649" s="2993"/>
      <c r="B649" s="2998"/>
      <c r="C649" s="1863">
        <v>2022</v>
      </c>
      <c r="D649" s="221">
        <f t="shared" si="285"/>
        <v>-344423.32708090043</v>
      </c>
      <c r="E649" s="221">
        <f t="shared" si="292"/>
        <v>10780.100343595541</v>
      </c>
      <c r="F649" s="221">
        <f t="shared" si="293"/>
        <v>637.6304884087599</v>
      </c>
      <c r="G649" s="218">
        <f t="shared" si="286"/>
        <v>-10.314280191487157</v>
      </c>
      <c r="H649" s="218">
        <f t="shared" si="287"/>
        <v>-8.6230043200824689</v>
      </c>
      <c r="I649" s="218">
        <f t="shared" si="288"/>
        <v>-191.98670873727326</v>
      </c>
      <c r="J649" s="218">
        <f t="shared" si="289"/>
        <v>-8.7088835129789128</v>
      </c>
      <c r="K649" s="218">
        <f t="shared" si="290"/>
        <v>-0.96889162262337902</v>
      </c>
      <c r="L649" s="218">
        <f t="shared" si="291"/>
        <v>-53.266840116978294</v>
      </c>
      <c r="M649" s="764">
        <f t="shared" si="283"/>
        <v>-333.0055962488961</v>
      </c>
      <c r="N649" s="1863">
        <v>66</v>
      </c>
      <c r="O649" s="761">
        <f>'Emission-Waste Transport Vehicl'!N36</f>
        <v>30.721371029712003</v>
      </c>
      <c r="P649" s="761">
        <f>'Emission-Waste Transport Vehicl'!O36</f>
        <v>44.693196729984003</v>
      </c>
      <c r="Q649" s="761">
        <f>'Emission-Waste Transport Vehicl'!P36</f>
        <v>17.092858991472003</v>
      </c>
      <c r="R649" s="761">
        <f>'Emission-Waste Transport Vehicl'!Q36</f>
        <v>13.274794931903999</v>
      </c>
      <c r="S649" s="761">
        <f>'Emission-Waste Transport Vehicl'!R36</f>
        <v>1.3212374266080003</v>
      </c>
      <c r="T649" s="761">
        <f>'Emission-Waste Transport Vehicl'!S36</f>
        <v>6.0756114735360002E-2</v>
      </c>
      <c r="U649" s="174">
        <f t="shared" si="284"/>
        <v>-21978.369352427144</v>
      </c>
      <c r="V649" s="174">
        <f t="shared" si="277"/>
        <v>-316.86882866708589</v>
      </c>
      <c r="W649" s="174">
        <f t="shared" si="278"/>
        <v>-385.38962848094775</v>
      </c>
      <c r="X649" s="174">
        <f t="shared" si="279"/>
        <v>-3281.6017406830179</v>
      </c>
      <c r="Y649" s="174">
        <f t="shared" si="280"/>
        <v>-115.60864272063476</v>
      </c>
      <c r="Z649" s="174">
        <f t="shared" si="281"/>
        <v>-1.2801358741369631</v>
      </c>
      <c r="AA649" s="174">
        <f t="shared" si="282"/>
        <v>-3.2362862497372102</v>
      </c>
      <c r="AB649" s="2987"/>
      <c r="AC649" s="2727"/>
    </row>
    <row r="650" spans="1:29" ht="18.75" x14ac:dyDescent="0.25">
      <c r="A650" s="2993"/>
      <c r="B650" s="2998"/>
      <c r="C650" s="1863">
        <v>2023</v>
      </c>
      <c r="D650" s="221">
        <f t="shared" si="285"/>
        <v>-344423.32708090043</v>
      </c>
      <c r="E650" s="221">
        <f t="shared" si="292"/>
        <v>10780.100343595541</v>
      </c>
      <c r="F650" s="221">
        <f t="shared" si="293"/>
        <v>637.6304884087599</v>
      </c>
      <c r="G650" s="218">
        <f t="shared" si="286"/>
        <v>-10.314280191487157</v>
      </c>
      <c r="H650" s="218">
        <f t="shared" si="287"/>
        <v>-8.6230043200824689</v>
      </c>
      <c r="I650" s="218">
        <f t="shared" si="288"/>
        <v>-191.98670873727326</v>
      </c>
      <c r="J650" s="218">
        <f t="shared" si="289"/>
        <v>-8.7088835129789128</v>
      </c>
      <c r="K650" s="218">
        <f t="shared" si="290"/>
        <v>-0.96889162262337902</v>
      </c>
      <c r="L650" s="218">
        <f t="shared" si="291"/>
        <v>-53.266840116978294</v>
      </c>
      <c r="M650" s="764">
        <f t="shared" si="283"/>
        <v>-333.0055962488961</v>
      </c>
      <c r="N650" s="1863">
        <v>67</v>
      </c>
      <c r="O650" s="761">
        <f>'Emission-Waste Transport Vehicl'!N37</f>
        <v>30.118224087072001</v>
      </c>
      <c r="P650" s="761">
        <f>'Emission-Waste Transport Vehicl'!O37</f>
        <v>43.815743541504006</v>
      </c>
      <c r="Q650" s="761">
        <f>'Emission-Waste Transport Vehicl'!P37</f>
        <v>16.757278081632002</v>
      </c>
      <c r="R650" s="761">
        <f>'Emission-Waste Transport Vehicl'!Q37</f>
        <v>13.014173361024</v>
      </c>
      <c r="S650" s="761">
        <f>'Emission-Waste Transport Vehicl'!R37</f>
        <v>1.295297818848</v>
      </c>
      <c r="T650" s="761">
        <f>'Emission-Waste Transport Vehicl'!S37</f>
        <v>5.9563301276160004E-2</v>
      </c>
      <c r="U650" s="174">
        <f t="shared" si="284"/>
        <v>-22311.374948676039</v>
      </c>
      <c r="V650" s="174">
        <f t="shared" si="277"/>
        <v>-310.64780210405809</v>
      </c>
      <c r="W650" s="174">
        <f t="shared" si="278"/>
        <v>-377.82334584601455</v>
      </c>
      <c r="X650" s="174">
        <f t="shared" si="279"/>
        <v>-3217.1746662877763</v>
      </c>
      <c r="Y650" s="174">
        <f t="shared" si="280"/>
        <v>-113.33891981887128</v>
      </c>
      <c r="Z650" s="174">
        <f t="shared" si="281"/>
        <v>-1.2550032054841624</v>
      </c>
      <c r="AA650" s="174">
        <f t="shared" si="282"/>
        <v>-3.1727488459166242</v>
      </c>
      <c r="AB650" s="2987"/>
      <c r="AC650" s="2727"/>
    </row>
    <row r="651" spans="1:29" ht="18.75" x14ac:dyDescent="0.25">
      <c r="A651" s="2993"/>
      <c r="B651" s="2998"/>
      <c r="C651" s="1863">
        <v>2024</v>
      </c>
      <c r="D651" s="221">
        <f t="shared" si="285"/>
        <v>-344423.32708090043</v>
      </c>
      <c r="E651" s="221">
        <f t="shared" si="292"/>
        <v>10780.100343595541</v>
      </c>
      <c r="F651" s="221">
        <f t="shared" si="293"/>
        <v>637.6304884087599</v>
      </c>
      <c r="G651" s="218">
        <f t="shared" si="286"/>
        <v>-10.314280191487157</v>
      </c>
      <c r="H651" s="218">
        <f t="shared" si="287"/>
        <v>-8.6230043200824689</v>
      </c>
      <c r="I651" s="218">
        <f t="shared" si="288"/>
        <v>-191.98670873727326</v>
      </c>
      <c r="J651" s="218">
        <f t="shared" si="289"/>
        <v>-8.7088835129789128</v>
      </c>
      <c r="K651" s="218">
        <f t="shared" si="290"/>
        <v>-0.96889162262337902</v>
      </c>
      <c r="L651" s="218">
        <f t="shared" si="291"/>
        <v>-53.266840116978294</v>
      </c>
      <c r="M651" s="764">
        <f t="shared" si="283"/>
        <v>-333.0055962488961</v>
      </c>
      <c r="N651" s="1863">
        <v>68</v>
      </c>
      <c r="O651" s="761">
        <f>'Emission-Waste Transport Vehicl'!N38</f>
        <v>29.528118159408002</v>
      </c>
      <c r="P651" s="761">
        <f>'Emission-Waste Transport Vehicl'!O38</f>
        <v>42.957262313856006</v>
      </c>
      <c r="Q651" s="761">
        <f>'Emission-Waste Transport Vehicl'!P38</f>
        <v>16.428952975248002</v>
      </c>
      <c r="R651" s="761">
        <f>'Emission-Waste Transport Vehicl'!Q38</f>
        <v>12.759186851135999</v>
      </c>
      <c r="S651" s="761">
        <f>'Emission-Waste Transport Vehicl'!R38</f>
        <v>1.269919067472</v>
      </c>
      <c r="T651" s="761">
        <f>'Emission-Waste Transport Vehicl'!S38</f>
        <v>5.8396278378240005E-2</v>
      </c>
      <c r="U651" s="174">
        <f t="shared" si="284"/>
        <v>-22644.380544924934</v>
      </c>
      <c r="V651" s="174">
        <f t="shared" si="277"/>
        <v>-304.56128422347416</v>
      </c>
      <c r="W651" s="174">
        <f t="shared" si="278"/>
        <v>-370.42065851129615</v>
      </c>
      <c r="X651" s="174">
        <f t="shared" si="279"/>
        <v>-3154.1406097172971</v>
      </c>
      <c r="Y651" s="174">
        <f t="shared" si="280"/>
        <v>-111.11827200687563</v>
      </c>
      <c r="Z651" s="174">
        <f t="shared" si="281"/>
        <v>-1.2304139458833145</v>
      </c>
      <c r="AA651" s="174">
        <f t="shared" si="282"/>
        <v>-3.1105852238002667</v>
      </c>
      <c r="AB651" s="2987"/>
      <c r="AC651" s="2727"/>
    </row>
    <row r="652" spans="1:29" ht="18.75" x14ac:dyDescent="0.25">
      <c r="A652" s="2993"/>
      <c r="B652" s="2998"/>
      <c r="C652" s="1863">
        <v>2025</v>
      </c>
      <c r="D652" s="221">
        <f t="shared" si="285"/>
        <v>-344423.32708090043</v>
      </c>
      <c r="E652" s="221">
        <f t="shared" si="292"/>
        <v>10780.100343595541</v>
      </c>
      <c r="F652" s="221">
        <f t="shared" si="293"/>
        <v>637.6304884087599</v>
      </c>
      <c r="G652" s="218">
        <f t="shared" si="286"/>
        <v>-10.314280191487157</v>
      </c>
      <c r="H652" s="218">
        <f t="shared" si="287"/>
        <v>-8.6230043200824689</v>
      </c>
      <c r="I652" s="218">
        <f t="shared" si="288"/>
        <v>-191.98670873727326</v>
      </c>
      <c r="J652" s="218">
        <f t="shared" si="289"/>
        <v>-8.7088835129789128</v>
      </c>
      <c r="K652" s="218">
        <f t="shared" si="290"/>
        <v>-0.96889162262337902</v>
      </c>
      <c r="L652" s="218">
        <f t="shared" si="291"/>
        <v>-53.266840116978294</v>
      </c>
      <c r="M652" s="764">
        <f t="shared" si="283"/>
        <v>-333.0055962488961</v>
      </c>
      <c r="N652" s="1863">
        <v>69</v>
      </c>
      <c r="O652" s="761">
        <f>'Emission-Waste Transport Vehicl'!N39</f>
        <v>28.951053246720004</v>
      </c>
      <c r="P652" s="761">
        <f>'Emission-Waste Transport Vehicl'!O39</f>
        <v>42.117753047040004</v>
      </c>
      <c r="Q652" s="761">
        <f>'Emission-Waste Transport Vehicl'!P39</f>
        <v>16.10788367232</v>
      </c>
      <c r="R652" s="761">
        <f>'Emission-Waste Transport Vehicl'!Q39</f>
        <v>12.50983540224</v>
      </c>
      <c r="S652" s="761">
        <f>'Emission-Waste Transport Vehicl'!R39</f>
        <v>1.2451011724800001</v>
      </c>
      <c r="T652" s="761">
        <f>'Emission-Waste Transport Vehicl'!S39</f>
        <v>5.7255046041600005E-2</v>
      </c>
      <c r="U652" s="174">
        <f t="shared" si="284"/>
        <v>-22977.386141173829</v>
      </c>
      <c r="V652" s="174">
        <f t="shared" si="277"/>
        <v>-298.60927502533406</v>
      </c>
      <c r="W652" s="174">
        <f t="shared" si="278"/>
        <v>-363.18156647679251</v>
      </c>
      <c r="X652" s="174">
        <f t="shared" si="279"/>
        <v>-3092.4995709715795</v>
      </c>
      <c r="Y652" s="174">
        <f t="shared" si="280"/>
        <v>-108.94669928464786</v>
      </c>
      <c r="Z652" s="174">
        <f t="shared" si="281"/>
        <v>-1.2063680953344189</v>
      </c>
      <c r="AA652" s="174">
        <f t="shared" si="282"/>
        <v>-3.0497953833881386</v>
      </c>
      <c r="AB652" s="2987"/>
      <c r="AC652" s="2727"/>
    </row>
    <row r="653" spans="1:29" ht="18.75" x14ac:dyDescent="0.25">
      <c r="A653" s="2993"/>
      <c r="B653" s="2998"/>
      <c r="C653" s="1863">
        <v>2026</v>
      </c>
      <c r="D653" s="221">
        <f t="shared" si="285"/>
        <v>-344423.32708090043</v>
      </c>
      <c r="E653" s="221">
        <f t="shared" si="292"/>
        <v>10780.100343595541</v>
      </c>
      <c r="F653" s="221">
        <f t="shared" si="293"/>
        <v>637.6304884087599</v>
      </c>
      <c r="G653" s="218">
        <f t="shared" si="286"/>
        <v>-10.314280191487157</v>
      </c>
      <c r="H653" s="218">
        <f t="shared" si="287"/>
        <v>-8.6230043200824689</v>
      </c>
      <c r="I653" s="218">
        <f t="shared" si="288"/>
        <v>-191.98670873727326</v>
      </c>
      <c r="J653" s="218">
        <f t="shared" si="289"/>
        <v>-8.7088835129789128</v>
      </c>
      <c r="K653" s="218">
        <f t="shared" si="290"/>
        <v>-0.96889162262337902</v>
      </c>
      <c r="L653" s="218">
        <f t="shared" si="291"/>
        <v>-53.266840116978294</v>
      </c>
      <c r="M653" s="764">
        <f t="shared" si="283"/>
        <v>-333.0055962488961</v>
      </c>
      <c r="N653" s="1863">
        <v>70</v>
      </c>
      <c r="O653" s="761">
        <f>'Emission-Waste Transport Vehicl'!N40</f>
        <v>28.383769095264007</v>
      </c>
      <c r="P653" s="761">
        <f>'Emission-Waste Transport Vehicl'!O40</f>
        <v>41.292472750848006</v>
      </c>
      <c r="Q653" s="761">
        <f>'Emission-Waste Transport Vehicl'!P40</f>
        <v>15.792256221984003</v>
      </c>
      <c r="R653" s="761">
        <f>'Emission-Waste Transport Vehicl'!Q40</f>
        <v>12.264710249088001</v>
      </c>
      <c r="S653" s="761">
        <f>'Emission-Waste Transport Vehicl'!R40</f>
        <v>1.2207039197760001</v>
      </c>
      <c r="T653" s="761">
        <f>'Emission-Waste Transport Vehicl'!S40</f>
        <v>5.6133156625920007E-2</v>
      </c>
      <c r="U653" s="174">
        <f t="shared" si="284"/>
        <v>-23310.391737422728</v>
      </c>
      <c r="V653" s="174">
        <f t="shared" si="277"/>
        <v>-292.75814733902689</v>
      </c>
      <c r="W653" s="174">
        <f t="shared" si="278"/>
        <v>-356.06517091744996</v>
      </c>
      <c r="X653" s="174">
        <f t="shared" si="279"/>
        <v>-3031.903295594434</v>
      </c>
      <c r="Y653" s="174">
        <f t="shared" si="280"/>
        <v>-106.81193287974598</v>
      </c>
      <c r="Z653" s="174">
        <f t="shared" si="281"/>
        <v>-1.1827298015744878</v>
      </c>
      <c r="AA653" s="174">
        <f t="shared" si="282"/>
        <v>-2.9900358792541817</v>
      </c>
      <c r="AB653" s="2987"/>
      <c r="AC653" s="2727"/>
    </row>
    <row r="654" spans="1:29" ht="18.75" x14ac:dyDescent="0.25">
      <c r="A654" s="2993"/>
      <c r="B654" s="2998"/>
      <c r="C654" s="1863">
        <v>2027</v>
      </c>
      <c r="D654" s="221">
        <f t="shared" si="285"/>
        <v>-344423.32708090043</v>
      </c>
      <c r="E654" s="221">
        <f t="shared" si="292"/>
        <v>10780.100343595541</v>
      </c>
      <c r="F654" s="221">
        <f t="shared" si="293"/>
        <v>637.6304884087599</v>
      </c>
      <c r="G654" s="218">
        <f t="shared" si="286"/>
        <v>-10.314280191487157</v>
      </c>
      <c r="H654" s="218">
        <f t="shared" si="287"/>
        <v>-8.6230043200824689</v>
      </c>
      <c r="I654" s="218">
        <f t="shared" si="288"/>
        <v>-191.98670873727326</v>
      </c>
      <c r="J654" s="218">
        <f t="shared" si="289"/>
        <v>-8.7088835129789128</v>
      </c>
      <c r="K654" s="218">
        <f t="shared" si="290"/>
        <v>-0.96889162262337902</v>
      </c>
      <c r="L654" s="218">
        <f t="shared" si="291"/>
        <v>-53.266840116978294</v>
      </c>
      <c r="M654" s="764">
        <f t="shared" si="283"/>
        <v>-333.0055962488961</v>
      </c>
      <c r="N654" s="1863">
        <v>71</v>
      </c>
      <c r="O654" s="761">
        <f>'Emission-Waste Transport Vehicl'!N41</f>
        <v>27.826265705040004</v>
      </c>
      <c r="P654" s="761">
        <f>'Emission-Waste Transport Vehicl'!O41</f>
        <v>40.481421425280004</v>
      </c>
      <c r="Q654" s="761">
        <f>'Emission-Waste Transport Vehicl'!P41</f>
        <v>15.482070624240002</v>
      </c>
      <c r="R654" s="761">
        <f>'Emission-Waste Transport Vehicl'!Q41</f>
        <v>12.023811391680001</v>
      </c>
      <c r="S654" s="761">
        <f>'Emission-Waste Transport Vehicl'!R41</f>
        <v>1.1967273093600002</v>
      </c>
      <c r="T654" s="761">
        <f>'Emission-Waste Transport Vehicl'!S41</f>
        <v>5.503061013120001E-2</v>
      </c>
      <c r="U654" s="174">
        <f t="shared" si="284"/>
        <v>-23643.397333671623</v>
      </c>
      <c r="V654" s="174">
        <f t="shared" si="277"/>
        <v>-287.00790116455255</v>
      </c>
      <c r="W654" s="174">
        <f t="shared" si="278"/>
        <v>-349.0714718332685</v>
      </c>
      <c r="X654" s="174">
        <f t="shared" si="279"/>
        <v>-2972.3517835858597</v>
      </c>
      <c r="Y654" s="174">
        <f t="shared" si="280"/>
        <v>-104.71397279217</v>
      </c>
      <c r="Z654" s="174">
        <f t="shared" si="281"/>
        <v>-1.159499064603521</v>
      </c>
      <c r="AA654" s="174">
        <f t="shared" si="282"/>
        <v>-2.9313067113983968</v>
      </c>
      <c r="AB654" s="2987"/>
      <c r="AC654" s="2727"/>
    </row>
    <row r="655" spans="1:29" ht="18.75" x14ac:dyDescent="0.25">
      <c r="A655" s="2993"/>
      <c r="B655" s="2998"/>
      <c r="C655" s="1863">
        <v>2028</v>
      </c>
      <c r="D655" s="221">
        <f t="shared" si="285"/>
        <v>-344423.32708090043</v>
      </c>
      <c r="E655" s="221">
        <f t="shared" si="292"/>
        <v>10780.100343595541</v>
      </c>
      <c r="F655" s="221">
        <f t="shared" si="293"/>
        <v>637.6304884087599</v>
      </c>
      <c r="G655" s="218">
        <f t="shared" si="286"/>
        <v>-10.314280191487157</v>
      </c>
      <c r="H655" s="218">
        <f t="shared" si="287"/>
        <v>-8.6230043200824689</v>
      </c>
      <c r="I655" s="218">
        <f t="shared" si="288"/>
        <v>-191.98670873727326</v>
      </c>
      <c r="J655" s="218">
        <f t="shared" si="289"/>
        <v>-8.7088835129789128</v>
      </c>
      <c r="K655" s="218">
        <f t="shared" si="290"/>
        <v>-0.96889162262337902</v>
      </c>
      <c r="L655" s="218">
        <f t="shared" si="291"/>
        <v>-53.266840116978294</v>
      </c>
      <c r="M655" s="764">
        <f t="shared" si="283"/>
        <v>-333.0055962488961</v>
      </c>
      <c r="N655" s="1863">
        <v>72</v>
      </c>
      <c r="O655" s="761">
        <f>'Emission-Waste Transport Vehicl'!N42</f>
        <v>27.281803329792002</v>
      </c>
      <c r="P655" s="761">
        <f>'Emission-Waste Transport Vehicl'!O42</f>
        <v>39.689342060544</v>
      </c>
      <c r="Q655" s="761">
        <f>'Emission-Waste Transport Vehicl'!P42</f>
        <v>15.179140829952001</v>
      </c>
      <c r="R655" s="761">
        <f>'Emission-Waste Transport Vehicl'!Q42</f>
        <v>11.788547595263999</v>
      </c>
      <c r="S655" s="761">
        <f>'Emission-Waste Transport Vehicl'!R42</f>
        <v>1.173311555328</v>
      </c>
      <c r="T655" s="761">
        <f>'Emission-Waste Transport Vehicl'!S42</f>
        <v>5.3953854197759998E-2</v>
      </c>
      <c r="U655" s="174">
        <f t="shared" si="284"/>
        <v>-23976.402929920518</v>
      </c>
      <c r="V655" s="174">
        <f t="shared" si="277"/>
        <v>-281.39216367252203</v>
      </c>
      <c r="W655" s="174">
        <f t="shared" si="278"/>
        <v>-342.24136804930174</v>
      </c>
      <c r="X655" s="174">
        <f t="shared" si="279"/>
        <v>-2914.193289402047</v>
      </c>
      <c r="Y655" s="174">
        <f t="shared" si="280"/>
        <v>-102.66508779436185</v>
      </c>
      <c r="Z655" s="174">
        <f t="shared" si="281"/>
        <v>-1.1368117366845065</v>
      </c>
      <c r="AA655" s="174">
        <f t="shared" si="282"/>
        <v>-2.87395132524684</v>
      </c>
      <c r="AB655" s="2987"/>
      <c r="AC655" s="2727"/>
    </row>
    <row r="656" spans="1:29" ht="18.75" x14ac:dyDescent="0.25">
      <c r="A656" s="2993"/>
      <c r="B656" s="2998"/>
      <c r="C656" s="1863">
        <v>2029</v>
      </c>
      <c r="D656" s="221">
        <f t="shared" si="285"/>
        <v>-344423.32708090043</v>
      </c>
      <c r="E656" s="221">
        <f t="shared" si="292"/>
        <v>10780.100343595541</v>
      </c>
      <c r="F656" s="221">
        <f t="shared" si="293"/>
        <v>637.6304884087599</v>
      </c>
      <c r="G656" s="218">
        <f t="shared" si="286"/>
        <v>-10.314280191487157</v>
      </c>
      <c r="H656" s="218">
        <f t="shared" si="287"/>
        <v>-8.6230043200824689</v>
      </c>
      <c r="I656" s="218">
        <f t="shared" si="288"/>
        <v>-191.98670873727326</v>
      </c>
      <c r="J656" s="218">
        <f t="shared" si="289"/>
        <v>-8.7088835129789128</v>
      </c>
      <c r="K656" s="218">
        <f t="shared" si="290"/>
        <v>-0.96889162262337902</v>
      </c>
      <c r="L656" s="218">
        <f t="shared" si="291"/>
        <v>-53.266840116978294</v>
      </c>
      <c r="M656" s="764">
        <f t="shared" si="283"/>
        <v>-333.0055962488961</v>
      </c>
      <c r="N656" s="1863">
        <v>73</v>
      </c>
      <c r="O656" s="761">
        <f>'Emission-Waste Transport Vehicl'!N43</f>
        <v>26.743861462032005</v>
      </c>
      <c r="P656" s="761">
        <f>'Emission-Waste Transport Vehicl'!O43</f>
        <v>38.906748676224005</v>
      </c>
      <c r="Q656" s="761">
        <f>'Emission-Waste Transport Vehicl'!P43</f>
        <v>14.879838937392002</v>
      </c>
      <c r="R656" s="761">
        <f>'Emission-Waste Transport Vehicl'!Q43</f>
        <v>11.556101329344001</v>
      </c>
      <c r="S656" s="761">
        <f>'Emission-Waste Transport Vehicl'!R43</f>
        <v>1.1501762294880002</v>
      </c>
      <c r="T656" s="761">
        <f>'Emission-Waste Transport Vehicl'!S43</f>
        <v>5.2889993544960004E-2</v>
      </c>
      <c r="U656" s="174">
        <f t="shared" si="284"/>
        <v>-24309.408526169416</v>
      </c>
      <c r="V656" s="174">
        <f t="shared" si="277"/>
        <v>-275.84368052171345</v>
      </c>
      <c r="W656" s="174">
        <f t="shared" si="278"/>
        <v>-335.49306191544247</v>
      </c>
      <c r="X656" s="174">
        <f t="shared" si="279"/>
        <v>-2856.7313041306161</v>
      </c>
      <c r="Y656" s="174">
        <f t="shared" si="280"/>
        <v>-100.64074034143766</v>
      </c>
      <c r="Z656" s="174">
        <f t="shared" si="281"/>
        <v>-1.1143961132914686</v>
      </c>
      <c r="AA656" s="174">
        <f t="shared" si="282"/>
        <v>-2.8172828299473984</v>
      </c>
      <c r="AB656" s="2987"/>
      <c r="AC656" s="2727"/>
    </row>
    <row r="657" spans="1:29" ht="18.75" x14ac:dyDescent="0.25">
      <c r="A657" s="2993"/>
      <c r="B657" s="2998"/>
      <c r="C657" s="1863">
        <v>2030</v>
      </c>
      <c r="D657" s="221">
        <f t="shared" si="285"/>
        <v>-344423.32708090043</v>
      </c>
      <c r="E657" s="221">
        <f t="shared" si="292"/>
        <v>10780.100343595541</v>
      </c>
      <c r="F657" s="221">
        <f t="shared" si="293"/>
        <v>637.6304884087599</v>
      </c>
      <c r="G657" s="218">
        <f t="shared" si="286"/>
        <v>-10.314280191487157</v>
      </c>
      <c r="H657" s="218">
        <f t="shared" si="287"/>
        <v>-8.6230043200824689</v>
      </c>
      <c r="I657" s="218">
        <f t="shared" si="288"/>
        <v>-191.98670873727326</v>
      </c>
      <c r="J657" s="218">
        <f t="shared" si="289"/>
        <v>-8.7088835129789128</v>
      </c>
      <c r="K657" s="218">
        <f t="shared" si="290"/>
        <v>-0.96889162262337902</v>
      </c>
      <c r="L657" s="218">
        <f t="shared" si="291"/>
        <v>-53.266840116978294</v>
      </c>
      <c r="M657" s="764">
        <f t="shared" si="283"/>
        <v>-333.0055962488961</v>
      </c>
      <c r="N657" s="1863">
        <v>75</v>
      </c>
      <c r="O657" s="761">
        <f>'Emission-Waste Transport Vehicl'!N44</f>
        <v>26.222220862992003</v>
      </c>
      <c r="P657" s="761">
        <f>'Emission-Waste Transport Vehicl'!O44</f>
        <v>38.147870242944002</v>
      </c>
      <c r="Q657" s="761">
        <f>'Emission-Waste Transport Vehicl'!P44</f>
        <v>14.589606799152003</v>
      </c>
      <c r="R657" s="761">
        <f>'Emission-Waste Transport Vehicl'!Q44</f>
        <v>11.330698889664001</v>
      </c>
      <c r="S657" s="761">
        <f>'Emission-Waste Transport Vehicl'!R44</f>
        <v>1.1277419741280001</v>
      </c>
      <c r="T657" s="761">
        <f>'Emission-Waste Transport Vehicl'!S44</f>
        <v>5.1858371093760007E-2</v>
      </c>
      <c r="U657" s="174">
        <f t="shared" si="284"/>
        <v>-24975.419718667206</v>
      </c>
      <c r="V657" s="174">
        <f t="shared" si="277"/>
        <v>-270.46333322395969</v>
      </c>
      <c r="W657" s="174">
        <f t="shared" si="278"/>
        <v>-328.94924990685161</v>
      </c>
      <c r="X657" s="174">
        <f t="shared" si="279"/>
        <v>-2801.0105911401374</v>
      </c>
      <c r="Y657" s="174">
        <f t="shared" si="280"/>
        <v>-98.677736750723298</v>
      </c>
      <c r="Z657" s="174">
        <f t="shared" si="281"/>
        <v>-1.0926597512133709</v>
      </c>
      <c r="AA657" s="174">
        <f t="shared" si="282"/>
        <v>-2.7623315617782431</v>
      </c>
      <c r="AB657" s="2987"/>
      <c r="AC657" s="2727"/>
    </row>
    <row r="658" spans="1:29" ht="18.75" x14ac:dyDescent="0.25">
      <c r="A658" s="2993"/>
      <c r="B658" s="2998"/>
      <c r="C658" s="1863">
        <v>2031</v>
      </c>
      <c r="D658" s="221">
        <f t="shared" si="285"/>
        <v>-344423.32708090043</v>
      </c>
      <c r="E658" s="221">
        <f t="shared" si="292"/>
        <v>10780.100343595541</v>
      </c>
      <c r="F658" s="221">
        <f t="shared" si="293"/>
        <v>637.6304884087599</v>
      </c>
      <c r="G658" s="218">
        <f t="shared" si="286"/>
        <v>-10.314280191487157</v>
      </c>
      <c r="H658" s="218">
        <f t="shared" si="287"/>
        <v>-8.6230043200824689</v>
      </c>
      <c r="I658" s="218">
        <f t="shared" si="288"/>
        <v>-191.98670873727326</v>
      </c>
      <c r="J658" s="218">
        <f t="shared" si="289"/>
        <v>-8.7088835129789128</v>
      </c>
      <c r="K658" s="218">
        <f t="shared" si="290"/>
        <v>-0.96889162262337902</v>
      </c>
      <c r="L658" s="218">
        <f t="shared" si="291"/>
        <v>-53.266840116978294</v>
      </c>
      <c r="M658" s="764">
        <f t="shared" si="283"/>
        <v>-333.0055962488961</v>
      </c>
      <c r="N658" s="1863">
        <v>76</v>
      </c>
      <c r="O658" s="761">
        <f>'Emission-Waste Transport Vehicl'!N45</f>
        <v>25.70710077144</v>
      </c>
      <c r="P658" s="761">
        <f>'Emission-Waste Transport Vehicl'!O45</f>
        <v>37.398477790080001</v>
      </c>
      <c r="Q658" s="761">
        <f>'Emission-Waste Transport Vehicl'!P45</f>
        <v>14.303002562640001</v>
      </c>
      <c r="R658" s="761">
        <f>'Emission-Waste Transport Vehicl'!Q45</f>
        <v>11.108113980480001</v>
      </c>
      <c r="S658" s="761">
        <f>'Emission-Waste Transport Vehicl'!R45</f>
        <v>1.1055881469600002</v>
      </c>
      <c r="T658" s="761">
        <f>'Emission-Waste Transport Vehicl'!S45</f>
        <v>5.0839643923200006E-2</v>
      </c>
      <c r="U658" s="174">
        <f t="shared" si="284"/>
        <v>-25308.425314916105</v>
      </c>
      <c r="V658" s="174">
        <f t="shared" si="277"/>
        <v>-265.15024026742782</v>
      </c>
      <c r="W658" s="174">
        <f t="shared" si="278"/>
        <v>-322.48723554836812</v>
      </c>
      <c r="X658" s="174">
        <f t="shared" si="279"/>
        <v>-2745.9863870620388</v>
      </c>
      <c r="Y658" s="174">
        <f t="shared" si="280"/>
        <v>-96.739270704892846</v>
      </c>
      <c r="Z658" s="174">
        <f t="shared" si="281"/>
        <v>-1.0711950936612493</v>
      </c>
      <c r="AA658" s="174">
        <f t="shared" si="282"/>
        <v>-2.7080671844612016</v>
      </c>
      <c r="AB658" s="2987"/>
      <c r="AC658" s="2727"/>
    </row>
    <row r="659" spans="1:29" ht="18.75" x14ac:dyDescent="0.25">
      <c r="A659" s="2993"/>
      <c r="B659" s="2998"/>
      <c r="C659" s="1863">
        <v>2032</v>
      </c>
      <c r="D659" s="221">
        <f t="shared" si="285"/>
        <v>-344423.32708090043</v>
      </c>
      <c r="E659" s="221">
        <f t="shared" si="292"/>
        <v>10780.100343595541</v>
      </c>
      <c r="F659" s="221">
        <f t="shared" si="293"/>
        <v>637.6304884087599</v>
      </c>
      <c r="G659" s="218">
        <f t="shared" si="286"/>
        <v>-10.314280191487157</v>
      </c>
      <c r="H659" s="218">
        <f t="shared" si="287"/>
        <v>-8.6230043200824689</v>
      </c>
      <c r="I659" s="218">
        <f t="shared" si="288"/>
        <v>-191.98670873727326</v>
      </c>
      <c r="J659" s="218">
        <f t="shared" si="289"/>
        <v>-8.7088835129789128</v>
      </c>
      <c r="K659" s="218">
        <f t="shared" si="290"/>
        <v>-0.96889162262337902</v>
      </c>
      <c r="L659" s="218">
        <f t="shared" si="291"/>
        <v>-53.266840116978294</v>
      </c>
      <c r="M659" s="764">
        <f t="shared" si="283"/>
        <v>-333.0055962488961</v>
      </c>
      <c r="N659" s="1863">
        <v>77</v>
      </c>
      <c r="O659" s="761">
        <f>'Emission-Waste Transport Vehicl'!N46</f>
        <v>25.201761441120002</v>
      </c>
      <c r="P659" s="761">
        <f>'Emission-Waste Transport Vehicl'!O46</f>
        <v>36.663314307840004</v>
      </c>
      <c r="Q659" s="761">
        <f>'Emission-Waste Transport Vehicl'!P46</f>
        <v>14.021840178720002</v>
      </c>
      <c r="R659" s="761">
        <f>'Emission-Waste Transport Vehicl'!Q46</f>
        <v>10.889755367040001</v>
      </c>
      <c r="S659" s="761">
        <f>'Emission-Waste Transport Vehicl'!R46</f>
        <v>1.0838549620800002</v>
      </c>
      <c r="T659" s="761">
        <f>'Emission-Waste Transport Vehicl'!S46</f>
        <v>4.9840259673600007E-2</v>
      </c>
      <c r="U659" s="174">
        <f t="shared" si="284"/>
        <v>-25641.430911165</v>
      </c>
      <c r="V659" s="174">
        <f t="shared" si="277"/>
        <v>-259.93802882272888</v>
      </c>
      <c r="W659" s="174">
        <f t="shared" si="278"/>
        <v>-316.14791766504572</v>
      </c>
      <c r="X659" s="174">
        <f t="shared" si="279"/>
        <v>-2692.0069463525124</v>
      </c>
      <c r="Y659" s="174">
        <f t="shared" si="280"/>
        <v>-94.837610976388291</v>
      </c>
      <c r="Z659" s="174">
        <f t="shared" si="281"/>
        <v>-1.0501379928980923</v>
      </c>
      <c r="AA659" s="174">
        <f t="shared" si="282"/>
        <v>-2.6548331434223322</v>
      </c>
      <c r="AB659" s="2987"/>
      <c r="AC659" s="2727"/>
    </row>
    <row r="660" spans="1:29" ht="18.75" x14ac:dyDescent="0.25">
      <c r="A660" s="2993"/>
      <c r="B660" s="2998"/>
      <c r="C660" s="1863">
        <v>2033</v>
      </c>
      <c r="D660" s="221">
        <f t="shared" si="285"/>
        <v>-344423.32708090043</v>
      </c>
      <c r="E660" s="221">
        <f t="shared" si="292"/>
        <v>10780.100343595541</v>
      </c>
      <c r="F660" s="221">
        <f t="shared" si="293"/>
        <v>637.6304884087599</v>
      </c>
      <c r="G660" s="218">
        <f t="shared" si="286"/>
        <v>-10.314280191487157</v>
      </c>
      <c r="H660" s="218">
        <f t="shared" si="287"/>
        <v>-8.6230043200824689</v>
      </c>
      <c r="I660" s="218">
        <f t="shared" si="288"/>
        <v>-191.98670873727326</v>
      </c>
      <c r="J660" s="218">
        <f t="shared" si="289"/>
        <v>-8.7088835129789128</v>
      </c>
      <c r="K660" s="218">
        <f t="shared" si="290"/>
        <v>-0.96889162262337902</v>
      </c>
      <c r="L660" s="218">
        <f t="shared" si="291"/>
        <v>-53.266840116978294</v>
      </c>
      <c r="M660" s="764">
        <f t="shared" si="283"/>
        <v>-333.0055962488961</v>
      </c>
      <c r="N660" s="1863">
        <v>78</v>
      </c>
      <c r="O660" s="761">
        <f>'Emission-Waste Transport Vehicl'!N47</f>
        <v>24.709463125776001</v>
      </c>
      <c r="P660" s="761">
        <f>'Emission-Waste Transport Vehicl'!O47</f>
        <v>35.947122786432004</v>
      </c>
      <c r="Q660" s="761">
        <f>'Emission-Waste Transport Vehicl'!P47</f>
        <v>13.747933598256003</v>
      </c>
      <c r="R660" s="761">
        <f>'Emission-Waste Transport Vehicl'!Q47</f>
        <v>10.677031814592</v>
      </c>
      <c r="S660" s="761">
        <f>'Emission-Waste Transport Vehicl'!R47</f>
        <v>1.0626826335840001</v>
      </c>
      <c r="T660" s="761">
        <f>'Emission-Waste Transport Vehicl'!S47</f>
        <v>4.8866665985280007E-2</v>
      </c>
      <c r="U660" s="174">
        <f t="shared" si="284"/>
        <v>-25974.436507413895</v>
      </c>
      <c r="V660" s="174">
        <f t="shared" si="277"/>
        <v>-254.86032606047374</v>
      </c>
      <c r="W660" s="174">
        <f t="shared" si="278"/>
        <v>-309.97219508193814</v>
      </c>
      <c r="X660" s="174">
        <f t="shared" si="279"/>
        <v>-2639.4205234677484</v>
      </c>
      <c r="Y660" s="174">
        <f t="shared" si="280"/>
        <v>-92.985026337651604</v>
      </c>
      <c r="Z660" s="174">
        <f t="shared" si="281"/>
        <v>-1.0296243011868875</v>
      </c>
      <c r="AA660" s="174">
        <f t="shared" si="282"/>
        <v>-2.6029728840876918</v>
      </c>
      <c r="AB660" s="2987"/>
      <c r="AC660" s="2727"/>
    </row>
    <row r="661" spans="1:29" ht="18.75" x14ac:dyDescent="0.25">
      <c r="A661" s="2993"/>
      <c r="B661" s="2998"/>
      <c r="C661" s="1863">
        <v>2034</v>
      </c>
      <c r="D661" s="221">
        <f t="shared" si="285"/>
        <v>-344423.32708090043</v>
      </c>
      <c r="E661" s="221">
        <f t="shared" si="292"/>
        <v>10780.100343595541</v>
      </c>
      <c r="F661" s="221">
        <f t="shared" si="293"/>
        <v>637.6304884087599</v>
      </c>
      <c r="G661" s="218">
        <f t="shared" si="286"/>
        <v>-10.314280191487157</v>
      </c>
      <c r="H661" s="218">
        <f t="shared" si="287"/>
        <v>-8.6230043200824689</v>
      </c>
      <c r="I661" s="218">
        <f t="shared" si="288"/>
        <v>-191.98670873727326</v>
      </c>
      <c r="J661" s="218">
        <f t="shared" si="289"/>
        <v>-8.7088835129789128</v>
      </c>
      <c r="K661" s="218">
        <f t="shared" si="290"/>
        <v>-0.96889162262337902</v>
      </c>
      <c r="L661" s="218">
        <f t="shared" si="291"/>
        <v>-53.266840116978294</v>
      </c>
      <c r="M661" s="764">
        <f t="shared" si="283"/>
        <v>-333.0055962488961</v>
      </c>
      <c r="N661" s="1863">
        <v>79</v>
      </c>
      <c r="O661" s="761">
        <f>'Emission-Waste Transport Vehicl'!N48</f>
        <v>24.223685317920005</v>
      </c>
      <c r="P661" s="761">
        <f>'Emission-Waste Transport Vehicl'!O48</f>
        <v>35.24041724544</v>
      </c>
      <c r="Q661" s="761">
        <f>'Emission-Waste Transport Vehicl'!P48</f>
        <v>13.477654919520001</v>
      </c>
      <c r="R661" s="761">
        <f>'Emission-Waste Transport Vehicl'!Q48</f>
        <v>10.467125792640001</v>
      </c>
      <c r="S661" s="761">
        <f>'Emission-Waste Transport Vehicl'!R48</f>
        <v>1.04179073328</v>
      </c>
      <c r="T661" s="761">
        <f>'Emission-Waste Transport Vehicl'!S48</f>
        <v>4.7905967577600003E-2</v>
      </c>
      <c r="U661" s="174">
        <f t="shared" si="284"/>
        <v>-26307.44210366279</v>
      </c>
      <c r="V661" s="174">
        <f t="shared" si="277"/>
        <v>-249.84987763944056</v>
      </c>
      <c r="W661" s="174">
        <f t="shared" si="278"/>
        <v>-303.87827014893787</v>
      </c>
      <c r="X661" s="174">
        <f t="shared" si="279"/>
        <v>-2587.5306094953644</v>
      </c>
      <c r="Y661" s="174">
        <f t="shared" si="280"/>
        <v>-91.156979243798844</v>
      </c>
      <c r="Z661" s="174">
        <f t="shared" si="281"/>
        <v>-1.0093823140016591</v>
      </c>
      <c r="AA661" s="174">
        <f t="shared" si="282"/>
        <v>-2.5517995156051652</v>
      </c>
      <c r="AB661" s="2987"/>
      <c r="AC661" s="2727"/>
    </row>
    <row r="662" spans="1:29" ht="18.75" x14ac:dyDescent="0.25">
      <c r="A662" s="2993"/>
      <c r="B662" s="2998"/>
      <c r="C662" s="1863">
        <v>2035</v>
      </c>
      <c r="D662" s="221">
        <f t="shared" si="285"/>
        <v>-344423.32708090043</v>
      </c>
      <c r="E662" s="221">
        <f t="shared" si="292"/>
        <v>10780.100343595541</v>
      </c>
      <c r="F662" s="221">
        <f t="shared" si="293"/>
        <v>637.6304884087599</v>
      </c>
      <c r="G662" s="218">
        <f t="shared" si="286"/>
        <v>-10.314280191487157</v>
      </c>
      <c r="H662" s="218">
        <f t="shared" si="287"/>
        <v>-8.6230043200824689</v>
      </c>
      <c r="I662" s="218">
        <f t="shared" si="288"/>
        <v>-191.98670873727326</v>
      </c>
      <c r="J662" s="218">
        <f t="shared" si="289"/>
        <v>-8.7088835129789128</v>
      </c>
      <c r="K662" s="218">
        <f t="shared" si="290"/>
        <v>-0.96889162262337902</v>
      </c>
      <c r="L662" s="218">
        <f t="shared" si="291"/>
        <v>-53.266840116978294</v>
      </c>
      <c r="M662" s="764">
        <f t="shared" si="283"/>
        <v>-333.0055962488961</v>
      </c>
      <c r="N662" s="1863">
        <v>80</v>
      </c>
      <c r="O662" s="761">
        <f>'Emission-Waste Transport Vehicl'!N49</f>
        <v>23.747688271296006</v>
      </c>
      <c r="P662" s="761">
        <f>'Emission-Waste Transport Vehicl'!O49</f>
        <v>34.547940675072006</v>
      </c>
      <c r="Q662" s="761">
        <f>'Emission-Waste Transport Vehicl'!P49</f>
        <v>13.212818093376002</v>
      </c>
      <c r="R662" s="761">
        <f>'Emission-Waste Transport Vehicl'!Q49</f>
        <v>10.261446066432002</v>
      </c>
      <c r="S662" s="761">
        <f>'Emission-Waste Transport Vehicl'!R49</f>
        <v>1.0213194752640002</v>
      </c>
      <c r="T662" s="761">
        <f>'Emission-Waste Transport Vehicl'!S49</f>
        <v>4.6964612090880008E-2</v>
      </c>
      <c r="U662" s="174">
        <f t="shared" si="284"/>
        <v>-26640.447699911689</v>
      </c>
      <c r="V662" s="174">
        <f t="shared" si="277"/>
        <v>-244.94031073024027</v>
      </c>
      <c r="W662" s="174">
        <f t="shared" si="278"/>
        <v>-297.90704169109875</v>
      </c>
      <c r="X662" s="174">
        <f t="shared" si="279"/>
        <v>-2536.685458891553</v>
      </c>
      <c r="Y662" s="174">
        <f t="shared" si="280"/>
        <v>-89.365738467271981</v>
      </c>
      <c r="Z662" s="174">
        <f t="shared" si="281"/>
        <v>-0.98954788360539525</v>
      </c>
      <c r="AA662" s="174">
        <f t="shared" si="282"/>
        <v>-2.501656483400811</v>
      </c>
      <c r="AB662" s="2987"/>
      <c r="AC662" s="2727"/>
    </row>
    <row r="663" spans="1:29" ht="18.75" x14ac:dyDescent="0.25">
      <c r="A663" s="2993"/>
      <c r="B663" s="2998"/>
      <c r="C663" s="1863">
        <v>2036</v>
      </c>
      <c r="D663" s="221">
        <f t="shared" si="285"/>
        <v>-344423.32708090043</v>
      </c>
      <c r="E663" s="221">
        <f t="shared" si="292"/>
        <v>10780.100343595541</v>
      </c>
      <c r="F663" s="221">
        <f t="shared" si="293"/>
        <v>637.6304884087599</v>
      </c>
      <c r="G663" s="218">
        <f t="shared" si="286"/>
        <v>-10.314280191487157</v>
      </c>
      <c r="H663" s="218">
        <f t="shared" si="287"/>
        <v>-8.6230043200824689</v>
      </c>
      <c r="I663" s="218">
        <f t="shared" si="288"/>
        <v>-191.98670873727326</v>
      </c>
      <c r="J663" s="218">
        <f t="shared" si="289"/>
        <v>-8.7088835129789128</v>
      </c>
      <c r="K663" s="218">
        <f t="shared" si="290"/>
        <v>-0.96889162262337902</v>
      </c>
      <c r="L663" s="218">
        <f t="shared" si="291"/>
        <v>-53.266840116978294</v>
      </c>
      <c r="M663" s="764">
        <f t="shared" si="283"/>
        <v>-333.0055962488961</v>
      </c>
      <c r="N663" s="1863">
        <v>81</v>
      </c>
      <c r="O663" s="761">
        <f>'Emission-Waste Transport Vehicl'!N50</f>
        <v>23.284732239648001</v>
      </c>
      <c r="P663" s="761">
        <f>'Emission-Waste Transport Vehicl'!O50</f>
        <v>33.874436065536003</v>
      </c>
      <c r="Q663" s="761">
        <f>'Emission-Waste Transport Vehicl'!P50</f>
        <v>12.955237070688</v>
      </c>
      <c r="R663" s="761">
        <f>'Emission-Waste Transport Vehicl'!Q50</f>
        <v>10.061401401215999</v>
      </c>
      <c r="S663" s="761">
        <f>'Emission-Waste Transport Vehicl'!R50</f>
        <v>1.001409073632</v>
      </c>
      <c r="T663" s="761">
        <f>'Emission-Waste Transport Vehicl'!S50</f>
        <v>4.6049047165439998E-2</v>
      </c>
      <c r="U663" s="174">
        <f t="shared" si="284"/>
        <v>-26973.453296160584</v>
      </c>
      <c r="V663" s="174">
        <f t="shared" si="277"/>
        <v>-240.16525250348377</v>
      </c>
      <c r="W663" s="174">
        <f t="shared" si="278"/>
        <v>-292.09940853347433</v>
      </c>
      <c r="X663" s="174">
        <f t="shared" si="279"/>
        <v>-2487.2333261125023</v>
      </c>
      <c r="Y663" s="174">
        <f t="shared" si="280"/>
        <v>-87.623572780512944</v>
      </c>
      <c r="Z663" s="174">
        <f t="shared" si="281"/>
        <v>-0.97025686226108332</v>
      </c>
      <c r="AA663" s="174">
        <f t="shared" si="282"/>
        <v>-2.452887232900685</v>
      </c>
      <c r="AB663" s="2987"/>
      <c r="AC663" s="2727"/>
    </row>
    <row r="664" spans="1:29" ht="18.75" x14ac:dyDescent="0.25">
      <c r="A664" s="2993"/>
      <c r="B664" s="2998"/>
      <c r="C664" s="1863">
        <v>2037</v>
      </c>
      <c r="D664" s="221">
        <f t="shared" si="285"/>
        <v>-344423.32708090043</v>
      </c>
      <c r="E664" s="221">
        <f t="shared" si="292"/>
        <v>10780.100343595541</v>
      </c>
      <c r="F664" s="221">
        <f t="shared" si="293"/>
        <v>637.6304884087599</v>
      </c>
      <c r="G664" s="218">
        <f t="shared" si="286"/>
        <v>-10.314280191487157</v>
      </c>
      <c r="H664" s="218">
        <f t="shared" si="287"/>
        <v>-8.6230043200824689</v>
      </c>
      <c r="I664" s="218">
        <f t="shared" si="288"/>
        <v>-191.98670873727326</v>
      </c>
      <c r="J664" s="218">
        <f t="shared" si="289"/>
        <v>-8.7088835129789128</v>
      </c>
      <c r="K664" s="218">
        <f t="shared" si="290"/>
        <v>-0.96889162262337902</v>
      </c>
      <c r="L664" s="218">
        <f t="shared" si="291"/>
        <v>-53.266840116978294</v>
      </c>
      <c r="M664" s="764">
        <f t="shared" si="283"/>
        <v>-333.0055962488961</v>
      </c>
      <c r="N664" s="1863">
        <v>83</v>
      </c>
      <c r="O664" s="761">
        <f>'Emission-Waste Transport Vehicl'!N51</f>
        <v>22.828296715488005</v>
      </c>
      <c r="P664" s="761">
        <f>'Emission-Waste Transport Vehicl'!O51</f>
        <v>33.210417436416002</v>
      </c>
      <c r="Q664" s="761">
        <f>'Emission-Waste Transport Vehicl'!P51</f>
        <v>12.701283949728003</v>
      </c>
      <c r="R664" s="761">
        <f>'Emission-Waste Transport Vehicl'!Q51</f>
        <v>9.8641742664960006</v>
      </c>
      <c r="S664" s="761">
        <f>'Emission-Waste Transport Vehicl'!R51</f>
        <v>0.9817791001920001</v>
      </c>
      <c r="T664" s="761">
        <f>'Emission-Waste Transport Vehicl'!S51</f>
        <v>4.5146377520640005E-2</v>
      </c>
      <c r="U664" s="174">
        <f t="shared" si="284"/>
        <v>-27639.464488658377</v>
      </c>
      <c r="V664" s="174">
        <f t="shared" si="277"/>
        <v>-235.45744861794924</v>
      </c>
      <c r="W664" s="174">
        <f t="shared" si="278"/>
        <v>-286.37357302595734</v>
      </c>
      <c r="X664" s="174">
        <f t="shared" si="279"/>
        <v>-2438.4777022458338</v>
      </c>
      <c r="Y664" s="174">
        <f t="shared" si="280"/>
        <v>-85.905944638637877</v>
      </c>
      <c r="Z664" s="174">
        <f t="shared" si="281"/>
        <v>-0.95123754544274797</v>
      </c>
      <c r="AA664" s="174">
        <f t="shared" si="282"/>
        <v>-2.4048048732526741</v>
      </c>
      <c r="AB664" s="2987"/>
      <c r="AC664" s="2727"/>
    </row>
    <row r="665" spans="1:29" ht="18.75" x14ac:dyDescent="0.25">
      <c r="A665" s="2993"/>
      <c r="B665" s="2998"/>
      <c r="C665" s="1863">
        <v>2038</v>
      </c>
      <c r="D665" s="221">
        <f t="shared" si="285"/>
        <v>-344423.32708090043</v>
      </c>
      <c r="E665" s="221">
        <f t="shared" si="292"/>
        <v>10780.100343595541</v>
      </c>
      <c r="F665" s="221">
        <f t="shared" si="293"/>
        <v>637.6304884087599</v>
      </c>
      <c r="G665" s="218">
        <f t="shared" si="286"/>
        <v>-10.314280191487157</v>
      </c>
      <c r="H665" s="218">
        <f t="shared" si="287"/>
        <v>-8.6230043200824689</v>
      </c>
      <c r="I665" s="218">
        <f t="shared" si="288"/>
        <v>-191.98670873727326</v>
      </c>
      <c r="J665" s="218">
        <f t="shared" si="289"/>
        <v>-8.7088835129789128</v>
      </c>
      <c r="K665" s="218">
        <f t="shared" si="290"/>
        <v>-0.96889162262337902</v>
      </c>
      <c r="L665" s="218">
        <f t="shared" si="291"/>
        <v>-53.266840116978294</v>
      </c>
      <c r="M665" s="764">
        <f t="shared" si="283"/>
        <v>-333.0055962488961</v>
      </c>
      <c r="N665" s="1863">
        <v>84</v>
      </c>
      <c r="O665" s="761">
        <f>'Emission-Waste Transport Vehicl'!N52</f>
        <v>22.378381698816003</v>
      </c>
      <c r="P665" s="761">
        <f>'Emission-Waste Transport Vehicl'!O52</f>
        <v>32.555884787712003</v>
      </c>
      <c r="Q665" s="761">
        <f>'Emission-Waste Transport Vehicl'!P52</f>
        <v>12.450958730496001</v>
      </c>
      <c r="R665" s="761">
        <f>'Emission-Waste Transport Vehicl'!Q52</f>
        <v>9.6697646622720015</v>
      </c>
      <c r="S665" s="761">
        <f>'Emission-Waste Transport Vehicl'!R52</f>
        <v>0.96242955494400007</v>
      </c>
      <c r="T665" s="761">
        <f>'Emission-Waste Transport Vehicl'!S52</f>
        <v>4.4256603156480001E-2</v>
      </c>
      <c r="U665" s="174">
        <f t="shared" si="284"/>
        <v>-27972.470084907272</v>
      </c>
      <c r="V665" s="174">
        <f t="shared" si="277"/>
        <v>-230.81689907363662</v>
      </c>
      <c r="W665" s="174">
        <f t="shared" si="278"/>
        <v>-280.72953516854773</v>
      </c>
      <c r="X665" s="174">
        <f t="shared" si="279"/>
        <v>-2390.4185872915455</v>
      </c>
      <c r="Y665" s="174">
        <f t="shared" si="280"/>
        <v>-84.212854041646736</v>
      </c>
      <c r="Z665" s="174">
        <f t="shared" si="281"/>
        <v>-0.93248993315038875</v>
      </c>
      <c r="AA665" s="174">
        <f t="shared" si="282"/>
        <v>-2.357409404456777</v>
      </c>
      <c r="AB665" s="2987"/>
      <c r="AC665" s="2727"/>
    </row>
    <row r="666" spans="1:29" ht="18.75" x14ac:dyDescent="0.25">
      <c r="A666" s="2993"/>
      <c r="B666" s="2998"/>
      <c r="C666" s="1863">
        <v>2039</v>
      </c>
      <c r="D666" s="221">
        <f t="shared" si="285"/>
        <v>-344423.32708090043</v>
      </c>
      <c r="E666" s="221">
        <f t="shared" si="292"/>
        <v>10780.100343595541</v>
      </c>
      <c r="F666" s="221">
        <f t="shared" si="293"/>
        <v>637.6304884087599</v>
      </c>
      <c r="G666" s="218">
        <f t="shared" si="286"/>
        <v>-10.314280191487157</v>
      </c>
      <c r="H666" s="218">
        <f t="shared" si="287"/>
        <v>-8.6230043200824689</v>
      </c>
      <c r="I666" s="218">
        <f t="shared" si="288"/>
        <v>-191.98670873727326</v>
      </c>
      <c r="J666" s="218">
        <f t="shared" si="289"/>
        <v>-8.7088835129789128</v>
      </c>
      <c r="K666" s="218">
        <f t="shared" si="290"/>
        <v>-0.96889162262337902</v>
      </c>
      <c r="L666" s="218">
        <f t="shared" si="291"/>
        <v>-53.266840116978294</v>
      </c>
      <c r="M666" s="764">
        <f t="shared" si="283"/>
        <v>-333.0055962488961</v>
      </c>
      <c r="N666" s="1863">
        <v>85</v>
      </c>
      <c r="O666" s="761">
        <f>'Emission-Waste Transport Vehicl'!N53</f>
        <v>21.941507697120006</v>
      </c>
      <c r="P666" s="761">
        <f>'Emission-Waste Transport Vehicl'!O53</f>
        <v>31.920324099840006</v>
      </c>
      <c r="Q666" s="761">
        <f>'Emission-Waste Transport Vehicl'!P53</f>
        <v>12.207889314720003</v>
      </c>
      <c r="R666" s="761">
        <f>'Emission-Waste Transport Vehicl'!Q53</f>
        <v>9.4809901190400012</v>
      </c>
      <c r="S666" s="761">
        <f>'Emission-Waste Transport Vehicl'!R53</f>
        <v>0.9436408660800002</v>
      </c>
      <c r="T666" s="761">
        <f>'Emission-Waste Transport Vehicl'!S53</f>
        <v>4.3392619353600011E-2</v>
      </c>
      <c r="U666" s="174">
        <f t="shared" si="284"/>
        <v>-28305.475681156167</v>
      </c>
      <c r="V666" s="174">
        <f t="shared" si="277"/>
        <v>-226.31085821176785</v>
      </c>
      <c r="W666" s="174">
        <f t="shared" si="278"/>
        <v>-275.24909261135292</v>
      </c>
      <c r="X666" s="174">
        <f t="shared" si="279"/>
        <v>-2343.7524901620195</v>
      </c>
      <c r="Y666" s="174">
        <f t="shared" si="280"/>
        <v>-82.568838534423449</v>
      </c>
      <c r="Z666" s="174">
        <f t="shared" si="281"/>
        <v>-0.91428572990998214</v>
      </c>
      <c r="AA666" s="174">
        <f t="shared" si="282"/>
        <v>-2.3113877173651098</v>
      </c>
      <c r="AB666" s="2987"/>
      <c r="AC666" s="2727"/>
    </row>
    <row r="667" spans="1:29" ht="18.75" x14ac:dyDescent="0.25">
      <c r="A667" s="2993"/>
      <c r="B667" s="2998"/>
      <c r="C667" s="1863">
        <v>2040</v>
      </c>
      <c r="D667" s="221">
        <f t="shared" si="285"/>
        <v>-344423.32708090043</v>
      </c>
      <c r="E667" s="221">
        <f t="shared" si="292"/>
        <v>10780.100343595541</v>
      </c>
      <c r="F667" s="221">
        <f t="shared" si="293"/>
        <v>637.6304884087599</v>
      </c>
      <c r="G667" s="218">
        <f t="shared" si="286"/>
        <v>-10.314280191487157</v>
      </c>
      <c r="H667" s="218">
        <f t="shared" si="287"/>
        <v>-8.6230043200824689</v>
      </c>
      <c r="I667" s="218">
        <f t="shared" si="288"/>
        <v>-191.98670873727326</v>
      </c>
      <c r="J667" s="218">
        <f t="shared" si="289"/>
        <v>-8.7088835129789128</v>
      </c>
      <c r="K667" s="218">
        <f t="shared" si="290"/>
        <v>-0.96889162262337902</v>
      </c>
      <c r="L667" s="218">
        <f t="shared" si="291"/>
        <v>-53.266840116978294</v>
      </c>
      <c r="M667" s="764">
        <f t="shared" si="283"/>
        <v>-333.0055962488961</v>
      </c>
      <c r="N667" s="1863">
        <v>86</v>
      </c>
      <c r="O667" s="761">
        <f>'Emission-Waste Transport Vehicl'!N54</f>
        <v>21.511154202912003</v>
      </c>
      <c r="P667" s="761">
        <f>'Emission-Waste Transport Vehicl'!O54</f>
        <v>31.294249392384003</v>
      </c>
      <c r="Q667" s="761">
        <f>'Emission-Waste Transport Vehicl'!P54</f>
        <v>11.968447800672001</v>
      </c>
      <c r="R667" s="761">
        <f>'Emission-Waste Transport Vehicl'!Q54</f>
        <v>9.2950331063040004</v>
      </c>
      <c r="S667" s="761">
        <f>'Emission-Waste Transport Vehicl'!R54</f>
        <v>0.92513260540800013</v>
      </c>
      <c r="T667" s="761">
        <f>'Emission-Waste Transport Vehicl'!S54</f>
        <v>4.254153083136001E-2</v>
      </c>
      <c r="U667" s="174">
        <f t="shared" si="284"/>
        <v>-28638.481277405066</v>
      </c>
      <c r="V667" s="174">
        <f t="shared" si="277"/>
        <v>-221.87207169112096</v>
      </c>
      <c r="W667" s="174">
        <f t="shared" si="278"/>
        <v>-269.85044770426543</v>
      </c>
      <c r="X667" s="174">
        <f t="shared" si="279"/>
        <v>-2297.7829019448741</v>
      </c>
      <c r="Y667" s="174">
        <f t="shared" si="280"/>
        <v>-80.949360572084075</v>
      </c>
      <c r="Z667" s="174">
        <f t="shared" si="281"/>
        <v>-0.89635323119555144</v>
      </c>
      <c r="AA667" s="174">
        <f t="shared" si="282"/>
        <v>-2.2660529211255565</v>
      </c>
      <c r="AB667" s="2987"/>
      <c r="AC667" s="2727"/>
    </row>
    <row r="668" spans="1:29" ht="18.75" x14ac:dyDescent="0.25">
      <c r="A668" s="2993"/>
      <c r="B668" s="2998"/>
      <c r="C668" s="1863">
        <v>2041</v>
      </c>
      <c r="D668" s="221">
        <f t="shared" si="285"/>
        <v>-344423.32708090043</v>
      </c>
      <c r="E668" s="221">
        <f t="shared" si="292"/>
        <v>10780.100343595541</v>
      </c>
      <c r="F668" s="221">
        <f t="shared" si="293"/>
        <v>637.6304884087599</v>
      </c>
      <c r="G668" s="218">
        <f t="shared" si="286"/>
        <v>-10.314280191487157</v>
      </c>
      <c r="H668" s="218">
        <f t="shared" si="287"/>
        <v>-8.6230043200824689</v>
      </c>
      <c r="I668" s="218">
        <f t="shared" si="288"/>
        <v>-191.98670873727326</v>
      </c>
      <c r="J668" s="218">
        <f t="shared" si="289"/>
        <v>-8.7088835129789128</v>
      </c>
      <c r="K668" s="218">
        <f t="shared" si="290"/>
        <v>-0.96889162262337902</v>
      </c>
      <c r="L668" s="218">
        <f t="shared" si="291"/>
        <v>-53.266840116978294</v>
      </c>
      <c r="M668" s="764">
        <f t="shared" si="283"/>
        <v>-333.0055962488961</v>
      </c>
      <c r="N668" s="1863">
        <v>87</v>
      </c>
      <c r="O668" s="761">
        <f>'Emission-Waste Transport Vehicl'!N55</f>
        <v>21.087321216192002</v>
      </c>
      <c r="P668" s="761">
        <f>'Emission-Waste Transport Vehicl'!O55</f>
        <v>30.677660665344007</v>
      </c>
      <c r="Q668" s="761">
        <f>'Emission-Waste Transport Vehicl'!P55</f>
        <v>11.732634188352002</v>
      </c>
      <c r="R668" s="761">
        <f>'Emission-Waste Transport Vehicl'!Q55</f>
        <v>9.1118936240640007</v>
      </c>
      <c r="S668" s="761">
        <f>'Emission-Waste Transport Vehicl'!R55</f>
        <v>0.9069047729280002</v>
      </c>
      <c r="T668" s="761">
        <f>'Emission-Waste Transport Vehicl'!S55</f>
        <v>4.1703337589760005E-2</v>
      </c>
      <c r="U668" s="174">
        <f t="shared" si="284"/>
        <v>-28971.486873653961</v>
      </c>
      <c r="V668" s="174">
        <f t="shared" si="277"/>
        <v>-217.50053951169602</v>
      </c>
      <c r="W668" s="174">
        <f t="shared" si="278"/>
        <v>-264.53360044728538</v>
      </c>
      <c r="X668" s="174">
        <f t="shared" si="279"/>
        <v>-2252.5098226401101</v>
      </c>
      <c r="Y668" s="174">
        <f t="shared" si="280"/>
        <v>-79.354420154628656</v>
      </c>
      <c r="Z668" s="174">
        <f t="shared" si="281"/>
        <v>-0.8786924370070972</v>
      </c>
      <c r="AA668" s="174">
        <f t="shared" si="282"/>
        <v>-2.2214050157381169</v>
      </c>
      <c r="AB668" s="2987"/>
      <c r="AC668" s="2727"/>
    </row>
    <row r="669" spans="1:29" ht="18.75" x14ac:dyDescent="0.25">
      <c r="A669" s="2993"/>
      <c r="B669" s="2998"/>
      <c r="C669" s="1863">
        <v>2042</v>
      </c>
      <c r="D669" s="221">
        <f t="shared" si="285"/>
        <v>-344423.32708090043</v>
      </c>
      <c r="E669" s="221">
        <f t="shared" si="292"/>
        <v>10780.100343595541</v>
      </c>
      <c r="F669" s="221">
        <f t="shared" si="293"/>
        <v>637.6304884087599</v>
      </c>
      <c r="G669" s="218">
        <f t="shared" si="286"/>
        <v>-10.314280191487157</v>
      </c>
      <c r="H669" s="218">
        <f t="shared" si="287"/>
        <v>-8.6230043200824689</v>
      </c>
      <c r="I669" s="218">
        <f t="shared" si="288"/>
        <v>-191.98670873727326</v>
      </c>
      <c r="J669" s="218">
        <f t="shared" si="289"/>
        <v>-8.7088835129789128</v>
      </c>
      <c r="K669" s="218">
        <f t="shared" si="290"/>
        <v>-0.96889162262337902</v>
      </c>
      <c r="L669" s="218">
        <f t="shared" si="291"/>
        <v>-53.266840116978294</v>
      </c>
      <c r="M669" s="764">
        <f t="shared" si="283"/>
        <v>-333.0055962488961</v>
      </c>
      <c r="N669" s="1863">
        <v>88</v>
      </c>
      <c r="O669" s="761">
        <f>'Emission-Waste Transport Vehicl'!N56</f>
        <v>20.676529244448002</v>
      </c>
      <c r="P669" s="761">
        <f>'Emission-Waste Transport Vehicl'!O56</f>
        <v>30.080043899136001</v>
      </c>
      <c r="Q669" s="761">
        <f>'Emission-Waste Transport Vehicl'!P56</f>
        <v>11.504076379488001</v>
      </c>
      <c r="R669" s="761">
        <f>'Emission-Waste Transport Vehicl'!Q56</f>
        <v>8.9343892028159999</v>
      </c>
      <c r="S669" s="761">
        <f>'Emission-Waste Transport Vehicl'!R56</f>
        <v>0.8892377968320001</v>
      </c>
      <c r="T669" s="761">
        <f>'Emission-Waste Transport Vehicl'!S56</f>
        <v>4.0890934909439999E-2</v>
      </c>
      <c r="U669" s="174">
        <f t="shared" si="284"/>
        <v>-29304.492469902856</v>
      </c>
      <c r="V669" s="174">
        <f t="shared" si="277"/>
        <v>-213.26351601471492</v>
      </c>
      <c r="W669" s="174">
        <f t="shared" si="278"/>
        <v>-259.38034849052002</v>
      </c>
      <c r="X669" s="174">
        <f t="shared" si="279"/>
        <v>-2208.629761160108</v>
      </c>
      <c r="Y669" s="174">
        <f t="shared" si="280"/>
        <v>-77.808554826941076</v>
      </c>
      <c r="Z669" s="174">
        <f t="shared" si="281"/>
        <v>-0.86157505187059524</v>
      </c>
      <c r="AA669" s="174">
        <f t="shared" si="282"/>
        <v>-2.1781308920549067</v>
      </c>
      <c r="AB669" s="2987"/>
      <c r="AC669" s="2727"/>
    </row>
    <row r="670" spans="1:29" ht="18.75" x14ac:dyDescent="0.25">
      <c r="A670" s="2993"/>
      <c r="B670" s="2998"/>
      <c r="C670" s="1863">
        <v>2043</v>
      </c>
      <c r="D670" s="221">
        <f t="shared" si="285"/>
        <v>-344423.32708090043</v>
      </c>
      <c r="E670" s="221">
        <f t="shared" si="292"/>
        <v>10780.100343595541</v>
      </c>
      <c r="F670" s="221">
        <f t="shared" si="293"/>
        <v>637.6304884087599</v>
      </c>
      <c r="G670" s="218">
        <f t="shared" si="286"/>
        <v>-10.314280191487157</v>
      </c>
      <c r="H670" s="218">
        <f t="shared" si="287"/>
        <v>-8.6230043200824689</v>
      </c>
      <c r="I670" s="218">
        <f t="shared" si="288"/>
        <v>-191.98670873727326</v>
      </c>
      <c r="J670" s="218">
        <f t="shared" si="289"/>
        <v>-8.7088835129789128</v>
      </c>
      <c r="K670" s="218">
        <f t="shared" si="290"/>
        <v>-0.96889162262337902</v>
      </c>
      <c r="L670" s="218">
        <f t="shared" si="291"/>
        <v>-53.266840116978294</v>
      </c>
      <c r="M670" s="764">
        <f t="shared" si="283"/>
        <v>-333.0055962488961</v>
      </c>
      <c r="N670" s="1863">
        <v>89</v>
      </c>
      <c r="O670" s="761">
        <f>'Emission-Waste Transport Vehicl'!N57</f>
        <v>20.268997526448004</v>
      </c>
      <c r="P670" s="761">
        <f>'Emission-Waste Transport Vehicl'!O57</f>
        <v>29.487170123136003</v>
      </c>
      <c r="Q670" s="761">
        <f>'Emission-Waste Transport Vehicl'!P57</f>
        <v>11.277332521488001</v>
      </c>
      <c r="R670" s="761">
        <f>'Emission-Waste Transport Vehicl'!Q57</f>
        <v>8.7582935468160006</v>
      </c>
      <c r="S670" s="761">
        <f>'Emission-Waste Transport Vehicl'!R57</f>
        <v>0.87171103483200019</v>
      </c>
      <c r="T670" s="761">
        <f>'Emission-Waste Transport Vehicl'!S57</f>
        <v>4.0084979869440006E-2</v>
      </c>
      <c r="U670" s="174">
        <f t="shared" si="284"/>
        <v>-29637.498066151751</v>
      </c>
      <c r="V670" s="174">
        <f t="shared" si="277"/>
        <v>-209.06011968834483</v>
      </c>
      <c r="W670" s="174">
        <f t="shared" si="278"/>
        <v>-254.26799535880846</v>
      </c>
      <c r="X670" s="174">
        <f t="shared" si="279"/>
        <v>-2165.0979541362963</v>
      </c>
      <c r="Y670" s="174">
        <f t="shared" si="280"/>
        <v>-76.274958271695468</v>
      </c>
      <c r="Z670" s="174">
        <f t="shared" si="281"/>
        <v>-0.84459351899708157</v>
      </c>
      <c r="AA670" s="174">
        <f t="shared" si="282"/>
        <v>-2.1352002137977544</v>
      </c>
      <c r="AB670" s="2987"/>
      <c r="AC670" s="2727"/>
    </row>
    <row r="671" spans="1:29" ht="18.75" x14ac:dyDescent="0.25">
      <c r="A671" s="2993"/>
      <c r="B671" s="2998"/>
      <c r="C671" s="1863">
        <v>2044</v>
      </c>
      <c r="D671" s="221">
        <f t="shared" si="285"/>
        <v>-344423.32708090043</v>
      </c>
      <c r="E671" s="221">
        <f t="shared" si="292"/>
        <v>10780.100343595541</v>
      </c>
      <c r="F671" s="221">
        <f t="shared" si="293"/>
        <v>637.6304884087599</v>
      </c>
      <c r="G671" s="218">
        <f t="shared" si="286"/>
        <v>-10.314280191487157</v>
      </c>
      <c r="H671" s="218">
        <f t="shared" si="287"/>
        <v>-8.6230043200824689</v>
      </c>
      <c r="I671" s="218">
        <f t="shared" si="288"/>
        <v>-191.98670873727326</v>
      </c>
      <c r="J671" s="218">
        <f t="shared" si="289"/>
        <v>-8.7088835129789128</v>
      </c>
      <c r="K671" s="218">
        <f t="shared" si="290"/>
        <v>-0.96889162262337902</v>
      </c>
      <c r="L671" s="218">
        <f t="shared" si="291"/>
        <v>-53.266840116978294</v>
      </c>
      <c r="M671" s="764">
        <f t="shared" si="283"/>
        <v>-333.0055962488961</v>
      </c>
      <c r="N671" s="1863">
        <v>90</v>
      </c>
      <c r="O671" s="761">
        <f>'Emission-Waste Transport Vehicl'!N58</f>
        <v>19.871246569680004</v>
      </c>
      <c r="P671" s="761">
        <f>'Emission-Waste Transport Vehicl'!O58</f>
        <v>28.908525317760002</v>
      </c>
      <c r="Q671" s="761">
        <f>'Emission-Waste Transport Vehicl'!P58</f>
        <v>11.056030516080002</v>
      </c>
      <c r="R671" s="761">
        <f>'Emission-Waste Transport Vehicl'!Q58</f>
        <v>8.5864241865600004</v>
      </c>
      <c r="S671" s="761">
        <f>'Emission-Waste Transport Vehicl'!R58</f>
        <v>0.85460491512000014</v>
      </c>
      <c r="T671" s="761">
        <f>'Emission-Waste Transport Vehicl'!S58</f>
        <v>3.9298367750400007E-2</v>
      </c>
      <c r="U671" s="174">
        <f t="shared" si="284"/>
        <v>-29970.50366240065</v>
      </c>
      <c r="V671" s="174">
        <f t="shared" si="277"/>
        <v>-204.95760487380758</v>
      </c>
      <c r="W671" s="174">
        <f t="shared" si="278"/>
        <v>-249.27833870225791</v>
      </c>
      <c r="X671" s="174">
        <f t="shared" si="279"/>
        <v>-2122.6109104810562</v>
      </c>
      <c r="Y671" s="174">
        <f t="shared" si="280"/>
        <v>-74.778168033775756</v>
      </c>
      <c r="Z671" s="174">
        <f t="shared" si="281"/>
        <v>-0.82801954291253199</v>
      </c>
      <c r="AA671" s="174">
        <f t="shared" si="282"/>
        <v>-2.0932998718187732</v>
      </c>
      <c r="AB671" s="2987"/>
      <c r="AC671" s="2727"/>
    </row>
    <row r="672" spans="1:29" ht="18.75" x14ac:dyDescent="0.25">
      <c r="A672" s="2993"/>
      <c r="B672" s="2998"/>
      <c r="C672" s="1863">
        <v>2045</v>
      </c>
      <c r="D672" s="221">
        <f t="shared" si="285"/>
        <v>-344423.32708090043</v>
      </c>
      <c r="E672" s="221">
        <f t="shared" si="292"/>
        <v>10780.100343595541</v>
      </c>
      <c r="F672" s="221">
        <f t="shared" si="293"/>
        <v>637.6304884087599</v>
      </c>
      <c r="G672" s="218">
        <f t="shared" si="286"/>
        <v>-10.314280191487157</v>
      </c>
      <c r="H672" s="218">
        <f t="shared" si="287"/>
        <v>-8.6230043200824689</v>
      </c>
      <c r="I672" s="218">
        <f t="shared" si="288"/>
        <v>-191.98670873727326</v>
      </c>
      <c r="J672" s="218">
        <f t="shared" si="289"/>
        <v>-8.7088835129789128</v>
      </c>
      <c r="K672" s="218">
        <f t="shared" si="290"/>
        <v>-0.96889162262337902</v>
      </c>
      <c r="L672" s="218">
        <f t="shared" si="291"/>
        <v>-53.266840116978294</v>
      </c>
      <c r="M672" s="764">
        <f t="shared" si="283"/>
        <v>-333.0055962488961</v>
      </c>
      <c r="N672" s="1863">
        <v>92</v>
      </c>
      <c r="O672" s="761">
        <f>'Emission-Waste Transport Vehicl'!N59</f>
        <v>19.483276374144001</v>
      </c>
      <c r="P672" s="761">
        <f>'Emission-Waste Transport Vehicl'!O59</f>
        <v>28.344109483008001</v>
      </c>
      <c r="Q672" s="761">
        <f>'Emission-Waste Transport Vehicl'!P59</f>
        <v>10.840170363264003</v>
      </c>
      <c r="R672" s="761">
        <f>'Emission-Waste Transport Vehicl'!Q59</f>
        <v>8.4187811220480011</v>
      </c>
      <c r="S672" s="761">
        <f>'Emission-Waste Transport Vehicl'!R59</f>
        <v>0.83791943769600008</v>
      </c>
      <c r="T672" s="761">
        <f>'Emission-Waste Transport Vehicl'!S59</f>
        <v>3.8531098552320009E-2</v>
      </c>
      <c r="U672" s="174">
        <f t="shared" si="284"/>
        <v>-30636.51485489844</v>
      </c>
      <c r="V672" s="174">
        <f t="shared" si="277"/>
        <v>-200.95597157110319</v>
      </c>
      <c r="W672" s="174">
        <f t="shared" si="278"/>
        <v>-244.41137852086845</v>
      </c>
      <c r="X672" s="174">
        <f t="shared" si="279"/>
        <v>-2081.1686301943878</v>
      </c>
      <c r="Y672" s="174">
        <f t="shared" si="280"/>
        <v>-73.318184113181943</v>
      </c>
      <c r="Z672" s="174">
        <f t="shared" si="281"/>
        <v>-0.81185312361694684</v>
      </c>
      <c r="AA672" s="174">
        <f t="shared" si="282"/>
        <v>-2.0524298661179636</v>
      </c>
      <c r="AB672" s="2987"/>
      <c r="AC672" s="2727"/>
    </row>
    <row r="673" spans="1:29" ht="18.75" x14ac:dyDescent="0.25">
      <c r="A673" s="2993"/>
      <c r="B673" s="2998"/>
      <c r="C673" s="1863">
        <v>2046</v>
      </c>
      <c r="D673" s="221">
        <f t="shared" si="285"/>
        <v>-344423.32708090043</v>
      </c>
      <c r="E673" s="221">
        <f t="shared" si="292"/>
        <v>10780.100343595541</v>
      </c>
      <c r="F673" s="221">
        <f t="shared" si="293"/>
        <v>637.6304884087599</v>
      </c>
      <c r="G673" s="218">
        <f t="shared" si="286"/>
        <v>-10.314280191487157</v>
      </c>
      <c r="H673" s="218">
        <f t="shared" si="287"/>
        <v>-8.6230043200824689</v>
      </c>
      <c r="I673" s="218">
        <f t="shared" si="288"/>
        <v>-191.98670873727326</v>
      </c>
      <c r="J673" s="218">
        <f t="shared" si="289"/>
        <v>-8.7088835129789128</v>
      </c>
      <c r="K673" s="218">
        <f t="shared" si="290"/>
        <v>-0.96889162262337902</v>
      </c>
      <c r="L673" s="218">
        <f t="shared" si="291"/>
        <v>-53.266840116978294</v>
      </c>
      <c r="M673" s="764">
        <f t="shared" si="283"/>
        <v>-333.0055962488961</v>
      </c>
      <c r="N673" s="1863">
        <v>93</v>
      </c>
      <c r="O673" s="761">
        <f>'Emission-Waste Transport Vehicl'!N60</f>
        <v>19.101826686096</v>
      </c>
      <c r="P673" s="761">
        <f>'Emission-Waste Transport Vehicl'!O60</f>
        <v>27.789179628671999</v>
      </c>
      <c r="Q673" s="761">
        <f>'Emission-Waste Transport Vehicl'!P60</f>
        <v>10.627938112176002</v>
      </c>
      <c r="R673" s="761">
        <f>'Emission-Waste Transport Vehicl'!Q60</f>
        <v>8.2539555880319995</v>
      </c>
      <c r="S673" s="761">
        <f>'Emission-Waste Transport Vehicl'!R60</f>
        <v>0.82151438846400004</v>
      </c>
      <c r="T673" s="761">
        <f>'Emission-Waste Transport Vehicl'!S60</f>
        <v>3.777672463488E-2</v>
      </c>
      <c r="U673" s="174">
        <f t="shared" si="284"/>
        <v>-30969.520451147338</v>
      </c>
      <c r="V673" s="174">
        <f t="shared" si="277"/>
        <v>-197.02159260962074</v>
      </c>
      <c r="W673" s="174">
        <f t="shared" si="278"/>
        <v>-239.62621598958637</v>
      </c>
      <c r="X673" s="174">
        <f t="shared" si="279"/>
        <v>-2040.4228588200999</v>
      </c>
      <c r="Y673" s="174">
        <f t="shared" si="280"/>
        <v>-71.882737737472041</v>
      </c>
      <c r="Z673" s="174">
        <f t="shared" si="281"/>
        <v>-0.79595840884733793</v>
      </c>
      <c r="AA673" s="174">
        <f t="shared" si="282"/>
        <v>-2.0122467512692683</v>
      </c>
      <c r="AB673" s="2987"/>
      <c r="AC673" s="2727"/>
    </row>
    <row r="674" spans="1:29" ht="18.75" x14ac:dyDescent="0.25">
      <c r="A674" s="2993"/>
      <c r="B674" s="2998"/>
      <c r="C674" s="1863">
        <v>2047</v>
      </c>
      <c r="D674" s="221">
        <f t="shared" si="285"/>
        <v>-344423.32708090043</v>
      </c>
      <c r="E674" s="221">
        <f t="shared" si="292"/>
        <v>10780.100343595541</v>
      </c>
      <c r="F674" s="221">
        <f t="shared" si="293"/>
        <v>637.6304884087599</v>
      </c>
      <c r="G674" s="218">
        <f t="shared" si="286"/>
        <v>-10.314280191487157</v>
      </c>
      <c r="H674" s="218">
        <f t="shared" si="287"/>
        <v>-8.6230043200824689</v>
      </c>
      <c r="I674" s="218">
        <f t="shared" si="288"/>
        <v>-191.98670873727326</v>
      </c>
      <c r="J674" s="218">
        <f t="shared" si="289"/>
        <v>-8.7088835129789128</v>
      </c>
      <c r="K674" s="218">
        <f t="shared" si="290"/>
        <v>-0.96889162262337902</v>
      </c>
      <c r="L674" s="218">
        <f t="shared" si="291"/>
        <v>-53.266840116978294</v>
      </c>
      <c r="M674" s="764">
        <f t="shared" si="283"/>
        <v>-333.0055962488961</v>
      </c>
      <c r="N674" s="1863">
        <v>94</v>
      </c>
      <c r="O674" s="761">
        <f>'Emission-Waste Transport Vehicl'!N61</f>
        <v>18.726897505536005</v>
      </c>
      <c r="P674" s="761">
        <f>'Emission-Waste Transport Vehicl'!O61</f>
        <v>27.243735754752002</v>
      </c>
      <c r="Q674" s="761">
        <f>'Emission-Waste Transport Vehicl'!P61</f>
        <v>10.419333762816001</v>
      </c>
      <c r="R674" s="761">
        <f>'Emission-Waste Transport Vehicl'!Q61</f>
        <v>8.0919475845120008</v>
      </c>
      <c r="S674" s="761">
        <f>'Emission-Waste Transport Vehicl'!R61</f>
        <v>0.80538976742400015</v>
      </c>
      <c r="T674" s="761">
        <f>'Emission-Waste Transport Vehicl'!S61</f>
        <v>3.7035245998080002E-2</v>
      </c>
      <c r="U674" s="174">
        <f t="shared" si="284"/>
        <v>-31302.526047396233</v>
      </c>
      <c r="V674" s="174">
        <f t="shared" si="277"/>
        <v>-193.15446798936026</v>
      </c>
      <c r="W674" s="174">
        <f t="shared" si="278"/>
        <v>-234.92285110841175</v>
      </c>
      <c r="X674" s="174">
        <f t="shared" si="279"/>
        <v>-2000.373596358193</v>
      </c>
      <c r="Y674" s="174">
        <f t="shared" si="280"/>
        <v>-70.471828906646095</v>
      </c>
      <c r="Z674" s="174">
        <f t="shared" si="281"/>
        <v>-0.78033539860370538</v>
      </c>
      <c r="AA674" s="174">
        <f t="shared" si="282"/>
        <v>-1.9727505272726877</v>
      </c>
      <c r="AB674" s="2987"/>
      <c r="AC674" s="2727"/>
    </row>
    <row r="675" spans="1:29" ht="18.75" x14ac:dyDescent="0.25">
      <c r="A675" s="2993"/>
      <c r="B675" s="2998"/>
      <c r="C675" s="1863">
        <v>2048</v>
      </c>
      <c r="D675" s="221">
        <f t="shared" si="285"/>
        <v>-344423.32708090043</v>
      </c>
      <c r="E675" s="221">
        <f t="shared" si="292"/>
        <v>10780.100343595541</v>
      </c>
      <c r="F675" s="221">
        <f t="shared" si="293"/>
        <v>637.6304884087599</v>
      </c>
      <c r="G675" s="218">
        <f t="shared" si="286"/>
        <v>-10.314280191487157</v>
      </c>
      <c r="H675" s="218">
        <f t="shared" si="287"/>
        <v>-8.6230043200824689</v>
      </c>
      <c r="I675" s="218">
        <f t="shared" si="288"/>
        <v>-191.98670873727326</v>
      </c>
      <c r="J675" s="218">
        <f t="shared" si="289"/>
        <v>-8.7088835129789128</v>
      </c>
      <c r="K675" s="218">
        <f t="shared" si="290"/>
        <v>-0.96889162262337902</v>
      </c>
      <c r="L675" s="218">
        <f t="shared" si="291"/>
        <v>-53.266840116978294</v>
      </c>
      <c r="M675" s="764">
        <f t="shared" si="283"/>
        <v>-333.0055962488961</v>
      </c>
      <c r="N675" s="1863">
        <v>95</v>
      </c>
      <c r="O675" s="761">
        <f>'Emission-Waste Transport Vehicl'!N62</f>
        <v>18.358488832464005</v>
      </c>
      <c r="P675" s="761">
        <f>'Emission-Waste Transport Vehicl'!O62</f>
        <v>26.707777861248005</v>
      </c>
      <c r="Q675" s="761">
        <f>'Emission-Waste Transport Vehicl'!P62</f>
        <v>10.214357315184001</v>
      </c>
      <c r="R675" s="761">
        <f>'Emission-Waste Transport Vehicl'!Q62</f>
        <v>7.9327571114880007</v>
      </c>
      <c r="S675" s="761">
        <f>'Emission-Waste Transport Vehicl'!R62</f>
        <v>0.78954557457600016</v>
      </c>
      <c r="T675" s="761">
        <f>'Emission-Waste Transport Vehicl'!S62</f>
        <v>3.6306662641920007E-2</v>
      </c>
      <c r="U675" s="174">
        <f t="shared" si="284"/>
        <v>-31635.531643645128</v>
      </c>
      <c r="V675" s="174">
        <f t="shared" si="277"/>
        <v>-189.35459771032166</v>
      </c>
      <c r="W675" s="174">
        <f t="shared" si="278"/>
        <v>-230.30128387734447</v>
      </c>
      <c r="X675" s="174">
        <f t="shared" si="279"/>
        <v>-1961.0208428086673</v>
      </c>
      <c r="Y675" s="174">
        <f t="shared" si="280"/>
        <v>-69.085457620704076</v>
      </c>
      <c r="Z675" s="174">
        <f t="shared" si="281"/>
        <v>-0.76498409288604896</v>
      </c>
      <c r="AA675" s="174">
        <f t="shared" si="282"/>
        <v>-1.9339411941282219</v>
      </c>
      <c r="AB675" s="2987"/>
      <c r="AC675" s="2727"/>
    </row>
    <row r="676" spans="1:29" ht="18.75" x14ac:dyDescent="0.25">
      <c r="A676" s="2993"/>
      <c r="B676" s="2998"/>
      <c r="C676" s="1863">
        <v>2049</v>
      </c>
      <c r="D676" s="221">
        <f t="shared" si="285"/>
        <v>-344423.32708090043</v>
      </c>
      <c r="E676" s="221">
        <f t="shared" si="292"/>
        <v>10780.100343595541</v>
      </c>
      <c r="F676" s="221">
        <f t="shared" si="293"/>
        <v>637.6304884087599</v>
      </c>
      <c r="G676" s="218">
        <f t="shared" si="286"/>
        <v>-10.314280191487157</v>
      </c>
      <c r="H676" s="218">
        <f t="shared" si="287"/>
        <v>-8.6230043200824689</v>
      </c>
      <c r="I676" s="218">
        <f t="shared" si="288"/>
        <v>-191.98670873727326</v>
      </c>
      <c r="J676" s="218">
        <f t="shared" si="289"/>
        <v>-8.7088835129789128</v>
      </c>
      <c r="K676" s="218">
        <f t="shared" si="290"/>
        <v>-0.96889162262337902</v>
      </c>
      <c r="L676" s="218">
        <f t="shared" si="291"/>
        <v>-53.266840116978294</v>
      </c>
      <c r="M676" s="764">
        <f t="shared" si="283"/>
        <v>-333.0055962488961</v>
      </c>
      <c r="N676" s="1863">
        <v>96</v>
      </c>
      <c r="O676" s="761">
        <f>'Emission-Waste Transport Vehicl'!N63</f>
        <v>17.999860920624005</v>
      </c>
      <c r="P676" s="761">
        <f>'Emission-Waste Transport Vehicl'!O63</f>
        <v>26.186048938368003</v>
      </c>
      <c r="Q676" s="761">
        <f>'Emission-Waste Transport Vehicl'!P63</f>
        <v>10.014822720144002</v>
      </c>
      <c r="R676" s="761">
        <f>'Emission-Waste Transport Vehicl'!Q63</f>
        <v>7.7777929342080014</v>
      </c>
      <c r="S676" s="761">
        <f>'Emission-Waste Transport Vehicl'!R63</f>
        <v>0.77412202401600017</v>
      </c>
      <c r="T676" s="761">
        <f>'Emission-Waste Transport Vehicl'!S63</f>
        <v>3.5597422206719999E-2</v>
      </c>
      <c r="U676" s="174">
        <f t="shared" si="284"/>
        <v>-31968.537239894024</v>
      </c>
      <c r="V676" s="174">
        <f t="shared" si="277"/>
        <v>-185.65560894311596</v>
      </c>
      <c r="W676" s="174">
        <f t="shared" si="278"/>
        <v>-225.80241312143824</v>
      </c>
      <c r="X676" s="174">
        <f t="shared" si="279"/>
        <v>-1922.7128526277131</v>
      </c>
      <c r="Y676" s="174">
        <f t="shared" si="280"/>
        <v>-67.735892652087941</v>
      </c>
      <c r="Z676" s="174">
        <f t="shared" si="281"/>
        <v>-0.75004034395735675</v>
      </c>
      <c r="AA676" s="174">
        <f t="shared" si="282"/>
        <v>-1.8961621972619269</v>
      </c>
      <c r="AB676" s="2987"/>
      <c r="AC676" s="2727"/>
    </row>
    <row r="677" spans="1:29" ht="18.75" x14ac:dyDescent="0.25">
      <c r="A677" s="2993"/>
      <c r="B677" s="2998"/>
      <c r="C677" s="1863">
        <v>2050</v>
      </c>
      <c r="D677" s="221">
        <f t="shared" si="285"/>
        <v>-344423.32708090043</v>
      </c>
      <c r="E677" s="221">
        <f t="shared" si="292"/>
        <v>10780.100343595541</v>
      </c>
      <c r="F677" s="221">
        <f t="shared" si="293"/>
        <v>637.6304884087599</v>
      </c>
      <c r="G677" s="218">
        <f t="shared" si="286"/>
        <v>-10.314280191487157</v>
      </c>
      <c r="H677" s="218">
        <f t="shared" si="287"/>
        <v>-8.6230043200824689</v>
      </c>
      <c r="I677" s="218">
        <f t="shared" si="288"/>
        <v>-191.98670873727326</v>
      </c>
      <c r="J677" s="218">
        <f t="shared" si="289"/>
        <v>-8.7088835129789128</v>
      </c>
      <c r="K677" s="218">
        <f t="shared" si="290"/>
        <v>-0.96889162262337902</v>
      </c>
      <c r="L677" s="218">
        <f t="shared" si="291"/>
        <v>-53.266840116978294</v>
      </c>
      <c r="M677" s="764">
        <f t="shared" si="283"/>
        <v>-333.0055962488961</v>
      </c>
      <c r="N677" s="1863">
        <v>97</v>
      </c>
      <c r="O677" s="761">
        <f>'Emission-Waste Transport Vehicl'!N64</f>
        <v>17.644493262528005</v>
      </c>
      <c r="P677" s="761">
        <f>'Emission-Waste Transport Vehicl'!O64</f>
        <v>25.669063005696003</v>
      </c>
      <c r="Q677" s="761">
        <f>'Emission-Waste Transport Vehicl'!P64</f>
        <v>9.8171020759680019</v>
      </c>
      <c r="R677" s="761">
        <f>'Emission-Waste Transport Vehicl'!Q64</f>
        <v>7.624237522176001</v>
      </c>
      <c r="S677" s="761">
        <f>'Emission-Waste Transport Vehicl'!R64</f>
        <v>0.75883868755200012</v>
      </c>
      <c r="T677" s="761">
        <f>'Emission-Waste Transport Vehicl'!S64</f>
        <v>3.4894629411840003E-2</v>
      </c>
      <c r="U677" s="174">
        <f t="shared" si="284"/>
        <v>-32301.542836142922</v>
      </c>
      <c r="V677" s="174">
        <f t="shared" si="277"/>
        <v>-181.99024734652122</v>
      </c>
      <c r="W677" s="174">
        <f t="shared" si="278"/>
        <v>-221.34444119058571</v>
      </c>
      <c r="X677" s="174">
        <f t="shared" si="279"/>
        <v>-1884.7531169029494</v>
      </c>
      <c r="Y677" s="174">
        <f t="shared" si="280"/>
        <v>-66.398596455913776</v>
      </c>
      <c r="Z677" s="174">
        <f t="shared" si="281"/>
        <v>-0.73523244729165271</v>
      </c>
      <c r="AA677" s="174">
        <f t="shared" si="282"/>
        <v>-1.8587266458216898</v>
      </c>
      <c r="AB677" s="2987"/>
      <c r="AC677" s="2727"/>
    </row>
    <row r="678" spans="1:29" ht="18.75" x14ac:dyDescent="0.25">
      <c r="A678" s="2993"/>
      <c r="B678" s="2998"/>
      <c r="C678" s="1863">
        <v>2051</v>
      </c>
      <c r="D678" s="221">
        <f t="shared" ref="D678:D696" si="294">$AC$23</f>
        <v>-344423.32708090043</v>
      </c>
      <c r="E678" s="221">
        <f t="shared" si="292"/>
        <v>10780.100343595541</v>
      </c>
      <c r="F678" s="221">
        <f t="shared" si="293"/>
        <v>637.6304884087599</v>
      </c>
      <c r="G678" s="218">
        <f t="shared" ref="G678:G696" si="295">$Y$23</f>
        <v>-10.314280191487157</v>
      </c>
      <c r="H678" s="218">
        <f t="shared" ref="H678:H696" si="296">$Z$23</f>
        <v>-8.6230043200824689</v>
      </c>
      <c r="I678" s="218">
        <f t="shared" ref="I678:I696" si="297">$X$23</f>
        <v>-191.98670873727326</v>
      </c>
      <c r="J678" s="218">
        <f t="shared" ref="J678:J696" si="298">$AA$23</f>
        <v>-8.7088835129789128</v>
      </c>
      <c r="K678" s="218">
        <f t="shared" ref="K678:K696" si="299">$V$23</f>
        <v>-0.96889162262337902</v>
      </c>
      <c r="L678" s="218">
        <f t="shared" ref="L678:L696" si="300">$W$23</f>
        <v>-53.266840116978294</v>
      </c>
      <c r="M678" s="764">
        <f t="shared" si="283"/>
        <v>-333.0055962488961</v>
      </c>
      <c r="N678" s="1863">
        <v>97</v>
      </c>
      <c r="O678" s="761">
        <f>'Emission-Waste Transport Vehicl'!N65</f>
        <v>17.298906365664003</v>
      </c>
      <c r="P678" s="761">
        <f>'Emission-Waste Transport Vehicl'!O65</f>
        <v>25.166306043648003</v>
      </c>
      <c r="Q678" s="761">
        <f>'Emission-Waste Transport Vehicl'!P65</f>
        <v>9.624823284384</v>
      </c>
      <c r="R678" s="761">
        <f>'Emission-Waste Transport Vehicl'!Q65</f>
        <v>7.4749084058879998</v>
      </c>
      <c r="S678" s="761">
        <f>'Emission-Waste Transport Vehicl'!R65</f>
        <v>0.74397599337600007</v>
      </c>
      <c r="T678" s="761">
        <f>'Emission-Waste Transport Vehicl'!S65</f>
        <v>3.4211179537920001E-2</v>
      </c>
      <c r="U678" s="174">
        <f t="shared" si="284"/>
        <v>-32301.542836142922</v>
      </c>
      <c r="V678" s="174">
        <f t="shared" si="277"/>
        <v>-178.42576726175932</v>
      </c>
      <c r="W678" s="174">
        <f t="shared" si="278"/>
        <v>-217.00916573489428</v>
      </c>
      <c r="X678" s="174">
        <f t="shared" si="279"/>
        <v>-1847.8381445467569</v>
      </c>
      <c r="Y678" s="174">
        <f t="shared" si="280"/>
        <v>-65.098106577065494</v>
      </c>
      <c r="Z678" s="174">
        <f t="shared" si="281"/>
        <v>-0.72083210741491299</v>
      </c>
      <c r="AA678" s="174">
        <f t="shared" si="282"/>
        <v>-1.822321430659624</v>
      </c>
      <c r="AB678" s="2987"/>
      <c r="AC678" s="2727"/>
    </row>
    <row r="679" spans="1:29" ht="18.75" x14ac:dyDescent="0.25">
      <c r="A679" s="2993"/>
      <c r="B679" s="2998"/>
      <c r="C679" s="1863">
        <v>2052</v>
      </c>
      <c r="D679" s="221">
        <f t="shared" si="294"/>
        <v>-344423.32708090043</v>
      </c>
      <c r="E679" s="221">
        <f t="shared" si="292"/>
        <v>10780.100343595541</v>
      </c>
      <c r="F679" s="221">
        <f t="shared" si="293"/>
        <v>637.6304884087599</v>
      </c>
      <c r="G679" s="218">
        <f t="shared" si="295"/>
        <v>-10.314280191487157</v>
      </c>
      <c r="H679" s="218">
        <f t="shared" si="296"/>
        <v>-8.6230043200824689</v>
      </c>
      <c r="I679" s="218">
        <f t="shared" si="297"/>
        <v>-191.98670873727326</v>
      </c>
      <c r="J679" s="218">
        <f t="shared" si="298"/>
        <v>-8.7088835129789128</v>
      </c>
      <c r="K679" s="218">
        <f t="shared" si="299"/>
        <v>-0.96889162262337902</v>
      </c>
      <c r="L679" s="218">
        <f t="shared" si="300"/>
        <v>-53.266840116978294</v>
      </c>
      <c r="M679" s="764">
        <f t="shared" si="283"/>
        <v>-333.0055962488961</v>
      </c>
      <c r="N679" s="1863">
        <v>97</v>
      </c>
      <c r="O679" s="761">
        <f>'Emission-Waste Transport Vehicl'!N66</f>
        <v>16.959839976288002</v>
      </c>
      <c r="P679" s="761">
        <f>'Emission-Waste Transport Vehicl'!O66</f>
        <v>24.673035062016002</v>
      </c>
      <c r="Q679" s="761">
        <f>'Emission-Waste Transport Vehicl'!P66</f>
        <v>9.4361723945280005</v>
      </c>
      <c r="R679" s="761">
        <f>'Emission-Waste Transport Vehicl'!Q66</f>
        <v>7.3283968200960006</v>
      </c>
      <c r="S679" s="761">
        <f>'Emission-Waste Transport Vehicl'!R66</f>
        <v>0.72939372739200004</v>
      </c>
      <c r="T679" s="761">
        <f>'Emission-Waste Transport Vehicl'!S66</f>
        <v>3.3540624944640003E-2</v>
      </c>
      <c r="U679" s="174">
        <f t="shared" si="284"/>
        <v>-32301.542836142922</v>
      </c>
      <c r="V679" s="174">
        <f t="shared" si="277"/>
        <v>-174.92854151821936</v>
      </c>
      <c r="W679" s="174">
        <f t="shared" si="278"/>
        <v>-212.7556879293102</v>
      </c>
      <c r="X679" s="174">
        <f t="shared" si="279"/>
        <v>-1811.6196811029456</v>
      </c>
      <c r="Y679" s="174">
        <f t="shared" si="280"/>
        <v>-63.822154243101153</v>
      </c>
      <c r="Z679" s="174">
        <f t="shared" si="281"/>
        <v>-0.70670347206414952</v>
      </c>
      <c r="AA679" s="174">
        <f t="shared" si="282"/>
        <v>-1.786603106349673</v>
      </c>
      <c r="AB679" s="2987"/>
      <c r="AC679" s="2727"/>
    </row>
    <row r="680" spans="1:29" ht="18.75" x14ac:dyDescent="0.25">
      <c r="A680" s="2993"/>
      <c r="B680" s="2998"/>
      <c r="C680" s="1863">
        <v>2053</v>
      </c>
      <c r="D680" s="221">
        <f t="shared" si="294"/>
        <v>-344423.32708090043</v>
      </c>
      <c r="E680" s="221">
        <f t="shared" si="292"/>
        <v>10780.100343595541</v>
      </c>
      <c r="F680" s="221">
        <f t="shared" si="293"/>
        <v>637.6304884087599</v>
      </c>
      <c r="G680" s="218">
        <f t="shared" si="295"/>
        <v>-10.314280191487157</v>
      </c>
      <c r="H680" s="218">
        <f t="shared" si="296"/>
        <v>-8.6230043200824689</v>
      </c>
      <c r="I680" s="218">
        <f t="shared" si="297"/>
        <v>-191.98670873727326</v>
      </c>
      <c r="J680" s="218">
        <f t="shared" si="298"/>
        <v>-8.7088835129789128</v>
      </c>
      <c r="K680" s="218">
        <f t="shared" si="299"/>
        <v>-0.96889162262337902</v>
      </c>
      <c r="L680" s="218">
        <f t="shared" si="300"/>
        <v>-53.266840116978294</v>
      </c>
      <c r="M680" s="764">
        <f t="shared" si="283"/>
        <v>-333.0055962488961</v>
      </c>
      <c r="N680" s="1863">
        <v>97</v>
      </c>
      <c r="O680" s="761">
        <f>'Emission-Waste Transport Vehicl'!N67</f>
        <v>15.361506000000002</v>
      </c>
      <c r="P680" s="761">
        <f>'Emission-Waste Transport Vehicl'!O67</f>
        <v>24.189250060800003</v>
      </c>
      <c r="Q680" s="761">
        <f>'Emission-Waste Transport Vehicl'!P67</f>
        <v>9.2511494064000015</v>
      </c>
      <c r="R680" s="761">
        <f>'Emission-Waste Transport Vehicl'!Q67</f>
        <v>7.1847027647999999</v>
      </c>
      <c r="S680" s="761">
        <f>'Emission-Waste Transport Vehicl'!R67</f>
        <v>0.71509188960000014</v>
      </c>
      <c r="T680" s="761">
        <f>'Emission-Waste Transport Vehicl'!S67</f>
        <v>3.2882965632000001E-2</v>
      </c>
      <c r="U680" s="174">
        <f t="shared" si="284"/>
        <v>-32301.542836142922</v>
      </c>
      <c r="V680" s="174">
        <f t="shared" si="277"/>
        <v>-158.44287704721114</v>
      </c>
      <c r="W680" s="174">
        <f t="shared" si="278"/>
        <v>-208.58400777383355</v>
      </c>
      <c r="X680" s="174">
        <f t="shared" si="279"/>
        <v>-1776.0977265715155</v>
      </c>
      <c r="Y680" s="174">
        <f t="shared" si="280"/>
        <v>-62.570739454020732</v>
      </c>
      <c r="Z680" s="174">
        <f t="shared" si="281"/>
        <v>-0.6928465412393624</v>
      </c>
      <c r="AA680" s="174">
        <f t="shared" si="282"/>
        <v>-1.7515716728918362</v>
      </c>
      <c r="AB680" s="2987"/>
      <c r="AC680" s="2727"/>
    </row>
    <row r="681" spans="1:29" ht="18.75" x14ac:dyDescent="0.25">
      <c r="A681" s="2993"/>
      <c r="B681" s="2998"/>
      <c r="C681" s="1863">
        <v>2054</v>
      </c>
      <c r="D681" s="221">
        <f t="shared" si="294"/>
        <v>-344423.32708090043</v>
      </c>
      <c r="E681" s="221">
        <f t="shared" si="292"/>
        <v>10780.100343595541</v>
      </c>
      <c r="F681" s="221">
        <f t="shared" si="293"/>
        <v>637.6304884087599</v>
      </c>
      <c r="G681" s="218">
        <f t="shared" si="295"/>
        <v>-10.314280191487157</v>
      </c>
      <c r="H681" s="218">
        <f t="shared" si="296"/>
        <v>-8.6230043200824689</v>
      </c>
      <c r="I681" s="218">
        <f t="shared" si="297"/>
        <v>-191.98670873727326</v>
      </c>
      <c r="J681" s="218">
        <f t="shared" si="298"/>
        <v>-8.7088835129789128</v>
      </c>
      <c r="K681" s="218">
        <f t="shared" si="299"/>
        <v>-0.96889162262337902</v>
      </c>
      <c r="L681" s="218">
        <f t="shared" si="300"/>
        <v>-53.266840116978294</v>
      </c>
      <c r="M681" s="764">
        <f t="shared" si="283"/>
        <v>-333.0055962488961</v>
      </c>
      <c r="N681" s="1863">
        <v>97</v>
      </c>
      <c r="O681" s="761">
        <f>'Emission-Waste Transport Vehicl'!N68</f>
        <v>16.301268720000003</v>
      </c>
      <c r="P681" s="761">
        <f>'Emission-Waste Transport Vehicl'!O68</f>
        <v>23.714951040000003</v>
      </c>
      <c r="Q681" s="761">
        <f>'Emission-Waste Transport Vehicl'!P68</f>
        <v>9.0697543200000013</v>
      </c>
      <c r="R681" s="761">
        <f>'Emission-Waste Transport Vehicl'!Q68</f>
        <v>7.0438262400000005</v>
      </c>
      <c r="S681" s="761">
        <f>'Emission-Waste Transport Vehicl'!R68</f>
        <v>0.70107048000000005</v>
      </c>
      <c r="T681" s="761">
        <f>'Emission-Waste Transport Vehicl'!S68</f>
        <v>3.2238201600000002E-2</v>
      </c>
      <c r="U681" s="174">
        <f t="shared" si="284"/>
        <v>-32301.542836142922</v>
      </c>
      <c r="V681" s="174">
        <f t="shared" si="277"/>
        <v>-168.13585305480524</v>
      </c>
      <c r="W681" s="174">
        <f t="shared" si="278"/>
        <v>-204.49412526846427</v>
      </c>
      <c r="X681" s="174">
        <f t="shared" si="279"/>
        <v>-1741.2722809524662</v>
      </c>
      <c r="Y681" s="174">
        <f t="shared" si="280"/>
        <v>-61.343862209824252</v>
      </c>
      <c r="Z681" s="174">
        <f t="shared" si="281"/>
        <v>-0.6792613149405512</v>
      </c>
      <c r="AA681" s="174">
        <f t="shared" si="282"/>
        <v>-1.717227130286114</v>
      </c>
      <c r="AB681" s="2987"/>
      <c r="AC681" s="2727"/>
    </row>
    <row r="682" spans="1:29" ht="18.75" x14ac:dyDescent="0.25">
      <c r="A682" s="2993"/>
      <c r="B682" s="2998"/>
      <c r="C682" s="1863">
        <v>2055</v>
      </c>
      <c r="D682" s="221">
        <f t="shared" si="294"/>
        <v>-344423.32708090043</v>
      </c>
      <c r="E682" s="221">
        <f t="shared" si="292"/>
        <v>10780.100343595541</v>
      </c>
      <c r="F682" s="221">
        <f t="shared" si="293"/>
        <v>637.6304884087599</v>
      </c>
      <c r="G682" s="218">
        <f t="shared" si="295"/>
        <v>-10.314280191487157</v>
      </c>
      <c r="H682" s="218">
        <f t="shared" si="296"/>
        <v>-8.6230043200824689</v>
      </c>
      <c r="I682" s="218">
        <f t="shared" si="297"/>
        <v>-191.98670873727326</v>
      </c>
      <c r="J682" s="218">
        <f t="shared" si="298"/>
        <v>-8.7088835129789128</v>
      </c>
      <c r="K682" s="218">
        <f t="shared" si="299"/>
        <v>-0.96889162262337902</v>
      </c>
      <c r="L682" s="218">
        <f t="shared" si="300"/>
        <v>-53.266840116978294</v>
      </c>
      <c r="M682" s="764">
        <f t="shared" si="283"/>
        <v>-333.0055962488961</v>
      </c>
      <c r="N682" s="1863">
        <v>97</v>
      </c>
      <c r="O682" s="761">
        <f>'Emission-Waste Transport Vehicl'!N69</f>
        <v>15.981763853088003</v>
      </c>
      <c r="P682" s="761">
        <f>'Emission-Waste Transport Vehicl'!O69</f>
        <v>23.250137999616001</v>
      </c>
      <c r="Q682" s="761">
        <f>'Emission-Waste Transport Vehicl'!P69</f>
        <v>8.8919871353280016</v>
      </c>
      <c r="R682" s="761">
        <f>'Emission-Waste Transport Vehicl'!Q69</f>
        <v>6.9057672456960004</v>
      </c>
      <c r="S682" s="761">
        <f>'Emission-Waste Transport Vehicl'!R69</f>
        <v>0.6873294985920001</v>
      </c>
      <c r="T682" s="761">
        <f>'Emission-Waste Transport Vehicl'!S69</f>
        <v>3.1606332848640006E-2</v>
      </c>
      <c r="U682" s="174">
        <f t="shared" si="284"/>
        <v>-32301.542836142922</v>
      </c>
      <c r="V682" s="174">
        <f t="shared" si="277"/>
        <v>-164.84039033493104</v>
      </c>
      <c r="W682" s="174">
        <f t="shared" si="278"/>
        <v>-200.48604041320235</v>
      </c>
      <c r="X682" s="174">
        <f t="shared" si="279"/>
        <v>-1707.1433442457978</v>
      </c>
      <c r="Y682" s="174">
        <f t="shared" si="280"/>
        <v>-60.141522510511692</v>
      </c>
      <c r="Z682" s="174">
        <f t="shared" si="281"/>
        <v>-0.66594779316771646</v>
      </c>
      <c r="AA682" s="174">
        <f t="shared" si="282"/>
        <v>-1.6835694785325064</v>
      </c>
      <c r="AB682" s="2987"/>
      <c r="AC682" s="2727"/>
    </row>
    <row r="683" spans="1:29" ht="18.75" x14ac:dyDescent="0.25">
      <c r="A683" s="2993"/>
      <c r="B683" s="2998"/>
      <c r="C683" s="1863">
        <v>2056</v>
      </c>
      <c r="D683" s="221">
        <f t="shared" si="294"/>
        <v>-344423.32708090043</v>
      </c>
      <c r="E683" s="221">
        <f t="shared" si="292"/>
        <v>10780.100343595541</v>
      </c>
      <c r="F683" s="221">
        <f t="shared" si="293"/>
        <v>637.6304884087599</v>
      </c>
      <c r="G683" s="218">
        <f t="shared" si="295"/>
        <v>-10.314280191487157</v>
      </c>
      <c r="H683" s="218">
        <f t="shared" si="296"/>
        <v>-8.6230043200824689</v>
      </c>
      <c r="I683" s="218">
        <f t="shared" si="297"/>
        <v>-191.98670873727326</v>
      </c>
      <c r="J683" s="218">
        <f t="shared" si="298"/>
        <v>-8.7088835129789128</v>
      </c>
      <c r="K683" s="218">
        <f t="shared" si="299"/>
        <v>-0.96889162262337902</v>
      </c>
      <c r="L683" s="218">
        <f t="shared" si="300"/>
        <v>-53.266840116978294</v>
      </c>
      <c r="M683" s="764">
        <f t="shared" si="283"/>
        <v>-333.0055962488961</v>
      </c>
      <c r="N683" s="1863">
        <v>97</v>
      </c>
      <c r="O683" s="761">
        <f>'Emission-Waste Transport Vehicl'!N70</f>
        <v>15.668779493664003</v>
      </c>
      <c r="P683" s="761">
        <f>'Emission-Waste Transport Vehicl'!O70</f>
        <v>22.794810939648006</v>
      </c>
      <c r="Q683" s="761">
        <f>'Emission-Waste Transport Vehicl'!P70</f>
        <v>8.7178478523840006</v>
      </c>
      <c r="R683" s="761">
        <f>'Emission-Waste Transport Vehicl'!Q70</f>
        <v>6.7705257818880007</v>
      </c>
      <c r="S683" s="761">
        <f>'Emission-Waste Transport Vehicl'!R70</f>
        <v>0.67386894537600017</v>
      </c>
      <c r="T683" s="761">
        <f>'Emission-Waste Transport Vehicl'!S70</f>
        <v>3.0987359377920003E-2</v>
      </c>
      <c r="U683" s="174">
        <f t="shared" si="284"/>
        <v>-32301.542836142922</v>
      </c>
      <c r="V683" s="174">
        <f t="shared" si="277"/>
        <v>-161.61218195627879</v>
      </c>
      <c r="W683" s="174">
        <f t="shared" si="278"/>
        <v>-196.55975320804788</v>
      </c>
      <c r="X683" s="174">
        <f t="shared" si="279"/>
        <v>-1673.7109164515105</v>
      </c>
      <c r="Y683" s="174">
        <f t="shared" si="280"/>
        <v>-58.963720356083073</v>
      </c>
      <c r="Z683" s="174">
        <f t="shared" si="281"/>
        <v>-0.65290597592085797</v>
      </c>
      <c r="AA683" s="174">
        <f t="shared" si="282"/>
        <v>-1.6505987176310128</v>
      </c>
      <c r="AB683" s="2987"/>
      <c r="AC683" s="2727"/>
    </row>
    <row r="684" spans="1:29" ht="18.75" x14ac:dyDescent="0.25">
      <c r="A684" s="2993"/>
      <c r="B684" s="2998"/>
      <c r="C684" s="1863">
        <v>2057</v>
      </c>
      <c r="D684" s="221">
        <f t="shared" si="294"/>
        <v>-344423.32708090043</v>
      </c>
      <c r="E684" s="221">
        <f t="shared" si="292"/>
        <v>10780.100343595541</v>
      </c>
      <c r="F684" s="221">
        <f t="shared" si="293"/>
        <v>637.6304884087599</v>
      </c>
      <c r="G684" s="218">
        <f t="shared" si="295"/>
        <v>-10.314280191487157</v>
      </c>
      <c r="H684" s="218">
        <f t="shared" si="296"/>
        <v>-8.6230043200824689</v>
      </c>
      <c r="I684" s="218">
        <f t="shared" si="297"/>
        <v>-191.98670873727326</v>
      </c>
      <c r="J684" s="218">
        <f t="shared" si="298"/>
        <v>-8.7088835129789128</v>
      </c>
      <c r="K684" s="218">
        <f t="shared" si="299"/>
        <v>-0.96889162262337902</v>
      </c>
      <c r="L684" s="218">
        <f t="shared" si="300"/>
        <v>-53.266840116978294</v>
      </c>
      <c r="M684" s="764">
        <f t="shared" si="283"/>
        <v>-333.0055962488961</v>
      </c>
      <c r="N684" s="1863">
        <v>97</v>
      </c>
      <c r="O684" s="761">
        <f>'Emission-Waste Transport Vehicl'!N71</f>
        <v>15.362315641728001</v>
      </c>
      <c r="P684" s="761">
        <f>'Emission-Waste Transport Vehicl'!O71</f>
        <v>22.348969860096002</v>
      </c>
      <c r="Q684" s="761">
        <f>'Emission-Waste Transport Vehicl'!P71</f>
        <v>8.547336471168002</v>
      </c>
      <c r="R684" s="761">
        <f>'Emission-Waste Transport Vehicl'!Q71</f>
        <v>6.6381018485760004</v>
      </c>
      <c r="S684" s="761">
        <f>'Emission-Waste Transport Vehicl'!R71</f>
        <v>0.66068882035200005</v>
      </c>
      <c r="T684" s="761">
        <f>'Emission-Waste Transport Vehicl'!S71</f>
        <v>3.038128118784E-2</v>
      </c>
      <c r="U684" s="174">
        <f t="shared" si="284"/>
        <v>-32301.542836142922</v>
      </c>
      <c r="V684" s="174">
        <f t="shared" si="277"/>
        <v>-158.45122791884845</v>
      </c>
      <c r="W684" s="174">
        <f t="shared" si="278"/>
        <v>-192.7152636530007</v>
      </c>
      <c r="X684" s="174">
        <f t="shared" si="279"/>
        <v>-1640.9749975696043</v>
      </c>
      <c r="Y684" s="174">
        <f t="shared" si="280"/>
        <v>-57.810455746538373</v>
      </c>
      <c r="Z684" s="174">
        <f t="shared" si="281"/>
        <v>-0.64013586319997551</v>
      </c>
      <c r="AA684" s="174">
        <f t="shared" si="282"/>
        <v>-1.6183148475816336</v>
      </c>
      <c r="AB684" s="2987"/>
      <c r="AC684" s="2727"/>
    </row>
    <row r="685" spans="1:29" ht="18.75" x14ac:dyDescent="0.25">
      <c r="A685" s="2993"/>
      <c r="B685" s="2998"/>
      <c r="C685" s="1863">
        <v>2058</v>
      </c>
      <c r="D685" s="221">
        <f t="shared" si="294"/>
        <v>-344423.32708090043</v>
      </c>
      <c r="E685" s="221">
        <f t="shared" si="292"/>
        <v>10780.100343595541</v>
      </c>
      <c r="F685" s="221">
        <f t="shared" si="293"/>
        <v>637.6304884087599</v>
      </c>
      <c r="G685" s="218">
        <f t="shared" si="295"/>
        <v>-10.314280191487157</v>
      </c>
      <c r="H685" s="218">
        <f t="shared" si="296"/>
        <v>-8.6230043200824689</v>
      </c>
      <c r="I685" s="218">
        <f t="shared" si="297"/>
        <v>-191.98670873727326</v>
      </c>
      <c r="J685" s="218">
        <f t="shared" si="298"/>
        <v>-8.7088835129789128</v>
      </c>
      <c r="K685" s="218">
        <f t="shared" si="299"/>
        <v>-0.96889162262337902</v>
      </c>
      <c r="L685" s="218">
        <f t="shared" si="300"/>
        <v>-53.266840116978294</v>
      </c>
      <c r="M685" s="764">
        <f t="shared" si="283"/>
        <v>-333.0055962488961</v>
      </c>
      <c r="N685" s="1863">
        <v>97</v>
      </c>
      <c r="O685" s="761">
        <f>'Emission-Waste Transport Vehicl'!N72</f>
        <v>15.059112043536</v>
      </c>
      <c r="P685" s="761">
        <f>'Emission-Waste Transport Vehicl'!O72</f>
        <v>21.907871770752003</v>
      </c>
      <c r="Q685" s="761">
        <f>'Emission-Waste Transport Vehicl'!P72</f>
        <v>8.378639040816001</v>
      </c>
      <c r="R685" s="761">
        <f>'Emission-Waste Transport Vehicl'!Q72</f>
        <v>6.5070866805119998</v>
      </c>
      <c r="S685" s="761">
        <f>'Emission-Waste Transport Vehicl'!R72</f>
        <v>0.647648909424</v>
      </c>
      <c r="T685" s="761">
        <f>'Emission-Waste Transport Vehicl'!S72</f>
        <v>2.9781650638080002E-2</v>
      </c>
      <c r="U685" s="174">
        <f t="shared" si="284"/>
        <v>-32301.542836142922</v>
      </c>
      <c r="V685" s="174">
        <f t="shared" si="277"/>
        <v>-155.32390105202904</v>
      </c>
      <c r="W685" s="174">
        <f t="shared" si="278"/>
        <v>-188.91167292300727</v>
      </c>
      <c r="X685" s="174">
        <f t="shared" si="279"/>
        <v>-1608.5873331438881</v>
      </c>
      <c r="Y685" s="174">
        <f t="shared" si="280"/>
        <v>-56.669459909435638</v>
      </c>
      <c r="Z685" s="174">
        <f t="shared" si="281"/>
        <v>-0.62750160274208122</v>
      </c>
      <c r="AA685" s="174">
        <f t="shared" si="282"/>
        <v>-1.5863744229583121</v>
      </c>
      <c r="AB685" s="2987"/>
      <c r="AC685" s="2727"/>
    </row>
    <row r="686" spans="1:29" ht="18.75" x14ac:dyDescent="0.25">
      <c r="A686" s="2993"/>
      <c r="B686" s="2998"/>
      <c r="C686" s="1863">
        <v>2059</v>
      </c>
      <c r="D686" s="221">
        <f t="shared" si="294"/>
        <v>-344423.32708090043</v>
      </c>
      <c r="E686" s="221">
        <f t="shared" si="292"/>
        <v>10780.100343595541</v>
      </c>
      <c r="F686" s="221">
        <f t="shared" si="293"/>
        <v>637.6304884087599</v>
      </c>
      <c r="G686" s="218">
        <f t="shared" si="295"/>
        <v>-10.314280191487157</v>
      </c>
      <c r="H686" s="218">
        <f t="shared" si="296"/>
        <v>-8.6230043200824689</v>
      </c>
      <c r="I686" s="218">
        <f t="shared" si="297"/>
        <v>-191.98670873727326</v>
      </c>
      <c r="J686" s="218">
        <f t="shared" si="298"/>
        <v>-8.7088835129789128</v>
      </c>
      <c r="K686" s="218">
        <f t="shared" si="299"/>
        <v>-0.96889162262337902</v>
      </c>
      <c r="L686" s="218">
        <f t="shared" si="300"/>
        <v>-53.266840116978294</v>
      </c>
      <c r="M686" s="764">
        <f t="shared" si="283"/>
        <v>-333.0055962488961</v>
      </c>
      <c r="N686" s="1863">
        <v>97</v>
      </c>
      <c r="O686" s="761">
        <f>'Emission-Waste Transport Vehicl'!N73</f>
        <v>14.765689206576004</v>
      </c>
      <c r="P686" s="761">
        <f>'Emission-Waste Transport Vehicl'!O73</f>
        <v>21.481002652032004</v>
      </c>
      <c r="Q686" s="761">
        <f>'Emission-Waste Transport Vehicl'!P73</f>
        <v>8.2153834630560016</v>
      </c>
      <c r="R686" s="761">
        <f>'Emission-Waste Transport Vehicl'!Q73</f>
        <v>6.380297808192001</v>
      </c>
      <c r="S686" s="761">
        <f>'Emission-Waste Transport Vehicl'!R73</f>
        <v>0.63502964078400004</v>
      </c>
      <c r="T686" s="761">
        <f>'Emission-Waste Transport Vehicl'!S73</f>
        <v>2.9201363009280005E-2</v>
      </c>
      <c r="U686" s="174">
        <f t="shared" si="284"/>
        <v>-32301.542836142922</v>
      </c>
      <c r="V686" s="174">
        <f t="shared" si="277"/>
        <v>-152.29745569704261</v>
      </c>
      <c r="W686" s="174">
        <f t="shared" si="278"/>
        <v>-185.23077866817493</v>
      </c>
      <c r="X686" s="174">
        <f t="shared" si="279"/>
        <v>-1577.2444320867439</v>
      </c>
      <c r="Y686" s="174">
        <f t="shared" si="280"/>
        <v>-55.565270389658814</v>
      </c>
      <c r="Z686" s="174">
        <f t="shared" si="281"/>
        <v>-0.61527489907315136</v>
      </c>
      <c r="AA686" s="174">
        <f t="shared" si="282"/>
        <v>-1.5554643346131622</v>
      </c>
      <c r="AB686" s="2987"/>
      <c r="AC686" s="2727"/>
    </row>
    <row r="687" spans="1:29" ht="18.75" x14ac:dyDescent="0.25">
      <c r="A687" s="2993"/>
      <c r="B687" s="2998"/>
      <c r="C687" s="1863">
        <v>2060</v>
      </c>
      <c r="D687" s="221">
        <f t="shared" si="294"/>
        <v>-344423.32708090043</v>
      </c>
      <c r="E687" s="221">
        <f t="shared" si="292"/>
        <v>10780.100343595541</v>
      </c>
      <c r="F687" s="221">
        <f t="shared" si="293"/>
        <v>637.6304884087599</v>
      </c>
      <c r="G687" s="218">
        <f t="shared" si="295"/>
        <v>-10.314280191487157</v>
      </c>
      <c r="H687" s="218">
        <f t="shared" si="296"/>
        <v>-8.6230043200824689</v>
      </c>
      <c r="I687" s="218">
        <f t="shared" si="297"/>
        <v>-191.98670873727326</v>
      </c>
      <c r="J687" s="218">
        <f t="shared" si="298"/>
        <v>-8.7088835129789128</v>
      </c>
      <c r="K687" s="218">
        <f t="shared" si="299"/>
        <v>-0.96889162262337902</v>
      </c>
      <c r="L687" s="218">
        <f t="shared" si="300"/>
        <v>-53.266840116978294</v>
      </c>
      <c r="M687" s="764">
        <f t="shared" si="283"/>
        <v>-333.0055962488961</v>
      </c>
      <c r="N687" s="1863">
        <v>97</v>
      </c>
      <c r="O687" s="761">
        <f>'Emission-Waste Transport Vehicl'!N74</f>
        <v>14.475526623360002</v>
      </c>
      <c r="P687" s="761">
        <f>'Emission-Waste Transport Vehicl'!O74</f>
        <v>21.058876523520002</v>
      </c>
      <c r="Q687" s="761">
        <f>'Emission-Waste Transport Vehicl'!P74</f>
        <v>8.0539418361599999</v>
      </c>
      <c r="R687" s="761">
        <f>'Emission-Waste Transport Vehicl'!Q74</f>
        <v>6.2549177011200001</v>
      </c>
      <c r="S687" s="761">
        <f>'Emission-Waste Transport Vehicl'!R74</f>
        <v>0.62255058624000004</v>
      </c>
      <c r="T687" s="761">
        <f>'Emission-Waste Transport Vehicl'!S74</f>
        <v>2.8627523020800003E-2</v>
      </c>
      <c r="U687" s="174">
        <f t="shared" si="284"/>
        <v>-32301.542836142922</v>
      </c>
      <c r="V687" s="174">
        <f t="shared" si="277"/>
        <v>-149.30463751266703</v>
      </c>
      <c r="W687" s="174">
        <f t="shared" si="278"/>
        <v>-181.59078323839626</v>
      </c>
      <c r="X687" s="174">
        <f t="shared" si="279"/>
        <v>-1546.2497854857897</v>
      </c>
      <c r="Y687" s="174">
        <f t="shared" si="280"/>
        <v>-54.473349642323932</v>
      </c>
      <c r="Z687" s="174">
        <f t="shared" si="281"/>
        <v>-0.60318404766720946</v>
      </c>
      <c r="AA687" s="174">
        <f t="shared" si="282"/>
        <v>-1.5248976916940693</v>
      </c>
      <c r="AB687" s="2987"/>
      <c r="AC687" s="2727"/>
    </row>
    <row r="688" spans="1:29" ht="18.75" x14ac:dyDescent="0.25">
      <c r="A688" s="2993"/>
      <c r="B688" s="2998"/>
      <c r="C688" s="1863">
        <v>2061</v>
      </c>
      <c r="D688" s="221">
        <f t="shared" si="294"/>
        <v>-344423.32708090043</v>
      </c>
      <c r="E688" s="221">
        <f t="shared" si="292"/>
        <v>10780.100343595541</v>
      </c>
      <c r="F688" s="221">
        <f t="shared" si="293"/>
        <v>637.6304884087599</v>
      </c>
      <c r="G688" s="218">
        <f t="shared" si="295"/>
        <v>-10.314280191487157</v>
      </c>
      <c r="H688" s="218">
        <f t="shared" si="296"/>
        <v>-8.6230043200824689</v>
      </c>
      <c r="I688" s="218">
        <f t="shared" si="297"/>
        <v>-191.98670873727326</v>
      </c>
      <c r="J688" s="218">
        <f t="shared" si="298"/>
        <v>-8.7088835129789128</v>
      </c>
      <c r="K688" s="218">
        <f t="shared" si="299"/>
        <v>-0.96889162262337902</v>
      </c>
      <c r="L688" s="218">
        <f t="shared" si="300"/>
        <v>-53.266840116978294</v>
      </c>
      <c r="M688" s="764">
        <f t="shared" si="283"/>
        <v>-333.0055962488961</v>
      </c>
      <c r="N688" s="1863">
        <v>97</v>
      </c>
      <c r="O688" s="761">
        <f>'Emission-Waste Transport Vehicl'!N75</f>
        <v>14.191884547632004</v>
      </c>
      <c r="P688" s="761">
        <f>'Emission-Waste Transport Vehicl'!O75</f>
        <v>20.646236375424003</v>
      </c>
      <c r="Q688" s="761">
        <f>'Emission-Waste Transport Vehicl'!P75</f>
        <v>7.8961281109920014</v>
      </c>
      <c r="R688" s="761">
        <f>'Emission-Waste Transport Vehicl'!Q75</f>
        <v>6.1323551245440004</v>
      </c>
      <c r="S688" s="761">
        <f>'Emission-Waste Transport Vehicl'!R75</f>
        <v>0.61035195988800006</v>
      </c>
      <c r="T688" s="761">
        <f>'Emission-Waste Transport Vehicl'!S75</f>
        <v>2.8066578312960003E-2</v>
      </c>
      <c r="U688" s="174">
        <f t="shared" si="284"/>
        <v>-32301.542836142922</v>
      </c>
      <c r="V688" s="174">
        <f t="shared" si="277"/>
        <v>-146.37907366951345</v>
      </c>
      <c r="W688" s="174">
        <f t="shared" si="278"/>
        <v>-178.03258545872498</v>
      </c>
      <c r="X688" s="174">
        <f t="shared" si="279"/>
        <v>-1515.951647797217</v>
      </c>
      <c r="Y688" s="174">
        <f t="shared" si="280"/>
        <v>-53.405966439872991</v>
      </c>
      <c r="Z688" s="174">
        <f t="shared" si="281"/>
        <v>-0.59136490078724391</v>
      </c>
      <c r="AA688" s="174">
        <f t="shared" si="282"/>
        <v>-1.4950179396270908</v>
      </c>
      <c r="AB688" s="2987"/>
      <c r="AC688" s="2727"/>
    </row>
    <row r="689" spans="1:29" ht="18.75" x14ac:dyDescent="0.25">
      <c r="A689" s="2993"/>
      <c r="B689" s="2998"/>
      <c r="C689" s="1863">
        <v>2062</v>
      </c>
      <c r="D689" s="221">
        <f t="shared" si="294"/>
        <v>-344423.32708090043</v>
      </c>
      <c r="E689" s="221">
        <f t="shared" si="292"/>
        <v>10780.100343595541</v>
      </c>
      <c r="F689" s="221">
        <f t="shared" si="293"/>
        <v>637.6304884087599</v>
      </c>
      <c r="G689" s="218">
        <f t="shared" si="295"/>
        <v>-10.314280191487157</v>
      </c>
      <c r="H689" s="218">
        <f t="shared" si="296"/>
        <v>-8.6230043200824689</v>
      </c>
      <c r="I689" s="218">
        <f t="shared" si="297"/>
        <v>-191.98670873727326</v>
      </c>
      <c r="J689" s="218">
        <f t="shared" si="298"/>
        <v>-8.7088835129789128</v>
      </c>
      <c r="K689" s="218">
        <f t="shared" si="299"/>
        <v>-0.96889162262337902</v>
      </c>
      <c r="L689" s="218">
        <f t="shared" si="300"/>
        <v>-53.266840116978294</v>
      </c>
      <c r="M689" s="764">
        <f t="shared" si="283"/>
        <v>-333.0055962488961</v>
      </c>
      <c r="N689" s="1863">
        <v>97</v>
      </c>
      <c r="O689" s="761">
        <f>'Emission-Waste Transport Vehicl'!N76</f>
        <v>13.914762979392002</v>
      </c>
      <c r="P689" s="761">
        <f>'Emission-Waste Transport Vehicl'!O76</f>
        <v>20.243082207744003</v>
      </c>
      <c r="Q689" s="761">
        <f>'Emission-Waste Transport Vehicl'!P76</f>
        <v>7.7419422875520008</v>
      </c>
      <c r="R689" s="761">
        <f>'Emission-Waste Transport Vehicl'!Q76</f>
        <v>6.0126100784640002</v>
      </c>
      <c r="S689" s="761">
        <f>'Emission-Waste Transport Vehicl'!R76</f>
        <v>0.59843376172800011</v>
      </c>
      <c r="T689" s="761">
        <f>'Emission-Waste Transport Vehicl'!S76</f>
        <v>2.7518528885760004E-2</v>
      </c>
      <c r="U689" s="174">
        <f t="shared" si="284"/>
        <v>-32301.542836142922</v>
      </c>
      <c r="V689" s="174">
        <f t="shared" si="277"/>
        <v>-143.52076416758175</v>
      </c>
      <c r="W689" s="174">
        <f t="shared" si="278"/>
        <v>-174.55618532916111</v>
      </c>
      <c r="X689" s="174">
        <f t="shared" si="279"/>
        <v>-1486.350019021025</v>
      </c>
      <c r="Y689" s="174">
        <f t="shared" si="280"/>
        <v>-52.363120782305977</v>
      </c>
      <c r="Z689" s="174">
        <f t="shared" si="281"/>
        <v>-0.57981745843325461</v>
      </c>
      <c r="AA689" s="174">
        <f t="shared" si="282"/>
        <v>-1.4658250784122269</v>
      </c>
      <c r="AB689" s="2987"/>
      <c r="AC689" s="2727"/>
    </row>
    <row r="690" spans="1:29" ht="18.75" x14ac:dyDescent="0.25">
      <c r="A690" s="2993"/>
      <c r="B690" s="2998"/>
      <c r="C690" s="1863">
        <v>2063</v>
      </c>
      <c r="D690" s="221">
        <f t="shared" si="294"/>
        <v>-344423.32708090043</v>
      </c>
      <c r="E690" s="221">
        <f t="shared" si="292"/>
        <v>10780.100343595541</v>
      </c>
      <c r="F690" s="221">
        <f t="shared" si="293"/>
        <v>637.6304884087599</v>
      </c>
      <c r="G690" s="218">
        <f t="shared" si="295"/>
        <v>-10.314280191487157</v>
      </c>
      <c r="H690" s="218">
        <f t="shared" si="296"/>
        <v>-8.6230043200824689</v>
      </c>
      <c r="I690" s="218">
        <f t="shared" si="297"/>
        <v>-191.98670873727326</v>
      </c>
      <c r="J690" s="218">
        <f t="shared" si="298"/>
        <v>-8.7088835129789128</v>
      </c>
      <c r="K690" s="218">
        <f t="shared" si="299"/>
        <v>-0.96889162262337902</v>
      </c>
      <c r="L690" s="218">
        <f t="shared" si="300"/>
        <v>-53.266840116978294</v>
      </c>
      <c r="M690" s="764">
        <f t="shared" si="283"/>
        <v>-333.0055962488961</v>
      </c>
      <c r="N690" s="1863">
        <v>97</v>
      </c>
      <c r="O690" s="761">
        <f>'Emission-Waste Transport Vehicl'!N77</f>
        <v>13.640901664896001</v>
      </c>
      <c r="P690" s="761">
        <f>'Emission-Waste Transport Vehicl'!O77</f>
        <v>19.844671030272</v>
      </c>
      <c r="Q690" s="761">
        <f>'Emission-Waste Transport Vehicl'!P77</f>
        <v>7.5895704149760004</v>
      </c>
      <c r="R690" s="761">
        <f>'Emission-Waste Transport Vehicl'!Q77</f>
        <v>5.8942737976319997</v>
      </c>
      <c r="S690" s="761">
        <f>'Emission-Waste Transport Vehicl'!R77</f>
        <v>0.58665577766400001</v>
      </c>
      <c r="T690" s="761">
        <f>'Emission-Waste Transport Vehicl'!S77</f>
        <v>2.6976927098879999E-2</v>
      </c>
      <c r="U690" s="174">
        <f t="shared" si="284"/>
        <v>-32301.542836142922</v>
      </c>
      <c r="V690" s="174">
        <f t="shared" si="277"/>
        <v>-140.69608183626102</v>
      </c>
      <c r="W690" s="174">
        <f t="shared" si="278"/>
        <v>-171.12068402465087</v>
      </c>
      <c r="X690" s="174">
        <f t="shared" si="279"/>
        <v>-1457.0966447010235</v>
      </c>
      <c r="Y690" s="174">
        <f t="shared" si="280"/>
        <v>-51.332543897180926</v>
      </c>
      <c r="Z690" s="174">
        <f t="shared" si="281"/>
        <v>-0.56840586834225326</v>
      </c>
      <c r="AA690" s="174">
        <f t="shared" si="282"/>
        <v>-1.43697566262342</v>
      </c>
      <c r="AB690" s="2987"/>
      <c r="AC690" s="2727"/>
    </row>
    <row r="691" spans="1:29" ht="18.75" x14ac:dyDescent="0.25">
      <c r="A691" s="2993"/>
      <c r="B691" s="2998"/>
      <c r="C691" s="1863">
        <v>2064</v>
      </c>
      <c r="D691" s="221">
        <f t="shared" si="294"/>
        <v>-344423.32708090043</v>
      </c>
      <c r="E691" s="221">
        <f t="shared" si="292"/>
        <v>10780.100343595541</v>
      </c>
      <c r="F691" s="221">
        <f t="shared" si="293"/>
        <v>637.6304884087599</v>
      </c>
      <c r="G691" s="218">
        <f t="shared" si="295"/>
        <v>-10.314280191487157</v>
      </c>
      <c r="H691" s="218">
        <f t="shared" si="296"/>
        <v>-8.6230043200824689</v>
      </c>
      <c r="I691" s="218">
        <f t="shared" si="297"/>
        <v>-191.98670873727326</v>
      </c>
      <c r="J691" s="218">
        <f t="shared" si="298"/>
        <v>-8.7088835129789128</v>
      </c>
      <c r="K691" s="218">
        <f t="shared" si="299"/>
        <v>-0.96889162262337902</v>
      </c>
      <c r="L691" s="218">
        <f t="shared" si="300"/>
        <v>-53.266840116978294</v>
      </c>
      <c r="M691" s="764">
        <f t="shared" si="283"/>
        <v>-333.0055962488961</v>
      </c>
      <c r="N691" s="1863">
        <v>97</v>
      </c>
      <c r="O691" s="761">
        <f>'Emission-Waste Transport Vehicl'!N78</f>
        <v>13.373560857888002</v>
      </c>
      <c r="P691" s="761">
        <f>'Emission-Waste Transport Vehicl'!O78</f>
        <v>19.455745833216003</v>
      </c>
      <c r="Q691" s="761">
        <f>'Emission-Waste Transport Vehicl'!P78</f>
        <v>7.4408264441280014</v>
      </c>
      <c r="R691" s="761">
        <f>'Emission-Waste Transport Vehicl'!Q78</f>
        <v>5.7787550472960003</v>
      </c>
      <c r="S691" s="761">
        <f>'Emission-Waste Transport Vehicl'!R78</f>
        <v>0.57515822179200005</v>
      </c>
      <c r="T691" s="761">
        <f>'Emission-Waste Transport Vehicl'!S78</f>
        <v>2.6448220592640001E-2</v>
      </c>
      <c r="U691" s="174">
        <f t="shared" si="284"/>
        <v>-32301.542836142922</v>
      </c>
      <c r="V691" s="174">
        <f t="shared" si="277"/>
        <v>-137.9386538461622</v>
      </c>
      <c r="W691" s="174">
        <f t="shared" si="278"/>
        <v>-167.76698037024809</v>
      </c>
      <c r="X691" s="174">
        <f t="shared" si="279"/>
        <v>-1428.5397792934034</v>
      </c>
      <c r="Y691" s="174">
        <f t="shared" si="280"/>
        <v>-50.326504556939817</v>
      </c>
      <c r="Z691" s="174">
        <f t="shared" si="281"/>
        <v>-0.55726598277722827</v>
      </c>
      <c r="AA691" s="174">
        <f t="shared" si="282"/>
        <v>-1.4088131376867279</v>
      </c>
      <c r="AB691" s="2987"/>
      <c r="AC691" s="2727"/>
    </row>
    <row r="692" spans="1:29" ht="18.75" x14ac:dyDescent="0.25">
      <c r="A692" s="2993"/>
      <c r="B692" s="2998"/>
      <c r="C692" s="1863">
        <v>2065</v>
      </c>
      <c r="D692" s="221">
        <f t="shared" si="294"/>
        <v>-344423.32708090043</v>
      </c>
      <c r="E692" s="221">
        <f t="shared" si="292"/>
        <v>10780.100343595541</v>
      </c>
      <c r="F692" s="221">
        <f t="shared" si="293"/>
        <v>637.6304884087599</v>
      </c>
      <c r="G692" s="218">
        <f t="shared" si="295"/>
        <v>-10.314280191487157</v>
      </c>
      <c r="H692" s="218">
        <f t="shared" si="296"/>
        <v>-8.6230043200824689</v>
      </c>
      <c r="I692" s="218">
        <f t="shared" si="297"/>
        <v>-191.98670873727326</v>
      </c>
      <c r="J692" s="218">
        <f t="shared" si="298"/>
        <v>-8.7088835129789128</v>
      </c>
      <c r="K692" s="218">
        <f t="shared" si="299"/>
        <v>-0.96889162262337902</v>
      </c>
      <c r="L692" s="218">
        <f t="shared" si="300"/>
        <v>-53.266840116978294</v>
      </c>
      <c r="M692" s="764">
        <f t="shared" si="283"/>
        <v>-333.0055962488961</v>
      </c>
      <c r="N692" s="1863">
        <v>97</v>
      </c>
      <c r="O692" s="761">
        <f>'Emission-Waste Transport Vehicl'!N79</f>
        <v>13.112740558368001</v>
      </c>
      <c r="P692" s="761">
        <f>'Emission-Waste Transport Vehicl'!O79</f>
        <v>19.076306616576002</v>
      </c>
      <c r="Q692" s="761">
        <f>'Emission-Waste Transport Vehicl'!P79</f>
        <v>7.2957103750080003</v>
      </c>
      <c r="R692" s="761">
        <f>'Emission-Waste Transport Vehicl'!Q79</f>
        <v>5.6660538274560004</v>
      </c>
      <c r="S692" s="761">
        <f>'Emission-Waste Transport Vehicl'!R79</f>
        <v>0.56394109411200011</v>
      </c>
      <c r="T692" s="761">
        <f>'Emission-Waste Transport Vehicl'!S79</f>
        <v>2.5932409367040003E-2</v>
      </c>
      <c r="U692" s="174">
        <f t="shared" si="284"/>
        <v>-32301.542836142922</v>
      </c>
      <c r="V692" s="174">
        <f t="shared" si="277"/>
        <v>-135.24848019728532</v>
      </c>
      <c r="W692" s="174">
        <f t="shared" si="278"/>
        <v>-164.49507436595263</v>
      </c>
      <c r="X692" s="174">
        <f t="shared" si="279"/>
        <v>-1400.6794227981636</v>
      </c>
      <c r="Y692" s="174">
        <f t="shared" si="280"/>
        <v>-49.345002761582627</v>
      </c>
      <c r="Z692" s="174">
        <f t="shared" si="281"/>
        <v>-0.54639780173817953</v>
      </c>
      <c r="AA692" s="174">
        <f t="shared" si="282"/>
        <v>-1.38133750360215</v>
      </c>
      <c r="AB692" s="2987"/>
      <c r="AC692" s="2727"/>
    </row>
    <row r="693" spans="1:29" ht="18.75" x14ac:dyDescent="0.25">
      <c r="A693" s="2993"/>
      <c r="B693" s="2998"/>
      <c r="C693" s="1863">
        <v>2066</v>
      </c>
      <c r="D693" s="221">
        <f t="shared" si="294"/>
        <v>-344423.32708090043</v>
      </c>
      <c r="E693" s="221">
        <f t="shared" si="292"/>
        <v>10780.100343595541</v>
      </c>
      <c r="F693" s="221">
        <f t="shared" si="293"/>
        <v>637.6304884087599</v>
      </c>
      <c r="G693" s="218">
        <f t="shared" si="295"/>
        <v>-10.314280191487157</v>
      </c>
      <c r="H693" s="218">
        <f t="shared" si="296"/>
        <v>-8.6230043200824689</v>
      </c>
      <c r="I693" s="218">
        <f t="shared" si="297"/>
        <v>-191.98670873727326</v>
      </c>
      <c r="J693" s="218">
        <f t="shared" si="298"/>
        <v>-8.7088835129789128</v>
      </c>
      <c r="K693" s="218">
        <f t="shared" si="299"/>
        <v>-0.96889162262337902</v>
      </c>
      <c r="L693" s="218">
        <f t="shared" si="300"/>
        <v>-53.266840116978294</v>
      </c>
      <c r="M693" s="764">
        <f t="shared" si="283"/>
        <v>-333.0055962488961</v>
      </c>
      <c r="N693" s="1863">
        <v>97</v>
      </c>
      <c r="O693" s="761">
        <f>'Emission-Waste Transport Vehicl'!N80</f>
        <v>12.855180512592</v>
      </c>
      <c r="P693" s="761">
        <f>'Emission-Waste Transport Vehicl'!O80</f>
        <v>18.701610390143998</v>
      </c>
      <c r="Q693" s="761">
        <f>'Emission-Waste Transport Vehicl'!P80</f>
        <v>7.1524082567520004</v>
      </c>
      <c r="R693" s="761">
        <f>'Emission-Waste Transport Vehicl'!Q80</f>
        <v>5.5547613728639993</v>
      </c>
      <c r="S693" s="761">
        <f>'Emission-Waste Transport Vehicl'!R80</f>
        <v>0.55286418052800002</v>
      </c>
      <c r="T693" s="761">
        <f>'Emission-Waste Transport Vehicl'!S80</f>
        <v>2.5423045781760002E-2</v>
      </c>
      <c r="U693" s="174">
        <f t="shared" si="284"/>
        <v>-32301.542836142922</v>
      </c>
      <c r="V693" s="174">
        <f t="shared" si="277"/>
        <v>-132.59193371901938</v>
      </c>
      <c r="W693" s="174">
        <f t="shared" si="278"/>
        <v>-161.26406718671089</v>
      </c>
      <c r="X693" s="174">
        <f t="shared" si="279"/>
        <v>-1373.1673207591148</v>
      </c>
      <c r="Y693" s="174">
        <f t="shared" si="280"/>
        <v>-48.375769738667394</v>
      </c>
      <c r="Z693" s="174">
        <f t="shared" si="281"/>
        <v>-0.53566547296211864</v>
      </c>
      <c r="AA693" s="174">
        <f t="shared" si="282"/>
        <v>-1.3542053149436295</v>
      </c>
      <c r="AB693" s="2987"/>
      <c r="AC693" s="2727"/>
    </row>
    <row r="694" spans="1:29" ht="18.75" x14ac:dyDescent="0.25">
      <c r="A694" s="2993"/>
      <c r="B694" s="2998"/>
      <c r="C694" s="1863">
        <v>2067</v>
      </c>
      <c r="D694" s="221">
        <f t="shared" si="294"/>
        <v>-344423.32708090043</v>
      </c>
      <c r="E694" s="221">
        <f t="shared" si="292"/>
        <v>10780.100343595541</v>
      </c>
      <c r="F694" s="221">
        <f t="shared" si="293"/>
        <v>637.6304884087599</v>
      </c>
      <c r="G694" s="218">
        <f t="shared" si="295"/>
        <v>-10.314280191487157</v>
      </c>
      <c r="H694" s="218">
        <f t="shared" si="296"/>
        <v>-8.6230043200824689</v>
      </c>
      <c r="I694" s="218">
        <f t="shared" si="297"/>
        <v>-191.98670873727326</v>
      </c>
      <c r="J694" s="218">
        <f t="shared" si="298"/>
        <v>-8.7088835129789128</v>
      </c>
      <c r="K694" s="218">
        <f t="shared" si="299"/>
        <v>-0.96889162262337902</v>
      </c>
      <c r="L694" s="218">
        <f t="shared" si="300"/>
        <v>-53.266840116978294</v>
      </c>
      <c r="M694" s="764">
        <f t="shared" si="283"/>
        <v>-333.0055962488961</v>
      </c>
      <c r="N694" s="1863">
        <v>97</v>
      </c>
      <c r="O694" s="761">
        <f>'Emission-Waste Transport Vehicl'!N81</f>
        <v>12.600880720560001</v>
      </c>
      <c r="P694" s="761">
        <f>'Emission-Waste Transport Vehicl'!O81</f>
        <v>18.331657153920002</v>
      </c>
      <c r="Q694" s="761">
        <f>'Emission-Waste Transport Vehicl'!P81</f>
        <v>7.0109200893600008</v>
      </c>
      <c r="R694" s="761">
        <f>'Emission-Waste Transport Vehicl'!Q81</f>
        <v>5.4448776835200006</v>
      </c>
      <c r="S694" s="761">
        <f>'Emission-Waste Transport Vehicl'!R81</f>
        <v>0.5419274810400001</v>
      </c>
      <c r="T694" s="761">
        <f>'Emission-Waste Transport Vehicl'!S81</f>
        <v>2.4920129836800003E-2</v>
      </c>
      <c r="U694" s="174">
        <f t="shared" si="284"/>
        <v>-32301.542836142922</v>
      </c>
      <c r="V694" s="174">
        <f t="shared" si="277"/>
        <v>-129.96901441136444</v>
      </c>
      <c r="W694" s="174">
        <f t="shared" si="278"/>
        <v>-158.07395883252286</v>
      </c>
      <c r="X694" s="174">
        <f t="shared" si="279"/>
        <v>-1346.0034731762562</v>
      </c>
      <c r="Y694" s="174">
        <f t="shared" si="280"/>
        <v>-47.418805488194145</v>
      </c>
      <c r="Z694" s="174">
        <f t="shared" si="281"/>
        <v>-0.52506899644904614</v>
      </c>
      <c r="AA694" s="174">
        <f t="shared" si="282"/>
        <v>-1.3274165717111661</v>
      </c>
      <c r="AB694" s="2987"/>
      <c r="AC694" s="2727"/>
    </row>
    <row r="695" spans="1:29" ht="18.75" x14ac:dyDescent="0.25">
      <c r="A695" s="2993"/>
      <c r="B695" s="2998"/>
      <c r="C695" s="1863">
        <v>2068</v>
      </c>
      <c r="D695" s="221">
        <f t="shared" si="294"/>
        <v>-344423.32708090043</v>
      </c>
      <c r="E695" s="221">
        <f t="shared" si="292"/>
        <v>10780.100343595541</v>
      </c>
      <c r="F695" s="221">
        <f t="shared" si="293"/>
        <v>637.6304884087599</v>
      </c>
      <c r="G695" s="218">
        <f t="shared" si="295"/>
        <v>-10.314280191487157</v>
      </c>
      <c r="H695" s="218">
        <f t="shared" si="296"/>
        <v>-8.6230043200824689</v>
      </c>
      <c r="I695" s="218">
        <f t="shared" si="297"/>
        <v>-191.98670873727326</v>
      </c>
      <c r="J695" s="218">
        <f t="shared" si="298"/>
        <v>-8.7088835129789128</v>
      </c>
      <c r="K695" s="218">
        <f t="shared" si="299"/>
        <v>-0.96889162262337902</v>
      </c>
      <c r="L695" s="218">
        <f t="shared" si="300"/>
        <v>-53.266840116978294</v>
      </c>
      <c r="M695" s="764">
        <f t="shared" si="283"/>
        <v>-333.0055962488961</v>
      </c>
      <c r="N695" s="1863">
        <v>97</v>
      </c>
      <c r="O695" s="761">
        <f>'Emission-Waste Transport Vehicl'!N82</f>
        <v>12.356361689760002</v>
      </c>
      <c r="P695" s="761">
        <f>'Emission-Waste Transport Vehicl'!O82</f>
        <v>17.975932888320003</v>
      </c>
      <c r="Q695" s="761">
        <f>'Emission-Waste Transport Vehicl'!P82</f>
        <v>6.8748737745600002</v>
      </c>
      <c r="R695" s="761">
        <f>'Emission-Waste Transport Vehicl'!Q82</f>
        <v>5.339220289920001</v>
      </c>
      <c r="S695" s="761">
        <f>'Emission-Waste Transport Vehicl'!R82</f>
        <v>0.53141142384000006</v>
      </c>
      <c r="T695" s="761">
        <f>'Emission-Waste Transport Vehicl'!S82</f>
        <v>2.4436556812800003E-2</v>
      </c>
      <c r="U695" s="174">
        <f t="shared" si="284"/>
        <v>-32301.542836142922</v>
      </c>
      <c r="V695" s="174">
        <f t="shared" si="277"/>
        <v>-127.44697661554235</v>
      </c>
      <c r="W695" s="174">
        <f t="shared" si="278"/>
        <v>-155.00654695349593</v>
      </c>
      <c r="X695" s="174">
        <f t="shared" si="279"/>
        <v>-1319.8843889619691</v>
      </c>
      <c r="Y695" s="174">
        <f t="shared" si="280"/>
        <v>-46.498647555046787</v>
      </c>
      <c r="Z695" s="174">
        <f t="shared" si="281"/>
        <v>-0.51488007672493785</v>
      </c>
      <c r="AA695" s="174">
        <f t="shared" si="282"/>
        <v>-1.3016581647568743</v>
      </c>
      <c r="AB695" s="2987"/>
      <c r="AC695" s="2727"/>
    </row>
    <row r="696" spans="1:29" ht="19.5" thickBot="1" x14ac:dyDescent="0.3">
      <c r="A696" s="2994"/>
      <c r="B696" s="3003"/>
      <c r="C696" s="1866">
        <v>2069</v>
      </c>
      <c r="D696" s="648">
        <f t="shared" si="294"/>
        <v>-344423.32708090043</v>
      </c>
      <c r="E696" s="648">
        <f t="shared" si="292"/>
        <v>10780.100343595541</v>
      </c>
      <c r="F696" s="648">
        <f t="shared" si="293"/>
        <v>637.6304884087599</v>
      </c>
      <c r="G696" s="327">
        <f t="shared" si="295"/>
        <v>-10.314280191487157</v>
      </c>
      <c r="H696" s="327">
        <f t="shared" si="296"/>
        <v>-8.6230043200824689</v>
      </c>
      <c r="I696" s="327">
        <f t="shared" si="297"/>
        <v>-191.98670873727326</v>
      </c>
      <c r="J696" s="327">
        <f t="shared" si="298"/>
        <v>-8.7088835129789128</v>
      </c>
      <c r="K696" s="327">
        <f t="shared" si="299"/>
        <v>-0.96889162262337902</v>
      </c>
      <c r="L696" s="327">
        <f t="shared" si="300"/>
        <v>-53.266840116978294</v>
      </c>
      <c r="M696" s="762">
        <f t="shared" si="283"/>
        <v>-333.0055962488961</v>
      </c>
      <c r="N696" s="1866">
        <v>97</v>
      </c>
      <c r="O696" s="763">
        <f>'Emission-Waste Transport Vehicl'!N83</f>
        <v>12.111842658960002</v>
      </c>
      <c r="P696" s="763">
        <f>'Emission-Waste Transport Vehicl'!O83</f>
        <v>17.62020862272</v>
      </c>
      <c r="Q696" s="763">
        <f>'Emission-Waste Transport Vehicl'!P83</f>
        <v>6.7388274597600004</v>
      </c>
      <c r="R696" s="763">
        <f>'Emission-Waste Transport Vehicl'!Q83</f>
        <v>5.2335628963200005</v>
      </c>
      <c r="S696" s="763">
        <f>'Emission-Waste Transport Vehicl'!R83</f>
        <v>0.52089536664000002</v>
      </c>
      <c r="T696" s="763">
        <f>'Emission-Waste Transport Vehicl'!S83</f>
        <v>2.3952983788800002E-2</v>
      </c>
      <c r="U696" s="758">
        <f t="shared" si="284"/>
        <v>-32301.542836142922</v>
      </c>
      <c r="V696" s="758">
        <f t="shared" si="277"/>
        <v>-124.92493881972028</v>
      </c>
      <c r="W696" s="758">
        <f t="shared" si="278"/>
        <v>-151.93913507446894</v>
      </c>
      <c r="X696" s="758">
        <f t="shared" si="279"/>
        <v>-1293.7653047476822</v>
      </c>
      <c r="Y696" s="758">
        <f t="shared" si="280"/>
        <v>-45.578489621899422</v>
      </c>
      <c r="Z696" s="758">
        <f t="shared" si="281"/>
        <v>-0.50469115700082956</v>
      </c>
      <c r="AA696" s="758">
        <f t="shared" si="282"/>
        <v>-1.2758997578025826</v>
      </c>
      <c r="AB696" s="2988"/>
      <c r="AC696" s="2727"/>
    </row>
    <row r="697" spans="1:29" ht="18.75" x14ac:dyDescent="0.25">
      <c r="A697" s="2989" t="s">
        <v>180</v>
      </c>
      <c r="B697" s="2992" t="s">
        <v>1801</v>
      </c>
      <c r="C697" s="1862">
        <v>2019</v>
      </c>
      <c r="D697" s="216">
        <f t="shared" ref="D697:D728" si="301">$AC$21</f>
        <v>-130397.70874540422</v>
      </c>
      <c r="E697" s="216">
        <f>$AB$21*28</f>
        <v>76673.852742297691</v>
      </c>
      <c r="F697" s="216">
        <f>$AD$21*298</f>
        <v>-3118.3960057919703</v>
      </c>
      <c r="G697" s="216">
        <f t="shared" ref="G697:G728" si="302">$Y$21</f>
        <v>-42.379255342256378</v>
      </c>
      <c r="H697" s="216">
        <f t="shared" ref="H697:H728" si="303">$Z$21</f>
        <v>-31.556245516387818</v>
      </c>
      <c r="I697" s="216">
        <f t="shared" ref="I697:I728" si="304">$X$21</f>
        <v>65.198854372702172</v>
      </c>
      <c r="J697" s="216">
        <f t="shared" ref="J697:J728" si="305">$AA$21</f>
        <v>-99.591250054302449</v>
      </c>
      <c r="K697" s="216">
        <f t="shared" ref="K697:K728" si="306">$V$21</f>
        <v>-260.7954174908084</v>
      </c>
      <c r="L697" s="216">
        <f t="shared" ref="L697:L728" si="307">$W$21</f>
        <v>293.39484467715903</v>
      </c>
      <c r="M697" s="765">
        <f t="shared" si="283"/>
        <v>-56.842252008898505</v>
      </c>
      <c r="N697" s="1862">
        <v>62</v>
      </c>
      <c r="O697" s="766">
        <f>'Emission-Waste Transport Vehicl'!N33</f>
        <v>32.602537440000006</v>
      </c>
      <c r="P697" s="766">
        <f>'Emission-Waste Transport Vehicl'!O33</f>
        <v>47.429902080000005</v>
      </c>
      <c r="Q697" s="766">
        <f>'Emission-Waste Transport Vehicl'!P33</f>
        <v>18.139508640000003</v>
      </c>
      <c r="R697" s="766">
        <f>'Emission-Waste Transport Vehicl'!Q33</f>
        <v>14.087652480000001</v>
      </c>
      <c r="S697" s="766">
        <f>'Emission-Waste Transport Vehicl'!R33</f>
        <v>1.4021409600000001</v>
      </c>
      <c r="T697" s="766">
        <f>'Emission-Waste Transport Vehicl'!S33</f>
        <v>6.4476403200000004E-2</v>
      </c>
      <c r="U697" s="645">
        <f t="shared" si="284"/>
        <v>-3524.2196245517075</v>
      </c>
      <c r="V697" s="645">
        <f t="shared" si="277"/>
        <v>-1381.6712589752337</v>
      </c>
      <c r="W697" s="645">
        <f t="shared" si="278"/>
        <v>-1496.7096348547134</v>
      </c>
      <c r="X697" s="645">
        <f t="shared" si="279"/>
        <v>1182.675182211733</v>
      </c>
      <c r="Y697" s="645">
        <f t="shared" si="280"/>
        <v>-1403.0069208137941</v>
      </c>
      <c r="Z697" s="645">
        <f t="shared" si="281"/>
        <v>-365.67193704416292</v>
      </c>
      <c r="AA697" s="645">
        <f t="shared" si="282"/>
        <v>18.917044302205881</v>
      </c>
      <c r="AB697" s="2995">
        <f>(SUM(U697:U747)*1.2682)+(SUM(V697:V747))+(SUM(W697:W747))+(SUM(X697:X747))+(SUM(Y697:Y747))+(SUM(Z697:Z747))+(SUM(AA697:AA747))</f>
        <v>-428484.69456219446</v>
      </c>
      <c r="AC697" s="3015"/>
    </row>
    <row r="698" spans="1:29" ht="18.75" x14ac:dyDescent="0.25">
      <c r="A698" s="2990"/>
      <c r="B698" s="2993"/>
      <c r="C698" s="1863">
        <v>2020</v>
      </c>
      <c r="D698" s="218">
        <f t="shared" si="301"/>
        <v>-130397.70874540422</v>
      </c>
      <c r="E698" s="218">
        <f t="shared" ref="E698:E747" si="308">$AB$21*28</f>
        <v>76673.852742297691</v>
      </c>
      <c r="F698" s="218">
        <f t="shared" ref="F698:F747" si="309">$AD$21*298</f>
        <v>-3118.3960057919703</v>
      </c>
      <c r="G698" s="218">
        <f t="shared" si="302"/>
        <v>-42.379255342256378</v>
      </c>
      <c r="H698" s="218">
        <f t="shared" si="303"/>
        <v>-31.556245516387818</v>
      </c>
      <c r="I698" s="218">
        <f t="shared" si="304"/>
        <v>65.198854372702172</v>
      </c>
      <c r="J698" s="218">
        <f t="shared" si="305"/>
        <v>-99.591250054302449</v>
      </c>
      <c r="K698" s="218">
        <f t="shared" si="306"/>
        <v>-260.7954174908084</v>
      </c>
      <c r="L698" s="218">
        <f t="shared" si="307"/>
        <v>293.39484467715903</v>
      </c>
      <c r="M698" s="764">
        <f t="shared" si="283"/>
        <v>-56.842252008898505</v>
      </c>
      <c r="N698" s="1863">
        <v>64</v>
      </c>
      <c r="O698" s="761">
        <f>'Emission-Waste Transport Vehicl'!N34</f>
        <v>31.963527706176006</v>
      </c>
      <c r="P698" s="761">
        <f>'Emission-Waste Transport Vehicl'!O34</f>
        <v>46.500275999232002</v>
      </c>
      <c r="Q698" s="761">
        <f>'Emission-Waste Transport Vehicl'!P34</f>
        <v>17.783974270656003</v>
      </c>
      <c r="R698" s="761">
        <f>'Emission-Waste Transport Vehicl'!Q34</f>
        <v>13.811534491392001</v>
      </c>
      <c r="S698" s="761">
        <f>'Emission-Waste Transport Vehicl'!R34</f>
        <v>1.3746589971840002</v>
      </c>
      <c r="T698" s="761">
        <f>'Emission-Waste Transport Vehicl'!S34</f>
        <v>6.3212665697280013E-2</v>
      </c>
      <c r="U698" s="174">
        <f t="shared" si="284"/>
        <v>-3637.9041285695043</v>
      </c>
      <c r="V698" s="174">
        <f t="shared" ref="V698:V761" si="310">G698*O698</f>
        <v>-1354.5905022993193</v>
      </c>
      <c r="W698" s="174">
        <f t="shared" ref="W698:W761" si="311">H698*P698</f>
        <v>-1467.374126011561</v>
      </c>
      <c r="X698" s="174">
        <f t="shared" ref="X698:X761" si="312">I698*Q698</f>
        <v>1159.494748640383</v>
      </c>
      <c r="Y698" s="174">
        <f t="shared" ref="Y698:Y761" si="313">J698*R698</f>
        <v>-1375.5079851658438</v>
      </c>
      <c r="Z698" s="174">
        <f t="shared" ref="Z698:Z761" si="314">K698*S698</f>
        <v>-358.50476707809736</v>
      </c>
      <c r="AA698" s="174">
        <f t="shared" ref="AA698:AA761" si="315">T698*L698</f>
        <v>18.546270233882648</v>
      </c>
      <c r="AB698" s="2987"/>
      <c r="AC698" s="3015"/>
    </row>
    <row r="699" spans="1:29" ht="18.75" x14ac:dyDescent="0.25">
      <c r="A699" s="2990"/>
      <c r="B699" s="2993"/>
      <c r="C699" s="1863">
        <v>2021</v>
      </c>
      <c r="D699" s="218">
        <f t="shared" si="301"/>
        <v>-130397.70874540422</v>
      </c>
      <c r="E699" s="218">
        <f t="shared" si="308"/>
        <v>76673.852742297691</v>
      </c>
      <c r="F699" s="218">
        <f t="shared" si="309"/>
        <v>-3118.3960057919703</v>
      </c>
      <c r="G699" s="218">
        <f t="shared" si="302"/>
        <v>-42.379255342256378</v>
      </c>
      <c r="H699" s="218">
        <f t="shared" si="303"/>
        <v>-31.556245516387818</v>
      </c>
      <c r="I699" s="218">
        <f t="shared" si="304"/>
        <v>65.198854372702172</v>
      </c>
      <c r="J699" s="218">
        <f t="shared" si="305"/>
        <v>-99.591250054302449</v>
      </c>
      <c r="K699" s="218">
        <f t="shared" si="306"/>
        <v>-260.7954174908084</v>
      </c>
      <c r="L699" s="218">
        <f t="shared" si="307"/>
        <v>293.39484467715903</v>
      </c>
      <c r="M699" s="764">
        <f t="shared" ref="M699:M762" si="316">(D699/1000)+(E699/1000)+(F699/1000)</f>
        <v>-56.842252008898505</v>
      </c>
      <c r="N699" s="1863">
        <v>65</v>
      </c>
      <c r="O699" s="761">
        <f>'Emission-Waste Transport Vehicl'!N35</f>
        <v>31.337558987328006</v>
      </c>
      <c r="P699" s="761">
        <f>'Emission-Waste Transport Vehicl'!O35</f>
        <v>45.589621879296011</v>
      </c>
      <c r="Q699" s="761">
        <f>'Emission-Waste Transport Vehicl'!P35</f>
        <v>17.435695704768001</v>
      </c>
      <c r="R699" s="761">
        <f>'Emission-Waste Transport Vehicl'!Q35</f>
        <v>13.541051563776001</v>
      </c>
      <c r="S699" s="761">
        <f>'Emission-Waste Transport Vehicl'!R35</f>
        <v>1.3477378907520003</v>
      </c>
      <c r="T699" s="761">
        <f>'Emission-Waste Transport Vehicl'!S35</f>
        <v>6.1974718755840007E-2</v>
      </c>
      <c r="U699" s="174">
        <f t="shared" ref="U699:U762" si="317">M699*N699</f>
        <v>-3694.7463805784027</v>
      </c>
      <c r="V699" s="174">
        <f t="shared" si="310"/>
        <v>-1328.0624141269948</v>
      </c>
      <c r="W699" s="174">
        <f t="shared" si="311"/>
        <v>-1438.6373010223508</v>
      </c>
      <c r="X699" s="174">
        <f t="shared" si="312"/>
        <v>1136.7873851419176</v>
      </c>
      <c r="Y699" s="174">
        <f t="shared" si="313"/>
        <v>-1348.5702522862189</v>
      </c>
      <c r="Z699" s="174">
        <f t="shared" si="314"/>
        <v>-351.48386588684946</v>
      </c>
      <c r="AA699" s="174">
        <f t="shared" si="315"/>
        <v>18.183062983280294</v>
      </c>
      <c r="AB699" s="2987"/>
      <c r="AC699" s="3015"/>
    </row>
    <row r="700" spans="1:29" ht="18.75" x14ac:dyDescent="0.25">
      <c r="A700" s="2990"/>
      <c r="B700" s="2993"/>
      <c r="C700" s="1863">
        <v>2022</v>
      </c>
      <c r="D700" s="218">
        <f t="shared" si="301"/>
        <v>-130397.70874540422</v>
      </c>
      <c r="E700" s="218">
        <f t="shared" si="308"/>
        <v>76673.852742297691</v>
      </c>
      <c r="F700" s="218">
        <f t="shared" si="309"/>
        <v>-3118.3960057919703</v>
      </c>
      <c r="G700" s="218">
        <f t="shared" si="302"/>
        <v>-42.379255342256378</v>
      </c>
      <c r="H700" s="218">
        <f t="shared" si="303"/>
        <v>-31.556245516387818</v>
      </c>
      <c r="I700" s="218">
        <f t="shared" si="304"/>
        <v>65.198854372702172</v>
      </c>
      <c r="J700" s="218">
        <f t="shared" si="305"/>
        <v>-99.591250054302449</v>
      </c>
      <c r="K700" s="218">
        <f t="shared" si="306"/>
        <v>-260.7954174908084</v>
      </c>
      <c r="L700" s="218">
        <f t="shared" si="307"/>
        <v>293.39484467715903</v>
      </c>
      <c r="M700" s="764">
        <f t="shared" si="316"/>
        <v>-56.842252008898505</v>
      </c>
      <c r="N700" s="1863">
        <v>66</v>
      </c>
      <c r="O700" s="761">
        <f>'Emission-Waste Transport Vehicl'!N36</f>
        <v>30.721371029712003</v>
      </c>
      <c r="P700" s="761">
        <f>'Emission-Waste Transport Vehicl'!O36</f>
        <v>44.693196729984003</v>
      </c>
      <c r="Q700" s="761">
        <f>'Emission-Waste Transport Vehicl'!P36</f>
        <v>17.092858991472003</v>
      </c>
      <c r="R700" s="761">
        <f>'Emission-Waste Transport Vehicl'!Q36</f>
        <v>13.274794931903999</v>
      </c>
      <c r="S700" s="761">
        <f>'Emission-Waste Transport Vehicl'!R36</f>
        <v>1.3212374266080003</v>
      </c>
      <c r="T700" s="761">
        <f>'Emission-Waste Transport Vehicl'!S36</f>
        <v>6.0756114735360002E-2</v>
      </c>
      <c r="U700" s="174">
        <f t="shared" si="317"/>
        <v>-3751.5886325873012</v>
      </c>
      <c r="V700" s="174">
        <f t="shared" si="310"/>
        <v>-1301.9488273323627</v>
      </c>
      <c r="W700" s="174">
        <f t="shared" si="311"/>
        <v>-1410.3494889235965</v>
      </c>
      <c r="X700" s="174">
        <f t="shared" si="312"/>
        <v>1114.4348241981161</v>
      </c>
      <c r="Y700" s="174">
        <f t="shared" si="313"/>
        <v>-1322.0534214828381</v>
      </c>
      <c r="Z700" s="174">
        <f t="shared" si="314"/>
        <v>-344.57266627671476</v>
      </c>
      <c r="AA700" s="174">
        <f t="shared" si="315"/>
        <v>17.825530845968601</v>
      </c>
      <c r="AB700" s="2987"/>
      <c r="AC700" s="3015"/>
    </row>
    <row r="701" spans="1:29" ht="18.75" x14ac:dyDescent="0.25">
      <c r="A701" s="2990"/>
      <c r="B701" s="2993"/>
      <c r="C701" s="1863">
        <v>2023</v>
      </c>
      <c r="D701" s="218">
        <f t="shared" si="301"/>
        <v>-130397.70874540422</v>
      </c>
      <c r="E701" s="218">
        <f t="shared" si="308"/>
        <v>76673.852742297691</v>
      </c>
      <c r="F701" s="218">
        <f t="shared" si="309"/>
        <v>-3118.3960057919703</v>
      </c>
      <c r="G701" s="218">
        <f t="shared" si="302"/>
        <v>-42.379255342256378</v>
      </c>
      <c r="H701" s="218">
        <f t="shared" si="303"/>
        <v>-31.556245516387818</v>
      </c>
      <c r="I701" s="218">
        <f t="shared" si="304"/>
        <v>65.198854372702172</v>
      </c>
      <c r="J701" s="218">
        <f t="shared" si="305"/>
        <v>-99.591250054302449</v>
      </c>
      <c r="K701" s="218">
        <f t="shared" si="306"/>
        <v>-260.7954174908084</v>
      </c>
      <c r="L701" s="218">
        <f t="shared" si="307"/>
        <v>293.39484467715903</v>
      </c>
      <c r="M701" s="764">
        <f t="shared" si="316"/>
        <v>-56.842252008898505</v>
      </c>
      <c r="N701" s="1863">
        <v>67</v>
      </c>
      <c r="O701" s="761">
        <f>'Emission-Waste Transport Vehicl'!N37</f>
        <v>30.118224087072001</v>
      </c>
      <c r="P701" s="761">
        <f>'Emission-Waste Transport Vehicl'!O37</f>
        <v>43.815743541504006</v>
      </c>
      <c r="Q701" s="761">
        <f>'Emission-Waste Transport Vehicl'!P37</f>
        <v>16.757278081632002</v>
      </c>
      <c r="R701" s="761">
        <f>'Emission-Waste Transport Vehicl'!Q37</f>
        <v>13.014173361024</v>
      </c>
      <c r="S701" s="761">
        <f>'Emission-Waste Transport Vehicl'!R37</f>
        <v>1.295297818848</v>
      </c>
      <c r="T701" s="761">
        <f>'Emission-Waste Transport Vehicl'!S37</f>
        <v>5.9563301276160004E-2</v>
      </c>
      <c r="U701" s="174">
        <f t="shared" si="317"/>
        <v>-3808.4308845962</v>
      </c>
      <c r="V701" s="174">
        <f t="shared" si="310"/>
        <v>-1276.3879090413209</v>
      </c>
      <c r="W701" s="174">
        <f t="shared" si="311"/>
        <v>-1382.6603606787842</v>
      </c>
      <c r="X701" s="174">
        <f t="shared" si="312"/>
        <v>1092.5553333271989</v>
      </c>
      <c r="Y701" s="174">
        <f t="shared" si="313"/>
        <v>-1296.0977934477828</v>
      </c>
      <c r="Z701" s="174">
        <f t="shared" si="314"/>
        <v>-337.80773544139765</v>
      </c>
      <c r="AA701" s="174">
        <f t="shared" si="315"/>
        <v>17.475565526377792</v>
      </c>
      <c r="AB701" s="2987"/>
      <c r="AC701" s="3015"/>
    </row>
    <row r="702" spans="1:29" ht="18.75" x14ac:dyDescent="0.25">
      <c r="A702" s="2990"/>
      <c r="B702" s="2993"/>
      <c r="C702" s="1863">
        <v>2024</v>
      </c>
      <c r="D702" s="218">
        <f t="shared" si="301"/>
        <v>-130397.70874540422</v>
      </c>
      <c r="E702" s="218">
        <f t="shared" si="308"/>
        <v>76673.852742297691</v>
      </c>
      <c r="F702" s="218">
        <f t="shared" si="309"/>
        <v>-3118.3960057919703</v>
      </c>
      <c r="G702" s="218">
        <f t="shared" si="302"/>
        <v>-42.379255342256378</v>
      </c>
      <c r="H702" s="218">
        <f t="shared" si="303"/>
        <v>-31.556245516387818</v>
      </c>
      <c r="I702" s="218">
        <f t="shared" si="304"/>
        <v>65.198854372702172</v>
      </c>
      <c r="J702" s="218">
        <f t="shared" si="305"/>
        <v>-99.591250054302449</v>
      </c>
      <c r="K702" s="218">
        <f t="shared" si="306"/>
        <v>-260.7954174908084</v>
      </c>
      <c r="L702" s="218">
        <f t="shared" si="307"/>
        <v>293.39484467715903</v>
      </c>
      <c r="M702" s="764">
        <f t="shared" si="316"/>
        <v>-56.842252008898505</v>
      </c>
      <c r="N702" s="1863">
        <v>68</v>
      </c>
      <c r="O702" s="761">
        <f>'Emission-Waste Transport Vehicl'!N38</f>
        <v>29.528118159408002</v>
      </c>
      <c r="P702" s="761">
        <f>'Emission-Waste Transport Vehicl'!O38</f>
        <v>42.957262313856006</v>
      </c>
      <c r="Q702" s="761">
        <f>'Emission-Waste Transport Vehicl'!P38</f>
        <v>16.428952975248002</v>
      </c>
      <c r="R702" s="761">
        <f>'Emission-Waste Transport Vehicl'!Q38</f>
        <v>12.759186851135999</v>
      </c>
      <c r="S702" s="761">
        <f>'Emission-Waste Transport Vehicl'!R38</f>
        <v>1.269919067472</v>
      </c>
      <c r="T702" s="761">
        <f>'Emission-Waste Transport Vehicl'!S38</f>
        <v>5.8396278378240005E-2</v>
      </c>
      <c r="U702" s="174">
        <f t="shared" si="317"/>
        <v>-3865.2731366050984</v>
      </c>
      <c r="V702" s="174">
        <f t="shared" si="310"/>
        <v>-1251.3796592538692</v>
      </c>
      <c r="W702" s="174">
        <f t="shared" si="311"/>
        <v>-1355.5699162879139</v>
      </c>
      <c r="X702" s="174">
        <f t="shared" si="312"/>
        <v>1071.1489125291666</v>
      </c>
      <c r="Y702" s="174">
        <f t="shared" si="313"/>
        <v>-1270.7033681810531</v>
      </c>
      <c r="Z702" s="174">
        <f t="shared" si="314"/>
        <v>-331.18907338089832</v>
      </c>
      <c r="AA702" s="174">
        <f t="shared" si="315"/>
        <v>17.133167024507866</v>
      </c>
      <c r="AB702" s="2987"/>
      <c r="AC702" s="3015"/>
    </row>
    <row r="703" spans="1:29" ht="18.75" x14ac:dyDescent="0.25">
      <c r="A703" s="2990"/>
      <c r="B703" s="2993"/>
      <c r="C703" s="1863">
        <v>2025</v>
      </c>
      <c r="D703" s="218">
        <f t="shared" si="301"/>
        <v>-130397.70874540422</v>
      </c>
      <c r="E703" s="218">
        <f t="shared" si="308"/>
        <v>76673.852742297691</v>
      </c>
      <c r="F703" s="218">
        <f t="shared" si="309"/>
        <v>-3118.3960057919703</v>
      </c>
      <c r="G703" s="218">
        <f t="shared" si="302"/>
        <v>-42.379255342256378</v>
      </c>
      <c r="H703" s="218">
        <f t="shared" si="303"/>
        <v>-31.556245516387818</v>
      </c>
      <c r="I703" s="218">
        <f t="shared" si="304"/>
        <v>65.198854372702172</v>
      </c>
      <c r="J703" s="218">
        <f t="shared" si="305"/>
        <v>-99.591250054302449</v>
      </c>
      <c r="K703" s="218">
        <f t="shared" si="306"/>
        <v>-260.7954174908084</v>
      </c>
      <c r="L703" s="218">
        <f t="shared" si="307"/>
        <v>293.39484467715903</v>
      </c>
      <c r="M703" s="764">
        <f t="shared" si="316"/>
        <v>-56.842252008898505</v>
      </c>
      <c r="N703" s="1863">
        <v>69</v>
      </c>
      <c r="O703" s="761">
        <f>'Emission-Waste Transport Vehicl'!N39</f>
        <v>28.951053246720004</v>
      </c>
      <c r="P703" s="761">
        <f>'Emission-Waste Transport Vehicl'!O39</f>
        <v>42.117753047040004</v>
      </c>
      <c r="Q703" s="761">
        <f>'Emission-Waste Transport Vehicl'!P39</f>
        <v>16.10788367232</v>
      </c>
      <c r="R703" s="761">
        <f>'Emission-Waste Transport Vehicl'!Q39</f>
        <v>12.50983540224</v>
      </c>
      <c r="S703" s="761">
        <f>'Emission-Waste Transport Vehicl'!R39</f>
        <v>1.2451011724800001</v>
      </c>
      <c r="T703" s="761">
        <f>'Emission-Waste Transport Vehicl'!S39</f>
        <v>5.7255046041600005E-2</v>
      </c>
      <c r="U703" s="174">
        <f t="shared" si="317"/>
        <v>-3922.1153886139969</v>
      </c>
      <c r="V703" s="174">
        <f t="shared" si="310"/>
        <v>-1226.9240779700076</v>
      </c>
      <c r="W703" s="174">
        <f t="shared" si="311"/>
        <v>-1329.0781557509856</v>
      </c>
      <c r="X703" s="174">
        <f t="shared" si="312"/>
        <v>1050.2155618040188</v>
      </c>
      <c r="Y703" s="174">
        <f t="shared" si="313"/>
        <v>-1245.8701456826491</v>
      </c>
      <c r="Z703" s="174">
        <f t="shared" si="314"/>
        <v>-324.71668009521665</v>
      </c>
      <c r="AA703" s="174">
        <f t="shared" si="315"/>
        <v>16.798335340358822</v>
      </c>
      <c r="AB703" s="2987"/>
      <c r="AC703" s="3015"/>
    </row>
    <row r="704" spans="1:29" ht="18.75" x14ac:dyDescent="0.25">
      <c r="A704" s="2990"/>
      <c r="B704" s="2993"/>
      <c r="C704" s="1863">
        <v>2026</v>
      </c>
      <c r="D704" s="218">
        <f t="shared" si="301"/>
        <v>-130397.70874540422</v>
      </c>
      <c r="E704" s="218">
        <f t="shared" si="308"/>
        <v>76673.852742297691</v>
      </c>
      <c r="F704" s="218">
        <f t="shared" si="309"/>
        <v>-3118.3960057919703</v>
      </c>
      <c r="G704" s="218">
        <f t="shared" si="302"/>
        <v>-42.379255342256378</v>
      </c>
      <c r="H704" s="218">
        <f t="shared" si="303"/>
        <v>-31.556245516387818</v>
      </c>
      <c r="I704" s="218">
        <f t="shared" si="304"/>
        <v>65.198854372702172</v>
      </c>
      <c r="J704" s="218">
        <f t="shared" si="305"/>
        <v>-99.591250054302449</v>
      </c>
      <c r="K704" s="218">
        <f t="shared" si="306"/>
        <v>-260.7954174908084</v>
      </c>
      <c r="L704" s="218">
        <f t="shared" si="307"/>
        <v>293.39484467715903</v>
      </c>
      <c r="M704" s="764">
        <f t="shared" si="316"/>
        <v>-56.842252008898505</v>
      </c>
      <c r="N704" s="1863">
        <v>70</v>
      </c>
      <c r="O704" s="761">
        <f>'Emission-Waste Transport Vehicl'!N40</f>
        <v>28.383769095264007</v>
      </c>
      <c r="P704" s="761">
        <f>'Emission-Waste Transport Vehicl'!O40</f>
        <v>41.292472750848006</v>
      </c>
      <c r="Q704" s="761">
        <f>'Emission-Waste Transport Vehicl'!P40</f>
        <v>15.792256221984003</v>
      </c>
      <c r="R704" s="761">
        <f>'Emission-Waste Transport Vehicl'!Q40</f>
        <v>12.264710249088001</v>
      </c>
      <c r="S704" s="761">
        <f>'Emission-Waste Transport Vehicl'!R40</f>
        <v>1.2207039197760001</v>
      </c>
      <c r="T704" s="761">
        <f>'Emission-Waste Transport Vehicl'!S40</f>
        <v>5.6133156625920007E-2</v>
      </c>
      <c r="U704" s="174">
        <f t="shared" si="317"/>
        <v>-3978.9576406228953</v>
      </c>
      <c r="V704" s="174">
        <f t="shared" si="310"/>
        <v>-1202.8829980638386</v>
      </c>
      <c r="W704" s="174">
        <f t="shared" si="311"/>
        <v>-1303.0354081045136</v>
      </c>
      <c r="X704" s="174">
        <f t="shared" si="312"/>
        <v>1029.6370136335347</v>
      </c>
      <c r="Y704" s="174">
        <f t="shared" si="313"/>
        <v>-1221.4578252604892</v>
      </c>
      <c r="Z704" s="174">
        <f t="shared" si="314"/>
        <v>-318.35398839064823</v>
      </c>
      <c r="AA704" s="174">
        <f t="shared" si="315"/>
        <v>16.469178769500441</v>
      </c>
      <c r="AB704" s="2987"/>
      <c r="AC704" s="3015"/>
    </row>
    <row r="705" spans="1:29" ht="18.75" x14ac:dyDescent="0.25">
      <c r="A705" s="2990"/>
      <c r="B705" s="2993"/>
      <c r="C705" s="1863">
        <v>2027</v>
      </c>
      <c r="D705" s="218">
        <f t="shared" si="301"/>
        <v>-130397.70874540422</v>
      </c>
      <c r="E705" s="218">
        <f t="shared" si="308"/>
        <v>76673.852742297691</v>
      </c>
      <c r="F705" s="218">
        <f t="shared" si="309"/>
        <v>-3118.3960057919703</v>
      </c>
      <c r="G705" s="218">
        <f t="shared" si="302"/>
        <v>-42.379255342256378</v>
      </c>
      <c r="H705" s="218">
        <f t="shared" si="303"/>
        <v>-31.556245516387818</v>
      </c>
      <c r="I705" s="218">
        <f t="shared" si="304"/>
        <v>65.198854372702172</v>
      </c>
      <c r="J705" s="218">
        <f t="shared" si="305"/>
        <v>-99.591250054302449</v>
      </c>
      <c r="K705" s="218">
        <f t="shared" si="306"/>
        <v>-260.7954174908084</v>
      </c>
      <c r="L705" s="218">
        <f t="shared" si="307"/>
        <v>293.39484467715903</v>
      </c>
      <c r="M705" s="764">
        <f t="shared" si="316"/>
        <v>-56.842252008898505</v>
      </c>
      <c r="N705" s="1863">
        <v>71</v>
      </c>
      <c r="O705" s="761">
        <f>'Emission-Waste Transport Vehicl'!N41</f>
        <v>27.826265705040004</v>
      </c>
      <c r="P705" s="761">
        <f>'Emission-Waste Transport Vehicl'!O41</f>
        <v>40.481421425280004</v>
      </c>
      <c r="Q705" s="761">
        <f>'Emission-Waste Transport Vehicl'!P41</f>
        <v>15.482070624240002</v>
      </c>
      <c r="R705" s="761">
        <f>'Emission-Waste Transport Vehicl'!Q41</f>
        <v>12.023811391680001</v>
      </c>
      <c r="S705" s="761">
        <f>'Emission-Waste Transport Vehicl'!R41</f>
        <v>1.1967273093600002</v>
      </c>
      <c r="T705" s="761">
        <f>'Emission-Waste Transport Vehicl'!S41</f>
        <v>5.503061013120001E-2</v>
      </c>
      <c r="U705" s="174">
        <f t="shared" si="317"/>
        <v>-4035.7998926317937</v>
      </c>
      <c r="V705" s="174">
        <f t="shared" si="310"/>
        <v>-1179.2564195353621</v>
      </c>
      <c r="W705" s="174">
        <f t="shared" si="311"/>
        <v>-1277.4416733484979</v>
      </c>
      <c r="X705" s="174">
        <f t="shared" si="312"/>
        <v>1009.4132680177141</v>
      </c>
      <c r="Y705" s="174">
        <f t="shared" si="313"/>
        <v>-1197.4664069145733</v>
      </c>
      <c r="Z705" s="174">
        <f t="shared" si="314"/>
        <v>-312.10099826719306</v>
      </c>
      <c r="AA705" s="174">
        <f t="shared" si="315"/>
        <v>16.145697311932722</v>
      </c>
      <c r="AB705" s="2987"/>
      <c r="AC705" s="3015"/>
    </row>
    <row r="706" spans="1:29" ht="18.75" x14ac:dyDescent="0.25">
      <c r="A706" s="2990"/>
      <c r="B706" s="2993"/>
      <c r="C706" s="1863">
        <v>2028</v>
      </c>
      <c r="D706" s="218">
        <f t="shared" si="301"/>
        <v>-130397.70874540422</v>
      </c>
      <c r="E706" s="218">
        <f t="shared" si="308"/>
        <v>76673.852742297691</v>
      </c>
      <c r="F706" s="218">
        <f t="shared" si="309"/>
        <v>-3118.3960057919703</v>
      </c>
      <c r="G706" s="218">
        <f t="shared" si="302"/>
        <v>-42.379255342256378</v>
      </c>
      <c r="H706" s="218">
        <f t="shared" si="303"/>
        <v>-31.556245516387818</v>
      </c>
      <c r="I706" s="218">
        <f t="shared" si="304"/>
        <v>65.198854372702172</v>
      </c>
      <c r="J706" s="218">
        <f t="shared" si="305"/>
        <v>-99.591250054302449</v>
      </c>
      <c r="K706" s="218">
        <f t="shared" si="306"/>
        <v>-260.7954174908084</v>
      </c>
      <c r="L706" s="218">
        <f t="shared" si="307"/>
        <v>293.39484467715903</v>
      </c>
      <c r="M706" s="764">
        <f t="shared" si="316"/>
        <v>-56.842252008898505</v>
      </c>
      <c r="N706" s="1863">
        <v>72</v>
      </c>
      <c r="O706" s="761">
        <f>'Emission-Waste Transport Vehicl'!N42</f>
        <v>27.281803329792002</v>
      </c>
      <c r="P706" s="761">
        <f>'Emission-Waste Transport Vehicl'!O42</f>
        <v>39.689342060544</v>
      </c>
      <c r="Q706" s="761">
        <f>'Emission-Waste Transport Vehicl'!P42</f>
        <v>15.179140829952001</v>
      </c>
      <c r="R706" s="761">
        <f>'Emission-Waste Transport Vehicl'!Q42</f>
        <v>11.788547595263999</v>
      </c>
      <c r="S706" s="761">
        <f>'Emission-Waste Transport Vehicl'!R42</f>
        <v>1.173311555328</v>
      </c>
      <c r="T706" s="761">
        <f>'Emission-Waste Transport Vehicl'!S42</f>
        <v>5.3953854197759998E-2</v>
      </c>
      <c r="U706" s="174">
        <f t="shared" si="317"/>
        <v>-4092.6421446406925</v>
      </c>
      <c r="V706" s="174">
        <f t="shared" si="310"/>
        <v>-1156.1825095104755</v>
      </c>
      <c r="W706" s="174">
        <f t="shared" si="311"/>
        <v>-1252.446622446424</v>
      </c>
      <c r="X706" s="174">
        <f t="shared" si="312"/>
        <v>989.66259247477808</v>
      </c>
      <c r="Y706" s="174">
        <f t="shared" si="313"/>
        <v>-1174.0361913369827</v>
      </c>
      <c r="Z706" s="174">
        <f t="shared" si="314"/>
        <v>-305.9942769185555</v>
      </c>
      <c r="AA706" s="174">
        <f t="shared" si="315"/>
        <v>15.82978267208588</v>
      </c>
      <c r="AB706" s="2987"/>
      <c r="AC706" s="3015"/>
    </row>
    <row r="707" spans="1:29" ht="18.75" x14ac:dyDescent="0.25">
      <c r="A707" s="2990"/>
      <c r="B707" s="2993"/>
      <c r="C707" s="1863">
        <v>2029</v>
      </c>
      <c r="D707" s="218">
        <f t="shared" si="301"/>
        <v>-130397.70874540422</v>
      </c>
      <c r="E707" s="218">
        <f t="shared" si="308"/>
        <v>76673.852742297691</v>
      </c>
      <c r="F707" s="218">
        <f t="shared" si="309"/>
        <v>-3118.3960057919703</v>
      </c>
      <c r="G707" s="218">
        <f t="shared" si="302"/>
        <v>-42.379255342256378</v>
      </c>
      <c r="H707" s="218">
        <f t="shared" si="303"/>
        <v>-31.556245516387818</v>
      </c>
      <c r="I707" s="218">
        <f t="shared" si="304"/>
        <v>65.198854372702172</v>
      </c>
      <c r="J707" s="218">
        <f t="shared" si="305"/>
        <v>-99.591250054302449</v>
      </c>
      <c r="K707" s="218">
        <f t="shared" si="306"/>
        <v>-260.7954174908084</v>
      </c>
      <c r="L707" s="218">
        <f t="shared" si="307"/>
        <v>293.39484467715903</v>
      </c>
      <c r="M707" s="764">
        <f t="shared" si="316"/>
        <v>-56.842252008898505</v>
      </c>
      <c r="N707" s="1863">
        <v>73</v>
      </c>
      <c r="O707" s="761">
        <f>'Emission-Waste Transport Vehicl'!N43</f>
        <v>26.743861462032005</v>
      </c>
      <c r="P707" s="761">
        <f>'Emission-Waste Transport Vehicl'!O43</f>
        <v>38.906748676224005</v>
      </c>
      <c r="Q707" s="761">
        <f>'Emission-Waste Transport Vehicl'!P43</f>
        <v>14.879838937392002</v>
      </c>
      <c r="R707" s="761">
        <f>'Emission-Waste Transport Vehicl'!Q43</f>
        <v>11.556101329344001</v>
      </c>
      <c r="S707" s="761">
        <f>'Emission-Waste Transport Vehicl'!R43</f>
        <v>1.1501762294880002</v>
      </c>
      <c r="T707" s="761">
        <f>'Emission-Waste Transport Vehicl'!S43</f>
        <v>5.2889993544960004E-2</v>
      </c>
      <c r="U707" s="174">
        <f t="shared" si="317"/>
        <v>-4149.484396649591</v>
      </c>
      <c r="V707" s="174">
        <f t="shared" si="310"/>
        <v>-1133.3849337373842</v>
      </c>
      <c r="W707" s="174">
        <f t="shared" si="311"/>
        <v>-1227.7509134713214</v>
      </c>
      <c r="X707" s="174">
        <f t="shared" si="312"/>
        <v>970.14845196828458</v>
      </c>
      <c r="Y707" s="174">
        <f t="shared" si="313"/>
        <v>-1150.8865771435553</v>
      </c>
      <c r="Z707" s="174">
        <f t="shared" si="314"/>
        <v>-299.96068995732691</v>
      </c>
      <c r="AA707" s="174">
        <f t="shared" si="315"/>
        <v>15.517651441099485</v>
      </c>
      <c r="AB707" s="2987"/>
      <c r="AC707" s="3015"/>
    </row>
    <row r="708" spans="1:29" ht="18.75" x14ac:dyDescent="0.25">
      <c r="A708" s="2990"/>
      <c r="B708" s="2993"/>
      <c r="C708" s="1863">
        <v>2030</v>
      </c>
      <c r="D708" s="218">
        <f t="shared" si="301"/>
        <v>-130397.70874540422</v>
      </c>
      <c r="E708" s="218">
        <f t="shared" si="308"/>
        <v>76673.852742297691</v>
      </c>
      <c r="F708" s="218">
        <f t="shared" si="309"/>
        <v>-3118.3960057919703</v>
      </c>
      <c r="G708" s="218">
        <f t="shared" si="302"/>
        <v>-42.379255342256378</v>
      </c>
      <c r="H708" s="218">
        <f t="shared" si="303"/>
        <v>-31.556245516387818</v>
      </c>
      <c r="I708" s="218">
        <f t="shared" si="304"/>
        <v>65.198854372702172</v>
      </c>
      <c r="J708" s="218">
        <f t="shared" si="305"/>
        <v>-99.591250054302449</v>
      </c>
      <c r="K708" s="218">
        <f t="shared" si="306"/>
        <v>-260.7954174908084</v>
      </c>
      <c r="L708" s="218">
        <f t="shared" si="307"/>
        <v>293.39484467715903</v>
      </c>
      <c r="M708" s="764">
        <f t="shared" si="316"/>
        <v>-56.842252008898505</v>
      </c>
      <c r="N708" s="1863">
        <v>75</v>
      </c>
      <c r="O708" s="761">
        <f>'Emission-Waste Transport Vehicl'!N44</f>
        <v>26.222220862992003</v>
      </c>
      <c r="P708" s="761">
        <f>'Emission-Waste Transport Vehicl'!O44</f>
        <v>38.147870242944002</v>
      </c>
      <c r="Q708" s="761">
        <f>'Emission-Waste Transport Vehicl'!P44</f>
        <v>14.589606799152003</v>
      </c>
      <c r="R708" s="761">
        <f>'Emission-Waste Transport Vehicl'!Q44</f>
        <v>11.330698889664001</v>
      </c>
      <c r="S708" s="761">
        <f>'Emission-Waste Transport Vehicl'!R44</f>
        <v>1.1277419741280001</v>
      </c>
      <c r="T708" s="761">
        <f>'Emission-Waste Transport Vehicl'!S44</f>
        <v>5.1858371093760007E-2</v>
      </c>
      <c r="U708" s="174">
        <f t="shared" si="317"/>
        <v>-4263.1689006673878</v>
      </c>
      <c r="V708" s="174">
        <f t="shared" si="310"/>
        <v>-1111.2781935937805</v>
      </c>
      <c r="W708" s="174">
        <f t="shared" si="311"/>
        <v>-1203.803559313646</v>
      </c>
      <c r="X708" s="174">
        <f t="shared" si="312"/>
        <v>951.22564905289687</v>
      </c>
      <c r="Y708" s="174">
        <f t="shared" si="313"/>
        <v>-1128.4384664105346</v>
      </c>
      <c r="Z708" s="174">
        <f t="shared" si="314"/>
        <v>-294.10993896462026</v>
      </c>
      <c r="AA708" s="174">
        <f t="shared" si="315"/>
        <v>15.214978732264191</v>
      </c>
      <c r="AB708" s="2987"/>
      <c r="AC708" s="3015"/>
    </row>
    <row r="709" spans="1:29" ht="18.75" x14ac:dyDescent="0.25">
      <c r="A709" s="2990"/>
      <c r="B709" s="2993"/>
      <c r="C709" s="1863">
        <v>2031</v>
      </c>
      <c r="D709" s="218">
        <f t="shared" si="301"/>
        <v>-130397.70874540422</v>
      </c>
      <c r="E709" s="218">
        <f t="shared" si="308"/>
        <v>76673.852742297691</v>
      </c>
      <c r="F709" s="218">
        <f t="shared" si="309"/>
        <v>-3118.3960057919703</v>
      </c>
      <c r="G709" s="218">
        <f t="shared" si="302"/>
        <v>-42.379255342256378</v>
      </c>
      <c r="H709" s="218">
        <f t="shared" si="303"/>
        <v>-31.556245516387818</v>
      </c>
      <c r="I709" s="218">
        <f t="shared" si="304"/>
        <v>65.198854372702172</v>
      </c>
      <c r="J709" s="218">
        <f t="shared" si="305"/>
        <v>-99.591250054302449</v>
      </c>
      <c r="K709" s="218">
        <f t="shared" si="306"/>
        <v>-260.7954174908084</v>
      </c>
      <c r="L709" s="218">
        <f t="shared" si="307"/>
        <v>293.39484467715903</v>
      </c>
      <c r="M709" s="764">
        <f t="shared" si="316"/>
        <v>-56.842252008898505</v>
      </c>
      <c r="N709" s="1863">
        <v>76</v>
      </c>
      <c r="O709" s="761">
        <f>'Emission-Waste Transport Vehicl'!N45</f>
        <v>25.70710077144</v>
      </c>
      <c r="P709" s="761">
        <f>'Emission-Waste Transport Vehicl'!O45</f>
        <v>37.398477790080001</v>
      </c>
      <c r="Q709" s="761">
        <f>'Emission-Waste Transport Vehicl'!P45</f>
        <v>14.303002562640001</v>
      </c>
      <c r="R709" s="761">
        <f>'Emission-Waste Transport Vehicl'!Q45</f>
        <v>11.108113980480001</v>
      </c>
      <c r="S709" s="761">
        <f>'Emission-Waste Transport Vehicl'!R45</f>
        <v>1.1055881469600002</v>
      </c>
      <c r="T709" s="761">
        <f>'Emission-Waste Transport Vehicl'!S45</f>
        <v>5.0839643923200006E-2</v>
      </c>
      <c r="U709" s="174">
        <f t="shared" si="317"/>
        <v>-4320.0111526762867</v>
      </c>
      <c r="V709" s="174">
        <f t="shared" si="310"/>
        <v>-1089.4477877019717</v>
      </c>
      <c r="W709" s="174">
        <f t="shared" si="311"/>
        <v>-1180.1555470829414</v>
      </c>
      <c r="X709" s="174">
        <f t="shared" si="312"/>
        <v>932.53938117395148</v>
      </c>
      <c r="Y709" s="174">
        <f t="shared" si="313"/>
        <v>-1106.2709570616767</v>
      </c>
      <c r="Z709" s="174">
        <f t="shared" si="314"/>
        <v>-288.33232235932246</v>
      </c>
      <c r="AA709" s="174">
        <f t="shared" si="315"/>
        <v>14.916089432289338</v>
      </c>
      <c r="AB709" s="2987"/>
      <c r="AC709" s="3015"/>
    </row>
    <row r="710" spans="1:29" ht="18.75" x14ac:dyDescent="0.25">
      <c r="A710" s="2990"/>
      <c r="B710" s="2993"/>
      <c r="C710" s="1863">
        <v>2032</v>
      </c>
      <c r="D710" s="218">
        <f t="shared" si="301"/>
        <v>-130397.70874540422</v>
      </c>
      <c r="E710" s="218">
        <f t="shared" si="308"/>
        <v>76673.852742297691</v>
      </c>
      <c r="F710" s="218">
        <f t="shared" si="309"/>
        <v>-3118.3960057919703</v>
      </c>
      <c r="G710" s="218">
        <f t="shared" si="302"/>
        <v>-42.379255342256378</v>
      </c>
      <c r="H710" s="218">
        <f t="shared" si="303"/>
        <v>-31.556245516387818</v>
      </c>
      <c r="I710" s="218">
        <f t="shared" si="304"/>
        <v>65.198854372702172</v>
      </c>
      <c r="J710" s="218">
        <f t="shared" si="305"/>
        <v>-99.591250054302449</v>
      </c>
      <c r="K710" s="218">
        <f t="shared" si="306"/>
        <v>-260.7954174908084</v>
      </c>
      <c r="L710" s="218">
        <f t="shared" si="307"/>
        <v>293.39484467715903</v>
      </c>
      <c r="M710" s="764">
        <f t="shared" si="316"/>
        <v>-56.842252008898505</v>
      </c>
      <c r="N710" s="1863">
        <v>77</v>
      </c>
      <c r="O710" s="761">
        <f>'Emission-Waste Transport Vehicl'!N46</f>
        <v>25.201761441120002</v>
      </c>
      <c r="P710" s="761">
        <f>'Emission-Waste Transport Vehicl'!O46</f>
        <v>36.663314307840004</v>
      </c>
      <c r="Q710" s="761">
        <f>'Emission-Waste Transport Vehicl'!P46</f>
        <v>14.021840178720002</v>
      </c>
      <c r="R710" s="761">
        <f>'Emission-Waste Transport Vehicl'!Q46</f>
        <v>10.889755367040001</v>
      </c>
      <c r="S710" s="761">
        <f>'Emission-Waste Transport Vehicl'!R46</f>
        <v>1.0838549620800002</v>
      </c>
      <c r="T710" s="761">
        <f>'Emission-Waste Transport Vehicl'!S46</f>
        <v>4.9840259673600007E-2</v>
      </c>
      <c r="U710" s="174">
        <f t="shared" si="317"/>
        <v>-4376.8534046851846</v>
      </c>
      <c r="V710" s="174">
        <f t="shared" si="310"/>
        <v>-1068.0318831878556</v>
      </c>
      <c r="W710" s="174">
        <f t="shared" si="311"/>
        <v>-1156.9565477426934</v>
      </c>
      <c r="X710" s="174">
        <f t="shared" si="312"/>
        <v>914.20791584966958</v>
      </c>
      <c r="Y710" s="174">
        <f t="shared" si="313"/>
        <v>-1084.5243497890629</v>
      </c>
      <c r="Z710" s="174">
        <f t="shared" si="314"/>
        <v>-282.66440733513798</v>
      </c>
      <c r="AA710" s="174">
        <f t="shared" si="315"/>
        <v>14.622875245605147</v>
      </c>
      <c r="AB710" s="2987"/>
      <c r="AC710" s="3015"/>
    </row>
    <row r="711" spans="1:29" ht="18.75" x14ac:dyDescent="0.25">
      <c r="A711" s="2990"/>
      <c r="B711" s="2993"/>
      <c r="C711" s="1863">
        <v>2033</v>
      </c>
      <c r="D711" s="218">
        <f t="shared" si="301"/>
        <v>-130397.70874540422</v>
      </c>
      <c r="E711" s="218">
        <f t="shared" si="308"/>
        <v>76673.852742297691</v>
      </c>
      <c r="F711" s="218">
        <f t="shared" si="309"/>
        <v>-3118.3960057919703</v>
      </c>
      <c r="G711" s="218">
        <f t="shared" si="302"/>
        <v>-42.379255342256378</v>
      </c>
      <c r="H711" s="218">
        <f t="shared" si="303"/>
        <v>-31.556245516387818</v>
      </c>
      <c r="I711" s="218">
        <f t="shared" si="304"/>
        <v>65.198854372702172</v>
      </c>
      <c r="J711" s="218">
        <f t="shared" si="305"/>
        <v>-99.591250054302449</v>
      </c>
      <c r="K711" s="218">
        <f t="shared" si="306"/>
        <v>-260.7954174908084</v>
      </c>
      <c r="L711" s="218">
        <f t="shared" si="307"/>
        <v>293.39484467715903</v>
      </c>
      <c r="M711" s="764">
        <f t="shared" si="316"/>
        <v>-56.842252008898505</v>
      </c>
      <c r="N711" s="1863">
        <v>78</v>
      </c>
      <c r="O711" s="761">
        <f>'Emission-Waste Transport Vehicl'!N47</f>
        <v>24.709463125776001</v>
      </c>
      <c r="P711" s="761">
        <f>'Emission-Waste Transport Vehicl'!O47</f>
        <v>35.947122786432004</v>
      </c>
      <c r="Q711" s="761">
        <f>'Emission-Waste Transport Vehicl'!P47</f>
        <v>13.747933598256003</v>
      </c>
      <c r="R711" s="761">
        <f>'Emission-Waste Transport Vehicl'!Q47</f>
        <v>10.677031814592</v>
      </c>
      <c r="S711" s="761">
        <f>'Emission-Waste Transport Vehicl'!R47</f>
        <v>1.0626826335840001</v>
      </c>
      <c r="T711" s="761">
        <f>'Emission-Waste Transport Vehicl'!S47</f>
        <v>4.8866665985280007E-2</v>
      </c>
      <c r="U711" s="174">
        <f t="shared" si="317"/>
        <v>-4433.6956566940835</v>
      </c>
      <c r="V711" s="174">
        <f t="shared" si="310"/>
        <v>-1047.1686471773296</v>
      </c>
      <c r="W711" s="174">
        <f t="shared" si="311"/>
        <v>-1134.3562322563873</v>
      </c>
      <c r="X711" s="174">
        <f t="shared" si="312"/>
        <v>896.34952059827253</v>
      </c>
      <c r="Y711" s="174">
        <f t="shared" si="313"/>
        <v>-1063.3389452847746</v>
      </c>
      <c r="Z711" s="174">
        <f t="shared" si="314"/>
        <v>-277.14276108577104</v>
      </c>
      <c r="AA711" s="174">
        <f t="shared" si="315"/>
        <v>14.337227876641839</v>
      </c>
      <c r="AB711" s="2987"/>
      <c r="AC711" s="3015"/>
    </row>
    <row r="712" spans="1:29" ht="18.75" x14ac:dyDescent="0.25">
      <c r="A712" s="2990"/>
      <c r="B712" s="2993"/>
      <c r="C712" s="1863">
        <v>2034</v>
      </c>
      <c r="D712" s="218">
        <f t="shared" si="301"/>
        <v>-130397.70874540422</v>
      </c>
      <c r="E712" s="218">
        <f t="shared" si="308"/>
        <v>76673.852742297691</v>
      </c>
      <c r="F712" s="218">
        <f t="shared" si="309"/>
        <v>-3118.3960057919703</v>
      </c>
      <c r="G712" s="218">
        <f t="shared" si="302"/>
        <v>-42.379255342256378</v>
      </c>
      <c r="H712" s="218">
        <f t="shared" si="303"/>
        <v>-31.556245516387818</v>
      </c>
      <c r="I712" s="218">
        <f t="shared" si="304"/>
        <v>65.198854372702172</v>
      </c>
      <c r="J712" s="218">
        <f t="shared" si="305"/>
        <v>-99.591250054302449</v>
      </c>
      <c r="K712" s="218">
        <f t="shared" si="306"/>
        <v>-260.7954174908084</v>
      </c>
      <c r="L712" s="218">
        <f t="shared" si="307"/>
        <v>293.39484467715903</v>
      </c>
      <c r="M712" s="764">
        <f t="shared" si="316"/>
        <v>-56.842252008898505</v>
      </c>
      <c r="N712" s="1863">
        <v>79</v>
      </c>
      <c r="O712" s="761">
        <f>'Emission-Waste Transport Vehicl'!N48</f>
        <v>24.223685317920005</v>
      </c>
      <c r="P712" s="761">
        <f>'Emission-Waste Transport Vehicl'!O48</f>
        <v>35.24041724544</v>
      </c>
      <c r="Q712" s="761">
        <f>'Emission-Waste Transport Vehicl'!P48</f>
        <v>13.477654919520001</v>
      </c>
      <c r="R712" s="761">
        <f>'Emission-Waste Transport Vehicl'!Q48</f>
        <v>10.467125792640001</v>
      </c>
      <c r="S712" s="761">
        <f>'Emission-Waste Transport Vehicl'!R48</f>
        <v>1.04179073328</v>
      </c>
      <c r="T712" s="761">
        <f>'Emission-Waste Transport Vehicl'!S48</f>
        <v>4.7905967577600003E-2</v>
      </c>
      <c r="U712" s="174">
        <f t="shared" si="317"/>
        <v>-4490.5379087029823</v>
      </c>
      <c r="V712" s="174">
        <f t="shared" si="310"/>
        <v>-1026.5817454185988</v>
      </c>
      <c r="W712" s="174">
        <f t="shared" si="311"/>
        <v>-1112.0552586970518</v>
      </c>
      <c r="X712" s="174">
        <f t="shared" si="312"/>
        <v>878.72766038331758</v>
      </c>
      <c r="Y712" s="174">
        <f t="shared" si="313"/>
        <v>-1042.4341421646491</v>
      </c>
      <c r="Z712" s="174">
        <f t="shared" si="314"/>
        <v>-271.69424922381302</v>
      </c>
      <c r="AA712" s="174">
        <f t="shared" si="315"/>
        <v>14.055363916538969</v>
      </c>
      <c r="AB712" s="2987"/>
      <c r="AC712" s="3015"/>
    </row>
    <row r="713" spans="1:29" ht="18.75" x14ac:dyDescent="0.25">
      <c r="A713" s="2990"/>
      <c r="B713" s="2993"/>
      <c r="C713" s="1863">
        <v>2035</v>
      </c>
      <c r="D713" s="218">
        <f t="shared" si="301"/>
        <v>-130397.70874540422</v>
      </c>
      <c r="E713" s="218">
        <f t="shared" si="308"/>
        <v>76673.852742297691</v>
      </c>
      <c r="F713" s="218">
        <f t="shared" si="309"/>
        <v>-3118.3960057919703</v>
      </c>
      <c r="G713" s="218">
        <f t="shared" si="302"/>
        <v>-42.379255342256378</v>
      </c>
      <c r="H713" s="218">
        <f t="shared" si="303"/>
        <v>-31.556245516387818</v>
      </c>
      <c r="I713" s="218">
        <f t="shared" si="304"/>
        <v>65.198854372702172</v>
      </c>
      <c r="J713" s="218">
        <f t="shared" si="305"/>
        <v>-99.591250054302449</v>
      </c>
      <c r="K713" s="218">
        <f t="shared" si="306"/>
        <v>-260.7954174908084</v>
      </c>
      <c r="L713" s="218">
        <f t="shared" si="307"/>
        <v>293.39484467715903</v>
      </c>
      <c r="M713" s="764">
        <f t="shared" si="316"/>
        <v>-56.842252008898505</v>
      </c>
      <c r="N713" s="1863">
        <v>80</v>
      </c>
      <c r="O713" s="761">
        <f>'Emission-Waste Transport Vehicl'!N49</f>
        <v>23.747688271296006</v>
      </c>
      <c r="P713" s="761">
        <f>'Emission-Waste Transport Vehicl'!O49</f>
        <v>34.547940675072006</v>
      </c>
      <c r="Q713" s="761">
        <f>'Emission-Waste Transport Vehicl'!P49</f>
        <v>13.212818093376002</v>
      </c>
      <c r="R713" s="761">
        <f>'Emission-Waste Transport Vehicl'!Q49</f>
        <v>10.261446066432002</v>
      </c>
      <c r="S713" s="761">
        <f>'Emission-Waste Transport Vehicl'!R49</f>
        <v>1.0213194752640002</v>
      </c>
      <c r="T713" s="761">
        <f>'Emission-Waste Transport Vehicl'!S49</f>
        <v>4.6964612090880008E-2</v>
      </c>
      <c r="U713" s="174">
        <f t="shared" si="317"/>
        <v>-4547.3801607118803</v>
      </c>
      <c r="V713" s="174">
        <f t="shared" si="310"/>
        <v>-1006.4093450375605</v>
      </c>
      <c r="W713" s="174">
        <f t="shared" si="311"/>
        <v>-1090.2032980281733</v>
      </c>
      <c r="X713" s="174">
        <f t="shared" si="312"/>
        <v>861.46060272302634</v>
      </c>
      <c r="Y713" s="174">
        <f t="shared" si="313"/>
        <v>-1021.9502411207678</v>
      </c>
      <c r="Z713" s="174">
        <f t="shared" si="314"/>
        <v>-266.35543894296831</v>
      </c>
      <c r="AA713" s="174">
        <f t="shared" si="315"/>
        <v>13.779175069726765</v>
      </c>
      <c r="AB713" s="2987"/>
      <c r="AC713" s="3015"/>
    </row>
    <row r="714" spans="1:29" ht="18.75" x14ac:dyDescent="0.25">
      <c r="A714" s="2990"/>
      <c r="B714" s="2993"/>
      <c r="C714" s="1863">
        <v>2036</v>
      </c>
      <c r="D714" s="218">
        <f t="shared" si="301"/>
        <v>-130397.70874540422</v>
      </c>
      <c r="E714" s="218">
        <f t="shared" si="308"/>
        <v>76673.852742297691</v>
      </c>
      <c r="F714" s="218">
        <f t="shared" si="309"/>
        <v>-3118.3960057919703</v>
      </c>
      <c r="G714" s="218">
        <f t="shared" si="302"/>
        <v>-42.379255342256378</v>
      </c>
      <c r="H714" s="218">
        <f t="shared" si="303"/>
        <v>-31.556245516387818</v>
      </c>
      <c r="I714" s="218">
        <f t="shared" si="304"/>
        <v>65.198854372702172</v>
      </c>
      <c r="J714" s="218">
        <f t="shared" si="305"/>
        <v>-99.591250054302449</v>
      </c>
      <c r="K714" s="218">
        <f t="shared" si="306"/>
        <v>-260.7954174908084</v>
      </c>
      <c r="L714" s="218">
        <f t="shared" si="307"/>
        <v>293.39484467715903</v>
      </c>
      <c r="M714" s="764">
        <f t="shared" si="316"/>
        <v>-56.842252008898505</v>
      </c>
      <c r="N714" s="1863">
        <v>81</v>
      </c>
      <c r="O714" s="761">
        <f>'Emission-Waste Transport Vehicl'!N50</f>
        <v>23.284732239648001</v>
      </c>
      <c r="P714" s="761">
        <f>'Emission-Waste Transport Vehicl'!O50</f>
        <v>33.874436065536003</v>
      </c>
      <c r="Q714" s="761">
        <f>'Emission-Waste Transport Vehicl'!P50</f>
        <v>12.955237070688</v>
      </c>
      <c r="R714" s="761">
        <f>'Emission-Waste Transport Vehicl'!Q50</f>
        <v>10.061401401215999</v>
      </c>
      <c r="S714" s="761">
        <f>'Emission-Waste Transport Vehicl'!R50</f>
        <v>1.001409073632</v>
      </c>
      <c r="T714" s="761">
        <f>'Emission-Waste Transport Vehicl'!S50</f>
        <v>4.6049047165439998E-2</v>
      </c>
      <c r="U714" s="174">
        <f t="shared" si="317"/>
        <v>-4604.2224127207792</v>
      </c>
      <c r="V714" s="174">
        <f t="shared" si="310"/>
        <v>-986.78961316011191</v>
      </c>
      <c r="W714" s="174">
        <f t="shared" si="311"/>
        <v>-1068.9500212132364</v>
      </c>
      <c r="X714" s="174">
        <f t="shared" si="312"/>
        <v>844.66661513561962</v>
      </c>
      <c r="Y714" s="174">
        <f t="shared" si="313"/>
        <v>-1002.0275428452117</v>
      </c>
      <c r="Z714" s="174">
        <f t="shared" si="314"/>
        <v>-261.16289743694114</v>
      </c>
      <c r="AA714" s="174">
        <f t="shared" si="315"/>
        <v>13.510553040635438</v>
      </c>
      <c r="AB714" s="2987"/>
      <c r="AC714" s="3015"/>
    </row>
    <row r="715" spans="1:29" ht="18.75" x14ac:dyDescent="0.25">
      <c r="A715" s="2990"/>
      <c r="B715" s="2993"/>
      <c r="C715" s="1863">
        <v>2037</v>
      </c>
      <c r="D715" s="218">
        <f t="shared" si="301"/>
        <v>-130397.70874540422</v>
      </c>
      <c r="E715" s="218">
        <f t="shared" si="308"/>
        <v>76673.852742297691</v>
      </c>
      <c r="F715" s="218">
        <f t="shared" si="309"/>
        <v>-3118.3960057919703</v>
      </c>
      <c r="G715" s="218">
        <f t="shared" si="302"/>
        <v>-42.379255342256378</v>
      </c>
      <c r="H715" s="218">
        <f t="shared" si="303"/>
        <v>-31.556245516387818</v>
      </c>
      <c r="I715" s="218">
        <f t="shared" si="304"/>
        <v>65.198854372702172</v>
      </c>
      <c r="J715" s="218">
        <f t="shared" si="305"/>
        <v>-99.591250054302449</v>
      </c>
      <c r="K715" s="218">
        <f t="shared" si="306"/>
        <v>-260.7954174908084</v>
      </c>
      <c r="L715" s="218">
        <f t="shared" si="307"/>
        <v>293.39484467715903</v>
      </c>
      <c r="M715" s="764">
        <f t="shared" si="316"/>
        <v>-56.842252008898505</v>
      </c>
      <c r="N715" s="1863">
        <v>83</v>
      </c>
      <c r="O715" s="761">
        <f>'Emission-Waste Transport Vehicl'!N51</f>
        <v>22.828296715488005</v>
      </c>
      <c r="P715" s="761">
        <f>'Emission-Waste Transport Vehicl'!O51</f>
        <v>33.210417436416002</v>
      </c>
      <c r="Q715" s="761">
        <f>'Emission-Waste Transport Vehicl'!P51</f>
        <v>12.701283949728003</v>
      </c>
      <c r="R715" s="761">
        <f>'Emission-Waste Transport Vehicl'!Q51</f>
        <v>9.8641742664960006</v>
      </c>
      <c r="S715" s="761">
        <f>'Emission-Waste Transport Vehicl'!R51</f>
        <v>0.9817791001920001</v>
      </c>
      <c r="T715" s="761">
        <f>'Emission-Waste Transport Vehicl'!S51</f>
        <v>4.5146377520640005E-2</v>
      </c>
      <c r="U715" s="174">
        <f t="shared" si="317"/>
        <v>-4717.906916738576</v>
      </c>
      <c r="V715" s="174">
        <f t="shared" si="310"/>
        <v>-967.44621553445882</v>
      </c>
      <c r="W715" s="174">
        <f t="shared" si="311"/>
        <v>-1047.9960863252702</v>
      </c>
      <c r="X715" s="174">
        <f t="shared" si="312"/>
        <v>828.10916258465556</v>
      </c>
      <c r="Y715" s="174">
        <f t="shared" si="313"/>
        <v>-982.38544595381859</v>
      </c>
      <c r="Z715" s="174">
        <f t="shared" si="314"/>
        <v>-256.04349031832288</v>
      </c>
      <c r="AA715" s="174">
        <f t="shared" si="315"/>
        <v>13.245714420404559</v>
      </c>
      <c r="AB715" s="2987"/>
      <c r="AC715" s="3015"/>
    </row>
    <row r="716" spans="1:29" ht="18.75" x14ac:dyDescent="0.25">
      <c r="A716" s="2990"/>
      <c r="B716" s="2993"/>
      <c r="C716" s="1863">
        <v>2038</v>
      </c>
      <c r="D716" s="218">
        <f t="shared" si="301"/>
        <v>-130397.70874540422</v>
      </c>
      <c r="E716" s="218">
        <f t="shared" si="308"/>
        <v>76673.852742297691</v>
      </c>
      <c r="F716" s="218">
        <f t="shared" si="309"/>
        <v>-3118.3960057919703</v>
      </c>
      <c r="G716" s="218">
        <f t="shared" si="302"/>
        <v>-42.379255342256378</v>
      </c>
      <c r="H716" s="218">
        <f t="shared" si="303"/>
        <v>-31.556245516387818</v>
      </c>
      <c r="I716" s="218">
        <f t="shared" si="304"/>
        <v>65.198854372702172</v>
      </c>
      <c r="J716" s="218">
        <f t="shared" si="305"/>
        <v>-99.591250054302449</v>
      </c>
      <c r="K716" s="218">
        <f t="shared" si="306"/>
        <v>-260.7954174908084</v>
      </c>
      <c r="L716" s="218">
        <f t="shared" si="307"/>
        <v>293.39484467715903</v>
      </c>
      <c r="M716" s="764">
        <f t="shared" si="316"/>
        <v>-56.842252008898505</v>
      </c>
      <c r="N716" s="1863">
        <v>84</v>
      </c>
      <c r="O716" s="761">
        <f>'Emission-Waste Transport Vehicl'!N52</f>
        <v>22.378381698816003</v>
      </c>
      <c r="P716" s="761">
        <f>'Emission-Waste Transport Vehicl'!O52</f>
        <v>32.555884787712003</v>
      </c>
      <c r="Q716" s="761">
        <f>'Emission-Waste Transport Vehicl'!P52</f>
        <v>12.450958730496001</v>
      </c>
      <c r="R716" s="761">
        <f>'Emission-Waste Transport Vehicl'!Q52</f>
        <v>9.6697646622720015</v>
      </c>
      <c r="S716" s="761">
        <f>'Emission-Waste Transport Vehicl'!R52</f>
        <v>0.96242955494400007</v>
      </c>
      <c r="T716" s="761">
        <f>'Emission-Waste Transport Vehicl'!S52</f>
        <v>4.4256603156480001E-2</v>
      </c>
      <c r="U716" s="174">
        <f t="shared" si="317"/>
        <v>-4774.7491687474749</v>
      </c>
      <c r="V716" s="174">
        <f t="shared" si="310"/>
        <v>-948.37915216060048</v>
      </c>
      <c r="W716" s="174">
        <f t="shared" si="311"/>
        <v>-1027.3414933642753</v>
      </c>
      <c r="X716" s="174">
        <f t="shared" si="312"/>
        <v>811.78824507013348</v>
      </c>
      <c r="Y716" s="174">
        <f t="shared" si="313"/>
        <v>-963.0239504465884</v>
      </c>
      <c r="Z716" s="174">
        <f t="shared" si="314"/>
        <v>-250.99721758711343</v>
      </c>
      <c r="AA716" s="174">
        <f t="shared" si="315"/>
        <v>12.984659209034115</v>
      </c>
      <c r="AB716" s="2987"/>
      <c r="AC716" s="3015"/>
    </row>
    <row r="717" spans="1:29" ht="18.75" x14ac:dyDescent="0.25">
      <c r="A717" s="2990"/>
      <c r="B717" s="2993"/>
      <c r="C717" s="1863">
        <v>2039</v>
      </c>
      <c r="D717" s="218">
        <f t="shared" si="301"/>
        <v>-130397.70874540422</v>
      </c>
      <c r="E717" s="218">
        <f t="shared" si="308"/>
        <v>76673.852742297691</v>
      </c>
      <c r="F717" s="218">
        <f t="shared" si="309"/>
        <v>-3118.3960057919703</v>
      </c>
      <c r="G717" s="218">
        <f t="shared" si="302"/>
        <v>-42.379255342256378</v>
      </c>
      <c r="H717" s="218">
        <f t="shared" si="303"/>
        <v>-31.556245516387818</v>
      </c>
      <c r="I717" s="218">
        <f t="shared" si="304"/>
        <v>65.198854372702172</v>
      </c>
      <c r="J717" s="218">
        <f t="shared" si="305"/>
        <v>-99.591250054302449</v>
      </c>
      <c r="K717" s="218">
        <f t="shared" si="306"/>
        <v>-260.7954174908084</v>
      </c>
      <c r="L717" s="218">
        <f t="shared" si="307"/>
        <v>293.39484467715903</v>
      </c>
      <c r="M717" s="764">
        <f t="shared" si="316"/>
        <v>-56.842252008898505</v>
      </c>
      <c r="N717" s="1863">
        <v>85</v>
      </c>
      <c r="O717" s="761">
        <f>'Emission-Waste Transport Vehicl'!N53</f>
        <v>21.941507697120006</v>
      </c>
      <c r="P717" s="761">
        <f>'Emission-Waste Transport Vehicl'!O53</f>
        <v>31.920324099840006</v>
      </c>
      <c r="Q717" s="761">
        <f>'Emission-Waste Transport Vehicl'!P53</f>
        <v>12.207889314720003</v>
      </c>
      <c r="R717" s="761">
        <f>'Emission-Waste Transport Vehicl'!Q53</f>
        <v>9.4809901190400012</v>
      </c>
      <c r="S717" s="761">
        <f>'Emission-Waste Transport Vehicl'!R53</f>
        <v>0.9436408660800002</v>
      </c>
      <c r="T717" s="761">
        <f>'Emission-Waste Transport Vehicl'!S53</f>
        <v>4.3392619353600011E-2</v>
      </c>
      <c r="U717" s="174">
        <f t="shared" si="317"/>
        <v>-4831.5914207563728</v>
      </c>
      <c r="V717" s="174">
        <f t="shared" si="310"/>
        <v>-929.86475729033248</v>
      </c>
      <c r="W717" s="174">
        <f t="shared" si="311"/>
        <v>-1007.2855842572222</v>
      </c>
      <c r="X717" s="174">
        <f t="shared" si="312"/>
        <v>795.94039762849638</v>
      </c>
      <c r="Y717" s="174">
        <f t="shared" si="313"/>
        <v>-944.22365770768351</v>
      </c>
      <c r="Z717" s="174">
        <f t="shared" si="314"/>
        <v>-246.09721363072168</v>
      </c>
      <c r="AA717" s="174">
        <f t="shared" si="315"/>
        <v>12.73117081538456</v>
      </c>
      <c r="AB717" s="2987"/>
      <c r="AC717" s="3015"/>
    </row>
    <row r="718" spans="1:29" ht="18.75" x14ac:dyDescent="0.25">
      <c r="A718" s="2990"/>
      <c r="B718" s="2993"/>
      <c r="C718" s="1863">
        <v>2040</v>
      </c>
      <c r="D718" s="218">
        <f t="shared" si="301"/>
        <v>-130397.70874540422</v>
      </c>
      <c r="E718" s="218">
        <f t="shared" si="308"/>
        <v>76673.852742297691</v>
      </c>
      <c r="F718" s="218">
        <f t="shared" si="309"/>
        <v>-3118.3960057919703</v>
      </c>
      <c r="G718" s="218">
        <f t="shared" si="302"/>
        <v>-42.379255342256378</v>
      </c>
      <c r="H718" s="218">
        <f t="shared" si="303"/>
        <v>-31.556245516387818</v>
      </c>
      <c r="I718" s="218">
        <f t="shared" si="304"/>
        <v>65.198854372702172</v>
      </c>
      <c r="J718" s="218">
        <f t="shared" si="305"/>
        <v>-99.591250054302449</v>
      </c>
      <c r="K718" s="218">
        <f t="shared" si="306"/>
        <v>-260.7954174908084</v>
      </c>
      <c r="L718" s="218">
        <f t="shared" si="307"/>
        <v>293.39484467715903</v>
      </c>
      <c r="M718" s="764">
        <f t="shared" si="316"/>
        <v>-56.842252008898505</v>
      </c>
      <c r="N718" s="1863">
        <v>86</v>
      </c>
      <c r="O718" s="761">
        <f>'Emission-Waste Transport Vehicl'!N54</f>
        <v>21.511154202912003</v>
      </c>
      <c r="P718" s="761">
        <f>'Emission-Waste Transport Vehicl'!O54</f>
        <v>31.294249392384003</v>
      </c>
      <c r="Q718" s="761">
        <f>'Emission-Waste Transport Vehicl'!P54</f>
        <v>11.968447800672001</v>
      </c>
      <c r="R718" s="761">
        <f>'Emission-Waste Transport Vehicl'!Q54</f>
        <v>9.2950331063040004</v>
      </c>
      <c r="S718" s="761">
        <f>'Emission-Waste Transport Vehicl'!R54</f>
        <v>0.92513260540800013</v>
      </c>
      <c r="T718" s="761">
        <f>'Emission-Waste Transport Vehicl'!S54</f>
        <v>4.254153083136001E-2</v>
      </c>
      <c r="U718" s="174">
        <f t="shared" si="317"/>
        <v>-4888.4336727652717</v>
      </c>
      <c r="V718" s="174">
        <f t="shared" si="310"/>
        <v>-911.62669667185924</v>
      </c>
      <c r="W718" s="174">
        <f t="shared" si="311"/>
        <v>-987.52901707713988</v>
      </c>
      <c r="X718" s="174">
        <f t="shared" si="312"/>
        <v>780.32908522330138</v>
      </c>
      <c r="Y718" s="174">
        <f t="shared" si="313"/>
        <v>-925.70396635294139</v>
      </c>
      <c r="Z718" s="174">
        <f t="shared" si="314"/>
        <v>-241.27034406173871</v>
      </c>
      <c r="AA718" s="174">
        <f t="shared" si="315"/>
        <v>12.481465830595441</v>
      </c>
      <c r="AB718" s="2987"/>
      <c r="AC718" s="3015"/>
    </row>
    <row r="719" spans="1:29" ht="18.75" x14ac:dyDescent="0.25">
      <c r="A719" s="2990"/>
      <c r="B719" s="2993"/>
      <c r="C719" s="1863">
        <v>2041</v>
      </c>
      <c r="D719" s="218">
        <f t="shared" si="301"/>
        <v>-130397.70874540422</v>
      </c>
      <c r="E719" s="218">
        <f t="shared" si="308"/>
        <v>76673.852742297691</v>
      </c>
      <c r="F719" s="218">
        <f t="shared" si="309"/>
        <v>-3118.3960057919703</v>
      </c>
      <c r="G719" s="218">
        <f t="shared" si="302"/>
        <v>-42.379255342256378</v>
      </c>
      <c r="H719" s="218">
        <f t="shared" si="303"/>
        <v>-31.556245516387818</v>
      </c>
      <c r="I719" s="218">
        <f t="shared" si="304"/>
        <v>65.198854372702172</v>
      </c>
      <c r="J719" s="218">
        <f t="shared" si="305"/>
        <v>-99.591250054302449</v>
      </c>
      <c r="K719" s="218">
        <f t="shared" si="306"/>
        <v>-260.7954174908084</v>
      </c>
      <c r="L719" s="218">
        <f t="shared" si="307"/>
        <v>293.39484467715903</v>
      </c>
      <c r="M719" s="764">
        <f t="shared" si="316"/>
        <v>-56.842252008898505</v>
      </c>
      <c r="N719" s="1863">
        <v>87</v>
      </c>
      <c r="O719" s="761">
        <f>'Emission-Waste Transport Vehicl'!N55</f>
        <v>21.087321216192002</v>
      </c>
      <c r="P719" s="761">
        <f>'Emission-Waste Transport Vehicl'!O55</f>
        <v>30.677660665344007</v>
      </c>
      <c r="Q719" s="761">
        <f>'Emission-Waste Transport Vehicl'!P55</f>
        <v>11.732634188352002</v>
      </c>
      <c r="R719" s="761">
        <f>'Emission-Waste Transport Vehicl'!Q55</f>
        <v>9.1118936240640007</v>
      </c>
      <c r="S719" s="761">
        <f>'Emission-Waste Transport Vehicl'!R55</f>
        <v>0.9069047729280002</v>
      </c>
      <c r="T719" s="761">
        <f>'Emission-Waste Transport Vehicl'!S55</f>
        <v>4.1703337589760005E-2</v>
      </c>
      <c r="U719" s="174">
        <f t="shared" si="317"/>
        <v>-4945.2759247741697</v>
      </c>
      <c r="V719" s="174">
        <f t="shared" si="310"/>
        <v>-893.66497030518121</v>
      </c>
      <c r="W719" s="174">
        <f t="shared" si="311"/>
        <v>-968.07179182402876</v>
      </c>
      <c r="X719" s="174">
        <f t="shared" si="312"/>
        <v>764.95430785454892</v>
      </c>
      <c r="Y719" s="174">
        <f t="shared" si="313"/>
        <v>-907.46487638236204</v>
      </c>
      <c r="Z719" s="174">
        <f t="shared" si="314"/>
        <v>-236.5166088801646</v>
      </c>
      <c r="AA719" s="174">
        <f t="shared" si="315"/>
        <v>12.235544254666765</v>
      </c>
      <c r="AB719" s="2987"/>
      <c r="AC719" s="3015"/>
    </row>
    <row r="720" spans="1:29" ht="18.75" x14ac:dyDescent="0.25">
      <c r="A720" s="2990"/>
      <c r="B720" s="2993"/>
      <c r="C720" s="1863">
        <v>2042</v>
      </c>
      <c r="D720" s="218">
        <f t="shared" si="301"/>
        <v>-130397.70874540422</v>
      </c>
      <c r="E720" s="218">
        <f t="shared" si="308"/>
        <v>76673.852742297691</v>
      </c>
      <c r="F720" s="218">
        <f t="shared" si="309"/>
        <v>-3118.3960057919703</v>
      </c>
      <c r="G720" s="218">
        <f t="shared" si="302"/>
        <v>-42.379255342256378</v>
      </c>
      <c r="H720" s="218">
        <f t="shared" si="303"/>
        <v>-31.556245516387818</v>
      </c>
      <c r="I720" s="218">
        <f t="shared" si="304"/>
        <v>65.198854372702172</v>
      </c>
      <c r="J720" s="218">
        <f t="shared" si="305"/>
        <v>-99.591250054302449</v>
      </c>
      <c r="K720" s="218">
        <f t="shared" si="306"/>
        <v>-260.7954174908084</v>
      </c>
      <c r="L720" s="218">
        <f t="shared" si="307"/>
        <v>293.39484467715903</v>
      </c>
      <c r="M720" s="764">
        <f t="shared" si="316"/>
        <v>-56.842252008898505</v>
      </c>
      <c r="N720" s="1863">
        <v>88</v>
      </c>
      <c r="O720" s="761">
        <f>'Emission-Waste Transport Vehicl'!N56</f>
        <v>20.676529244448002</v>
      </c>
      <c r="P720" s="761">
        <f>'Emission-Waste Transport Vehicl'!O56</f>
        <v>30.080043899136001</v>
      </c>
      <c r="Q720" s="761">
        <f>'Emission-Waste Transport Vehicl'!P56</f>
        <v>11.504076379488001</v>
      </c>
      <c r="R720" s="761">
        <f>'Emission-Waste Transport Vehicl'!Q56</f>
        <v>8.9343892028159999</v>
      </c>
      <c r="S720" s="761">
        <f>'Emission-Waste Transport Vehicl'!R56</f>
        <v>0.8892377968320001</v>
      </c>
      <c r="T720" s="761">
        <f>'Emission-Waste Transport Vehicl'!S56</f>
        <v>4.0890934909439999E-2</v>
      </c>
      <c r="U720" s="174">
        <f t="shared" si="317"/>
        <v>-5002.1181767830685</v>
      </c>
      <c r="V720" s="174">
        <f t="shared" si="310"/>
        <v>-876.25591244209318</v>
      </c>
      <c r="W720" s="174">
        <f t="shared" si="311"/>
        <v>-949.21325042485921</v>
      </c>
      <c r="X720" s="174">
        <f t="shared" si="312"/>
        <v>750.05260055868109</v>
      </c>
      <c r="Y720" s="174">
        <f t="shared" si="313"/>
        <v>-889.78698918010821</v>
      </c>
      <c r="Z720" s="174">
        <f t="shared" si="314"/>
        <v>-231.90914247340814</v>
      </c>
      <c r="AA720" s="174">
        <f t="shared" si="315"/>
        <v>11.997189496458969</v>
      </c>
      <c r="AB720" s="2987"/>
      <c r="AC720" s="3015"/>
    </row>
    <row r="721" spans="1:29" ht="18.75" x14ac:dyDescent="0.25">
      <c r="A721" s="2990"/>
      <c r="B721" s="2993"/>
      <c r="C721" s="1863">
        <v>2043</v>
      </c>
      <c r="D721" s="218">
        <f t="shared" si="301"/>
        <v>-130397.70874540422</v>
      </c>
      <c r="E721" s="218">
        <f t="shared" si="308"/>
        <v>76673.852742297691</v>
      </c>
      <c r="F721" s="218">
        <f t="shared" si="309"/>
        <v>-3118.3960057919703</v>
      </c>
      <c r="G721" s="218">
        <f t="shared" si="302"/>
        <v>-42.379255342256378</v>
      </c>
      <c r="H721" s="218">
        <f t="shared" si="303"/>
        <v>-31.556245516387818</v>
      </c>
      <c r="I721" s="218">
        <f t="shared" si="304"/>
        <v>65.198854372702172</v>
      </c>
      <c r="J721" s="218">
        <f t="shared" si="305"/>
        <v>-99.591250054302449</v>
      </c>
      <c r="K721" s="218">
        <f t="shared" si="306"/>
        <v>-260.7954174908084</v>
      </c>
      <c r="L721" s="218">
        <f t="shared" si="307"/>
        <v>293.39484467715903</v>
      </c>
      <c r="M721" s="764">
        <f t="shared" si="316"/>
        <v>-56.842252008898505</v>
      </c>
      <c r="N721" s="1863">
        <v>89</v>
      </c>
      <c r="O721" s="761">
        <f>'Emission-Waste Transport Vehicl'!N57</f>
        <v>20.268997526448004</v>
      </c>
      <c r="P721" s="761">
        <f>'Emission-Waste Transport Vehicl'!O57</f>
        <v>29.487170123136003</v>
      </c>
      <c r="Q721" s="761">
        <f>'Emission-Waste Transport Vehicl'!P57</f>
        <v>11.277332521488001</v>
      </c>
      <c r="R721" s="761">
        <f>'Emission-Waste Transport Vehicl'!Q57</f>
        <v>8.7582935468160006</v>
      </c>
      <c r="S721" s="761">
        <f>'Emission-Waste Transport Vehicl'!R57</f>
        <v>0.87171103483200019</v>
      </c>
      <c r="T721" s="761">
        <f>'Emission-Waste Transport Vehicl'!S57</f>
        <v>4.0084979869440006E-2</v>
      </c>
      <c r="U721" s="174">
        <f t="shared" si="317"/>
        <v>-5058.9604287919674</v>
      </c>
      <c r="V721" s="174">
        <f t="shared" si="310"/>
        <v>-858.98502170490292</v>
      </c>
      <c r="W721" s="174">
        <f t="shared" si="311"/>
        <v>-930.50437998917539</v>
      </c>
      <c r="X721" s="174">
        <f t="shared" si="312"/>
        <v>735.26916078103432</v>
      </c>
      <c r="Y721" s="174">
        <f t="shared" si="313"/>
        <v>-872.24940266993576</v>
      </c>
      <c r="Z721" s="174">
        <f t="shared" si="314"/>
        <v>-227.33824326035611</v>
      </c>
      <c r="AA721" s="174">
        <f t="shared" si="315"/>
        <v>11.760726442681397</v>
      </c>
      <c r="AB721" s="2987"/>
      <c r="AC721" s="3015"/>
    </row>
    <row r="722" spans="1:29" ht="18.75" x14ac:dyDescent="0.25">
      <c r="A722" s="2990"/>
      <c r="B722" s="2993"/>
      <c r="C722" s="1863">
        <v>2044</v>
      </c>
      <c r="D722" s="218">
        <f t="shared" si="301"/>
        <v>-130397.70874540422</v>
      </c>
      <c r="E722" s="218">
        <f t="shared" si="308"/>
        <v>76673.852742297691</v>
      </c>
      <c r="F722" s="218">
        <f t="shared" si="309"/>
        <v>-3118.3960057919703</v>
      </c>
      <c r="G722" s="218">
        <f t="shared" si="302"/>
        <v>-42.379255342256378</v>
      </c>
      <c r="H722" s="218">
        <f t="shared" si="303"/>
        <v>-31.556245516387818</v>
      </c>
      <c r="I722" s="218">
        <f t="shared" si="304"/>
        <v>65.198854372702172</v>
      </c>
      <c r="J722" s="218">
        <f t="shared" si="305"/>
        <v>-99.591250054302449</v>
      </c>
      <c r="K722" s="218">
        <f t="shared" si="306"/>
        <v>-260.7954174908084</v>
      </c>
      <c r="L722" s="218">
        <f t="shared" si="307"/>
        <v>293.39484467715903</v>
      </c>
      <c r="M722" s="764">
        <f t="shared" si="316"/>
        <v>-56.842252008898505</v>
      </c>
      <c r="N722" s="1863">
        <v>90</v>
      </c>
      <c r="O722" s="761">
        <f>'Emission-Waste Transport Vehicl'!N58</f>
        <v>19.871246569680004</v>
      </c>
      <c r="P722" s="761">
        <f>'Emission-Waste Transport Vehicl'!O58</f>
        <v>28.908525317760002</v>
      </c>
      <c r="Q722" s="761">
        <f>'Emission-Waste Transport Vehicl'!P58</f>
        <v>11.056030516080002</v>
      </c>
      <c r="R722" s="761">
        <f>'Emission-Waste Transport Vehicl'!Q58</f>
        <v>8.5864241865600004</v>
      </c>
      <c r="S722" s="761">
        <f>'Emission-Waste Transport Vehicl'!R58</f>
        <v>0.85460491512000014</v>
      </c>
      <c r="T722" s="761">
        <f>'Emission-Waste Transport Vehicl'!S58</f>
        <v>3.9298367750400007E-2</v>
      </c>
      <c r="U722" s="174">
        <f t="shared" si="317"/>
        <v>-5115.8026808008653</v>
      </c>
      <c r="V722" s="174">
        <f t="shared" si="310"/>
        <v>-842.12863234540498</v>
      </c>
      <c r="W722" s="174">
        <f t="shared" si="311"/>
        <v>-912.24452244394786</v>
      </c>
      <c r="X722" s="174">
        <f t="shared" si="312"/>
        <v>720.84052355805125</v>
      </c>
      <c r="Y722" s="174">
        <f t="shared" si="313"/>
        <v>-855.13271823600746</v>
      </c>
      <c r="Z722" s="174">
        <f t="shared" si="314"/>
        <v>-222.87704562841731</v>
      </c>
      <c r="AA722" s="174">
        <f t="shared" si="315"/>
        <v>11.529938502194485</v>
      </c>
      <c r="AB722" s="2987"/>
      <c r="AC722" s="3015"/>
    </row>
    <row r="723" spans="1:29" ht="18.75" x14ac:dyDescent="0.25">
      <c r="A723" s="2990"/>
      <c r="B723" s="2993"/>
      <c r="C723" s="1863">
        <v>2045</v>
      </c>
      <c r="D723" s="218">
        <f t="shared" si="301"/>
        <v>-130397.70874540422</v>
      </c>
      <c r="E723" s="218">
        <f t="shared" si="308"/>
        <v>76673.852742297691</v>
      </c>
      <c r="F723" s="218">
        <f t="shared" si="309"/>
        <v>-3118.3960057919703</v>
      </c>
      <c r="G723" s="218">
        <f t="shared" si="302"/>
        <v>-42.379255342256378</v>
      </c>
      <c r="H723" s="218">
        <f t="shared" si="303"/>
        <v>-31.556245516387818</v>
      </c>
      <c r="I723" s="218">
        <f t="shared" si="304"/>
        <v>65.198854372702172</v>
      </c>
      <c r="J723" s="218">
        <f t="shared" si="305"/>
        <v>-99.591250054302449</v>
      </c>
      <c r="K723" s="218">
        <f t="shared" si="306"/>
        <v>-260.7954174908084</v>
      </c>
      <c r="L723" s="218">
        <f t="shared" si="307"/>
        <v>293.39484467715903</v>
      </c>
      <c r="M723" s="764">
        <f t="shared" si="316"/>
        <v>-56.842252008898505</v>
      </c>
      <c r="N723" s="1863">
        <v>92</v>
      </c>
      <c r="O723" s="761">
        <f>'Emission-Waste Transport Vehicl'!N59</f>
        <v>19.483276374144001</v>
      </c>
      <c r="P723" s="761">
        <f>'Emission-Waste Transport Vehicl'!O59</f>
        <v>28.344109483008001</v>
      </c>
      <c r="Q723" s="761">
        <f>'Emission-Waste Transport Vehicl'!P59</f>
        <v>10.840170363264003</v>
      </c>
      <c r="R723" s="761">
        <f>'Emission-Waste Transport Vehicl'!Q59</f>
        <v>8.4187811220480011</v>
      </c>
      <c r="S723" s="761">
        <f>'Emission-Waste Transport Vehicl'!R59</f>
        <v>0.83791943769600008</v>
      </c>
      <c r="T723" s="761">
        <f>'Emission-Waste Transport Vehicl'!S59</f>
        <v>3.8531098552320009E-2</v>
      </c>
      <c r="U723" s="174">
        <f t="shared" si="317"/>
        <v>-5229.4871848186622</v>
      </c>
      <c r="V723" s="174">
        <f t="shared" si="310"/>
        <v>-825.6867443635997</v>
      </c>
      <c r="W723" s="174">
        <f t="shared" si="311"/>
        <v>-894.43367778917673</v>
      </c>
      <c r="X723" s="174">
        <f t="shared" si="312"/>
        <v>706.76668888973165</v>
      </c>
      <c r="Y723" s="174">
        <f t="shared" si="313"/>
        <v>-838.43693587832342</v>
      </c>
      <c r="Z723" s="174">
        <f t="shared" si="314"/>
        <v>-218.52554957759176</v>
      </c>
      <c r="AA723" s="174">
        <f t="shared" si="315"/>
        <v>11.304825674998236</v>
      </c>
      <c r="AB723" s="2987"/>
      <c r="AC723" s="3015"/>
    </row>
    <row r="724" spans="1:29" ht="18.75" x14ac:dyDescent="0.25">
      <c r="A724" s="2990"/>
      <c r="B724" s="2993"/>
      <c r="C724" s="1863">
        <v>2046</v>
      </c>
      <c r="D724" s="218">
        <f t="shared" si="301"/>
        <v>-130397.70874540422</v>
      </c>
      <c r="E724" s="218">
        <f t="shared" si="308"/>
        <v>76673.852742297691</v>
      </c>
      <c r="F724" s="218">
        <f t="shared" si="309"/>
        <v>-3118.3960057919703</v>
      </c>
      <c r="G724" s="218">
        <f t="shared" si="302"/>
        <v>-42.379255342256378</v>
      </c>
      <c r="H724" s="218">
        <f t="shared" si="303"/>
        <v>-31.556245516387818</v>
      </c>
      <c r="I724" s="218">
        <f t="shared" si="304"/>
        <v>65.198854372702172</v>
      </c>
      <c r="J724" s="218">
        <f t="shared" si="305"/>
        <v>-99.591250054302449</v>
      </c>
      <c r="K724" s="218">
        <f t="shared" si="306"/>
        <v>-260.7954174908084</v>
      </c>
      <c r="L724" s="218">
        <f t="shared" si="307"/>
        <v>293.39484467715903</v>
      </c>
      <c r="M724" s="764">
        <f t="shared" si="316"/>
        <v>-56.842252008898505</v>
      </c>
      <c r="N724" s="1863">
        <v>93</v>
      </c>
      <c r="O724" s="761">
        <f>'Emission-Waste Transport Vehicl'!N60</f>
        <v>19.101826686096</v>
      </c>
      <c r="P724" s="761">
        <f>'Emission-Waste Transport Vehicl'!O60</f>
        <v>27.789179628671999</v>
      </c>
      <c r="Q724" s="761">
        <f>'Emission-Waste Transport Vehicl'!P60</f>
        <v>10.627938112176002</v>
      </c>
      <c r="R724" s="761">
        <f>'Emission-Waste Transport Vehicl'!Q60</f>
        <v>8.2539555880319995</v>
      </c>
      <c r="S724" s="761">
        <f>'Emission-Waste Transport Vehicl'!R60</f>
        <v>0.82151438846400004</v>
      </c>
      <c r="T724" s="761">
        <f>'Emission-Waste Transport Vehicl'!S60</f>
        <v>3.777672463488E-2</v>
      </c>
      <c r="U724" s="174">
        <f t="shared" si="317"/>
        <v>-5286.329436827561</v>
      </c>
      <c r="V724" s="174">
        <f t="shared" si="310"/>
        <v>-809.52119063358941</v>
      </c>
      <c r="W724" s="174">
        <f t="shared" si="311"/>
        <v>-876.92217506137649</v>
      </c>
      <c r="X724" s="174">
        <f t="shared" si="312"/>
        <v>692.92938925785438</v>
      </c>
      <c r="Y724" s="174">
        <f t="shared" si="313"/>
        <v>-822.02175490480192</v>
      </c>
      <c r="Z724" s="174">
        <f t="shared" si="314"/>
        <v>-214.24718791417504</v>
      </c>
      <c r="AA724" s="174">
        <f t="shared" si="315"/>
        <v>11.083496256662425</v>
      </c>
      <c r="AB724" s="2987"/>
      <c r="AC724" s="3015"/>
    </row>
    <row r="725" spans="1:29" ht="18.75" x14ac:dyDescent="0.25">
      <c r="A725" s="2990"/>
      <c r="B725" s="2993"/>
      <c r="C725" s="1863">
        <v>2047</v>
      </c>
      <c r="D725" s="218">
        <f t="shared" si="301"/>
        <v>-130397.70874540422</v>
      </c>
      <c r="E725" s="218">
        <f t="shared" si="308"/>
        <v>76673.852742297691</v>
      </c>
      <c r="F725" s="218">
        <f t="shared" si="309"/>
        <v>-3118.3960057919703</v>
      </c>
      <c r="G725" s="218">
        <f t="shared" si="302"/>
        <v>-42.379255342256378</v>
      </c>
      <c r="H725" s="218">
        <f t="shared" si="303"/>
        <v>-31.556245516387818</v>
      </c>
      <c r="I725" s="218">
        <f t="shared" si="304"/>
        <v>65.198854372702172</v>
      </c>
      <c r="J725" s="218">
        <f t="shared" si="305"/>
        <v>-99.591250054302449</v>
      </c>
      <c r="K725" s="218">
        <f t="shared" si="306"/>
        <v>-260.7954174908084</v>
      </c>
      <c r="L725" s="218">
        <f t="shared" si="307"/>
        <v>293.39484467715903</v>
      </c>
      <c r="M725" s="764">
        <f t="shared" si="316"/>
        <v>-56.842252008898505</v>
      </c>
      <c r="N725" s="1863">
        <v>94</v>
      </c>
      <c r="O725" s="761">
        <f>'Emission-Waste Transport Vehicl'!N61</f>
        <v>18.726897505536005</v>
      </c>
      <c r="P725" s="761">
        <f>'Emission-Waste Transport Vehicl'!O61</f>
        <v>27.243735754752002</v>
      </c>
      <c r="Q725" s="761">
        <f>'Emission-Waste Transport Vehicl'!P61</f>
        <v>10.419333762816001</v>
      </c>
      <c r="R725" s="761">
        <f>'Emission-Waste Transport Vehicl'!Q61</f>
        <v>8.0919475845120008</v>
      </c>
      <c r="S725" s="761">
        <f>'Emission-Waste Transport Vehicl'!R61</f>
        <v>0.80538976742400015</v>
      </c>
      <c r="T725" s="761">
        <f>'Emission-Waste Transport Vehicl'!S61</f>
        <v>3.7035245998080002E-2</v>
      </c>
      <c r="U725" s="174">
        <f t="shared" si="317"/>
        <v>-5343.1716888364599</v>
      </c>
      <c r="V725" s="174">
        <f t="shared" si="310"/>
        <v>-793.63197115537434</v>
      </c>
      <c r="W725" s="174">
        <f t="shared" si="311"/>
        <v>-859.71001426054738</v>
      </c>
      <c r="X725" s="174">
        <f t="shared" si="312"/>
        <v>679.32862466241943</v>
      </c>
      <c r="Y725" s="174">
        <f t="shared" si="313"/>
        <v>-805.88717531544341</v>
      </c>
      <c r="Z725" s="174">
        <f t="shared" si="314"/>
        <v>-210.04196063816721</v>
      </c>
      <c r="AA725" s="174">
        <f t="shared" si="315"/>
        <v>10.865950247187058</v>
      </c>
      <c r="AB725" s="2987"/>
      <c r="AC725" s="3015"/>
    </row>
    <row r="726" spans="1:29" ht="18.75" x14ac:dyDescent="0.25">
      <c r="A726" s="2990"/>
      <c r="B726" s="2993"/>
      <c r="C726" s="1863">
        <v>2048</v>
      </c>
      <c r="D726" s="218">
        <f t="shared" si="301"/>
        <v>-130397.70874540422</v>
      </c>
      <c r="E726" s="218">
        <f t="shared" si="308"/>
        <v>76673.852742297691</v>
      </c>
      <c r="F726" s="218">
        <f t="shared" si="309"/>
        <v>-3118.3960057919703</v>
      </c>
      <c r="G726" s="218">
        <f t="shared" si="302"/>
        <v>-42.379255342256378</v>
      </c>
      <c r="H726" s="218">
        <f t="shared" si="303"/>
        <v>-31.556245516387818</v>
      </c>
      <c r="I726" s="218">
        <f t="shared" si="304"/>
        <v>65.198854372702172</v>
      </c>
      <c r="J726" s="218">
        <f t="shared" si="305"/>
        <v>-99.591250054302449</v>
      </c>
      <c r="K726" s="218">
        <f t="shared" si="306"/>
        <v>-260.7954174908084</v>
      </c>
      <c r="L726" s="218">
        <f t="shared" si="307"/>
        <v>293.39484467715903</v>
      </c>
      <c r="M726" s="764">
        <f t="shared" si="316"/>
        <v>-56.842252008898505</v>
      </c>
      <c r="N726" s="1863">
        <v>95</v>
      </c>
      <c r="O726" s="761">
        <f>'Emission-Waste Transport Vehicl'!N62</f>
        <v>18.358488832464005</v>
      </c>
      <c r="P726" s="761">
        <f>'Emission-Waste Transport Vehicl'!O62</f>
        <v>26.707777861248005</v>
      </c>
      <c r="Q726" s="761">
        <f>'Emission-Waste Transport Vehicl'!P62</f>
        <v>10.214357315184001</v>
      </c>
      <c r="R726" s="761">
        <f>'Emission-Waste Transport Vehicl'!Q62</f>
        <v>7.9327571114880007</v>
      </c>
      <c r="S726" s="761">
        <f>'Emission-Waste Transport Vehicl'!R62</f>
        <v>0.78954557457600016</v>
      </c>
      <c r="T726" s="761">
        <f>'Emission-Waste Transport Vehicl'!S62</f>
        <v>3.6306662641920007E-2</v>
      </c>
      <c r="U726" s="174">
        <f t="shared" si="317"/>
        <v>-5400.0139408453579</v>
      </c>
      <c r="V726" s="174">
        <f t="shared" si="310"/>
        <v>-778.01908592895427</v>
      </c>
      <c r="W726" s="174">
        <f t="shared" si="311"/>
        <v>-842.79719538668917</v>
      </c>
      <c r="X726" s="174">
        <f t="shared" si="312"/>
        <v>665.9643951034268</v>
      </c>
      <c r="Y726" s="174">
        <f t="shared" si="313"/>
        <v>-790.03319711024744</v>
      </c>
      <c r="Z726" s="174">
        <f t="shared" si="314"/>
        <v>-205.90986774956818</v>
      </c>
      <c r="AA726" s="174">
        <f t="shared" si="315"/>
        <v>10.652187646572132</v>
      </c>
      <c r="AB726" s="2987"/>
      <c r="AC726" s="3015"/>
    </row>
    <row r="727" spans="1:29" ht="18.75" x14ac:dyDescent="0.25">
      <c r="A727" s="2990"/>
      <c r="B727" s="2993"/>
      <c r="C727" s="1863">
        <v>2049</v>
      </c>
      <c r="D727" s="218">
        <f t="shared" si="301"/>
        <v>-130397.70874540422</v>
      </c>
      <c r="E727" s="218">
        <f t="shared" si="308"/>
        <v>76673.852742297691</v>
      </c>
      <c r="F727" s="218">
        <f t="shared" si="309"/>
        <v>-3118.3960057919703</v>
      </c>
      <c r="G727" s="218">
        <f t="shared" si="302"/>
        <v>-42.379255342256378</v>
      </c>
      <c r="H727" s="218">
        <f t="shared" si="303"/>
        <v>-31.556245516387818</v>
      </c>
      <c r="I727" s="218">
        <f t="shared" si="304"/>
        <v>65.198854372702172</v>
      </c>
      <c r="J727" s="218">
        <f t="shared" si="305"/>
        <v>-99.591250054302449</v>
      </c>
      <c r="K727" s="218">
        <f t="shared" si="306"/>
        <v>-260.7954174908084</v>
      </c>
      <c r="L727" s="218">
        <f t="shared" si="307"/>
        <v>293.39484467715903</v>
      </c>
      <c r="M727" s="764">
        <f t="shared" si="316"/>
        <v>-56.842252008898505</v>
      </c>
      <c r="N727" s="1863">
        <v>96</v>
      </c>
      <c r="O727" s="761">
        <f>'Emission-Waste Transport Vehicl'!N63</f>
        <v>17.999860920624005</v>
      </c>
      <c r="P727" s="761">
        <f>'Emission-Waste Transport Vehicl'!O63</f>
        <v>26.186048938368003</v>
      </c>
      <c r="Q727" s="761">
        <f>'Emission-Waste Transport Vehicl'!P63</f>
        <v>10.014822720144002</v>
      </c>
      <c r="R727" s="761">
        <f>'Emission-Waste Transport Vehicl'!Q63</f>
        <v>7.7777929342080014</v>
      </c>
      <c r="S727" s="761">
        <f>'Emission-Waste Transport Vehicl'!R63</f>
        <v>0.77412202401600017</v>
      </c>
      <c r="T727" s="761">
        <f>'Emission-Waste Transport Vehicl'!S63</f>
        <v>3.5597422206719999E-2</v>
      </c>
      <c r="U727" s="174">
        <f t="shared" si="317"/>
        <v>-5456.8561928542567</v>
      </c>
      <c r="V727" s="174">
        <f t="shared" si="310"/>
        <v>-762.82070208022674</v>
      </c>
      <c r="W727" s="174">
        <f t="shared" si="311"/>
        <v>-826.33338940328724</v>
      </c>
      <c r="X727" s="174">
        <f t="shared" si="312"/>
        <v>652.95496809909787</v>
      </c>
      <c r="Y727" s="174">
        <f t="shared" si="313"/>
        <v>-774.60012098129585</v>
      </c>
      <c r="Z727" s="174">
        <f t="shared" si="314"/>
        <v>-201.88747644208237</v>
      </c>
      <c r="AA727" s="174">
        <f t="shared" si="315"/>
        <v>10.444100159247865</v>
      </c>
      <c r="AB727" s="2987"/>
      <c r="AC727" s="3015"/>
    </row>
    <row r="728" spans="1:29" ht="18.75" x14ac:dyDescent="0.25">
      <c r="A728" s="2990"/>
      <c r="B728" s="2993"/>
      <c r="C728" s="1863">
        <v>2050</v>
      </c>
      <c r="D728" s="218">
        <f t="shared" si="301"/>
        <v>-130397.70874540422</v>
      </c>
      <c r="E728" s="218">
        <f t="shared" si="308"/>
        <v>76673.852742297691</v>
      </c>
      <c r="F728" s="218">
        <f t="shared" si="309"/>
        <v>-3118.3960057919703</v>
      </c>
      <c r="G728" s="218">
        <f t="shared" si="302"/>
        <v>-42.379255342256378</v>
      </c>
      <c r="H728" s="218">
        <f t="shared" si="303"/>
        <v>-31.556245516387818</v>
      </c>
      <c r="I728" s="218">
        <f t="shared" si="304"/>
        <v>65.198854372702172</v>
      </c>
      <c r="J728" s="218">
        <f t="shared" si="305"/>
        <v>-99.591250054302449</v>
      </c>
      <c r="K728" s="218">
        <f t="shared" si="306"/>
        <v>-260.7954174908084</v>
      </c>
      <c r="L728" s="218">
        <f t="shared" si="307"/>
        <v>293.39484467715903</v>
      </c>
      <c r="M728" s="764">
        <f t="shared" si="316"/>
        <v>-56.842252008898505</v>
      </c>
      <c r="N728" s="1863">
        <v>97</v>
      </c>
      <c r="O728" s="761">
        <f>'Emission-Waste Transport Vehicl'!N64</f>
        <v>17.644493262528005</v>
      </c>
      <c r="P728" s="761">
        <f>'Emission-Waste Transport Vehicl'!O64</f>
        <v>25.669063005696003</v>
      </c>
      <c r="Q728" s="761">
        <f>'Emission-Waste Transport Vehicl'!P64</f>
        <v>9.8171020759680019</v>
      </c>
      <c r="R728" s="761">
        <f>'Emission-Waste Transport Vehicl'!Q64</f>
        <v>7.624237522176001</v>
      </c>
      <c r="S728" s="761">
        <f>'Emission-Waste Transport Vehicl'!R64</f>
        <v>0.75883868755200012</v>
      </c>
      <c r="T728" s="761">
        <f>'Emission-Waste Transport Vehicl'!S64</f>
        <v>3.4894629411840003E-2</v>
      </c>
      <c r="U728" s="174">
        <f t="shared" si="317"/>
        <v>-5513.6984448631547</v>
      </c>
      <c r="V728" s="174">
        <f t="shared" si="310"/>
        <v>-747.76048535739665</v>
      </c>
      <c r="W728" s="174">
        <f t="shared" si="311"/>
        <v>-810.01925438337094</v>
      </c>
      <c r="X728" s="174">
        <f t="shared" si="312"/>
        <v>640.06380861298999</v>
      </c>
      <c r="Y728" s="174">
        <f t="shared" si="313"/>
        <v>-759.3073455444254</v>
      </c>
      <c r="Z728" s="174">
        <f t="shared" si="314"/>
        <v>-197.901652328301</v>
      </c>
      <c r="AA728" s="174">
        <f t="shared" si="315"/>
        <v>10.237904376353823</v>
      </c>
      <c r="AB728" s="2987"/>
      <c r="AC728" s="3015"/>
    </row>
    <row r="729" spans="1:29" ht="18.75" x14ac:dyDescent="0.25">
      <c r="A729" s="2990"/>
      <c r="B729" s="2993"/>
      <c r="C729" s="1863">
        <v>2051</v>
      </c>
      <c r="D729" s="218">
        <f t="shared" ref="D729:D747" si="318">$AC$21</f>
        <v>-130397.70874540422</v>
      </c>
      <c r="E729" s="218">
        <f t="shared" si="308"/>
        <v>76673.852742297691</v>
      </c>
      <c r="F729" s="218">
        <f t="shared" si="309"/>
        <v>-3118.3960057919703</v>
      </c>
      <c r="G729" s="218">
        <f t="shared" ref="G729:G747" si="319">$Y$21</f>
        <v>-42.379255342256378</v>
      </c>
      <c r="H729" s="218">
        <f t="shared" ref="H729:H747" si="320">$Z$21</f>
        <v>-31.556245516387818</v>
      </c>
      <c r="I729" s="218">
        <f t="shared" ref="I729:I747" si="321">$X$21</f>
        <v>65.198854372702172</v>
      </c>
      <c r="J729" s="218">
        <f t="shared" ref="J729:J747" si="322">$AA$21</f>
        <v>-99.591250054302449</v>
      </c>
      <c r="K729" s="218">
        <f t="shared" ref="K729:K747" si="323">$V$21</f>
        <v>-260.7954174908084</v>
      </c>
      <c r="L729" s="218">
        <f t="shared" ref="L729:L747" si="324">$W$21</f>
        <v>293.39484467715903</v>
      </c>
      <c r="M729" s="764">
        <f t="shared" si="316"/>
        <v>-56.842252008898505</v>
      </c>
      <c r="N729" s="1863">
        <v>97</v>
      </c>
      <c r="O729" s="761">
        <f>'Emission-Waste Transport Vehicl'!N65</f>
        <v>17.298906365664003</v>
      </c>
      <c r="P729" s="761">
        <f>'Emission-Waste Transport Vehicl'!O65</f>
        <v>25.166306043648003</v>
      </c>
      <c r="Q729" s="761">
        <f>'Emission-Waste Transport Vehicl'!P65</f>
        <v>9.624823284384</v>
      </c>
      <c r="R729" s="761">
        <f>'Emission-Waste Transport Vehicl'!Q65</f>
        <v>7.4749084058879998</v>
      </c>
      <c r="S729" s="761">
        <f>'Emission-Waste Transport Vehicl'!R65</f>
        <v>0.74397599337600007</v>
      </c>
      <c r="T729" s="761">
        <f>'Emission-Waste Transport Vehicl'!S65</f>
        <v>3.4211179537920001E-2</v>
      </c>
      <c r="U729" s="174">
        <f t="shared" si="317"/>
        <v>-5513.6984448631547</v>
      </c>
      <c r="V729" s="174">
        <f t="shared" si="310"/>
        <v>-733.1147700122591</v>
      </c>
      <c r="W729" s="174">
        <f t="shared" si="311"/>
        <v>-794.15413225391092</v>
      </c>
      <c r="X729" s="174">
        <f t="shared" si="312"/>
        <v>627.52745168154547</v>
      </c>
      <c r="Y729" s="174">
        <f t="shared" si="313"/>
        <v>-744.43547218379911</v>
      </c>
      <c r="Z729" s="174">
        <f t="shared" si="314"/>
        <v>-194.02552979563285</v>
      </c>
      <c r="AA729" s="174">
        <f t="shared" si="315"/>
        <v>10.03738370675044</v>
      </c>
      <c r="AB729" s="2987"/>
      <c r="AC729" s="3015"/>
    </row>
    <row r="730" spans="1:29" ht="18.75" x14ac:dyDescent="0.25">
      <c r="A730" s="2990"/>
      <c r="B730" s="2993"/>
      <c r="C730" s="1863">
        <v>2052</v>
      </c>
      <c r="D730" s="218">
        <f t="shared" si="318"/>
        <v>-130397.70874540422</v>
      </c>
      <c r="E730" s="218">
        <f t="shared" si="308"/>
        <v>76673.852742297691</v>
      </c>
      <c r="F730" s="218">
        <f t="shared" si="309"/>
        <v>-3118.3960057919703</v>
      </c>
      <c r="G730" s="218">
        <f t="shared" si="319"/>
        <v>-42.379255342256378</v>
      </c>
      <c r="H730" s="218">
        <f t="shared" si="320"/>
        <v>-31.556245516387818</v>
      </c>
      <c r="I730" s="218">
        <f t="shared" si="321"/>
        <v>65.198854372702172</v>
      </c>
      <c r="J730" s="218">
        <f t="shared" si="322"/>
        <v>-99.591250054302449</v>
      </c>
      <c r="K730" s="218">
        <f t="shared" si="323"/>
        <v>-260.7954174908084</v>
      </c>
      <c r="L730" s="218">
        <f t="shared" si="324"/>
        <v>293.39484467715903</v>
      </c>
      <c r="M730" s="764">
        <f t="shared" si="316"/>
        <v>-56.842252008898505</v>
      </c>
      <c r="N730" s="1863">
        <v>97</v>
      </c>
      <c r="O730" s="761">
        <f>'Emission-Waste Transport Vehicl'!N66</f>
        <v>16.959839976288002</v>
      </c>
      <c r="P730" s="761">
        <f>'Emission-Waste Transport Vehicl'!O66</f>
        <v>24.673035062016002</v>
      </c>
      <c r="Q730" s="761">
        <f>'Emission-Waste Transport Vehicl'!P66</f>
        <v>9.4361723945280005</v>
      </c>
      <c r="R730" s="761">
        <f>'Emission-Waste Transport Vehicl'!Q66</f>
        <v>7.3283968200960006</v>
      </c>
      <c r="S730" s="761">
        <f>'Emission-Waste Transport Vehicl'!R66</f>
        <v>0.72939372739200004</v>
      </c>
      <c r="T730" s="761">
        <f>'Emission-Waste Transport Vehicl'!S66</f>
        <v>3.3540624944640003E-2</v>
      </c>
      <c r="U730" s="174">
        <f t="shared" si="317"/>
        <v>-5513.6984448631547</v>
      </c>
      <c r="V730" s="174">
        <f t="shared" si="310"/>
        <v>-718.74538891891666</v>
      </c>
      <c r="W730" s="174">
        <f t="shared" si="311"/>
        <v>-778.58835205142191</v>
      </c>
      <c r="X730" s="174">
        <f t="shared" si="312"/>
        <v>615.2276297865435</v>
      </c>
      <c r="Y730" s="174">
        <f t="shared" si="313"/>
        <v>-729.84420020733569</v>
      </c>
      <c r="Z730" s="174">
        <f t="shared" si="314"/>
        <v>-190.22254165037353</v>
      </c>
      <c r="AA730" s="174">
        <f t="shared" si="315"/>
        <v>9.8406464460074989</v>
      </c>
      <c r="AB730" s="2987"/>
      <c r="AC730" s="3015"/>
    </row>
    <row r="731" spans="1:29" ht="18.75" x14ac:dyDescent="0.25">
      <c r="A731" s="2990"/>
      <c r="B731" s="2993"/>
      <c r="C731" s="1863">
        <v>2053</v>
      </c>
      <c r="D731" s="218">
        <f t="shared" si="318"/>
        <v>-130397.70874540422</v>
      </c>
      <c r="E731" s="218">
        <f t="shared" si="308"/>
        <v>76673.852742297691</v>
      </c>
      <c r="F731" s="218">
        <f t="shared" si="309"/>
        <v>-3118.3960057919703</v>
      </c>
      <c r="G731" s="218">
        <f t="shared" si="319"/>
        <v>-42.379255342256378</v>
      </c>
      <c r="H731" s="218">
        <f t="shared" si="320"/>
        <v>-31.556245516387818</v>
      </c>
      <c r="I731" s="218">
        <f t="shared" si="321"/>
        <v>65.198854372702172</v>
      </c>
      <c r="J731" s="218">
        <f t="shared" si="322"/>
        <v>-99.591250054302449</v>
      </c>
      <c r="K731" s="218">
        <f t="shared" si="323"/>
        <v>-260.7954174908084</v>
      </c>
      <c r="L731" s="218">
        <f t="shared" si="324"/>
        <v>293.39484467715903</v>
      </c>
      <c r="M731" s="764">
        <f t="shared" si="316"/>
        <v>-56.842252008898505</v>
      </c>
      <c r="N731" s="1863">
        <v>97</v>
      </c>
      <c r="O731" s="761">
        <f>'Emission-Waste Transport Vehicl'!N67</f>
        <v>15.361506000000002</v>
      </c>
      <c r="P731" s="761">
        <f>'Emission-Waste Transport Vehicl'!O67</f>
        <v>24.189250060800003</v>
      </c>
      <c r="Q731" s="761">
        <f>'Emission-Waste Transport Vehicl'!P67</f>
        <v>9.2511494064000015</v>
      </c>
      <c r="R731" s="761">
        <f>'Emission-Waste Transport Vehicl'!Q67</f>
        <v>7.1847027647999999</v>
      </c>
      <c r="S731" s="761">
        <f>'Emission-Waste Transport Vehicl'!R67</f>
        <v>0.71509188960000014</v>
      </c>
      <c r="T731" s="761">
        <f>'Emission-Waste Transport Vehicl'!S67</f>
        <v>3.2882965632000001E-2</v>
      </c>
      <c r="U731" s="174">
        <f t="shared" si="317"/>
        <v>-5513.6984448631547</v>
      </c>
      <c r="V731" s="174">
        <f t="shared" si="310"/>
        <v>-651.00918521560345</v>
      </c>
      <c r="W731" s="174">
        <f t="shared" si="311"/>
        <v>-763.32191377590379</v>
      </c>
      <c r="X731" s="174">
        <f t="shared" si="312"/>
        <v>603.16434292798385</v>
      </c>
      <c r="Y731" s="174">
        <f t="shared" si="313"/>
        <v>-715.53352961503492</v>
      </c>
      <c r="Z731" s="174">
        <f t="shared" si="314"/>
        <v>-186.49268789252312</v>
      </c>
      <c r="AA731" s="174">
        <f t="shared" si="315"/>
        <v>9.6476925941249991</v>
      </c>
      <c r="AB731" s="2987"/>
      <c r="AC731" s="3015"/>
    </row>
    <row r="732" spans="1:29" ht="18.75" x14ac:dyDescent="0.25">
      <c r="A732" s="2990"/>
      <c r="B732" s="2993"/>
      <c r="C732" s="1863">
        <v>2054</v>
      </c>
      <c r="D732" s="218">
        <f t="shared" si="318"/>
        <v>-130397.70874540422</v>
      </c>
      <c r="E732" s="218">
        <f t="shared" si="308"/>
        <v>76673.852742297691</v>
      </c>
      <c r="F732" s="218">
        <f t="shared" si="309"/>
        <v>-3118.3960057919703</v>
      </c>
      <c r="G732" s="218">
        <f t="shared" si="319"/>
        <v>-42.379255342256378</v>
      </c>
      <c r="H732" s="218">
        <f t="shared" si="320"/>
        <v>-31.556245516387818</v>
      </c>
      <c r="I732" s="218">
        <f t="shared" si="321"/>
        <v>65.198854372702172</v>
      </c>
      <c r="J732" s="218">
        <f t="shared" si="322"/>
        <v>-99.591250054302449</v>
      </c>
      <c r="K732" s="218">
        <f t="shared" si="323"/>
        <v>-260.7954174908084</v>
      </c>
      <c r="L732" s="218">
        <f t="shared" si="324"/>
        <v>293.39484467715903</v>
      </c>
      <c r="M732" s="764">
        <f t="shared" si="316"/>
        <v>-56.842252008898505</v>
      </c>
      <c r="N732" s="1863">
        <v>97</v>
      </c>
      <c r="O732" s="761">
        <f>'Emission-Waste Transport Vehicl'!N68</f>
        <v>16.301268720000003</v>
      </c>
      <c r="P732" s="761">
        <f>'Emission-Waste Transport Vehicl'!O68</f>
        <v>23.714951040000003</v>
      </c>
      <c r="Q732" s="761">
        <f>'Emission-Waste Transport Vehicl'!P68</f>
        <v>9.0697543200000013</v>
      </c>
      <c r="R732" s="761">
        <f>'Emission-Waste Transport Vehicl'!Q68</f>
        <v>7.0438262400000005</v>
      </c>
      <c r="S732" s="761">
        <f>'Emission-Waste Transport Vehicl'!R68</f>
        <v>0.70107048000000005</v>
      </c>
      <c r="T732" s="761">
        <f>'Emission-Waste Transport Vehicl'!S68</f>
        <v>3.2238201600000002E-2</v>
      </c>
      <c r="U732" s="174">
        <f t="shared" si="317"/>
        <v>-5513.6984448631547</v>
      </c>
      <c r="V732" s="174">
        <f t="shared" si="310"/>
        <v>-690.83562948761687</v>
      </c>
      <c r="W732" s="174">
        <f t="shared" si="311"/>
        <v>-748.35481742735669</v>
      </c>
      <c r="X732" s="174">
        <f t="shared" si="312"/>
        <v>591.33759110586652</v>
      </c>
      <c r="Y732" s="174">
        <f t="shared" si="313"/>
        <v>-701.50346040689703</v>
      </c>
      <c r="Z732" s="174">
        <f t="shared" si="314"/>
        <v>-182.83596852208146</v>
      </c>
      <c r="AA732" s="174">
        <f t="shared" si="315"/>
        <v>9.4585221511029403</v>
      </c>
      <c r="AB732" s="2987"/>
      <c r="AC732" s="3015"/>
    </row>
    <row r="733" spans="1:29" ht="18.75" x14ac:dyDescent="0.25">
      <c r="A733" s="2990"/>
      <c r="B733" s="2993"/>
      <c r="C733" s="1863">
        <v>2055</v>
      </c>
      <c r="D733" s="218">
        <f t="shared" si="318"/>
        <v>-130397.70874540422</v>
      </c>
      <c r="E733" s="218">
        <f t="shared" si="308"/>
        <v>76673.852742297691</v>
      </c>
      <c r="F733" s="218">
        <f t="shared" si="309"/>
        <v>-3118.3960057919703</v>
      </c>
      <c r="G733" s="218">
        <f t="shared" si="319"/>
        <v>-42.379255342256378</v>
      </c>
      <c r="H733" s="218">
        <f t="shared" si="320"/>
        <v>-31.556245516387818</v>
      </c>
      <c r="I733" s="218">
        <f t="shared" si="321"/>
        <v>65.198854372702172</v>
      </c>
      <c r="J733" s="218">
        <f t="shared" si="322"/>
        <v>-99.591250054302449</v>
      </c>
      <c r="K733" s="218">
        <f t="shared" si="323"/>
        <v>-260.7954174908084</v>
      </c>
      <c r="L733" s="218">
        <f t="shared" si="324"/>
        <v>293.39484467715903</v>
      </c>
      <c r="M733" s="764">
        <f t="shared" si="316"/>
        <v>-56.842252008898505</v>
      </c>
      <c r="N733" s="1863">
        <v>97</v>
      </c>
      <c r="O733" s="761">
        <f>'Emission-Waste Transport Vehicl'!N69</f>
        <v>15.981763853088003</v>
      </c>
      <c r="P733" s="761">
        <f>'Emission-Waste Transport Vehicl'!O69</f>
        <v>23.250137999616001</v>
      </c>
      <c r="Q733" s="761">
        <f>'Emission-Waste Transport Vehicl'!P69</f>
        <v>8.8919871353280016</v>
      </c>
      <c r="R733" s="761">
        <f>'Emission-Waste Transport Vehicl'!Q69</f>
        <v>6.9057672456960004</v>
      </c>
      <c r="S733" s="761">
        <f>'Emission-Waste Transport Vehicl'!R69</f>
        <v>0.6873294985920001</v>
      </c>
      <c r="T733" s="761">
        <f>'Emission-Waste Transport Vehicl'!S69</f>
        <v>3.1606332848640006E-2</v>
      </c>
      <c r="U733" s="174">
        <f t="shared" si="317"/>
        <v>-5513.6984448631547</v>
      </c>
      <c r="V733" s="174">
        <f t="shared" si="310"/>
        <v>-677.29525114965963</v>
      </c>
      <c r="W733" s="174">
        <f t="shared" si="311"/>
        <v>-733.68706300578049</v>
      </c>
      <c r="X733" s="174">
        <f t="shared" si="312"/>
        <v>579.74737432019151</v>
      </c>
      <c r="Y733" s="174">
        <f t="shared" si="313"/>
        <v>-687.75399258292191</v>
      </c>
      <c r="Z733" s="174">
        <f t="shared" si="314"/>
        <v>-179.25238353904868</v>
      </c>
      <c r="AA733" s="174">
        <f t="shared" si="315"/>
        <v>9.2731351169413241</v>
      </c>
      <c r="AB733" s="2987"/>
      <c r="AC733" s="3015"/>
    </row>
    <row r="734" spans="1:29" ht="18.75" x14ac:dyDescent="0.25">
      <c r="A734" s="2990"/>
      <c r="B734" s="2993"/>
      <c r="C734" s="1863">
        <v>2056</v>
      </c>
      <c r="D734" s="218">
        <f t="shared" si="318"/>
        <v>-130397.70874540422</v>
      </c>
      <c r="E734" s="218">
        <f t="shared" si="308"/>
        <v>76673.852742297691</v>
      </c>
      <c r="F734" s="218">
        <f t="shared" si="309"/>
        <v>-3118.3960057919703</v>
      </c>
      <c r="G734" s="218">
        <f t="shared" si="319"/>
        <v>-42.379255342256378</v>
      </c>
      <c r="H734" s="218">
        <f t="shared" si="320"/>
        <v>-31.556245516387818</v>
      </c>
      <c r="I734" s="218">
        <f t="shared" si="321"/>
        <v>65.198854372702172</v>
      </c>
      <c r="J734" s="218">
        <f t="shared" si="322"/>
        <v>-99.591250054302449</v>
      </c>
      <c r="K734" s="218">
        <f t="shared" si="323"/>
        <v>-260.7954174908084</v>
      </c>
      <c r="L734" s="218">
        <f t="shared" si="324"/>
        <v>293.39484467715903</v>
      </c>
      <c r="M734" s="764">
        <f t="shared" si="316"/>
        <v>-56.842252008898505</v>
      </c>
      <c r="N734" s="1863">
        <v>97</v>
      </c>
      <c r="O734" s="761">
        <f>'Emission-Waste Transport Vehicl'!N70</f>
        <v>15.668779493664003</v>
      </c>
      <c r="P734" s="761">
        <f>'Emission-Waste Transport Vehicl'!O70</f>
        <v>22.794810939648006</v>
      </c>
      <c r="Q734" s="761">
        <f>'Emission-Waste Transport Vehicl'!P70</f>
        <v>8.7178478523840006</v>
      </c>
      <c r="R734" s="761">
        <f>'Emission-Waste Transport Vehicl'!Q70</f>
        <v>6.7705257818880007</v>
      </c>
      <c r="S734" s="761">
        <f>'Emission-Waste Transport Vehicl'!R70</f>
        <v>0.67386894537600017</v>
      </c>
      <c r="T734" s="761">
        <f>'Emission-Waste Transport Vehicl'!S70</f>
        <v>3.0987359377920003E-2</v>
      </c>
      <c r="U734" s="174">
        <f t="shared" si="317"/>
        <v>-5513.6984448631547</v>
      </c>
      <c r="V734" s="174">
        <f t="shared" si="310"/>
        <v>-664.03120706349739</v>
      </c>
      <c r="W734" s="174">
        <f t="shared" si="311"/>
        <v>-719.31865051117541</v>
      </c>
      <c r="X734" s="174">
        <f t="shared" si="312"/>
        <v>568.39369257095882</v>
      </c>
      <c r="Y734" s="174">
        <f t="shared" si="313"/>
        <v>-674.28512614310944</v>
      </c>
      <c r="Z734" s="174">
        <f t="shared" si="314"/>
        <v>-175.74193294342473</v>
      </c>
      <c r="AA734" s="174">
        <f t="shared" si="315"/>
        <v>9.0915314916401471</v>
      </c>
      <c r="AB734" s="2987"/>
      <c r="AC734" s="3015"/>
    </row>
    <row r="735" spans="1:29" ht="18.75" x14ac:dyDescent="0.25">
      <c r="A735" s="2990"/>
      <c r="B735" s="2993"/>
      <c r="C735" s="1863">
        <v>2057</v>
      </c>
      <c r="D735" s="218">
        <f t="shared" si="318"/>
        <v>-130397.70874540422</v>
      </c>
      <c r="E735" s="218">
        <f t="shared" si="308"/>
        <v>76673.852742297691</v>
      </c>
      <c r="F735" s="218">
        <f t="shared" si="309"/>
        <v>-3118.3960057919703</v>
      </c>
      <c r="G735" s="218">
        <f t="shared" si="319"/>
        <v>-42.379255342256378</v>
      </c>
      <c r="H735" s="218">
        <f t="shared" si="320"/>
        <v>-31.556245516387818</v>
      </c>
      <c r="I735" s="218">
        <f t="shared" si="321"/>
        <v>65.198854372702172</v>
      </c>
      <c r="J735" s="218">
        <f t="shared" si="322"/>
        <v>-99.591250054302449</v>
      </c>
      <c r="K735" s="218">
        <f t="shared" si="323"/>
        <v>-260.7954174908084</v>
      </c>
      <c r="L735" s="218">
        <f t="shared" si="324"/>
        <v>293.39484467715903</v>
      </c>
      <c r="M735" s="764">
        <f t="shared" si="316"/>
        <v>-56.842252008898505</v>
      </c>
      <c r="N735" s="1863">
        <v>97</v>
      </c>
      <c r="O735" s="761">
        <f>'Emission-Waste Transport Vehicl'!N71</f>
        <v>15.362315641728001</v>
      </c>
      <c r="P735" s="761">
        <f>'Emission-Waste Transport Vehicl'!O71</f>
        <v>22.348969860096002</v>
      </c>
      <c r="Q735" s="761">
        <f>'Emission-Waste Transport Vehicl'!P71</f>
        <v>8.547336471168002</v>
      </c>
      <c r="R735" s="761">
        <f>'Emission-Waste Transport Vehicl'!Q71</f>
        <v>6.6381018485760004</v>
      </c>
      <c r="S735" s="761">
        <f>'Emission-Waste Transport Vehicl'!R71</f>
        <v>0.66068882035200005</v>
      </c>
      <c r="T735" s="761">
        <f>'Emission-Waste Transport Vehicl'!S71</f>
        <v>3.038128118784E-2</v>
      </c>
      <c r="U735" s="174">
        <f t="shared" si="317"/>
        <v>-5513.6984448631547</v>
      </c>
      <c r="V735" s="174">
        <f t="shared" si="310"/>
        <v>-651.04349722913014</v>
      </c>
      <c r="W735" s="174">
        <f t="shared" si="311"/>
        <v>-705.24957994354099</v>
      </c>
      <c r="X735" s="174">
        <f t="shared" si="312"/>
        <v>557.27654585816867</v>
      </c>
      <c r="Y735" s="174">
        <f t="shared" si="313"/>
        <v>-661.09686108745984</v>
      </c>
      <c r="Z735" s="174">
        <f t="shared" si="314"/>
        <v>-172.30461673520958</v>
      </c>
      <c r="AA735" s="174">
        <f t="shared" si="315"/>
        <v>8.913711275199411</v>
      </c>
      <c r="AB735" s="2987"/>
      <c r="AC735" s="3015"/>
    </row>
    <row r="736" spans="1:29" ht="18.75" x14ac:dyDescent="0.25">
      <c r="A736" s="2990"/>
      <c r="B736" s="2993"/>
      <c r="C736" s="1863">
        <v>2058</v>
      </c>
      <c r="D736" s="218">
        <f t="shared" si="318"/>
        <v>-130397.70874540422</v>
      </c>
      <c r="E736" s="218">
        <f t="shared" si="308"/>
        <v>76673.852742297691</v>
      </c>
      <c r="F736" s="218">
        <f t="shared" si="309"/>
        <v>-3118.3960057919703</v>
      </c>
      <c r="G736" s="218">
        <f t="shared" si="319"/>
        <v>-42.379255342256378</v>
      </c>
      <c r="H736" s="218">
        <f t="shared" si="320"/>
        <v>-31.556245516387818</v>
      </c>
      <c r="I736" s="218">
        <f t="shared" si="321"/>
        <v>65.198854372702172</v>
      </c>
      <c r="J736" s="218">
        <f t="shared" si="322"/>
        <v>-99.591250054302449</v>
      </c>
      <c r="K736" s="218">
        <f t="shared" si="323"/>
        <v>-260.7954174908084</v>
      </c>
      <c r="L736" s="218">
        <f t="shared" si="324"/>
        <v>293.39484467715903</v>
      </c>
      <c r="M736" s="764">
        <f t="shared" si="316"/>
        <v>-56.842252008898505</v>
      </c>
      <c r="N736" s="1863">
        <v>97</v>
      </c>
      <c r="O736" s="761">
        <f>'Emission-Waste Transport Vehicl'!N72</f>
        <v>15.059112043536</v>
      </c>
      <c r="P736" s="761">
        <f>'Emission-Waste Transport Vehicl'!O72</f>
        <v>21.907871770752003</v>
      </c>
      <c r="Q736" s="761">
        <f>'Emission-Waste Transport Vehicl'!P72</f>
        <v>8.378639040816001</v>
      </c>
      <c r="R736" s="761">
        <f>'Emission-Waste Transport Vehicl'!Q72</f>
        <v>6.5070866805119998</v>
      </c>
      <c r="S736" s="761">
        <f>'Emission-Waste Transport Vehicl'!R72</f>
        <v>0.647648909424</v>
      </c>
      <c r="T736" s="761">
        <f>'Emission-Waste Transport Vehicl'!S72</f>
        <v>2.9781650638080002E-2</v>
      </c>
      <c r="U736" s="174">
        <f t="shared" si="317"/>
        <v>-5513.6984448631547</v>
      </c>
      <c r="V736" s="174">
        <f t="shared" si="310"/>
        <v>-638.19395452066044</v>
      </c>
      <c r="W736" s="174">
        <f t="shared" si="311"/>
        <v>-691.33018033939209</v>
      </c>
      <c r="X736" s="174">
        <f t="shared" si="312"/>
        <v>546.27766666359946</v>
      </c>
      <c r="Y736" s="174">
        <f t="shared" si="313"/>
        <v>-648.0488967238914</v>
      </c>
      <c r="Z736" s="174">
        <f t="shared" si="314"/>
        <v>-168.90386772069883</v>
      </c>
      <c r="AA736" s="174">
        <f t="shared" si="315"/>
        <v>8.7377827631888962</v>
      </c>
      <c r="AB736" s="2987"/>
      <c r="AC736" s="3015"/>
    </row>
    <row r="737" spans="1:29" ht="18.75" x14ac:dyDescent="0.25">
      <c r="A737" s="2990"/>
      <c r="B737" s="2993"/>
      <c r="C737" s="1863">
        <v>2059</v>
      </c>
      <c r="D737" s="218">
        <f t="shared" si="318"/>
        <v>-130397.70874540422</v>
      </c>
      <c r="E737" s="218">
        <f t="shared" si="308"/>
        <v>76673.852742297691</v>
      </c>
      <c r="F737" s="218">
        <f t="shared" si="309"/>
        <v>-3118.3960057919703</v>
      </c>
      <c r="G737" s="218">
        <f t="shared" si="319"/>
        <v>-42.379255342256378</v>
      </c>
      <c r="H737" s="218">
        <f t="shared" si="320"/>
        <v>-31.556245516387818</v>
      </c>
      <c r="I737" s="218">
        <f t="shared" si="321"/>
        <v>65.198854372702172</v>
      </c>
      <c r="J737" s="218">
        <f t="shared" si="322"/>
        <v>-99.591250054302449</v>
      </c>
      <c r="K737" s="218">
        <f t="shared" si="323"/>
        <v>-260.7954174908084</v>
      </c>
      <c r="L737" s="218">
        <f t="shared" si="324"/>
        <v>293.39484467715903</v>
      </c>
      <c r="M737" s="764">
        <f t="shared" si="316"/>
        <v>-56.842252008898505</v>
      </c>
      <c r="N737" s="1863">
        <v>97</v>
      </c>
      <c r="O737" s="761">
        <f>'Emission-Waste Transport Vehicl'!N73</f>
        <v>14.765689206576004</v>
      </c>
      <c r="P737" s="761">
        <f>'Emission-Waste Transport Vehicl'!O73</f>
        <v>21.481002652032004</v>
      </c>
      <c r="Q737" s="761">
        <f>'Emission-Waste Transport Vehicl'!P73</f>
        <v>8.2153834630560016</v>
      </c>
      <c r="R737" s="761">
        <f>'Emission-Waste Transport Vehicl'!Q73</f>
        <v>6.380297808192001</v>
      </c>
      <c r="S737" s="761">
        <f>'Emission-Waste Transport Vehicl'!R73</f>
        <v>0.63502964078400004</v>
      </c>
      <c r="T737" s="761">
        <f>'Emission-Waste Transport Vehicl'!S73</f>
        <v>2.9201363009280005E-2</v>
      </c>
      <c r="U737" s="174">
        <f t="shared" si="317"/>
        <v>-5513.6984448631547</v>
      </c>
      <c r="V737" s="174">
        <f t="shared" si="310"/>
        <v>-625.75891318988351</v>
      </c>
      <c r="W737" s="174">
        <f t="shared" si="311"/>
        <v>-677.85979362569969</v>
      </c>
      <c r="X737" s="174">
        <f t="shared" si="312"/>
        <v>535.63359002369396</v>
      </c>
      <c r="Y737" s="174">
        <f t="shared" si="313"/>
        <v>-635.42183443656745</v>
      </c>
      <c r="Z737" s="174">
        <f t="shared" si="314"/>
        <v>-165.61282028730139</v>
      </c>
      <c r="AA737" s="174">
        <f t="shared" si="315"/>
        <v>8.5675293644690438</v>
      </c>
      <c r="AB737" s="2987"/>
      <c r="AC737" s="3015"/>
    </row>
    <row r="738" spans="1:29" ht="18.75" x14ac:dyDescent="0.25">
      <c r="A738" s="2990"/>
      <c r="B738" s="2993"/>
      <c r="C738" s="1863">
        <v>2060</v>
      </c>
      <c r="D738" s="218">
        <f t="shared" si="318"/>
        <v>-130397.70874540422</v>
      </c>
      <c r="E738" s="218">
        <f t="shared" si="308"/>
        <v>76673.852742297691</v>
      </c>
      <c r="F738" s="218">
        <f t="shared" si="309"/>
        <v>-3118.3960057919703</v>
      </c>
      <c r="G738" s="218">
        <f t="shared" si="319"/>
        <v>-42.379255342256378</v>
      </c>
      <c r="H738" s="218">
        <f t="shared" si="320"/>
        <v>-31.556245516387818</v>
      </c>
      <c r="I738" s="218">
        <f t="shared" si="321"/>
        <v>65.198854372702172</v>
      </c>
      <c r="J738" s="218">
        <f t="shared" si="322"/>
        <v>-99.591250054302449</v>
      </c>
      <c r="K738" s="218">
        <f t="shared" si="323"/>
        <v>-260.7954174908084</v>
      </c>
      <c r="L738" s="218">
        <f t="shared" si="324"/>
        <v>293.39484467715903</v>
      </c>
      <c r="M738" s="764">
        <f t="shared" si="316"/>
        <v>-56.842252008898505</v>
      </c>
      <c r="N738" s="1863">
        <v>97</v>
      </c>
      <c r="O738" s="761">
        <f>'Emission-Waste Transport Vehicl'!N74</f>
        <v>14.475526623360002</v>
      </c>
      <c r="P738" s="761">
        <f>'Emission-Waste Transport Vehicl'!O74</f>
        <v>21.058876523520002</v>
      </c>
      <c r="Q738" s="761">
        <f>'Emission-Waste Transport Vehicl'!P74</f>
        <v>8.0539418361599999</v>
      </c>
      <c r="R738" s="761">
        <f>'Emission-Waste Transport Vehicl'!Q74</f>
        <v>6.2549177011200001</v>
      </c>
      <c r="S738" s="761">
        <f>'Emission-Waste Transport Vehicl'!R74</f>
        <v>0.62255058624000004</v>
      </c>
      <c r="T738" s="761">
        <f>'Emission-Waste Transport Vehicl'!S74</f>
        <v>2.8627523020800003E-2</v>
      </c>
      <c r="U738" s="174">
        <f t="shared" si="317"/>
        <v>-5513.6984448631547</v>
      </c>
      <c r="V738" s="174">
        <f t="shared" si="310"/>
        <v>-613.4620389850038</v>
      </c>
      <c r="W738" s="174">
        <f t="shared" si="311"/>
        <v>-664.53907787549281</v>
      </c>
      <c r="X738" s="174">
        <f t="shared" si="312"/>
        <v>525.10778090200938</v>
      </c>
      <c r="Y738" s="174">
        <f t="shared" si="313"/>
        <v>-622.93507284132454</v>
      </c>
      <c r="Z738" s="174">
        <f t="shared" si="314"/>
        <v>-162.35834004760832</v>
      </c>
      <c r="AA738" s="174">
        <f t="shared" si="315"/>
        <v>8.3991676701794109</v>
      </c>
      <c r="AB738" s="2987"/>
      <c r="AC738" s="3015"/>
    </row>
    <row r="739" spans="1:29" ht="18.75" x14ac:dyDescent="0.25">
      <c r="A739" s="2990"/>
      <c r="B739" s="2993"/>
      <c r="C739" s="1863">
        <v>2061</v>
      </c>
      <c r="D739" s="218">
        <f t="shared" si="318"/>
        <v>-130397.70874540422</v>
      </c>
      <c r="E739" s="218">
        <f t="shared" si="308"/>
        <v>76673.852742297691</v>
      </c>
      <c r="F739" s="218">
        <f t="shared" si="309"/>
        <v>-3118.3960057919703</v>
      </c>
      <c r="G739" s="218">
        <f t="shared" si="319"/>
        <v>-42.379255342256378</v>
      </c>
      <c r="H739" s="218">
        <f t="shared" si="320"/>
        <v>-31.556245516387818</v>
      </c>
      <c r="I739" s="218">
        <f t="shared" si="321"/>
        <v>65.198854372702172</v>
      </c>
      <c r="J739" s="218">
        <f t="shared" si="322"/>
        <v>-99.591250054302449</v>
      </c>
      <c r="K739" s="218">
        <f t="shared" si="323"/>
        <v>-260.7954174908084</v>
      </c>
      <c r="L739" s="218">
        <f t="shared" si="324"/>
        <v>293.39484467715903</v>
      </c>
      <c r="M739" s="764">
        <f t="shared" si="316"/>
        <v>-56.842252008898505</v>
      </c>
      <c r="N739" s="1863">
        <v>97</v>
      </c>
      <c r="O739" s="761">
        <f>'Emission-Waste Transport Vehicl'!N75</f>
        <v>14.191884547632004</v>
      </c>
      <c r="P739" s="761">
        <f>'Emission-Waste Transport Vehicl'!O75</f>
        <v>20.646236375424003</v>
      </c>
      <c r="Q739" s="761">
        <f>'Emission-Waste Transport Vehicl'!P75</f>
        <v>7.8961281109920014</v>
      </c>
      <c r="R739" s="761">
        <f>'Emission-Waste Transport Vehicl'!Q75</f>
        <v>6.1323551245440004</v>
      </c>
      <c r="S739" s="761">
        <f>'Emission-Waste Transport Vehicl'!R75</f>
        <v>0.61035195988800006</v>
      </c>
      <c r="T739" s="761">
        <f>'Emission-Waste Transport Vehicl'!S75</f>
        <v>2.8066578312960003E-2</v>
      </c>
      <c r="U739" s="174">
        <f t="shared" si="317"/>
        <v>-5513.6984448631547</v>
      </c>
      <c r="V739" s="174">
        <f t="shared" si="310"/>
        <v>-601.44149903191931</v>
      </c>
      <c r="W739" s="174">
        <f t="shared" si="311"/>
        <v>-651.51770405225682</v>
      </c>
      <c r="X739" s="174">
        <f t="shared" si="312"/>
        <v>514.81850681676735</v>
      </c>
      <c r="Y739" s="174">
        <f t="shared" si="313"/>
        <v>-610.72891263024462</v>
      </c>
      <c r="Z739" s="174">
        <f t="shared" si="314"/>
        <v>-159.17699419532411</v>
      </c>
      <c r="AA739" s="174">
        <f t="shared" si="315"/>
        <v>8.2345893847502207</v>
      </c>
      <c r="AB739" s="2987"/>
      <c r="AC739" s="3015"/>
    </row>
    <row r="740" spans="1:29" ht="18.75" x14ac:dyDescent="0.25">
      <c r="A740" s="2990"/>
      <c r="B740" s="2993"/>
      <c r="C740" s="1863">
        <v>2062</v>
      </c>
      <c r="D740" s="218">
        <f t="shared" si="318"/>
        <v>-130397.70874540422</v>
      </c>
      <c r="E740" s="218">
        <f t="shared" si="308"/>
        <v>76673.852742297691</v>
      </c>
      <c r="F740" s="218">
        <f t="shared" si="309"/>
        <v>-3118.3960057919703</v>
      </c>
      <c r="G740" s="218">
        <f t="shared" si="319"/>
        <v>-42.379255342256378</v>
      </c>
      <c r="H740" s="218">
        <f t="shared" si="320"/>
        <v>-31.556245516387818</v>
      </c>
      <c r="I740" s="218">
        <f t="shared" si="321"/>
        <v>65.198854372702172</v>
      </c>
      <c r="J740" s="218">
        <f t="shared" si="322"/>
        <v>-99.591250054302449</v>
      </c>
      <c r="K740" s="218">
        <f t="shared" si="323"/>
        <v>-260.7954174908084</v>
      </c>
      <c r="L740" s="218">
        <f t="shared" si="324"/>
        <v>293.39484467715903</v>
      </c>
      <c r="M740" s="764">
        <f t="shared" si="316"/>
        <v>-56.842252008898505</v>
      </c>
      <c r="N740" s="1863">
        <v>97</v>
      </c>
      <c r="O740" s="761">
        <f>'Emission-Waste Transport Vehicl'!N76</f>
        <v>13.914762979392002</v>
      </c>
      <c r="P740" s="761">
        <f>'Emission-Waste Transport Vehicl'!O76</f>
        <v>20.243082207744003</v>
      </c>
      <c r="Q740" s="761">
        <f>'Emission-Waste Transport Vehicl'!P76</f>
        <v>7.7419422875520008</v>
      </c>
      <c r="R740" s="761">
        <f>'Emission-Waste Transport Vehicl'!Q76</f>
        <v>6.0126100784640002</v>
      </c>
      <c r="S740" s="761">
        <f>'Emission-Waste Transport Vehicl'!R76</f>
        <v>0.59843376172800011</v>
      </c>
      <c r="T740" s="761">
        <f>'Emission-Waste Transport Vehicl'!S76</f>
        <v>2.7518528885760004E-2</v>
      </c>
      <c r="U740" s="174">
        <f t="shared" si="317"/>
        <v>-5513.6984448631547</v>
      </c>
      <c r="V740" s="174">
        <f t="shared" si="310"/>
        <v>-589.6972933306298</v>
      </c>
      <c r="W740" s="174">
        <f t="shared" si="311"/>
        <v>-638.79567215599172</v>
      </c>
      <c r="X740" s="174">
        <f t="shared" si="312"/>
        <v>504.76576776796765</v>
      </c>
      <c r="Y740" s="174">
        <f t="shared" si="313"/>
        <v>-598.80335380332735</v>
      </c>
      <c r="Z740" s="174">
        <f t="shared" si="314"/>
        <v>-156.06878273044876</v>
      </c>
      <c r="AA740" s="174">
        <f t="shared" si="315"/>
        <v>8.0737945081814697</v>
      </c>
      <c r="AB740" s="2987"/>
      <c r="AC740" s="3015"/>
    </row>
    <row r="741" spans="1:29" ht="18.75" x14ac:dyDescent="0.25">
      <c r="A741" s="2990"/>
      <c r="B741" s="2993"/>
      <c r="C741" s="1863">
        <v>2063</v>
      </c>
      <c r="D741" s="218">
        <f t="shared" si="318"/>
        <v>-130397.70874540422</v>
      </c>
      <c r="E741" s="218">
        <f t="shared" si="308"/>
        <v>76673.852742297691</v>
      </c>
      <c r="F741" s="218">
        <f t="shared" si="309"/>
        <v>-3118.3960057919703</v>
      </c>
      <c r="G741" s="218">
        <f t="shared" si="319"/>
        <v>-42.379255342256378</v>
      </c>
      <c r="H741" s="218">
        <f t="shared" si="320"/>
        <v>-31.556245516387818</v>
      </c>
      <c r="I741" s="218">
        <f t="shared" si="321"/>
        <v>65.198854372702172</v>
      </c>
      <c r="J741" s="218">
        <f t="shared" si="322"/>
        <v>-99.591250054302449</v>
      </c>
      <c r="K741" s="218">
        <f t="shared" si="323"/>
        <v>-260.7954174908084</v>
      </c>
      <c r="L741" s="218">
        <f t="shared" si="324"/>
        <v>293.39484467715903</v>
      </c>
      <c r="M741" s="764">
        <f t="shared" si="316"/>
        <v>-56.842252008898505</v>
      </c>
      <c r="N741" s="1863">
        <v>97</v>
      </c>
      <c r="O741" s="761">
        <f>'Emission-Waste Transport Vehicl'!N77</f>
        <v>13.640901664896001</v>
      </c>
      <c r="P741" s="761">
        <f>'Emission-Waste Transport Vehicl'!O77</f>
        <v>19.844671030272</v>
      </c>
      <c r="Q741" s="761">
        <f>'Emission-Waste Transport Vehicl'!P77</f>
        <v>7.5895704149760004</v>
      </c>
      <c r="R741" s="761">
        <f>'Emission-Waste Transport Vehicl'!Q77</f>
        <v>5.8942737976319997</v>
      </c>
      <c r="S741" s="761">
        <f>'Emission-Waste Transport Vehicl'!R77</f>
        <v>0.58665577766400001</v>
      </c>
      <c r="T741" s="761">
        <f>'Emission-Waste Transport Vehicl'!S77</f>
        <v>2.6976927098879999E-2</v>
      </c>
      <c r="U741" s="174">
        <f t="shared" si="317"/>
        <v>-5513.6984448631547</v>
      </c>
      <c r="V741" s="174">
        <f t="shared" si="310"/>
        <v>-578.09125475523774</v>
      </c>
      <c r="W741" s="174">
        <f t="shared" si="311"/>
        <v>-626.22331122321202</v>
      </c>
      <c r="X741" s="174">
        <f t="shared" si="312"/>
        <v>494.83129623738904</v>
      </c>
      <c r="Y741" s="174">
        <f t="shared" si="313"/>
        <v>-587.01809566849136</v>
      </c>
      <c r="Z741" s="174">
        <f t="shared" si="314"/>
        <v>-152.99713845927775</v>
      </c>
      <c r="AA741" s="174">
        <f t="shared" si="315"/>
        <v>7.91489133604294</v>
      </c>
      <c r="AB741" s="2987"/>
      <c r="AC741" s="3015"/>
    </row>
    <row r="742" spans="1:29" ht="18.75" x14ac:dyDescent="0.25">
      <c r="A742" s="2990"/>
      <c r="B742" s="2993"/>
      <c r="C742" s="1863">
        <v>2064</v>
      </c>
      <c r="D742" s="218">
        <f t="shared" si="318"/>
        <v>-130397.70874540422</v>
      </c>
      <c r="E742" s="218">
        <f t="shared" si="308"/>
        <v>76673.852742297691</v>
      </c>
      <c r="F742" s="218">
        <f t="shared" si="309"/>
        <v>-3118.3960057919703</v>
      </c>
      <c r="G742" s="218">
        <f t="shared" si="319"/>
        <v>-42.379255342256378</v>
      </c>
      <c r="H742" s="218">
        <f t="shared" si="320"/>
        <v>-31.556245516387818</v>
      </c>
      <c r="I742" s="218">
        <f t="shared" si="321"/>
        <v>65.198854372702172</v>
      </c>
      <c r="J742" s="218">
        <f t="shared" si="322"/>
        <v>-99.591250054302449</v>
      </c>
      <c r="K742" s="218">
        <f t="shared" si="323"/>
        <v>-260.7954174908084</v>
      </c>
      <c r="L742" s="218">
        <f t="shared" si="324"/>
        <v>293.39484467715903</v>
      </c>
      <c r="M742" s="764">
        <f t="shared" si="316"/>
        <v>-56.842252008898505</v>
      </c>
      <c r="N742" s="1863">
        <v>97</v>
      </c>
      <c r="O742" s="761">
        <f>'Emission-Waste Transport Vehicl'!N78</f>
        <v>13.373560857888002</v>
      </c>
      <c r="P742" s="761">
        <f>'Emission-Waste Transport Vehicl'!O78</f>
        <v>19.455745833216003</v>
      </c>
      <c r="Q742" s="761">
        <f>'Emission-Waste Transport Vehicl'!P78</f>
        <v>7.4408264441280014</v>
      </c>
      <c r="R742" s="761">
        <f>'Emission-Waste Transport Vehicl'!Q78</f>
        <v>5.7787550472960003</v>
      </c>
      <c r="S742" s="761">
        <f>'Emission-Waste Transport Vehicl'!R78</f>
        <v>0.57515822179200005</v>
      </c>
      <c r="T742" s="761">
        <f>'Emission-Waste Transport Vehicl'!S78</f>
        <v>2.6448220592640001E-2</v>
      </c>
      <c r="U742" s="174">
        <f t="shared" si="317"/>
        <v>-5513.6984448631547</v>
      </c>
      <c r="V742" s="174">
        <f t="shared" si="310"/>
        <v>-566.7615504316409</v>
      </c>
      <c r="W742" s="174">
        <f t="shared" si="311"/>
        <v>-613.95029221740344</v>
      </c>
      <c r="X742" s="174">
        <f t="shared" si="312"/>
        <v>485.13335974325292</v>
      </c>
      <c r="Y742" s="174">
        <f t="shared" si="313"/>
        <v>-575.51343891781835</v>
      </c>
      <c r="Z742" s="174">
        <f t="shared" si="314"/>
        <v>-149.99862857551562</v>
      </c>
      <c r="AA742" s="174">
        <f t="shared" si="315"/>
        <v>7.7597715727648522</v>
      </c>
      <c r="AB742" s="2987"/>
      <c r="AC742" s="3015"/>
    </row>
    <row r="743" spans="1:29" ht="18.75" x14ac:dyDescent="0.25">
      <c r="A743" s="2990"/>
      <c r="B743" s="2993"/>
      <c r="C743" s="1863">
        <v>2065</v>
      </c>
      <c r="D743" s="218">
        <f t="shared" si="318"/>
        <v>-130397.70874540422</v>
      </c>
      <c r="E743" s="218">
        <f t="shared" si="308"/>
        <v>76673.852742297691</v>
      </c>
      <c r="F743" s="218">
        <f t="shared" si="309"/>
        <v>-3118.3960057919703</v>
      </c>
      <c r="G743" s="218">
        <f t="shared" si="319"/>
        <v>-42.379255342256378</v>
      </c>
      <c r="H743" s="218">
        <f t="shared" si="320"/>
        <v>-31.556245516387818</v>
      </c>
      <c r="I743" s="218">
        <f t="shared" si="321"/>
        <v>65.198854372702172</v>
      </c>
      <c r="J743" s="218">
        <f t="shared" si="322"/>
        <v>-99.591250054302449</v>
      </c>
      <c r="K743" s="218">
        <f t="shared" si="323"/>
        <v>-260.7954174908084</v>
      </c>
      <c r="L743" s="218">
        <f t="shared" si="324"/>
        <v>293.39484467715903</v>
      </c>
      <c r="M743" s="764">
        <f t="shared" si="316"/>
        <v>-56.842252008898505</v>
      </c>
      <c r="N743" s="1863">
        <v>97</v>
      </c>
      <c r="O743" s="761">
        <f>'Emission-Waste Transport Vehicl'!N79</f>
        <v>13.112740558368001</v>
      </c>
      <c r="P743" s="761">
        <f>'Emission-Waste Transport Vehicl'!O79</f>
        <v>19.076306616576002</v>
      </c>
      <c r="Q743" s="761">
        <f>'Emission-Waste Transport Vehicl'!P79</f>
        <v>7.2957103750080003</v>
      </c>
      <c r="R743" s="761">
        <f>'Emission-Waste Transport Vehicl'!Q79</f>
        <v>5.6660538274560004</v>
      </c>
      <c r="S743" s="761">
        <f>'Emission-Waste Transport Vehicl'!R79</f>
        <v>0.56394109411200011</v>
      </c>
      <c r="T743" s="761">
        <f>'Emission-Waste Transport Vehicl'!S79</f>
        <v>2.5932409367040003E-2</v>
      </c>
      <c r="U743" s="174">
        <f t="shared" si="317"/>
        <v>-5513.6984448631547</v>
      </c>
      <c r="V743" s="174">
        <f t="shared" si="310"/>
        <v>-555.70818035983905</v>
      </c>
      <c r="W743" s="174">
        <f t="shared" si="311"/>
        <v>-601.97661513856576</v>
      </c>
      <c r="X743" s="174">
        <f t="shared" si="312"/>
        <v>475.67195828555896</v>
      </c>
      <c r="Y743" s="174">
        <f t="shared" si="313"/>
        <v>-564.28938355130799</v>
      </c>
      <c r="Z743" s="174">
        <f t="shared" si="314"/>
        <v>-147.07325307916233</v>
      </c>
      <c r="AA743" s="174">
        <f t="shared" si="315"/>
        <v>7.6084352183472053</v>
      </c>
      <c r="AB743" s="2987"/>
      <c r="AC743" s="3015"/>
    </row>
    <row r="744" spans="1:29" ht="18.75" x14ac:dyDescent="0.25">
      <c r="A744" s="2990"/>
      <c r="B744" s="2993"/>
      <c r="C744" s="1863">
        <v>2066</v>
      </c>
      <c r="D744" s="218">
        <f t="shared" si="318"/>
        <v>-130397.70874540422</v>
      </c>
      <c r="E744" s="218">
        <f t="shared" si="308"/>
        <v>76673.852742297691</v>
      </c>
      <c r="F744" s="218">
        <f t="shared" si="309"/>
        <v>-3118.3960057919703</v>
      </c>
      <c r="G744" s="218">
        <f t="shared" si="319"/>
        <v>-42.379255342256378</v>
      </c>
      <c r="H744" s="218">
        <f t="shared" si="320"/>
        <v>-31.556245516387818</v>
      </c>
      <c r="I744" s="218">
        <f t="shared" si="321"/>
        <v>65.198854372702172</v>
      </c>
      <c r="J744" s="218">
        <f t="shared" si="322"/>
        <v>-99.591250054302449</v>
      </c>
      <c r="K744" s="218">
        <f t="shared" si="323"/>
        <v>-260.7954174908084</v>
      </c>
      <c r="L744" s="218">
        <f t="shared" si="324"/>
        <v>293.39484467715903</v>
      </c>
      <c r="M744" s="764">
        <f t="shared" si="316"/>
        <v>-56.842252008898505</v>
      </c>
      <c r="N744" s="1863">
        <v>97</v>
      </c>
      <c r="O744" s="761">
        <f>'Emission-Waste Transport Vehicl'!N80</f>
        <v>12.855180512592</v>
      </c>
      <c r="P744" s="761">
        <f>'Emission-Waste Transport Vehicl'!O80</f>
        <v>18.701610390143998</v>
      </c>
      <c r="Q744" s="761">
        <f>'Emission-Waste Transport Vehicl'!P80</f>
        <v>7.1524082567520004</v>
      </c>
      <c r="R744" s="761">
        <f>'Emission-Waste Transport Vehicl'!Q80</f>
        <v>5.5547613728639993</v>
      </c>
      <c r="S744" s="761">
        <f>'Emission-Waste Transport Vehicl'!R80</f>
        <v>0.55286418052800002</v>
      </c>
      <c r="T744" s="761">
        <f>'Emission-Waste Transport Vehicl'!S80</f>
        <v>2.5423045781760002E-2</v>
      </c>
      <c r="U744" s="174">
        <f t="shared" si="317"/>
        <v>-5513.6984448631547</v>
      </c>
      <c r="V744" s="174">
        <f t="shared" si="310"/>
        <v>-544.79297741393464</v>
      </c>
      <c r="W744" s="174">
        <f t="shared" si="311"/>
        <v>-590.15260902321336</v>
      </c>
      <c r="X744" s="174">
        <f t="shared" si="312"/>
        <v>466.32882434608626</v>
      </c>
      <c r="Y744" s="174">
        <f t="shared" si="313"/>
        <v>-553.2056288768789</v>
      </c>
      <c r="Z744" s="174">
        <f t="shared" si="314"/>
        <v>-144.18444477651343</v>
      </c>
      <c r="AA744" s="174">
        <f t="shared" si="315"/>
        <v>7.4589905683597788</v>
      </c>
      <c r="AB744" s="2987"/>
      <c r="AC744" s="3015"/>
    </row>
    <row r="745" spans="1:29" ht="18.75" x14ac:dyDescent="0.25">
      <c r="A745" s="2990"/>
      <c r="B745" s="2993"/>
      <c r="C745" s="1863">
        <v>2067</v>
      </c>
      <c r="D745" s="218">
        <f t="shared" si="318"/>
        <v>-130397.70874540422</v>
      </c>
      <c r="E745" s="218">
        <f t="shared" si="308"/>
        <v>76673.852742297691</v>
      </c>
      <c r="F745" s="218">
        <f t="shared" si="309"/>
        <v>-3118.3960057919703</v>
      </c>
      <c r="G745" s="218">
        <f t="shared" si="319"/>
        <v>-42.379255342256378</v>
      </c>
      <c r="H745" s="218">
        <f t="shared" si="320"/>
        <v>-31.556245516387818</v>
      </c>
      <c r="I745" s="218">
        <f t="shared" si="321"/>
        <v>65.198854372702172</v>
      </c>
      <c r="J745" s="218">
        <f t="shared" si="322"/>
        <v>-99.591250054302449</v>
      </c>
      <c r="K745" s="218">
        <f t="shared" si="323"/>
        <v>-260.7954174908084</v>
      </c>
      <c r="L745" s="218">
        <f t="shared" si="324"/>
        <v>293.39484467715903</v>
      </c>
      <c r="M745" s="764">
        <f t="shared" si="316"/>
        <v>-56.842252008898505</v>
      </c>
      <c r="N745" s="1863">
        <v>97</v>
      </c>
      <c r="O745" s="761">
        <f>'Emission-Waste Transport Vehicl'!N81</f>
        <v>12.600880720560001</v>
      </c>
      <c r="P745" s="761">
        <f>'Emission-Waste Transport Vehicl'!O81</f>
        <v>18.331657153920002</v>
      </c>
      <c r="Q745" s="761">
        <f>'Emission-Waste Transport Vehicl'!P81</f>
        <v>7.0109200893600008</v>
      </c>
      <c r="R745" s="761">
        <f>'Emission-Waste Transport Vehicl'!Q81</f>
        <v>5.4448776835200006</v>
      </c>
      <c r="S745" s="761">
        <f>'Emission-Waste Transport Vehicl'!R81</f>
        <v>0.5419274810400001</v>
      </c>
      <c r="T745" s="761">
        <f>'Emission-Waste Transport Vehicl'!S81</f>
        <v>2.4920129836800003E-2</v>
      </c>
      <c r="U745" s="174">
        <f t="shared" si="317"/>
        <v>-5513.6984448631547</v>
      </c>
      <c r="V745" s="174">
        <f t="shared" si="310"/>
        <v>-534.01594159392778</v>
      </c>
      <c r="W745" s="174">
        <f t="shared" si="311"/>
        <v>-578.47827387134669</v>
      </c>
      <c r="X745" s="174">
        <f t="shared" si="312"/>
        <v>457.10395792483479</v>
      </c>
      <c r="Y745" s="174">
        <f t="shared" si="313"/>
        <v>-542.26217489453143</v>
      </c>
      <c r="Z745" s="174">
        <f t="shared" si="314"/>
        <v>-141.33220366756899</v>
      </c>
      <c r="AA745" s="174">
        <f t="shared" si="315"/>
        <v>7.3114376228025737</v>
      </c>
      <c r="AB745" s="2987"/>
      <c r="AC745" s="3015"/>
    </row>
    <row r="746" spans="1:29" ht="18.75" x14ac:dyDescent="0.25">
      <c r="A746" s="2990"/>
      <c r="B746" s="2993"/>
      <c r="C746" s="1863">
        <v>2068</v>
      </c>
      <c r="D746" s="218">
        <f t="shared" si="318"/>
        <v>-130397.70874540422</v>
      </c>
      <c r="E746" s="218">
        <f t="shared" si="308"/>
        <v>76673.852742297691</v>
      </c>
      <c r="F746" s="218">
        <f t="shared" si="309"/>
        <v>-3118.3960057919703</v>
      </c>
      <c r="G746" s="218">
        <f t="shared" si="319"/>
        <v>-42.379255342256378</v>
      </c>
      <c r="H746" s="218">
        <f t="shared" si="320"/>
        <v>-31.556245516387818</v>
      </c>
      <c r="I746" s="218">
        <f t="shared" si="321"/>
        <v>65.198854372702172</v>
      </c>
      <c r="J746" s="218">
        <f t="shared" si="322"/>
        <v>-99.591250054302449</v>
      </c>
      <c r="K746" s="218">
        <f t="shared" si="323"/>
        <v>-260.7954174908084</v>
      </c>
      <c r="L746" s="218">
        <f t="shared" si="324"/>
        <v>293.39484467715903</v>
      </c>
      <c r="M746" s="764">
        <f t="shared" si="316"/>
        <v>-56.842252008898505</v>
      </c>
      <c r="N746" s="1863">
        <v>97</v>
      </c>
      <c r="O746" s="761">
        <f>'Emission-Waste Transport Vehicl'!N82</f>
        <v>12.356361689760002</v>
      </c>
      <c r="P746" s="761">
        <f>'Emission-Waste Transport Vehicl'!O82</f>
        <v>17.975932888320003</v>
      </c>
      <c r="Q746" s="761">
        <f>'Emission-Waste Transport Vehicl'!P82</f>
        <v>6.8748737745600002</v>
      </c>
      <c r="R746" s="761">
        <f>'Emission-Waste Transport Vehicl'!Q82</f>
        <v>5.339220289920001</v>
      </c>
      <c r="S746" s="761">
        <f>'Emission-Waste Transport Vehicl'!R82</f>
        <v>0.53141142384000006</v>
      </c>
      <c r="T746" s="761">
        <f>'Emission-Waste Transport Vehicl'!S82</f>
        <v>2.4436556812800003E-2</v>
      </c>
      <c r="U746" s="174">
        <f t="shared" si="317"/>
        <v>-5513.6984448631547</v>
      </c>
      <c r="V746" s="174">
        <f t="shared" si="310"/>
        <v>-523.65340715161358</v>
      </c>
      <c r="W746" s="174">
        <f t="shared" si="311"/>
        <v>-567.25295160993642</v>
      </c>
      <c r="X746" s="174">
        <f t="shared" si="312"/>
        <v>448.23389405824673</v>
      </c>
      <c r="Y746" s="174">
        <f t="shared" si="313"/>
        <v>-531.73962298842798</v>
      </c>
      <c r="Z746" s="174">
        <f t="shared" si="314"/>
        <v>-138.58966413973775</v>
      </c>
      <c r="AA746" s="174">
        <f t="shared" si="315"/>
        <v>7.1695597905360291</v>
      </c>
      <c r="AB746" s="2987"/>
      <c r="AC746" s="3015"/>
    </row>
    <row r="747" spans="1:29" ht="19.5" thickBot="1" x14ac:dyDescent="0.3">
      <c r="A747" s="2991"/>
      <c r="B747" s="2994"/>
      <c r="C747" s="1864">
        <v>2069</v>
      </c>
      <c r="D747" s="222">
        <f t="shared" si="318"/>
        <v>-130397.70874540422</v>
      </c>
      <c r="E747" s="222">
        <f t="shared" si="308"/>
        <v>76673.852742297691</v>
      </c>
      <c r="F747" s="222">
        <f t="shared" si="309"/>
        <v>-3118.3960057919703</v>
      </c>
      <c r="G747" s="222">
        <f t="shared" si="319"/>
        <v>-42.379255342256378</v>
      </c>
      <c r="H747" s="222">
        <f t="shared" si="320"/>
        <v>-31.556245516387818</v>
      </c>
      <c r="I747" s="222">
        <f t="shared" si="321"/>
        <v>65.198854372702172</v>
      </c>
      <c r="J747" s="222">
        <f t="shared" si="322"/>
        <v>-99.591250054302449</v>
      </c>
      <c r="K747" s="222">
        <f t="shared" si="323"/>
        <v>-260.7954174908084</v>
      </c>
      <c r="L747" s="222">
        <f t="shared" si="324"/>
        <v>293.39484467715903</v>
      </c>
      <c r="M747" s="759">
        <f t="shared" si="316"/>
        <v>-56.842252008898505</v>
      </c>
      <c r="N747" s="1864">
        <v>97</v>
      </c>
      <c r="O747" s="767">
        <f>'Emission-Waste Transport Vehicl'!N83</f>
        <v>12.111842658960002</v>
      </c>
      <c r="P747" s="767">
        <f>'Emission-Waste Transport Vehicl'!O83</f>
        <v>17.62020862272</v>
      </c>
      <c r="Q747" s="767">
        <f>'Emission-Waste Transport Vehicl'!P83</f>
        <v>6.7388274597600004</v>
      </c>
      <c r="R747" s="767">
        <f>'Emission-Waste Transport Vehicl'!Q83</f>
        <v>5.2335628963200005</v>
      </c>
      <c r="S747" s="767">
        <f>'Emission-Waste Transport Vehicl'!R83</f>
        <v>0.52089536664000002</v>
      </c>
      <c r="T747" s="767">
        <f>'Emission-Waste Transport Vehicl'!S83</f>
        <v>2.3952983788800002E-2</v>
      </c>
      <c r="U747" s="647">
        <f t="shared" si="317"/>
        <v>-5513.6984448631547</v>
      </c>
      <c r="V747" s="647">
        <f t="shared" si="310"/>
        <v>-513.29087270929938</v>
      </c>
      <c r="W747" s="647">
        <f t="shared" si="311"/>
        <v>-556.02762934852592</v>
      </c>
      <c r="X747" s="647">
        <f t="shared" si="312"/>
        <v>439.36383019165879</v>
      </c>
      <c r="Y747" s="647">
        <f t="shared" si="313"/>
        <v>-521.21707108232454</v>
      </c>
      <c r="Z747" s="647">
        <f t="shared" si="314"/>
        <v>-135.84712461190651</v>
      </c>
      <c r="AA747" s="647">
        <f t="shared" si="315"/>
        <v>7.0276819582694845</v>
      </c>
      <c r="AB747" s="2996"/>
      <c r="AC747" s="3015"/>
    </row>
    <row r="748" spans="1:29" ht="18.75" x14ac:dyDescent="0.25">
      <c r="A748" s="2989" t="s">
        <v>181</v>
      </c>
      <c r="B748" s="2992" t="s">
        <v>1802</v>
      </c>
      <c r="C748" s="1862">
        <v>2019</v>
      </c>
      <c r="D748" s="216">
        <f t="shared" ref="D748:D779" si="325">$AC$25</f>
        <v>-200152.62764053611</v>
      </c>
      <c r="E748" s="216">
        <f>$AB$25*28</f>
        <v>8749.529151143437</v>
      </c>
      <c r="F748" s="216">
        <f>$AD$25*298</f>
        <v>0</v>
      </c>
      <c r="G748" s="216">
        <f t="shared" ref="G748:G779" si="326">$Y$25</f>
        <v>-6.1271212543021241</v>
      </c>
      <c r="H748" s="216">
        <f t="shared" ref="H748:H779" si="327">$Z$25</f>
        <v>-6.1271212543021241</v>
      </c>
      <c r="I748" s="216">
        <f t="shared" ref="I748:I779" si="328">$X$25</f>
        <v>-126.6271725889106</v>
      </c>
      <c r="J748" s="216">
        <f t="shared" ref="J748:J779" si="329">$AA$25</f>
        <v>-4.0847475028680842</v>
      </c>
      <c r="K748" s="216">
        <f t="shared" ref="K748:K779" si="330">$V$25</f>
        <v>-245.08485017208505</v>
      </c>
      <c r="L748" s="216">
        <f t="shared" ref="L748:L779" si="331">$W$25</f>
        <v>-1872.8567300650161</v>
      </c>
      <c r="M748" s="765">
        <f t="shared" si="316"/>
        <v>-191.40309848939268</v>
      </c>
      <c r="N748" s="1862">
        <v>62</v>
      </c>
      <c r="O748" s="766">
        <f>'Emission-Waste Transport Vehicl'!N33</f>
        <v>32.602537440000006</v>
      </c>
      <c r="P748" s="766">
        <f>'Emission-Waste Transport Vehicl'!O33</f>
        <v>47.429902080000005</v>
      </c>
      <c r="Q748" s="766">
        <f>'Emission-Waste Transport Vehicl'!P33</f>
        <v>18.139508640000003</v>
      </c>
      <c r="R748" s="766">
        <f>'Emission-Waste Transport Vehicl'!Q33</f>
        <v>14.087652480000001</v>
      </c>
      <c r="S748" s="766">
        <f>'Emission-Waste Transport Vehicl'!R33</f>
        <v>1.4021409600000001</v>
      </c>
      <c r="T748" s="766">
        <f>'Emission-Waste Transport Vehicl'!S33</f>
        <v>6.4476403200000004E-2</v>
      </c>
      <c r="U748" s="645">
        <f t="shared" si="317"/>
        <v>-11866.992106342346</v>
      </c>
      <c r="V748" s="645">
        <f t="shared" si="310"/>
        <v>-199.75970009280479</v>
      </c>
      <c r="W748" s="645">
        <f t="shared" si="311"/>
        <v>-290.60876112383653</v>
      </c>
      <c r="X748" s="645">
        <f t="shared" si="312"/>
        <v>-2296.9546912353153</v>
      </c>
      <c r="Y748" s="645">
        <f t="shared" si="313"/>
        <v>-57.544503288953379</v>
      </c>
      <c r="Z748" s="645">
        <f t="shared" si="314"/>
        <v>-343.64350710174352</v>
      </c>
      <c r="AA748" s="1859">
        <f t="shared" si="315"/>
        <v>-120.75506566350555</v>
      </c>
      <c r="AB748" s="3004">
        <f>(SUM(U748:U798)*1.2682)+(SUM(V748:V798))+(SUM(W748:W798))+(SUM(X748:X798))+(SUM(Y748:Y798))+(SUM(Z748:Z798))+(SUM(AA748:AA798))</f>
        <v>-1174121.4836206255</v>
      </c>
      <c r="AC748" s="2727"/>
    </row>
    <row r="749" spans="1:29" ht="18.75" x14ac:dyDescent="0.25">
      <c r="A749" s="2990"/>
      <c r="B749" s="2993"/>
      <c r="C749" s="1863">
        <v>2020</v>
      </c>
      <c r="D749" s="218">
        <f t="shared" si="325"/>
        <v>-200152.62764053611</v>
      </c>
      <c r="E749" s="221">
        <f t="shared" ref="E749:E798" si="332">$AB$25*28</f>
        <v>8749.529151143437</v>
      </c>
      <c r="F749" s="221">
        <f t="shared" ref="F749:F798" si="333">$AD$25*298</f>
        <v>0</v>
      </c>
      <c r="G749" s="218">
        <f t="shared" si="326"/>
        <v>-6.1271212543021241</v>
      </c>
      <c r="H749" s="218">
        <f t="shared" si="327"/>
        <v>-6.1271212543021241</v>
      </c>
      <c r="I749" s="218">
        <f t="shared" si="328"/>
        <v>-126.6271725889106</v>
      </c>
      <c r="J749" s="218">
        <f t="shared" si="329"/>
        <v>-4.0847475028680842</v>
      </c>
      <c r="K749" s="218">
        <f t="shared" si="330"/>
        <v>-245.08485017208505</v>
      </c>
      <c r="L749" s="218">
        <f t="shared" si="331"/>
        <v>-1872.8567300650161</v>
      </c>
      <c r="M749" s="764">
        <f t="shared" si="316"/>
        <v>-191.40309848939268</v>
      </c>
      <c r="N749" s="1863">
        <v>64</v>
      </c>
      <c r="O749" s="761">
        <f>'Emission-Waste Transport Vehicl'!N34</f>
        <v>31.963527706176006</v>
      </c>
      <c r="P749" s="761">
        <f>'Emission-Waste Transport Vehicl'!O34</f>
        <v>46.500275999232002</v>
      </c>
      <c r="Q749" s="761">
        <f>'Emission-Waste Transport Vehicl'!P34</f>
        <v>17.783974270656003</v>
      </c>
      <c r="R749" s="761">
        <f>'Emission-Waste Transport Vehicl'!Q34</f>
        <v>13.811534491392001</v>
      </c>
      <c r="S749" s="761">
        <f>'Emission-Waste Transport Vehicl'!R34</f>
        <v>1.3746589971840002</v>
      </c>
      <c r="T749" s="761">
        <f>'Emission-Waste Transport Vehicl'!S34</f>
        <v>6.3212665697280013E-2</v>
      </c>
      <c r="U749" s="174">
        <f t="shared" si="317"/>
        <v>-12249.798303321131</v>
      </c>
      <c r="V749" s="174">
        <f t="shared" si="310"/>
        <v>-195.84440997098582</v>
      </c>
      <c r="W749" s="174">
        <f t="shared" si="311"/>
        <v>-284.91282940580936</v>
      </c>
      <c r="X749" s="174">
        <f t="shared" si="312"/>
        <v>-2251.9343792871032</v>
      </c>
      <c r="Y749" s="174">
        <f t="shared" si="313"/>
        <v>-56.416631024489888</v>
      </c>
      <c r="Z749" s="174">
        <f t="shared" si="314"/>
        <v>-336.90809436254938</v>
      </c>
      <c r="AA749" s="1860">
        <f t="shared" si="315"/>
        <v>-118.38826637650085</v>
      </c>
      <c r="AB749" s="3005"/>
      <c r="AC749" s="2727"/>
    </row>
    <row r="750" spans="1:29" ht="18.75" x14ac:dyDescent="0.25">
      <c r="A750" s="2990"/>
      <c r="B750" s="2993"/>
      <c r="C750" s="1863">
        <v>2021</v>
      </c>
      <c r="D750" s="218">
        <f t="shared" si="325"/>
        <v>-200152.62764053611</v>
      </c>
      <c r="E750" s="221">
        <f t="shared" si="332"/>
        <v>8749.529151143437</v>
      </c>
      <c r="F750" s="221">
        <f t="shared" si="333"/>
        <v>0</v>
      </c>
      <c r="G750" s="218">
        <f t="shared" si="326"/>
        <v>-6.1271212543021241</v>
      </c>
      <c r="H750" s="218">
        <f t="shared" si="327"/>
        <v>-6.1271212543021241</v>
      </c>
      <c r="I750" s="218">
        <f t="shared" si="328"/>
        <v>-126.6271725889106</v>
      </c>
      <c r="J750" s="218">
        <f t="shared" si="329"/>
        <v>-4.0847475028680842</v>
      </c>
      <c r="K750" s="218">
        <f t="shared" si="330"/>
        <v>-245.08485017208505</v>
      </c>
      <c r="L750" s="218">
        <f t="shared" si="331"/>
        <v>-1872.8567300650161</v>
      </c>
      <c r="M750" s="764">
        <f t="shared" si="316"/>
        <v>-191.40309848939268</v>
      </c>
      <c r="N750" s="1863">
        <v>65</v>
      </c>
      <c r="O750" s="761">
        <f>'Emission-Waste Transport Vehicl'!N35</f>
        <v>31.337558987328006</v>
      </c>
      <c r="P750" s="761">
        <f>'Emission-Waste Transport Vehicl'!O35</f>
        <v>45.589621879296011</v>
      </c>
      <c r="Q750" s="761">
        <f>'Emission-Waste Transport Vehicl'!P35</f>
        <v>17.435695704768001</v>
      </c>
      <c r="R750" s="761">
        <f>'Emission-Waste Transport Vehicl'!Q35</f>
        <v>13.541051563776001</v>
      </c>
      <c r="S750" s="761">
        <f>'Emission-Waste Transport Vehicl'!R35</f>
        <v>1.3477378907520003</v>
      </c>
      <c r="T750" s="761">
        <f>'Emission-Waste Transport Vehicl'!S35</f>
        <v>6.1974718755840007E-2</v>
      </c>
      <c r="U750" s="174">
        <f t="shared" si="317"/>
        <v>-12441.201401810524</v>
      </c>
      <c r="V750" s="174">
        <f t="shared" si="310"/>
        <v>-192.00902372920396</v>
      </c>
      <c r="W750" s="174">
        <f t="shared" si="311"/>
        <v>-279.33314119223172</v>
      </c>
      <c r="X750" s="174">
        <f t="shared" si="312"/>
        <v>-2207.8328492153851</v>
      </c>
      <c r="Y750" s="174">
        <f t="shared" si="313"/>
        <v>-55.311776561341986</v>
      </c>
      <c r="Z750" s="174">
        <f t="shared" si="314"/>
        <v>-330.31013902619594</v>
      </c>
      <c r="AA750" s="1860">
        <f t="shared" si="315"/>
        <v>-116.06976911576155</v>
      </c>
      <c r="AB750" s="3005"/>
      <c r="AC750" s="2727"/>
    </row>
    <row r="751" spans="1:29" ht="18.75" x14ac:dyDescent="0.25">
      <c r="A751" s="2990"/>
      <c r="B751" s="2993"/>
      <c r="C751" s="1863">
        <v>2022</v>
      </c>
      <c r="D751" s="218">
        <f t="shared" si="325"/>
        <v>-200152.62764053611</v>
      </c>
      <c r="E751" s="221">
        <f t="shared" si="332"/>
        <v>8749.529151143437</v>
      </c>
      <c r="F751" s="221">
        <f t="shared" si="333"/>
        <v>0</v>
      </c>
      <c r="G751" s="218">
        <f t="shared" si="326"/>
        <v>-6.1271212543021241</v>
      </c>
      <c r="H751" s="218">
        <f t="shared" si="327"/>
        <v>-6.1271212543021241</v>
      </c>
      <c r="I751" s="218">
        <f t="shared" si="328"/>
        <v>-126.6271725889106</v>
      </c>
      <c r="J751" s="218">
        <f t="shared" si="329"/>
        <v>-4.0847475028680842</v>
      </c>
      <c r="K751" s="218">
        <f t="shared" si="330"/>
        <v>-245.08485017208505</v>
      </c>
      <c r="L751" s="218">
        <f t="shared" si="331"/>
        <v>-1872.8567300650161</v>
      </c>
      <c r="M751" s="764">
        <f t="shared" si="316"/>
        <v>-191.40309848939268</v>
      </c>
      <c r="N751" s="1863">
        <v>66</v>
      </c>
      <c r="O751" s="761">
        <f>'Emission-Waste Transport Vehicl'!N36</f>
        <v>30.721371029712003</v>
      </c>
      <c r="P751" s="761">
        <f>'Emission-Waste Transport Vehicl'!O36</f>
        <v>44.693196729984003</v>
      </c>
      <c r="Q751" s="761">
        <f>'Emission-Waste Transport Vehicl'!P36</f>
        <v>17.092858991472003</v>
      </c>
      <c r="R751" s="761">
        <f>'Emission-Waste Transport Vehicl'!Q36</f>
        <v>13.274794931903999</v>
      </c>
      <c r="S751" s="761">
        <f>'Emission-Waste Transport Vehicl'!R36</f>
        <v>1.3212374266080003</v>
      </c>
      <c r="T751" s="761">
        <f>'Emission-Waste Transport Vehicl'!S36</f>
        <v>6.0756114735360002E-2</v>
      </c>
      <c r="U751" s="174">
        <f t="shared" si="317"/>
        <v>-12632.604500299916</v>
      </c>
      <c r="V751" s="174">
        <f t="shared" si="310"/>
        <v>-188.23356539744995</v>
      </c>
      <c r="W751" s="174">
        <f t="shared" si="311"/>
        <v>-273.84063560699116</v>
      </c>
      <c r="X751" s="174">
        <f t="shared" si="312"/>
        <v>-2164.4204055510377</v>
      </c>
      <c r="Y751" s="174">
        <f t="shared" si="313"/>
        <v>-54.224185449180759</v>
      </c>
      <c r="Z751" s="174">
        <f t="shared" si="314"/>
        <v>-323.81527674197298</v>
      </c>
      <c r="AA751" s="1860">
        <f t="shared" si="315"/>
        <v>-113.78749837472128</v>
      </c>
      <c r="AB751" s="3005"/>
      <c r="AC751" s="2727"/>
    </row>
    <row r="752" spans="1:29" ht="18.75" x14ac:dyDescent="0.25">
      <c r="A752" s="2990"/>
      <c r="B752" s="2993"/>
      <c r="C752" s="1863">
        <v>2023</v>
      </c>
      <c r="D752" s="218">
        <f t="shared" si="325"/>
        <v>-200152.62764053611</v>
      </c>
      <c r="E752" s="221">
        <f t="shared" si="332"/>
        <v>8749.529151143437</v>
      </c>
      <c r="F752" s="221">
        <f t="shared" si="333"/>
        <v>0</v>
      </c>
      <c r="G752" s="218">
        <f t="shared" si="326"/>
        <v>-6.1271212543021241</v>
      </c>
      <c r="H752" s="218">
        <f t="shared" si="327"/>
        <v>-6.1271212543021241</v>
      </c>
      <c r="I752" s="218">
        <f t="shared" si="328"/>
        <v>-126.6271725889106</v>
      </c>
      <c r="J752" s="218">
        <f t="shared" si="329"/>
        <v>-4.0847475028680842</v>
      </c>
      <c r="K752" s="218">
        <f t="shared" si="330"/>
        <v>-245.08485017208505</v>
      </c>
      <c r="L752" s="218">
        <f t="shared" si="331"/>
        <v>-1872.8567300650161</v>
      </c>
      <c r="M752" s="764">
        <f t="shared" si="316"/>
        <v>-191.40309848939268</v>
      </c>
      <c r="N752" s="1863">
        <v>67</v>
      </c>
      <c r="O752" s="761">
        <f>'Emission-Waste Transport Vehicl'!N37</f>
        <v>30.118224087072001</v>
      </c>
      <c r="P752" s="761">
        <f>'Emission-Waste Transport Vehicl'!O37</f>
        <v>43.815743541504006</v>
      </c>
      <c r="Q752" s="761">
        <f>'Emission-Waste Transport Vehicl'!P37</f>
        <v>16.757278081632002</v>
      </c>
      <c r="R752" s="761">
        <f>'Emission-Waste Transport Vehicl'!Q37</f>
        <v>13.014173361024</v>
      </c>
      <c r="S752" s="761">
        <f>'Emission-Waste Transport Vehicl'!R37</f>
        <v>1.295297818848</v>
      </c>
      <c r="T752" s="761">
        <f>'Emission-Waste Transport Vehicl'!S37</f>
        <v>5.9563301276160004E-2</v>
      </c>
      <c r="U752" s="174">
        <f t="shared" si="317"/>
        <v>-12824.007598789309</v>
      </c>
      <c r="V752" s="174">
        <f t="shared" si="310"/>
        <v>-184.53801094573305</v>
      </c>
      <c r="W752" s="174">
        <f t="shared" si="311"/>
        <v>-268.46437352620023</v>
      </c>
      <c r="X752" s="174">
        <f t="shared" si="312"/>
        <v>-2121.9267437631843</v>
      </c>
      <c r="Y752" s="174">
        <f t="shared" si="313"/>
        <v>-53.159612138335127</v>
      </c>
      <c r="Z752" s="174">
        <f t="shared" si="314"/>
        <v>-317.45787186059067</v>
      </c>
      <c r="AA752" s="1860">
        <f t="shared" si="315"/>
        <v>-111.55352965994642</v>
      </c>
      <c r="AB752" s="3005"/>
      <c r="AC752" s="2727"/>
    </row>
    <row r="753" spans="1:29" ht="18.75" x14ac:dyDescent="0.25">
      <c r="A753" s="2990"/>
      <c r="B753" s="2993"/>
      <c r="C753" s="1863">
        <v>2024</v>
      </c>
      <c r="D753" s="218">
        <f t="shared" si="325"/>
        <v>-200152.62764053611</v>
      </c>
      <c r="E753" s="221">
        <f t="shared" si="332"/>
        <v>8749.529151143437</v>
      </c>
      <c r="F753" s="221">
        <f t="shared" si="333"/>
        <v>0</v>
      </c>
      <c r="G753" s="218">
        <f t="shared" si="326"/>
        <v>-6.1271212543021241</v>
      </c>
      <c r="H753" s="218">
        <f t="shared" si="327"/>
        <v>-6.1271212543021241</v>
      </c>
      <c r="I753" s="218">
        <f t="shared" si="328"/>
        <v>-126.6271725889106</v>
      </c>
      <c r="J753" s="218">
        <f t="shared" si="329"/>
        <v>-4.0847475028680842</v>
      </c>
      <c r="K753" s="218">
        <f t="shared" si="330"/>
        <v>-245.08485017208505</v>
      </c>
      <c r="L753" s="218">
        <f t="shared" si="331"/>
        <v>-1872.8567300650161</v>
      </c>
      <c r="M753" s="764">
        <f t="shared" si="316"/>
        <v>-191.40309848939268</v>
      </c>
      <c r="N753" s="1863">
        <v>68</v>
      </c>
      <c r="O753" s="761">
        <f>'Emission-Waste Transport Vehicl'!N38</f>
        <v>29.528118159408002</v>
      </c>
      <c r="P753" s="761">
        <f>'Emission-Waste Transport Vehicl'!O38</f>
        <v>42.957262313856006</v>
      </c>
      <c r="Q753" s="761">
        <f>'Emission-Waste Transport Vehicl'!P38</f>
        <v>16.428952975248002</v>
      </c>
      <c r="R753" s="761">
        <f>'Emission-Waste Transport Vehicl'!Q38</f>
        <v>12.759186851135999</v>
      </c>
      <c r="S753" s="761">
        <f>'Emission-Waste Transport Vehicl'!R38</f>
        <v>1.269919067472</v>
      </c>
      <c r="T753" s="761">
        <f>'Emission-Waste Transport Vehicl'!S38</f>
        <v>5.8396278378240005E-2</v>
      </c>
      <c r="U753" s="174">
        <f t="shared" si="317"/>
        <v>-13015.410697278701</v>
      </c>
      <c r="V753" s="174">
        <f t="shared" si="310"/>
        <v>-180.92236037405328</v>
      </c>
      <c r="W753" s="174">
        <f t="shared" si="311"/>
        <v>-263.20435494985878</v>
      </c>
      <c r="X753" s="174">
        <f t="shared" si="312"/>
        <v>-2080.3518638518249</v>
      </c>
      <c r="Y753" s="174">
        <f t="shared" si="313"/>
        <v>-52.118056628805064</v>
      </c>
      <c r="Z753" s="174">
        <f t="shared" si="314"/>
        <v>-311.23792438204907</v>
      </c>
      <c r="AA753" s="1860">
        <f t="shared" si="315"/>
        <v>-109.36786297143698</v>
      </c>
      <c r="AB753" s="3005"/>
      <c r="AC753" s="2727"/>
    </row>
    <row r="754" spans="1:29" ht="18.75" x14ac:dyDescent="0.25">
      <c r="A754" s="2990"/>
      <c r="B754" s="2993"/>
      <c r="C754" s="1863">
        <v>2025</v>
      </c>
      <c r="D754" s="218">
        <f t="shared" si="325"/>
        <v>-200152.62764053611</v>
      </c>
      <c r="E754" s="221">
        <f t="shared" si="332"/>
        <v>8749.529151143437</v>
      </c>
      <c r="F754" s="221">
        <f t="shared" si="333"/>
        <v>0</v>
      </c>
      <c r="G754" s="218">
        <f t="shared" si="326"/>
        <v>-6.1271212543021241</v>
      </c>
      <c r="H754" s="218">
        <f t="shared" si="327"/>
        <v>-6.1271212543021241</v>
      </c>
      <c r="I754" s="218">
        <f t="shared" si="328"/>
        <v>-126.6271725889106</v>
      </c>
      <c r="J754" s="218">
        <f t="shared" si="329"/>
        <v>-4.0847475028680842</v>
      </c>
      <c r="K754" s="218">
        <f t="shared" si="330"/>
        <v>-245.08485017208505</v>
      </c>
      <c r="L754" s="218">
        <f t="shared" si="331"/>
        <v>-1872.8567300650161</v>
      </c>
      <c r="M754" s="764">
        <f t="shared" si="316"/>
        <v>-191.40309848939268</v>
      </c>
      <c r="N754" s="1863">
        <v>69</v>
      </c>
      <c r="O754" s="761">
        <f>'Emission-Waste Transport Vehicl'!N39</f>
        <v>28.951053246720004</v>
      </c>
      <c r="P754" s="761">
        <f>'Emission-Waste Transport Vehicl'!O39</f>
        <v>42.117753047040004</v>
      </c>
      <c r="Q754" s="761">
        <f>'Emission-Waste Transport Vehicl'!P39</f>
        <v>16.10788367232</v>
      </c>
      <c r="R754" s="761">
        <f>'Emission-Waste Transport Vehicl'!Q39</f>
        <v>12.50983540224</v>
      </c>
      <c r="S754" s="761">
        <f>'Emission-Waste Transport Vehicl'!R39</f>
        <v>1.2451011724800001</v>
      </c>
      <c r="T754" s="761">
        <f>'Emission-Waste Transport Vehicl'!S39</f>
        <v>5.7255046041600005E-2</v>
      </c>
      <c r="U754" s="174">
        <f t="shared" si="317"/>
        <v>-13206.813795768094</v>
      </c>
      <c r="V754" s="174">
        <f t="shared" si="310"/>
        <v>-177.38661368241065</v>
      </c>
      <c r="W754" s="174">
        <f t="shared" si="311"/>
        <v>-258.06057987796686</v>
      </c>
      <c r="X754" s="174">
        <f t="shared" si="312"/>
        <v>-2039.6957658169597</v>
      </c>
      <c r="Y754" s="174">
        <f t="shared" si="313"/>
        <v>-51.099518920590597</v>
      </c>
      <c r="Z754" s="174">
        <f t="shared" si="314"/>
        <v>-305.15543430634824</v>
      </c>
      <c r="AA754" s="1860">
        <f t="shared" si="315"/>
        <v>-107.23049830919292</v>
      </c>
      <c r="AB754" s="3005"/>
      <c r="AC754" s="2727"/>
    </row>
    <row r="755" spans="1:29" ht="18.75" x14ac:dyDescent="0.25">
      <c r="A755" s="2990"/>
      <c r="B755" s="2993"/>
      <c r="C755" s="1863">
        <v>2026</v>
      </c>
      <c r="D755" s="218">
        <f t="shared" si="325"/>
        <v>-200152.62764053611</v>
      </c>
      <c r="E755" s="221">
        <f t="shared" si="332"/>
        <v>8749.529151143437</v>
      </c>
      <c r="F755" s="221">
        <f t="shared" si="333"/>
        <v>0</v>
      </c>
      <c r="G755" s="218">
        <f t="shared" si="326"/>
        <v>-6.1271212543021241</v>
      </c>
      <c r="H755" s="218">
        <f t="shared" si="327"/>
        <v>-6.1271212543021241</v>
      </c>
      <c r="I755" s="218">
        <f t="shared" si="328"/>
        <v>-126.6271725889106</v>
      </c>
      <c r="J755" s="218">
        <f t="shared" si="329"/>
        <v>-4.0847475028680842</v>
      </c>
      <c r="K755" s="218">
        <f t="shared" si="330"/>
        <v>-245.08485017208505</v>
      </c>
      <c r="L755" s="218">
        <f t="shared" si="331"/>
        <v>-1872.8567300650161</v>
      </c>
      <c r="M755" s="764">
        <f t="shared" si="316"/>
        <v>-191.40309848939268</v>
      </c>
      <c r="N755" s="1863">
        <v>70</v>
      </c>
      <c r="O755" s="761">
        <f>'Emission-Waste Transport Vehicl'!N40</f>
        <v>28.383769095264007</v>
      </c>
      <c r="P755" s="761">
        <f>'Emission-Waste Transport Vehicl'!O40</f>
        <v>41.292472750848006</v>
      </c>
      <c r="Q755" s="761">
        <f>'Emission-Waste Transport Vehicl'!P40</f>
        <v>15.792256221984003</v>
      </c>
      <c r="R755" s="761">
        <f>'Emission-Waste Transport Vehicl'!Q40</f>
        <v>12.264710249088001</v>
      </c>
      <c r="S755" s="761">
        <f>'Emission-Waste Transport Vehicl'!R40</f>
        <v>1.2207039197760001</v>
      </c>
      <c r="T755" s="761">
        <f>'Emission-Waste Transport Vehicl'!S40</f>
        <v>5.6133156625920007E-2</v>
      </c>
      <c r="U755" s="174">
        <f t="shared" si="317"/>
        <v>-13398.216894257488</v>
      </c>
      <c r="V755" s="174">
        <f t="shared" si="310"/>
        <v>-173.91079490079588</v>
      </c>
      <c r="W755" s="174">
        <f t="shared" si="311"/>
        <v>-253.00398743441212</v>
      </c>
      <c r="X755" s="174">
        <f t="shared" si="312"/>
        <v>-1999.7287541894655</v>
      </c>
      <c r="Y755" s="174">
        <f t="shared" si="313"/>
        <v>-50.098244563362812</v>
      </c>
      <c r="Z755" s="174">
        <f t="shared" si="314"/>
        <v>-299.17603728277794</v>
      </c>
      <c r="AA755" s="1860">
        <f t="shared" si="315"/>
        <v>-105.12936016664794</v>
      </c>
      <c r="AB755" s="3005"/>
      <c r="AC755" s="2727"/>
    </row>
    <row r="756" spans="1:29" ht="18.75" x14ac:dyDescent="0.25">
      <c r="A756" s="2990"/>
      <c r="B756" s="2993"/>
      <c r="C756" s="1863">
        <v>2027</v>
      </c>
      <c r="D756" s="218">
        <f t="shared" si="325"/>
        <v>-200152.62764053611</v>
      </c>
      <c r="E756" s="221">
        <f t="shared" si="332"/>
        <v>8749.529151143437</v>
      </c>
      <c r="F756" s="221">
        <f t="shared" si="333"/>
        <v>0</v>
      </c>
      <c r="G756" s="218">
        <f t="shared" si="326"/>
        <v>-6.1271212543021241</v>
      </c>
      <c r="H756" s="218">
        <f t="shared" si="327"/>
        <v>-6.1271212543021241</v>
      </c>
      <c r="I756" s="218">
        <f t="shared" si="328"/>
        <v>-126.6271725889106</v>
      </c>
      <c r="J756" s="218">
        <f t="shared" si="329"/>
        <v>-4.0847475028680842</v>
      </c>
      <c r="K756" s="218">
        <f t="shared" si="330"/>
        <v>-245.08485017208505</v>
      </c>
      <c r="L756" s="218">
        <f t="shared" si="331"/>
        <v>-1872.8567300650161</v>
      </c>
      <c r="M756" s="764">
        <f t="shared" si="316"/>
        <v>-191.40309848939268</v>
      </c>
      <c r="N756" s="1863">
        <v>71</v>
      </c>
      <c r="O756" s="761">
        <f>'Emission-Waste Transport Vehicl'!N41</f>
        <v>27.826265705040004</v>
      </c>
      <c r="P756" s="761">
        <f>'Emission-Waste Transport Vehicl'!O41</f>
        <v>40.481421425280004</v>
      </c>
      <c r="Q756" s="761">
        <f>'Emission-Waste Transport Vehicl'!P41</f>
        <v>15.482070624240002</v>
      </c>
      <c r="R756" s="761">
        <f>'Emission-Waste Transport Vehicl'!Q41</f>
        <v>12.023811391680001</v>
      </c>
      <c r="S756" s="761">
        <f>'Emission-Waste Transport Vehicl'!R41</f>
        <v>1.1967273093600002</v>
      </c>
      <c r="T756" s="761">
        <f>'Emission-Waste Transport Vehicl'!S41</f>
        <v>5.503061013120001E-2</v>
      </c>
      <c r="U756" s="174">
        <f t="shared" si="317"/>
        <v>-13589.619992746881</v>
      </c>
      <c r="V756" s="174">
        <f t="shared" si="310"/>
        <v>-170.4949040292089</v>
      </c>
      <c r="W756" s="174">
        <f t="shared" si="311"/>
        <v>-248.03457761919449</v>
      </c>
      <c r="X756" s="174">
        <f t="shared" si="312"/>
        <v>-1960.4508289693415</v>
      </c>
      <c r="Y756" s="174">
        <f t="shared" si="313"/>
        <v>-49.114233557121707</v>
      </c>
      <c r="Z756" s="174">
        <f t="shared" si="314"/>
        <v>-293.29973331133812</v>
      </c>
      <c r="AA756" s="1860">
        <f t="shared" si="315"/>
        <v>-103.064448543802</v>
      </c>
      <c r="AB756" s="3005"/>
      <c r="AC756" s="2727"/>
    </row>
    <row r="757" spans="1:29" ht="18.75" x14ac:dyDescent="0.25">
      <c r="A757" s="2990"/>
      <c r="B757" s="2993"/>
      <c r="C757" s="1863">
        <v>2028</v>
      </c>
      <c r="D757" s="218">
        <f t="shared" si="325"/>
        <v>-200152.62764053611</v>
      </c>
      <c r="E757" s="221">
        <f t="shared" si="332"/>
        <v>8749.529151143437</v>
      </c>
      <c r="F757" s="221">
        <f t="shared" si="333"/>
        <v>0</v>
      </c>
      <c r="G757" s="218">
        <f t="shared" si="326"/>
        <v>-6.1271212543021241</v>
      </c>
      <c r="H757" s="218">
        <f t="shared" si="327"/>
        <v>-6.1271212543021241</v>
      </c>
      <c r="I757" s="218">
        <f t="shared" si="328"/>
        <v>-126.6271725889106</v>
      </c>
      <c r="J757" s="218">
        <f t="shared" si="329"/>
        <v>-4.0847475028680842</v>
      </c>
      <c r="K757" s="218">
        <f t="shared" si="330"/>
        <v>-245.08485017208505</v>
      </c>
      <c r="L757" s="218">
        <f t="shared" si="331"/>
        <v>-1872.8567300650161</v>
      </c>
      <c r="M757" s="764">
        <f t="shared" si="316"/>
        <v>-191.40309848939268</v>
      </c>
      <c r="N757" s="1863">
        <v>72</v>
      </c>
      <c r="O757" s="761">
        <f>'Emission-Waste Transport Vehicl'!N42</f>
        <v>27.281803329792002</v>
      </c>
      <c r="P757" s="761">
        <f>'Emission-Waste Transport Vehicl'!O42</f>
        <v>39.689342060544</v>
      </c>
      <c r="Q757" s="761">
        <f>'Emission-Waste Transport Vehicl'!P42</f>
        <v>15.179140829952001</v>
      </c>
      <c r="R757" s="761">
        <f>'Emission-Waste Transport Vehicl'!Q42</f>
        <v>11.788547595263999</v>
      </c>
      <c r="S757" s="761">
        <f>'Emission-Waste Transport Vehicl'!R42</f>
        <v>1.173311555328</v>
      </c>
      <c r="T757" s="761">
        <f>'Emission-Waste Transport Vehicl'!S42</f>
        <v>5.3953854197759998E-2</v>
      </c>
      <c r="U757" s="174">
        <f t="shared" si="317"/>
        <v>-13781.023091236273</v>
      </c>
      <c r="V757" s="174">
        <f t="shared" si="310"/>
        <v>-167.15891703765902</v>
      </c>
      <c r="W757" s="174">
        <f t="shared" si="311"/>
        <v>-243.18141130842639</v>
      </c>
      <c r="X757" s="174">
        <f t="shared" si="312"/>
        <v>-1922.0916856257115</v>
      </c>
      <c r="Y757" s="174">
        <f t="shared" si="313"/>
        <v>-48.153240352196178</v>
      </c>
      <c r="Z757" s="174">
        <f t="shared" si="314"/>
        <v>-287.56088674273894</v>
      </c>
      <c r="AA757" s="1860">
        <f t="shared" si="315"/>
        <v>-101.04783894722144</v>
      </c>
      <c r="AB757" s="3005"/>
      <c r="AC757" s="2727"/>
    </row>
    <row r="758" spans="1:29" ht="18.75" x14ac:dyDescent="0.25">
      <c r="A758" s="2990"/>
      <c r="B758" s="2993"/>
      <c r="C758" s="1863">
        <v>2029</v>
      </c>
      <c r="D758" s="218">
        <f t="shared" si="325"/>
        <v>-200152.62764053611</v>
      </c>
      <c r="E758" s="221">
        <f t="shared" si="332"/>
        <v>8749.529151143437</v>
      </c>
      <c r="F758" s="221">
        <f t="shared" si="333"/>
        <v>0</v>
      </c>
      <c r="G758" s="218">
        <f t="shared" si="326"/>
        <v>-6.1271212543021241</v>
      </c>
      <c r="H758" s="218">
        <f t="shared" si="327"/>
        <v>-6.1271212543021241</v>
      </c>
      <c r="I758" s="218">
        <f t="shared" si="328"/>
        <v>-126.6271725889106</v>
      </c>
      <c r="J758" s="218">
        <f t="shared" si="329"/>
        <v>-4.0847475028680842</v>
      </c>
      <c r="K758" s="218">
        <f t="shared" si="330"/>
        <v>-245.08485017208505</v>
      </c>
      <c r="L758" s="218">
        <f t="shared" si="331"/>
        <v>-1872.8567300650161</v>
      </c>
      <c r="M758" s="764">
        <f t="shared" si="316"/>
        <v>-191.40309848939268</v>
      </c>
      <c r="N758" s="1863">
        <v>73</v>
      </c>
      <c r="O758" s="761">
        <f>'Emission-Waste Transport Vehicl'!N43</f>
        <v>26.743861462032005</v>
      </c>
      <c r="P758" s="761">
        <f>'Emission-Waste Transport Vehicl'!O43</f>
        <v>38.906748676224005</v>
      </c>
      <c r="Q758" s="761">
        <f>'Emission-Waste Transport Vehicl'!P43</f>
        <v>14.879838937392002</v>
      </c>
      <c r="R758" s="761">
        <f>'Emission-Waste Transport Vehicl'!Q43</f>
        <v>11.556101329344001</v>
      </c>
      <c r="S758" s="761">
        <f>'Emission-Waste Transport Vehicl'!R43</f>
        <v>1.1501762294880002</v>
      </c>
      <c r="T758" s="761">
        <f>'Emission-Waste Transport Vehicl'!S43</f>
        <v>5.2889993544960004E-2</v>
      </c>
      <c r="U758" s="174">
        <f t="shared" si="317"/>
        <v>-13972.426189725666</v>
      </c>
      <c r="V758" s="174">
        <f t="shared" si="310"/>
        <v>-163.86288198612777</v>
      </c>
      <c r="W758" s="174">
        <f t="shared" si="311"/>
        <v>-238.38636674988314</v>
      </c>
      <c r="X758" s="174">
        <f t="shared" si="312"/>
        <v>-1884.191933220329</v>
      </c>
      <c r="Y758" s="174">
        <f t="shared" si="313"/>
        <v>-47.203756047928458</v>
      </c>
      <c r="Z758" s="174">
        <f t="shared" si="314"/>
        <v>-281.89076887556024</v>
      </c>
      <c r="AA758" s="1860">
        <f t="shared" si="315"/>
        <v>-99.055380363773608</v>
      </c>
      <c r="AB758" s="3005"/>
      <c r="AC758" s="2727"/>
    </row>
    <row r="759" spans="1:29" ht="18.75" x14ac:dyDescent="0.25">
      <c r="A759" s="2990"/>
      <c r="B759" s="2993"/>
      <c r="C759" s="1863">
        <v>2030</v>
      </c>
      <c r="D759" s="218">
        <f t="shared" si="325"/>
        <v>-200152.62764053611</v>
      </c>
      <c r="E759" s="221">
        <f t="shared" si="332"/>
        <v>8749.529151143437</v>
      </c>
      <c r="F759" s="221">
        <f t="shared" si="333"/>
        <v>0</v>
      </c>
      <c r="G759" s="218">
        <f t="shared" si="326"/>
        <v>-6.1271212543021241</v>
      </c>
      <c r="H759" s="218">
        <f t="shared" si="327"/>
        <v>-6.1271212543021241</v>
      </c>
      <c r="I759" s="218">
        <f t="shared" si="328"/>
        <v>-126.6271725889106</v>
      </c>
      <c r="J759" s="218">
        <f t="shared" si="329"/>
        <v>-4.0847475028680842</v>
      </c>
      <c r="K759" s="218">
        <f t="shared" si="330"/>
        <v>-245.08485017208505</v>
      </c>
      <c r="L759" s="218">
        <f t="shared" si="331"/>
        <v>-1872.8567300650161</v>
      </c>
      <c r="M759" s="764">
        <f t="shared" si="316"/>
        <v>-191.40309848939268</v>
      </c>
      <c r="N759" s="1863">
        <v>75</v>
      </c>
      <c r="O759" s="761">
        <f>'Emission-Waste Transport Vehicl'!N44</f>
        <v>26.222220862992003</v>
      </c>
      <c r="P759" s="761">
        <f>'Emission-Waste Transport Vehicl'!O44</f>
        <v>38.147870242944002</v>
      </c>
      <c r="Q759" s="761">
        <f>'Emission-Waste Transport Vehicl'!P44</f>
        <v>14.589606799152003</v>
      </c>
      <c r="R759" s="761">
        <f>'Emission-Waste Transport Vehicl'!Q44</f>
        <v>11.330698889664001</v>
      </c>
      <c r="S759" s="761">
        <f>'Emission-Waste Transport Vehicl'!R44</f>
        <v>1.1277419741280001</v>
      </c>
      <c r="T759" s="761">
        <f>'Emission-Waste Transport Vehicl'!S44</f>
        <v>5.1858371093760007E-2</v>
      </c>
      <c r="U759" s="174">
        <f t="shared" si="317"/>
        <v>-14355.232386704451</v>
      </c>
      <c r="V759" s="174">
        <f t="shared" si="310"/>
        <v>-160.66672678464289</v>
      </c>
      <c r="W759" s="174">
        <f t="shared" si="311"/>
        <v>-233.73662657190172</v>
      </c>
      <c r="X759" s="174">
        <f t="shared" si="312"/>
        <v>-1847.4406581605642</v>
      </c>
      <c r="Y759" s="174">
        <f t="shared" si="313"/>
        <v>-46.283043995305199</v>
      </c>
      <c r="Z759" s="174">
        <f t="shared" si="314"/>
        <v>-276.39247276193231</v>
      </c>
      <c r="AA759" s="1860">
        <f t="shared" si="315"/>
        <v>-97.123299313157517</v>
      </c>
      <c r="AB759" s="3005"/>
      <c r="AC759" s="2727"/>
    </row>
    <row r="760" spans="1:29" ht="18.75" x14ac:dyDescent="0.25">
      <c r="A760" s="2990"/>
      <c r="B760" s="2993"/>
      <c r="C760" s="1863">
        <v>2031</v>
      </c>
      <c r="D760" s="218">
        <f t="shared" si="325"/>
        <v>-200152.62764053611</v>
      </c>
      <c r="E760" s="221">
        <f t="shared" si="332"/>
        <v>8749.529151143437</v>
      </c>
      <c r="F760" s="221">
        <f t="shared" si="333"/>
        <v>0</v>
      </c>
      <c r="G760" s="218">
        <f t="shared" si="326"/>
        <v>-6.1271212543021241</v>
      </c>
      <c r="H760" s="218">
        <f t="shared" si="327"/>
        <v>-6.1271212543021241</v>
      </c>
      <c r="I760" s="218">
        <f t="shared" si="328"/>
        <v>-126.6271725889106</v>
      </c>
      <c r="J760" s="218">
        <f t="shared" si="329"/>
        <v>-4.0847475028680842</v>
      </c>
      <c r="K760" s="218">
        <f t="shared" si="330"/>
        <v>-245.08485017208505</v>
      </c>
      <c r="L760" s="218">
        <f t="shared" si="331"/>
        <v>-1872.8567300650161</v>
      </c>
      <c r="M760" s="764">
        <f t="shared" si="316"/>
        <v>-191.40309848939268</v>
      </c>
      <c r="N760" s="1863">
        <v>76</v>
      </c>
      <c r="O760" s="761">
        <f>'Emission-Waste Transport Vehicl'!N45</f>
        <v>25.70710077144</v>
      </c>
      <c r="P760" s="761">
        <f>'Emission-Waste Transport Vehicl'!O45</f>
        <v>37.398477790080001</v>
      </c>
      <c r="Q760" s="761">
        <f>'Emission-Waste Transport Vehicl'!P45</f>
        <v>14.303002562640001</v>
      </c>
      <c r="R760" s="761">
        <f>'Emission-Waste Transport Vehicl'!Q45</f>
        <v>11.108113980480001</v>
      </c>
      <c r="S760" s="761">
        <f>'Emission-Waste Transport Vehicl'!R45</f>
        <v>1.1055881469600002</v>
      </c>
      <c r="T760" s="761">
        <f>'Emission-Waste Transport Vehicl'!S45</f>
        <v>5.0839643923200006E-2</v>
      </c>
      <c r="U760" s="174">
        <f t="shared" si="317"/>
        <v>-14546.635485193843</v>
      </c>
      <c r="V760" s="174">
        <f t="shared" si="310"/>
        <v>-157.51052352317654</v>
      </c>
      <c r="W760" s="174">
        <f t="shared" si="311"/>
        <v>-229.1450081461451</v>
      </c>
      <c r="X760" s="174">
        <f t="shared" si="312"/>
        <v>-1811.148774039046</v>
      </c>
      <c r="Y760" s="174">
        <f t="shared" si="313"/>
        <v>-45.373840843339735</v>
      </c>
      <c r="Z760" s="174">
        <f t="shared" si="314"/>
        <v>-270.96290534972479</v>
      </c>
      <c r="AA760" s="1860">
        <f t="shared" si="315"/>
        <v>-95.215369275674135</v>
      </c>
      <c r="AB760" s="3005"/>
      <c r="AC760" s="2727"/>
    </row>
    <row r="761" spans="1:29" ht="18.75" x14ac:dyDescent="0.25">
      <c r="A761" s="2990"/>
      <c r="B761" s="2993"/>
      <c r="C761" s="1863">
        <v>2032</v>
      </c>
      <c r="D761" s="218">
        <f t="shared" si="325"/>
        <v>-200152.62764053611</v>
      </c>
      <c r="E761" s="221">
        <f t="shared" si="332"/>
        <v>8749.529151143437</v>
      </c>
      <c r="F761" s="221">
        <f t="shared" si="333"/>
        <v>0</v>
      </c>
      <c r="G761" s="218">
        <f t="shared" si="326"/>
        <v>-6.1271212543021241</v>
      </c>
      <c r="H761" s="218">
        <f t="shared" si="327"/>
        <v>-6.1271212543021241</v>
      </c>
      <c r="I761" s="218">
        <f t="shared" si="328"/>
        <v>-126.6271725889106</v>
      </c>
      <c r="J761" s="218">
        <f t="shared" si="329"/>
        <v>-4.0847475028680842</v>
      </c>
      <c r="K761" s="218">
        <f t="shared" si="330"/>
        <v>-245.08485017208505</v>
      </c>
      <c r="L761" s="218">
        <f t="shared" si="331"/>
        <v>-1872.8567300650161</v>
      </c>
      <c r="M761" s="764">
        <f t="shared" si="316"/>
        <v>-191.40309848939268</v>
      </c>
      <c r="N761" s="1863">
        <v>77</v>
      </c>
      <c r="O761" s="761">
        <f>'Emission-Waste Transport Vehicl'!N46</f>
        <v>25.201761441120002</v>
      </c>
      <c r="P761" s="761">
        <f>'Emission-Waste Transport Vehicl'!O46</f>
        <v>36.663314307840004</v>
      </c>
      <c r="Q761" s="761">
        <f>'Emission-Waste Transport Vehicl'!P46</f>
        <v>14.021840178720002</v>
      </c>
      <c r="R761" s="761">
        <f>'Emission-Waste Transport Vehicl'!Q46</f>
        <v>10.889755367040001</v>
      </c>
      <c r="S761" s="761">
        <f>'Emission-Waste Transport Vehicl'!R46</f>
        <v>1.0838549620800002</v>
      </c>
      <c r="T761" s="761">
        <f>'Emission-Waste Transport Vehicl'!S46</f>
        <v>4.9840259673600007E-2</v>
      </c>
      <c r="U761" s="174">
        <f t="shared" si="317"/>
        <v>-14738.038583683236</v>
      </c>
      <c r="V761" s="174">
        <f t="shared" si="310"/>
        <v>-154.41424817173808</v>
      </c>
      <c r="W761" s="174">
        <f t="shared" si="311"/>
        <v>-224.64057234872567</v>
      </c>
      <c r="X761" s="174">
        <f t="shared" si="312"/>
        <v>-1775.5459763248987</v>
      </c>
      <c r="Y761" s="174">
        <f t="shared" si="313"/>
        <v>-44.48190104236096</v>
      </c>
      <c r="Z761" s="174">
        <f t="shared" si="314"/>
        <v>-265.63643098964781</v>
      </c>
      <c r="AA761" s="1860">
        <f t="shared" si="315"/>
        <v>-93.343665757889795</v>
      </c>
      <c r="AB761" s="3005"/>
      <c r="AC761" s="2727"/>
    </row>
    <row r="762" spans="1:29" ht="18.75" x14ac:dyDescent="0.25">
      <c r="A762" s="2990"/>
      <c r="B762" s="2993"/>
      <c r="C762" s="1863">
        <v>2033</v>
      </c>
      <c r="D762" s="218">
        <f t="shared" si="325"/>
        <v>-200152.62764053611</v>
      </c>
      <c r="E762" s="221">
        <f t="shared" si="332"/>
        <v>8749.529151143437</v>
      </c>
      <c r="F762" s="221">
        <f t="shared" si="333"/>
        <v>0</v>
      </c>
      <c r="G762" s="218">
        <f t="shared" si="326"/>
        <v>-6.1271212543021241</v>
      </c>
      <c r="H762" s="218">
        <f t="shared" si="327"/>
        <v>-6.1271212543021241</v>
      </c>
      <c r="I762" s="218">
        <f t="shared" si="328"/>
        <v>-126.6271725889106</v>
      </c>
      <c r="J762" s="218">
        <f t="shared" si="329"/>
        <v>-4.0847475028680842</v>
      </c>
      <c r="K762" s="218">
        <f t="shared" si="330"/>
        <v>-245.08485017208505</v>
      </c>
      <c r="L762" s="218">
        <f t="shared" si="331"/>
        <v>-1872.8567300650161</v>
      </c>
      <c r="M762" s="764">
        <f t="shared" si="316"/>
        <v>-191.40309848939268</v>
      </c>
      <c r="N762" s="1863">
        <v>78</v>
      </c>
      <c r="O762" s="761">
        <f>'Emission-Waste Transport Vehicl'!N47</f>
        <v>24.709463125776001</v>
      </c>
      <c r="P762" s="761">
        <f>'Emission-Waste Transport Vehicl'!O47</f>
        <v>35.947122786432004</v>
      </c>
      <c r="Q762" s="761">
        <f>'Emission-Waste Transport Vehicl'!P47</f>
        <v>13.747933598256003</v>
      </c>
      <c r="R762" s="761">
        <f>'Emission-Waste Transport Vehicl'!Q47</f>
        <v>10.677031814592</v>
      </c>
      <c r="S762" s="761">
        <f>'Emission-Waste Transport Vehicl'!R47</f>
        <v>1.0626826335840001</v>
      </c>
      <c r="T762" s="761">
        <f>'Emission-Waste Transport Vehicl'!S47</f>
        <v>4.8866665985280007E-2</v>
      </c>
      <c r="U762" s="174">
        <f t="shared" si="317"/>
        <v>-14929.441682172628</v>
      </c>
      <c r="V762" s="174">
        <f t="shared" ref="V762:V825" si="334">G762*O762</f>
        <v>-151.39787670033672</v>
      </c>
      <c r="W762" s="174">
        <f t="shared" ref="W762:W825" si="335">H762*P762</f>
        <v>-220.25238005575574</v>
      </c>
      <c r="X762" s="174">
        <f t="shared" ref="X762:X825" si="336">I762*Q762</f>
        <v>-1740.8619604872456</v>
      </c>
      <c r="Y762" s="174">
        <f t="shared" ref="Y762:Y825" si="337">J762*R762</f>
        <v>-43.612979042697766</v>
      </c>
      <c r="Z762" s="174">
        <f t="shared" ref="Z762:Z825" si="338">K762*S762</f>
        <v>-260.44741403241142</v>
      </c>
      <c r="AA762" s="1860">
        <f t="shared" ref="AA762:AA825" si="339">T762*L762</f>
        <v>-91.520264266370859</v>
      </c>
      <c r="AB762" s="3005"/>
      <c r="AC762" s="2727"/>
    </row>
    <row r="763" spans="1:29" ht="18.75" x14ac:dyDescent="0.25">
      <c r="A763" s="2990"/>
      <c r="B763" s="2993"/>
      <c r="C763" s="1863">
        <v>2034</v>
      </c>
      <c r="D763" s="218">
        <f t="shared" si="325"/>
        <v>-200152.62764053611</v>
      </c>
      <c r="E763" s="221">
        <f t="shared" si="332"/>
        <v>8749.529151143437</v>
      </c>
      <c r="F763" s="221">
        <f t="shared" si="333"/>
        <v>0</v>
      </c>
      <c r="G763" s="218">
        <f t="shared" si="326"/>
        <v>-6.1271212543021241</v>
      </c>
      <c r="H763" s="218">
        <f t="shared" si="327"/>
        <v>-6.1271212543021241</v>
      </c>
      <c r="I763" s="218">
        <f t="shared" si="328"/>
        <v>-126.6271725889106</v>
      </c>
      <c r="J763" s="218">
        <f t="shared" si="329"/>
        <v>-4.0847475028680842</v>
      </c>
      <c r="K763" s="218">
        <f t="shared" si="330"/>
        <v>-245.08485017208505</v>
      </c>
      <c r="L763" s="218">
        <f t="shared" si="331"/>
        <v>-1872.8567300650161</v>
      </c>
      <c r="M763" s="764">
        <f t="shared" ref="M763:M797" si="340">(D763/1000)+(E763/1000)+(F763/1000)</f>
        <v>-191.40309848939268</v>
      </c>
      <c r="N763" s="1863">
        <v>79</v>
      </c>
      <c r="O763" s="761">
        <f>'Emission-Waste Transport Vehicl'!N48</f>
        <v>24.223685317920005</v>
      </c>
      <c r="P763" s="761">
        <f>'Emission-Waste Transport Vehicl'!O48</f>
        <v>35.24041724544</v>
      </c>
      <c r="Q763" s="761">
        <f>'Emission-Waste Transport Vehicl'!P48</f>
        <v>13.477654919520001</v>
      </c>
      <c r="R763" s="761">
        <f>'Emission-Waste Transport Vehicl'!Q48</f>
        <v>10.467125792640001</v>
      </c>
      <c r="S763" s="761">
        <f>'Emission-Waste Transport Vehicl'!R48</f>
        <v>1.04179073328</v>
      </c>
      <c r="T763" s="761">
        <f>'Emission-Waste Transport Vehicl'!S48</f>
        <v>4.7905967577600003E-2</v>
      </c>
      <c r="U763" s="174">
        <f t="shared" ref="U763:U826" si="341">M763*N763</f>
        <v>-15120.844780662021</v>
      </c>
      <c r="V763" s="174">
        <f t="shared" si="334"/>
        <v>-148.42145716895396</v>
      </c>
      <c r="W763" s="174">
        <f t="shared" si="335"/>
        <v>-215.92230951501054</v>
      </c>
      <c r="X763" s="174">
        <f t="shared" si="336"/>
        <v>-1706.6373355878391</v>
      </c>
      <c r="Y763" s="174">
        <f t="shared" si="337"/>
        <v>-42.755565943692361</v>
      </c>
      <c r="Z763" s="174">
        <f t="shared" si="338"/>
        <v>-255.32712577659544</v>
      </c>
      <c r="AA763" s="1860">
        <f t="shared" si="339"/>
        <v>-89.721013787984617</v>
      </c>
      <c r="AB763" s="3005"/>
      <c r="AC763" s="2727"/>
    </row>
    <row r="764" spans="1:29" ht="18.75" x14ac:dyDescent="0.25">
      <c r="A764" s="2990"/>
      <c r="B764" s="2993"/>
      <c r="C764" s="1863">
        <v>2035</v>
      </c>
      <c r="D764" s="218">
        <f t="shared" si="325"/>
        <v>-200152.62764053611</v>
      </c>
      <c r="E764" s="221">
        <f t="shared" si="332"/>
        <v>8749.529151143437</v>
      </c>
      <c r="F764" s="221">
        <f t="shared" si="333"/>
        <v>0</v>
      </c>
      <c r="G764" s="218">
        <f t="shared" si="326"/>
        <v>-6.1271212543021241</v>
      </c>
      <c r="H764" s="218">
        <f t="shared" si="327"/>
        <v>-6.1271212543021241</v>
      </c>
      <c r="I764" s="218">
        <f t="shared" si="328"/>
        <v>-126.6271725889106</v>
      </c>
      <c r="J764" s="218">
        <f t="shared" si="329"/>
        <v>-4.0847475028680842</v>
      </c>
      <c r="K764" s="218">
        <f t="shared" si="330"/>
        <v>-245.08485017208505</v>
      </c>
      <c r="L764" s="218">
        <f t="shared" si="331"/>
        <v>-1872.8567300650161</v>
      </c>
      <c r="M764" s="764">
        <f t="shared" si="340"/>
        <v>-191.40309848939268</v>
      </c>
      <c r="N764" s="1863">
        <v>80</v>
      </c>
      <c r="O764" s="761">
        <f>'Emission-Waste Transport Vehicl'!N49</f>
        <v>23.747688271296006</v>
      </c>
      <c r="P764" s="761">
        <f>'Emission-Waste Transport Vehicl'!O49</f>
        <v>34.547940675072006</v>
      </c>
      <c r="Q764" s="761">
        <f>'Emission-Waste Transport Vehicl'!P49</f>
        <v>13.212818093376002</v>
      </c>
      <c r="R764" s="761">
        <f>'Emission-Waste Transport Vehicl'!Q49</f>
        <v>10.261446066432002</v>
      </c>
      <c r="S764" s="761">
        <f>'Emission-Waste Transport Vehicl'!R49</f>
        <v>1.0213194752640002</v>
      </c>
      <c r="T764" s="761">
        <f>'Emission-Waste Transport Vehicl'!S49</f>
        <v>4.6964612090880008E-2</v>
      </c>
      <c r="U764" s="174">
        <f t="shared" si="341"/>
        <v>-15312.247879151415</v>
      </c>
      <c r="V764" s="174">
        <f t="shared" si="334"/>
        <v>-145.50496554759903</v>
      </c>
      <c r="W764" s="174">
        <f t="shared" si="335"/>
        <v>-211.67942160260256</v>
      </c>
      <c r="X764" s="174">
        <f t="shared" si="336"/>
        <v>-1673.1017970958037</v>
      </c>
      <c r="Y764" s="174">
        <f t="shared" si="337"/>
        <v>-41.91541619567365</v>
      </c>
      <c r="Z764" s="174">
        <f t="shared" si="338"/>
        <v>-250.30993057291002</v>
      </c>
      <c r="AA764" s="1860">
        <f t="shared" si="339"/>
        <v>-87.957989829297446</v>
      </c>
      <c r="AB764" s="3005"/>
      <c r="AC764" s="2727"/>
    </row>
    <row r="765" spans="1:29" ht="18.75" x14ac:dyDescent="0.25">
      <c r="A765" s="2990"/>
      <c r="B765" s="2993"/>
      <c r="C765" s="1863">
        <v>2036</v>
      </c>
      <c r="D765" s="218">
        <f t="shared" si="325"/>
        <v>-200152.62764053611</v>
      </c>
      <c r="E765" s="221">
        <f t="shared" si="332"/>
        <v>8749.529151143437</v>
      </c>
      <c r="F765" s="221">
        <f t="shared" si="333"/>
        <v>0</v>
      </c>
      <c r="G765" s="218">
        <f t="shared" si="326"/>
        <v>-6.1271212543021241</v>
      </c>
      <c r="H765" s="218">
        <f t="shared" si="327"/>
        <v>-6.1271212543021241</v>
      </c>
      <c r="I765" s="218">
        <f t="shared" si="328"/>
        <v>-126.6271725889106</v>
      </c>
      <c r="J765" s="218">
        <f t="shared" si="329"/>
        <v>-4.0847475028680842</v>
      </c>
      <c r="K765" s="218">
        <f t="shared" si="330"/>
        <v>-245.08485017208505</v>
      </c>
      <c r="L765" s="218">
        <f t="shared" si="331"/>
        <v>-1872.8567300650161</v>
      </c>
      <c r="M765" s="764">
        <f t="shared" si="340"/>
        <v>-191.40309848939268</v>
      </c>
      <c r="N765" s="1863">
        <v>81</v>
      </c>
      <c r="O765" s="761">
        <f>'Emission-Waste Transport Vehicl'!N50</f>
        <v>23.284732239648001</v>
      </c>
      <c r="P765" s="761">
        <f>'Emission-Waste Transport Vehicl'!O50</f>
        <v>33.874436065536003</v>
      </c>
      <c r="Q765" s="761">
        <f>'Emission-Waste Transport Vehicl'!P50</f>
        <v>12.955237070688</v>
      </c>
      <c r="R765" s="761">
        <f>'Emission-Waste Transport Vehicl'!Q50</f>
        <v>10.061401401215999</v>
      </c>
      <c r="S765" s="761">
        <f>'Emission-Waste Transport Vehicl'!R50</f>
        <v>1.001409073632</v>
      </c>
      <c r="T765" s="761">
        <f>'Emission-Waste Transport Vehicl'!S50</f>
        <v>4.6049047165439998E-2</v>
      </c>
      <c r="U765" s="174">
        <f t="shared" si="341"/>
        <v>-15503.650977640807</v>
      </c>
      <c r="V765" s="174">
        <f t="shared" si="334"/>
        <v>-142.66837780628117</v>
      </c>
      <c r="W765" s="174">
        <f t="shared" si="335"/>
        <v>-207.55277719464405</v>
      </c>
      <c r="X765" s="174">
        <f t="shared" si="336"/>
        <v>-1640.4850404802619</v>
      </c>
      <c r="Y765" s="174">
        <f t="shared" si="337"/>
        <v>-41.098284248970494</v>
      </c>
      <c r="Z765" s="174">
        <f t="shared" si="338"/>
        <v>-245.43019277206523</v>
      </c>
      <c r="AA765" s="1860">
        <f t="shared" si="339"/>
        <v>-86.243267896875651</v>
      </c>
      <c r="AB765" s="3005"/>
      <c r="AC765" s="2727"/>
    </row>
    <row r="766" spans="1:29" ht="18.75" x14ac:dyDescent="0.25">
      <c r="A766" s="2990"/>
      <c r="B766" s="2993"/>
      <c r="C766" s="1863">
        <v>2037</v>
      </c>
      <c r="D766" s="218">
        <f t="shared" si="325"/>
        <v>-200152.62764053611</v>
      </c>
      <c r="E766" s="221">
        <f t="shared" si="332"/>
        <v>8749.529151143437</v>
      </c>
      <c r="F766" s="221">
        <f t="shared" si="333"/>
        <v>0</v>
      </c>
      <c r="G766" s="218">
        <f t="shared" si="326"/>
        <v>-6.1271212543021241</v>
      </c>
      <c r="H766" s="218">
        <f t="shared" si="327"/>
        <v>-6.1271212543021241</v>
      </c>
      <c r="I766" s="218">
        <f t="shared" si="328"/>
        <v>-126.6271725889106</v>
      </c>
      <c r="J766" s="218">
        <f t="shared" si="329"/>
        <v>-4.0847475028680842</v>
      </c>
      <c r="K766" s="218">
        <f t="shared" si="330"/>
        <v>-245.08485017208505</v>
      </c>
      <c r="L766" s="218">
        <f t="shared" si="331"/>
        <v>-1872.8567300650161</v>
      </c>
      <c r="M766" s="764">
        <f t="shared" si="340"/>
        <v>-191.40309848939268</v>
      </c>
      <c r="N766" s="1863">
        <v>83</v>
      </c>
      <c r="O766" s="761">
        <f>'Emission-Waste Transport Vehicl'!N51</f>
        <v>22.828296715488005</v>
      </c>
      <c r="P766" s="761">
        <f>'Emission-Waste Transport Vehicl'!O51</f>
        <v>33.210417436416002</v>
      </c>
      <c r="Q766" s="761">
        <f>'Emission-Waste Transport Vehicl'!P51</f>
        <v>12.701283949728003</v>
      </c>
      <c r="R766" s="761">
        <f>'Emission-Waste Transport Vehicl'!Q51</f>
        <v>9.8641742664960006</v>
      </c>
      <c r="S766" s="761">
        <f>'Emission-Waste Transport Vehicl'!R51</f>
        <v>0.9817791001920001</v>
      </c>
      <c r="T766" s="761">
        <f>'Emission-Waste Transport Vehicl'!S51</f>
        <v>4.5146377520640005E-2</v>
      </c>
      <c r="U766" s="174">
        <f t="shared" si="341"/>
        <v>-15886.457174619592</v>
      </c>
      <c r="V766" s="174">
        <f t="shared" si="334"/>
        <v>-139.87174200498191</v>
      </c>
      <c r="W766" s="174">
        <f t="shared" si="335"/>
        <v>-203.48425453891033</v>
      </c>
      <c r="X766" s="174">
        <f t="shared" si="336"/>
        <v>-1608.327674802968</v>
      </c>
      <c r="Y766" s="174">
        <f t="shared" si="337"/>
        <v>-40.292661202925153</v>
      </c>
      <c r="Z766" s="174">
        <f t="shared" si="338"/>
        <v>-240.61918367264082</v>
      </c>
      <c r="AA766" s="1860">
        <f t="shared" si="339"/>
        <v>-84.552696977586592</v>
      </c>
      <c r="AB766" s="3005"/>
      <c r="AC766" s="2727"/>
    </row>
    <row r="767" spans="1:29" ht="18.75" x14ac:dyDescent="0.25">
      <c r="A767" s="2990"/>
      <c r="B767" s="2993"/>
      <c r="C767" s="1863">
        <v>2038</v>
      </c>
      <c r="D767" s="218">
        <f t="shared" si="325"/>
        <v>-200152.62764053611</v>
      </c>
      <c r="E767" s="221">
        <f t="shared" si="332"/>
        <v>8749.529151143437</v>
      </c>
      <c r="F767" s="221">
        <f t="shared" si="333"/>
        <v>0</v>
      </c>
      <c r="G767" s="218">
        <f t="shared" si="326"/>
        <v>-6.1271212543021241</v>
      </c>
      <c r="H767" s="218">
        <f t="shared" si="327"/>
        <v>-6.1271212543021241</v>
      </c>
      <c r="I767" s="218">
        <f t="shared" si="328"/>
        <v>-126.6271725889106</v>
      </c>
      <c r="J767" s="218">
        <f t="shared" si="329"/>
        <v>-4.0847475028680842</v>
      </c>
      <c r="K767" s="218">
        <f t="shared" si="330"/>
        <v>-245.08485017208505</v>
      </c>
      <c r="L767" s="218">
        <f t="shared" si="331"/>
        <v>-1872.8567300650161</v>
      </c>
      <c r="M767" s="764">
        <f t="shared" si="340"/>
        <v>-191.40309848939268</v>
      </c>
      <c r="N767" s="1863">
        <v>84</v>
      </c>
      <c r="O767" s="761">
        <f>'Emission-Waste Transport Vehicl'!N52</f>
        <v>22.378381698816003</v>
      </c>
      <c r="P767" s="761">
        <f>'Emission-Waste Transport Vehicl'!O52</f>
        <v>32.555884787712003</v>
      </c>
      <c r="Q767" s="761">
        <f>'Emission-Waste Transport Vehicl'!P52</f>
        <v>12.450958730496001</v>
      </c>
      <c r="R767" s="761">
        <f>'Emission-Waste Transport Vehicl'!Q52</f>
        <v>9.6697646622720015</v>
      </c>
      <c r="S767" s="761">
        <f>'Emission-Waste Transport Vehicl'!R52</f>
        <v>0.96242955494400007</v>
      </c>
      <c r="T767" s="761">
        <f>'Emission-Waste Transport Vehicl'!S52</f>
        <v>4.4256603156480001E-2</v>
      </c>
      <c r="U767" s="174">
        <f t="shared" si="341"/>
        <v>-16077.860273108985</v>
      </c>
      <c r="V767" s="174">
        <f t="shared" si="334"/>
        <v>-137.11505814370122</v>
      </c>
      <c r="W767" s="174">
        <f t="shared" si="335"/>
        <v>-199.47385363540141</v>
      </c>
      <c r="X767" s="174">
        <f t="shared" si="336"/>
        <v>-1576.6297000639204</v>
      </c>
      <c r="Y767" s="174">
        <f t="shared" si="337"/>
        <v>-39.4985470575376</v>
      </c>
      <c r="Z767" s="174">
        <f t="shared" si="338"/>
        <v>-235.87690327463676</v>
      </c>
      <c r="AA767" s="1860">
        <f t="shared" si="339"/>
        <v>-82.8862770714302</v>
      </c>
      <c r="AB767" s="3005"/>
      <c r="AC767" s="2727"/>
    </row>
    <row r="768" spans="1:29" ht="18.75" x14ac:dyDescent="0.25">
      <c r="A768" s="2990"/>
      <c r="B768" s="2993"/>
      <c r="C768" s="1863">
        <v>2039</v>
      </c>
      <c r="D768" s="218">
        <f t="shared" si="325"/>
        <v>-200152.62764053611</v>
      </c>
      <c r="E768" s="221">
        <f t="shared" si="332"/>
        <v>8749.529151143437</v>
      </c>
      <c r="F768" s="221">
        <f t="shared" si="333"/>
        <v>0</v>
      </c>
      <c r="G768" s="218">
        <f t="shared" si="326"/>
        <v>-6.1271212543021241</v>
      </c>
      <c r="H768" s="218">
        <f t="shared" si="327"/>
        <v>-6.1271212543021241</v>
      </c>
      <c r="I768" s="218">
        <f t="shared" si="328"/>
        <v>-126.6271725889106</v>
      </c>
      <c r="J768" s="218">
        <f t="shared" si="329"/>
        <v>-4.0847475028680842</v>
      </c>
      <c r="K768" s="218">
        <f t="shared" si="330"/>
        <v>-245.08485017208505</v>
      </c>
      <c r="L768" s="218">
        <f t="shared" si="331"/>
        <v>-1872.8567300650161</v>
      </c>
      <c r="M768" s="764">
        <f t="shared" si="340"/>
        <v>-191.40309848939268</v>
      </c>
      <c r="N768" s="1863">
        <v>85</v>
      </c>
      <c r="O768" s="761">
        <f>'Emission-Waste Transport Vehicl'!N53</f>
        <v>21.941507697120006</v>
      </c>
      <c r="P768" s="761">
        <f>'Emission-Waste Transport Vehicl'!O53</f>
        <v>31.920324099840006</v>
      </c>
      <c r="Q768" s="761">
        <f>'Emission-Waste Transport Vehicl'!P53</f>
        <v>12.207889314720003</v>
      </c>
      <c r="R768" s="761">
        <f>'Emission-Waste Transport Vehicl'!Q53</f>
        <v>9.4809901190400012</v>
      </c>
      <c r="S768" s="761">
        <f>'Emission-Waste Transport Vehicl'!R53</f>
        <v>0.9436408660800002</v>
      </c>
      <c r="T768" s="761">
        <f>'Emission-Waste Transport Vehicl'!S53</f>
        <v>4.3392619353600011E-2</v>
      </c>
      <c r="U768" s="174">
        <f t="shared" si="341"/>
        <v>-16269.263371598377</v>
      </c>
      <c r="V768" s="174">
        <f t="shared" si="334"/>
        <v>-134.43827816245764</v>
      </c>
      <c r="W768" s="174">
        <f t="shared" si="335"/>
        <v>-195.57969623634202</v>
      </c>
      <c r="X768" s="174">
        <f t="shared" si="336"/>
        <v>-1545.8505072013672</v>
      </c>
      <c r="Y768" s="174">
        <f t="shared" si="337"/>
        <v>-38.727450713465622</v>
      </c>
      <c r="Z768" s="174">
        <f t="shared" si="338"/>
        <v>-231.27208027947341</v>
      </c>
      <c r="AA768" s="1860">
        <f t="shared" si="339"/>
        <v>-81.268159191539254</v>
      </c>
      <c r="AB768" s="3005"/>
      <c r="AC768" s="2727"/>
    </row>
    <row r="769" spans="1:29" ht="18.75" x14ac:dyDescent="0.25">
      <c r="A769" s="2990"/>
      <c r="B769" s="2993"/>
      <c r="C769" s="1863">
        <v>2040</v>
      </c>
      <c r="D769" s="218">
        <f t="shared" si="325"/>
        <v>-200152.62764053611</v>
      </c>
      <c r="E769" s="221">
        <f t="shared" si="332"/>
        <v>8749.529151143437</v>
      </c>
      <c r="F769" s="221">
        <f t="shared" si="333"/>
        <v>0</v>
      </c>
      <c r="G769" s="218">
        <f t="shared" si="326"/>
        <v>-6.1271212543021241</v>
      </c>
      <c r="H769" s="218">
        <f t="shared" si="327"/>
        <v>-6.1271212543021241</v>
      </c>
      <c r="I769" s="218">
        <f t="shared" si="328"/>
        <v>-126.6271725889106</v>
      </c>
      <c r="J769" s="218">
        <f t="shared" si="329"/>
        <v>-4.0847475028680842</v>
      </c>
      <c r="K769" s="218">
        <f t="shared" si="330"/>
        <v>-245.08485017208505</v>
      </c>
      <c r="L769" s="218">
        <f t="shared" si="331"/>
        <v>-1872.8567300650161</v>
      </c>
      <c r="M769" s="764">
        <f t="shared" si="340"/>
        <v>-191.40309848939268</v>
      </c>
      <c r="N769" s="1863">
        <v>86</v>
      </c>
      <c r="O769" s="761">
        <f>'Emission-Waste Transport Vehicl'!N54</f>
        <v>21.511154202912003</v>
      </c>
      <c r="P769" s="761">
        <f>'Emission-Waste Transport Vehicl'!O54</f>
        <v>31.294249392384003</v>
      </c>
      <c r="Q769" s="761">
        <f>'Emission-Waste Transport Vehicl'!P54</f>
        <v>11.968447800672001</v>
      </c>
      <c r="R769" s="761">
        <f>'Emission-Waste Transport Vehicl'!Q54</f>
        <v>9.2950331063040004</v>
      </c>
      <c r="S769" s="761">
        <f>'Emission-Waste Transport Vehicl'!R54</f>
        <v>0.92513260540800013</v>
      </c>
      <c r="T769" s="761">
        <f>'Emission-Waste Transport Vehicl'!S54</f>
        <v>4.254153083136001E-2</v>
      </c>
      <c r="U769" s="174">
        <f t="shared" si="341"/>
        <v>-16460.66647008777</v>
      </c>
      <c r="V769" s="174">
        <f t="shared" si="334"/>
        <v>-131.80145012123259</v>
      </c>
      <c r="W769" s="174">
        <f t="shared" si="335"/>
        <v>-191.74366058950736</v>
      </c>
      <c r="X769" s="174">
        <f t="shared" si="336"/>
        <v>-1515.5307052770609</v>
      </c>
      <c r="Y769" s="174">
        <f t="shared" si="337"/>
        <v>-37.967863270051438</v>
      </c>
      <c r="Z769" s="174">
        <f t="shared" si="338"/>
        <v>-226.73598598573039</v>
      </c>
      <c r="AA769" s="1860">
        <f t="shared" si="339"/>
        <v>-79.674192324780975</v>
      </c>
      <c r="AB769" s="3005"/>
      <c r="AC769" s="2727"/>
    </row>
    <row r="770" spans="1:29" ht="18.75" x14ac:dyDescent="0.25">
      <c r="A770" s="2990"/>
      <c r="B770" s="2993"/>
      <c r="C770" s="1863">
        <v>2041</v>
      </c>
      <c r="D770" s="218">
        <f t="shared" si="325"/>
        <v>-200152.62764053611</v>
      </c>
      <c r="E770" s="221">
        <f t="shared" si="332"/>
        <v>8749.529151143437</v>
      </c>
      <c r="F770" s="221">
        <f t="shared" si="333"/>
        <v>0</v>
      </c>
      <c r="G770" s="218">
        <f t="shared" si="326"/>
        <v>-6.1271212543021241</v>
      </c>
      <c r="H770" s="218">
        <f t="shared" si="327"/>
        <v>-6.1271212543021241</v>
      </c>
      <c r="I770" s="218">
        <f t="shared" si="328"/>
        <v>-126.6271725889106</v>
      </c>
      <c r="J770" s="218">
        <f t="shared" si="329"/>
        <v>-4.0847475028680842</v>
      </c>
      <c r="K770" s="218">
        <f t="shared" si="330"/>
        <v>-245.08485017208505</v>
      </c>
      <c r="L770" s="218">
        <f t="shared" si="331"/>
        <v>-1872.8567300650161</v>
      </c>
      <c r="M770" s="764">
        <f t="shared" si="340"/>
        <v>-191.40309848939268</v>
      </c>
      <c r="N770" s="1863">
        <v>87</v>
      </c>
      <c r="O770" s="761">
        <f>'Emission-Waste Transport Vehicl'!N55</f>
        <v>21.087321216192002</v>
      </c>
      <c r="P770" s="761">
        <f>'Emission-Waste Transport Vehicl'!O55</f>
        <v>30.677660665344007</v>
      </c>
      <c r="Q770" s="761">
        <f>'Emission-Waste Transport Vehicl'!P55</f>
        <v>11.732634188352002</v>
      </c>
      <c r="R770" s="761">
        <f>'Emission-Waste Transport Vehicl'!Q55</f>
        <v>9.1118936240640007</v>
      </c>
      <c r="S770" s="761">
        <f>'Emission-Waste Transport Vehicl'!R55</f>
        <v>0.9069047729280002</v>
      </c>
      <c r="T770" s="761">
        <f>'Emission-Waste Transport Vehicl'!S55</f>
        <v>4.1703337589760005E-2</v>
      </c>
      <c r="U770" s="174">
        <f t="shared" si="341"/>
        <v>-16652.069568577164</v>
      </c>
      <c r="V770" s="174">
        <f t="shared" si="334"/>
        <v>-129.20457402002614</v>
      </c>
      <c r="W770" s="174">
        <f t="shared" si="335"/>
        <v>-187.96574669489752</v>
      </c>
      <c r="X770" s="174">
        <f t="shared" si="336"/>
        <v>-1485.6702942910019</v>
      </c>
      <c r="Y770" s="174">
        <f t="shared" si="337"/>
        <v>-37.219784727295043</v>
      </c>
      <c r="Z770" s="174">
        <f t="shared" si="338"/>
        <v>-222.26862039340776</v>
      </c>
      <c r="AA770" s="1860">
        <f t="shared" si="339"/>
        <v>-78.104376471155391</v>
      </c>
      <c r="AB770" s="3005"/>
      <c r="AC770" s="2727"/>
    </row>
    <row r="771" spans="1:29" ht="18.75" x14ac:dyDescent="0.25">
      <c r="A771" s="2990"/>
      <c r="B771" s="2993"/>
      <c r="C771" s="1863">
        <v>2042</v>
      </c>
      <c r="D771" s="218">
        <f t="shared" si="325"/>
        <v>-200152.62764053611</v>
      </c>
      <c r="E771" s="221">
        <f t="shared" si="332"/>
        <v>8749.529151143437</v>
      </c>
      <c r="F771" s="221">
        <f t="shared" si="333"/>
        <v>0</v>
      </c>
      <c r="G771" s="218">
        <f t="shared" si="326"/>
        <v>-6.1271212543021241</v>
      </c>
      <c r="H771" s="218">
        <f t="shared" si="327"/>
        <v>-6.1271212543021241</v>
      </c>
      <c r="I771" s="218">
        <f t="shared" si="328"/>
        <v>-126.6271725889106</v>
      </c>
      <c r="J771" s="218">
        <f t="shared" si="329"/>
        <v>-4.0847475028680842</v>
      </c>
      <c r="K771" s="218">
        <f t="shared" si="330"/>
        <v>-245.08485017208505</v>
      </c>
      <c r="L771" s="218">
        <f t="shared" si="331"/>
        <v>-1872.8567300650161</v>
      </c>
      <c r="M771" s="764">
        <f t="shared" si="340"/>
        <v>-191.40309848939268</v>
      </c>
      <c r="N771" s="1863">
        <v>88</v>
      </c>
      <c r="O771" s="761">
        <f>'Emission-Waste Transport Vehicl'!N56</f>
        <v>20.676529244448002</v>
      </c>
      <c r="P771" s="761">
        <f>'Emission-Waste Transport Vehicl'!O56</f>
        <v>30.080043899136001</v>
      </c>
      <c r="Q771" s="761">
        <f>'Emission-Waste Transport Vehicl'!P56</f>
        <v>11.504076379488001</v>
      </c>
      <c r="R771" s="761">
        <f>'Emission-Waste Transport Vehicl'!Q56</f>
        <v>8.9343892028159999</v>
      </c>
      <c r="S771" s="761">
        <f>'Emission-Waste Transport Vehicl'!R56</f>
        <v>0.8892377968320001</v>
      </c>
      <c r="T771" s="761">
        <f>'Emission-Waste Transport Vehicl'!S56</f>
        <v>4.0890934909439999E-2</v>
      </c>
      <c r="U771" s="174">
        <f t="shared" si="341"/>
        <v>-16843.472667066555</v>
      </c>
      <c r="V771" s="174">
        <f t="shared" si="334"/>
        <v>-126.68760179885679</v>
      </c>
      <c r="W771" s="174">
        <f t="shared" si="335"/>
        <v>-184.30407630473712</v>
      </c>
      <c r="X771" s="174">
        <f t="shared" si="336"/>
        <v>-1456.728665181437</v>
      </c>
      <c r="Y771" s="174">
        <f t="shared" si="337"/>
        <v>-36.494723985854229</v>
      </c>
      <c r="Z771" s="174">
        <f t="shared" si="338"/>
        <v>-217.93871220392575</v>
      </c>
      <c r="AA771" s="1860">
        <f t="shared" si="339"/>
        <v>-76.58286264379521</v>
      </c>
      <c r="AB771" s="3005"/>
      <c r="AC771" s="2727"/>
    </row>
    <row r="772" spans="1:29" ht="18.75" x14ac:dyDescent="0.25">
      <c r="A772" s="2990"/>
      <c r="B772" s="2993"/>
      <c r="C772" s="1863">
        <v>2043</v>
      </c>
      <c r="D772" s="218">
        <f t="shared" si="325"/>
        <v>-200152.62764053611</v>
      </c>
      <c r="E772" s="221">
        <f t="shared" si="332"/>
        <v>8749.529151143437</v>
      </c>
      <c r="F772" s="221">
        <f t="shared" si="333"/>
        <v>0</v>
      </c>
      <c r="G772" s="218">
        <f t="shared" si="326"/>
        <v>-6.1271212543021241</v>
      </c>
      <c r="H772" s="218">
        <f t="shared" si="327"/>
        <v>-6.1271212543021241</v>
      </c>
      <c r="I772" s="218">
        <f t="shared" si="328"/>
        <v>-126.6271725889106</v>
      </c>
      <c r="J772" s="218">
        <f t="shared" si="329"/>
        <v>-4.0847475028680842</v>
      </c>
      <c r="K772" s="218">
        <f t="shared" si="330"/>
        <v>-245.08485017208505</v>
      </c>
      <c r="L772" s="218">
        <f t="shared" si="331"/>
        <v>-1872.8567300650161</v>
      </c>
      <c r="M772" s="764">
        <f t="shared" si="340"/>
        <v>-191.40309848939268</v>
      </c>
      <c r="N772" s="1863">
        <v>89</v>
      </c>
      <c r="O772" s="761">
        <f>'Emission-Waste Transport Vehicl'!N57</f>
        <v>20.268997526448004</v>
      </c>
      <c r="P772" s="761">
        <f>'Emission-Waste Transport Vehicl'!O57</f>
        <v>29.487170123136003</v>
      </c>
      <c r="Q772" s="761">
        <f>'Emission-Waste Transport Vehicl'!P57</f>
        <v>11.277332521488001</v>
      </c>
      <c r="R772" s="761">
        <f>'Emission-Waste Transport Vehicl'!Q57</f>
        <v>8.7582935468160006</v>
      </c>
      <c r="S772" s="761">
        <f>'Emission-Waste Transport Vehicl'!R57</f>
        <v>0.87171103483200019</v>
      </c>
      <c r="T772" s="761">
        <f>'Emission-Waste Transport Vehicl'!S57</f>
        <v>4.0084979869440006E-2</v>
      </c>
      <c r="U772" s="174">
        <f t="shared" si="341"/>
        <v>-17034.875765555949</v>
      </c>
      <c r="V772" s="174">
        <f t="shared" si="334"/>
        <v>-124.19060554769675</v>
      </c>
      <c r="W772" s="174">
        <f t="shared" si="335"/>
        <v>-180.67146679068918</v>
      </c>
      <c r="X772" s="174">
        <f t="shared" si="336"/>
        <v>-1428.0167315409954</v>
      </c>
      <c r="Y772" s="174">
        <f t="shared" si="337"/>
        <v>-35.775417694742316</v>
      </c>
      <c r="Z772" s="174">
        <f t="shared" si="338"/>
        <v>-213.64316836515397</v>
      </c>
      <c r="AA772" s="1860">
        <f t="shared" si="339"/>
        <v>-75.073424323001404</v>
      </c>
      <c r="AB772" s="3005"/>
      <c r="AC772" s="2727"/>
    </row>
    <row r="773" spans="1:29" ht="18.75" x14ac:dyDescent="0.25">
      <c r="A773" s="2990"/>
      <c r="B773" s="2993"/>
      <c r="C773" s="1863">
        <v>2044</v>
      </c>
      <c r="D773" s="218">
        <f t="shared" si="325"/>
        <v>-200152.62764053611</v>
      </c>
      <c r="E773" s="221">
        <f t="shared" si="332"/>
        <v>8749.529151143437</v>
      </c>
      <c r="F773" s="221">
        <f t="shared" si="333"/>
        <v>0</v>
      </c>
      <c r="G773" s="218">
        <f t="shared" si="326"/>
        <v>-6.1271212543021241</v>
      </c>
      <c r="H773" s="218">
        <f t="shared" si="327"/>
        <v>-6.1271212543021241</v>
      </c>
      <c r="I773" s="218">
        <f t="shared" si="328"/>
        <v>-126.6271725889106</v>
      </c>
      <c r="J773" s="218">
        <f t="shared" si="329"/>
        <v>-4.0847475028680842</v>
      </c>
      <c r="K773" s="218">
        <f t="shared" si="330"/>
        <v>-245.08485017208505</v>
      </c>
      <c r="L773" s="218">
        <f t="shared" si="331"/>
        <v>-1872.8567300650161</v>
      </c>
      <c r="M773" s="764">
        <f t="shared" si="340"/>
        <v>-191.40309848939268</v>
      </c>
      <c r="N773" s="1863">
        <v>90</v>
      </c>
      <c r="O773" s="761">
        <f>'Emission-Waste Transport Vehicl'!N58</f>
        <v>19.871246569680004</v>
      </c>
      <c r="P773" s="761">
        <f>'Emission-Waste Transport Vehicl'!O58</f>
        <v>28.908525317760002</v>
      </c>
      <c r="Q773" s="761">
        <f>'Emission-Waste Transport Vehicl'!P58</f>
        <v>11.056030516080002</v>
      </c>
      <c r="R773" s="761">
        <f>'Emission-Waste Transport Vehicl'!Q58</f>
        <v>8.5864241865600004</v>
      </c>
      <c r="S773" s="761">
        <f>'Emission-Waste Transport Vehicl'!R58</f>
        <v>0.85460491512000014</v>
      </c>
      <c r="T773" s="761">
        <f>'Emission-Waste Transport Vehicl'!S58</f>
        <v>3.9298367750400007E-2</v>
      </c>
      <c r="U773" s="174">
        <f t="shared" si="341"/>
        <v>-17226.27886404534</v>
      </c>
      <c r="V773" s="174">
        <f t="shared" si="334"/>
        <v>-121.75353720656453</v>
      </c>
      <c r="W773" s="174">
        <f t="shared" si="335"/>
        <v>-177.12603990497837</v>
      </c>
      <c r="X773" s="174">
        <f t="shared" si="336"/>
        <v>-1399.9938843079246</v>
      </c>
      <c r="Y773" s="174">
        <f t="shared" si="337"/>
        <v>-35.073374754617085</v>
      </c>
      <c r="Z773" s="174">
        <f t="shared" si="338"/>
        <v>-209.45071757851269</v>
      </c>
      <c r="AA773" s="1860">
        <f t="shared" si="339"/>
        <v>-73.600212521906641</v>
      </c>
      <c r="AB773" s="3005"/>
      <c r="AC773" s="2727"/>
    </row>
    <row r="774" spans="1:29" ht="18.75" x14ac:dyDescent="0.25">
      <c r="A774" s="2990"/>
      <c r="B774" s="2993"/>
      <c r="C774" s="1863">
        <v>2045</v>
      </c>
      <c r="D774" s="218">
        <f t="shared" si="325"/>
        <v>-200152.62764053611</v>
      </c>
      <c r="E774" s="221">
        <f t="shared" si="332"/>
        <v>8749.529151143437</v>
      </c>
      <c r="F774" s="221">
        <f t="shared" si="333"/>
        <v>0</v>
      </c>
      <c r="G774" s="218">
        <f t="shared" si="326"/>
        <v>-6.1271212543021241</v>
      </c>
      <c r="H774" s="218">
        <f t="shared" si="327"/>
        <v>-6.1271212543021241</v>
      </c>
      <c r="I774" s="218">
        <f t="shared" si="328"/>
        <v>-126.6271725889106</v>
      </c>
      <c r="J774" s="218">
        <f t="shared" si="329"/>
        <v>-4.0847475028680842</v>
      </c>
      <c r="K774" s="218">
        <f t="shared" si="330"/>
        <v>-245.08485017208505</v>
      </c>
      <c r="L774" s="218">
        <f t="shared" si="331"/>
        <v>-1872.8567300650161</v>
      </c>
      <c r="M774" s="764">
        <f t="shared" si="340"/>
        <v>-191.40309848939268</v>
      </c>
      <c r="N774" s="1863">
        <v>92</v>
      </c>
      <c r="O774" s="761">
        <f>'Emission-Waste Transport Vehicl'!N59</f>
        <v>19.483276374144001</v>
      </c>
      <c r="P774" s="761">
        <f>'Emission-Waste Transport Vehicl'!O59</f>
        <v>28.344109483008001</v>
      </c>
      <c r="Q774" s="761">
        <f>'Emission-Waste Transport Vehicl'!P59</f>
        <v>10.840170363264003</v>
      </c>
      <c r="R774" s="761">
        <f>'Emission-Waste Transport Vehicl'!Q59</f>
        <v>8.4187811220480011</v>
      </c>
      <c r="S774" s="761">
        <f>'Emission-Waste Transport Vehicl'!R59</f>
        <v>0.83791943769600008</v>
      </c>
      <c r="T774" s="761">
        <f>'Emission-Waste Transport Vehicl'!S59</f>
        <v>3.8531098552320009E-2</v>
      </c>
      <c r="U774" s="174">
        <f t="shared" si="341"/>
        <v>-17609.085061024125</v>
      </c>
      <c r="V774" s="174">
        <f t="shared" si="334"/>
        <v>-119.37639677546014</v>
      </c>
      <c r="W774" s="174">
        <f t="shared" si="335"/>
        <v>-173.66779564760472</v>
      </c>
      <c r="X774" s="174">
        <f t="shared" si="336"/>
        <v>-1372.6601234822244</v>
      </c>
      <c r="Y774" s="174">
        <f t="shared" si="337"/>
        <v>-34.388595165478542</v>
      </c>
      <c r="Z774" s="174">
        <f t="shared" si="338"/>
        <v>-205.36135984400192</v>
      </c>
      <c r="AA774" s="1860">
        <f t="shared" si="339"/>
        <v>-72.163227240510935</v>
      </c>
      <c r="AB774" s="3005"/>
      <c r="AC774" s="2727"/>
    </row>
    <row r="775" spans="1:29" ht="18.75" x14ac:dyDescent="0.25">
      <c r="A775" s="2990"/>
      <c r="B775" s="2993"/>
      <c r="C775" s="1863">
        <v>2046</v>
      </c>
      <c r="D775" s="218">
        <f t="shared" si="325"/>
        <v>-200152.62764053611</v>
      </c>
      <c r="E775" s="221">
        <f t="shared" si="332"/>
        <v>8749.529151143437</v>
      </c>
      <c r="F775" s="221">
        <f t="shared" si="333"/>
        <v>0</v>
      </c>
      <c r="G775" s="218">
        <f t="shared" si="326"/>
        <v>-6.1271212543021241</v>
      </c>
      <c r="H775" s="218">
        <f t="shared" si="327"/>
        <v>-6.1271212543021241</v>
      </c>
      <c r="I775" s="218">
        <f t="shared" si="328"/>
        <v>-126.6271725889106</v>
      </c>
      <c r="J775" s="218">
        <f t="shared" si="329"/>
        <v>-4.0847475028680842</v>
      </c>
      <c r="K775" s="218">
        <f t="shared" si="330"/>
        <v>-245.08485017208505</v>
      </c>
      <c r="L775" s="218">
        <f t="shared" si="331"/>
        <v>-1872.8567300650161</v>
      </c>
      <c r="M775" s="764">
        <f t="shared" si="340"/>
        <v>-191.40309848939268</v>
      </c>
      <c r="N775" s="1863">
        <v>93</v>
      </c>
      <c r="O775" s="761">
        <f>'Emission-Waste Transport Vehicl'!N60</f>
        <v>19.101826686096</v>
      </c>
      <c r="P775" s="761">
        <f>'Emission-Waste Transport Vehicl'!O60</f>
        <v>27.789179628671999</v>
      </c>
      <c r="Q775" s="761">
        <f>'Emission-Waste Transport Vehicl'!P60</f>
        <v>10.627938112176002</v>
      </c>
      <c r="R775" s="761">
        <f>'Emission-Waste Transport Vehicl'!Q60</f>
        <v>8.2539555880319995</v>
      </c>
      <c r="S775" s="761">
        <f>'Emission-Waste Transport Vehicl'!R60</f>
        <v>0.82151438846400004</v>
      </c>
      <c r="T775" s="761">
        <f>'Emission-Waste Transport Vehicl'!S60</f>
        <v>3.777672463488E-2</v>
      </c>
      <c r="U775" s="174">
        <f t="shared" si="341"/>
        <v>-17800.488159513519</v>
      </c>
      <c r="V775" s="174">
        <f t="shared" si="334"/>
        <v>-117.03920828437431</v>
      </c>
      <c r="W775" s="174">
        <f t="shared" si="335"/>
        <v>-170.26767314245581</v>
      </c>
      <c r="X775" s="174">
        <f t="shared" si="336"/>
        <v>-1345.7857535947712</v>
      </c>
      <c r="Y775" s="174">
        <f t="shared" si="337"/>
        <v>-33.715324476997779</v>
      </c>
      <c r="Z775" s="174">
        <f t="shared" si="338"/>
        <v>-201.34073081091154</v>
      </c>
      <c r="AA775" s="1860">
        <f t="shared" si="339"/>
        <v>-70.750392972247894</v>
      </c>
      <c r="AB775" s="3005"/>
      <c r="AC775" s="2727"/>
    </row>
    <row r="776" spans="1:29" ht="18.75" x14ac:dyDescent="0.25">
      <c r="A776" s="2990"/>
      <c r="B776" s="2993"/>
      <c r="C776" s="1863">
        <v>2047</v>
      </c>
      <c r="D776" s="218">
        <f t="shared" si="325"/>
        <v>-200152.62764053611</v>
      </c>
      <c r="E776" s="221">
        <f t="shared" si="332"/>
        <v>8749.529151143437</v>
      </c>
      <c r="F776" s="221">
        <f t="shared" si="333"/>
        <v>0</v>
      </c>
      <c r="G776" s="218">
        <f t="shared" si="326"/>
        <v>-6.1271212543021241</v>
      </c>
      <c r="H776" s="218">
        <f t="shared" si="327"/>
        <v>-6.1271212543021241</v>
      </c>
      <c r="I776" s="218">
        <f t="shared" si="328"/>
        <v>-126.6271725889106</v>
      </c>
      <c r="J776" s="218">
        <f t="shared" si="329"/>
        <v>-4.0847475028680842</v>
      </c>
      <c r="K776" s="218">
        <f t="shared" si="330"/>
        <v>-245.08485017208505</v>
      </c>
      <c r="L776" s="218">
        <f t="shared" si="331"/>
        <v>-1872.8567300650161</v>
      </c>
      <c r="M776" s="764">
        <f t="shared" si="340"/>
        <v>-191.40309848939268</v>
      </c>
      <c r="N776" s="1863">
        <v>94</v>
      </c>
      <c r="O776" s="761">
        <f>'Emission-Waste Transport Vehicl'!N61</f>
        <v>18.726897505536005</v>
      </c>
      <c r="P776" s="761">
        <f>'Emission-Waste Transport Vehicl'!O61</f>
        <v>27.243735754752002</v>
      </c>
      <c r="Q776" s="761">
        <f>'Emission-Waste Transport Vehicl'!P61</f>
        <v>10.419333762816001</v>
      </c>
      <c r="R776" s="761">
        <f>'Emission-Waste Transport Vehicl'!Q61</f>
        <v>8.0919475845120008</v>
      </c>
      <c r="S776" s="761">
        <f>'Emission-Waste Transport Vehicl'!R61</f>
        <v>0.80538976742400015</v>
      </c>
      <c r="T776" s="761">
        <f>'Emission-Waste Transport Vehicl'!S61</f>
        <v>3.7035245998080002E-2</v>
      </c>
      <c r="U776" s="174">
        <f t="shared" si="341"/>
        <v>-17991.89125800291</v>
      </c>
      <c r="V776" s="174">
        <f t="shared" si="334"/>
        <v>-114.74197173330708</v>
      </c>
      <c r="W776" s="174">
        <f t="shared" si="335"/>
        <v>-166.92567238953171</v>
      </c>
      <c r="X776" s="174">
        <f t="shared" si="336"/>
        <v>-1319.370774645565</v>
      </c>
      <c r="Y776" s="174">
        <f t="shared" si="337"/>
        <v>-33.053562689174818</v>
      </c>
      <c r="Z776" s="174">
        <f t="shared" si="338"/>
        <v>-197.38883047924151</v>
      </c>
      <c r="AA776" s="1860">
        <f t="shared" si="339"/>
        <v>-69.361709717117591</v>
      </c>
      <c r="AB776" s="3005"/>
      <c r="AC776" s="2727"/>
    </row>
    <row r="777" spans="1:29" ht="18.75" x14ac:dyDescent="0.25">
      <c r="A777" s="2990"/>
      <c r="B777" s="2993"/>
      <c r="C777" s="1863">
        <v>2048</v>
      </c>
      <c r="D777" s="218">
        <f t="shared" si="325"/>
        <v>-200152.62764053611</v>
      </c>
      <c r="E777" s="221">
        <f t="shared" si="332"/>
        <v>8749.529151143437</v>
      </c>
      <c r="F777" s="221">
        <f t="shared" si="333"/>
        <v>0</v>
      </c>
      <c r="G777" s="218">
        <f t="shared" si="326"/>
        <v>-6.1271212543021241</v>
      </c>
      <c r="H777" s="218">
        <f t="shared" si="327"/>
        <v>-6.1271212543021241</v>
      </c>
      <c r="I777" s="218">
        <f t="shared" si="328"/>
        <v>-126.6271725889106</v>
      </c>
      <c r="J777" s="218">
        <f t="shared" si="329"/>
        <v>-4.0847475028680842</v>
      </c>
      <c r="K777" s="218">
        <f t="shared" si="330"/>
        <v>-245.08485017208505</v>
      </c>
      <c r="L777" s="218">
        <f t="shared" si="331"/>
        <v>-1872.8567300650161</v>
      </c>
      <c r="M777" s="764">
        <f t="shared" si="340"/>
        <v>-191.40309848939268</v>
      </c>
      <c r="N777" s="1863">
        <v>95</v>
      </c>
      <c r="O777" s="761">
        <f>'Emission-Waste Transport Vehicl'!N62</f>
        <v>18.358488832464005</v>
      </c>
      <c r="P777" s="761">
        <f>'Emission-Waste Transport Vehicl'!O62</f>
        <v>26.707777861248005</v>
      </c>
      <c r="Q777" s="761">
        <f>'Emission-Waste Transport Vehicl'!P62</f>
        <v>10.214357315184001</v>
      </c>
      <c r="R777" s="761">
        <f>'Emission-Waste Transport Vehicl'!Q62</f>
        <v>7.9327571114880007</v>
      </c>
      <c r="S777" s="761">
        <f>'Emission-Waste Transport Vehicl'!R62</f>
        <v>0.78954557457600016</v>
      </c>
      <c r="T777" s="761">
        <f>'Emission-Waste Transport Vehicl'!S62</f>
        <v>3.6306662641920007E-2</v>
      </c>
      <c r="U777" s="174">
        <f t="shared" si="341"/>
        <v>-18183.294356492304</v>
      </c>
      <c r="V777" s="174">
        <f t="shared" si="334"/>
        <v>-112.48468712225839</v>
      </c>
      <c r="W777" s="174">
        <f t="shared" si="335"/>
        <v>-163.64179338883238</v>
      </c>
      <c r="X777" s="174">
        <f t="shared" si="336"/>
        <v>-1293.415186634606</v>
      </c>
      <c r="Y777" s="174">
        <f t="shared" si="337"/>
        <v>-32.403309802009645</v>
      </c>
      <c r="Z777" s="174">
        <f t="shared" si="338"/>
        <v>-193.5056588489918</v>
      </c>
      <c r="AA777" s="1860">
        <f t="shared" si="339"/>
        <v>-67.997177475119983</v>
      </c>
      <c r="AB777" s="3005"/>
      <c r="AC777" s="2727"/>
    </row>
    <row r="778" spans="1:29" ht="18.75" x14ac:dyDescent="0.25">
      <c r="A778" s="2990"/>
      <c r="B778" s="2993"/>
      <c r="C778" s="1863">
        <v>2049</v>
      </c>
      <c r="D778" s="218">
        <f t="shared" si="325"/>
        <v>-200152.62764053611</v>
      </c>
      <c r="E778" s="221">
        <f t="shared" si="332"/>
        <v>8749.529151143437</v>
      </c>
      <c r="F778" s="221">
        <f t="shared" si="333"/>
        <v>0</v>
      </c>
      <c r="G778" s="218">
        <f t="shared" si="326"/>
        <v>-6.1271212543021241</v>
      </c>
      <c r="H778" s="218">
        <f t="shared" si="327"/>
        <v>-6.1271212543021241</v>
      </c>
      <c r="I778" s="218">
        <f t="shared" si="328"/>
        <v>-126.6271725889106</v>
      </c>
      <c r="J778" s="218">
        <f t="shared" si="329"/>
        <v>-4.0847475028680842</v>
      </c>
      <c r="K778" s="218">
        <f t="shared" si="330"/>
        <v>-245.08485017208505</v>
      </c>
      <c r="L778" s="218">
        <f t="shared" si="331"/>
        <v>-1872.8567300650161</v>
      </c>
      <c r="M778" s="764">
        <f t="shared" si="340"/>
        <v>-191.40309848939268</v>
      </c>
      <c r="N778" s="1863">
        <v>96</v>
      </c>
      <c r="O778" s="761">
        <f>'Emission-Waste Transport Vehicl'!N63</f>
        <v>17.999860920624005</v>
      </c>
      <c r="P778" s="761">
        <f>'Emission-Waste Transport Vehicl'!O63</f>
        <v>26.186048938368003</v>
      </c>
      <c r="Q778" s="761">
        <f>'Emission-Waste Transport Vehicl'!P63</f>
        <v>10.014822720144002</v>
      </c>
      <c r="R778" s="761">
        <f>'Emission-Waste Transport Vehicl'!Q63</f>
        <v>7.7777929342080014</v>
      </c>
      <c r="S778" s="761">
        <f>'Emission-Waste Transport Vehicl'!R63</f>
        <v>0.77412202401600017</v>
      </c>
      <c r="T778" s="761">
        <f>'Emission-Waste Transport Vehicl'!S63</f>
        <v>3.5597422206719999E-2</v>
      </c>
      <c r="U778" s="174">
        <f t="shared" si="341"/>
        <v>-18374.697454981695</v>
      </c>
      <c r="V778" s="174">
        <f t="shared" si="334"/>
        <v>-110.28733042123754</v>
      </c>
      <c r="W778" s="174">
        <f t="shared" si="335"/>
        <v>-160.44509701647016</v>
      </c>
      <c r="X778" s="174">
        <f t="shared" si="336"/>
        <v>-1268.1486850310175</v>
      </c>
      <c r="Y778" s="174">
        <f t="shared" si="337"/>
        <v>-31.770320265831163</v>
      </c>
      <c r="Z778" s="174">
        <f t="shared" si="338"/>
        <v>-189.72558027087263</v>
      </c>
      <c r="AA778" s="1860">
        <f t="shared" si="339"/>
        <v>-66.668871752821403</v>
      </c>
      <c r="AB778" s="3005"/>
      <c r="AC778" s="2727"/>
    </row>
    <row r="779" spans="1:29" ht="18.75" x14ac:dyDescent="0.25">
      <c r="A779" s="2990"/>
      <c r="B779" s="2993"/>
      <c r="C779" s="1863">
        <v>2050</v>
      </c>
      <c r="D779" s="218">
        <f t="shared" si="325"/>
        <v>-200152.62764053611</v>
      </c>
      <c r="E779" s="221">
        <f t="shared" si="332"/>
        <v>8749.529151143437</v>
      </c>
      <c r="F779" s="221">
        <f t="shared" si="333"/>
        <v>0</v>
      </c>
      <c r="G779" s="218">
        <f t="shared" si="326"/>
        <v>-6.1271212543021241</v>
      </c>
      <c r="H779" s="218">
        <f t="shared" si="327"/>
        <v>-6.1271212543021241</v>
      </c>
      <c r="I779" s="218">
        <f t="shared" si="328"/>
        <v>-126.6271725889106</v>
      </c>
      <c r="J779" s="218">
        <f t="shared" si="329"/>
        <v>-4.0847475028680842</v>
      </c>
      <c r="K779" s="218">
        <f t="shared" si="330"/>
        <v>-245.08485017208505</v>
      </c>
      <c r="L779" s="218">
        <f t="shared" si="331"/>
        <v>-1872.8567300650161</v>
      </c>
      <c r="M779" s="764">
        <f t="shared" si="340"/>
        <v>-191.40309848939268</v>
      </c>
      <c r="N779" s="1863">
        <v>97</v>
      </c>
      <c r="O779" s="761">
        <f>'Emission-Waste Transport Vehicl'!N64</f>
        <v>17.644493262528005</v>
      </c>
      <c r="P779" s="761">
        <f>'Emission-Waste Transport Vehicl'!O64</f>
        <v>25.669063005696003</v>
      </c>
      <c r="Q779" s="761">
        <f>'Emission-Waste Transport Vehicl'!P64</f>
        <v>9.8171020759680019</v>
      </c>
      <c r="R779" s="761">
        <f>'Emission-Waste Transport Vehicl'!Q64</f>
        <v>7.624237522176001</v>
      </c>
      <c r="S779" s="761">
        <f>'Emission-Waste Transport Vehicl'!R64</f>
        <v>0.75883868755200012</v>
      </c>
      <c r="T779" s="761">
        <f>'Emission-Waste Transport Vehicl'!S64</f>
        <v>3.4894629411840003E-2</v>
      </c>
      <c r="U779" s="174">
        <f t="shared" si="341"/>
        <v>-18566.100553471089</v>
      </c>
      <c r="V779" s="174">
        <f t="shared" si="334"/>
        <v>-108.10994969022597</v>
      </c>
      <c r="W779" s="174">
        <f t="shared" si="335"/>
        <v>-157.27746152022036</v>
      </c>
      <c r="X779" s="174">
        <f t="shared" si="336"/>
        <v>-1243.1118788965528</v>
      </c>
      <c r="Y779" s="174">
        <f t="shared" si="337"/>
        <v>-31.143085179981568</v>
      </c>
      <c r="Z779" s="174">
        <f t="shared" si="338"/>
        <v>-185.9798660434636</v>
      </c>
      <c r="AA779" s="1860">
        <f t="shared" si="339"/>
        <v>-65.352641537089198</v>
      </c>
      <c r="AB779" s="3005"/>
      <c r="AC779" s="2727"/>
    </row>
    <row r="780" spans="1:29" ht="18.75" x14ac:dyDescent="0.25">
      <c r="A780" s="2990"/>
      <c r="B780" s="2993"/>
      <c r="C780" s="1863">
        <v>2051</v>
      </c>
      <c r="D780" s="218">
        <f t="shared" ref="D780:D798" si="342">$AC$25</f>
        <v>-200152.62764053611</v>
      </c>
      <c r="E780" s="221">
        <f t="shared" si="332"/>
        <v>8749.529151143437</v>
      </c>
      <c r="F780" s="221">
        <f t="shared" si="333"/>
        <v>0</v>
      </c>
      <c r="G780" s="218">
        <f t="shared" ref="G780:G798" si="343">$Y$25</f>
        <v>-6.1271212543021241</v>
      </c>
      <c r="H780" s="218">
        <f t="shared" ref="H780:H798" si="344">$Z$25</f>
        <v>-6.1271212543021241</v>
      </c>
      <c r="I780" s="218">
        <f t="shared" ref="I780:I798" si="345">$X$25</f>
        <v>-126.6271725889106</v>
      </c>
      <c r="J780" s="218">
        <f t="shared" ref="J780:J798" si="346">$AA$25</f>
        <v>-4.0847475028680842</v>
      </c>
      <c r="K780" s="218">
        <f t="shared" ref="K780:K798" si="347">$V$25</f>
        <v>-245.08485017208505</v>
      </c>
      <c r="L780" s="218">
        <f t="shared" ref="L780:L798" si="348">$W$25</f>
        <v>-1872.8567300650161</v>
      </c>
      <c r="M780" s="764">
        <f t="shared" si="340"/>
        <v>-191.40309848939268</v>
      </c>
      <c r="N780" s="1863">
        <v>97</v>
      </c>
      <c r="O780" s="761">
        <f>'Emission-Waste Transport Vehicl'!N65</f>
        <v>17.298906365664003</v>
      </c>
      <c r="P780" s="761">
        <f>'Emission-Waste Transport Vehicl'!O65</f>
        <v>25.166306043648003</v>
      </c>
      <c r="Q780" s="761">
        <f>'Emission-Waste Transport Vehicl'!P65</f>
        <v>9.624823284384</v>
      </c>
      <c r="R780" s="761">
        <f>'Emission-Waste Transport Vehicl'!Q65</f>
        <v>7.4749084058879998</v>
      </c>
      <c r="S780" s="761">
        <f>'Emission-Waste Transport Vehicl'!R65</f>
        <v>0.74397599337600007</v>
      </c>
      <c r="T780" s="761">
        <f>'Emission-Waste Transport Vehicl'!S65</f>
        <v>3.4211179537920001E-2</v>
      </c>
      <c r="U780" s="174">
        <f t="shared" si="341"/>
        <v>-18566.100553471089</v>
      </c>
      <c r="V780" s="174">
        <f t="shared" si="334"/>
        <v>-105.99249686924222</v>
      </c>
      <c r="W780" s="174">
        <f t="shared" si="335"/>
        <v>-154.19700865230769</v>
      </c>
      <c r="X780" s="174">
        <f t="shared" si="336"/>
        <v>-1218.764159169458</v>
      </c>
      <c r="Y780" s="174">
        <f t="shared" si="337"/>
        <v>-30.533113445118659</v>
      </c>
      <c r="Z780" s="174">
        <f t="shared" si="338"/>
        <v>-182.33724486818511</v>
      </c>
      <c r="AA780" s="1860">
        <f t="shared" si="339"/>
        <v>-64.072637841056036</v>
      </c>
      <c r="AB780" s="3005"/>
      <c r="AC780" s="2727"/>
    </row>
    <row r="781" spans="1:29" ht="18.75" x14ac:dyDescent="0.25">
      <c r="A781" s="2990"/>
      <c r="B781" s="2993"/>
      <c r="C781" s="1863">
        <v>2052</v>
      </c>
      <c r="D781" s="218">
        <f t="shared" si="342"/>
        <v>-200152.62764053611</v>
      </c>
      <c r="E781" s="221">
        <f t="shared" si="332"/>
        <v>8749.529151143437</v>
      </c>
      <c r="F781" s="221">
        <f t="shared" si="333"/>
        <v>0</v>
      </c>
      <c r="G781" s="218">
        <f t="shared" si="343"/>
        <v>-6.1271212543021241</v>
      </c>
      <c r="H781" s="218">
        <f t="shared" si="344"/>
        <v>-6.1271212543021241</v>
      </c>
      <c r="I781" s="218">
        <f t="shared" si="345"/>
        <v>-126.6271725889106</v>
      </c>
      <c r="J781" s="218">
        <f t="shared" si="346"/>
        <v>-4.0847475028680842</v>
      </c>
      <c r="K781" s="218">
        <f t="shared" si="347"/>
        <v>-245.08485017208505</v>
      </c>
      <c r="L781" s="218">
        <f t="shared" si="348"/>
        <v>-1872.8567300650161</v>
      </c>
      <c r="M781" s="764">
        <f t="shared" si="340"/>
        <v>-191.40309848939268</v>
      </c>
      <c r="N781" s="1863">
        <v>97</v>
      </c>
      <c r="O781" s="761">
        <f>'Emission-Waste Transport Vehicl'!N66</f>
        <v>16.959839976288002</v>
      </c>
      <c r="P781" s="761">
        <f>'Emission-Waste Transport Vehicl'!O66</f>
        <v>24.673035062016002</v>
      </c>
      <c r="Q781" s="761">
        <f>'Emission-Waste Transport Vehicl'!P66</f>
        <v>9.4361723945280005</v>
      </c>
      <c r="R781" s="761">
        <f>'Emission-Waste Transport Vehicl'!Q66</f>
        <v>7.3283968200960006</v>
      </c>
      <c r="S781" s="761">
        <f>'Emission-Waste Transport Vehicl'!R66</f>
        <v>0.72939372739200004</v>
      </c>
      <c r="T781" s="761">
        <f>'Emission-Waste Transport Vehicl'!S66</f>
        <v>3.3540624944640003E-2</v>
      </c>
      <c r="U781" s="174">
        <f t="shared" si="341"/>
        <v>-18566.100553471089</v>
      </c>
      <c r="V781" s="174">
        <f t="shared" si="334"/>
        <v>-103.91499598827706</v>
      </c>
      <c r="W781" s="174">
        <f t="shared" si="335"/>
        <v>-151.17467753661978</v>
      </c>
      <c r="X781" s="174">
        <f t="shared" si="336"/>
        <v>-1194.875830380611</v>
      </c>
      <c r="Y781" s="174">
        <f t="shared" si="337"/>
        <v>-29.934650610913547</v>
      </c>
      <c r="Z781" s="174">
        <f t="shared" si="338"/>
        <v>-178.76335239432697</v>
      </c>
      <c r="AA781" s="1860">
        <f t="shared" si="339"/>
        <v>-62.816785158155589</v>
      </c>
      <c r="AB781" s="3005"/>
      <c r="AC781" s="2727"/>
    </row>
    <row r="782" spans="1:29" ht="18.75" x14ac:dyDescent="0.25">
      <c r="A782" s="2990"/>
      <c r="B782" s="2993"/>
      <c r="C782" s="1863">
        <v>2053</v>
      </c>
      <c r="D782" s="218">
        <f t="shared" si="342"/>
        <v>-200152.62764053611</v>
      </c>
      <c r="E782" s="221">
        <f t="shared" si="332"/>
        <v>8749.529151143437</v>
      </c>
      <c r="F782" s="221">
        <f t="shared" si="333"/>
        <v>0</v>
      </c>
      <c r="G782" s="218">
        <f t="shared" si="343"/>
        <v>-6.1271212543021241</v>
      </c>
      <c r="H782" s="218">
        <f t="shared" si="344"/>
        <v>-6.1271212543021241</v>
      </c>
      <c r="I782" s="218">
        <f t="shared" si="345"/>
        <v>-126.6271725889106</v>
      </c>
      <c r="J782" s="218">
        <f t="shared" si="346"/>
        <v>-4.0847475028680842</v>
      </c>
      <c r="K782" s="218">
        <f t="shared" si="347"/>
        <v>-245.08485017208505</v>
      </c>
      <c r="L782" s="218">
        <f t="shared" si="348"/>
        <v>-1872.8567300650161</v>
      </c>
      <c r="M782" s="764">
        <f t="shared" si="340"/>
        <v>-191.40309848939268</v>
      </c>
      <c r="N782" s="1863">
        <v>97</v>
      </c>
      <c r="O782" s="761">
        <f>'Emission-Waste Transport Vehicl'!N67</f>
        <v>15.361506000000002</v>
      </c>
      <c r="P782" s="761">
        <f>'Emission-Waste Transport Vehicl'!O67</f>
        <v>24.189250060800003</v>
      </c>
      <c r="Q782" s="761">
        <f>'Emission-Waste Transport Vehicl'!P67</f>
        <v>9.2511494064000015</v>
      </c>
      <c r="R782" s="761">
        <f>'Emission-Waste Transport Vehicl'!Q67</f>
        <v>7.1847027647999999</v>
      </c>
      <c r="S782" s="761">
        <f>'Emission-Waste Transport Vehicl'!R67</f>
        <v>0.71509188960000014</v>
      </c>
      <c r="T782" s="761">
        <f>'Emission-Waste Transport Vehicl'!S67</f>
        <v>3.2882965632000001E-2</v>
      </c>
      <c r="U782" s="174">
        <f t="shared" si="341"/>
        <v>-18566.100553471089</v>
      </c>
      <c r="V782" s="174">
        <f t="shared" si="334"/>
        <v>-94.12180991068962</v>
      </c>
      <c r="W782" s="174">
        <f t="shared" si="335"/>
        <v>-148.21046817315664</v>
      </c>
      <c r="X782" s="174">
        <f t="shared" si="336"/>
        <v>-1171.4468925300107</v>
      </c>
      <c r="Y782" s="174">
        <f t="shared" si="337"/>
        <v>-29.347696677366219</v>
      </c>
      <c r="Z782" s="174">
        <f t="shared" si="338"/>
        <v>-175.25818862188922</v>
      </c>
      <c r="AA782" s="1860">
        <f t="shared" si="339"/>
        <v>-61.585083488387831</v>
      </c>
      <c r="AB782" s="3005"/>
      <c r="AC782" s="2727"/>
    </row>
    <row r="783" spans="1:29" ht="18.75" x14ac:dyDescent="0.25">
      <c r="A783" s="2990"/>
      <c r="B783" s="2993"/>
      <c r="C783" s="1863">
        <v>2054</v>
      </c>
      <c r="D783" s="218">
        <f t="shared" si="342"/>
        <v>-200152.62764053611</v>
      </c>
      <c r="E783" s="221">
        <f t="shared" si="332"/>
        <v>8749.529151143437</v>
      </c>
      <c r="F783" s="221">
        <f t="shared" si="333"/>
        <v>0</v>
      </c>
      <c r="G783" s="218">
        <f t="shared" si="343"/>
        <v>-6.1271212543021241</v>
      </c>
      <c r="H783" s="218">
        <f t="shared" si="344"/>
        <v>-6.1271212543021241</v>
      </c>
      <c r="I783" s="218">
        <f t="shared" si="345"/>
        <v>-126.6271725889106</v>
      </c>
      <c r="J783" s="218">
        <f t="shared" si="346"/>
        <v>-4.0847475028680842</v>
      </c>
      <c r="K783" s="218">
        <f t="shared" si="347"/>
        <v>-245.08485017208505</v>
      </c>
      <c r="L783" s="218">
        <f t="shared" si="348"/>
        <v>-1872.8567300650161</v>
      </c>
      <c r="M783" s="764">
        <f t="shared" si="340"/>
        <v>-191.40309848939268</v>
      </c>
      <c r="N783" s="1863">
        <v>97</v>
      </c>
      <c r="O783" s="761">
        <f>'Emission-Waste Transport Vehicl'!N68</f>
        <v>16.301268720000003</v>
      </c>
      <c r="P783" s="761">
        <f>'Emission-Waste Transport Vehicl'!O68</f>
        <v>23.714951040000003</v>
      </c>
      <c r="Q783" s="761">
        <f>'Emission-Waste Transport Vehicl'!P68</f>
        <v>9.0697543200000013</v>
      </c>
      <c r="R783" s="761">
        <f>'Emission-Waste Transport Vehicl'!Q68</f>
        <v>7.0438262400000005</v>
      </c>
      <c r="S783" s="761">
        <f>'Emission-Waste Transport Vehicl'!R68</f>
        <v>0.70107048000000005</v>
      </c>
      <c r="T783" s="761">
        <f>'Emission-Waste Transport Vehicl'!S68</f>
        <v>3.2238201600000002E-2</v>
      </c>
      <c r="U783" s="174">
        <f t="shared" si="341"/>
        <v>-18566.100553471089</v>
      </c>
      <c r="V783" s="174">
        <f t="shared" si="334"/>
        <v>-99.879850046402396</v>
      </c>
      <c r="W783" s="174">
        <f t="shared" si="335"/>
        <v>-145.30438056191826</v>
      </c>
      <c r="X783" s="174">
        <f t="shared" si="336"/>
        <v>-1148.4773456176576</v>
      </c>
      <c r="Y783" s="174">
        <f t="shared" si="337"/>
        <v>-28.77225164447669</v>
      </c>
      <c r="Z783" s="174">
        <f t="shared" si="338"/>
        <v>-171.82175355087176</v>
      </c>
      <c r="AA783" s="1860">
        <f t="shared" si="339"/>
        <v>-60.377532831752774</v>
      </c>
      <c r="AB783" s="3005"/>
      <c r="AC783" s="2727"/>
    </row>
    <row r="784" spans="1:29" ht="18.75" x14ac:dyDescent="0.25">
      <c r="A784" s="2990"/>
      <c r="B784" s="2993"/>
      <c r="C784" s="1863">
        <v>2055</v>
      </c>
      <c r="D784" s="218">
        <f t="shared" si="342"/>
        <v>-200152.62764053611</v>
      </c>
      <c r="E784" s="221">
        <f t="shared" si="332"/>
        <v>8749.529151143437</v>
      </c>
      <c r="F784" s="221">
        <f t="shared" si="333"/>
        <v>0</v>
      </c>
      <c r="G784" s="218">
        <f t="shared" si="343"/>
        <v>-6.1271212543021241</v>
      </c>
      <c r="H784" s="218">
        <f t="shared" si="344"/>
        <v>-6.1271212543021241</v>
      </c>
      <c r="I784" s="218">
        <f t="shared" si="345"/>
        <v>-126.6271725889106</v>
      </c>
      <c r="J784" s="218">
        <f t="shared" si="346"/>
        <v>-4.0847475028680842</v>
      </c>
      <c r="K784" s="218">
        <f t="shared" si="347"/>
        <v>-245.08485017208505</v>
      </c>
      <c r="L784" s="218">
        <f t="shared" si="348"/>
        <v>-1872.8567300650161</v>
      </c>
      <c r="M784" s="764">
        <f t="shared" si="340"/>
        <v>-191.40309848939268</v>
      </c>
      <c r="N784" s="1863">
        <v>97</v>
      </c>
      <c r="O784" s="761">
        <f>'Emission-Waste Transport Vehicl'!N69</f>
        <v>15.981763853088003</v>
      </c>
      <c r="P784" s="761">
        <f>'Emission-Waste Transport Vehicl'!O69</f>
        <v>23.250137999616001</v>
      </c>
      <c r="Q784" s="761">
        <f>'Emission-Waste Transport Vehicl'!P69</f>
        <v>8.8919871353280016</v>
      </c>
      <c r="R784" s="761">
        <f>'Emission-Waste Transport Vehicl'!Q69</f>
        <v>6.9057672456960004</v>
      </c>
      <c r="S784" s="761">
        <f>'Emission-Waste Transport Vehicl'!R69</f>
        <v>0.6873294985920001</v>
      </c>
      <c r="T784" s="761">
        <f>'Emission-Waste Transport Vehicl'!S69</f>
        <v>3.1606332848640006E-2</v>
      </c>
      <c r="U784" s="174">
        <f t="shared" si="341"/>
        <v>-18566.100553471089</v>
      </c>
      <c r="V784" s="174">
        <f t="shared" si="334"/>
        <v>-97.922204985492911</v>
      </c>
      <c r="W784" s="174">
        <f t="shared" si="335"/>
        <v>-142.45641470290468</v>
      </c>
      <c r="X784" s="174">
        <f t="shared" si="336"/>
        <v>-1125.9671896435516</v>
      </c>
      <c r="Y784" s="174">
        <f t="shared" si="337"/>
        <v>-28.208315512244944</v>
      </c>
      <c r="Z784" s="174">
        <f t="shared" si="338"/>
        <v>-168.45404718127469</v>
      </c>
      <c r="AA784" s="1860">
        <f t="shared" si="339"/>
        <v>-59.194133188250426</v>
      </c>
      <c r="AB784" s="3005"/>
      <c r="AC784" s="2727"/>
    </row>
    <row r="785" spans="1:29" ht="18.75" x14ac:dyDescent="0.25">
      <c r="A785" s="2990"/>
      <c r="B785" s="2993"/>
      <c r="C785" s="1863">
        <v>2056</v>
      </c>
      <c r="D785" s="218">
        <f t="shared" si="342"/>
        <v>-200152.62764053611</v>
      </c>
      <c r="E785" s="221">
        <f t="shared" si="332"/>
        <v>8749.529151143437</v>
      </c>
      <c r="F785" s="221">
        <f t="shared" si="333"/>
        <v>0</v>
      </c>
      <c r="G785" s="218">
        <f t="shared" si="343"/>
        <v>-6.1271212543021241</v>
      </c>
      <c r="H785" s="218">
        <f t="shared" si="344"/>
        <v>-6.1271212543021241</v>
      </c>
      <c r="I785" s="218">
        <f t="shared" si="345"/>
        <v>-126.6271725889106</v>
      </c>
      <c r="J785" s="218">
        <f t="shared" si="346"/>
        <v>-4.0847475028680842</v>
      </c>
      <c r="K785" s="218">
        <f t="shared" si="347"/>
        <v>-245.08485017208505</v>
      </c>
      <c r="L785" s="218">
        <f t="shared" si="348"/>
        <v>-1872.8567300650161</v>
      </c>
      <c r="M785" s="764">
        <f t="shared" si="340"/>
        <v>-191.40309848939268</v>
      </c>
      <c r="N785" s="1863">
        <v>97</v>
      </c>
      <c r="O785" s="761">
        <f>'Emission-Waste Transport Vehicl'!N70</f>
        <v>15.668779493664003</v>
      </c>
      <c r="P785" s="761">
        <f>'Emission-Waste Transport Vehicl'!O70</f>
        <v>22.794810939648006</v>
      </c>
      <c r="Q785" s="761">
        <f>'Emission-Waste Transport Vehicl'!P70</f>
        <v>8.7178478523840006</v>
      </c>
      <c r="R785" s="761">
        <f>'Emission-Waste Transport Vehicl'!Q70</f>
        <v>6.7705257818880007</v>
      </c>
      <c r="S785" s="761">
        <f>'Emission-Waste Transport Vehicl'!R70</f>
        <v>0.67386894537600017</v>
      </c>
      <c r="T785" s="761">
        <f>'Emission-Waste Transport Vehicl'!S70</f>
        <v>3.0987359377920003E-2</v>
      </c>
      <c r="U785" s="174">
        <f t="shared" si="341"/>
        <v>-18566.100553471089</v>
      </c>
      <c r="V785" s="174">
        <f t="shared" si="334"/>
        <v>-96.00451186460198</v>
      </c>
      <c r="W785" s="174">
        <f t="shared" si="335"/>
        <v>-139.66657059611586</v>
      </c>
      <c r="X785" s="174">
        <f t="shared" si="336"/>
        <v>-1103.9164246076925</v>
      </c>
      <c r="Y785" s="174">
        <f t="shared" si="337"/>
        <v>-27.655888280670993</v>
      </c>
      <c r="Z785" s="174">
        <f t="shared" si="338"/>
        <v>-165.15506951309797</v>
      </c>
      <c r="AA785" s="1860">
        <f t="shared" si="339"/>
        <v>-58.034884557880773</v>
      </c>
      <c r="AB785" s="3005"/>
      <c r="AC785" s="2727"/>
    </row>
    <row r="786" spans="1:29" ht="18.75" x14ac:dyDescent="0.25">
      <c r="A786" s="2990"/>
      <c r="B786" s="2993"/>
      <c r="C786" s="1863">
        <v>2057</v>
      </c>
      <c r="D786" s="218">
        <f t="shared" si="342"/>
        <v>-200152.62764053611</v>
      </c>
      <c r="E786" s="221">
        <f t="shared" si="332"/>
        <v>8749.529151143437</v>
      </c>
      <c r="F786" s="221">
        <f t="shared" si="333"/>
        <v>0</v>
      </c>
      <c r="G786" s="218">
        <f t="shared" si="343"/>
        <v>-6.1271212543021241</v>
      </c>
      <c r="H786" s="218">
        <f t="shared" si="344"/>
        <v>-6.1271212543021241</v>
      </c>
      <c r="I786" s="218">
        <f t="shared" si="345"/>
        <v>-126.6271725889106</v>
      </c>
      <c r="J786" s="218">
        <f t="shared" si="346"/>
        <v>-4.0847475028680842</v>
      </c>
      <c r="K786" s="218">
        <f t="shared" si="347"/>
        <v>-245.08485017208505</v>
      </c>
      <c r="L786" s="218">
        <f t="shared" si="348"/>
        <v>-1872.8567300650161</v>
      </c>
      <c r="M786" s="764">
        <f t="shared" si="340"/>
        <v>-191.40309848939268</v>
      </c>
      <c r="N786" s="1863">
        <v>97</v>
      </c>
      <c r="O786" s="761">
        <f>'Emission-Waste Transport Vehicl'!N71</f>
        <v>15.362315641728001</v>
      </c>
      <c r="P786" s="761">
        <f>'Emission-Waste Transport Vehicl'!O71</f>
        <v>22.348969860096002</v>
      </c>
      <c r="Q786" s="761">
        <f>'Emission-Waste Transport Vehicl'!P71</f>
        <v>8.547336471168002</v>
      </c>
      <c r="R786" s="761">
        <f>'Emission-Waste Transport Vehicl'!Q71</f>
        <v>6.6381018485760004</v>
      </c>
      <c r="S786" s="761">
        <f>'Emission-Waste Transport Vehicl'!R71</f>
        <v>0.66068882035200005</v>
      </c>
      <c r="T786" s="761">
        <f>'Emission-Waste Transport Vehicl'!S71</f>
        <v>3.038128118784E-2</v>
      </c>
      <c r="U786" s="174">
        <f t="shared" si="341"/>
        <v>-18566.100553471089</v>
      </c>
      <c r="V786" s="174">
        <f t="shared" si="334"/>
        <v>-94.126770683729603</v>
      </c>
      <c r="W786" s="174">
        <f t="shared" si="335"/>
        <v>-136.93484824155178</v>
      </c>
      <c r="X786" s="174">
        <f t="shared" si="336"/>
        <v>-1082.3250505100807</v>
      </c>
      <c r="Y786" s="174">
        <f t="shared" si="337"/>
        <v>-27.11496994975483</v>
      </c>
      <c r="Z786" s="174">
        <f t="shared" si="338"/>
        <v>-161.92482054634155</v>
      </c>
      <c r="AA786" s="1860">
        <f t="shared" si="339"/>
        <v>-56.899786940643814</v>
      </c>
      <c r="AB786" s="3005"/>
      <c r="AC786" s="2727"/>
    </row>
    <row r="787" spans="1:29" ht="18.75" x14ac:dyDescent="0.25">
      <c r="A787" s="2990"/>
      <c r="B787" s="2993"/>
      <c r="C787" s="1863">
        <v>2058</v>
      </c>
      <c r="D787" s="218">
        <f t="shared" si="342"/>
        <v>-200152.62764053611</v>
      </c>
      <c r="E787" s="221">
        <f t="shared" si="332"/>
        <v>8749.529151143437</v>
      </c>
      <c r="F787" s="221">
        <f t="shared" si="333"/>
        <v>0</v>
      </c>
      <c r="G787" s="218">
        <f t="shared" si="343"/>
        <v>-6.1271212543021241</v>
      </c>
      <c r="H787" s="218">
        <f t="shared" si="344"/>
        <v>-6.1271212543021241</v>
      </c>
      <c r="I787" s="218">
        <f t="shared" si="345"/>
        <v>-126.6271725889106</v>
      </c>
      <c r="J787" s="218">
        <f t="shared" si="346"/>
        <v>-4.0847475028680842</v>
      </c>
      <c r="K787" s="218">
        <f t="shared" si="347"/>
        <v>-245.08485017208505</v>
      </c>
      <c r="L787" s="218">
        <f t="shared" si="348"/>
        <v>-1872.8567300650161</v>
      </c>
      <c r="M787" s="764">
        <f t="shared" si="340"/>
        <v>-191.40309848939268</v>
      </c>
      <c r="N787" s="1863">
        <v>97</v>
      </c>
      <c r="O787" s="761">
        <f>'Emission-Waste Transport Vehicl'!N72</f>
        <v>15.059112043536</v>
      </c>
      <c r="P787" s="761">
        <f>'Emission-Waste Transport Vehicl'!O72</f>
        <v>21.907871770752003</v>
      </c>
      <c r="Q787" s="761">
        <f>'Emission-Waste Transport Vehicl'!P72</f>
        <v>8.378639040816001</v>
      </c>
      <c r="R787" s="761">
        <f>'Emission-Waste Transport Vehicl'!Q72</f>
        <v>6.5070866805119998</v>
      </c>
      <c r="S787" s="761">
        <f>'Emission-Waste Transport Vehicl'!R72</f>
        <v>0.647648909424</v>
      </c>
      <c r="T787" s="761">
        <f>'Emission-Waste Transport Vehicl'!S72</f>
        <v>2.9781650638080002E-2</v>
      </c>
      <c r="U787" s="174">
        <f t="shared" si="341"/>
        <v>-18566.100553471089</v>
      </c>
      <c r="V787" s="174">
        <f t="shared" si="334"/>
        <v>-92.269005472866525</v>
      </c>
      <c r="W787" s="174">
        <f t="shared" si="335"/>
        <v>-134.23218676310012</v>
      </c>
      <c r="X787" s="174">
        <f t="shared" si="336"/>
        <v>-1060.9633718815921</v>
      </c>
      <c r="Y787" s="174">
        <f t="shared" si="337"/>
        <v>-26.579806069167564</v>
      </c>
      <c r="Z787" s="174">
        <f t="shared" si="338"/>
        <v>-158.72893593029534</v>
      </c>
      <c r="AA787" s="1860">
        <f t="shared" si="339"/>
        <v>-55.77676482997321</v>
      </c>
      <c r="AB787" s="3005"/>
      <c r="AC787" s="2727"/>
    </row>
    <row r="788" spans="1:29" ht="18.75" x14ac:dyDescent="0.25">
      <c r="A788" s="2990"/>
      <c r="B788" s="2993"/>
      <c r="C788" s="1863">
        <v>2059</v>
      </c>
      <c r="D788" s="218">
        <f t="shared" si="342"/>
        <v>-200152.62764053611</v>
      </c>
      <c r="E788" s="221">
        <f t="shared" si="332"/>
        <v>8749.529151143437</v>
      </c>
      <c r="F788" s="221">
        <f t="shared" si="333"/>
        <v>0</v>
      </c>
      <c r="G788" s="218">
        <f t="shared" si="343"/>
        <v>-6.1271212543021241</v>
      </c>
      <c r="H788" s="218">
        <f t="shared" si="344"/>
        <v>-6.1271212543021241</v>
      </c>
      <c r="I788" s="218">
        <f t="shared" si="345"/>
        <v>-126.6271725889106</v>
      </c>
      <c r="J788" s="218">
        <f t="shared" si="346"/>
        <v>-4.0847475028680842</v>
      </c>
      <c r="K788" s="218">
        <f t="shared" si="347"/>
        <v>-245.08485017208505</v>
      </c>
      <c r="L788" s="218">
        <f t="shared" si="348"/>
        <v>-1872.8567300650161</v>
      </c>
      <c r="M788" s="764">
        <f t="shared" si="340"/>
        <v>-191.40309848939268</v>
      </c>
      <c r="N788" s="1863">
        <v>97</v>
      </c>
      <c r="O788" s="761">
        <f>'Emission-Waste Transport Vehicl'!N73</f>
        <v>14.765689206576004</v>
      </c>
      <c r="P788" s="761">
        <f>'Emission-Waste Transport Vehicl'!O73</f>
        <v>21.481002652032004</v>
      </c>
      <c r="Q788" s="761">
        <f>'Emission-Waste Transport Vehicl'!P73</f>
        <v>8.2153834630560016</v>
      </c>
      <c r="R788" s="761">
        <f>'Emission-Waste Transport Vehicl'!Q73</f>
        <v>6.380297808192001</v>
      </c>
      <c r="S788" s="761">
        <f>'Emission-Waste Transport Vehicl'!R73</f>
        <v>0.63502964078400004</v>
      </c>
      <c r="T788" s="761">
        <f>'Emission-Waste Transport Vehicl'!S73</f>
        <v>2.9201363009280005E-2</v>
      </c>
      <c r="U788" s="174">
        <f t="shared" si="341"/>
        <v>-18566.100553471089</v>
      </c>
      <c r="V788" s="174">
        <f t="shared" si="334"/>
        <v>-90.471168172031298</v>
      </c>
      <c r="W788" s="174">
        <f t="shared" si="335"/>
        <v>-131.61670791298559</v>
      </c>
      <c r="X788" s="174">
        <f t="shared" si="336"/>
        <v>-1040.2907796604743</v>
      </c>
      <c r="Y788" s="174">
        <f t="shared" si="337"/>
        <v>-26.061905539566986</v>
      </c>
      <c r="Z788" s="174">
        <f t="shared" si="338"/>
        <v>-155.63614436637965</v>
      </c>
      <c r="AA788" s="1860">
        <f t="shared" si="339"/>
        <v>-54.68996923900167</v>
      </c>
      <c r="AB788" s="3005"/>
      <c r="AC788" s="2727"/>
    </row>
    <row r="789" spans="1:29" ht="18.75" x14ac:dyDescent="0.25">
      <c r="A789" s="2990"/>
      <c r="B789" s="2993"/>
      <c r="C789" s="1863">
        <v>2060</v>
      </c>
      <c r="D789" s="218">
        <f t="shared" si="342"/>
        <v>-200152.62764053611</v>
      </c>
      <c r="E789" s="221">
        <f t="shared" si="332"/>
        <v>8749.529151143437</v>
      </c>
      <c r="F789" s="221">
        <f t="shared" si="333"/>
        <v>0</v>
      </c>
      <c r="G789" s="218">
        <f t="shared" si="343"/>
        <v>-6.1271212543021241</v>
      </c>
      <c r="H789" s="218">
        <f t="shared" si="344"/>
        <v>-6.1271212543021241</v>
      </c>
      <c r="I789" s="218">
        <f t="shared" si="345"/>
        <v>-126.6271725889106</v>
      </c>
      <c r="J789" s="218">
        <f t="shared" si="346"/>
        <v>-4.0847475028680842</v>
      </c>
      <c r="K789" s="218">
        <f t="shared" si="347"/>
        <v>-245.08485017208505</v>
      </c>
      <c r="L789" s="218">
        <f t="shared" si="348"/>
        <v>-1872.8567300650161</v>
      </c>
      <c r="M789" s="764">
        <f t="shared" si="340"/>
        <v>-191.40309848939268</v>
      </c>
      <c r="N789" s="1863">
        <v>97</v>
      </c>
      <c r="O789" s="761">
        <f>'Emission-Waste Transport Vehicl'!N74</f>
        <v>14.475526623360002</v>
      </c>
      <c r="P789" s="761">
        <f>'Emission-Waste Transport Vehicl'!O74</f>
        <v>21.058876523520002</v>
      </c>
      <c r="Q789" s="761">
        <f>'Emission-Waste Transport Vehicl'!P74</f>
        <v>8.0539418361599999</v>
      </c>
      <c r="R789" s="761">
        <f>'Emission-Waste Transport Vehicl'!Q74</f>
        <v>6.2549177011200001</v>
      </c>
      <c r="S789" s="761">
        <f>'Emission-Waste Transport Vehicl'!R74</f>
        <v>0.62255058624000004</v>
      </c>
      <c r="T789" s="761">
        <f>'Emission-Waste Transport Vehicl'!S74</f>
        <v>2.8627523020800003E-2</v>
      </c>
      <c r="U789" s="174">
        <f t="shared" si="341"/>
        <v>-18566.100553471089</v>
      </c>
      <c r="V789" s="174">
        <f t="shared" si="334"/>
        <v>-88.693306841205327</v>
      </c>
      <c r="W789" s="174">
        <f t="shared" si="335"/>
        <v>-129.03028993898343</v>
      </c>
      <c r="X789" s="174">
        <f t="shared" si="336"/>
        <v>-1019.8478829084798</v>
      </c>
      <c r="Y789" s="174">
        <f t="shared" si="337"/>
        <v>-25.549759460295299</v>
      </c>
      <c r="Z789" s="174">
        <f t="shared" si="338"/>
        <v>-152.57771715317412</v>
      </c>
      <c r="AA789" s="1860">
        <f t="shared" si="339"/>
        <v>-53.615249154596462</v>
      </c>
      <c r="AB789" s="3005"/>
      <c r="AC789" s="2727"/>
    </row>
    <row r="790" spans="1:29" ht="18.75" x14ac:dyDescent="0.25">
      <c r="A790" s="2990"/>
      <c r="B790" s="2993"/>
      <c r="C790" s="1863">
        <v>2061</v>
      </c>
      <c r="D790" s="218">
        <f t="shared" si="342"/>
        <v>-200152.62764053611</v>
      </c>
      <c r="E790" s="221">
        <f t="shared" si="332"/>
        <v>8749.529151143437</v>
      </c>
      <c r="F790" s="221">
        <f t="shared" si="333"/>
        <v>0</v>
      </c>
      <c r="G790" s="218">
        <f t="shared" si="343"/>
        <v>-6.1271212543021241</v>
      </c>
      <c r="H790" s="218">
        <f t="shared" si="344"/>
        <v>-6.1271212543021241</v>
      </c>
      <c r="I790" s="218">
        <f t="shared" si="345"/>
        <v>-126.6271725889106</v>
      </c>
      <c r="J790" s="218">
        <f t="shared" si="346"/>
        <v>-4.0847475028680842</v>
      </c>
      <c r="K790" s="218">
        <f t="shared" si="347"/>
        <v>-245.08485017208505</v>
      </c>
      <c r="L790" s="218">
        <f t="shared" si="348"/>
        <v>-1872.8567300650161</v>
      </c>
      <c r="M790" s="764">
        <f t="shared" si="340"/>
        <v>-191.40309848939268</v>
      </c>
      <c r="N790" s="1863">
        <v>97</v>
      </c>
      <c r="O790" s="761">
        <f>'Emission-Waste Transport Vehicl'!N75</f>
        <v>14.191884547632004</v>
      </c>
      <c r="P790" s="761">
        <f>'Emission-Waste Transport Vehicl'!O75</f>
        <v>20.646236375424003</v>
      </c>
      <c r="Q790" s="761">
        <f>'Emission-Waste Transport Vehicl'!P75</f>
        <v>7.8961281109920014</v>
      </c>
      <c r="R790" s="761">
        <f>'Emission-Waste Transport Vehicl'!Q75</f>
        <v>6.1323551245440004</v>
      </c>
      <c r="S790" s="761">
        <f>'Emission-Waste Transport Vehicl'!R75</f>
        <v>0.61035195988800006</v>
      </c>
      <c r="T790" s="761">
        <f>'Emission-Waste Transport Vehicl'!S75</f>
        <v>2.8066578312960003E-2</v>
      </c>
      <c r="U790" s="174">
        <f t="shared" si="341"/>
        <v>-18566.100553471089</v>
      </c>
      <c r="V790" s="174">
        <f t="shared" si="334"/>
        <v>-86.955397450397939</v>
      </c>
      <c r="W790" s="174">
        <f t="shared" si="335"/>
        <v>-126.50199371720606</v>
      </c>
      <c r="X790" s="174">
        <f t="shared" si="336"/>
        <v>-999.86437709473273</v>
      </c>
      <c r="Y790" s="174">
        <f t="shared" si="337"/>
        <v>-25.049122281681406</v>
      </c>
      <c r="Z790" s="174">
        <f t="shared" si="338"/>
        <v>-149.58801864138897</v>
      </c>
      <c r="AA790" s="1860">
        <f t="shared" si="339"/>
        <v>-52.564680083323971</v>
      </c>
      <c r="AB790" s="3005"/>
      <c r="AC790" s="2727"/>
    </row>
    <row r="791" spans="1:29" ht="18.75" x14ac:dyDescent="0.25">
      <c r="A791" s="2990"/>
      <c r="B791" s="2993"/>
      <c r="C791" s="1863">
        <v>2062</v>
      </c>
      <c r="D791" s="218">
        <f t="shared" si="342"/>
        <v>-200152.62764053611</v>
      </c>
      <c r="E791" s="221">
        <f t="shared" si="332"/>
        <v>8749.529151143437</v>
      </c>
      <c r="F791" s="221">
        <f t="shared" si="333"/>
        <v>0</v>
      </c>
      <c r="G791" s="218">
        <f t="shared" si="343"/>
        <v>-6.1271212543021241</v>
      </c>
      <c r="H791" s="218">
        <f t="shared" si="344"/>
        <v>-6.1271212543021241</v>
      </c>
      <c r="I791" s="218">
        <f t="shared" si="345"/>
        <v>-126.6271725889106</v>
      </c>
      <c r="J791" s="218">
        <f t="shared" si="346"/>
        <v>-4.0847475028680842</v>
      </c>
      <c r="K791" s="218">
        <f t="shared" si="347"/>
        <v>-245.08485017208505</v>
      </c>
      <c r="L791" s="218">
        <f t="shared" si="348"/>
        <v>-1872.8567300650161</v>
      </c>
      <c r="M791" s="764">
        <f t="shared" si="340"/>
        <v>-191.40309848939268</v>
      </c>
      <c r="N791" s="1863">
        <v>97</v>
      </c>
      <c r="O791" s="761">
        <f>'Emission-Waste Transport Vehicl'!N76</f>
        <v>13.914762979392002</v>
      </c>
      <c r="P791" s="761">
        <f>'Emission-Waste Transport Vehicl'!O76</f>
        <v>20.243082207744003</v>
      </c>
      <c r="Q791" s="761">
        <f>'Emission-Waste Transport Vehicl'!P76</f>
        <v>7.7419422875520008</v>
      </c>
      <c r="R791" s="761">
        <f>'Emission-Waste Transport Vehicl'!Q76</f>
        <v>6.0126100784640002</v>
      </c>
      <c r="S791" s="761">
        <f>'Emission-Waste Transport Vehicl'!R76</f>
        <v>0.59843376172800011</v>
      </c>
      <c r="T791" s="761">
        <f>'Emission-Waste Transport Vehicl'!S76</f>
        <v>2.7518528885760004E-2</v>
      </c>
      <c r="U791" s="174">
        <f t="shared" si="341"/>
        <v>-18566.100553471089</v>
      </c>
      <c r="V791" s="174">
        <f t="shared" si="334"/>
        <v>-85.257439999609076</v>
      </c>
      <c r="W791" s="174">
        <f t="shared" si="335"/>
        <v>-124.03181924765344</v>
      </c>
      <c r="X791" s="174">
        <f t="shared" si="336"/>
        <v>-980.3402622192325</v>
      </c>
      <c r="Y791" s="174">
        <f t="shared" si="337"/>
        <v>-24.559994003725301</v>
      </c>
      <c r="Z791" s="174">
        <f t="shared" si="338"/>
        <v>-146.66704883102415</v>
      </c>
      <c r="AA791" s="1860">
        <f t="shared" si="339"/>
        <v>-51.538262025184174</v>
      </c>
      <c r="AB791" s="3005"/>
      <c r="AC791" s="2727"/>
    </row>
    <row r="792" spans="1:29" ht="18.75" x14ac:dyDescent="0.25">
      <c r="A792" s="2990"/>
      <c r="B792" s="2993"/>
      <c r="C792" s="1863">
        <v>2063</v>
      </c>
      <c r="D792" s="218">
        <f t="shared" si="342"/>
        <v>-200152.62764053611</v>
      </c>
      <c r="E792" s="221">
        <f t="shared" si="332"/>
        <v>8749.529151143437</v>
      </c>
      <c r="F792" s="221">
        <f t="shared" si="333"/>
        <v>0</v>
      </c>
      <c r="G792" s="218">
        <f t="shared" si="343"/>
        <v>-6.1271212543021241</v>
      </c>
      <c r="H792" s="218">
        <f t="shared" si="344"/>
        <v>-6.1271212543021241</v>
      </c>
      <c r="I792" s="218">
        <f t="shared" si="345"/>
        <v>-126.6271725889106</v>
      </c>
      <c r="J792" s="218">
        <f t="shared" si="346"/>
        <v>-4.0847475028680842</v>
      </c>
      <c r="K792" s="218">
        <f t="shared" si="347"/>
        <v>-245.08485017208505</v>
      </c>
      <c r="L792" s="218">
        <f t="shared" si="348"/>
        <v>-1872.8567300650161</v>
      </c>
      <c r="M792" s="764">
        <f t="shared" si="340"/>
        <v>-191.40309848939268</v>
      </c>
      <c r="N792" s="1863">
        <v>97</v>
      </c>
      <c r="O792" s="761">
        <f>'Emission-Waste Transport Vehicl'!N77</f>
        <v>13.640901664896001</v>
      </c>
      <c r="P792" s="761">
        <f>'Emission-Waste Transport Vehicl'!O77</f>
        <v>19.844671030272</v>
      </c>
      <c r="Q792" s="761">
        <f>'Emission-Waste Transport Vehicl'!P77</f>
        <v>7.5895704149760004</v>
      </c>
      <c r="R792" s="761">
        <f>'Emission-Waste Transport Vehicl'!Q77</f>
        <v>5.8942737976319997</v>
      </c>
      <c r="S792" s="761">
        <f>'Emission-Waste Transport Vehicl'!R77</f>
        <v>0.58665577766400001</v>
      </c>
      <c r="T792" s="761">
        <f>'Emission-Waste Transport Vehicl'!S77</f>
        <v>2.6976927098879999E-2</v>
      </c>
      <c r="U792" s="174">
        <f t="shared" si="341"/>
        <v>-18566.100553471089</v>
      </c>
      <c r="V792" s="174">
        <f t="shared" si="334"/>
        <v>-83.579458518829512</v>
      </c>
      <c r="W792" s="174">
        <f t="shared" si="335"/>
        <v>-121.5907056542132</v>
      </c>
      <c r="X792" s="174">
        <f t="shared" si="336"/>
        <v>-961.04584281285577</v>
      </c>
      <c r="Y792" s="174">
        <f t="shared" si="337"/>
        <v>-24.076620176098089</v>
      </c>
      <c r="Z792" s="174">
        <f t="shared" si="338"/>
        <v>-143.78044337136947</v>
      </c>
      <c r="AA792" s="1860">
        <f t="shared" si="339"/>
        <v>-50.523919473610718</v>
      </c>
      <c r="AB792" s="3005"/>
      <c r="AC792" s="2727"/>
    </row>
    <row r="793" spans="1:29" ht="18.75" x14ac:dyDescent="0.25">
      <c r="A793" s="2990"/>
      <c r="B793" s="2993"/>
      <c r="C793" s="1863">
        <v>2064</v>
      </c>
      <c r="D793" s="218">
        <f t="shared" si="342"/>
        <v>-200152.62764053611</v>
      </c>
      <c r="E793" s="221">
        <f t="shared" si="332"/>
        <v>8749.529151143437</v>
      </c>
      <c r="F793" s="221">
        <f t="shared" si="333"/>
        <v>0</v>
      </c>
      <c r="G793" s="218">
        <f t="shared" si="343"/>
        <v>-6.1271212543021241</v>
      </c>
      <c r="H793" s="218">
        <f t="shared" si="344"/>
        <v>-6.1271212543021241</v>
      </c>
      <c r="I793" s="218">
        <f t="shared" si="345"/>
        <v>-126.6271725889106</v>
      </c>
      <c r="J793" s="218">
        <f t="shared" si="346"/>
        <v>-4.0847475028680842</v>
      </c>
      <c r="K793" s="218">
        <f t="shared" si="347"/>
        <v>-245.08485017208505</v>
      </c>
      <c r="L793" s="218">
        <f t="shared" si="348"/>
        <v>-1872.8567300650161</v>
      </c>
      <c r="M793" s="764">
        <f t="shared" si="340"/>
        <v>-191.40309848939268</v>
      </c>
      <c r="N793" s="1863">
        <v>97</v>
      </c>
      <c r="O793" s="761">
        <f>'Emission-Waste Transport Vehicl'!N78</f>
        <v>13.373560857888002</v>
      </c>
      <c r="P793" s="761">
        <f>'Emission-Waste Transport Vehicl'!O78</f>
        <v>19.455745833216003</v>
      </c>
      <c r="Q793" s="761">
        <f>'Emission-Waste Transport Vehicl'!P78</f>
        <v>7.4408264441280014</v>
      </c>
      <c r="R793" s="761">
        <f>'Emission-Waste Transport Vehicl'!Q78</f>
        <v>5.7787550472960003</v>
      </c>
      <c r="S793" s="761">
        <f>'Emission-Waste Transport Vehicl'!R78</f>
        <v>0.57515822179200005</v>
      </c>
      <c r="T793" s="761">
        <f>'Emission-Waste Transport Vehicl'!S78</f>
        <v>2.6448220592640001E-2</v>
      </c>
      <c r="U793" s="174">
        <f t="shared" si="341"/>
        <v>-18566.100553471089</v>
      </c>
      <c r="V793" s="174">
        <f t="shared" si="334"/>
        <v>-81.941428978068529</v>
      </c>
      <c r="W793" s="174">
        <f t="shared" si="335"/>
        <v>-119.20771381299777</v>
      </c>
      <c r="X793" s="174">
        <f t="shared" si="336"/>
        <v>-942.21081434472637</v>
      </c>
      <c r="Y793" s="174">
        <f t="shared" si="337"/>
        <v>-23.604755249128676</v>
      </c>
      <c r="Z793" s="174">
        <f t="shared" si="338"/>
        <v>-140.96256661313521</v>
      </c>
      <c r="AA793" s="1860">
        <f t="shared" si="339"/>
        <v>-49.533727935169978</v>
      </c>
      <c r="AB793" s="3005"/>
      <c r="AC793" s="2727"/>
    </row>
    <row r="794" spans="1:29" ht="18.75" x14ac:dyDescent="0.25">
      <c r="A794" s="2990"/>
      <c r="B794" s="2993"/>
      <c r="C794" s="1863">
        <v>2065</v>
      </c>
      <c r="D794" s="218">
        <f t="shared" si="342"/>
        <v>-200152.62764053611</v>
      </c>
      <c r="E794" s="221">
        <f t="shared" si="332"/>
        <v>8749.529151143437</v>
      </c>
      <c r="F794" s="221">
        <f t="shared" si="333"/>
        <v>0</v>
      </c>
      <c r="G794" s="218">
        <f t="shared" si="343"/>
        <v>-6.1271212543021241</v>
      </c>
      <c r="H794" s="218">
        <f t="shared" si="344"/>
        <v>-6.1271212543021241</v>
      </c>
      <c r="I794" s="218">
        <f t="shared" si="345"/>
        <v>-126.6271725889106</v>
      </c>
      <c r="J794" s="218">
        <f t="shared" si="346"/>
        <v>-4.0847475028680842</v>
      </c>
      <c r="K794" s="218">
        <f t="shared" si="347"/>
        <v>-245.08485017208505</v>
      </c>
      <c r="L794" s="218">
        <f t="shared" si="348"/>
        <v>-1872.8567300650161</v>
      </c>
      <c r="M794" s="764">
        <f t="shared" si="340"/>
        <v>-191.40309848939268</v>
      </c>
      <c r="N794" s="1863">
        <v>97</v>
      </c>
      <c r="O794" s="761">
        <f>'Emission-Waste Transport Vehicl'!N79</f>
        <v>13.112740558368001</v>
      </c>
      <c r="P794" s="761">
        <f>'Emission-Waste Transport Vehicl'!O79</f>
        <v>19.076306616576002</v>
      </c>
      <c r="Q794" s="761">
        <f>'Emission-Waste Transport Vehicl'!P79</f>
        <v>7.2957103750080003</v>
      </c>
      <c r="R794" s="761">
        <f>'Emission-Waste Transport Vehicl'!Q79</f>
        <v>5.6660538274560004</v>
      </c>
      <c r="S794" s="761">
        <f>'Emission-Waste Transport Vehicl'!R79</f>
        <v>0.56394109411200011</v>
      </c>
      <c r="T794" s="761">
        <f>'Emission-Waste Transport Vehicl'!S79</f>
        <v>2.5932409367040003E-2</v>
      </c>
      <c r="U794" s="174">
        <f t="shared" si="341"/>
        <v>-18566.100553471089</v>
      </c>
      <c r="V794" s="174">
        <f t="shared" si="334"/>
        <v>-80.343351377326087</v>
      </c>
      <c r="W794" s="174">
        <f t="shared" si="335"/>
        <v>-116.88284372400706</v>
      </c>
      <c r="X794" s="174">
        <f t="shared" si="336"/>
        <v>-923.83517681484375</v>
      </c>
      <c r="Y794" s="174">
        <f t="shared" si="337"/>
        <v>-23.14439922281705</v>
      </c>
      <c r="Z794" s="174">
        <f t="shared" si="338"/>
        <v>-138.21341855632127</v>
      </c>
      <c r="AA794" s="1860">
        <f t="shared" si="339"/>
        <v>-48.567687409861932</v>
      </c>
      <c r="AB794" s="3005"/>
      <c r="AC794" s="2727"/>
    </row>
    <row r="795" spans="1:29" ht="18.75" x14ac:dyDescent="0.25">
      <c r="A795" s="2990"/>
      <c r="B795" s="2993"/>
      <c r="C795" s="1863">
        <v>2066</v>
      </c>
      <c r="D795" s="218">
        <f t="shared" si="342"/>
        <v>-200152.62764053611</v>
      </c>
      <c r="E795" s="221">
        <f t="shared" si="332"/>
        <v>8749.529151143437</v>
      </c>
      <c r="F795" s="221">
        <f t="shared" si="333"/>
        <v>0</v>
      </c>
      <c r="G795" s="218">
        <f t="shared" si="343"/>
        <v>-6.1271212543021241</v>
      </c>
      <c r="H795" s="218">
        <f t="shared" si="344"/>
        <v>-6.1271212543021241</v>
      </c>
      <c r="I795" s="218">
        <f t="shared" si="345"/>
        <v>-126.6271725889106</v>
      </c>
      <c r="J795" s="218">
        <f t="shared" si="346"/>
        <v>-4.0847475028680842</v>
      </c>
      <c r="K795" s="218">
        <f t="shared" si="347"/>
        <v>-245.08485017208505</v>
      </c>
      <c r="L795" s="218">
        <f t="shared" si="348"/>
        <v>-1872.8567300650161</v>
      </c>
      <c r="M795" s="764">
        <f t="shared" si="340"/>
        <v>-191.40309848939268</v>
      </c>
      <c r="N795" s="1863">
        <v>97</v>
      </c>
      <c r="O795" s="761">
        <f>'Emission-Waste Transport Vehicl'!N80</f>
        <v>12.855180512592</v>
      </c>
      <c r="P795" s="761">
        <f>'Emission-Waste Transport Vehicl'!O80</f>
        <v>18.701610390143998</v>
      </c>
      <c r="Q795" s="761">
        <f>'Emission-Waste Transport Vehicl'!P80</f>
        <v>7.1524082567520004</v>
      </c>
      <c r="R795" s="761">
        <f>'Emission-Waste Transport Vehicl'!Q80</f>
        <v>5.5547613728639993</v>
      </c>
      <c r="S795" s="761">
        <f>'Emission-Waste Transport Vehicl'!R80</f>
        <v>0.55286418052800002</v>
      </c>
      <c r="T795" s="761">
        <f>'Emission-Waste Transport Vehicl'!S80</f>
        <v>2.5423045781760002E-2</v>
      </c>
      <c r="U795" s="174">
        <f t="shared" si="341"/>
        <v>-18566.100553471089</v>
      </c>
      <c r="V795" s="174">
        <f t="shared" si="334"/>
        <v>-78.765249746592914</v>
      </c>
      <c r="W795" s="174">
        <f t="shared" si="335"/>
        <v>-114.58703451112872</v>
      </c>
      <c r="X795" s="174">
        <f t="shared" si="336"/>
        <v>-905.68923475408474</v>
      </c>
      <c r="Y795" s="174">
        <f t="shared" si="337"/>
        <v>-22.689797646834311</v>
      </c>
      <c r="Z795" s="174">
        <f t="shared" si="338"/>
        <v>-135.49863485021746</v>
      </c>
      <c r="AA795" s="1860">
        <f t="shared" si="339"/>
        <v>-47.613722391120241</v>
      </c>
      <c r="AB795" s="3005"/>
      <c r="AC795" s="2727"/>
    </row>
    <row r="796" spans="1:29" ht="18.75" x14ac:dyDescent="0.25">
      <c r="A796" s="2990"/>
      <c r="B796" s="2993"/>
      <c r="C796" s="1863">
        <v>2067</v>
      </c>
      <c r="D796" s="218">
        <f t="shared" si="342"/>
        <v>-200152.62764053611</v>
      </c>
      <c r="E796" s="221">
        <f t="shared" si="332"/>
        <v>8749.529151143437</v>
      </c>
      <c r="F796" s="221">
        <f t="shared" si="333"/>
        <v>0</v>
      </c>
      <c r="G796" s="218">
        <f t="shared" si="343"/>
        <v>-6.1271212543021241</v>
      </c>
      <c r="H796" s="218">
        <f t="shared" si="344"/>
        <v>-6.1271212543021241</v>
      </c>
      <c r="I796" s="218">
        <f t="shared" si="345"/>
        <v>-126.6271725889106</v>
      </c>
      <c r="J796" s="218">
        <f t="shared" si="346"/>
        <v>-4.0847475028680842</v>
      </c>
      <c r="K796" s="218">
        <f t="shared" si="347"/>
        <v>-245.08485017208505</v>
      </c>
      <c r="L796" s="218">
        <f t="shared" si="348"/>
        <v>-1872.8567300650161</v>
      </c>
      <c r="M796" s="764">
        <f t="shared" si="340"/>
        <v>-191.40309848939268</v>
      </c>
      <c r="N796" s="1863">
        <v>97</v>
      </c>
      <c r="O796" s="761">
        <f>'Emission-Waste Transport Vehicl'!N81</f>
        <v>12.600880720560001</v>
      </c>
      <c r="P796" s="761">
        <f>'Emission-Waste Transport Vehicl'!O81</f>
        <v>18.331657153920002</v>
      </c>
      <c r="Q796" s="761">
        <f>'Emission-Waste Transport Vehicl'!P81</f>
        <v>7.0109200893600008</v>
      </c>
      <c r="R796" s="761">
        <f>'Emission-Waste Transport Vehicl'!Q81</f>
        <v>5.4448776835200006</v>
      </c>
      <c r="S796" s="761">
        <f>'Emission-Waste Transport Vehicl'!R81</f>
        <v>0.5419274810400001</v>
      </c>
      <c r="T796" s="761">
        <f>'Emission-Waste Transport Vehicl'!S81</f>
        <v>2.4920129836800003E-2</v>
      </c>
      <c r="U796" s="174">
        <f t="shared" si="341"/>
        <v>-18566.100553471089</v>
      </c>
      <c r="V796" s="174">
        <f t="shared" si="334"/>
        <v>-77.20712408586904</v>
      </c>
      <c r="W796" s="174">
        <f t="shared" si="335"/>
        <v>-112.32028617436283</v>
      </c>
      <c r="X796" s="174">
        <f t="shared" si="336"/>
        <v>-887.77298816244934</v>
      </c>
      <c r="Y796" s="174">
        <f t="shared" si="337"/>
        <v>-22.24095052118048</v>
      </c>
      <c r="Z796" s="174">
        <f t="shared" si="338"/>
        <v>-132.8182154948239</v>
      </c>
      <c r="AA796" s="1860">
        <f t="shared" si="339"/>
        <v>-46.671832878944898</v>
      </c>
      <c r="AB796" s="3005"/>
      <c r="AC796" s="2727"/>
    </row>
    <row r="797" spans="1:29" ht="18.75" x14ac:dyDescent="0.25">
      <c r="A797" s="2990"/>
      <c r="B797" s="2993"/>
      <c r="C797" s="1863">
        <v>2068</v>
      </c>
      <c r="D797" s="218">
        <f t="shared" si="342"/>
        <v>-200152.62764053611</v>
      </c>
      <c r="E797" s="221">
        <f t="shared" si="332"/>
        <v>8749.529151143437</v>
      </c>
      <c r="F797" s="221">
        <f t="shared" si="333"/>
        <v>0</v>
      </c>
      <c r="G797" s="218">
        <f t="shared" si="343"/>
        <v>-6.1271212543021241</v>
      </c>
      <c r="H797" s="218">
        <f t="shared" si="344"/>
        <v>-6.1271212543021241</v>
      </c>
      <c r="I797" s="218">
        <f t="shared" si="345"/>
        <v>-126.6271725889106</v>
      </c>
      <c r="J797" s="218">
        <f t="shared" si="346"/>
        <v>-4.0847475028680842</v>
      </c>
      <c r="K797" s="218">
        <f t="shared" si="347"/>
        <v>-245.08485017208505</v>
      </c>
      <c r="L797" s="218">
        <f t="shared" si="348"/>
        <v>-1872.8567300650161</v>
      </c>
      <c r="M797" s="764">
        <f t="shared" si="340"/>
        <v>-191.40309848939268</v>
      </c>
      <c r="N797" s="1863">
        <v>97</v>
      </c>
      <c r="O797" s="761">
        <f>'Emission-Waste Transport Vehicl'!N82</f>
        <v>12.356361689760002</v>
      </c>
      <c r="P797" s="761">
        <f>'Emission-Waste Transport Vehicl'!O82</f>
        <v>17.975932888320003</v>
      </c>
      <c r="Q797" s="761">
        <f>'Emission-Waste Transport Vehicl'!P82</f>
        <v>6.8748737745600002</v>
      </c>
      <c r="R797" s="761">
        <f>'Emission-Waste Transport Vehicl'!Q82</f>
        <v>5.339220289920001</v>
      </c>
      <c r="S797" s="761">
        <f>'Emission-Waste Transport Vehicl'!R82</f>
        <v>0.53141142384000006</v>
      </c>
      <c r="T797" s="761">
        <f>'Emission-Waste Transport Vehicl'!S82</f>
        <v>2.4436556812800003E-2</v>
      </c>
      <c r="U797" s="174">
        <f t="shared" si="341"/>
        <v>-18566.100553471089</v>
      </c>
      <c r="V797" s="174">
        <f t="shared" si="334"/>
        <v>-75.708926335173018</v>
      </c>
      <c r="W797" s="174">
        <f t="shared" si="335"/>
        <v>-110.14072046593405</v>
      </c>
      <c r="X797" s="174">
        <f t="shared" si="336"/>
        <v>-870.54582797818443</v>
      </c>
      <c r="Y797" s="174">
        <f t="shared" si="337"/>
        <v>-21.809366746513334</v>
      </c>
      <c r="Z797" s="174">
        <f t="shared" si="338"/>
        <v>-130.2408891915608</v>
      </c>
      <c r="AA797" s="1860">
        <f t="shared" si="339"/>
        <v>-45.766169886468603</v>
      </c>
      <c r="AB797" s="3005"/>
      <c r="AC797" s="2727"/>
    </row>
    <row r="798" spans="1:29" ht="19.5" thickBot="1" x14ac:dyDescent="0.3">
      <c r="A798" s="2991"/>
      <c r="B798" s="2994"/>
      <c r="C798" s="1864">
        <v>2069</v>
      </c>
      <c r="D798" s="222">
        <f t="shared" si="342"/>
        <v>-200152.62764053611</v>
      </c>
      <c r="E798" s="328">
        <f t="shared" si="332"/>
        <v>8749.529151143437</v>
      </c>
      <c r="F798" s="328">
        <f t="shared" si="333"/>
        <v>0</v>
      </c>
      <c r="G798" s="222">
        <f t="shared" si="343"/>
        <v>-6.1271212543021241</v>
      </c>
      <c r="H798" s="222">
        <f t="shared" si="344"/>
        <v>-6.1271212543021241</v>
      </c>
      <c r="I798" s="222">
        <f t="shared" si="345"/>
        <v>-126.6271725889106</v>
      </c>
      <c r="J798" s="222">
        <f t="shared" si="346"/>
        <v>-4.0847475028680842</v>
      </c>
      <c r="K798" s="222">
        <f t="shared" si="347"/>
        <v>-245.08485017208505</v>
      </c>
      <c r="L798" s="222">
        <f t="shared" si="348"/>
        <v>-1872.8567300650161</v>
      </c>
      <c r="M798" s="759">
        <f>(D798/1000)+(E798/1000)+(F798/1000)</f>
        <v>-191.40309848939268</v>
      </c>
      <c r="N798" s="1864">
        <v>97</v>
      </c>
      <c r="O798" s="767">
        <f>'Emission-Waste Transport Vehicl'!N83</f>
        <v>12.111842658960002</v>
      </c>
      <c r="P798" s="767">
        <f>'Emission-Waste Transport Vehicl'!O83</f>
        <v>17.62020862272</v>
      </c>
      <c r="Q798" s="767">
        <f>'Emission-Waste Transport Vehicl'!P83</f>
        <v>6.7388274597600004</v>
      </c>
      <c r="R798" s="767">
        <f>'Emission-Waste Transport Vehicl'!Q83</f>
        <v>5.2335628963200005</v>
      </c>
      <c r="S798" s="767">
        <f>'Emission-Waste Transport Vehicl'!R83</f>
        <v>0.52089536664000002</v>
      </c>
      <c r="T798" s="767">
        <f>'Emission-Waste Transport Vehicl'!S83</f>
        <v>2.3952983788800002E-2</v>
      </c>
      <c r="U798" s="647">
        <f t="shared" si="341"/>
        <v>-18566.100553471089</v>
      </c>
      <c r="V798" s="647">
        <f t="shared" si="334"/>
        <v>-74.210728584476982</v>
      </c>
      <c r="W798" s="647">
        <f t="shared" si="335"/>
        <v>-107.96115475750527</v>
      </c>
      <c r="X798" s="647">
        <f t="shared" si="336"/>
        <v>-853.31866779391953</v>
      </c>
      <c r="Y798" s="647">
        <f t="shared" si="337"/>
        <v>-21.37778297184618</v>
      </c>
      <c r="Z798" s="647">
        <f t="shared" si="338"/>
        <v>-127.66356288829772</v>
      </c>
      <c r="AA798" s="1861">
        <f t="shared" si="339"/>
        <v>-44.860506893992309</v>
      </c>
      <c r="AB798" s="3006"/>
      <c r="AC798" s="2727"/>
    </row>
    <row r="799" spans="1:29" ht="18.75" x14ac:dyDescent="0.25">
      <c r="A799" s="2981" t="s">
        <v>221</v>
      </c>
      <c r="B799" s="2458" t="s">
        <v>1803</v>
      </c>
      <c r="C799" s="1865">
        <v>2019</v>
      </c>
      <c r="D799" s="221">
        <f t="shared" ref="D799:D830" si="349">$AC$27</f>
        <v>-127216.31886336274</v>
      </c>
      <c r="E799" s="221">
        <f>$AB$27*28</f>
        <v>4824.5581179067685</v>
      </c>
      <c r="F799" s="221">
        <f>$AD$27*298</f>
        <v>0</v>
      </c>
      <c r="G799" s="221">
        <f t="shared" ref="G799:G830" si="350">$Y$27</f>
        <v>-6.4413326006765947</v>
      </c>
      <c r="H799" s="221">
        <f t="shared" ref="H799:H830" si="351">$Z$27</f>
        <v>-1.6103331501691474</v>
      </c>
      <c r="I799" s="221">
        <f t="shared" ref="I799:I830" si="352">$X$27</f>
        <v>-33.816996153552104</v>
      </c>
      <c r="J799" s="221">
        <f t="shared" ref="J799:J830" si="353">$AA$27</f>
        <v>-1.6103331501691487</v>
      </c>
      <c r="K799" s="221">
        <f t="shared" ref="K799:K830" si="354">$V$27</f>
        <v>-170.69531391792975</v>
      </c>
      <c r="L799" s="221">
        <f t="shared" ref="L799:L830" si="355">$W$27</f>
        <v>-618.36792966495295</v>
      </c>
      <c r="M799" s="354">
        <f t="shared" ref="M799:M849" si="356">(D799/1000)+(E799/1000)+(F799/1000)</f>
        <v>-122.39176074545597</v>
      </c>
      <c r="N799" s="1852">
        <v>62</v>
      </c>
      <c r="O799" s="726">
        <f>'Emission-Waste Transport Vehicl'!N33</f>
        <v>32.602537440000006</v>
      </c>
      <c r="P799" s="726">
        <f>'Emission-Waste Transport Vehicl'!O33</f>
        <v>47.429902080000005</v>
      </c>
      <c r="Q799" s="726">
        <f>'Emission-Waste Transport Vehicl'!P33</f>
        <v>18.139508640000003</v>
      </c>
      <c r="R799" s="726">
        <f>'Emission-Waste Transport Vehicl'!Q33</f>
        <v>14.087652480000001</v>
      </c>
      <c r="S799" s="726">
        <f>'Emission-Waste Transport Vehicl'!R33</f>
        <v>1.4021409600000001</v>
      </c>
      <c r="T799" s="726">
        <f>'Emission-Waste Transport Vehicl'!S33</f>
        <v>6.4476403200000004E-2</v>
      </c>
      <c r="U799" s="1848">
        <f t="shared" si="341"/>
        <v>-7588.2891662182701</v>
      </c>
      <c r="V799" s="1848">
        <f t="shared" si="334"/>
        <v>-210.00378727705129</v>
      </c>
      <c r="W799" s="1848">
        <f t="shared" si="335"/>
        <v>-76.377943628700606</v>
      </c>
      <c r="X799" s="1848">
        <f t="shared" si="336"/>
        <v>-613.42369390620524</v>
      </c>
      <c r="Y799" s="1848">
        <f t="shared" si="337"/>
        <v>-22.68581379660662</v>
      </c>
      <c r="Z799" s="1848">
        <f t="shared" si="338"/>
        <v>-239.33889132438739</v>
      </c>
      <c r="AA799" s="1848">
        <f t="shared" si="339"/>
        <v>-39.870139959026751</v>
      </c>
      <c r="AB799" s="2984">
        <f>(SUM(U799:U849)*1.2682)+(SUM(V799:V849))+(SUM(W799:W849))+(SUM(X799:X849))+(SUM(Y799:Y849))+(SUM(Z799:Z849))+(SUM(AA799:AA849))</f>
        <v>-721135.02565436868</v>
      </c>
      <c r="AC799" s="3015"/>
    </row>
    <row r="800" spans="1:29" ht="18.75" x14ac:dyDescent="0.25">
      <c r="A800" s="2982"/>
      <c r="B800" s="2753"/>
      <c r="C800" s="1863">
        <v>2020</v>
      </c>
      <c r="D800" s="218">
        <f t="shared" si="349"/>
        <v>-127216.31886336274</v>
      </c>
      <c r="E800" s="221">
        <f t="shared" ref="E800:E849" si="357">$AB$27*28</f>
        <v>4824.5581179067685</v>
      </c>
      <c r="F800" s="221">
        <f t="shared" ref="F800:F849" si="358">$AD$27*298</f>
        <v>0</v>
      </c>
      <c r="G800" s="218">
        <f t="shared" si="350"/>
        <v>-6.4413326006765947</v>
      </c>
      <c r="H800" s="218">
        <f t="shared" si="351"/>
        <v>-1.6103331501691474</v>
      </c>
      <c r="I800" s="218">
        <f t="shared" si="352"/>
        <v>-33.816996153552104</v>
      </c>
      <c r="J800" s="218">
        <f t="shared" si="353"/>
        <v>-1.6103331501691487</v>
      </c>
      <c r="K800" s="218">
        <f t="shared" si="354"/>
        <v>-170.69531391792975</v>
      </c>
      <c r="L800" s="218">
        <f t="shared" si="355"/>
        <v>-618.36792966495295</v>
      </c>
      <c r="M800" s="192">
        <f t="shared" si="356"/>
        <v>-122.39176074545597</v>
      </c>
      <c r="N800" s="1849">
        <v>64</v>
      </c>
      <c r="O800" s="211">
        <f>'Emission-Waste Transport Vehicl'!N34</f>
        <v>31.963527706176006</v>
      </c>
      <c r="P800" s="211">
        <f>'Emission-Waste Transport Vehicl'!O34</f>
        <v>46.500275999232002</v>
      </c>
      <c r="Q800" s="211">
        <f>'Emission-Waste Transport Vehicl'!P34</f>
        <v>17.783974270656003</v>
      </c>
      <c r="R800" s="211">
        <f>'Emission-Waste Transport Vehicl'!Q34</f>
        <v>13.811534491392001</v>
      </c>
      <c r="S800" s="211">
        <f>'Emission-Waste Transport Vehicl'!R34</f>
        <v>1.3746589971840002</v>
      </c>
      <c r="T800" s="211">
        <f>'Emission-Waste Transport Vehicl'!S34</f>
        <v>6.3212665697280013E-2</v>
      </c>
      <c r="U800" s="1850">
        <f t="shared" si="341"/>
        <v>-7833.072687709182</v>
      </c>
      <c r="V800" s="1850">
        <f t="shared" si="334"/>
        <v>-205.88771304642108</v>
      </c>
      <c r="W800" s="1850">
        <f t="shared" si="335"/>
        <v>-74.880935933578073</v>
      </c>
      <c r="X800" s="1850">
        <f t="shared" si="336"/>
        <v>-601.40058950564367</v>
      </c>
      <c r="Y800" s="1850">
        <f t="shared" si="337"/>
        <v>-22.241171846193133</v>
      </c>
      <c r="Z800" s="1850">
        <f t="shared" si="338"/>
        <v>-234.64784905442943</v>
      </c>
      <c r="AA800" s="1850">
        <f t="shared" si="339"/>
        <v>-39.088685215829834</v>
      </c>
      <c r="AB800" s="2984"/>
      <c r="AC800" s="3015"/>
    </row>
    <row r="801" spans="1:29" ht="18.75" x14ac:dyDescent="0.25">
      <c r="A801" s="2982"/>
      <c r="B801" s="2753"/>
      <c r="C801" s="1863">
        <v>2021</v>
      </c>
      <c r="D801" s="218">
        <f t="shared" si="349"/>
        <v>-127216.31886336274</v>
      </c>
      <c r="E801" s="221">
        <f t="shared" si="357"/>
        <v>4824.5581179067685</v>
      </c>
      <c r="F801" s="221">
        <f t="shared" si="358"/>
        <v>0</v>
      </c>
      <c r="G801" s="218">
        <f t="shared" si="350"/>
        <v>-6.4413326006765947</v>
      </c>
      <c r="H801" s="218">
        <f t="shared" si="351"/>
        <v>-1.6103331501691474</v>
      </c>
      <c r="I801" s="218">
        <f t="shared" si="352"/>
        <v>-33.816996153552104</v>
      </c>
      <c r="J801" s="218">
        <f t="shared" si="353"/>
        <v>-1.6103331501691487</v>
      </c>
      <c r="K801" s="218">
        <f t="shared" si="354"/>
        <v>-170.69531391792975</v>
      </c>
      <c r="L801" s="218">
        <f t="shared" si="355"/>
        <v>-618.36792966495295</v>
      </c>
      <c r="M801" s="192">
        <f t="shared" si="356"/>
        <v>-122.39176074545597</v>
      </c>
      <c r="N801" s="1849">
        <v>65</v>
      </c>
      <c r="O801" s="211">
        <f>'Emission-Waste Transport Vehicl'!N35</f>
        <v>31.337558987328006</v>
      </c>
      <c r="P801" s="211">
        <f>'Emission-Waste Transport Vehicl'!O35</f>
        <v>45.589621879296011</v>
      </c>
      <c r="Q801" s="211">
        <f>'Emission-Waste Transport Vehicl'!P35</f>
        <v>17.435695704768001</v>
      </c>
      <c r="R801" s="211">
        <f>'Emission-Waste Transport Vehicl'!Q35</f>
        <v>13.541051563776001</v>
      </c>
      <c r="S801" s="211">
        <f>'Emission-Waste Transport Vehicl'!R35</f>
        <v>1.3477378907520003</v>
      </c>
      <c r="T801" s="211">
        <f>'Emission-Waste Transport Vehicl'!S35</f>
        <v>6.1974718755840007E-2</v>
      </c>
      <c r="U801" s="1850">
        <f t="shared" si="341"/>
        <v>-7955.4644484546379</v>
      </c>
      <c r="V801" s="1850">
        <f t="shared" si="334"/>
        <v>-201.8556403307017</v>
      </c>
      <c r="W801" s="1850">
        <f t="shared" si="335"/>
        <v>-73.414479415907024</v>
      </c>
      <c r="X801" s="1850">
        <f t="shared" si="336"/>
        <v>-589.62285458264444</v>
      </c>
      <c r="Y801" s="1850">
        <f t="shared" si="337"/>
        <v>-21.805604221298285</v>
      </c>
      <c r="Z801" s="1850">
        <f t="shared" si="338"/>
        <v>-230.05254234100121</v>
      </c>
      <c r="AA801" s="1850">
        <f t="shared" si="339"/>
        <v>-38.323178528616516</v>
      </c>
      <c r="AB801" s="2984"/>
      <c r="AC801" s="3015"/>
    </row>
    <row r="802" spans="1:29" ht="18.75" x14ac:dyDescent="0.25">
      <c r="A802" s="2982"/>
      <c r="B802" s="2753"/>
      <c r="C802" s="1863">
        <v>2022</v>
      </c>
      <c r="D802" s="218">
        <f t="shared" si="349"/>
        <v>-127216.31886336274</v>
      </c>
      <c r="E802" s="221">
        <f t="shared" si="357"/>
        <v>4824.5581179067685</v>
      </c>
      <c r="F802" s="221">
        <f t="shared" si="358"/>
        <v>0</v>
      </c>
      <c r="G802" s="218">
        <f t="shared" si="350"/>
        <v>-6.4413326006765947</v>
      </c>
      <c r="H802" s="218">
        <f t="shared" si="351"/>
        <v>-1.6103331501691474</v>
      </c>
      <c r="I802" s="218">
        <f t="shared" si="352"/>
        <v>-33.816996153552104</v>
      </c>
      <c r="J802" s="218">
        <f t="shared" si="353"/>
        <v>-1.6103331501691487</v>
      </c>
      <c r="K802" s="218">
        <f t="shared" si="354"/>
        <v>-170.69531391792975</v>
      </c>
      <c r="L802" s="218">
        <f t="shared" si="355"/>
        <v>-618.36792966495295</v>
      </c>
      <c r="M802" s="192">
        <f t="shared" si="356"/>
        <v>-122.39176074545597</v>
      </c>
      <c r="N802" s="1849">
        <v>66</v>
      </c>
      <c r="O802" s="211">
        <f>'Emission-Waste Transport Vehicl'!N36</f>
        <v>30.721371029712003</v>
      </c>
      <c r="P802" s="211">
        <f>'Emission-Waste Transport Vehicl'!O36</f>
        <v>44.693196729984003</v>
      </c>
      <c r="Q802" s="211">
        <f>'Emission-Waste Transport Vehicl'!P36</f>
        <v>17.092858991472003</v>
      </c>
      <c r="R802" s="211">
        <f>'Emission-Waste Transport Vehicl'!Q36</f>
        <v>13.274794931903999</v>
      </c>
      <c r="S802" s="211">
        <f>'Emission-Waste Transport Vehicl'!R36</f>
        <v>1.3212374266080003</v>
      </c>
      <c r="T802" s="211">
        <f>'Emission-Waste Transport Vehicl'!S36</f>
        <v>6.0756114735360002E-2</v>
      </c>
      <c r="U802" s="1850">
        <f t="shared" si="341"/>
        <v>-8077.8562092000939</v>
      </c>
      <c r="V802" s="1850">
        <f t="shared" si="334"/>
        <v>-197.88656875116541</v>
      </c>
      <c r="W802" s="1850">
        <f t="shared" si="335"/>
        <v>-71.970936281324569</v>
      </c>
      <c r="X802" s="1850">
        <f t="shared" si="336"/>
        <v>-578.02914676781722</v>
      </c>
      <c r="Y802" s="1850">
        <f t="shared" si="337"/>
        <v>-21.376842340542417</v>
      </c>
      <c r="Z802" s="1850">
        <f t="shared" si="338"/>
        <v>-225.52903729497027</v>
      </c>
      <c r="AA802" s="1850">
        <f t="shared" si="339"/>
        <v>-37.569632883390902</v>
      </c>
      <c r="AB802" s="2984"/>
      <c r="AC802" s="3015"/>
    </row>
    <row r="803" spans="1:29" ht="18.75" x14ac:dyDescent="0.25">
      <c r="A803" s="2982"/>
      <c r="B803" s="2753"/>
      <c r="C803" s="1863">
        <v>2023</v>
      </c>
      <c r="D803" s="218">
        <f t="shared" si="349"/>
        <v>-127216.31886336274</v>
      </c>
      <c r="E803" s="221">
        <f t="shared" si="357"/>
        <v>4824.5581179067685</v>
      </c>
      <c r="F803" s="221">
        <f t="shared" si="358"/>
        <v>0</v>
      </c>
      <c r="G803" s="218">
        <f t="shared" si="350"/>
        <v>-6.4413326006765947</v>
      </c>
      <c r="H803" s="218">
        <f t="shared" si="351"/>
        <v>-1.6103331501691474</v>
      </c>
      <c r="I803" s="218">
        <f t="shared" si="352"/>
        <v>-33.816996153552104</v>
      </c>
      <c r="J803" s="218">
        <f t="shared" si="353"/>
        <v>-1.6103331501691487</v>
      </c>
      <c r="K803" s="218">
        <f t="shared" si="354"/>
        <v>-170.69531391792975</v>
      </c>
      <c r="L803" s="218">
        <f t="shared" si="355"/>
        <v>-618.36792966495295</v>
      </c>
      <c r="M803" s="192">
        <f t="shared" si="356"/>
        <v>-122.39176074545597</v>
      </c>
      <c r="N803" s="1849">
        <v>67</v>
      </c>
      <c r="O803" s="211">
        <f>'Emission-Waste Transport Vehicl'!N37</f>
        <v>30.118224087072001</v>
      </c>
      <c r="P803" s="211">
        <f>'Emission-Waste Transport Vehicl'!O37</f>
        <v>43.815743541504006</v>
      </c>
      <c r="Q803" s="211">
        <f>'Emission-Waste Transport Vehicl'!P37</f>
        <v>16.757278081632002</v>
      </c>
      <c r="R803" s="211">
        <f>'Emission-Waste Transport Vehicl'!Q37</f>
        <v>13.014173361024</v>
      </c>
      <c r="S803" s="211">
        <f>'Emission-Waste Transport Vehicl'!R37</f>
        <v>1.295297818848</v>
      </c>
      <c r="T803" s="211">
        <f>'Emission-Waste Transport Vehicl'!S37</f>
        <v>5.9563301276160004E-2</v>
      </c>
      <c r="U803" s="1850">
        <f t="shared" si="341"/>
        <v>-8200.2479699455507</v>
      </c>
      <c r="V803" s="1850">
        <f t="shared" si="334"/>
        <v>-194.00149868653995</v>
      </c>
      <c r="W803" s="1850">
        <f t="shared" si="335"/>
        <v>-70.557944324193613</v>
      </c>
      <c r="X803" s="1850">
        <f t="shared" si="336"/>
        <v>-566.68080843055236</v>
      </c>
      <c r="Y803" s="1850">
        <f t="shared" si="337"/>
        <v>-20.957154785305196</v>
      </c>
      <c r="Z803" s="1850">
        <f t="shared" si="338"/>
        <v>-221.10126780546906</v>
      </c>
      <c r="AA803" s="1850">
        <f t="shared" si="339"/>
        <v>-36.832035294148909</v>
      </c>
      <c r="AB803" s="2984"/>
      <c r="AC803" s="3015"/>
    </row>
    <row r="804" spans="1:29" ht="18.75" x14ac:dyDescent="0.25">
      <c r="A804" s="2982"/>
      <c r="B804" s="2753"/>
      <c r="C804" s="1863">
        <v>2024</v>
      </c>
      <c r="D804" s="218">
        <f t="shared" si="349"/>
        <v>-127216.31886336274</v>
      </c>
      <c r="E804" s="221">
        <f t="shared" si="357"/>
        <v>4824.5581179067685</v>
      </c>
      <c r="F804" s="221">
        <f t="shared" si="358"/>
        <v>0</v>
      </c>
      <c r="G804" s="218">
        <f t="shared" si="350"/>
        <v>-6.4413326006765947</v>
      </c>
      <c r="H804" s="218">
        <f t="shared" si="351"/>
        <v>-1.6103331501691474</v>
      </c>
      <c r="I804" s="218">
        <f t="shared" si="352"/>
        <v>-33.816996153552104</v>
      </c>
      <c r="J804" s="218">
        <f t="shared" si="353"/>
        <v>-1.6103331501691487</v>
      </c>
      <c r="K804" s="218">
        <f t="shared" si="354"/>
        <v>-170.69531391792975</v>
      </c>
      <c r="L804" s="218">
        <f t="shared" si="355"/>
        <v>-618.36792966495295</v>
      </c>
      <c r="M804" s="192">
        <f t="shared" si="356"/>
        <v>-122.39176074545597</v>
      </c>
      <c r="N804" s="1849">
        <v>68</v>
      </c>
      <c r="O804" s="211">
        <f>'Emission-Waste Transport Vehicl'!N38</f>
        <v>29.528118159408002</v>
      </c>
      <c r="P804" s="211">
        <f>'Emission-Waste Transport Vehicl'!O38</f>
        <v>42.957262313856006</v>
      </c>
      <c r="Q804" s="211">
        <f>'Emission-Waste Transport Vehicl'!P38</f>
        <v>16.428952975248002</v>
      </c>
      <c r="R804" s="211">
        <f>'Emission-Waste Transport Vehicl'!Q38</f>
        <v>12.759186851135999</v>
      </c>
      <c r="S804" s="211">
        <f>'Emission-Waste Transport Vehicl'!R38</f>
        <v>1.269919067472</v>
      </c>
      <c r="T804" s="211">
        <f>'Emission-Waste Transport Vehicl'!S38</f>
        <v>5.8396278378240005E-2</v>
      </c>
      <c r="U804" s="1850">
        <f t="shared" si="341"/>
        <v>-8322.6397306910058</v>
      </c>
      <c r="V804" s="1850">
        <f t="shared" si="334"/>
        <v>-190.20043013682533</v>
      </c>
      <c r="W804" s="1850">
        <f t="shared" si="335"/>
        <v>-69.175503544514143</v>
      </c>
      <c r="X804" s="1850">
        <f t="shared" si="336"/>
        <v>-555.57783957085007</v>
      </c>
      <c r="Y804" s="1850">
        <f t="shared" si="337"/>
        <v>-20.546541555586614</v>
      </c>
      <c r="Z804" s="1850">
        <f t="shared" si="338"/>
        <v>-216.76923387249767</v>
      </c>
      <c r="AA804" s="1850">
        <f t="shared" si="339"/>
        <v>-36.11038576089053</v>
      </c>
      <c r="AB804" s="2984"/>
      <c r="AC804" s="3015"/>
    </row>
    <row r="805" spans="1:29" ht="18.75" x14ac:dyDescent="0.25">
      <c r="A805" s="2982"/>
      <c r="B805" s="2753"/>
      <c r="C805" s="1863">
        <v>2025</v>
      </c>
      <c r="D805" s="218">
        <f t="shared" si="349"/>
        <v>-127216.31886336274</v>
      </c>
      <c r="E805" s="221">
        <f t="shared" si="357"/>
        <v>4824.5581179067685</v>
      </c>
      <c r="F805" s="221">
        <f t="shared" si="358"/>
        <v>0</v>
      </c>
      <c r="G805" s="218">
        <f t="shared" si="350"/>
        <v>-6.4413326006765947</v>
      </c>
      <c r="H805" s="218">
        <f t="shared" si="351"/>
        <v>-1.6103331501691474</v>
      </c>
      <c r="I805" s="218">
        <f t="shared" si="352"/>
        <v>-33.816996153552104</v>
      </c>
      <c r="J805" s="218">
        <f t="shared" si="353"/>
        <v>-1.6103331501691487</v>
      </c>
      <c r="K805" s="218">
        <f t="shared" si="354"/>
        <v>-170.69531391792975</v>
      </c>
      <c r="L805" s="218">
        <f t="shared" si="355"/>
        <v>-618.36792966495295</v>
      </c>
      <c r="M805" s="192">
        <f t="shared" si="356"/>
        <v>-122.39176074545597</v>
      </c>
      <c r="N805" s="1849">
        <v>69</v>
      </c>
      <c r="O805" s="211">
        <f>'Emission-Waste Transport Vehicl'!N39</f>
        <v>28.951053246720004</v>
      </c>
      <c r="P805" s="211">
        <f>'Emission-Waste Transport Vehicl'!O39</f>
        <v>42.117753047040004</v>
      </c>
      <c r="Q805" s="211">
        <f>'Emission-Waste Transport Vehicl'!P39</f>
        <v>16.10788367232</v>
      </c>
      <c r="R805" s="211">
        <f>'Emission-Waste Transport Vehicl'!Q39</f>
        <v>12.50983540224</v>
      </c>
      <c r="S805" s="211">
        <f>'Emission-Waste Transport Vehicl'!R39</f>
        <v>1.2451011724800001</v>
      </c>
      <c r="T805" s="211">
        <f>'Emission-Waste Transport Vehicl'!S39</f>
        <v>5.7255046041600005E-2</v>
      </c>
      <c r="U805" s="1850">
        <f t="shared" si="341"/>
        <v>-8445.0314914364626</v>
      </c>
      <c r="V805" s="1850">
        <f t="shared" si="334"/>
        <v>-186.48336310202154</v>
      </c>
      <c r="W805" s="1850">
        <f t="shared" si="335"/>
        <v>-67.82361394228613</v>
      </c>
      <c r="X805" s="1850">
        <f t="shared" si="336"/>
        <v>-544.72024018871014</v>
      </c>
      <c r="Y805" s="1850">
        <f t="shared" si="337"/>
        <v>-20.14500265138668</v>
      </c>
      <c r="Z805" s="1850">
        <f t="shared" si="338"/>
        <v>-212.53293549605601</v>
      </c>
      <c r="AA805" s="1850">
        <f t="shared" si="339"/>
        <v>-35.404684283615758</v>
      </c>
      <c r="AB805" s="2984"/>
      <c r="AC805" s="3015"/>
    </row>
    <row r="806" spans="1:29" ht="18.75" x14ac:dyDescent="0.25">
      <c r="A806" s="2982"/>
      <c r="B806" s="2753"/>
      <c r="C806" s="1863">
        <v>2026</v>
      </c>
      <c r="D806" s="218">
        <f t="shared" si="349"/>
        <v>-127216.31886336274</v>
      </c>
      <c r="E806" s="221">
        <f t="shared" si="357"/>
        <v>4824.5581179067685</v>
      </c>
      <c r="F806" s="221">
        <f t="shared" si="358"/>
        <v>0</v>
      </c>
      <c r="G806" s="218">
        <f t="shared" si="350"/>
        <v>-6.4413326006765947</v>
      </c>
      <c r="H806" s="218">
        <f t="shared" si="351"/>
        <v>-1.6103331501691474</v>
      </c>
      <c r="I806" s="218">
        <f t="shared" si="352"/>
        <v>-33.816996153552104</v>
      </c>
      <c r="J806" s="218">
        <f t="shared" si="353"/>
        <v>-1.6103331501691487</v>
      </c>
      <c r="K806" s="218">
        <f t="shared" si="354"/>
        <v>-170.69531391792975</v>
      </c>
      <c r="L806" s="218">
        <f t="shared" si="355"/>
        <v>-618.36792966495295</v>
      </c>
      <c r="M806" s="192">
        <f t="shared" si="356"/>
        <v>-122.39176074545597</v>
      </c>
      <c r="N806" s="1849">
        <v>70</v>
      </c>
      <c r="O806" s="211">
        <f>'Emission-Waste Transport Vehicl'!N40</f>
        <v>28.383769095264007</v>
      </c>
      <c r="P806" s="211">
        <f>'Emission-Waste Transport Vehicl'!O40</f>
        <v>41.292472750848006</v>
      </c>
      <c r="Q806" s="211">
        <f>'Emission-Waste Transport Vehicl'!P40</f>
        <v>15.792256221984003</v>
      </c>
      <c r="R806" s="211">
        <f>'Emission-Waste Transport Vehicl'!Q40</f>
        <v>12.264710249088001</v>
      </c>
      <c r="S806" s="211">
        <f>'Emission-Waste Transport Vehicl'!R40</f>
        <v>1.2207039197760001</v>
      </c>
      <c r="T806" s="211">
        <f>'Emission-Waste Transport Vehicl'!S40</f>
        <v>5.6133156625920007E-2</v>
      </c>
      <c r="U806" s="1850">
        <f t="shared" si="341"/>
        <v>-8567.4232521819176</v>
      </c>
      <c r="V806" s="1850">
        <f t="shared" si="334"/>
        <v>-182.82929720340087</v>
      </c>
      <c r="W806" s="1850">
        <f t="shared" si="335"/>
        <v>-66.494637723146752</v>
      </c>
      <c r="X806" s="1850">
        <f t="shared" si="336"/>
        <v>-534.04666791474233</v>
      </c>
      <c r="Y806" s="1850">
        <f t="shared" si="337"/>
        <v>-19.750269491325724</v>
      </c>
      <c r="Z806" s="1850">
        <f t="shared" si="338"/>
        <v>-208.36843878701168</v>
      </c>
      <c r="AA806" s="1850">
        <f t="shared" si="339"/>
        <v>-34.710943848328689</v>
      </c>
      <c r="AB806" s="2984"/>
      <c r="AC806" s="3015"/>
    </row>
    <row r="807" spans="1:29" ht="18.75" x14ac:dyDescent="0.25">
      <c r="A807" s="2982"/>
      <c r="B807" s="2753"/>
      <c r="C807" s="1863">
        <v>2027</v>
      </c>
      <c r="D807" s="218">
        <f t="shared" si="349"/>
        <v>-127216.31886336274</v>
      </c>
      <c r="E807" s="221">
        <f t="shared" si="357"/>
        <v>4824.5581179067685</v>
      </c>
      <c r="F807" s="221">
        <f t="shared" si="358"/>
        <v>0</v>
      </c>
      <c r="G807" s="218">
        <f t="shared" si="350"/>
        <v>-6.4413326006765947</v>
      </c>
      <c r="H807" s="218">
        <f t="shared" si="351"/>
        <v>-1.6103331501691474</v>
      </c>
      <c r="I807" s="218">
        <f t="shared" si="352"/>
        <v>-33.816996153552104</v>
      </c>
      <c r="J807" s="218">
        <f t="shared" si="353"/>
        <v>-1.6103331501691487</v>
      </c>
      <c r="K807" s="218">
        <f t="shared" si="354"/>
        <v>-170.69531391792975</v>
      </c>
      <c r="L807" s="218">
        <f t="shared" si="355"/>
        <v>-618.36792966495295</v>
      </c>
      <c r="M807" s="192">
        <f t="shared" si="356"/>
        <v>-122.39176074545597</v>
      </c>
      <c r="N807" s="1849">
        <v>71</v>
      </c>
      <c r="O807" s="211">
        <f>'Emission-Waste Transport Vehicl'!N41</f>
        <v>27.826265705040004</v>
      </c>
      <c r="P807" s="211">
        <f>'Emission-Waste Transport Vehicl'!O41</f>
        <v>40.481421425280004</v>
      </c>
      <c r="Q807" s="211">
        <f>'Emission-Waste Transport Vehicl'!P41</f>
        <v>15.482070624240002</v>
      </c>
      <c r="R807" s="211">
        <f>'Emission-Waste Transport Vehicl'!Q41</f>
        <v>12.023811391680001</v>
      </c>
      <c r="S807" s="211">
        <f>'Emission-Waste Transport Vehicl'!R41</f>
        <v>1.1967273093600002</v>
      </c>
      <c r="T807" s="211">
        <f>'Emission-Waste Transport Vehicl'!S41</f>
        <v>5.503061013120001E-2</v>
      </c>
      <c r="U807" s="1850">
        <f t="shared" si="341"/>
        <v>-8689.8150129273745</v>
      </c>
      <c r="V807" s="1850">
        <f t="shared" si="334"/>
        <v>-179.23823244096326</v>
      </c>
      <c r="W807" s="1850">
        <f t="shared" si="335"/>
        <v>-65.188574887095967</v>
      </c>
      <c r="X807" s="1850">
        <f t="shared" si="336"/>
        <v>-523.5571227489462</v>
      </c>
      <c r="Y807" s="1850">
        <f t="shared" si="337"/>
        <v>-19.362342075403753</v>
      </c>
      <c r="Z807" s="1850">
        <f t="shared" si="338"/>
        <v>-204.27574374536465</v>
      </c>
      <c r="AA807" s="1850">
        <f t="shared" si="339"/>
        <v>-34.029164455029338</v>
      </c>
      <c r="AB807" s="2984"/>
      <c r="AC807" s="3015"/>
    </row>
    <row r="808" spans="1:29" ht="18.75" x14ac:dyDescent="0.25">
      <c r="A808" s="2982"/>
      <c r="B808" s="2753"/>
      <c r="C808" s="1863">
        <v>2028</v>
      </c>
      <c r="D808" s="218">
        <f t="shared" si="349"/>
        <v>-127216.31886336274</v>
      </c>
      <c r="E808" s="221">
        <f t="shared" si="357"/>
        <v>4824.5581179067685</v>
      </c>
      <c r="F808" s="221">
        <f t="shared" si="358"/>
        <v>0</v>
      </c>
      <c r="G808" s="218">
        <f t="shared" si="350"/>
        <v>-6.4413326006765947</v>
      </c>
      <c r="H808" s="218">
        <f t="shared" si="351"/>
        <v>-1.6103331501691474</v>
      </c>
      <c r="I808" s="218">
        <f t="shared" si="352"/>
        <v>-33.816996153552104</v>
      </c>
      <c r="J808" s="218">
        <f t="shared" si="353"/>
        <v>-1.6103331501691487</v>
      </c>
      <c r="K808" s="218">
        <f t="shared" si="354"/>
        <v>-170.69531391792975</v>
      </c>
      <c r="L808" s="218">
        <f t="shared" si="355"/>
        <v>-618.36792966495295</v>
      </c>
      <c r="M808" s="192">
        <f t="shared" si="356"/>
        <v>-122.39176074545597</v>
      </c>
      <c r="N808" s="1849">
        <v>72</v>
      </c>
      <c r="O808" s="211">
        <f>'Emission-Waste Transport Vehicl'!N42</f>
        <v>27.281803329792002</v>
      </c>
      <c r="P808" s="211">
        <f>'Emission-Waste Transport Vehicl'!O42</f>
        <v>39.689342060544</v>
      </c>
      <c r="Q808" s="211">
        <f>'Emission-Waste Transport Vehicl'!P42</f>
        <v>15.179140829952001</v>
      </c>
      <c r="R808" s="211">
        <f>'Emission-Waste Transport Vehicl'!Q42</f>
        <v>11.788547595263999</v>
      </c>
      <c r="S808" s="211">
        <f>'Emission-Waste Transport Vehicl'!R42</f>
        <v>1.173311555328</v>
      </c>
      <c r="T808" s="211">
        <f>'Emission-Waste Transport Vehicl'!S42</f>
        <v>5.3953854197759998E-2</v>
      </c>
      <c r="U808" s="1850">
        <f t="shared" si="341"/>
        <v>-8812.2067736728295</v>
      </c>
      <c r="V808" s="1850">
        <f t="shared" si="334"/>
        <v>-175.7311691934365</v>
      </c>
      <c r="W808" s="1850">
        <f t="shared" si="335"/>
        <v>-63.913063228496654</v>
      </c>
      <c r="X808" s="1850">
        <f t="shared" si="336"/>
        <v>-513.31294706071253</v>
      </c>
      <c r="Y808" s="1850">
        <f t="shared" si="337"/>
        <v>-18.983488985000417</v>
      </c>
      <c r="Z808" s="1850">
        <f t="shared" si="338"/>
        <v>-200.27878426024736</v>
      </c>
      <c r="AA808" s="1850">
        <f t="shared" si="339"/>
        <v>-33.36333311771358</v>
      </c>
      <c r="AB808" s="2984"/>
      <c r="AC808" s="3015"/>
    </row>
    <row r="809" spans="1:29" ht="18.75" x14ac:dyDescent="0.25">
      <c r="A809" s="2982"/>
      <c r="B809" s="2753"/>
      <c r="C809" s="1863">
        <v>2029</v>
      </c>
      <c r="D809" s="218">
        <f t="shared" si="349"/>
        <v>-127216.31886336274</v>
      </c>
      <c r="E809" s="221">
        <f t="shared" si="357"/>
        <v>4824.5581179067685</v>
      </c>
      <c r="F809" s="221">
        <f t="shared" si="358"/>
        <v>0</v>
      </c>
      <c r="G809" s="218">
        <f t="shared" si="350"/>
        <v>-6.4413326006765947</v>
      </c>
      <c r="H809" s="218">
        <f t="shared" si="351"/>
        <v>-1.6103331501691474</v>
      </c>
      <c r="I809" s="218">
        <f t="shared" si="352"/>
        <v>-33.816996153552104</v>
      </c>
      <c r="J809" s="218">
        <f t="shared" si="353"/>
        <v>-1.6103331501691487</v>
      </c>
      <c r="K809" s="218">
        <f t="shared" si="354"/>
        <v>-170.69531391792975</v>
      </c>
      <c r="L809" s="218">
        <f t="shared" si="355"/>
        <v>-618.36792966495295</v>
      </c>
      <c r="M809" s="192">
        <f t="shared" si="356"/>
        <v>-122.39176074545597</v>
      </c>
      <c r="N809" s="1849">
        <v>73</v>
      </c>
      <c r="O809" s="211">
        <f>'Emission-Waste Transport Vehicl'!N43</f>
        <v>26.743861462032005</v>
      </c>
      <c r="P809" s="211">
        <f>'Emission-Waste Transport Vehicl'!O43</f>
        <v>38.906748676224005</v>
      </c>
      <c r="Q809" s="211">
        <f>'Emission-Waste Transport Vehicl'!P43</f>
        <v>14.879838937392002</v>
      </c>
      <c r="R809" s="211">
        <f>'Emission-Waste Transport Vehicl'!Q43</f>
        <v>11.556101329344001</v>
      </c>
      <c r="S809" s="211">
        <f>'Emission-Waste Transport Vehicl'!R43</f>
        <v>1.1501762294880002</v>
      </c>
      <c r="T809" s="211">
        <f>'Emission-Waste Transport Vehicl'!S43</f>
        <v>5.2889993544960004E-2</v>
      </c>
      <c r="U809" s="1850">
        <f t="shared" si="341"/>
        <v>-8934.5985344182864</v>
      </c>
      <c r="V809" s="1850">
        <f t="shared" si="334"/>
        <v>-172.26610670336518</v>
      </c>
      <c r="W809" s="1850">
        <f t="shared" si="335"/>
        <v>-62.652827158623104</v>
      </c>
      <c r="X809" s="1850">
        <f t="shared" si="336"/>
        <v>-503.19145611126015</v>
      </c>
      <c r="Y809" s="1850">
        <f t="shared" si="337"/>
        <v>-18.609173057356411</v>
      </c>
      <c r="Z809" s="1850">
        <f t="shared" si="338"/>
        <v>-196.32969255339501</v>
      </c>
      <c r="AA809" s="1850">
        <f t="shared" si="339"/>
        <v>-32.705475808389643</v>
      </c>
      <c r="AB809" s="2984"/>
      <c r="AC809" s="3015"/>
    </row>
    <row r="810" spans="1:29" ht="18.75" x14ac:dyDescent="0.25">
      <c r="A810" s="2982"/>
      <c r="B810" s="2753"/>
      <c r="C810" s="1863">
        <v>2030</v>
      </c>
      <c r="D810" s="218">
        <f t="shared" si="349"/>
        <v>-127216.31886336274</v>
      </c>
      <c r="E810" s="221">
        <f t="shared" si="357"/>
        <v>4824.5581179067685</v>
      </c>
      <c r="F810" s="221">
        <f t="shared" si="358"/>
        <v>0</v>
      </c>
      <c r="G810" s="218">
        <f t="shared" si="350"/>
        <v>-6.4413326006765947</v>
      </c>
      <c r="H810" s="218">
        <f t="shared" si="351"/>
        <v>-1.6103331501691474</v>
      </c>
      <c r="I810" s="218">
        <f t="shared" si="352"/>
        <v>-33.816996153552104</v>
      </c>
      <c r="J810" s="218">
        <f t="shared" si="353"/>
        <v>-1.6103331501691487</v>
      </c>
      <c r="K810" s="218">
        <f t="shared" si="354"/>
        <v>-170.69531391792975</v>
      </c>
      <c r="L810" s="218">
        <f t="shared" si="355"/>
        <v>-618.36792966495295</v>
      </c>
      <c r="M810" s="192">
        <f t="shared" si="356"/>
        <v>-122.39176074545597</v>
      </c>
      <c r="N810" s="1849">
        <v>75</v>
      </c>
      <c r="O810" s="211">
        <f>'Emission-Waste Transport Vehicl'!N44</f>
        <v>26.222220862992003</v>
      </c>
      <c r="P810" s="211">
        <f>'Emission-Waste Transport Vehicl'!O44</f>
        <v>38.147870242944002</v>
      </c>
      <c r="Q810" s="211">
        <f>'Emission-Waste Transport Vehicl'!P44</f>
        <v>14.589606799152003</v>
      </c>
      <c r="R810" s="211">
        <f>'Emission-Waste Transport Vehicl'!Q44</f>
        <v>11.330698889664001</v>
      </c>
      <c r="S810" s="211">
        <f>'Emission-Waste Transport Vehicl'!R44</f>
        <v>1.1277419741280001</v>
      </c>
      <c r="T810" s="211">
        <f>'Emission-Waste Transport Vehicl'!S44</f>
        <v>5.1858371093760007E-2</v>
      </c>
      <c r="U810" s="1850">
        <f t="shared" si="341"/>
        <v>-9179.3820559091982</v>
      </c>
      <c r="V810" s="1850">
        <f t="shared" si="334"/>
        <v>-168.90604610693234</v>
      </c>
      <c r="W810" s="1850">
        <f t="shared" si="335"/>
        <v>-61.43078006056389</v>
      </c>
      <c r="X810" s="1850">
        <f t="shared" si="336"/>
        <v>-493.37667700876091</v>
      </c>
      <c r="Y810" s="1850">
        <f t="shared" si="337"/>
        <v>-18.246200036610706</v>
      </c>
      <c r="Z810" s="1850">
        <f t="shared" si="338"/>
        <v>-192.50027029220479</v>
      </c>
      <c r="AA810" s="1850">
        <f t="shared" si="339"/>
        <v>-32.067553569045216</v>
      </c>
      <c r="AB810" s="2984"/>
      <c r="AC810" s="3015"/>
    </row>
    <row r="811" spans="1:29" ht="18.75" x14ac:dyDescent="0.25">
      <c r="A811" s="2982"/>
      <c r="B811" s="2753"/>
      <c r="C811" s="1863">
        <v>2031</v>
      </c>
      <c r="D811" s="218">
        <f t="shared" si="349"/>
        <v>-127216.31886336274</v>
      </c>
      <c r="E811" s="221">
        <f t="shared" si="357"/>
        <v>4824.5581179067685</v>
      </c>
      <c r="F811" s="221">
        <f t="shared" si="358"/>
        <v>0</v>
      </c>
      <c r="G811" s="218">
        <f t="shared" si="350"/>
        <v>-6.4413326006765947</v>
      </c>
      <c r="H811" s="218">
        <f t="shared" si="351"/>
        <v>-1.6103331501691474</v>
      </c>
      <c r="I811" s="218">
        <f t="shared" si="352"/>
        <v>-33.816996153552104</v>
      </c>
      <c r="J811" s="218">
        <f t="shared" si="353"/>
        <v>-1.6103331501691487</v>
      </c>
      <c r="K811" s="218">
        <f t="shared" si="354"/>
        <v>-170.69531391792975</v>
      </c>
      <c r="L811" s="218">
        <f t="shared" si="355"/>
        <v>-618.36792966495295</v>
      </c>
      <c r="M811" s="192">
        <f t="shared" si="356"/>
        <v>-122.39176074545597</v>
      </c>
      <c r="N811" s="1849">
        <v>76</v>
      </c>
      <c r="O811" s="211">
        <f>'Emission-Waste Transport Vehicl'!N45</f>
        <v>25.70710077144</v>
      </c>
      <c r="P811" s="211">
        <f>'Emission-Waste Transport Vehicl'!O45</f>
        <v>37.398477790080001</v>
      </c>
      <c r="Q811" s="211">
        <f>'Emission-Waste Transport Vehicl'!P45</f>
        <v>14.303002562640001</v>
      </c>
      <c r="R811" s="211">
        <f>'Emission-Waste Transport Vehicl'!Q45</f>
        <v>11.108113980480001</v>
      </c>
      <c r="S811" s="211">
        <f>'Emission-Waste Transport Vehicl'!R45</f>
        <v>1.1055881469600002</v>
      </c>
      <c r="T811" s="211">
        <f>'Emission-Waste Transport Vehicl'!S45</f>
        <v>5.0839643923200006E-2</v>
      </c>
      <c r="U811" s="1850">
        <f t="shared" si="341"/>
        <v>-9301.7738166546533</v>
      </c>
      <c r="V811" s="1850">
        <f t="shared" si="334"/>
        <v>-165.5879862679549</v>
      </c>
      <c r="W811" s="1850">
        <f t="shared" si="335"/>
        <v>-60.224008551230419</v>
      </c>
      <c r="X811" s="1850">
        <f t="shared" si="336"/>
        <v>-483.68458264504284</v>
      </c>
      <c r="Y811" s="1850">
        <f t="shared" si="337"/>
        <v>-17.88776417862432</v>
      </c>
      <c r="Z811" s="1850">
        <f t="shared" si="338"/>
        <v>-188.71871580927947</v>
      </c>
      <c r="AA811" s="1850">
        <f t="shared" si="339"/>
        <v>-31.437605357692593</v>
      </c>
      <c r="AB811" s="2984"/>
      <c r="AC811" s="3015"/>
    </row>
    <row r="812" spans="1:29" ht="18.75" x14ac:dyDescent="0.25">
      <c r="A812" s="2982"/>
      <c r="B812" s="2753"/>
      <c r="C812" s="1863">
        <v>2032</v>
      </c>
      <c r="D812" s="218">
        <f t="shared" si="349"/>
        <v>-127216.31886336274</v>
      </c>
      <c r="E812" s="221">
        <f t="shared" si="357"/>
        <v>4824.5581179067685</v>
      </c>
      <c r="F812" s="221">
        <f t="shared" si="358"/>
        <v>0</v>
      </c>
      <c r="G812" s="218">
        <f t="shared" si="350"/>
        <v>-6.4413326006765947</v>
      </c>
      <c r="H812" s="218">
        <f t="shared" si="351"/>
        <v>-1.6103331501691474</v>
      </c>
      <c r="I812" s="218">
        <f t="shared" si="352"/>
        <v>-33.816996153552104</v>
      </c>
      <c r="J812" s="218">
        <f t="shared" si="353"/>
        <v>-1.6103331501691487</v>
      </c>
      <c r="K812" s="218">
        <f t="shared" si="354"/>
        <v>-170.69531391792975</v>
      </c>
      <c r="L812" s="218">
        <f t="shared" si="355"/>
        <v>-618.36792966495295</v>
      </c>
      <c r="M812" s="192">
        <f t="shared" si="356"/>
        <v>-122.39176074545597</v>
      </c>
      <c r="N812" s="1849">
        <v>77</v>
      </c>
      <c r="O812" s="211">
        <f>'Emission-Waste Transport Vehicl'!N46</f>
        <v>25.201761441120002</v>
      </c>
      <c r="P812" s="211">
        <f>'Emission-Waste Transport Vehicl'!O46</f>
        <v>36.663314307840004</v>
      </c>
      <c r="Q812" s="211">
        <f>'Emission-Waste Transport Vehicl'!P46</f>
        <v>14.021840178720002</v>
      </c>
      <c r="R812" s="211">
        <f>'Emission-Waste Transport Vehicl'!Q46</f>
        <v>10.889755367040001</v>
      </c>
      <c r="S812" s="211">
        <f>'Emission-Waste Transport Vehicl'!R46</f>
        <v>1.0838549620800002</v>
      </c>
      <c r="T812" s="211">
        <f>'Emission-Waste Transport Vehicl'!S46</f>
        <v>4.9840259673600007E-2</v>
      </c>
      <c r="U812" s="1850">
        <f t="shared" si="341"/>
        <v>-9424.1655774001101</v>
      </c>
      <c r="V812" s="1850">
        <f t="shared" si="334"/>
        <v>-162.33292756516062</v>
      </c>
      <c r="W812" s="1850">
        <f t="shared" si="335"/>
        <v>-59.040150424985569</v>
      </c>
      <c r="X812" s="1850">
        <f t="shared" si="336"/>
        <v>-474.17651538949661</v>
      </c>
      <c r="Y812" s="1850">
        <f t="shared" si="337"/>
        <v>-17.53613406477692</v>
      </c>
      <c r="Z812" s="1850">
        <f t="shared" si="338"/>
        <v>-185.00896299375148</v>
      </c>
      <c r="AA812" s="1850">
        <f t="shared" si="339"/>
        <v>-30.819618188327681</v>
      </c>
      <c r="AB812" s="2984"/>
      <c r="AC812" s="3015"/>
    </row>
    <row r="813" spans="1:29" ht="18.75" x14ac:dyDescent="0.25">
      <c r="A813" s="2982"/>
      <c r="B813" s="2753"/>
      <c r="C813" s="1863">
        <v>2033</v>
      </c>
      <c r="D813" s="218">
        <f t="shared" si="349"/>
        <v>-127216.31886336274</v>
      </c>
      <c r="E813" s="221">
        <f t="shared" si="357"/>
        <v>4824.5581179067685</v>
      </c>
      <c r="F813" s="221">
        <f t="shared" si="358"/>
        <v>0</v>
      </c>
      <c r="G813" s="218">
        <f t="shared" si="350"/>
        <v>-6.4413326006765947</v>
      </c>
      <c r="H813" s="218">
        <f t="shared" si="351"/>
        <v>-1.6103331501691474</v>
      </c>
      <c r="I813" s="218">
        <f t="shared" si="352"/>
        <v>-33.816996153552104</v>
      </c>
      <c r="J813" s="218">
        <f t="shared" si="353"/>
        <v>-1.6103331501691487</v>
      </c>
      <c r="K813" s="218">
        <f t="shared" si="354"/>
        <v>-170.69531391792975</v>
      </c>
      <c r="L813" s="218">
        <f t="shared" si="355"/>
        <v>-618.36792966495295</v>
      </c>
      <c r="M813" s="192">
        <f t="shared" si="356"/>
        <v>-122.39176074545597</v>
      </c>
      <c r="N813" s="1849">
        <v>78</v>
      </c>
      <c r="O813" s="211">
        <f>'Emission-Waste Transport Vehicl'!N47</f>
        <v>24.709463125776001</v>
      </c>
      <c r="P813" s="211">
        <f>'Emission-Waste Transport Vehicl'!O47</f>
        <v>35.947122786432004</v>
      </c>
      <c r="Q813" s="211">
        <f>'Emission-Waste Transport Vehicl'!P47</f>
        <v>13.747933598256003</v>
      </c>
      <c r="R813" s="211">
        <f>'Emission-Waste Transport Vehicl'!Q47</f>
        <v>10.677031814592</v>
      </c>
      <c r="S813" s="211">
        <f>'Emission-Waste Transport Vehicl'!R47</f>
        <v>1.0626826335840001</v>
      </c>
      <c r="T813" s="211">
        <f>'Emission-Waste Transport Vehicl'!S47</f>
        <v>4.8866665985280007E-2</v>
      </c>
      <c r="U813" s="1850">
        <f t="shared" si="341"/>
        <v>-9546.5573381455652</v>
      </c>
      <c r="V813" s="1850">
        <f t="shared" si="334"/>
        <v>-159.16187037727715</v>
      </c>
      <c r="W813" s="1850">
        <f t="shared" si="335"/>
        <v>-57.88684347619219</v>
      </c>
      <c r="X813" s="1850">
        <f t="shared" si="336"/>
        <v>-464.91381761151297</v>
      </c>
      <c r="Y813" s="1850">
        <f t="shared" si="337"/>
        <v>-17.193578276448157</v>
      </c>
      <c r="Z813" s="1850">
        <f t="shared" si="338"/>
        <v>-181.39494573475321</v>
      </c>
      <c r="AA813" s="1850">
        <f t="shared" si="339"/>
        <v>-30.217579074946375</v>
      </c>
      <c r="AB813" s="2984"/>
      <c r="AC813" s="3015"/>
    </row>
    <row r="814" spans="1:29" ht="18.75" x14ac:dyDescent="0.25">
      <c r="A814" s="2982"/>
      <c r="B814" s="2753"/>
      <c r="C814" s="1863">
        <v>2034</v>
      </c>
      <c r="D814" s="218">
        <f t="shared" si="349"/>
        <v>-127216.31886336274</v>
      </c>
      <c r="E814" s="221">
        <f t="shared" si="357"/>
        <v>4824.5581179067685</v>
      </c>
      <c r="F814" s="221">
        <f t="shared" si="358"/>
        <v>0</v>
      </c>
      <c r="G814" s="218">
        <f t="shared" si="350"/>
        <v>-6.4413326006765947</v>
      </c>
      <c r="H814" s="218">
        <f t="shared" si="351"/>
        <v>-1.6103331501691474</v>
      </c>
      <c r="I814" s="218">
        <f t="shared" si="352"/>
        <v>-33.816996153552104</v>
      </c>
      <c r="J814" s="218">
        <f t="shared" si="353"/>
        <v>-1.6103331501691487</v>
      </c>
      <c r="K814" s="218">
        <f t="shared" si="354"/>
        <v>-170.69531391792975</v>
      </c>
      <c r="L814" s="218">
        <f t="shared" si="355"/>
        <v>-618.36792966495295</v>
      </c>
      <c r="M814" s="192">
        <f t="shared" si="356"/>
        <v>-122.39176074545597</v>
      </c>
      <c r="N814" s="1849">
        <v>79</v>
      </c>
      <c r="O814" s="211">
        <f>'Emission-Waste Transport Vehicl'!N48</f>
        <v>24.223685317920005</v>
      </c>
      <c r="P814" s="211">
        <f>'Emission-Waste Transport Vehicl'!O48</f>
        <v>35.24041724544</v>
      </c>
      <c r="Q814" s="211">
        <f>'Emission-Waste Transport Vehicl'!P48</f>
        <v>13.477654919520001</v>
      </c>
      <c r="R814" s="211">
        <f>'Emission-Waste Transport Vehicl'!Q48</f>
        <v>10.467125792640001</v>
      </c>
      <c r="S814" s="211">
        <f>'Emission-Waste Transport Vehicl'!R48</f>
        <v>1.04179073328</v>
      </c>
      <c r="T814" s="211">
        <f>'Emission-Waste Transport Vehicl'!S48</f>
        <v>4.7905967577600003E-2</v>
      </c>
      <c r="U814" s="1850">
        <f t="shared" si="341"/>
        <v>-9668.949098891022</v>
      </c>
      <c r="V814" s="1850">
        <f t="shared" si="334"/>
        <v>-156.0328139468491</v>
      </c>
      <c r="W814" s="1850">
        <f t="shared" si="335"/>
        <v>-56.74881211612454</v>
      </c>
      <c r="X814" s="1850">
        <f t="shared" si="336"/>
        <v>-455.77380457231044</v>
      </c>
      <c r="Y814" s="1850">
        <f t="shared" si="337"/>
        <v>-16.855559650878721</v>
      </c>
      <c r="Z814" s="1850">
        <f t="shared" si="338"/>
        <v>-177.82879625401984</v>
      </c>
      <c r="AA814" s="1850">
        <f t="shared" si="339"/>
        <v>-29.623513989556876</v>
      </c>
      <c r="AB814" s="2984"/>
      <c r="AC814" s="3015"/>
    </row>
    <row r="815" spans="1:29" ht="18.75" x14ac:dyDescent="0.25">
      <c r="A815" s="2982"/>
      <c r="B815" s="2753"/>
      <c r="C815" s="1863">
        <v>2035</v>
      </c>
      <c r="D815" s="218">
        <f t="shared" si="349"/>
        <v>-127216.31886336274</v>
      </c>
      <c r="E815" s="221">
        <f t="shared" si="357"/>
        <v>4824.5581179067685</v>
      </c>
      <c r="F815" s="221">
        <f t="shared" si="358"/>
        <v>0</v>
      </c>
      <c r="G815" s="218">
        <f t="shared" si="350"/>
        <v>-6.4413326006765947</v>
      </c>
      <c r="H815" s="218">
        <f t="shared" si="351"/>
        <v>-1.6103331501691474</v>
      </c>
      <c r="I815" s="218">
        <f t="shared" si="352"/>
        <v>-33.816996153552104</v>
      </c>
      <c r="J815" s="218">
        <f t="shared" si="353"/>
        <v>-1.6103331501691487</v>
      </c>
      <c r="K815" s="218">
        <f t="shared" si="354"/>
        <v>-170.69531391792975</v>
      </c>
      <c r="L815" s="218">
        <f t="shared" si="355"/>
        <v>-618.36792966495295</v>
      </c>
      <c r="M815" s="192">
        <f t="shared" si="356"/>
        <v>-122.39176074545597</v>
      </c>
      <c r="N815" s="1849">
        <v>80</v>
      </c>
      <c r="O815" s="211">
        <f>'Emission-Waste Transport Vehicl'!N49</f>
        <v>23.747688271296006</v>
      </c>
      <c r="P815" s="211">
        <f>'Emission-Waste Transport Vehicl'!O49</f>
        <v>34.547940675072006</v>
      </c>
      <c r="Q815" s="211">
        <f>'Emission-Waste Transport Vehicl'!P49</f>
        <v>13.212818093376002</v>
      </c>
      <c r="R815" s="211">
        <f>'Emission-Waste Transport Vehicl'!Q49</f>
        <v>10.261446066432002</v>
      </c>
      <c r="S815" s="211">
        <f>'Emission-Waste Transport Vehicl'!R49</f>
        <v>1.0213194752640002</v>
      </c>
      <c r="T815" s="211">
        <f>'Emission-Waste Transport Vehicl'!S49</f>
        <v>4.6964612090880008E-2</v>
      </c>
      <c r="U815" s="1850">
        <f t="shared" si="341"/>
        <v>-9791.340859636477</v>
      </c>
      <c r="V815" s="1850">
        <f t="shared" si="334"/>
        <v>-152.96675865260417</v>
      </c>
      <c r="W815" s="1850">
        <f t="shared" si="335"/>
        <v>-55.633694139145526</v>
      </c>
      <c r="X815" s="1850">
        <f t="shared" si="336"/>
        <v>-446.81781864127993</v>
      </c>
      <c r="Y815" s="1850">
        <f t="shared" si="337"/>
        <v>-16.524346769448265</v>
      </c>
      <c r="Z815" s="1850">
        <f t="shared" si="338"/>
        <v>-174.33444844068381</v>
      </c>
      <c r="AA815" s="1850">
        <f t="shared" si="339"/>
        <v>-29.041409946155088</v>
      </c>
      <c r="AB815" s="2984"/>
      <c r="AC815" s="3015"/>
    </row>
    <row r="816" spans="1:29" ht="18.75" x14ac:dyDescent="0.25">
      <c r="A816" s="2982"/>
      <c r="B816" s="2753"/>
      <c r="C816" s="1863">
        <v>2036</v>
      </c>
      <c r="D816" s="218">
        <f t="shared" si="349"/>
        <v>-127216.31886336274</v>
      </c>
      <c r="E816" s="221">
        <f t="shared" si="357"/>
        <v>4824.5581179067685</v>
      </c>
      <c r="F816" s="221">
        <f t="shared" si="358"/>
        <v>0</v>
      </c>
      <c r="G816" s="218">
        <f t="shared" si="350"/>
        <v>-6.4413326006765947</v>
      </c>
      <c r="H816" s="218">
        <f t="shared" si="351"/>
        <v>-1.6103331501691474</v>
      </c>
      <c r="I816" s="218">
        <f t="shared" si="352"/>
        <v>-33.816996153552104</v>
      </c>
      <c r="J816" s="218">
        <f t="shared" si="353"/>
        <v>-1.6103331501691487</v>
      </c>
      <c r="K816" s="218">
        <f t="shared" si="354"/>
        <v>-170.69531391792975</v>
      </c>
      <c r="L816" s="218">
        <f t="shared" si="355"/>
        <v>-618.36792966495295</v>
      </c>
      <c r="M816" s="192">
        <f t="shared" si="356"/>
        <v>-122.39176074545597</v>
      </c>
      <c r="N816" s="1849">
        <v>81</v>
      </c>
      <c r="O816" s="211">
        <f>'Emission-Waste Transport Vehicl'!N50</f>
        <v>23.284732239648001</v>
      </c>
      <c r="P816" s="211">
        <f>'Emission-Waste Transport Vehicl'!O50</f>
        <v>33.874436065536003</v>
      </c>
      <c r="Q816" s="211">
        <f>'Emission-Waste Transport Vehicl'!P50</f>
        <v>12.955237070688</v>
      </c>
      <c r="R816" s="211">
        <f>'Emission-Waste Transport Vehicl'!Q50</f>
        <v>10.061401401215999</v>
      </c>
      <c r="S816" s="211">
        <f>'Emission-Waste Transport Vehicl'!R50</f>
        <v>1.001409073632</v>
      </c>
      <c r="T816" s="211">
        <f>'Emission-Waste Transport Vehicl'!S50</f>
        <v>4.6049047165439998E-2</v>
      </c>
      <c r="U816" s="1850">
        <f t="shared" si="341"/>
        <v>-9913.7326203819339</v>
      </c>
      <c r="V816" s="1850">
        <f t="shared" si="334"/>
        <v>-149.98470487327</v>
      </c>
      <c r="W816" s="1850">
        <f t="shared" si="335"/>
        <v>-54.549127339617968</v>
      </c>
      <c r="X816" s="1850">
        <f t="shared" si="336"/>
        <v>-438.10720218781171</v>
      </c>
      <c r="Y816" s="1850">
        <f t="shared" si="337"/>
        <v>-16.202208213536448</v>
      </c>
      <c r="Z816" s="1850">
        <f t="shared" si="338"/>
        <v>-170.93583618387748</v>
      </c>
      <c r="AA816" s="1850">
        <f t="shared" si="339"/>
        <v>-28.4752539587369</v>
      </c>
      <c r="AB816" s="2984"/>
      <c r="AC816" s="3015"/>
    </row>
    <row r="817" spans="1:29" ht="18.75" x14ac:dyDescent="0.25">
      <c r="A817" s="2982"/>
      <c r="B817" s="2753"/>
      <c r="C817" s="1863">
        <v>2037</v>
      </c>
      <c r="D817" s="218">
        <f t="shared" si="349"/>
        <v>-127216.31886336274</v>
      </c>
      <c r="E817" s="221">
        <f t="shared" si="357"/>
        <v>4824.5581179067685</v>
      </c>
      <c r="F817" s="221">
        <f t="shared" si="358"/>
        <v>0</v>
      </c>
      <c r="G817" s="218">
        <f t="shared" si="350"/>
        <v>-6.4413326006765947</v>
      </c>
      <c r="H817" s="218">
        <f t="shared" si="351"/>
        <v>-1.6103331501691474</v>
      </c>
      <c r="I817" s="218">
        <f t="shared" si="352"/>
        <v>-33.816996153552104</v>
      </c>
      <c r="J817" s="218">
        <f t="shared" si="353"/>
        <v>-1.6103331501691487</v>
      </c>
      <c r="K817" s="218">
        <f t="shared" si="354"/>
        <v>-170.69531391792975</v>
      </c>
      <c r="L817" s="218">
        <f t="shared" si="355"/>
        <v>-618.36792966495295</v>
      </c>
      <c r="M817" s="192">
        <f t="shared" si="356"/>
        <v>-122.39176074545597</v>
      </c>
      <c r="N817" s="1849">
        <v>83</v>
      </c>
      <c r="O817" s="211">
        <f>'Emission-Waste Transport Vehicl'!N51</f>
        <v>22.828296715488005</v>
      </c>
      <c r="P817" s="211">
        <f>'Emission-Waste Transport Vehicl'!O51</f>
        <v>33.210417436416002</v>
      </c>
      <c r="Q817" s="211">
        <f>'Emission-Waste Transport Vehicl'!P51</f>
        <v>12.701283949728003</v>
      </c>
      <c r="R817" s="211">
        <f>'Emission-Waste Transport Vehicl'!Q51</f>
        <v>9.8641742664960006</v>
      </c>
      <c r="S817" s="211">
        <f>'Emission-Waste Transport Vehicl'!R51</f>
        <v>0.9817791001920001</v>
      </c>
      <c r="T817" s="211">
        <f>'Emission-Waste Transport Vehicl'!S51</f>
        <v>4.5146377520640005E-2</v>
      </c>
      <c r="U817" s="1850">
        <f t="shared" si="341"/>
        <v>-10158.516141872846</v>
      </c>
      <c r="V817" s="1850">
        <f t="shared" si="334"/>
        <v>-147.04465185139131</v>
      </c>
      <c r="W817" s="1850">
        <f t="shared" si="335"/>
        <v>-53.47983612881616</v>
      </c>
      <c r="X817" s="1850">
        <f t="shared" si="336"/>
        <v>-429.51927047312495</v>
      </c>
      <c r="Y817" s="1850">
        <f t="shared" si="337"/>
        <v>-15.884606820383956</v>
      </c>
      <c r="Z817" s="1850">
        <f t="shared" si="338"/>
        <v>-167.58509170533605</v>
      </c>
      <c r="AA817" s="1850">
        <f t="shared" si="339"/>
        <v>-27.917071999310533</v>
      </c>
      <c r="AB817" s="2984"/>
      <c r="AC817" s="3015"/>
    </row>
    <row r="818" spans="1:29" ht="18.75" x14ac:dyDescent="0.25">
      <c r="A818" s="2982"/>
      <c r="B818" s="2753"/>
      <c r="C818" s="1863">
        <v>2038</v>
      </c>
      <c r="D818" s="218">
        <f t="shared" si="349"/>
        <v>-127216.31886336274</v>
      </c>
      <c r="E818" s="221">
        <f t="shared" si="357"/>
        <v>4824.5581179067685</v>
      </c>
      <c r="F818" s="221">
        <f t="shared" si="358"/>
        <v>0</v>
      </c>
      <c r="G818" s="218">
        <f t="shared" si="350"/>
        <v>-6.4413326006765947</v>
      </c>
      <c r="H818" s="218">
        <f t="shared" si="351"/>
        <v>-1.6103331501691474</v>
      </c>
      <c r="I818" s="218">
        <f t="shared" si="352"/>
        <v>-33.816996153552104</v>
      </c>
      <c r="J818" s="218">
        <f t="shared" si="353"/>
        <v>-1.6103331501691487</v>
      </c>
      <c r="K818" s="218">
        <f t="shared" si="354"/>
        <v>-170.69531391792975</v>
      </c>
      <c r="L818" s="218">
        <f t="shared" si="355"/>
        <v>-618.36792966495295</v>
      </c>
      <c r="M818" s="192">
        <f t="shared" si="356"/>
        <v>-122.39176074545597</v>
      </c>
      <c r="N818" s="1849">
        <v>84</v>
      </c>
      <c r="O818" s="211">
        <f>'Emission-Waste Transport Vehicl'!N52</f>
        <v>22.378381698816003</v>
      </c>
      <c r="P818" s="211">
        <f>'Emission-Waste Transport Vehicl'!O52</f>
        <v>32.555884787712003</v>
      </c>
      <c r="Q818" s="211">
        <f>'Emission-Waste Transport Vehicl'!P52</f>
        <v>12.450958730496001</v>
      </c>
      <c r="R818" s="211">
        <f>'Emission-Waste Transport Vehicl'!Q52</f>
        <v>9.6697646622720015</v>
      </c>
      <c r="S818" s="211">
        <f>'Emission-Waste Transport Vehicl'!R52</f>
        <v>0.96242955494400007</v>
      </c>
      <c r="T818" s="211">
        <f>'Emission-Waste Transport Vehicl'!S52</f>
        <v>4.4256603156480001E-2</v>
      </c>
      <c r="U818" s="1850">
        <f t="shared" si="341"/>
        <v>-10280.907902618301</v>
      </c>
      <c r="V818" s="1850">
        <f t="shared" si="334"/>
        <v>-144.14659958696799</v>
      </c>
      <c r="W818" s="1850">
        <f t="shared" si="335"/>
        <v>-52.425820506740095</v>
      </c>
      <c r="X818" s="1850">
        <f t="shared" si="336"/>
        <v>-421.05402349721925</v>
      </c>
      <c r="Y818" s="1850">
        <f t="shared" si="337"/>
        <v>-15.571542589990786</v>
      </c>
      <c r="Z818" s="1850">
        <f t="shared" si="338"/>
        <v>-164.2822150050595</v>
      </c>
      <c r="AA818" s="1850">
        <f t="shared" si="339"/>
        <v>-27.366864067875959</v>
      </c>
      <c r="AB818" s="2984"/>
      <c r="AC818" s="3015"/>
    </row>
    <row r="819" spans="1:29" ht="18.75" x14ac:dyDescent="0.25">
      <c r="A819" s="2982"/>
      <c r="B819" s="2753"/>
      <c r="C819" s="1863">
        <v>2039</v>
      </c>
      <c r="D819" s="218">
        <f t="shared" si="349"/>
        <v>-127216.31886336274</v>
      </c>
      <c r="E819" s="221">
        <f t="shared" si="357"/>
        <v>4824.5581179067685</v>
      </c>
      <c r="F819" s="221">
        <f t="shared" si="358"/>
        <v>0</v>
      </c>
      <c r="G819" s="218">
        <f t="shared" si="350"/>
        <v>-6.4413326006765947</v>
      </c>
      <c r="H819" s="218">
        <f t="shared" si="351"/>
        <v>-1.6103331501691474</v>
      </c>
      <c r="I819" s="218">
        <f t="shared" si="352"/>
        <v>-33.816996153552104</v>
      </c>
      <c r="J819" s="218">
        <f t="shared" si="353"/>
        <v>-1.6103331501691487</v>
      </c>
      <c r="K819" s="218">
        <f t="shared" si="354"/>
        <v>-170.69531391792975</v>
      </c>
      <c r="L819" s="218">
        <f t="shared" si="355"/>
        <v>-618.36792966495295</v>
      </c>
      <c r="M819" s="192">
        <f t="shared" si="356"/>
        <v>-122.39176074545597</v>
      </c>
      <c r="N819" s="1849">
        <v>85</v>
      </c>
      <c r="O819" s="211">
        <f>'Emission-Waste Transport Vehicl'!N53</f>
        <v>21.941507697120006</v>
      </c>
      <c r="P819" s="211">
        <f>'Emission-Waste Transport Vehicl'!O53</f>
        <v>31.920324099840006</v>
      </c>
      <c r="Q819" s="211">
        <f>'Emission-Waste Transport Vehicl'!P53</f>
        <v>12.207889314720003</v>
      </c>
      <c r="R819" s="211">
        <f>'Emission-Waste Transport Vehicl'!Q53</f>
        <v>9.4809901190400012</v>
      </c>
      <c r="S819" s="211">
        <f>'Emission-Waste Transport Vehicl'!R53</f>
        <v>0.9436408660800002</v>
      </c>
      <c r="T819" s="211">
        <f>'Emission-Waste Transport Vehicl'!S53</f>
        <v>4.3392619353600011E-2</v>
      </c>
      <c r="U819" s="1850">
        <f t="shared" si="341"/>
        <v>-10403.299663363758</v>
      </c>
      <c r="V819" s="1850">
        <f t="shared" si="334"/>
        <v>-141.33254883745553</v>
      </c>
      <c r="W819" s="1850">
        <f t="shared" si="335"/>
        <v>-51.402356062115508</v>
      </c>
      <c r="X819" s="1850">
        <f t="shared" si="336"/>
        <v>-412.83414599887618</v>
      </c>
      <c r="Y819" s="1850">
        <f t="shared" si="337"/>
        <v>-15.267552685116257</v>
      </c>
      <c r="Z819" s="1850">
        <f t="shared" si="338"/>
        <v>-161.07507386131275</v>
      </c>
      <c r="AA819" s="1850">
        <f t="shared" si="339"/>
        <v>-26.832604192425009</v>
      </c>
      <c r="AB819" s="2984"/>
      <c r="AC819" s="3015"/>
    </row>
    <row r="820" spans="1:29" ht="18.75" x14ac:dyDescent="0.25">
      <c r="A820" s="2982"/>
      <c r="B820" s="2753"/>
      <c r="C820" s="1863">
        <v>2040</v>
      </c>
      <c r="D820" s="218">
        <f t="shared" si="349"/>
        <v>-127216.31886336274</v>
      </c>
      <c r="E820" s="221">
        <f t="shared" si="357"/>
        <v>4824.5581179067685</v>
      </c>
      <c r="F820" s="221">
        <f t="shared" si="358"/>
        <v>0</v>
      </c>
      <c r="G820" s="218">
        <f t="shared" si="350"/>
        <v>-6.4413326006765947</v>
      </c>
      <c r="H820" s="218">
        <f t="shared" si="351"/>
        <v>-1.6103331501691474</v>
      </c>
      <c r="I820" s="218">
        <f t="shared" si="352"/>
        <v>-33.816996153552104</v>
      </c>
      <c r="J820" s="218">
        <f t="shared" si="353"/>
        <v>-1.6103331501691487</v>
      </c>
      <c r="K820" s="218">
        <f t="shared" si="354"/>
        <v>-170.69531391792975</v>
      </c>
      <c r="L820" s="218">
        <f t="shared" si="355"/>
        <v>-618.36792966495295</v>
      </c>
      <c r="M820" s="192">
        <f t="shared" si="356"/>
        <v>-122.39176074545597</v>
      </c>
      <c r="N820" s="1849">
        <v>86</v>
      </c>
      <c r="O820" s="211">
        <f>'Emission-Waste Transport Vehicl'!N54</f>
        <v>21.511154202912003</v>
      </c>
      <c r="P820" s="211">
        <f>'Emission-Waste Transport Vehicl'!O54</f>
        <v>31.294249392384003</v>
      </c>
      <c r="Q820" s="211">
        <f>'Emission-Waste Transport Vehicl'!P54</f>
        <v>11.968447800672001</v>
      </c>
      <c r="R820" s="211">
        <f>'Emission-Waste Transport Vehicl'!Q54</f>
        <v>9.2950331063040004</v>
      </c>
      <c r="S820" s="211">
        <f>'Emission-Waste Transport Vehicl'!R54</f>
        <v>0.92513260540800013</v>
      </c>
      <c r="T820" s="211">
        <f>'Emission-Waste Transport Vehicl'!S54</f>
        <v>4.254153083136001E-2</v>
      </c>
      <c r="U820" s="1850">
        <f t="shared" si="341"/>
        <v>-10525.691424109213</v>
      </c>
      <c r="V820" s="1850">
        <f t="shared" si="334"/>
        <v>-138.56049884539843</v>
      </c>
      <c r="W820" s="1850">
        <f t="shared" si="335"/>
        <v>-50.394167206216657</v>
      </c>
      <c r="X820" s="1850">
        <f t="shared" si="336"/>
        <v>-404.73695323931418</v>
      </c>
      <c r="Y820" s="1850">
        <f t="shared" si="337"/>
        <v>-14.968099943001048</v>
      </c>
      <c r="Z820" s="1850">
        <f t="shared" si="338"/>
        <v>-157.91580049583081</v>
      </c>
      <c r="AA820" s="1850">
        <f t="shared" si="339"/>
        <v>-26.306318344965852</v>
      </c>
      <c r="AB820" s="2984"/>
      <c r="AC820" s="3015"/>
    </row>
    <row r="821" spans="1:29" ht="18.75" x14ac:dyDescent="0.25">
      <c r="A821" s="2982"/>
      <c r="B821" s="2753"/>
      <c r="C821" s="1863">
        <v>2041</v>
      </c>
      <c r="D821" s="218">
        <f t="shared" si="349"/>
        <v>-127216.31886336274</v>
      </c>
      <c r="E821" s="221">
        <f t="shared" si="357"/>
        <v>4824.5581179067685</v>
      </c>
      <c r="F821" s="221">
        <f t="shared" si="358"/>
        <v>0</v>
      </c>
      <c r="G821" s="218">
        <f t="shared" si="350"/>
        <v>-6.4413326006765947</v>
      </c>
      <c r="H821" s="218">
        <f t="shared" si="351"/>
        <v>-1.6103331501691474</v>
      </c>
      <c r="I821" s="218">
        <f t="shared" si="352"/>
        <v>-33.816996153552104</v>
      </c>
      <c r="J821" s="218">
        <f t="shared" si="353"/>
        <v>-1.6103331501691487</v>
      </c>
      <c r="K821" s="218">
        <f t="shared" si="354"/>
        <v>-170.69531391792975</v>
      </c>
      <c r="L821" s="218">
        <f t="shared" si="355"/>
        <v>-618.36792966495295</v>
      </c>
      <c r="M821" s="192">
        <f t="shared" si="356"/>
        <v>-122.39176074545597</v>
      </c>
      <c r="N821" s="1849">
        <v>87</v>
      </c>
      <c r="O821" s="211">
        <f>'Emission-Waste Transport Vehicl'!N55</f>
        <v>21.087321216192002</v>
      </c>
      <c r="P821" s="211">
        <f>'Emission-Waste Transport Vehicl'!O55</f>
        <v>30.677660665344007</v>
      </c>
      <c r="Q821" s="211">
        <f>'Emission-Waste Transport Vehicl'!P55</f>
        <v>11.732634188352002</v>
      </c>
      <c r="R821" s="211">
        <f>'Emission-Waste Transport Vehicl'!Q55</f>
        <v>9.1118936240640007</v>
      </c>
      <c r="S821" s="211">
        <f>'Emission-Waste Transport Vehicl'!R55</f>
        <v>0.9069047729280002</v>
      </c>
      <c r="T821" s="211">
        <f>'Emission-Waste Transport Vehicl'!S55</f>
        <v>4.1703337589760005E-2</v>
      </c>
      <c r="U821" s="1850">
        <f t="shared" si="341"/>
        <v>-10648.08318485467</v>
      </c>
      <c r="V821" s="1850">
        <f t="shared" si="334"/>
        <v>-135.83044961079676</v>
      </c>
      <c r="W821" s="1850">
        <f t="shared" si="335"/>
        <v>-49.401253939043556</v>
      </c>
      <c r="X821" s="1850">
        <f t="shared" si="336"/>
        <v>-396.76244521853357</v>
      </c>
      <c r="Y821" s="1850">
        <f t="shared" si="337"/>
        <v>-14.673184363645163</v>
      </c>
      <c r="Z821" s="1850">
        <f t="shared" si="338"/>
        <v>-154.8043949086138</v>
      </c>
      <c r="AA821" s="1850">
        <f t="shared" si="339"/>
        <v>-25.788006525498503</v>
      </c>
      <c r="AB821" s="2984"/>
      <c r="AC821" s="3015"/>
    </row>
    <row r="822" spans="1:29" ht="18.75" x14ac:dyDescent="0.25">
      <c r="A822" s="2982"/>
      <c r="B822" s="2753"/>
      <c r="C822" s="1863">
        <v>2042</v>
      </c>
      <c r="D822" s="218">
        <f t="shared" si="349"/>
        <v>-127216.31886336274</v>
      </c>
      <c r="E822" s="221">
        <f t="shared" si="357"/>
        <v>4824.5581179067685</v>
      </c>
      <c r="F822" s="221">
        <f t="shared" si="358"/>
        <v>0</v>
      </c>
      <c r="G822" s="218">
        <f t="shared" si="350"/>
        <v>-6.4413326006765947</v>
      </c>
      <c r="H822" s="218">
        <f t="shared" si="351"/>
        <v>-1.6103331501691474</v>
      </c>
      <c r="I822" s="218">
        <f t="shared" si="352"/>
        <v>-33.816996153552104</v>
      </c>
      <c r="J822" s="218">
        <f t="shared" si="353"/>
        <v>-1.6103331501691487</v>
      </c>
      <c r="K822" s="218">
        <f t="shared" si="354"/>
        <v>-170.69531391792975</v>
      </c>
      <c r="L822" s="218">
        <f t="shared" si="355"/>
        <v>-618.36792966495295</v>
      </c>
      <c r="M822" s="192">
        <f t="shared" si="356"/>
        <v>-122.39176074545597</v>
      </c>
      <c r="N822" s="1849">
        <v>88</v>
      </c>
      <c r="O822" s="211">
        <f>'Emission-Waste Transport Vehicl'!N56</f>
        <v>20.676529244448002</v>
      </c>
      <c r="P822" s="211">
        <f>'Emission-Waste Transport Vehicl'!O56</f>
        <v>30.080043899136001</v>
      </c>
      <c r="Q822" s="211">
        <f>'Emission-Waste Transport Vehicl'!P56</f>
        <v>11.504076379488001</v>
      </c>
      <c r="R822" s="211">
        <f>'Emission-Waste Transport Vehicl'!Q56</f>
        <v>8.9343892028159999</v>
      </c>
      <c r="S822" s="211">
        <f>'Emission-Waste Transport Vehicl'!R56</f>
        <v>0.8892377968320001</v>
      </c>
      <c r="T822" s="211">
        <f>'Emission-Waste Transport Vehicl'!S56</f>
        <v>4.0890934909439999E-2</v>
      </c>
      <c r="U822" s="1850">
        <f t="shared" si="341"/>
        <v>-10770.474945600125</v>
      </c>
      <c r="V822" s="1850">
        <f t="shared" si="334"/>
        <v>-133.18440189110592</v>
      </c>
      <c r="W822" s="1850">
        <f t="shared" si="335"/>
        <v>-48.438891849321919</v>
      </c>
      <c r="X822" s="1850">
        <f t="shared" si="336"/>
        <v>-389.03330667531537</v>
      </c>
      <c r="Y822" s="1850">
        <f t="shared" si="337"/>
        <v>-14.387343109807919</v>
      </c>
      <c r="Z822" s="1850">
        <f t="shared" si="338"/>
        <v>-151.78872487792648</v>
      </c>
      <c r="AA822" s="1850">
        <f t="shared" si="339"/>
        <v>-25.285642762014763</v>
      </c>
      <c r="AB822" s="2984"/>
      <c r="AC822" s="3015"/>
    </row>
    <row r="823" spans="1:29" ht="18.75" x14ac:dyDescent="0.25">
      <c r="A823" s="2982"/>
      <c r="B823" s="2753"/>
      <c r="C823" s="1863">
        <v>2043</v>
      </c>
      <c r="D823" s="218">
        <f t="shared" si="349"/>
        <v>-127216.31886336274</v>
      </c>
      <c r="E823" s="221">
        <f t="shared" si="357"/>
        <v>4824.5581179067685</v>
      </c>
      <c r="F823" s="221">
        <f t="shared" si="358"/>
        <v>0</v>
      </c>
      <c r="G823" s="218">
        <f t="shared" si="350"/>
        <v>-6.4413326006765947</v>
      </c>
      <c r="H823" s="218">
        <f t="shared" si="351"/>
        <v>-1.6103331501691474</v>
      </c>
      <c r="I823" s="218">
        <f t="shared" si="352"/>
        <v>-33.816996153552104</v>
      </c>
      <c r="J823" s="218">
        <f t="shared" si="353"/>
        <v>-1.6103331501691487</v>
      </c>
      <c r="K823" s="218">
        <f t="shared" si="354"/>
        <v>-170.69531391792975</v>
      </c>
      <c r="L823" s="218">
        <f t="shared" si="355"/>
        <v>-618.36792966495295</v>
      </c>
      <c r="M823" s="192">
        <f t="shared" si="356"/>
        <v>-122.39176074545597</v>
      </c>
      <c r="N823" s="1849">
        <v>89</v>
      </c>
      <c r="O823" s="211">
        <f>'Emission-Waste Transport Vehicl'!N57</f>
        <v>20.268997526448004</v>
      </c>
      <c r="P823" s="211">
        <f>'Emission-Waste Transport Vehicl'!O57</f>
        <v>29.487170123136003</v>
      </c>
      <c r="Q823" s="211">
        <f>'Emission-Waste Transport Vehicl'!P57</f>
        <v>11.277332521488001</v>
      </c>
      <c r="R823" s="211">
        <f>'Emission-Waste Transport Vehicl'!Q57</f>
        <v>8.7582935468160006</v>
      </c>
      <c r="S823" s="211">
        <f>'Emission-Waste Transport Vehicl'!R57</f>
        <v>0.87171103483200019</v>
      </c>
      <c r="T823" s="211">
        <f>'Emission-Waste Transport Vehicl'!S57</f>
        <v>4.0084979869440006E-2</v>
      </c>
      <c r="U823" s="1850">
        <f t="shared" si="341"/>
        <v>-10892.866706345581</v>
      </c>
      <c r="V823" s="1850">
        <f t="shared" si="334"/>
        <v>-130.55935455014279</v>
      </c>
      <c r="W823" s="1850">
        <f t="shared" si="335"/>
        <v>-47.484167553963168</v>
      </c>
      <c r="X823" s="1850">
        <f t="shared" si="336"/>
        <v>-381.36551050148779</v>
      </c>
      <c r="Y823" s="1850">
        <f t="shared" si="337"/>
        <v>-14.103770437350336</v>
      </c>
      <c r="Z823" s="1850">
        <f t="shared" si="338"/>
        <v>-148.79698873637167</v>
      </c>
      <c r="AA823" s="1850">
        <f t="shared" si="339"/>
        <v>-24.787266012526931</v>
      </c>
      <c r="AB823" s="2984"/>
      <c r="AC823" s="3015"/>
    </row>
    <row r="824" spans="1:29" ht="18.75" x14ac:dyDescent="0.25">
      <c r="A824" s="2982"/>
      <c r="B824" s="2753"/>
      <c r="C824" s="1863">
        <v>2044</v>
      </c>
      <c r="D824" s="218">
        <f t="shared" si="349"/>
        <v>-127216.31886336274</v>
      </c>
      <c r="E824" s="221">
        <f t="shared" si="357"/>
        <v>4824.5581179067685</v>
      </c>
      <c r="F824" s="221">
        <f t="shared" si="358"/>
        <v>0</v>
      </c>
      <c r="G824" s="218">
        <f t="shared" si="350"/>
        <v>-6.4413326006765947</v>
      </c>
      <c r="H824" s="218">
        <f t="shared" si="351"/>
        <v>-1.6103331501691474</v>
      </c>
      <c r="I824" s="218">
        <f t="shared" si="352"/>
        <v>-33.816996153552104</v>
      </c>
      <c r="J824" s="218">
        <f t="shared" si="353"/>
        <v>-1.6103331501691487</v>
      </c>
      <c r="K824" s="218">
        <f t="shared" si="354"/>
        <v>-170.69531391792975</v>
      </c>
      <c r="L824" s="218">
        <f t="shared" si="355"/>
        <v>-618.36792966495295</v>
      </c>
      <c r="M824" s="192">
        <f t="shared" si="356"/>
        <v>-122.39176074545597</v>
      </c>
      <c r="N824" s="1849">
        <v>90</v>
      </c>
      <c r="O824" s="211">
        <f>'Emission-Waste Transport Vehicl'!N58</f>
        <v>19.871246569680004</v>
      </c>
      <c r="P824" s="211">
        <f>'Emission-Waste Transport Vehicl'!O58</f>
        <v>28.908525317760002</v>
      </c>
      <c r="Q824" s="211">
        <f>'Emission-Waste Transport Vehicl'!P58</f>
        <v>11.056030516080002</v>
      </c>
      <c r="R824" s="211">
        <f>'Emission-Waste Transport Vehicl'!Q58</f>
        <v>8.5864241865600004</v>
      </c>
      <c r="S824" s="211">
        <f>'Emission-Waste Transport Vehicl'!R58</f>
        <v>0.85460491512000014</v>
      </c>
      <c r="T824" s="211">
        <f>'Emission-Waste Transport Vehicl'!S58</f>
        <v>3.9298367750400007E-2</v>
      </c>
      <c r="U824" s="1850">
        <f t="shared" si="341"/>
        <v>-11015.258467091036</v>
      </c>
      <c r="V824" s="1850">
        <f t="shared" si="334"/>
        <v>-127.99730834536277</v>
      </c>
      <c r="W824" s="1850">
        <f t="shared" si="335"/>
        <v>-46.552356641693017</v>
      </c>
      <c r="X824" s="1850">
        <f t="shared" si="336"/>
        <v>-373.88174143583211</v>
      </c>
      <c r="Y824" s="1850">
        <f t="shared" si="337"/>
        <v>-13.827003509031735</v>
      </c>
      <c r="Z824" s="1850">
        <f t="shared" si="338"/>
        <v>-145.87705426221413</v>
      </c>
      <c r="AA824" s="1850">
        <f t="shared" si="339"/>
        <v>-24.300850305026806</v>
      </c>
      <c r="AB824" s="2984"/>
      <c r="AC824" s="3015"/>
    </row>
    <row r="825" spans="1:29" ht="18.75" x14ac:dyDescent="0.25">
      <c r="A825" s="2982"/>
      <c r="B825" s="2753"/>
      <c r="C825" s="1863">
        <v>2045</v>
      </c>
      <c r="D825" s="218">
        <f t="shared" si="349"/>
        <v>-127216.31886336274</v>
      </c>
      <c r="E825" s="221">
        <f t="shared" si="357"/>
        <v>4824.5581179067685</v>
      </c>
      <c r="F825" s="221">
        <f t="shared" si="358"/>
        <v>0</v>
      </c>
      <c r="G825" s="218">
        <f t="shared" si="350"/>
        <v>-6.4413326006765947</v>
      </c>
      <c r="H825" s="218">
        <f t="shared" si="351"/>
        <v>-1.6103331501691474</v>
      </c>
      <c r="I825" s="218">
        <f t="shared" si="352"/>
        <v>-33.816996153552104</v>
      </c>
      <c r="J825" s="218">
        <f t="shared" si="353"/>
        <v>-1.6103331501691487</v>
      </c>
      <c r="K825" s="218">
        <f t="shared" si="354"/>
        <v>-170.69531391792975</v>
      </c>
      <c r="L825" s="218">
        <f t="shared" si="355"/>
        <v>-618.36792966495295</v>
      </c>
      <c r="M825" s="192">
        <f t="shared" si="356"/>
        <v>-122.39176074545597</v>
      </c>
      <c r="N825" s="1849">
        <v>92</v>
      </c>
      <c r="O825" s="211">
        <f>'Emission-Waste Transport Vehicl'!N59</f>
        <v>19.483276374144001</v>
      </c>
      <c r="P825" s="211">
        <f>'Emission-Waste Transport Vehicl'!O59</f>
        <v>28.344109483008001</v>
      </c>
      <c r="Q825" s="211">
        <f>'Emission-Waste Transport Vehicl'!P59</f>
        <v>10.840170363264003</v>
      </c>
      <c r="R825" s="211">
        <f>'Emission-Waste Transport Vehicl'!Q59</f>
        <v>8.4187811220480011</v>
      </c>
      <c r="S825" s="211">
        <f>'Emission-Waste Transport Vehicl'!R59</f>
        <v>0.83791943769600008</v>
      </c>
      <c r="T825" s="211">
        <f>'Emission-Waste Transport Vehicl'!S59</f>
        <v>3.8531098552320009E-2</v>
      </c>
      <c r="U825" s="1850">
        <f t="shared" si="341"/>
        <v>-11260.041988581948</v>
      </c>
      <c r="V825" s="1850">
        <f t="shared" si="334"/>
        <v>-125.49826327676584</v>
      </c>
      <c r="W825" s="1850">
        <f t="shared" si="335"/>
        <v>-45.643459112511479</v>
      </c>
      <c r="X825" s="1850">
        <f t="shared" si="336"/>
        <v>-366.58199947834828</v>
      </c>
      <c r="Y825" s="1850">
        <f t="shared" si="337"/>
        <v>-13.557042324852118</v>
      </c>
      <c r="Z825" s="1850">
        <f t="shared" si="338"/>
        <v>-143.02892145545391</v>
      </c>
      <c r="AA825" s="1850">
        <f t="shared" si="339"/>
        <v>-23.826395639514391</v>
      </c>
      <c r="AB825" s="2984"/>
      <c r="AC825" s="3015"/>
    </row>
    <row r="826" spans="1:29" ht="18.75" x14ac:dyDescent="0.25">
      <c r="A826" s="2982"/>
      <c r="B826" s="2753"/>
      <c r="C826" s="1863">
        <v>2046</v>
      </c>
      <c r="D826" s="218">
        <f t="shared" si="349"/>
        <v>-127216.31886336274</v>
      </c>
      <c r="E826" s="221">
        <f t="shared" si="357"/>
        <v>4824.5581179067685</v>
      </c>
      <c r="F826" s="221">
        <f t="shared" si="358"/>
        <v>0</v>
      </c>
      <c r="G826" s="218">
        <f t="shared" si="350"/>
        <v>-6.4413326006765947</v>
      </c>
      <c r="H826" s="218">
        <f t="shared" si="351"/>
        <v>-1.6103331501691474</v>
      </c>
      <c r="I826" s="218">
        <f t="shared" si="352"/>
        <v>-33.816996153552104</v>
      </c>
      <c r="J826" s="218">
        <f t="shared" si="353"/>
        <v>-1.6103331501691487</v>
      </c>
      <c r="K826" s="218">
        <f t="shared" si="354"/>
        <v>-170.69531391792975</v>
      </c>
      <c r="L826" s="218">
        <f t="shared" si="355"/>
        <v>-618.36792966495295</v>
      </c>
      <c r="M826" s="192">
        <f t="shared" si="356"/>
        <v>-122.39176074545597</v>
      </c>
      <c r="N826" s="1849">
        <v>93</v>
      </c>
      <c r="O826" s="211">
        <f>'Emission-Waste Transport Vehicl'!N60</f>
        <v>19.101826686096</v>
      </c>
      <c r="P826" s="211">
        <f>'Emission-Waste Transport Vehicl'!O60</f>
        <v>27.789179628671999</v>
      </c>
      <c r="Q826" s="211">
        <f>'Emission-Waste Transport Vehicl'!P60</f>
        <v>10.627938112176002</v>
      </c>
      <c r="R826" s="211">
        <f>'Emission-Waste Transport Vehicl'!Q60</f>
        <v>8.2539555880319995</v>
      </c>
      <c r="S826" s="211">
        <f>'Emission-Waste Transport Vehicl'!R60</f>
        <v>0.82151438846400004</v>
      </c>
      <c r="T826" s="211">
        <f>'Emission-Waste Transport Vehicl'!S60</f>
        <v>3.777672463488E-2</v>
      </c>
      <c r="U826" s="1850">
        <f t="shared" si="341"/>
        <v>-11382.433749327405</v>
      </c>
      <c r="V826" s="1850">
        <f t="shared" ref="V826:V849" si="359">G826*O826</f>
        <v>-123.04121896562432</v>
      </c>
      <c r="W826" s="1850">
        <f t="shared" ref="W826:W849" si="360">H826*P826</f>
        <v>-44.749837172055678</v>
      </c>
      <c r="X826" s="1850">
        <f t="shared" ref="X826:X849" si="361">I826*Q826</f>
        <v>-359.40494225964568</v>
      </c>
      <c r="Y826" s="1850">
        <f t="shared" ref="Y826:Y849" si="362">J826*R826</f>
        <v>-13.291618303431818</v>
      </c>
      <c r="Z826" s="1850">
        <f t="shared" ref="Z826:Z849" si="363">K826*S826</f>
        <v>-140.22865642695857</v>
      </c>
      <c r="AA826" s="1850">
        <f t="shared" ref="AA826:AA849" si="364">T826*L826</f>
        <v>-23.359915001993773</v>
      </c>
      <c r="AB826" s="2984"/>
      <c r="AC826" s="3015"/>
    </row>
    <row r="827" spans="1:29" ht="18.75" x14ac:dyDescent="0.25">
      <c r="A827" s="2982"/>
      <c r="B827" s="2753"/>
      <c r="C827" s="1863">
        <v>2047</v>
      </c>
      <c r="D827" s="218">
        <f t="shared" si="349"/>
        <v>-127216.31886336274</v>
      </c>
      <c r="E827" s="221">
        <f t="shared" si="357"/>
        <v>4824.5581179067685</v>
      </c>
      <c r="F827" s="221">
        <f t="shared" si="358"/>
        <v>0</v>
      </c>
      <c r="G827" s="218">
        <f t="shared" si="350"/>
        <v>-6.4413326006765947</v>
      </c>
      <c r="H827" s="218">
        <f t="shared" si="351"/>
        <v>-1.6103331501691474</v>
      </c>
      <c r="I827" s="218">
        <f t="shared" si="352"/>
        <v>-33.816996153552104</v>
      </c>
      <c r="J827" s="218">
        <f t="shared" si="353"/>
        <v>-1.6103331501691487</v>
      </c>
      <c r="K827" s="218">
        <f t="shared" si="354"/>
        <v>-170.69531391792975</v>
      </c>
      <c r="L827" s="218">
        <f t="shared" si="355"/>
        <v>-618.36792966495295</v>
      </c>
      <c r="M827" s="192">
        <f t="shared" si="356"/>
        <v>-122.39176074545597</v>
      </c>
      <c r="N827" s="1849">
        <v>94</v>
      </c>
      <c r="O827" s="211">
        <f>'Emission-Waste Transport Vehicl'!N61</f>
        <v>18.726897505536005</v>
      </c>
      <c r="P827" s="211">
        <f>'Emission-Waste Transport Vehicl'!O61</f>
        <v>27.243735754752002</v>
      </c>
      <c r="Q827" s="211">
        <f>'Emission-Waste Transport Vehicl'!P61</f>
        <v>10.419333762816001</v>
      </c>
      <c r="R827" s="211">
        <f>'Emission-Waste Transport Vehicl'!Q61</f>
        <v>8.0919475845120008</v>
      </c>
      <c r="S827" s="211">
        <f>'Emission-Waste Transport Vehicl'!R61</f>
        <v>0.80538976742400015</v>
      </c>
      <c r="T827" s="211">
        <f>'Emission-Waste Transport Vehicl'!S61</f>
        <v>3.7035245998080002E-2</v>
      </c>
      <c r="U827" s="1850">
        <f t="shared" ref="U827:U849" si="365">M827*N827</f>
        <v>-11504.82551007286</v>
      </c>
      <c r="V827" s="1850">
        <f t="shared" si="359"/>
        <v>-120.62617541193828</v>
      </c>
      <c r="W827" s="1850">
        <f t="shared" si="360"/>
        <v>-43.871490820325626</v>
      </c>
      <c r="X827" s="1850">
        <f t="shared" si="361"/>
        <v>-352.35056977972425</v>
      </c>
      <c r="Y827" s="1850">
        <f t="shared" si="362"/>
        <v>-13.030731444770844</v>
      </c>
      <c r="Z827" s="1850">
        <f t="shared" si="363"/>
        <v>-137.47625917672815</v>
      </c>
      <c r="AA827" s="1850">
        <f t="shared" si="364"/>
        <v>-22.901408392464965</v>
      </c>
      <c r="AB827" s="2984"/>
      <c r="AC827" s="3015"/>
    </row>
    <row r="828" spans="1:29" ht="18.75" x14ac:dyDescent="0.25">
      <c r="A828" s="2982"/>
      <c r="B828" s="2753"/>
      <c r="C828" s="1863">
        <v>2048</v>
      </c>
      <c r="D828" s="218">
        <f t="shared" si="349"/>
        <v>-127216.31886336274</v>
      </c>
      <c r="E828" s="221">
        <f t="shared" si="357"/>
        <v>4824.5581179067685</v>
      </c>
      <c r="F828" s="221">
        <f t="shared" si="358"/>
        <v>0</v>
      </c>
      <c r="G828" s="218">
        <f t="shared" si="350"/>
        <v>-6.4413326006765947</v>
      </c>
      <c r="H828" s="218">
        <f t="shared" si="351"/>
        <v>-1.6103331501691474</v>
      </c>
      <c r="I828" s="218">
        <f t="shared" si="352"/>
        <v>-33.816996153552104</v>
      </c>
      <c r="J828" s="218">
        <f t="shared" si="353"/>
        <v>-1.6103331501691487</v>
      </c>
      <c r="K828" s="218">
        <f t="shared" si="354"/>
        <v>-170.69531391792975</v>
      </c>
      <c r="L828" s="218">
        <f t="shared" si="355"/>
        <v>-618.36792966495295</v>
      </c>
      <c r="M828" s="192">
        <f t="shared" si="356"/>
        <v>-122.39176074545597</v>
      </c>
      <c r="N828" s="1849">
        <v>95</v>
      </c>
      <c r="O828" s="211">
        <f>'Emission-Waste Transport Vehicl'!N62</f>
        <v>18.358488832464005</v>
      </c>
      <c r="P828" s="211">
        <f>'Emission-Waste Transport Vehicl'!O62</f>
        <v>26.707777861248005</v>
      </c>
      <c r="Q828" s="211">
        <f>'Emission-Waste Transport Vehicl'!P62</f>
        <v>10.214357315184001</v>
      </c>
      <c r="R828" s="211">
        <f>'Emission-Waste Transport Vehicl'!Q62</f>
        <v>7.9327571114880007</v>
      </c>
      <c r="S828" s="211">
        <f>'Emission-Waste Transport Vehicl'!R62</f>
        <v>0.78954557457600016</v>
      </c>
      <c r="T828" s="211">
        <f>'Emission-Waste Transport Vehicl'!S62</f>
        <v>3.6306662641920007E-2</v>
      </c>
      <c r="U828" s="1850">
        <f t="shared" si="365"/>
        <v>-11627.217270818317</v>
      </c>
      <c r="V828" s="1850">
        <f t="shared" si="359"/>
        <v>-118.25313261570759</v>
      </c>
      <c r="W828" s="1850">
        <f t="shared" si="360"/>
        <v>-43.00842005732131</v>
      </c>
      <c r="X828" s="1850">
        <f t="shared" si="361"/>
        <v>-345.41888203858417</v>
      </c>
      <c r="Y828" s="1850">
        <f t="shared" si="362"/>
        <v>-12.774381748869189</v>
      </c>
      <c r="Z828" s="1850">
        <f t="shared" si="363"/>
        <v>-134.77172970476258</v>
      </c>
      <c r="AA828" s="1850">
        <f t="shared" si="364"/>
        <v>-22.450875810927965</v>
      </c>
      <c r="AB828" s="2984"/>
      <c r="AC828" s="3015"/>
    </row>
    <row r="829" spans="1:29" ht="18.75" x14ac:dyDescent="0.25">
      <c r="A829" s="2982"/>
      <c r="B829" s="2753"/>
      <c r="C829" s="1863">
        <v>2049</v>
      </c>
      <c r="D829" s="218">
        <f t="shared" si="349"/>
        <v>-127216.31886336274</v>
      </c>
      <c r="E829" s="221">
        <f t="shared" si="357"/>
        <v>4824.5581179067685</v>
      </c>
      <c r="F829" s="221">
        <f t="shared" si="358"/>
        <v>0</v>
      </c>
      <c r="G829" s="218">
        <f t="shared" si="350"/>
        <v>-6.4413326006765947</v>
      </c>
      <c r="H829" s="218">
        <f t="shared" si="351"/>
        <v>-1.6103331501691474</v>
      </c>
      <c r="I829" s="218">
        <f t="shared" si="352"/>
        <v>-33.816996153552104</v>
      </c>
      <c r="J829" s="218">
        <f t="shared" si="353"/>
        <v>-1.6103331501691487</v>
      </c>
      <c r="K829" s="218">
        <f t="shared" si="354"/>
        <v>-170.69531391792975</v>
      </c>
      <c r="L829" s="218">
        <f t="shared" si="355"/>
        <v>-618.36792966495295</v>
      </c>
      <c r="M829" s="192">
        <f t="shared" si="356"/>
        <v>-122.39176074545597</v>
      </c>
      <c r="N829" s="1849">
        <v>96</v>
      </c>
      <c r="O829" s="211">
        <f>'Emission-Waste Transport Vehicl'!N63</f>
        <v>17.999860920624005</v>
      </c>
      <c r="P829" s="211">
        <f>'Emission-Waste Transport Vehicl'!O63</f>
        <v>26.186048938368003</v>
      </c>
      <c r="Q829" s="211">
        <f>'Emission-Waste Transport Vehicl'!P63</f>
        <v>10.014822720144002</v>
      </c>
      <c r="R829" s="211">
        <f>'Emission-Waste Transport Vehicl'!Q63</f>
        <v>7.7777929342080014</v>
      </c>
      <c r="S829" s="211">
        <f>'Emission-Waste Transport Vehicl'!R63</f>
        <v>0.77412202401600017</v>
      </c>
      <c r="T829" s="211">
        <f>'Emission-Waste Transport Vehicl'!S63</f>
        <v>3.5597422206719999E-2</v>
      </c>
      <c r="U829" s="1850">
        <f t="shared" si="365"/>
        <v>-11749.609031563774</v>
      </c>
      <c r="V829" s="1850">
        <f t="shared" si="359"/>
        <v>-115.94309095566003</v>
      </c>
      <c r="W829" s="1850">
        <f t="shared" si="360"/>
        <v>-42.1682626774056</v>
      </c>
      <c r="X829" s="1850">
        <f t="shared" si="361"/>
        <v>-338.67122140561594</v>
      </c>
      <c r="Y829" s="1850">
        <f t="shared" si="362"/>
        <v>-12.524837797106517</v>
      </c>
      <c r="Z829" s="1850">
        <f t="shared" si="363"/>
        <v>-132.1390019001943</v>
      </c>
      <c r="AA829" s="1850">
        <f t="shared" si="364"/>
        <v>-22.012304271378667</v>
      </c>
      <c r="AB829" s="2984"/>
      <c r="AC829" s="3015"/>
    </row>
    <row r="830" spans="1:29" ht="18.75" x14ac:dyDescent="0.25">
      <c r="A830" s="2982"/>
      <c r="B830" s="2753"/>
      <c r="C830" s="1863">
        <v>2050</v>
      </c>
      <c r="D830" s="218">
        <f t="shared" si="349"/>
        <v>-127216.31886336274</v>
      </c>
      <c r="E830" s="221">
        <f t="shared" si="357"/>
        <v>4824.5581179067685</v>
      </c>
      <c r="F830" s="221">
        <f t="shared" si="358"/>
        <v>0</v>
      </c>
      <c r="G830" s="218">
        <f t="shared" si="350"/>
        <v>-6.4413326006765947</v>
      </c>
      <c r="H830" s="218">
        <f t="shared" si="351"/>
        <v>-1.6103331501691474</v>
      </c>
      <c r="I830" s="218">
        <f t="shared" si="352"/>
        <v>-33.816996153552104</v>
      </c>
      <c r="J830" s="218">
        <f t="shared" si="353"/>
        <v>-1.6103331501691487</v>
      </c>
      <c r="K830" s="218">
        <f t="shared" si="354"/>
        <v>-170.69531391792975</v>
      </c>
      <c r="L830" s="218">
        <f t="shared" si="355"/>
        <v>-618.36792966495295</v>
      </c>
      <c r="M830" s="192">
        <f t="shared" si="356"/>
        <v>-122.39176074545597</v>
      </c>
      <c r="N830" s="1849">
        <v>97</v>
      </c>
      <c r="O830" s="211">
        <f>'Emission-Waste Transport Vehicl'!N64</f>
        <v>17.644493262528005</v>
      </c>
      <c r="P830" s="211">
        <f>'Emission-Waste Transport Vehicl'!O64</f>
        <v>25.669063005696003</v>
      </c>
      <c r="Q830" s="211">
        <f>'Emission-Waste Transport Vehicl'!P64</f>
        <v>9.8171020759680019</v>
      </c>
      <c r="R830" s="211">
        <f>'Emission-Waste Transport Vehicl'!Q64</f>
        <v>7.624237522176001</v>
      </c>
      <c r="S830" s="211">
        <f>'Emission-Waste Transport Vehicl'!R64</f>
        <v>0.75883868755200012</v>
      </c>
      <c r="T830" s="211">
        <f>'Emission-Waste Transport Vehicl'!S64</f>
        <v>3.4894629411840003E-2</v>
      </c>
      <c r="U830" s="1850">
        <f t="shared" si="365"/>
        <v>-11872.000792309229</v>
      </c>
      <c r="V830" s="1850">
        <f t="shared" si="359"/>
        <v>-113.65404967434017</v>
      </c>
      <c r="W830" s="1850">
        <f t="shared" si="360"/>
        <v>-41.33574309185277</v>
      </c>
      <c r="X830" s="1850">
        <f t="shared" si="361"/>
        <v>-331.98490314203832</v>
      </c>
      <c r="Y830" s="1850">
        <f t="shared" si="362"/>
        <v>-12.277562426723504</v>
      </c>
      <c r="Z830" s="1850">
        <f t="shared" si="363"/>
        <v>-129.53020798475848</v>
      </c>
      <c r="AA830" s="1850">
        <f t="shared" si="364"/>
        <v>-21.577719745825277</v>
      </c>
      <c r="AB830" s="2984"/>
      <c r="AC830" s="3015"/>
    </row>
    <row r="831" spans="1:29" ht="18.75" x14ac:dyDescent="0.25">
      <c r="A831" s="2982"/>
      <c r="B831" s="2753"/>
      <c r="C831" s="1863">
        <v>2051</v>
      </c>
      <c r="D831" s="218">
        <f t="shared" ref="D831:D849" si="366">$AC$27</f>
        <v>-127216.31886336274</v>
      </c>
      <c r="E831" s="221">
        <f t="shared" si="357"/>
        <v>4824.5581179067685</v>
      </c>
      <c r="F831" s="221">
        <f t="shared" si="358"/>
        <v>0</v>
      </c>
      <c r="G831" s="218">
        <f t="shared" ref="G831:G849" si="367">$Y$27</f>
        <v>-6.4413326006765947</v>
      </c>
      <c r="H831" s="218">
        <f t="shared" ref="H831:H849" si="368">$Z$27</f>
        <v>-1.6103331501691474</v>
      </c>
      <c r="I831" s="218">
        <f t="shared" ref="I831:I849" si="369">$X$27</f>
        <v>-33.816996153552104</v>
      </c>
      <c r="J831" s="218">
        <f t="shared" ref="J831:J849" si="370">$AA$27</f>
        <v>-1.6103331501691487</v>
      </c>
      <c r="K831" s="218">
        <f t="shared" ref="K831:K849" si="371">$V$27</f>
        <v>-170.69531391792975</v>
      </c>
      <c r="L831" s="218">
        <f t="shared" ref="L831:L849" si="372">$W$27</f>
        <v>-618.36792966495295</v>
      </c>
      <c r="M831" s="192">
        <f t="shared" si="356"/>
        <v>-122.39176074545597</v>
      </c>
      <c r="N831" s="1849">
        <v>97</v>
      </c>
      <c r="O831" s="211">
        <f>'Emission-Waste Transport Vehicl'!N65</f>
        <v>17.298906365664003</v>
      </c>
      <c r="P831" s="211">
        <f>'Emission-Waste Transport Vehicl'!O65</f>
        <v>25.166306043648003</v>
      </c>
      <c r="Q831" s="211">
        <f>'Emission-Waste Transport Vehicl'!P65</f>
        <v>9.624823284384</v>
      </c>
      <c r="R831" s="211">
        <f>'Emission-Waste Transport Vehicl'!Q65</f>
        <v>7.4749084058879998</v>
      </c>
      <c r="S831" s="211">
        <f>'Emission-Waste Transport Vehicl'!R65</f>
        <v>0.74397599337600007</v>
      </c>
      <c r="T831" s="211">
        <f>'Emission-Waste Transport Vehicl'!S65</f>
        <v>3.4211179537920001E-2</v>
      </c>
      <c r="U831" s="1850">
        <f t="shared" si="365"/>
        <v>-11872.000792309229</v>
      </c>
      <c r="V831" s="1850">
        <f t="shared" si="359"/>
        <v>-111.42800952920341</v>
      </c>
      <c r="W831" s="1850">
        <f t="shared" si="360"/>
        <v>-40.526136889388539</v>
      </c>
      <c r="X831" s="1850">
        <f t="shared" si="361"/>
        <v>-325.48261198663243</v>
      </c>
      <c r="Y831" s="1850">
        <f t="shared" si="362"/>
        <v>-12.037092800479472</v>
      </c>
      <c r="Z831" s="1850">
        <f t="shared" si="363"/>
        <v>-126.99321573671996</v>
      </c>
      <c r="AA831" s="1850">
        <f t="shared" si="364"/>
        <v>-21.155096262259594</v>
      </c>
      <c r="AB831" s="2984"/>
      <c r="AC831" s="3015"/>
    </row>
    <row r="832" spans="1:29" ht="18.75" x14ac:dyDescent="0.25">
      <c r="A832" s="2982"/>
      <c r="B832" s="2753"/>
      <c r="C832" s="1863">
        <v>2052</v>
      </c>
      <c r="D832" s="218">
        <f t="shared" si="366"/>
        <v>-127216.31886336274</v>
      </c>
      <c r="E832" s="221">
        <f t="shared" si="357"/>
        <v>4824.5581179067685</v>
      </c>
      <c r="F832" s="221">
        <f t="shared" si="358"/>
        <v>0</v>
      </c>
      <c r="G832" s="218">
        <f t="shared" si="367"/>
        <v>-6.4413326006765947</v>
      </c>
      <c r="H832" s="218">
        <f t="shared" si="368"/>
        <v>-1.6103331501691474</v>
      </c>
      <c r="I832" s="218">
        <f t="shared" si="369"/>
        <v>-33.816996153552104</v>
      </c>
      <c r="J832" s="218">
        <f t="shared" si="370"/>
        <v>-1.6103331501691487</v>
      </c>
      <c r="K832" s="218">
        <f t="shared" si="371"/>
        <v>-170.69531391792975</v>
      </c>
      <c r="L832" s="218">
        <f t="shared" si="372"/>
        <v>-618.36792966495295</v>
      </c>
      <c r="M832" s="192">
        <f t="shared" si="356"/>
        <v>-122.39176074545597</v>
      </c>
      <c r="N832" s="1849">
        <v>97</v>
      </c>
      <c r="O832" s="211">
        <f>'Emission-Waste Transport Vehicl'!N66</f>
        <v>16.959839976288002</v>
      </c>
      <c r="P832" s="211">
        <f>'Emission-Waste Transport Vehicl'!O66</f>
        <v>24.673035062016002</v>
      </c>
      <c r="Q832" s="211">
        <f>'Emission-Waste Transport Vehicl'!P66</f>
        <v>9.4361723945280005</v>
      </c>
      <c r="R832" s="211">
        <f>'Emission-Waste Transport Vehicl'!Q66</f>
        <v>7.3283968200960006</v>
      </c>
      <c r="S832" s="211">
        <f>'Emission-Waste Transport Vehicl'!R66</f>
        <v>0.72939372739200004</v>
      </c>
      <c r="T832" s="211">
        <f>'Emission-Waste Transport Vehicl'!S66</f>
        <v>3.3540624944640003E-2</v>
      </c>
      <c r="U832" s="1850">
        <f t="shared" si="365"/>
        <v>-11872.000792309229</v>
      </c>
      <c r="V832" s="1850">
        <f t="shared" si="359"/>
        <v>-109.24397014152207</v>
      </c>
      <c r="W832" s="1850">
        <f t="shared" si="360"/>
        <v>-39.731806275650051</v>
      </c>
      <c r="X832" s="1850">
        <f t="shared" si="361"/>
        <v>-319.10300557000795</v>
      </c>
      <c r="Y832" s="1850">
        <f t="shared" si="362"/>
        <v>-11.801160336994764</v>
      </c>
      <c r="Z832" s="1850">
        <f t="shared" si="363"/>
        <v>-124.50409126694632</v>
      </c>
      <c r="AA832" s="1850">
        <f t="shared" si="364"/>
        <v>-20.740446806685718</v>
      </c>
      <c r="AB832" s="2984"/>
      <c r="AC832" s="3015"/>
    </row>
    <row r="833" spans="1:29" ht="18.75" x14ac:dyDescent="0.25">
      <c r="A833" s="2982"/>
      <c r="B833" s="2753"/>
      <c r="C833" s="1863">
        <v>2053</v>
      </c>
      <c r="D833" s="218">
        <f t="shared" si="366"/>
        <v>-127216.31886336274</v>
      </c>
      <c r="E833" s="221">
        <f t="shared" si="357"/>
        <v>4824.5581179067685</v>
      </c>
      <c r="F833" s="221">
        <f t="shared" si="358"/>
        <v>0</v>
      </c>
      <c r="G833" s="218">
        <f t="shared" si="367"/>
        <v>-6.4413326006765947</v>
      </c>
      <c r="H833" s="218">
        <f t="shared" si="368"/>
        <v>-1.6103331501691474</v>
      </c>
      <c r="I833" s="218">
        <f t="shared" si="369"/>
        <v>-33.816996153552104</v>
      </c>
      <c r="J833" s="218">
        <f t="shared" si="370"/>
        <v>-1.6103331501691487</v>
      </c>
      <c r="K833" s="218">
        <f t="shared" si="371"/>
        <v>-170.69531391792975</v>
      </c>
      <c r="L833" s="218">
        <f t="shared" si="372"/>
        <v>-618.36792966495295</v>
      </c>
      <c r="M833" s="192">
        <f t="shared" si="356"/>
        <v>-122.39176074545597</v>
      </c>
      <c r="N833" s="1849">
        <v>97</v>
      </c>
      <c r="O833" s="211">
        <f>'Emission-Waste Transport Vehicl'!N67</f>
        <v>15.361506000000002</v>
      </c>
      <c r="P833" s="211">
        <f>'Emission-Waste Transport Vehicl'!O67</f>
        <v>24.189250060800003</v>
      </c>
      <c r="Q833" s="211">
        <f>'Emission-Waste Transport Vehicl'!P67</f>
        <v>9.2511494064000015</v>
      </c>
      <c r="R833" s="211">
        <f>'Emission-Waste Transport Vehicl'!Q67</f>
        <v>7.1847027647999999</v>
      </c>
      <c r="S833" s="211">
        <f>'Emission-Waste Transport Vehicl'!R67</f>
        <v>0.71509188960000014</v>
      </c>
      <c r="T833" s="211">
        <f>'Emission-Waste Transport Vehicl'!S67</f>
        <v>3.2882965632000001E-2</v>
      </c>
      <c r="U833" s="1850">
        <f t="shared" si="365"/>
        <v>-11872.000792309229</v>
      </c>
      <c r="V833" s="1850">
        <f t="shared" si="359"/>
        <v>-98.948569393289134</v>
      </c>
      <c r="W833" s="1850">
        <f t="shared" si="360"/>
        <v>-38.952751250637306</v>
      </c>
      <c r="X833" s="1850">
        <f t="shared" si="361"/>
        <v>-312.8460838921647</v>
      </c>
      <c r="Y833" s="1850">
        <f t="shared" si="362"/>
        <v>-11.569765036269375</v>
      </c>
      <c r="Z833" s="1850">
        <f t="shared" si="363"/>
        <v>-122.06283457543759</v>
      </c>
      <c r="AA833" s="1850">
        <f t="shared" si="364"/>
        <v>-20.333771379103641</v>
      </c>
      <c r="AB833" s="2984"/>
      <c r="AC833" s="3015"/>
    </row>
    <row r="834" spans="1:29" ht="18.75" x14ac:dyDescent="0.25">
      <c r="A834" s="2982"/>
      <c r="B834" s="2753"/>
      <c r="C834" s="1863">
        <v>2054</v>
      </c>
      <c r="D834" s="218">
        <f t="shared" si="366"/>
        <v>-127216.31886336274</v>
      </c>
      <c r="E834" s="221">
        <f t="shared" si="357"/>
        <v>4824.5581179067685</v>
      </c>
      <c r="F834" s="221">
        <f t="shared" si="358"/>
        <v>0</v>
      </c>
      <c r="G834" s="218">
        <f t="shared" si="367"/>
        <v>-6.4413326006765947</v>
      </c>
      <c r="H834" s="218">
        <f t="shared" si="368"/>
        <v>-1.6103331501691474</v>
      </c>
      <c r="I834" s="218">
        <f t="shared" si="369"/>
        <v>-33.816996153552104</v>
      </c>
      <c r="J834" s="218">
        <f t="shared" si="370"/>
        <v>-1.6103331501691487</v>
      </c>
      <c r="K834" s="218">
        <f t="shared" si="371"/>
        <v>-170.69531391792975</v>
      </c>
      <c r="L834" s="218">
        <f t="shared" si="372"/>
        <v>-618.36792966495295</v>
      </c>
      <c r="M834" s="192">
        <f t="shared" si="356"/>
        <v>-122.39176074545597</v>
      </c>
      <c r="N834" s="1849">
        <v>97</v>
      </c>
      <c r="O834" s="211">
        <f>'Emission-Waste Transport Vehicl'!N68</f>
        <v>16.301268720000003</v>
      </c>
      <c r="P834" s="211">
        <f>'Emission-Waste Transport Vehicl'!O68</f>
        <v>23.714951040000003</v>
      </c>
      <c r="Q834" s="211">
        <f>'Emission-Waste Transport Vehicl'!P68</f>
        <v>9.0697543200000013</v>
      </c>
      <c r="R834" s="211">
        <f>'Emission-Waste Transport Vehicl'!Q68</f>
        <v>7.0438262400000005</v>
      </c>
      <c r="S834" s="211">
        <f>'Emission-Waste Transport Vehicl'!R68</f>
        <v>0.70107048000000005</v>
      </c>
      <c r="T834" s="211">
        <f>'Emission-Waste Transport Vehicl'!S68</f>
        <v>3.2238201600000002E-2</v>
      </c>
      <c r="U834" s="1850">
        <f t="shared" si="365"/>
        <v>-11872.000792309229</v>
      </c>
      <c r="V834" s="1850">
        <f t="shared" si="359"/>
        <v>-105.00189363852564</v>
      </c>
      <c r="W834" s="1850">
        <f t="shared" si="360"/>
        <v>-38.188971814350303</v>
      </c>
      <c r="X834" s="1850">
        <f t="shared" si="361"/>
        <v>-306.71184695310262</v>
      </c>
      <c r="Y834" s="1850">
        <f t="shared" si="362"/>
        <v>-11.34290689830331</v>
      </c>
      <c r="Z834" s="1850">
        <f t="shared" si="363"/>
        <v>-119.6694456621937</v>
      </c>
      <c r="AA834" s="1850">
        <f t="shared" si="364"/>
        <v>-19.935069979513376</v>
      </c>
      <c r="AB834" s="2984"/>
      <c r="AC834" s="3015"/>
    </row>
    <row r="835" spans="1:29" ht="18.75" x14ac:dyDescent="0.25">
      <c r="A835" s="2982"/>
      <c r="B835" s="2753"/>
      <c r="C835" s="1863">
        <v>2055</v>
      </c>
      <c r="D835" s="218">
        <f t="shared" si="366"/>
        <v>-127216.31886336274</v>
      </c>
      <c r="E835" s="221">
        <f t="shared" si="357"/>
        <v>4824.5581179067685</v>
      </c>
      <c r="F835" s="221">
        <f t="shared" si="358"/>
        <v>0</v>
      </c>
      <c r="G835" s="218">
        <f t="shared" si="367"/>
        <v>-6.4413326006765947</v>
      </c>
      <c r="H835" s="218">
        <f t="shared" si="368"/>
        <v>-1.6103331501691474</v>
      </c>
      <c r="I835" s="218">
        <f t="shared" si="369"/>
        <v>-33.816996153552104</v>
      </c>
      <c r="J835" s="218">
        <f t="shared" si="370"/>
        <v>-1.6103331501691487</v>
      </c>
      <c r="K835" s="218">
        <f t="shared" si="371"/>
        <v>-170.69531391792975</v>
      </c>
      <c r="L835" s="218">
        <f t="shared" si="372"/>
        <v>-618.36792966495295</v>
      </c>
      <c r="M835" s="192">
        <f t="shared" si="356"/>
        <v>-122.39176074545597</v>
      </c>
      <c r="N835" s="1849">
        <v>97</v>
      </c>
      <c r="O835" s="211">
        <f>'Emission-Waste Transport Vehicl'!N69</f>
        <v>15.981763853088003</v>
      </c>
      <c r="P835" s="211">
        <f>'Emission-Waste Transport Vehicl'!O69</f>
        <v>23.250137999616001</v>
      </c>
      <c r="Q835" s="211">
        <f>'Emission-Waste Transport Vehicl'!P69</f>
        <v>8.8919871353280016</v>
      </c>
      <c r="R835" s="211">
        <f>'Emission-Waste Transport Vehicl'!Q69</f>
        <v>6.9057672456960004</v>
      </c>
      <c r="S835" s="211">
        <f>'Emission-Waste Transport Vehicl'!R69</f>
        <v>0.6873294985920001</v>
      </c>
      <c r="T835" s="211">
        <f>'Emission-Waste Transport Vehicl'!S69</f>
        <v>3.1606332848640006E-2</v>
      </c>
      <c r="U835" s="1850">
        <f t="shared" si="365"/>
        <v>-11872.000792309229</v>
      </c>
      <c r="V835" s="1850">
        <f t="shared" si="359"/>
        <v>-102.94385652321054</v>
      </c>
      <c r="W835" s="1850">
        <f t="shared" si="360"/>
        <v>-37.440467966789036</v>
      </c>
      <c r="X835" s="1850">
        <f t="shared" si="361"/>
        <v>-300.70029475282183</v>
      </c>
      <c r="Y835" s="1850">
        <f t="shared" si="362"/>
        <v>-11.120585923096566</v>
      </c>
      <c r="Z835" s="1850">
        <f t="shared" si="363"/>
        <v>-117.32392452721471</v>
      </c>
      <c r="AA835" s="1850">
        <f t="shared" si="364"/>
        <v>-19.544342607914917</v>
      </c>
      <c r="AB835" s="2984"/>
      <c r="AC835" s="3015"/>
    </row>
    <row r="836" spans="1:29" ht="18.75" x14ac:dyDescent="0.25">
      <c r="A836" s="2982"/>
      <c r="B836" s="2753"/>
      <c r="C836" s="1863">
        <v>2056</v>
      </c>
      <c r="D836" s="218">
        <f t="shared" si="366"/>
        <v>-127216.31886336274</v>
      </c>
      <c r="E836" s="221">
        <f t="shared" si="357"/>
        <v>4824.5581179067685</v>
      </c>
      <c r="F836" s="221">
        <f t="shared" si="358"/>
        <v>0</v>
      </c>
      <c r="G836" s="218">
        <f t="shared" si="367"/>
        <v>-6.4413326006765947</v>
      </c>
      <c r="H836" s="218">
        <f t="shared" si="368"/>
        <v>-1.6103331501691474</v>
      </c>
      <c r="I836" s="218">
        <f t="shared" si="369"/>
        <v>-33.816996153552104</v>
      </c>
      <c r="J836" s="218">
        <f t="shared" si="370"/>
        <v>-1.6103331501691487</v>
      </c>
      <c r="K836" s="218">
        <f t="shared" si="371"/>
        <v>-170.69531391792975</v>
      </c>
      <c r="L836" s="218">
        <f t="shared" si="372"/>
        <v>-618.36792966495295</v>
      </c>
      <c r="M836" s="192">
        <f t="shared" si="356"/>
        <v>-122.39176074545597</v>
      </c>
      <c r="N836" s="1849">
        <v>97</v>
      </c>
      <c r="O836" s="211">
        <f>'Emission-Waste Transport Vehicl'!N70</f>
        <v>15.668779493664003</v>
      </c>
      <c r="P836" s="211">
        <f>'Emission-Waste Transport Vehicl'!O70</f>
        <v>22.794810939648006</v>
      </c>
      <c r="Q836" s="211">
        <f>'Emission-Waste Transport Vehicl'!P70</f>
        <v>8.7178478523840006</v>
      </c>
      <c r="R836" s="211">
        <f>'Emission-Waste Transport Vehicl'!Q70</f>
        <v>6.7705257818880007</v>
      </c>
      <c r="S836" s="211">
        <f>'Emission-Waste Transport Vehicl'!R70</f>
        <v>0.67386894537600017</v>
      </c>
      <c r="T836" s="211">
        <f>'Emission-Waste Transport Vehicl'!S70</f>
        <v>3.0987359377920003E-2</v>
      </c>
      <c r="U836" s="1850">
        <f t="shared" si="365"/>
        <v>-11872.000792309229</v>
      </c>
      <c r="V836" s="1850">
        <f t="shared" si="359"/>
        <v>-100.92782016535085</v>
      </c>
      <c r="W836" s="1850">
        <f t="shared" si="360"/>
        <v>-36.707239707953512</v>
      </c>
      <c r="X836" s="1850">
        <f t="shared" si="361"/>
        <v>-294.81142729132222</v>
      </c>
      <c r="Y836" s="1850">
        <f t="shared" si="362"/>
        <v>-10.902802110649143</v>
      </c>
      <c r="Z836" s="1850">
        <f t="shared" si="363"/>
        <v>-115.02627117050061</v>
      </c>
      <c r="AA836" s="1850">
        <f t="shared" si="364"/>
        <v>-19.161589264308258</v>
      </c>
      <c r="AB836" s="2984"/>
      <c r="AC836" s="3015"/>
    </row>
    <row r="837" spans="1:29" ht="18.75" x14ac:dyDescent="0.25">
      <c r="A837" s="2982"/>
      <c r="B837" s="2753"/>
      <c r="C837" s="1863">
        <v>2057</v>
      </c>
      <c r="D837" s="218">
        <f t="shared" si="366"/>
        <v>-127216.31886336274</v>
      </c>
      <c r="E837" s="221">
        <f t="shared" si="357"/>
        <v>4824.5581179067685</v>
      </c>
      <c r="F837" s="221">
        <f t="shared" si="358"/>
        <v>0</v>
      </c>
      <c r="G837" s="218">
        <f t="shared" si="367"/>
        <v>-6.4413326006765947</v>
      </c>
      <c r="H837" s="218">
        <f t="shared" si="368"/>
        <v>-1.6103331501691474</v>
      </c>
      <c r="I837" s="218">
        <f t="shared" si="369"/>
        <v>-33.816996153552104</v>
      </c>
      <c r="J837" s="218">
        <f t="shared" si="370"/>
        <v>-1.6103331501691487</v>
      </c>
      <c r="K837" s="218">
        <f t="shared" si="371"/>
        <v>-170.69531391792975</v>
      </c>
      <c r="L837" s="218">
        <f t="shared" si="372"/>
        <v>-618.36792966495295</v>
      </c>
      <c r="M837" s="192">
        <f t="shared" si="356"/>
        <v>-122.39176074545597</v>
      </c>
      <c r="N837" s="1849">
        <v>97</v>
      </c>
      <c r="O837" s="211">
        <f>'Emission-Waste Transport Vehicl'!N71</f>
        <v>15.362315641728001</v>
      </c>
      <c r="P837" s="211">
        <f>'Emission-Waste Transport Vehicl'!O71</f>
        <v>22.348969860096002</v>
      </c>
      <c r="Q837" s="211">
        <f>'Emission-Waste Transport Vehicl'!P71</f>
        <v>8.547336471168002</v>
      </c>
      <c r="R837" s="211">
        <f>'Emission-Waste Transport Vehicl'!Q71</f>
        <v>6.6381018485760004</v>
      </c>
      <c r="S837" s="211">
        <f>'Emission-Waste Transport Vehicl'!R71</f>
        <v>0.66068882035200005</v>
      </c>
      <c r="T837" s="211">
        <f>'Emission-Waste Transport Vehicl'!S71</f>
        <v>3.038128118784E-2</v>
      </c>
      <c r="U837" s="1850">
        <f t="shared" si="365"/>
        <v>-11872.000792309229</v>
      </c>
      <c r="V837" s="1850">
        <f t="shared" si="359"/>
        <v>-98.953784564946559</v>
      </c>
      <c r="W837" s="1850">
        <f t="shared" si="360"/>
        <v>-35.989287037843724</v>
      </c>
      <c r="X837" s="1850">
        <f t="shared" si="361"/>
        <v>-289.04524456860395</v>
      </c>
      <c r="Y837" s="1850">
        <f t="shared" si="362"/>
        <v>-10.68955546096104</v>
      </c>
      <c r="Z837" s="1850">
        <f t="shared" si="363"/>
        <v>-112.77648559205134</v>
      </c>
      <c r="AA837" s="1850">
        <f t="shared" si="364"/>
        <v>-18.786809948693403</v>
      </c>
      <c r="AB837" s="2984"/>
      <c r="AC837" s="3015"/>
    </row>
    <row r="838" spans="1:29" ht="18.75" x14ac:dyDescent="0.25">
      <c r="A838" s="2982"/>
      <c r="B838" s="2753"/>
      <c r="C838" s="1863">
        <v>2058</v>
      </c>
      <c r="D838" s="218">
        <f t="shared" si="366"/>
        <v>-127216.31886336274</v>
      </c>
      <c r="E838" s="221">
        <f t="shared" si="357"/>
        <v>4824.5581179067685</v>
      </c>
      <c r="F838" s="221">
        <f t="shared" si="358"/>
        <v>0</v>
      </c>
      <c r="G838" s="218">
        <f t="shared" si="367"/>
        <v>-6.4413326006765947</v>
      </c>
      <c r="H838" s="218">
        <f t="shared" si="368"/>
        <v>-1.6103331501691474</v>
      </c>
      <c r="I838" s="218">
        <f t="shared" si="369"/>
        <v>-33.816996153552104</v>
      </c>
      <c r="J838" s="218">
        <f t="shared" si="370"/>
        <v>-1.6103331501691487</v>
      </c>
      <c r="K838" s="218">
        <f t="shared" si="371"/>
        <v>-170.69531391792975</v>
      </c>
      <c r="L838" s="218">
        <f t="shared" si="372"/>
        <v>-618.36792966495295</v>
      </c>
      <c r="M838" s="192">
        <f t="shared" si="356"/>
        <v>-122.39176074545597</v>
      </c>
      <c r="N838" s="1849">
        <v>97</v>
      </c>
      <c r="O838" s="211">
        <f>'Emission-Waste Transport Vehicl'!N72</f>
        <v>15.059112043536</v>
      </c>
      <c r="P838" s="211">
        <f>'Emission-Waste Transport Vehicl'!O72</f>
        <v>21.907871770752003</v>
      </c>
      <c r="Q838" s="211">
        <f>'Emission-Waste Transport Vehicl'!P72</f>
        <v>8.378639040816001</v>
      </c>
      <c r="R838" s="211">
        <f>'Emission-Waste Transport Vehicl'!Q72</f>
        <v>6.5070866805119998</v>
      </c>
      <c r="S838" s="211">
        <f>'Emission-Waste Transport Vehicl'!R72</f>
        <v>0.647648909424</v>
      </c>
      <c r="T838" s="211">
        <f>'Emission-Waste Transport Vehicl'!S72</f>
        <v>2.9781650638080002E-2</v>
      </c>
      <c r="U838" s="1850">
        <f t="shared" si="365"/>
        <v>-11872.000792309229</v>
      </c>
      <c r="V838" s="1850">
        <f t="shared" si="359"/>
        <v>-97.000749343269973</v>
      </c>
      <c r="W838" s="1850">
        <f t="shared" si="360"/>
        <v>-35.278972162096807</v>
      </c>
      <c r="X838" s="1850">
        <f t="shared" si="361"/>
        <v>-283.34040421527618</v>
      </c>
      <c r="Y838" s="1850">
        <f t="shared" si="362"/>
        <v>-10.478577392652598</v>
      </c>
      <c r="Z838" s="1850">
        <f t="shared" si="363"/>
        <v>-110.55063390273453</v>
      </c>
      <c r="AA838" s="1850">
        <f t="shared" si="364"/>
        <v>-18.416017647074455</v>
      </c>
      <c r="AB838" s="2984"/>
      <c r="AC838" s="3015"/>
    </row>
    <row r="839" spans="1:29" ht="18.75" x14ac:dyDescent="0.25">
      <c r="A839" s="2982"/>
      <c r="B839" s="2753"/>
      <c r="C839" s="1863">
        <v>2059</v>
      </c>
      <c r="D839" s="218">
        <f t="shared" si="366"/>
        <v>-127216.31886336274</v>
      </c>
      <c r="E839" s="221">
        <f t="shared" si="357"/>
        <v>4824.5581179067685</v>
      </c>
      <c r="F839" s="221">
        <f t="shared" si="358"/>
        <v>0</v>
      </c>
      <c r="G839" s="218">
        <f t="shared" si="367"/>
        <v>-6.4413326006765947</v>
      </c>
      <c r="H839" s="218">
        <f t="shared" si="368"/>
        <v>-1.6103331501691474</v>
      </c>
      <c r="I839" s="218">
        <f t="shared" si="369"/>
        <v>-33.816996153552104</v>
      </c>
      <c r="J839" s="218">
        <f t="shared" si="370"/>
        <v>-1.6103331501691487</v>
      </c>
      <c r="K839" s="218">
        <f t="shared" si="371"/>
        <v>-170.69531391792975</v>
      </c>
      <c r="L839" s="218">
        <f t="shared" si="372"/>
        <v>-618.36792966495295</v>
      </c>
      <c r="M839" s="192">
        <f t="shared" si="356"/>
        <v>-122.39176074545597</v>
      </c>
      <c r="N839" s="1849">
        <v>97</v>
      </c>
      <c r="O839" s="211">
        <f>'Emission-Waste Transport Vehicl'!N73</f>
        <v>14.765689206576004</v>
      </c>
      <c r="P839" s="211">
        <f>'Emission-Waste Transport Vehicl'!O73</f>
        <v>21.481002652032004</v>
      </c>
      <c r="Q839" s="211">
        <f>'Emission-Waste Transport Vehicl'!P73</f>
        <v>8.2153834630560016</v>
      </c>
      <c r="R839" s="211">
        <f>'Emission-Waste Transport Vehicl'!Q73</f>
        <v>6.380297808192001</v>
      </c>
      <c r="S839" s="211">
        <f>'Emission-Waste Transport Vehicl'!R73</f>
        <v>0.63502964078400004</v>
      </c>
      <c r="T839" s="211">
        <f>'Emission-Waste Transport Vehicl'!S73</f>
        <v>2.9201363009280005E-2</v>
      </c>
      <c r="U839" s="1850">
        <f t="shared" si="365"/>
        <v>-11872.000792309229</v>
      </c>
      <c r="V839" s="1850">
        <f t="shared" si="359"/>
        <v>-95.110715257776533</v>
      </c>
      <c r="W839" s="1850">
        <f t="shared" si="360"/>
        <v>-34.591570669438504</v>
      </c>
      <c r="X839" s="1850">
        <f t="shared" si="361"/>
        <v>-277.81959097012037</v>
      </c>
      <c r="Y839" s="1850">
        <f t="shared" si="362"/>
        <v>-10.274405068483139</v>
      </c>
      <c r="Z839" s="1850">
        <f t="shared" si="363"/>
        <v>-108.39658388081506</v>
      </c>
      <c r="AA839" s="1850">
        <f t="shared" si="364"/>
        <v>-18.057186387443217</v>
      </c>
      <c r="AB839" s="2984"/>
      <c r="AC839" s="3015"/>
    </row>
    <row r="840" spans="1:29" ht="18.75" x14ac:dyDescent="0.25">
      <c r="A840" s="2982"/>
      <c r="B840" s="2753"/>
      <c r="C840" s="1863">
        <v>2060</v>
      </c>
      <c r="D840" s="218">
        <f t="shared" si="366"/>
        <v>-127216.31886336274</v>
      </c>
      <c r="E840" s="221">
        <f t="shared" si="357"/>
        <v>4824.5581179067685</v>
      </c>
      <c r="F840" s="221">
        <f t="shared" si="358"/>
        <v>0</v>
      </c>
      <c r="G840" s="218">
        <f t="shared" si="367"/>
        <v>-6.4413326006765947</v>
      </c>
      <c r="H840" s="218">
        <f t="shared" si="368"/>
        <v>-1.6103331501691474</v>
      </c>
      <c r="I840" s="218">
        <f t="shared" si="369"/>
        <v>-33.816996153552104</v>
      </c>
      <c r="J840" s="218">
        <f t="shared" si="370"/>
        <v>-1.6103331501691487</v>
      </c>
      <c r="K840" s="218">
        <f t="shared" si="371"/>
        <v>-170.69531391792975</v>
      </c>
      <c r="L840" s="218">
        <f t="shared" si="372"/>
        <v>-618.36792966495295</v>
      </c>
      <c r="M840" s="192">
        <f t="shared" si="356"/>
        <v>-122.39176074545597</v>
      </c>
      <c r="N840" s="1849">
        <v>97</v>
      </c>
      <c r="O840" s="211">
        <f>'Emission-Waste Transport Vehicl'!N74</f>
        <v>14.475526623360002</v>
      </c>
      <c r="P840" s="211">
        <f>'Emission-Waste Transport Vehicl'!O74</f>
        <v>21.058876523520002</v>
      </c>
      <c r="Q840" s="211">
        <f>'Emission-Waste Transport Vehicl'!P74</f>
        <v>8.0539418361599999</v>
      </c>
      <c r="R840" s="211">
        <f>'Emission-Waste Transport Vehicl'!Q74</f>
        <v>6.2549177011200001</v>
      </c>
      <c r="S840" s="211">
        <f>'Emission-Waste Transport Vehicl'!R74</f>
        <v>0.62255058624000004</v>
      </c>
      <c r="T840" s="211">
        <f>'Emission-Waste Transport Vehicl'!S74</f>
        <v>2.8627523020800003E-2</v>
      </c>
      <c r="U840" s="1850">
        <f t="shared" si="365"/>
        <v>-11872.000792309229</v>
      </c>
      <c r="V840" s="1850">
        <f t="shared" si="359"/>
        <v>-93.241681551010771</v>
      </c>
      <c r="W840" s="1850">
        <f t="shared" si="360"/>
        <v>-33.911806971143065</v>
      </c>
      <c r="X840" s="1850">
        <f t="shared" si="361"/>
        <v>-272.36012009435507</v>
      </c>
      <c r="Y840" s="1850">
        <f t="shared" si="362"/>
        <v>-10.07250132569334</v>
      </c>
      <c r="Z840" s="1850">
        <f t="shared" si="363"/>
        <v>-106.26646774802801</v>
      </c>
      <c r="AA840" s="1850">
        <f t="shared" si="364"/>
        <v>-17.702342141807879</v>
      </c>
      <c r="AB840" s="2984"/>
      <c r="AC840" s="3015"/>
    </row>
    <row r="841" spans="1:29" ht="18.75" x14ac:dyDescent="0.25">
      <c r="A841" s="2982"/>
      <c r="B841" s="2753"/>
      <c r="C841" s="1863">
        <v>2061</v>
      </c>
      <c r="D841" s="218">
        <f t="shared" si="366"/>
        <v>-127216.31886336274</v>
      </c>
      <c r="E841" s="221">
        <f t="shared" si="357"/>
        <v>4824.5581179067685</v>
      </c>
      <c r="F841" s="221">
        <f t="shared" si="358"/>
        <v>0</v>
      </c>
      <c r="G841" s="218">
        <f t="shared" si="367"/>
        <v>-6.4413326006765947</v>
      </c>
      <c r="H841" s="218">
        <f t="shared" si="368"/>
        <v>-1.6103331501691474</v>
      </c>
      <c r="I841" s="218">
        <f t="shared" si="369"/>
        <v>-33.816996153552104</v>
      </c>
      <c r="J841" s="218">
        <f t="shared" si="370"/>
        <v>-1.6103331501691487</v>
      </c>
      <c r="K841" s="218">
        <f t="shared" si="371"/>
        <v>-170.69531391792975</v>
      </c>
      <c r="L841" s="218">
        <f t="shared" si="372"/>
        <v>-618.36792966495295</v>
      </c>
      <c r="M841" s="192">
        <f t="shared" si="356"/>
        <v>-122.39176074545597</v>
      </c>
      <c r="N841" s="1849">
        <v>97</v>
      </c>
      <c r="O841" s="211">
        <f>'Emission-Waste Transport Vehicl'!N75</f>
        <v>14.191884547632004</v>
      </c>
      <c r="P841" s="211">
        <f>'Emission-Waste Transport Vehicl'!O75</f>
        <v>20.646236375424003</v>
      </c>
      <c r="Q841" s="211">
        <f>'Emission-Waste Transport Vehicl'!P75</f>
        <v>7.8961281109920014</v>
      </c>
      <c r="R841" s="211">
        <f>'Emission-Waste Transport Vehicl'!Q75</f>
        <v>6.1323551245440004</v>
      </c>
      <c r="S841" s="211">
        <f>'Emission-Waste Transport Vehicl'!R75</f>
        <v>0.61035195988800006</v>
      </c>
      <c r="T841" s="211">
        <f>'Emission-Waste Transport Vehicl'!S75</f>
        <v>2.8066578312960003E-2</v>
      </c>
      <c r="U841" s="1850">
        <f t="shared" si="365"/>
        <v>-11872.000792309229</v>
      </c>
      <c r="V841" s="1850">
        <f t="shared" si="359"/>
        <v>-91.414648601700435</v>
      </c>
      <c r="W841" s="1850">
        <f t="shared" si="360"/>
        <v>-33.247318861573376</v>
      </c>
      <c r="X841" s="1850">
        <f t="shared" si="361"/>
        <v>-267.02333395737116</v>
      </c>
      <c r="Y841" s="1850">
        <f t="shared" si="362"/>
        <v>-9.8751347456628622</v>
      </c>
      <c r="Z841" s="1850">
        <f t="shared" si="363"/>
        <v>-104.18421939350584</v>
      </c>
      <c r="AA841" s="1850">
        <f t="shared" si="364"/>
        <v>-17.355471924164345</v>
      </c>
      <c r="AB841" s="2984"/>
      <c r="AC841" s="3015"/>
    </row>
    <row r="842" spans="1:29" ht="18.75" x14ac:dyDescent="0.25">
      <c r="A842" s="2982"/>
      <c r="B842" s="2753"/>
      <c r="C842" s="1863">
        <v>2062</v>
      </c>
      <c r="D842" s="218">
        <f t="shared" si="366"/>
        <v>-127216.31886336274</v>
      </c>
      <c r="E842" s="221">
        <f t="shared" si="357"/>
        <v>4824.5581179067685</v>
      </c>
      <c r="F842" s="221">
        <f t="shared" si="358"/>
        <v>0</v>
      </c>
      <c r="G842" s="218">
        <f t="shared" si="367"/>
        <v>-6.4413326006765947</v>
      </c>
      <c r="H842" s="218">
        <f t="shared" si="368"/>
        <v>-1.6103331501691474</v>
      </c>
      <c r="I842" s="218">
        <f t="shared" si="369"/>
        <v>-33.816996153552104</v>
      </c>
      <c r="J842" s="218">
        <f t="shared" si="370"/>
        <v>-1.6103331501691487</v>
      </c>
      <c r="K842" s="218">
        <f t="shared" si="371"/>
        <v>-170.69531391792975</v>
      </c>
      <c r="L842" s="218">
        <f t="shared" si="372"/>
        <v>-618.36792966495295</v>
      </c>
      <c r="M842" s="192">
        <f t="shared" si="356"/>
        <v>-122.39176074545597</v>
      </c>
      <c r="N842" s="1849">
        <v>97</v>
      </c>
      <c r="O842" s="211">
        <f>'Emission-Waste Transport Vehicl'!N76</f>
        <v>13.914762979392002</v>
      </c>
      <c r="P842" s="211">
        <f>'Emission-Waste Transport Vehicl'!O76</f>
        <v>20.243082207744003</v>
      </c>
      <c r="Q842" s="211">
        <f>'Emission-Waste Transport Vehicl'!P76</f>
        <v>7.7419422875520008</v>
      </c>
      <c r="R842" s="211">
        <f>'Emission-Waste Transport Vehicl'!Q76</f>
        <v>6.0126100784640002</v>
      </c>
      <c r="S842" s="211">
        <f>'Emission-Waste Transport Vehicl'!R76</f>
        <v>0.59843376172800011</v>
      </c>
      <c r="T842" s="211">
        <f>'Emission-Waste Transport Vehicl'!S76</f>
        <v>2.7518528885760004E-2</v>
      </c>
      <c r="U842" s="1850">
        <f t="shared" si="365"/>
        <v>-11872.000792309229</v>
      </c>
      <c r="V842" s="1850">
        <f t="shared" si="359"/>
        <v>-89.629616409845482</v>
      </c>
      <c r="W842" s="1850">
        <f t="shared" si="360"/>
        <v>-32.598106340729416</v>
      </c>
      <c r="X842" s="1850">
        <f t="shared" si="361"/>
        <v>-261.80923255916838</v>
      </c>
      <c r="Y842" s="1850">
        <f t="shared" si="362"/>
        <v>-9.6823053283917062</v>
      </c>
      <c r="Z842" s="1850">
        <f t="shared" si="363"/>
        <v>-102.14983881724855</v>
      </c>
      <c r="AA842" s="1850">
        <f t="shared" si="364"/>
        <v>-17.016575734512617</v>
      </c>
      <c r="AB842" s="2984"/>
      <c r="AC842" s="3015"/>
    </row>
    <row r="843" spans="1:29" ht="18.75" x14ac:dyDescent="0.25">
      <c r="A843" s="2982"/>
      <c r="B843" s="2753"/>
      <c r="C843" s="1863">
        <v>2063</v>
      </c>
      <c r="D843" s="218">
        <f t="shared" si="366"/>
        <v>-127216.31886336274</v>
      </c>
      <c r="E843" s="221">
        <f t="shared" si="357"/>
        <v>4824.5581179067685</v>
      </c>
      <c r="F843" s="221">
        <f t="shared" si="358"/>
        <v>0</v>
      </c>
      <c r="G843" s="218">
        <f t="shared" si="367"/>
        <v>-6.4413326006765947</v>
      </c>
      <c r="H843" s="218">
        <f t="shared" si="368"/>
        <v>-1.6103331501691474</v>
      </c>
      <c r="I843" s="218">
        <f t="shared" si="369"/>
        <v>-33.816996153552104</v>
      </c>
      <c r="J843" s="218">
        <f t="shared" si="370"/>
        <v>-1.6103331501691487</v>
      </c>
      <c r="K843" s="218">
        <f t="shared" si="371"/>
        <v>-170.69531391792975</v>
      </c>
      <c r="L843" s="218">
        <f t="shared" si="372"/>
        <v>-618.36792966495295</v>
      </c>
      <c r="M843" s="192">
        <f t="shared" si="356"/>
        <v>-122.39176074545597</v>
      </c>
      <c r="N843" s="1849">
        <v>97</v>
      </c>
      <c r="O843" s="211">
        <f>'Emission-Waste Transport Vehicl'!N77</f>
        <v>13.640901664896001</v>
      </c>
      <c r="P843" s="211">
        <f>'Emission-Waste Transport Vehicl'!O77</f>
        <v>19.844671030272</v>
      </c>
      <c r="Q843" s="211">
        <f>'Emission-Waste Transport Vehicl'!P77</f>
        <v>7.5895704149760004</v>
      </c>
      <c r="R843" s="211">
        <f>'Emission-Waste Transport Vehicl'!Q77</f>
        <v>5.8942737976319997</v>
      </c>
      <c r="S843" s="211">
        <f>'Emission-Waste Transport Vehicl'!R77</f>
        <v>0.58665577766400001</v>
      </c>
      <c r="T843" s="211">
        <f>'Emission-Waste Transport Vehicl'!S77</f>
        <v>2.6976927098879999E-2</v>
      </c>
      <c r="U843" s="1850">
        <f t="shared" si="365"/>
        <v>-11872.000792309229</v>
      </c>
      <c r="V843" s="1850">
        <f t="shared" si="359"/>
        <v>-87.86558459671825</v>
      </c>
      <c r="W843" s="1850">
        <f t="shared" si="360"/>
        <v>-31.956531614248327</v>
      </c>
      <c r="X843" s="1850">
        <f t="shared" si="361"/>
        <v>-256.65647353035627</v>
      </c>
      <c r="Y843" s="1850">
        <f t="shared" si="362"/>
        <v>-9.4917444925002084</v>
      </c>
      <c r="Z843" s="1850">
        <f t="shared" si="363"/>
        <v>-100.13939213012368</v>
      </c>
      <c r="AA843" s="1850">
        <f t="shared" si="364"/>
        <v>-16.68166655885679</v>
      </c>
      <c r="AB843" s="2984"/>
      <c r="AC843" s="3015"/>
    </row>
    <row r="844" spans="1:29" ht="18.75" x14ac:dyDescent="0.25">
      <c r="A844" s="2982"/>
      <c r="B844" s="2753"/>
      <c r="C844" s="1863">
        <v>2064</v>
      </c>
      <c r="D844" s="218">
        <f t="shared" si="366"/>
        <v>-127216.31886336274</v>
      </c>
      <c r="E844" s="221">
        <f t="shared" si="357"/>
        <v>4824.5581179067685</v>
      </c>
      <c r="F844" s="221">
        <f t="shared" si="358"/>
        <v>0</v>
      </c>
      <c r="G844" s="218">
        <f t="shared" si="367"/>
        <v>-6.4413326006765947</v>
      </c>
      <c r="H844" s="218">
        <f t="shared" si="368"/>
        <v>-1.6103331501691474</v>
      </c>
      <c r="I844" s="218">
        <f t="shared" si="369"/>
        <v>-33.816996153552104</v>
      </c>
      <c r="J844" s="218">
        <f t="shared" si="370"/>
        <v>-1.6103331501691487</v>
      </c>
      <c r="K844" s="218">
        <f t="shared" si="371"/>
        <v>-170.69531391792975</v>
      </c>
      <c r="L844" s="218">
        <f t="shared" si="372"/>
        <v>-618.36792966495295</v>
      </c>
      <c r="M844" s="192">
        <f t="shared" si="356"/>
        <v>-122.39176074545597</v>
      </c>
      <c r="N844" s="1849">
        <v>97</v>
      </c>
      <c r="O844" s="211">
        <f>'Emission-Waste Transport Vehicl'!N78</f>
        <v>13.373560857888002</v>
      </c>
      <c r="P844" s="211">
        <f>'Emission-Waste Transport Vehicl'!O78</f>
        <v>19.455745833216003</v>
      </c>
      <c r="Q844" s="211">
        <f>'Emission-Waste Transport Vehicl'!P78</f>
        <v>7.4408264441280014</v>
      </c>
      <c r="R844" s="211">
        <f>'Emission-Waste Transport Vehicl'!Q78</f>
        <v>5.7787550472960003</v>
      </c>
      <c r="S844" s="211">
        <f>'Emission-Waste Transport Vehicl'!R78</f>
        <v>0.57515822179200005</v>
      </c>
      <c r="T844" s="211">
        <f>'Emission-Waste Transport Vehicl'!S78</f>
        <v>2.6448220592640001E-2</v>
      </c>
      <c r="U844" s="1850">
        <f t="shared" si="365"/>
        <v>-11872.000792309229</v>
      </c>
      <c r="V844" s="1850">
        <f t="shared" si="359"/>
        <v>-86.14355354104643</v>
      </c>
      <c r="W844" s="1850">
        <f t="shared" si="360"/>
        <v>-31.330232476492988</v>
      </c>
      <c r="X844" s="1850">
        <f t="shared" si="361"/>
        <v>-251.62639924032541</v>
      </c>
      <c r="Y844" s="1850">
        <f t="shared" si="362"/>
        <v>-9.3057208193680356</v>
      </c>
      <c r="Z844" s="1850">
        <f t="shared" si="363"/>
        <v>-98.176813221263714</v>
      </c>
      <c r="AA844" s="1850">
        <f t="shared" si="364"/>
        <v>-16.354731411192773</v>
      </c>
      <c r="AB844" s="2984"/>
      <c r="AC844" s="3015"/>
    </row>
    <row r="845" spans="1:29" ht="18.75" x14ac:dyDescent="0.25">
      <c r="A845" s="2982"/>
      <c r="B845" s="2753"/>
      <c r="C845" s="1863">
        <v>2065</v>
      </c>
      <c r="D845" s="218">
        <f t="shared" si="366"/>
        <v>-127216.31886336274</v>
      </c>
      <c r="E845" s="221">
        <f t="shared" si="357"/>
        <v>4824.5581179067685</v>
      </c>
      <c r="F845" s="221">
        <f t="shared" si="358"/>
        <v>0</v>
      </c>
      <c r="G845" s="218">
        <f t="shared" si="367"/>
        <v>-6.4413326006765947</v>
      </c>
      <c r="H845" s="218">
        <f t="shared" si="368"/>
        <v>-1.6103331501691474</v>
      </c>
      <c r="I845" s="218">
        <f t="shared" si="369"/>
        <v>-33.816996153552104</v>
      </c>
      <c r="J845" s="218">
        <f t="shared" si="370"/>
        <v>-1.6103331501691487</v>
      </c>
      <c r="K845" s="218">
        <f t="shared" si="371"/>
        <v>-170.69531391792975</v>
      </c>
      <c r="L845" s="218">
        <f t="shared" si="372"/>
        <v>-618.36792966495295</v>
      </c>
      <c r="M845" s="192">
        <f t="shared" si="356"/>
        <v>-122.39176074545597</v>
      </c>
      <c r="N845" s="1849">
        <v>97</v>
      </c>
      <c r="O845" s="211">
        <f>'Emission-Waste Transport Vehicl'!N79</f>
        <v>13.112740558368001</v>
      </c>
      <c r="P845" s="211">
        <f>'Emission-Waste Transport Vehicl'!O79</f>
        <v>19.076306616576002</v>
      </c>
      <c r="Q845" s="211">
        <f>'Emission-Waste Transport Vehicl'!P79</f>
        <v>7.2957103750080003</v>
      </c>
      <c r="R845" s="211">
        <f>'Emission-Waste Transport Vehicl'!Q79</f>
        <v>5.6660538274560004</v>
      </c>
      <c r="S845" s="211">
        <f>'Emission-Waste Transport Vehicl'!R79</f>
        <v>0.56394109411200011</v>
      </c>
      <c r="T845" s="211">
        <f>'Emission-Waste Transport Vehicl'!S79</f>
        <v>2.5932409367040003E-2</v>
      </c>
      <c r="U845" s="1850">
        <f t="shared" si="365"/>
        <v>-11872.000792309229</v>
      </c>
      <c r="V845" s="1850">
        <f t="shared" si="359"/>
        <v>-84.463523242830021</v>
      </c>
      <c r="W845" s="1850">
        <f t="shared" si="360"/>
        <v>-30.719208927463381</v>
      </c>
      <c r="X845" s="1850">
        <f t="shared" si="361"/>
        <v>-246.71900968907573</v>
      </c>
      <c r="Y845" s="1850">
        <f t="shared" si="362"/>
        <v>-9.1242343089951827</v>
      </c>
      <c r="Z845" s="1850">
        <f t="shared" si="363"/>
        <v>-96.26210209066862</v>
      </c>
      <c r="AA845" s="1850">
        <f t="shared" si="364"/>
        <v>-16.03577029152056</v>
      </c>
      <c r="AB845" s="2984"/>
      <c r="AC845" s="3015"/>
    </row>
    <row r="846" spans="1:29" ht="18.75" x14ac:dyDescent="0.25">
      <c r="A846" s="2982"/>
      <c r="B846" s="2753"/>
      <c r="C846" s="1863">
        <v>2066</v>
      </c>
      <c r="D846" s="218">
        <f t="shared" si="366"/>
        <v>-127216.31886336274</v>
      </c>
      <c r="E846" s="221">
        <f t="shared" si="357"/>
        <v>4824.5581179067685</v>
      </c>
      <c r="F846" s="221">
        <f t="shared" si="358"/>
        <v>0</v>
      </c>
      <c r="G846" s="218">
        <f t="shared" si="367"/>
        <v>-6.4413326006765947</v>
      </c>
      <c r="H846" s="218">
        <f t="shared" si="368"/>
        <v>-1.6103331501691474</v>
      </c>
      <c r="I846" s="218">
        <f t="shared" si="369"/>
        <v>-33.816996153552104</v>
      </c>
      <c r="J846" s="218">
        <f t="shared" si="370"/>
        <v>-1.6103331501691487</v>
      </c>
      <c r="K846" s="218">
        <f t="shared" si="371"/>
        <v>-170.69531391792975</v>
      </c>
      <c r="L846" s="218">
        <f t="shared" si="372"/>
        <v>-618.36792966495295</v>
      </c>
      <c r="M846" s="192">
        <f t="shared" si="356"/>
        <v>-122.39176074545597</v>
      </c>
      <c r="N846" s="1849">
        <v>97</v>
      </c>
      <c r="O846" s="211">
        <f>'Emission-Waste Transport Vehicl'!N80</f>
        <v>12.855180512592</v>
      </c>
      <c r="P846" s="211">
        <f>'Emission-Waste Transport Vehicl'!O80</f>
        <v>18.701610390143998</v>
      </c>
      <c r="Q846" s="211">
        <f>'Emission-Waste Transport Vehicl'!P80</f>
        <v>7.1524082567520004</v>
      </c>
      <c r="R846" s="211">
        <f>'Emission-Waste Transport Vehicl'!Q80</f>
        <v>5.5547613728639993</v>
      </c>
      <c r="S846" s="211">
        <f>'Emission-Waste Transport Vehicl'!R80</f>
        <v>0.55286418052800002</v>
      </c>
      <c r="T846" s="211">
        <f>'Emission-Waste Transport Vehicl'!S80</f>
        <v>2.5423045781760002E-2</v>
      </c>
      <c r="U846" s="1850">
        <f t="shared" si="365"/>
        <v>-11872.000792309229</v>
      </c>
      <c r="V846" s="1850">
        <f t="shared" si="359"/>
        <v>-82.804493323341305</v>
      </c>
      <c r="W846" s="1850">
        <f t="shared" si="360"/>
        <v>-30.115823172796642</v>
      </c>
      <c r="X846" s="1850">
        <f t="shared" si="361"/>
        <v>-241.8729625072167</v>
      </c>
      <c r="Y846" s="1850">
        <f t="shared" si="362"/>
        <v>-8.9450163800019897</v>
      </c>
      <c r="Z846" s="1850">
        <f t="shared" si="363"/>
        <v>-94.371324849205948</v>
      </c>
      <c r="AA846" s="1850">
        <f t="shared" si="364"/>
        <v>-15.720796185844248</v>
      </c>
      <c r="AB846" s="2984"/>
      <c r="AC846" s="3015"/>
    </row>
    <row r="847" spans="1:29" ht="18.75" x14ac:dyDescent="0.25">
      <c r="A847" s="2982"/>
      <c r="B847" s="2753"/>
      <c r="C847" s="1863">
        <v>2067</v>
      </c>
      <c r="D847" s="218">
        <f t="shared" si="366"/>
        <v>-127216.31886336274</v>
      </c>
      <c r="E847" s="221">
        <f t="shared" si="357"/>
        <v>4824.5581179067685</v>
      </c>
      <c r="F847" s="221">
        <f t="shared" si="358"/>
        <v>0</v>
      </c>
      <c r="G847" s="218">
        <f t="shared" si="367"/>
        <v>-6.4413326006765947</v>
      </c>
      <c r="H847" s="218">
        <f t="shared" si="368"/>
        <v>-1.6103331501691474</v>
      </c>
      <c r="I847" s="218">
        <f t="shared" si="369"/>
        <v>-33.816996153552104</v>
      </c>
      <c r="J847" s="218">
        <f t="shared" si="370"/>
        <v>-1.6103331501691487</v>
      </c>
      <c r="K847" s="218">
        <f t="shared" si="371"/>
        <v>-170.69531391792975</v>
      </c>
      <c r="L847" s="218">
        <f t="shared" si="372"/>
        <v>-618.36792966495295</v>
      </c>
      <c r="M847" s="192">
        <f t="shared" si="356"/>
        <v>-122.39176074545597</v>
      </c>
      <c r="N847" s="1849">
        <v>97</v>
      </c>
      <c r="O847" s="211">
        <f>'Emission-Waste Transport Vehicl'!N81</f>
        <v>12.600880720560001</v>
      </c>
      <c r="P847" s="211">
        <f>'Emission-Waste Transport Vehicl'!O81</f>
        <v>18.331657153920002</v>
      </c>
      <c r="Q847" s="211">
        <f>'Emission-Waste Transport Vehicl'!P81</f>
        <v>7.0109200893600008</v>
      </c>
      <c r="R847" s="211">
        <f>'Emission-Waste Transport Vehicl'!Q81</f>
        <v>5.4448776835200006</v>
      </c>
      <c r="S847" s="211">
        <f>'Emission-Waste Transport Vehicl'!R81</f>
        <v>0.5419274810400001</v>
      </c>
      <c r="T847" s="211">
        <f>'Emission-Waste Transport Vehicl'!S81</f>
        <v>2.4920129836800003E-2</v>
      </c>
      <c r="U847" s="1850">
        <f t="shared" si="365"/>
        <v>-11872.000792309229</v>
      </c>
      <c r="V847" s="1850">
        <f t="shared" si="359"/>
        <v>-81.166463782580308</v>
      </c>
      <c r="W847" s="1850">
        <f t="shared" si="360"/>
        <v>-29.520075212492785</v>
      </c>
      <c r="X847" s="1850">
        <f t="shared" si="361"/>
        <v>-237.08825769474831</v>
      </c>
      <c r="Y847" s="1850">
        <f t="shared" si="362"/>
        <v>-8.7680670323884602</v>
      </c>
      <c r="Z847" s="1850">
        <f t="shared" si="363"/>
        <v>-92.504481496875741</v>
      </c>
      <c r="AA847" s="1850">
        <f t="shared" si="364"/>
        <v>-15.40980909416384</v>
      </c>
      <c r="AB847" s="2984"/>
      <c r="AC847" s="3015"/>
    </row>
    <row r="848" spans="1:29" ht="18.75" x14ac:dyDescent="0.25">
      <c r="A848" s="2982"/>
      <c r="B848" s="2753"/>
      <c r="C848" s="1863">
        <v>2068</v>
      </c>
      <c r="D848" s="218">
        <f t="shared" si="366"/>
        <v>-127216.31886336274</v>
      </c>
      <c r="E848" s="221">
        <f t="shared" si="357"/>
        <v>4824.5581179067685</v>
      </c>
      <c r="F848" s="221">
        <f t="shared" si="358"/>
        <v>0</v>
      </c>
      <c r="G848" s="218">
        <f t="shared" si="367"/>
        <v>-6.4413326006765947</v>
      </c>
      <c r="H848" s="218">
        <f t="shared" si="368"/>
        <v>-1.6103331501691474</v>
      </c>
      <c r="I848" s="218">
        <f t="shared" si="369"/>
        <v>-33.816996153552104</v>
      </c>
      <c r="J848" s="218">
        <f t="shared" si="370"/>
        <v>-1.6103331501691487</v>
      </c>
      <c r="K848" s="218">
        <f t="shared" si="371"/>
        <v>-170.69531391792975</v>
      </c>
      <c r="L848" s="218">
        <f t="shared" si="372"/>
        <v>-618.36792966495295</v>
      </c>
      <c r="M848" s="192">
        <f t="shared" si="356"/>
        <v>-122.39176074545597</v>
      </c>
      <c r="N848" s="1849">
        <v>97</v>
      </c>
      <c r="O848" s="211">
        <f>'Emission-Waste Transport Vehicl'!N82</f>
        <v>12.356361689760002</v>
      </c>
      <c r="P848" s="211">
        <f>'Emission-Waste Transport Vehicl'!O82</f>
        <v>17.975932888320003</v>
      </c>
      <c r="Q848" s="211">
        <f>'Emission-Waste Transport Vehicl'!P82</f>
        <v>6.8748737745600002</v>
      </c>
      <c r="R848" s="211">
        <f>'Emission-Waste Transport Vehicl'!Q82</f>
        <v>5.339220289920001</v>
      </c>
      <c r="S848" s="211">
        <f>'Emission-Waste Transport Vehicl'!R82</f>
        <v>0.53141142384000006</v>
      </c>
      <c r="T848" s="211">
        <f>'Emission-Waste Transport Vehicl'!S82</f>
        <v>2.4436556812800003E-2</v>
      </c>
      <c r="U848" s="1850">
        <f t="shared" si="365"/>
        <v>-11872.000792309229</v>
      </c>
      <c r="V848" s="1850">
        <f t="shared" si="359"/>
        <v>-79.59143537800243</v>
      </c>
      <c r="W848" s="1850">
        <f t="shared" si="360"/>
        <v>-28.947240635277531</v>
      </c>
      <c r="X848" s="1850">
        <f t="shared" si="361"/>
        <v>-232.48757999045176</v>
      </c>
      <c r="Y848" s="1850">
        <f t="shared" si="362"/>
        <v>-8.5979234289139104</v>
      </c>
      <c r="Z848" s="1850">
        <f t="shared" si="363"/>
        <v>-90.709439811942829</v>
      </c>
      <c r="AA848" s="1850">
        <f t="shared" si="364"/>
        <v>-15.110783044471139</v>
      </c>
      <c r="AB848" s="2984"/>
      <c r="AC848" s="3015"/>
    </row>
    <row r="849" spans="1:29" ht="19.5" thickBot="1" x14ac:dyDescent="0.3">
      <c r="A849" s="2983"/>
      <c r="B849" s="2754"/>
      <c r="C849" s="1864">
        <v>2069</v>
      </c>
      <c r="D849" s="222">
        <f t="shared" si="366"/>
        <v>-127216.31886336274</v>
      </c>
      <c r="E849" s="221">
        <f t="shared" si="357"/>
        <v>4824.5581179067685</v>
      </c>
      <c r="F849" s="221">
        <f t="shared" si="358"/>
        <v>0</v>
      </c>
      <c r="G849" s="222">
        <f t="shared" si="367"/>
        <v>-6.4413326006765947</v>
      </c>
      <c r="H849" s="222">
        <f t="shared" si="368"/>
        <v>-1.6103331501691474</v>
      </c>
      <c r="I849" s="222">
        <f t="shared" si="369"/>
        <v>-33.816996153552104</v>
      </c>
      <c r="J849" s="222">
        <f t="shared" si="370"/>
        <v>-1.6103331501691487</v>
      </c>
      <c r="K849" s="222">
        <f t="shared" si="371"/>
        <v>-170.69531391792975</v>
      </c>
      <c r="L849" s="222">
        <f t="shared" si="372"/>
        <v>-618.36792966495295</v>
      </c>
      <c r="M849" s="220">
        <f t="shared" si="356"/>
        <v>-122.39176074545597</v>
      </c>
      <c r="N849" s="1851">
        <v>97</v>
      </c>
      <c r="O849" s="416">
        <f>'Emission-Waste Transport Vehicl'!N83</f>
        <v>12.111842658960002</v>
      </c>
      <c r="P849" s="416">
        <f>'Emission-Waste Transport Vehicl'!O83</f>
        <v>17.62020862272</v>
      </c>
      <c r="Q849" s="416">
        <f>'Emission-Waste Transport Vehicl'!P83</f>
        <v>6.7388274597600004</v>
      </c>
      <c r="R849" s="416">
        <f>'Emission-Waste Transport Vehicl'!Q83</f>
        <v>5.2335628963200005</v>
      </c>
      <c r="S849" s="416">
        <f>'Emission-Waste Transport Vehicl'!R83</f>
        <v>0.52089536664000002</v>
      </c>
      <c r="T849" s="416">
        <f>'Emission-Waste Transport Vehicl'!S83</f>
        <v>2.3952983788800002E-2</v>
      </c>
      <c r="U849" s="175">
        <f t="shared" si="365"/>
        <v>-11872.000792309229</v>
      </c>
      <c r="V849" s="175">
        <f t="shared" si="359"/>
        <v>-78.016406973424552</v>
      </c>
      <c r="W849" s="175">
        <f t="shared" si="360"/>
        <v>-28.37440605806227</v>
      </c>
      <c r="X849" s="175">
        <f t="shared" si="361"/>
        <v>-227.88690228615522</v>
      </c>
      <c r="Y849" s="175">
        <f t="shared" si="362"/>
        <v>-8.4277798254393606</v>
      </c>
      <c r="Z849" s="175">
        <f t="shared" si="363"/>
        <v>-88.914398127009918</v>
      </c>
      <c r="AA849" s="175">
        <f t="shared" si="364"/>
        <v>-14.811756994778438</v>
      </c>
      <c r="AB849" s="2985"/>
      <c r="AC849" s="3016"/>
    </row>
  </sheetData>
  <mergeCells count="147">
    <mergeCell ref="A16:AD17"/>
    <mergeCell ref="M26:M27"/>
    <mergeCell ref="N26:N27"/>
    <mergeCell ref="O26:O27"/>
    <mergeCell ref="P26:P27"/>
    <mergeCell ref="Q26:Q27"/>
    <mergeCell ref="Q24:Q25"/>
    <mergeCell ref="R24:R25"/>
    <mergeCell ref="S24:S25"/>
    <mergeCell ref="T24:T25"/>
    <mergeCell ref="U24:U25"/>
    <mergeCell ref="O22:O23"/>
    <mergeCell ref="P22:P23"/>
    <mergeCell ref="M24:M25"/>
    <mergeCell ref="N24:N25"/>
    <mergeCell ref="O24:O25"/>
    <mergeCell ref="P24:P25"/>
    <mergeCell ref="L20:L21"/>
    <mergeCell ref="L22:L23"/>
    <mergeCell ref="L24:L25"/>
    <mergeCell ref="L26:L27"/>
    <mergeCell ref="M18:U18"/>
    <mergeCell ref="M20:M21"/>
    <mergeCell ref="N20:N21"/>
    <mergeCell ref="O20:O21"/>
    <mergeCell ref="P20:P21"/>
    <mergeCell ref="Q20:Q21"/>
    <mergeCell ref="R20:R21"/>
    <mergeCell ref="S20:S21"/>
    <mergeCell ref="T20:T21"/>
    <mergeCell ref="U20:U21"/>
    <mergeCell ref="M22:M23"/>
    <mergeCell ref="N22:N23"/>
    <mergeCell ref="Q22:Q23"/>
    <mergeCell ref="R22:R23"/>
    <mergeCell ref="S22:S23"/>
    <mergeCell ref="T22:T23"/>
    <mergeCell ref="U22:U23"/>
    <mergeCell ref="R26:R27"/>
    <mergeCell ref="S26:S27"/>
    <mergeCell ref="T26:T27"/>
    <mergeCell ref="U26:U27"/>
    <mergeCell ref="V5:AD5"/>
    <mergeCell ref="A3:AD4"/>
    <mergeCell ref="Q11:Q12"/>
    <mergeCell ref="R11:R12"/>
    <mergeCell ref="L18:L19"/>
    <mergeCell ref="L7:L8"/>
    <mergeCell ref="L11:L12"/>
    <mergeCell ref="L13:L14"/>
    <mergeCell ref="N13:N14"/>
    <mergeCell ref="N11:N12"/>
    <mergeCell ref="T13:T14"/>
    <mergeCell ref="U13:U14"/>
    <mergeCell ref="M5:U5"/>
    <mergeCell ref="P7:P8"/>
    <mergeCell ref="O7:O8"/>
    <mergeCell ref="N7:N8"/>
    <mergeCell ref="O13:O14"/>
    <mergeCell ref="P13:P14"/>
    <mergeCell ref="P11:P12"/>
    <mergeCell ref="O11:O12"/>
    <mergeCell ref="T7:T8"/>
    <mergeCell ref="U7:U8"/>
    <mergeCell ref="M11:M12"/>
    <mergeCell ref="S11:S12"/>
    <mergeCell ref="T11:T12"/>
    <mergeCell ref="U11:U12"/>
    <mergeCell ref="R9:R10"/>
    <mergeCell ref="Q9:Q10"/>
    <mergeCell ref="M9:M10"/>
    <mergeCell ref="S9:S10"/>
    <mergeCell ref="T9:T10"/>
    <mergeCell ref="U9:U10"/>
    <mergeCell ref="R7:R8"/>
    <mergeCell ref="Q7:Q8"/>
    <mergeCell ref="M7:M8"/>
    <mergeCell ref="L9:L10"/>
    <mergeCell ref="N9:N10"/>
    <mergeCell ref="O9:O10"/>
    <mergeCell ref="P9:P10"/>
    <mergeCell ref="R13:R14"/>
    <mergeCell ref="Q13:Q14"/>
    <mergeCell ref="M13:M14"/>
    <mergeCell ref="S13:S14"/>
    <mergeCell ref="S7:S8"/>
    <mergeCell ref="A442:A492"/>
    <mergeCell ref="B442:B492"/>
    <mergeCell ref="AB442:AB492"/>
    <mergeCell ref="AC442:AC849"/>
    <mergeCell ref="A493:A543"/>
    <mergeCell ref="A1:T1"/>
    <mergeCell ref="AB133:AB183"/>
    <mergeCell ref="B133:B183"/>
    <mergeCell ref="A133:A183"/>
    <mergeCell ref="A82:A132"/>
    <mergeCell ref="B31:B81"/>
    <mergeCell ref="B82:B132"/>
    <mergeCell ref="A31:A81"/>
    <mergeCell ref="AB31:AB81"/>
    <mergeCell ref="AB82:AB132"/>
    <mergeCell ref="L5:L6"/>
    <mergeCell ref="B5:B6"/>
    <mergeCell ref="A5:A6"/>
    <mergeCell ref="A18:A19"/>
    <mergeCell ref="B18:B19"/>
    <mergeCell ref="C18:K18"/>
    <mergeCell ref="C5:K5"/>
    <mergeCell ref="A29:AC29"/>
    <mergeCell ref="V18:AD18"/>
    <mergeCell ref="A440:AC440"/>
    <mergeCell ref="AB184:AB234"/>
    <mergeCell ref="AB286:AB336"/>
    <mergeCell ref="B235:B285"/>
    <mergeCell ref="A337:A387"/>
    <mergeCell ref="B388:B438"/>
    <mergeCell ref="A235:A285"/>
    <mergeCell ref="A184:A234"/>
    <mergeCell ref="B184:B234"/>
    <mergeCell ref="AC31:AC438"/>
    <mergeCell ref="A286:A336"/>
    <mergeCell ref="B286:B336"/>
    <mergeCell ref="AB388:AB438"/>
    <mergeCell ref="AB235:AB285"/>
    <mergeCell ref="AB337:AB387"/>
    <mergeCell ref="B337:B387"/>
    <mergeCell ref="A388:A438"/>
    <mergeCell ref="A799:A849"/>
    <mergeCell ref="B799:B849"/>
    <mergeCell ref="AB799:AB849"/>
    <mergeCell ref="AB646:AB696"/>
    <mergeCell ref="A697:A747"/>
    <mergeCell ref="B697:B747"/>
    <mergeCell ref="AB697:AB747"/>
    <mergeCell ref="A748:A798"/>
    <mergeCell ref="B493:B543"/>
    <mergeCell ref="AB493:AB543"/>
    <mergeCell ref="A544:A594"/>
    <mergeCell ref="B544:B594"/>
    <mergeCell ref="AB544:AB594"/>
    <mergeCell ref="A595:A645"/>
    <mergeCell ref="B595:B645"/>
    <mergeCell ref="AB595:AB645"/>
    <mergeCell ref="A646:A696"/>
    <mergeCell ref="B646:B696"/>
    <mergeCell ref="B748:B798"/>
    <mergeCell ref="AB748:AB798"/>
  </mergeCells>
  <pageMargins left="0.7" right="0.7" top="0.75" bottom="0.75" header="0.3" footer="0.3"/>
  <pageSetup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E8B16A-5005-4114-9A4B-CF0A7D2F7EC9}">
  <dimension ref="A1:AG173"/>
  <sheetViews>
    <sheetView topLeftCell="A14" workbookViewId="0">
      <selection activeCell="R15" sqref="R15:R65"/>
    </sheetView>
  </sheetViews>
  <sheetFormatPr defaultRowHeight="15" x14ac:dyDescent="0.25"/>
  <cols>
    <col min="1" max="1" width="41.7109375" customWidth="1"/>
    <col min="2" max="2" width="18.42578125" customWidth="1"/>
    <col min="3" max="3" width="15.140625" customWidth="1"/>
    <col min="4" max="4" width="14" customWidth="1"/>
    <col min="5" max="5" width="12.7109375" customWidth="1"/>
    <col min="6" max="7" width="13.5703125" customWidth="1"/>
    <col min="8" max="8" width="14.28515625" customWidth="1"/>
    <col min="9" max="9" width="14.140625" customWidth="1"/>
    <col min="10" max="10" width="13.28515625" customWidth="1"/>
    <col min="11" max="11" width="13" customWidth="1"/>
    <col min="12" max="12" width="14" customWidth="1"/>
    <col min="13" max="13" width="17.5703125" customWidth="1"/>
    <col min="14" max="14" width="18.42578125" customWidth="1"/>
    <col min="15" max="15" width="17" customWidth="1"/>
    <col min="16" max="16" width="16.42578125" customWidth="1"/>
    <col min="17" max="17" width="14.140625" customWidth="1"/>
    <col min="18" max="18" width="18.28515625" customWidth="1"/>
    <col min="19" max="19" width="13.140625" customWidth="1"/>
    <col min="20" max="20" width="13.7109375" customWidth="1"/>
    <col min="21" max="21" width="13.85546875" customWidth="1"/>
    <col min="22" max="22" width="14.28515625" customWidth="1"/>
    <col min="23" max="23" width="13.28515625" customWidth="1"/>
    <col min="24" max="24" width="14" customWidth="1"/>
  </cols>
  <sheetData>
    <row r="1" spans="1:33" s="230" customFormat="1" ht="40.5" customHeight="1" thickBot="1" x14ac:dyDescent="0.3">
      <c r="A1" s="2627" t="s">
        <v>1914</v>
      </c>
      <c r="B1" s="2550"/>
      <c r="C1" s="2550"/>
      <c r="D1" s="2550"/>
      <c r="E1" s="2550"/>
      <c r="F1" s="2550"/>
      <c r="G1" s="2550"/>
      <c r="H1" s="2550"/>
      <c r="I1" s="2550"/>
      <c r="J1" s="2550"/>
      <c r="K1" s="2550"/>
      <c r="L1" s="2550"/>
      <c r="M1" s="2550"/>
      <c r="N1" s="2550"/>
      <c r="O1" s="2550"/>
      <c r="P1" s="2550"/>
      <c r="Q1" s="2550"/>
      <c r="R1" s="2550"/>
      <c r="S1" s="2551"/>
    </row>
    <row r="2" spans="1:33" s="230" customFormat="1" ht="15.75" thickBot="1" x14ac:dyDescent="0.3"/>
    <row r="3" spans="1:33" ht="29.25" customHeight="1" thickBot="1" x14ac:dyDescent="0.3">
      <c r="A3" s="2549" t="s">
        <v>1817</v>
      </c>
      <c r="B3" s="2550"/>
      <c r="C3" s="2550"/>
      <c r="D3" s="2550"/>
      <c r="E3" s="2550"/>
      <c r="F3" s="2550"/>
      <c r="G3" s="2550"/>
      <c r="H3" s="2550"/>
      <c r="I3" s="2550"/>
      <c r="J3" s="2550"/>
      <c r="K3" s="2550"/>
      <c r="L3" s="2550"/>
      <c r="M3" s="2550"/>
      <c r="N3" s="2550"/>
      <c r="O3" s="2550"/>
      <c r="P3" s="2550"/>
      <c r="Q3" s="2550"/>
      <c r="R3" s="2550"/>
      <c r="S3" s="2550"/>
      <c r="T3" s="2550"/>
      <c r="U3" s="2550"/>
      <c r="V3" s="2550"/>
      <c r="W3" s="2550"/>
      <c r="X3" s="2551"/>
      <c r="Y3" s="498"/>
      <c r="Z3" s="498"/>
      <c r="AA3" s="498"/>
      <c r="AB3" s="498"/>
      <c r="AC3" s="498"/>
      <c r="AD3" s="498"/>
      <c r="AE3" s="498"/>
      <c r="AF3" s="498"/>
      <c r="AG3" s="498"/>
    </row>
    <row r="4" spans="1:33" ht="68.25" customHeight="1" thickBot="1" x14ac:dyDescent="0.3">
      <c r="A4" s="1187" t="s">
        <v>1031</v>
      </c>
      <c r="B4" s="1187" t="s">
        <v>1175</v>
      </c>
      <c r="C4" s="3031" t="s">
        <v>1383</v>
      </c>
      <c r="D4" s="3072"/>
      <c r="E4" s="3072"/>
      <c r="F4" s="3072"/>
      <c r="G4" s="3072"/>
      <c r="H4" s="3072"/>
      <c r="I4" s="3072"/>
      <c r="J4" s="3073"/>
      <c r="K4" s="2954" t="s">
        <v>1404</v>
      </c>
      <c r="L4" s="2747"/>
      <c r="M4" s="2747"/>
      <c r="N4" s="2747"/>
      <c r="O4" s="2748"/>
      <c r="P4" s="3074" t="s">
        <v>1173</v>
      </c>
      <c r="Q4" s="3075"/>
      <c r="R4" s="3075"/>
      <c r="S4" s="3075"/>
      <c r="T4" s="3075"/>
      <c r="U4" s="3075"/>
      <c r="V4" s="3075"/>
      <c r="W4" s="3075"/>
      <c r="X4" s="3076"/>
      <c r="AC4" s="498"/>
      <c r="AD4" s="498"/>
      <c r="AE4" s="498"/>
      <c r="AF4" s="498"/>
      <c r="AG4" s="498"/>
    </row>
    <row r="5" spans="1:33" ht="18" x14ac:dyDescent="0.25">
      <c r="A5" s="3068" t="s">
        <v>1176</v>
      </c>
      <c r="B5" s="3070">
        <f>' QUICK OVERVIEW- Inputs&amp;Outputs'!W12/1000000</f>
        <v>30111.920694219847</v>
      </c>
      <c r="C5" s="978" t="s">
        <v>1032</v>
      </c>
      <c r="D5" s="979" t="s">
        <v>394</v>
      </c>
      <c r="E5" s="1275" t="s">
        <v>1040</v>
      </c>
      <c r="F5" s="1275" t="s">
        <v>329</v>
      </c>
      <c r="G5" s="1275" t="s">
        <v>330</v>
      </c>
      <c r="H5" s="1275" t="s">
        <v>1174</v>
      </c>
      <c r="I5" s="1275" t="s">
        <v>77</v>
      </c>
      <c r="J5" s="1313" t="s">
        <v>1187</v>
      </c>
      <c r="K5" s="1003" t="s">
        <v>380</v>
      </c>
      <c r="L5" s="1276" t="s">
        <v>1033</v>
      </c>
      <c r="M5" s="1276" t="s">
        <v>329</v>
      </c>
      <c r="N5" s="1276" t="s">
        <v>330</v>
      </c>
      <c r="O5" s="1277" t="s">
        <v>1192</v>
      </c>
      <c r="P5" s="978" t="s">
        <v>1032</v>
      </c>
      <c r="Q5" s="979" t="s">
        <v>394</v>
      </c>
      <c r="R5" s="1275" t="s">
        <v>1040</v>
      </c>
      <c r="S5" s="1275" t="s">
        <v>329</v>
      </c>
      <c r="T5" s="1275" t="s">
        <v>330</v>
      </c>
      <c r="U5" s="1275" t="s">
        <v>1188</v>
      </c>
      <c r="V5" s="1275" t="s">
        <v>77</v>
      </c>
      <c r="W5" s="979" t="s">
        <v>1187</v>
      </c>
      <c r="X5" s="1309" t="s">
        <v>1226</v>
      </c>
      <c r="AC5" s="498"/>
      <c r="AD5" s="498"/>
      <c r="AE5" s="498"/>
      <c r="AF5" s="498"/>
      <c r="AG5" s="498"/>
    </row>
    <row r="6" spans="1:33" ht="15.75" thickBot="1" x14ac:dyDescent="0.3">
      <c r="A6" s="3069"/>
      <c r="B6" s="3071"/>
      <c r="C6" s="1203">
        <f>(95/1020)</f>
        <v>9.3137254901960786E-2</v>
      </c>
      <c r="D6" s="1204">
        <f>84/1020</f>
        <v>8.2352941176470587E-2</v>
      </c>
      <c r="E6" s="716">
        <f>(0.6/1020)</f>
        <v>5.8823529411764701E-4</v>
      </c>
      <c r="F6" s="716">
        <f>(5.5/1020)</f>
        <v>5.392156862745098E-3</v>
      </c>
      <c r="G6" s="716">
        <f>(7.6/1020)</f>
        <v>7.4509803921568628E-3</v>
      </c>
      <c r="H6" s="716">
        <f>2.2/1020</f>
        <v>2.1568627450980395E-3</v>
      </c>
      <c r="I6" s="1284">
        <f>(120000/1020)</f>
        <v>117.64705882352941</v>
      </c>
      <c r="J6" s="1205">
        <v>0</v>
      </c>
      <c r="K6" s="1314">
        <f>(1980*1000000)/(453592*35300)</f>
        <v>0.12365882016894843</v>
      </c>
      <c r="L6" s="1315">
        <f>(19100*1000000)/(453592*35300)</f>
        <v>1.1928704369832903</v>
      </c>
      <c r="M6" s="1316">
        <f>(17.9*1000000)/(453592*35300)</f>
        <v>1.117925697486958E-3</v>
      </c>
      <c r="N6" s="1316">
        <f>(155.8*1000000)/(453592*35300)</f>
        <v>9.7303253446071533E-3</v>
      </c>
      <c r="O6" s="1265">
        <f>(2120000*1000000)/(453592*35300)</f>
        <v>132.4023731101872</v>
      </c>
      <c r="P6" s="1283">
        <f>B5*(C6-K6)/2.2</f>
        <v>-417.75588762863032</v>
      </c>
      <c r="Q6" s="1329">
        <f>B5*(D6)/2.2</f>
        <v>1127.1841971098338</v>
      </c>
      <c r="R6" s="1329">
        <f>B5*(E6-L6)/2.2</f>
        <v>-16319.048682906454</v>
      </c>
      <c r="S6" s="1329">
        <f>B5*(F6-M6)/2.2</f>
        <v>58.50241358046182</v>
      </c>
      <c r="T6" s="1329">
        <f>B5*(G6-N6)/2.2</f>
        <v>-31.197933837706117</v>
      </c>
      <c r="U6" s="586">
        <f>((B5*H6)/2.2)</f>
        <v>29.521490876686123</v>
      </c>
      <c r="V6" s="586">
        <f>B5*(I6-O6)/2.2</f>
        <v>-201959.47891733114</v>
      </c>
      <c r="W6" s="586">
        <f>((B5*J6)/2.2)</f>
        <v>0</v>
      </c>
      <c r="X6" s="1280">
        <f>V6+(W6*28)+(U6*298)</f>
        <v>-193162.07463607867</v>
      </c>
      <c r="AC6" s="498"/>
      <c r="AD6" s="498"/>
      <c r="AE6" s="498"/>
      <c r="AF6" s="498"/>
      <c r="AG6" s="498"/>
    </row>
    <row r="7" spans="1:33" s="230" customFormat="1" ht="15.75" thickBot="1" x14ac:dyDescent="0.3">
      <c r="A7" s="1132"/>
      <c r="B7" s="788"/>
      <c r="C7" s="1206"/>
      <c r="D7" s="1206"/>
      <c r="E7" s="786"/>
      <c r="F7" s="786"/>
      <c r="G7" s="786"/>
      <c r="H7" s="786"/>
      <c r="I7" s="994"/>
      <c r="J7" s="115"/>
      <c r="K7" s="787"/>
      <c r="L7" s="787"/>
      <c r="M7" s="787"/>
      <c r="N7" s="787"/>
      <c r="O7" s="787"/>
      <c r="P7" s="787"/>
      <c r="Q7" s="787"/>
      <c r="R7" s="787"/>
      <c r="S7" s="498"/>
      <c r="T7" s="498"/>
      <c r="U7" s="498"/>
      <c r="V7" s="498"/>
      <c r="W7" s="498"/>
      <c r="X7" s="498"/>
      <c r="Y7" s="498"/>
      <c r="Z7" s="498"/>
      <c r="AA7" s="498"/>
      <c r="AB7" s="498"/>
      <c r="AC7" s="498"/>
      <c r="AD7" s="498"/>
      <c r="AE7" s="498"/>
      <c r="AF7" s="498"/>
      <c r="AG7" s="498"/>
    </row>
    <row r="8" spans="1:33" s="230" customFormat="1" ht="27.75" customHeight="1" thickBot="1" x14ac:dyDescent="0.3">
      <c r="A8" s="3065" t="s">
        <v>1818</v>
      </c>
      <c r="B8" s="3066"/>
      <c r="C8" s="3066"/>
      <c r="D8" s="3066"/>
      <c r="E8" s="3066"/>
      <c r="F8" s="3066"/>
      <c r="G8" s="3066"/>
      <c r="H8" s="3066"/>
      <c r="I8" s="3066"/>
      <c r="J8" s="3066"/>
      <c r="K8" s="3066"/>
      <c r="L8" s="3066"/>
      <c r="M8" s="3066"/>
      <c r="N8" s="3066"/>
      <c r="O8" s="3066"/>
      <c r="P8" s="3066"/>
      <c r="Q8" s="3067"/>
      <c r="R8" s="787"/>
      <c r="S8" s="498"/>
      <c r="T8" s="498"/>
      <c r="U8" s="498"/>
      <c r="V8" s="498"/>
      <c r="W8" s="498"/>
      <c r="X8" s="498"/>
      <c r="Y8" s="498"/>
      <c r="Z8" s="498"/>
      <c r="AA8" s="498"/>
      <c r="AB8" s="498"/>
      <c r="AC8" s="498"/>
      <c r="AD8" s="498"/>
      <c r="AE8" s="498"/>
      <c r="AF8" s="498"/>
      <c r="AG8" s="498"/>
    </row>
    <row r="9" spans="1:33" s="230" customFormat="1" ht="63.75" customHeight="1" thickBot="1" x14ac:dyDescent="0.3">
      <c r="A9" s="1398" t="s">
        <v>1031</v>
      </c>
      <c r="B9" s="47" t="s">
        <v>1308</v>
      </c>
      <c r="C9" s="3077" t="s">
        <v>1819</v>
      </c>
      <c r="D9" s="3078"/>
      <c r="E9" s="3078"/>
      <c r="F9" s="3078"/>
      <c r="G9" s="2615"/>
      <c r="H9" s="3081" t="s">
        <v>1404</v>
      </c>
      <c r="I9" s="2372"/>
      <c r="J9" s="2372"/>
      <c r="K9" s="2372"/>
      <c r="L9" s="2945"/>
      <c r="M9" s="3077" t="s">
        <v>1173</v>
      </c>
      <c r="N9" s="3078"/>
      <c r="O9" s="3078"/>
      <c r="P9" s="3078"/>
      <c r="Q9" s="2615"/>
      <c r="R9" s="787"/>
      <c r="S9" s="498"/>
      <c r="T9" s="498"/>
      <c r="U9" s="498"/>
      <c r="V9" s="498"/>
      <c r="W9" s="498"/>
      <c r="X9" s="498"/>
      <c r="Y9" s="498"/>
      <c r="Z9" s="498"/>
      <c r="AA9" s="498"/>
      <c r="AB9" s="498"/>
      <c r="AC9" s="498"/>
      <c r="AD9" s="498"/>
      <c r="AE9" s="498"/>
      <c r="AF9" s="498"/>
      <c r="AG9" s="498"/>
    </row>
    <row r="10" spans="1:33" s="230" customFormat="1" ht="18" x14ac:dyDescent="0.25">
      <c r="A10" s="2865" t="s">
        <v>1176</v>
      </c>
      <c r="B10" s="3079">
        <f>(' QUICK OVERVIEW- Inputs&amp;Outputs'!W14/1000)*0.5</f>
        <v>1290.7000004483157</v>
      </c>
      <c r="C10" s="987" t="s">
        <v>380</v>
      </c>
      <c r="D10" s="1007" t="s">
        <v>1040</v>
      </c>
      <c r="E10" s="1007" t="s">
        <v>329</v>
      </c>
      <c r="F10" s="1007" t="s">
        <v>330</v>
      </c>
      <c r="G10" s="961" t="s">
        <v>77</v>
      </c>
      <c r="H10" s="1003" t="s">
        <v>380</v>
      </c>
      <c r="I10" s="1276" t="s">
        <v>1033</v>
      </c>
      <c r="J10" s="1276" t="s">
        <v>329</v>
      </c>
      <c r="K10" s="1276" t="s">
        <v>330</v>
      </c>
      <c r="L10" s="1277" t="s">
        <v>1192</v>
      </c>
      <c r="M10" s="987" t="s">
        <v>380</v>
      </c>
      <c r="N10" s="1007" t="s">
        <v>1040</v>
      </c>
      <c r="O10" s="1007" t="s">
        <v>329</v>
      </c>
      <c r="P10" s="1007" t="s">
        <v>330</v>
      </c>
      <c r="Q10" s="961" t="s">
        <v>77</v>
      </c>
      <c r="R10" s="787"/>
      <c r="S10" s="498"/>
      <c r="T10" s="498"/>
      <c r="U10" s="498"/>
      <c r="V10" s="498"/>
      <c r="W10" s="498"/>
      <c r="X10" s="498"/>
      <c r="Y10" s="498"/>
      <c r="Z10" s="498"/>
      <c r="AA10" s="498"/>
      <c r="AB10" s="498"/>
      <c r="AC10" s="498"/>
      <c r="AD10" s="498"/>
      <c r="AE10" s="498"/>
      <c r="AF10" s="498"/>
      <c r="AG10" s="498"/>
    </row>
    <row r="11" spans="1:33" s="230" customFormat="1" ht="15.75" thickBot="1" x14ac:dyDescent="0.3">
      <c r="A11" s="2866"/>
      <c r="B11" s="3080"/>
      <c r="C11" s="1203">
        <f>(95/1020)</f>
        <v>9.3137254901960786E-2</v>
      </c>
      <c r="D11" s="716">
        <f>(0.6/1020)</f>
        <v>5.8823529411764701E-4</v>
      </c>
      <c r="E11" s="716">
        <f>(5.5/1020)</f>
        <v>5.392156862745098E-3</v>
      </c>
      <c r="F11" s="716">
        <f>(7.6/1020)</f>
        <v>7.4509803921568628E-3</v>
      </c>
      <c r="G11" s="1503">
        <f>(120000/1020)</f>
        <v>117.64705882352941</v>
      </c>
      <c r="H11" s="1314">
        <f>(1980*1000000)/(453592*35300)</f>
        <v>0.12365882016894843</v>
      </c>
      <c r="I11" s="1315">
        <f>(19100*1000000)/(453592*35300)</f>
        <v>1.1928704369832903</v>
      </c>
      <c r="J11" s="1316">
        <f>(17.9*1000000)/(453592*35300)</f>
        <v>1.117925697486958E-3</v>
      </c>
      <c r="K11" s="1316">
        <f>(155.8*1000000)/(453592*35300)</f>
        <v>9.7303253446071533E-3</v>
      </c>
      <c r="L11" s="1265">
        <f>(2120000*1000000)/(453592*35300)</f>
        <v>132.4023731101872</v>
      </c>
      <c r="M11" s="585">
        <f>((B10*C11)-(H11))/2.2</f>
        <v>54.585725510703057</v>
      </c>
      <c r="N11" s="586">
        <f>((B10*D11)-(I11))/2.2</f>
        <v>-0.19710688300087648</v>
      </c>
      <c r="O11" s="586">
        <f>((B10*E11)-(J11))/2.2</f>
        <v>3.1629722452113631</v>
      </c>
      <c r="P11" s="586">
        <f>((B10*F11)-(K11))/2.2</f>
        <v>4.3669318500693848</v>
      </c>
      <c r="Q11" s="587">
        <f>((B10*G11)-(L11))/2.2</f>
        <v>68961.207501437384</v>
      </c>
      <c r="R11" s="787"/>
      <c r="S11" s="498"/>
      <c r="T11" s="498"/>
      <c r="U11" s="498"/>
      <c r="V11" s="498"/>
      <c r="W11" s="498"/>
      <c r="X11" s="498"/>
      <c r="Y11" s="498"/>
      <c r="Z11" s="498"/>
      <c r="AA11" s="498"/>
      <c r="AB11" s="498"/>
      <c r="AC11" s="498"/>
      <c r="AD11" s="498"/>
      <c r="AE11" s="498"/>
      <c r="AF11" s="498"/>
      <c r="AG11" s="498"/>
    </row>
    <row r="12" spans="1:33" s="230" customFormat="1" ht="15.75" thickBot="1" x14ac:dyDescent="0.3">
      <c r="A12" s="1132"/>
      <c r="B12" s="788"/>
      <c r="C12" s="1206"/>
      <c r="D12" s="1206"/>
      <c r="E12" s="786"/>
      <c r="F12" s="786"/>
      <c r="G12" s="786"/>
      <c r="H12" s="786"/>
      <c r="I12" s="994"/>
      <c r="J12" s="115"/>
      <c r="K12" s="787"/>
      <c r="L12" s="787"/>
      <c r="M12" s="787"/>
      <c r="N12" s="787"/>
      <c r="O12" s="787"/>
      <c r="P12" s="787"/>
      <c r="Q12" s="787"/>
      <c r="R12" s="787"/>
      <c r="S12" s="498"/>
      <c r="T12" s="498"/>
      <c r="U12" s="498"/>
      <c r="V12" s="498"/>
      <c r="W12" s="498"/>
      <c r="X12" s="498"/>
      <c r="Y12" s="498"/>
      <c r="Z12" s="498"/>
      <c r="AA12" s="498"/>
      <c r="AB12" s="498"/>
      <c r="AC12" s="498"/>
      <c r="AD12" s="498"/>
      <c r="AE12" s="498"/>
      <c r="AF12" s="498"/>
      <c r="AG12" s="498"/>
    </row>
    <row r="13" spans="1:33" ht="54.75" customHeight="1" thickBot="1" x14ac:dyDescent="0.3">
      <c r="A13" s="2785" t="s">
        <v>1321</v>
      </c>
      <c r="B13" s="2795"/>
      <c r="C13" s="2795"/>
      <c r="D13" s="2795"/>
      <c r="E13" s="2795"/>
      <c r="F13" s="2795"/>
      <c r="G13" s="2795"/>
      <c r="H13" s="2795"/>
      <c r="I13" s="2795"/>
      <c r="J13" s="2795"/>
      <c r="K13" s="2795"/>
      <c r="L13" s="2795"/>
      <c r="M13" s="2795"/>
      <c r="N13" s="2795"/>
      <c r="O13" s="2795"/>
      <c r="P13" s="2795"/>
      <c r="Q13" s="2795"/>
      <c r="R13" s="2795"/>
      <c r="S13" s="2795"/>
      <c r="T13" s="2795"/>
      <c r="U13" s="2795"/>
      <c r="V13" s="2795"/>
      <c r="W13" s="2795"/>
      <c r="X13" s="2796"/>
      <c r="Y13" s="498"/>
      <c r="Z13" s="498"/>
      <c r="AA13" s="498"/>
      <c r="AB13" s="498"/>
      <c r="AC13" s="498"/>
      <c r="AD13" s="498"/>
      <c r="AE13" s="498"/>
      <c r="AF13" s="498"/>
      <c r="AG13" s="498"/>
    </row>
    <row r="14" spans="1:33" ht="109.5" customHeight="1" thickBot="1" x14ac:dyDescent="0.3">
      <c r="A14" s="1853" t="s">
        <v>1130</v>
      </c>
      <c r="B14" s="1854" t="s">
        <v>177</v>
      </c>
      <c r="C14" s="1855" t="s">
        <v>1193</v>
      </c>
      <c r="D14" s="1855" t="s">
        <v>1189</v>
      </c>
      <c r="E14" s="1855" t="s">
        <v>1190</v>
      </c>
      <c r="F14" s="1855" t="s">
        <v>1337</v>
      </c>
      <c r="G14" s="1855" t="s">
        <v>1104</v>
      </c>
      <c r="H14" s="1855" t="s">
        <v>1243</v>
      </c>
      <c r="I14" s="1855" t="s">
        <v>1242</v>
      </c>
      <c r="J14" s="1855" t="s">
        <v>1102</v>
      </c>
      <c r="K14" s="1855" t="s">
        <v>1103</v>
      </c>
      <c r="L14" s="1855" t="s">
        <v>272</v>
      </c>
      <c r="M14" s="1855" t="s">
        <v>273</v>
      </c>
      <c r="N14" s="1855" t="s">
        <v>455</v>
      </c>
      <c r="O14" s="1855" t="s">
        <v>274</v>
      </c>
      <c r="P14" s="1855" t="s">
        <v>288</v>
      </c>
      <c r="Q14" s="1855" t="s">
        <v>1080</v>
      </c>
      <c r="R14" s="1855" t="s">
        <v>1233</v>
      </c>
      <c r="S14" s="1855" t="s">
        <v>271</v>
      </c>
      <c r="T14" s="1855" t="s">
        <v>1191</v>
      </c>
      <c r="U14" s="1855" t="s">
        <v>278</v>
      </c>
      <c r="V14" s="1855" t="s">
        <v>315</v>
      </c>
      <c r="W14" s="1855" t="s">
        <v>1079</v>
      </c>
      <c r="X14" s="83" t="s">
        <v>316</v>
      </c>
      <c r="Y14" s="498"/>
      <c r="Z14" s="498"/>
      <c r="AA14" s="498"/>
      <c r="AB14" s="498"/>
      <c r="AC14" s="498"/>
      <c r="AD14" s="498"/>
      <c r="AE14" s="498"/>
      <c r="AF14" s="498"/>
      <c r="AG14" s="498"/>
    </row>
    <row r="15" spans="1:33" x14ac:dyDescent="0.25">
      <c r="A15" s="2806" t="s">
        <v>1177</v>
      </c>
      <c r="B15" s="888">
        <v>2019</v>
      </c>
      <c r="C15" s="1055">
        <f t="shared" ref="C15:C46" si="0">$V$6</f>
        <v>-201959.47891733114</v>
      </c>
      <c r="D15" s="1207">
        <f>$W$6*28</f>
        <v>0</v>
      </c>
      <c r="E15" s="1207">
        <f>$U$6*298</f>
        <v>8797.404281252464</v>
      </c>
      <c r="F15" s="1882">
        <f>(C15/1000)+(D15/1000)+(E15/1000)</f>
        <v>-193.1620746360787</v>
      </c>
      <c r="G15" s="1055">
        <f>P6</f>
        <v>-417.75588762863032</v>
      </c>
      <c r="H15" s="1055">
        <f t="shared" ref="H15:H46" si="1">$R$6</f>
        <v>-16319.048682906454</v>
      </c>
      <c r="I15" s="1055">
        <f t="shared" ref="I15:I46" si="2">$S$6</f>
        <v>58.50241358046182</v>
      </c>
      <c r="J15" s="1207">
        <f t="shared" ref="J15:J46" si="3">$Q$6</f>
        <v>1127.1841971098338</v>
      </c>
      <c r="K15" s="1055">
        <f t="shared" ref="K15:K46" si="4">$T$6</f>
        <v>-31.197933837706117</v>
      </c>
      <c r="L15" s="1056">
        <v>62</v>
      </c>
      <c r="M15" s="1056">
        <f>'Emission-Waste Transport Vehicl'!P33</f>
        <v>18.139508640000003</v>
      </c>
      <c r="N15" s="1056">
        <f>'Emission-Waste Transport Vehicl'!Q33</f>
        <v>14.087652480000001</v>
      </c>
      <c r="O15" s="1056">
        <f>'Emission-Waste Transport Vehicl'!R33</f>
        <v>1.4021409600000001</v>
      </c>
      <c r="P15" s="1056">
        <f>'Emission-Waste Transport Vehicl'!S33</f>
        <v>6.4476403200000004E-2</v>
      </c>
      <c r="Q15" s="1056">
        <f>'Emission-Waste Transport Vehicl'!N33</f>
        <v>32.602537440000006</v>
      </c>
      <c r="R15" s="2179">
        <f>L15*F15</f>
        <v>-11976.04862743688</v>
      </c>
      <c r="S15" s="1057">
        <f t="shared" ref="S15:W16" si="5">G15*M15</f>
        <v>-7577.8865330504095</v>
      </c>
      <c r="T15" s="1057">
        <f t="shared" si="5"/>
        <v>-229897.08664898787</v>
      </c>
      <c r="U15" s="1057">
        <f t="shared" si="5"/>
        <v>82.028630340025785</v>
      </c>
      <c r="V15" s="1154">
        <f t="shared" si="5"/>
        <v>72.676782773521921</v>
      </c>
      <c r="W15" s="1057">
        <f t="shared" si="5"/>
        <v>-1017.1318059944567</v>
      </c>
      <c r="X15" s="2772">
        <f>(SUM(R15:R65)*1.2682)+(SUM(W15:W65))+(SUM(S15:S65))+(SUM(T15:T65))+(SUM(U15:U65))+(SUM(V15:V65))</f>
        <v>-8804352.007604152</v>
      </c>
      <c r="Y15" s="498"/>
      <c r="Z15" s="498"/>
      <c r="AA15" s="498"/>
      <c r="AB15" s="498"/>
      <c r="AC15" s="498"/>
      <c r="AD15" s="498"/>
      <c r="AE15" s="498"/>
      <c r="AF15" s="498"/>
      <c r="AG15" s="498"/>
    </row>
    <row r="16" spans="1:33" x14ac:dyDescent="0.25">
      <c r="A16" s="2802"/>
      <c r="B16" s="706">
        <v>2020</v>
      </c>
      <c r="C16" s="1058">
        <f t="shared" si="0"/>
        <v>-201959.47891733114</v>
      </c>
      <c r="D16" s="1208">
        <f t="shared" ref="D16:D65" si="6">$W$6*28</f>
        <v>0</v>
      </c>
      <c r="E16" s="1208">
        <f t="shared" ref="E16:E65" si="7">$U$6*298</f>
        <v>8797.404281252464</v>
      </c>
      <c r="F16" s="1883">
        <f t="shared" ref="F16:F65" si="8">(C16/1000)+(D16/1000)+(E16/1000)</f>
        <v>-193.1620746360787</v>
      </c>
      <c r="G16" s="1058">
        <f>P6</f>
        <v>-417.75588762863032</v>
      </c>
      <c r="H16" s="1058">
        <f t="shared" si="1"/>
        <v>-16319.048682906454</v>
      </c>
      <c r="I16" s="1058">
        <f t="shared" si="2"/>
        <v>58.50241358046182</v>
      </c>
      <c r="J16" s="1208">
        <f t="shared" si="3"/>
        <v>1127.1841971098338</v>
      </c>
      <c r="K16" s="1058">
        <f t="shared" si="4"/>
        <v>-31.197933837706117</v>
      </c>
      <c r="L16" s="1857">
        <v>64</v>
      </c>
      <c r="M16" s="1857">
        <f>'Emission-Waste Transport Vehicl'!P34</f>
        <v>17.783974270656003</v>
      </c>
      <c r="N16" s="1857">
        <f>'Emission-Waste Transport Vehicl'!Q34</f>
        <v>13.811534491392001</v>
      </c>
      <c r="O16" s="1857">
        <f>'Emission-Waste Transport Vehicl'!R34</f>
        <v>1.3746589971840002</v>
      </c>
      <c r="P16" s="1857">
        <f>'Emission-Waste Transport Vehicl'!S34</f>
        <v>6.3212665697280013E-2</v>
      </c>
      <c r="Q16" s="1857">
        <f>'Emission-Waste Transport Vehicl'!N34</f>
        <v>31.963527706176006</v>
      </c>
      <c r="R16" s="2180">
        <f t="shared" ref="R16:R65" si="9">L16*F16</f>
        <v>-12362.372776709037</v>
      </c>
      <c r="S16" s="830">
        <f t="shared" si="5"/>
        <v>-7429.3599570026217</v>
      </c>
      <c r="T16" s="830">
        <f t="shared" si="5"/>
        <v>-225391.10375066768</v>
      </c>
      <c r="U16" s="830">
        <f t="shared" si="5"/>
        <v>80.420869185361283</v>
      </c>
      <c r="V16" s="1157">
        <f t="shared" si="5"/>
        <v>71.252317831160909</v>
      </c>
      <c r="W16" s="830">
        <f t="shared" si="5"/>
        <v>-997.19602259696535</v>
      </c>
      <c r="X16" s="2773"/>
      <c r="Y16" s="498"/>
      <c r="Z16" s="498"/>
      <c r="AA16" s="498"/>
      <c r="AB16" s="498"/>
      <c r="AC16" s="498"/>
      <c r="AD16" s="498"/>
      <c r="AE16" s="498"/>
      <c r="AF16" s="498"/>
      <c r="AG16" s="498"/>
    </row>
    <row r="17" spans="1:33" x14ac:dyDescent="0.25">
      <c r="A17" s="2802"/>
      <c r="B17" s="706">
        <v>2021</v>
      </c>
      <c r="C17" s="1058">
        <f t="shared" si="0"/>
        <v>-201959.47891733114</v>
      </c>
      <c r="D17" s="1208">
        <f t="shared" si="6"/>
        <v>0</v>
      </c>
      <c r="E17" s="1208">
        <f t="shared" si="7"/>
        <v>8797.404281252464</v>
      </c>
      <c r="F17" s="1883">
        <f t="shared" si="8"/>
        <v>-193.1620746360787</v>
      </c>
      <c r="G17" s="1058">
        <f>P6</f>
        <v>-417.75588762863032</v>
      </c>
      <c r="H17" s="1058">
        <f t="shared" si="1"/>
        <v>-16319.048682906454</v>
      </c>
      <c r="I17" s="1058">
        <f t="shared" si="2"/>
        <v>58.50241358046182</v>
      </c>
      <c r="J17" s="1208">
        <f t="shared" si="3"/>
        <v>1127.1841971098338</v>
      </c>
      <c r="K17" s="1058">
        <f t="shared" si="4"/>
        <v>-31.197933837706117</v>
      </c>
      <c r="L17" s="1857">
        <v>65</v>
      </c>
      <c r="M17" s="1857">
        <f>'Emission-Waste Transport Vehicl'!P35</f>
        <v>17.435695704768001</v>
      </c>
      <c r="N17" s="1857">
        <f>'Emission-Waste Transport Vehicl'!Q35</f>
        <v>13.541051563776001</v>
      </c>
      <c r="O17" s="1857">
        <f>'Emission-Waste Transport Vehicl'!R35</f>
        <v>1.3477378907520003</v>
      </c>
      <c r="P17" s="1857">
        <f>'Emission-Waste Transport Vehicl'!S35</f>
        <v>6.1974718755840007E-2</v>
      </c>
      <c r="Q17" s="1857">
        <f>'Emission-Waste Transport Vehicl'!N35</f>
        <v>31.337558987328006</v>
      </c>
      <c r="R17" s="2180">
        <f>L17*F17</f>
        <v>-12555.534851345115</v>
      </c>
      <c r="S17" s="830">
        <f t="shared" ref="S17:S48" si="10">G17*M17</f>
        <v>-7283.8645355680537</v>
      </c>
      <c r="T17" s="830">
        <f t="shared" ref="T17:T48" si="11">H17*N17</f>
        <v>-220977.07968700712</v>
      </c>
      <c r="U17" s="830">
        <f t="shared" ref="U17:U48" si="12">I17*O17</f>
        <v>78.845919482832798</v>
      </c>
      <c r="V17" s="1157">
        <f t="shared" ref="V17:V65" si="13">J17*P17</f>
        <v>69.856923601909273</v>
      </c>
      <c r="W17" s="830">
        <f t="shared" ref="W17:W48" si="14">K17*Q17</f>
        <v>-977.66709192187182</v>
      </c>
      <c r="X17" s="2773"/>
      <c r="Y17" s="498"/>
      <c r="Z17" s="498"/>
      <c r="AA17" s="498"/>
      <c r="AB17" s="498"/>
      <c r="AC17" s="498"/>
      <c r="AD17" s="498"/>
      <c r="AE17" s="498"/>
      <c r="AF17" s="498"/>
      <c r="AG17" s="498"/>
    </row>
    <row r="18" spans="1:33" x14ac:dyDescent="0.25">
      <c r="A18" s="2802"/>
      <c r="B18" s="706">
        <v>2022</v>
      </c>
      <c r="C18" s="1058">
        <f t="shared" si="0"/>
        <v>-201959.47891733114</v>
      </c>
      <c r="D18" s="1208">
        <f t="shared" si="6"/>
        <v>0</v>
      </c>
      <c r="E18" s="1208">
        <f t="shared" si="7"/>
        <v>8797.404281252464</v>
      </c>
      <c r="F18" s="1883">
        <f t="shared" si="8"/>
        <v>-193.1620746360787</v>
      </c>
      <c r="G18" s="1058">
        <f>P6</f>
        <v>-417.75588762863032</v>
      </c>
      <c r="H18" s="1058">
        <f t="shared" si="1"/>
        <v>-16319.048682906454</v>
      </c>
      <c r="I18" s="1058">
        <f t="shared" si="2"/>
        <v>58.50241358046182</v>
      </c>
      <c r="J18" s="1208">
        <f t="shared" si="3"/>
        <v>1127.1841971098338</v>
      </c>
      <c r="K18" s="1058">
        <f t="shared" si="4"/>
        <v>-31.197933837706117</v>
      </c>
      <c r="L18" s="1857">
        <v>66</v>
      </c>
      <c r="M18" s="1857">
        <f>'Emission-Waste Transport Vehicl'!P36</f>
        <v>17.092858991472003</v>
      </c>
      <c r="N18" s="1857">
        <f>'Emission-Waste Transport Vehicl'!Q36</f>
        <v>13.274794931903999</v>
      </c>
      <c r="O18" s="1857">
        <f>'Emission-Waste Transport Vehicl'!R36</f>
        <v>1.3212374266080003</v>
      </c>
      <c r="P18" s="1857">
        <f>'Emission-Waste Transport Vehicl'!S36</f>
        <v>6.0756114735360002E-2</v>
      </c>
      <c r="Q18" s="1857">
        <f>'Emission-Waste Transport Vehicl'!N36</f>
        <v>30.721371029712003</v>
      </c>
      <c r="R18" s="2180">
        <f t="shared" si="9"/>
        <v>-12748.696925981194</v>
      </c>
      <c r="S18" s="830">
        <f t="shared" si="10"/>
        <v>-7140.642480093401</v>
      </c>
      <c r="T18" s="830">
        <f t="shared" si="11"/>
        <v>-216632.02474934122</v>
      </c>
      <c r="U18" s="830">
        <f t="shared" si="12"/>
        <v>77.2955783694063</v>
      </c>
      <c r="V18" s="1157">
        <f t="shared" si="13"/>
        <v>68.483332407489712</v>
      </c>
      <c r="W18" s="830">
        <f t="shared" si="14"/>
        <v>-958.44330078857649</v>
      </c>
      <c r="X18" s="2773"/>
      <c r="Y18" s="498"/>
      <c r="Z18" s="498"/>
      <c r="AA18" s="498"/>
      <c r="AB18" s="498"/>
      <c r="AC18" s="498"/>
      <c r="AD18" s="498"/>
      <c r="AE18" s="498"/>
      <c r="AF18" s="498"/>
      <c r="AG18" s="498"/>
    </row>
    <row r="19" spans="1:33" x14ac:dyDescent="0.25">
      <c r="A19" s="2802"/>
      <c r="B19" s="706">
        <v>2023</v>
      </c>
      <c r="C19" s="1058">
        <f t="shared" si="0"/>
        <v>-201959.47891733114</v>
      </c>
      <c r="D19" s="1208">
        <f t="shared" si="6"/>
        <v>0</v>
      </c>
      <c r="E19" s="1208">
        <f t="shared" si="7"/>
        <v>8797.404281252464</v>
      </c>
      <c r="F19" s="1883">
        <f t="shared" si="8"/>
        <v>-193.1620746360787</v>
      </c>
      <c r="G19" s="1058">
        <f>P6</f>
        <v>-417.75588762863032</v>
      </c>
      <c r="H19" s="1058">
        <f t="shared" si="1"/>
        <v>-16319.048682906454</v>
      </c>
      <c r="I19" s="1058">
        <f t="shared" si="2"/>
        <v>58.50241358046182</v>
      </c>
      <c r="J19" s="1208">
        <f t="shared" si="3"/>
        <v>1127.1841971098338</v>
      </c>
      <c r="K19" s="1058">
        <f t="shared" si="4"/>
        <v>-31.197933837706117</v>
      </c>
      <c r="L19" s="1857">
        <v>67</v>
      </c>
      <c r="M19" s="1857">
        <f>'Emission-Waste Transport Vehicl'!P37</f>
        <v>16.757278081632002</v>
      </c>
      <c r="N19" s="1857">
        <f>'Emission-Waste Transport Vehicl'!Q37</f>
        <v>13.014173361024</v>
      </c>
      <c r="O19" s="1857">
        <f>'Emission-Waste Transport Vehicl'!R37</f>
        <v>1.295297818848</v>
      </c>
      <c r="P19" s="1857">
        <f>'Emission-Waste Transport Vehicl'!S37</f>
        <v>5.9563301276160004E-2</v>
      </c>
      <c r="Q19" s="1857">
        <f>'Emission-Waste Transport Vehicl'!N37</f>
        <v>30.118224087072001</v>
      </c>
      <c r="R19" s="2180">
        <f t="shared" si="9"/>
        <v>-12941.859000617273</v>
      </c>
      <c r="S19" s="830">
        <f t="shared" si="10"/>
        <v>-7000.451579231968</v>
      </c>
      <c r="T19" s="830">
        <f t="shared" si="11"/>
        <v>-212378.92864633497</v>
      </c>
      <c r="U19" s="830">
        <f t="shared" si="12"/>
        <v>75.778048708115804</v>
      </c>
      <c r="V19" s="1157">
        <f t="shared" si="13"/>
        <v>67.138811926179557</v>
      </c>
      <c r="W19" s="830">
        <f t="shared" si="14"/>
        <v>-939.62636237767902</v>
      </c>
      <c r="X19" s="2773"/>
      <c r="Y19" s="498"/>
      <c r="Z19" s="498"/>
      <c r="AA19" s="498"/>
      <c r="AB19" s="498"/>
      <c r="AC19" s="498"/>
      <c r="AD19" s="498"/>
      <c r="AE19" s="498"/>
      <c r="AF19" s="498"/>
      <c r="AG19" s="498"/>
    </row>
    <row r="20" spans="1:33" x14ac:dyDescent="0.25">
      <c r="A20" s="2802"/>
      <c r="B20" s="706">
        <v>2024</v>
      </c>
      <c r="C20" s="1058">
        <f t="shared" si="0"/>
        <v>-201959.47891733114</v>
      </c>
      <c r="D20" s="1208">
        <f t="shared" si="6"/>
        <v>0</v>
      </c>
      <c r="E20" s="1208">
        <f t="shared" si="7"/>
        <v>8797.404281252464</v>
      </c>
      <c r="F20" s="1883">
        <f t="shared" si="8"/>
        <v>-193.1620746360787</v>
      </c>
      <c r="G20" s="1058">
        <f>P6</f>
        <v>-417.75588762863032</v>
      </c>
      <c r="H20" s="1058">
        <f t="shared" si="1"/>
        <v>-16319.048682906454</v>
      </c>
      <c r="I20" s="1058">
        <f t="shared" si="2"/>
        <v>58.50241358046182</v>
      </c>
      <c r="J20" s="1208">
        <f t="shared" si="3"/>
        <v>1127.1841971098338</v>
      </c>
      <c r="K20" s="1058">
        <f t="shared" si="4"/>
        <v>-31.197933837706117</v>
      </c>
      <c r="L20" s="1857">
        <v>68</v>
      </c>
      <c r="M20" s="1857">
        <f>'Emission-Waste Transport Vehicl'!P38</f>
        <v>16.428952975248002</v>
      </c>
      <c r="N20" s="1857">
        <f>'Emission-Waste Transport Vehicl'!Q38</f>
        <v>12.759186851135999</v>
      </c>
      <c r="O20" s="1857">
        <f>'Emission-Waste Transport Vehicl'!R38</f>
        <v>1.269919067472</v>
      </c>
      <c r="P20" s="1857">
        <f>'Emission-Waste Transport Vehicl'!S38</f>
        <v>5.8396278378240005E-2</v>
      </c>
      <c r="Q20" s="1857">
        <f>'Emission-Waste Transport Vehicl'!N38</f>
        <v>29.528118159408002</v>
      </c>
      <c r="R20" s="2180">
        <f t="shared" si="9"/>
        <v>-13135.021075253351</v>
      </c>
      <c r="S20" s="830">
        <f t="shared" si="10"/>
        <v>-6863.2918329837557</v>
      </c>
      <c r="T20" s="830">
        <f t="shared" si="11"/>
        <v>-208217.79137798827</v>
      </c>
      <c r="U20" s="830">
        <f t="shared" si="12"/>
        <v>74.293330498961339</v>
      </c>
      <c r="V20" s="1157">
        <f t="shared" si="13"/>
        <v>65.823362157978806</v>
      </c>
      <c r="W20" s="830">
        <f t="shared" si="14"/>
        <v>-921.21627668917938</v>
      </c>
      <c r="X20" s="2773"/>
      <c r="Y20" s="498"/>
      <c r="Z20" s="498"/>
      <c r="AA20" s="498"/>
      <c r="AB20" s="498"/>
      <c r="AC20" s="498"/>
      <c r="AD20" s="498"/>
      <c r="AE20" s="498"/>
      <c r="AF20" s="498"/>
      <c r="AG20" s="498"/>
    </row>
    <row r="21" spans="1:33" x14ac:dyDescent="0.25">
      <c r="A21" s="2802"/>
      <c r="B21" s="706">
        <v>2025</v>
      </c>
      <c r="C21" s="1058">
        <f t="shared" si="0"/>
        <v>-201959.47891733114</v>
      </c>
      <c r="D21" s="1208">
        <f t="shared" si="6"/>
        <v>0</v>
      </c>
      <c r="E21" s="1208">
        <f t="shared" si="7"/>
        <v>8797.404281252464</v>
      </c>
      <c r="F21" s="1883">
        <f t="shared" si="8"/>
        <v>-193.1620746360787</v>
      </c>
      <c r="G21" s="1058">
        <f>P6</f>
        <v>-417.75588762863032</v>
      </c>
      <c r="H21" s="1058">
        <f t="shared" si="1"/>
        <v>-16319.048682906454</v>
      </c>
      <c r="I21" s="1058">
        <f t="shared" si="2"/>
        <v>58.50241358046182</v>
      </c>
      <c r="J21" s="1208">
        <f t="shared" si="3"/>
        <v>1127.1841971098338</v>
      </c>
      <c r="K21" s="1058">
        <f t="shared" si="4"/>
        <v>-31.197933837706117</v>
      </c>
      <c r="L21" s="1857">
        <v>69</v>
      </c>
      <c r="M21" s="1857">
        <f>'Emission-Waste Transport Vehicl'!P39</f>
        <v>16.10788367232</v>
      </c>
      <c r="N21" s="1857">
        <f>'Emission-Waste Transport Vehicl'!Q39</f>
        <v>12.50983540224</v>
      </c>
      <c r="O21" s="1857">
        <f>'Emission-Waste Transport Vehicl'!R39</f>
        <v>1.2451011724800001</v>
      </c>
      <c r="P21" s="1857">
        <f>'Emission-Waste Transport Vehicl'!S39</f>
        <v>5.7255046041600005E-2</v>
      </c>
      <c r="Q21" s="1857">
        <f>'Emission-Waste Transport Vehicl'!N39</f>
        <v>28.951053246720004</v>
      </c>
      <c r="R21" s="2180">
        <f t="shared" si="9"/>
        <v>-13328.18314988943</v>
      </c>
      <c r="S21" s="830">
        <f t="shared" si="10"/>
        <v>-6729.1632413487632</v>
      </c>
      <c r="T21" s="830">
        <f t="shared" si="11"/>
        <v>-204148.61294430122</v>
      </c>
      <c r="U21" s="830">
        <f t="shared" si="12"/>
        <v>72.84142374194289</v>
      </c>
      <c r="V21" s="1157">
        <f t="shared" si="13"/>
        <v>64.536983102887476</v>
      </c>
      <c r="W21" s="830">
        <f t="shared" si="14"/>
        <v>-903.21304372307759</v>
      </c>
      <c r="X21" s="2773"/>
      <c r="Y21" s="498"/>
      <c r="Z21" s="498"/>
      <c r="AA21" s="498"/>
      <c r="AB21" s="498"/>
      <c r="AC21" s="498"/>
      <c r="AD21" s="498"/>
      <c r="AE21" s="498"/>
      <c r="AF21" s="498"/>
      <c r="AG21" s="498"/>
    </row>
    <row r="22" spans="1:33" x14ac:dyDescent="0.25">
      <c r="A22" s="2802"/>
      <c r="B22" s="706">
        <v>2026</v>
      </c>
      <c r="C22" s="1058">
        <f t="shared" si="0"/>
        <v>-201959.47891733114</v>
      </c>
      <c r="D22" s="1208">
        <f t="shared" si="6"/>
        <v>0</v>
      </c>
      <c r="E22" s="1208">
        <f t="shared" si="7"/>
        <v>8797.404281252464</v>
      </c>
      <c r="F22" s="1883">
        <f t="shared" si="8"/>
        <v>-193.1620746360787</v>
      </c>
      <c r="G22" s="1058">
        <f>P6</f>
        <v>-417.75588762863032</v>
      </c>
      <c r="H22" s="1058">
        <f t="shared" si="1"/>
        <v>-16319.048682906454</v>
      </c>
      <c r="I22" s="1058">
        <f t="shared" si="2"/>
        <v>58.50241358046182</v>
      </c>
      <c r="J22" s="1208">
        <f t="shared" si="3"/>
        <v>1127.1841971098338</v>
      </c>
      <c r="K22" s="1058">
        <f t="shared" si="4"/>
        <v>-31.197933837706117</v>
      </c>
      <c r="L22" s="1857">
        <v>70</v>
      </c>
      <c r="M22" s="1857">
        <f>'Emission-Waste Transport Vehicl'!P40</f>
        <v>15.792256221984003</v>
      </c>
      <c r="N22" s="1857">
        <f>'Emission-Waste Transport Vehicl'!Q40</f>
        <v>12.264710249088001</v>
      </c>
      <c r="O22" s="1857">
        <f>'Emission-Waste Transport Vehicl'!R40</f>
        <v>1.2207039197760001</v>
      </c>
      <c r="P22" s="1857">
        <f>'Emission-Waste Transport Vehicl'!S40</f>
        <v>5.6133156625920007E-2</v>
      </c>
      <c r="Q22" s="1857">
        <f>'Emission-Waste Transport Vehicl'!N40</f>
        <v>28.383769095264007</v>
      </c>
      <c r="R22" s="2180">
        <f t="shared" si="9"/>
        <v>-13521.345224525508</v>
      </c>
      <c r="S22" s="830">
        <f t="shared" si="10"/>
        <v>-6597.3080156736869</v>
      </c>
      <c r="T22" s="830">
        <f t="shared" si="11"/>
        <v>-200148.40363660883</v>
      </c>
      <c r="U22" s="830">
        <f t="shared" si="12"/>
        <v>71.414125574026443</v>
      </c>
      <c r="V22" s="1157">
        <f t="shared" si="13"/>
        <v>63.272407082628192</v>
      </c>
      <c r="W22" s="830">
        <f t="shared" si="14"/>
        <v>-885.51495029877412</v>
      </c>
      <c r="X22" s="2773"/>
      <c r="Y22" s="498"/>
      <c r="Z22" s="498"/>
      <c r="AA22" s="498"/>
      <c r="AB22" s="498"/>
      <c r="AC22" s="498"/>
      <c r="AD22" s="498"/>
      <c r="AE22" s="498"/>
      <c r="AF22" s="498"/>
      <c r="AG22" s="498"/>
    </row>
    <row r="23" spans="1:33" x14ac:dyDescent="0.25">
      <c r="A23" s="2802"/>
      <c r="B23" s="706">
        <v>2027</v>
      </c>
      <c r="C23" s="1058">
        <f t="shared" si="0"/>
        <v>-201959.47891733114</v>
      </c>
      <c r="D23" s="1208">
        <f t="shared" si="6"/>
        <v>0</v>
      </c>
      <c r="E23" s="1208">
        <f t="shared" si="7"/>
        <v>8797.404281252464</v>
      </c>
      <c r="F23" s="1883">
        <f t="shared" si="8"/>
        <v>-193.1620746360787</v>
      </c>
      <c r="G23" s="1058">
        <f>P6</f>
        <v>-417.75588762863032</v>
      </c>
      <c r="H23" s="1058">
        <f t="shared" si="1"/>
        <v>-16319.048682906454</v>
      </c>
      <c r="I23" s="1058">
        <f t="shared" si="2"/>
        <v>58.50241358046182</v>
      </c>
      <c r="J23" s="1208">
        <f t="shared" si="3"/>
        <v>1127.1841971098338</v>
      </c>
      <c r="K23" s="1058">
        <f t="shared" si="4"/>
        <v>-31.197933837706117</v>
      </c>
      <c r="L23" s="1857">
        <v>71</v>
      </c>
      <c r="M23" s="1857">
        <f>'Emission-Waste Transport Vehicl'!P41</f>
        <v>15.482070624240002</v>
      </c>
      <c r="N23" s="1857">
        <f>'Emission-Waste Transport Vehicl'!Q41</f>
        <v>12.023811391680001</v>
      </c>
      <c r="O23" s="1857">
        <f>'Emission-Waste Transport Vehicl'!R41</f>
        <v>1.1967273093600002</v>
      </c>
      <c r="P23" s="1857">
        <f>'Emission-Waste Transport Vehicl'!S41</f>
        <v>5.503061013120001E-2</v>
      </c>
      <c r="Q23" s="1857">
        <f>'Emission-Waste Transport Vehicl'!N41</f>
        <v>27.826265705040004</v>
      </c>
      <c r="R23" s="2180">
        <f t="shared" si="9"/>
        <v>-13714.507299161587</v>
      </c>
      <c r="S23" s="830">
        <f t="shared" si="10"/>
        <v>-6467.7261559585249</v>
      </c>
      <c r="T23" s="830">
        <f t="shared" si="11"/>
        <v>-196217.16345491112</v>
      </c>
      <c r="U23" s="830">
        <f t="shared" si="12"/>
        <v>70.011435995212011</v>
      </c>
      <c r="V23" s="1157">
        <f t="shared" si="13"/>
        <v>62.029634097200969</v>
      </c>
      <c r="W23" s="830">
        <f t="shared" si="14"/>
        <v>-868.12199641626876</v>
      </c>
      <c r="X23" s="2773"/>
      <c r="Y23" s="498"/>
      <c r="Z23" s="498"/>
      <c r="AA23" s="498"/>
      <c r="AB23" s="498"/>
      <c r="AC23" s="498"/>
      <c r="AD23" s="498"/>
      <c r="AE23" s="498"/>
      <c r="AF23" s="498"/>
      <c r="AG23" s="498"/>
    </row>
    <row r="24" spans="1:33" x14ac:dyDescent="0.25">
      <c r="A24" s="2802"/>
      <c r="B24" s="706">
        <v>2028</v>
      </c>
      <c r="C24" s="1058">
        <f t="shared" si="0"/>
        <v>-201959.47891733114</v>
      </c>
      <c r="D24" s="1208">
        <f t="shared" si="6"/>
        <v>0</v>
      </c>
      <c r="E24" s="1208">
        <f t="shared" si="7"/>
        <v>8797.404281252464</v>
      </c>
      <c r="F24" s="1883">
        <f t="shared" si="8"/>
        <v>-193.1620746360787</v>
      </c>
      <c r="G24" s="1058">
        <f>P6</f>
        <v>-417.75588762863032</v>
      </c>
      <c r="H24" s="1058">
        <f t="shared" si="1"/>
        <v>-16319.048682906454</v>
      </c>
      <c r="I24" s="1058">
        <f t="shared" si="2"/>
        <v>58.50241358046182</v>
      </c>
      <c r="J24" s="1208">
        <f t="shared" si="3"/>
        <v>1127.1841971098338</v>
      </c>
      <c r="K24" s="1058">
        <f t="shared" si="4"/>
        <v>-31.197933837706117</v>
      </c>
      <c r="L24" s="1857">
        <v>72</v>
      </c>
      <c r="M24" s="1857">
        <f>'Emission-Waste Transport Vehicl'!P42</f>
        <v>15.179140829952001</v>
      </c>
      <c r="N24" s="1857">
        <f>'Emission-Waste Transport Vehicl'!Q42</f>
        <v>11.788547595263999</v>
      </c>
      <c r="O24" s="1857">
        <f>'Emission-Waste Transport Vehicl'!R42</f>
        <v>1.173311555328</v>
      </c>
      <c r="P24" s="1857">
        <f>'Emission-Waste Transport Vehicl'!S42</f>
        <v>5.3953854197759998E-2</v>
      </c>
      <c r="Q24" s="1857">
        <f>'Emission-Waste Transport Vehicl'!N42</f>
        <v>27.281803329792002</v>
      </c>
      <c r="R24" s="2180">
        <f t="shared" si="9"/>
        <v>-13907.669373797666</v>
      </c>
      <c r="S24" s="830">
        <f t="shared" si="10"/>
        <v>-6341.1754508565828</v>
      </c>
      <c r="T24" s="830">
        <f t="shared" si="11"/>
        <v>-192377.88210787301</v>
      </c>
      <c r="U24" s="830">
        <f t="shared" si="12"/>
        <v>68.641557868533567</v>
      </c>
      <c r="V24" s="1157">
        <f t="shared" si="13"/>
        <v>60.815931824883137</v>
      </c>
      <c r="W24" s="830">
        <f t="shared" si="14"/>
        <v>-851.13589525616135</v>
      </c>
      <c r="X24" s="2773"/>
      <c r="Y24" s="498"/>
      <c r="Z24" s="498"/>
      <c r="AA24" s="498"/>
      <c r="AB24" s="498"/>
      <c r="AC24" s="498"/>
      <c r="AD24" s="498"/>
      <c r="AE24" s="498"/>
      <c r="AF24" s="498"/>
      <c r="AG24" s="498"/>
    </row>
    <row r="25" spans="1:33" x14ac:dyDescent="0.25">
      <c r="A25" s="2802"/>
      <c r="B25" s="706">
        <v>2029</v>
      </c>
      <c r="C25" s="1058">
        <f t="shared" si="0"/>
        <v>-201959.47891733114</v>
      </c>
      <c r="D25" s="1208">
        <f t="shared" si="6"/>
        <v>0</v>
      </c>
      <c r="E25" s="1208">
        <f t="shared" si="7"/>
        <v>8797.404281252464</v>
      </c>
      <c r="F25" s="1883">
        <f t="shared" si="8"/>
        <v>-193.1620746360787</v>
      </c>
      <c r="G25" s="1058">
        <f>P6</f>
        <v>-417.75588762863032</v>
      </c>
      <c r="H25" s="1058">
        <f t="shared" si="1"/>
        <v>-16319.048682906454</v>
      </c>
      <c r="I25" s="1058">
        <f t="shared" si="2"/>
        <v>58.50241358046182</v>
      </c>
      <c r="J25" s="1208">
        <f t="shared" si="3"/>
        <v>1127.1841971098338</v>
      </c>
      <c r="K25" s="1058">
        <f t="shared" si="4"/>
        <v>-31.197933837706117</v>
      </c>
      <c r="L25" s="1857">
        <v>73</v>
      </c>
      <c r="M25" s="1857">
        <f>'Emission-Waste Transport Vehicl'!P43</f>
        <v>14.879838937392002</v>
      </c>
      <c r="N25" s="1857">
        <f>'Emission-Waste Transport Vehicl'!Q43</f>
        <v>11.556101329344001</v>
      </c>
      <c r="O25" s="1857">
        <f>'Emission-Waste Transport Vehicl'!R43</f>
        <v>1.1501762294880002</v>
      </c>
      <c r="P25" s="1857">
        <f>'Emission-Waste Transport Vehicl'!S43</f>
        <v>5.2889993544960004E-2</v>
      </c>
      <c r="Q25" s="1857">
        <f>'Emission-Waste Transport Vehicl'!N43</f>
        <v>26.743861462032005</v>
      </c>
      <c r="R25" s="2180">
        <f t="shared" si="9"/>
        <v>-14100.831448433744</v>
      </c>
      <c r="S25" s="830">
        <f t="shared" si="10"/>
        <v>-6216.1403230612514</v>
      </c>
      <c r="T25" s="830">
        <f t="shared" si="11"/>
        <v>-188584.58017816473</v>
      </c>
      <c r="U25" s="830">
        <f t="shared" si="12"/>
        <v>67.288085467923153</v>
      </c>
      <c r="V25" s="1157">
        <f t="shared" si="13"/>
        <v>59.616764909120036</v>
      </c>
      <c r="W25" s="830">
        <f t="shared" si="14"/>
        <v>-834.35322045725286</v>
      </c>
      <c r="X25" s="2773"/>
      <c r="Y25" s="498"/>
      <c r="Z25" s="498"/>
      <c r="AA25" s="498"/>
      <c r="AB25" s="498"/>
      <c r="AC25" s="498"/>
      <c r="AD25" s="498"/>
      <c r="AE25" s="498"/>
      <c r="AF25" s="498"/>
      <c r="AG25" s="498"/>
    </row>
    <row r="26" spans="1:33" x14ac:dyDescent="0.25">
      <c r="A26" s="2802"/>
      <c r="B26" s="706">
        <v>2030</v>
      </c>
      <c r="C26" s="1058">
        <f t="shared" si="0"/>
        <v>-201959.47891733114</v>
      </c>
      <c r="D26" s="1208">
        <f t="shared" si="6"/>
        <v>0</v>
      </c>
      <c r="E26" s="1208">
        <f t="shared" si="7"/>
        <v>8797.404281252464</v>
      </c>
      <c r="F26" s="1883">
        <f t="shared" si="8"/>
        <v>-193.1620746360787</v>
      </c>
      <c r="G26" s="1058">
        <f>P6</f>
        <v>-417.75588762863032</v>
      </c>
      <c r="H26" s="1058">
        <f t="shared" si="1"/>
        <v>-16319.048682906454</v>
      </c>
      <c r="I26" s="1058">
        <f t="shared" si="2"/>
        <v>58.50241358046182</v>
      </c>
      <c r="J26" s="1208">
        <f t="shared" si="3"/>
        <v>1127.1841971098338</v>
      </c>
      <c r="K26" s="1058">
        <f t="shared" si="4"/>
        <v>-31.197933837706117</v>
      </c>
      <c r="L26" s="1857">
        <v>75</v>
      </c>
      <c r="M26" s="1857">
        <f>'Emission-Waste Transport Vehicl'!P44</f>
        <v>14.589606799152003</v>
      </c>
      <c r="N26" s="1857">
        <f>'Emission-Waste Transport Vehicl'!Q44</f>
        <v>11.330698889664001</v>
      </c>
      <c r="O26" s="1857">
        <f>'Emission-Waste Transport Vehicl'!R44</f>
        <v>1.1277419741280001</v>
      </c>
      <c r="P26" s="1857">
        <f>'Emission-Waste Transport Vehicl'!S44</f>
        <v>5.1858371093760007E-2</v>
      </c>
      <c r="Q26" s="1857">
        <f>'Emission-Waste Transport Vehicl'!N44</f>
        <v>26.222220862992003</v>
      </c>
      <c r="R26" s="2180">
        <f t="shared" si="9"/>
        <v>-14487.155597705903</v>
      </c>
      <c r="S26" s="830">
        <f t="shared" si="10"/>
        <v>-6094.8941385324451</v>
      </c>
      <c r="T26" s="830">
        <f t="shared" si="11"/>
        <v>-184906.22679178094</v>
      </c>
      <c r="U26" s="830">
        <f t="shared" si="12"/>
        <v>65.975627382482742</v>
      </c>
      <c r="V26" s="1157">
        <f t="shared" si="13"/>
        <v>58.453936384743685</v>
      </c>
      <c r="W26" s="830">
        <f t="shared" si="14"/>
        <v>-818.07911156134151</v>
      </c>
      <c r="X26" s="2773"/>
      <c r="Y26" s="498"/>
      <c r="Z26" s="498"/>
      <c r="AA26" s="498"/>
      <c r="AB26" s="498"/>
      <c r="AC26" s="498"/>
      <c r="AD26" s="498"/>
      <c r="AE26" s="498"/>
      <c r="AF26" s="498"/>
      <c r="AG26" s="498"/>
    </row>
    <row r="27" spans="1:33" x14ac:dyDescent="0.25">
      <c r="A27" s="2802"/>
      <c r="B27" s="706">
        <v>2031</v>
      </c>
      <c r="C27" s="1058">
        <f t="shared" si="0"/>
        <v>-201959.47891733114</v>
      </c>
      <c r="D27" s="1208">
        <f t="shared" si="6"/>
        <v>0</v>
      </c>
      <c r="E27" s="1208">
        <f t="shared" si="7"/>
        <v>8797.404281252464</v>
      </c>
      <c r="F27" s="1883">
        <f t="shared" si="8"/>
        <v>-193.1620746360787</v>
      </c>
      <c r="G27" s="1058">
        <f>P6</f>
        <v>-417.75588762863032</v>
      </c>
      <c r="H27" s="1058">
        <f t="shared" si="1"/>
        <v>-16319.048682906454</v>
      </c>
      <c r="I27" s="1058">
        <f t="shared" si="2"/>
        <v>58.50241358046182</v>
      </c>
      <c r="J27" s="1208">
        <f t="shared" si="3"/>
        <v>1127.1841971098338</v>
      </c>
      <c r="K27" s="1058">
        <f t="shared" si="4"/>
        <v>-31.197933837706117</v>
      </c>
      <c r="L27" s="1857">
        <v>76</v>
      </c>
      <c r="M27" s="1857">
        <f>'Emission-Waste Transport Vehicl'!P45</f>
        <v>14.303002562640001</v>
      </c>
      <c r="N27" s="1857">
        <f>'Emission-Waste Transport Vehicl'!Q45</f>
        <v>11.108113980480001</v>
      </c>
      <c r="O27" s="1857">
        <f>'Emission-Waste Transport Vehicl'!R45</f>
        <v>1.1055881469600002</v>
      </c>
      <c r="P27" s="1857">
        <f>'Emission-Waste Transport Vehicl'!S45</f>
        <v>5.0839643923200006E-2</v>
      </c>
      <c r="Q27" s="1857">
        <f>'Emission-Waste Transport Vehicl'!N45</f>
        <v>25.70710077144</v>
      </c>
      <c r="R27" s="2180">
        <f t="shared" si="9"/>
        <v>-14680.317672341982</v>
      </c>
      <c r="S27" s="830">
        <f t="shared" si="10"/>
        <v>-5975.1635313102479</v>
      </c>
      <c r="T27" s="830">
        <f t="shared" si="11"/>
        <v>-181273.85282272691</v>
      </c>
      <c r="U27" s="830">
        <f t="shared" si="12"/>
        <v>64.679575023110331</v>
      </c>
      <c r="V27" s="1157">
        <f t="shared" si="13"/>
        <v>57.305643216922043</v>
      </c>
      <c r="W27" s="830">
        <f t="shared" si="14"/>
        <v>-802.00842902662896</v>
      </c>
      <c r="X27" s="2773"/>
      <c r="Y27" s="498"/>
      <c r="Z27" s="498"/>
      <c r="AA27" s="498"/>
      <c r="AB27" s="498"/>
      <c r="AC27" s="498"/>
      <c r="AD27" s="498"/>
      <c r="AE27" s="498"/>
      <c r="AF27" s="498"/>
      <c r="AG27" s="498"/>
    </row>
    <row r="28" spans="1:33" x14ac:dyDescent="0.25">
      <c r="A28" s="2802"/>
      <c r="B28" s="706">
        <v>2032</v>
      </c>
      <c r="C28" s="1058">
        <f t="shared" si="0"/>
        <v>-201959.47891733114</v>
      </c>
      <c r="D28" s="1208">
        <f t="shared" si="6"/>
        <v>0</v>
      </c>
      <c r="E28" s="1208">
        <f t="shared" si="7"/>
        <v>8797.404281252464</v>
      </c>
      <c r="F28" s="1883">
        <f t="shared" si="8"/>
        <v>-193.1620746360787</v>
      </c>
      <c r="G28" s="1058">
        <f>P6</f>
        <v>-417.75588762863032</v>
      </c>
      <c r="H28" s="1058">
        <f t="shared" si="1"/>
        <v>-16319.048682906454</v>
      </c>
      <c r="I28" s="1058">
        <f t="shared" si="2"/>
        <v>58.50241358046182</v>
      </c>
      <c r="J28" s="1208">
        <f t="shared" si="3"/>
        <v>1127.1841971098338</v>
      </c>
      <c r="K28" s="1058">
        <f t="shared" si="4"/>
        <v>-31.197933837706117</v>
      </c>
      <c r="L28" s="1857">
        <v>77</v>
      </c>
      <c r="M28" s="1857">
        <f>'Emission-Waste Transport Vehicl'!P46</f>
        <v>14.021840178720002</v>
      </c>
      <c r="N28" s="1857">
        <f>'Emission-Waste Transport Vehicl'!Q46</f>
        <v>10.889755367040001</v>
      </c>
      <c r="O28" s="1857">
        <f>'Emission-Waste Transport Vehicl'!R46</f>
        <v>1.0838549620800002</v>
      </c>
      <c r="P28" s="1857">
        <f>'Emission-Waste Transport Vehicl'!S46</f>
        <v>4.9840259673600007E-2</v>
      </c>
      <c r="Q28" s="1857">
        <f>'Emission-Waste Transport Vehicl'!N46</f>
        <v>25.201761441120002</v>
      </c>
      <c r="R28" s="2180">
        <f t="shared" si="9"/>
        <v>-14873.479746978061</v>
      </c>
      <c r="S28" s="830">
        <f t="shared" si="10"/>
        <v>-5857.7062900479668</v>
      </c>
      <c r="T28" s="830">
        <f t="shared" si="11"/>
        <v>-177710.44797966763</v>
      </c>
      <c r="U28" s="830">
        <f t="shared" si="12"/>
        <v>63.408131252839937</v>
      </c>
      <c r="V28" s="1157">
        <f t="shared" si="13"/>
        <v>56.179153083932448</v>
      </c>
      <c r="W28" s="830">
        <f t="shared" si="14"/>
        <v>-786.24288603371497</v>
      </c>
      <c r="X28" s="2773"/>
      <c r="Y28" s="498"/>
      <c r="Z28" s="498"/>
      <c r="AA28" s="498"/>
      <c r="AB28" s="498"/>
      <c r="AC28" s="498"/>
      <c r="AD28" s="498"/>
      <c r="AE28" s="498"/>
      <c r="AF28" s="498"/>
      <c r="AG28" s="498"/>
    </row>
    <row r="29" spans="1:33" x14ac:dyDescent="0.25">
      <c r="A29" s="2802"/>
      <c r="B29" s="706">
        <v>2033</v>
      </c>
      <c r="C29" s="1058">
        <f t="shared" si="0"/>
        <v>-201959.47891733114</v>
      </c>
      <c r="D29" s="1208">
        <f t="shared" si="6"/>
        <v>0</v>
      </c>
      <c r="E29" s="1208">
        <f t="shared" si="7"/>
        <v>8797.404281252464</v>
      </c>
      <c r="F29" s="1883">
        <f t="shared" si="8"/>
        <v>-193.1620746360787</v>
      </c>
      <c r="G29" s="1058">
        <f>P6</f>
        <v>-417.75588762863032</v>
      </c>
      <c r="H29" s="1058">
        <f t="shared" si="1"/>
        <v>-16319.048682906454</v>
      </c>
      <c r="I29" s="1058">
        <f t="shared" si="2"/>
        <v>58.50241358046182</v>
      </c>
      <c r="J29" s="1208">
        <f t="shared" si="3"/>
        <v>1127.1841971098338</v>
      </c>
      <c r="K29" s="1058">
        <f t="shared" si="4"/>
        <v>-31.197933837706117</v>
      </c>
      <c r="L29" s="1857">
        <v>78</v>
      </c>
      <c r="M29" s="1857">
        <f>'Emission-Waste Transport Vehicl'!P47</f>
        <v>13.747933598256003</v>
      </c>
      <c r="N29" s="1857">
        <f>'Emission-Waste Transport Vehicl'!Q47</f>
        <v>10.677031814592</v>
      </c>
      <c r="O29" s="1857">
        <f>'Emission-Waste Transport Vehicl'!R47</f>
        <v>1.0626826335840001</v>
      </c>
      <c r="P29" s="1857">
        <f>'Emission-Waste Transport Vehicl'!S47</f>
        <v>4.8866665985280007E-2</v>
      </c>
      <c r="Q29" s="1857">
        <f>'Emission-Waste Transport Vehicl'!N47</f>
        <v>24.709463125776001</v>
      </c>
      <c r="R29" s="2180">
        <f t="shared" si="9"/>
        <v>-15066.641821614139</v>
      </c>
      <c r="S29" s="830">
        <f t="shared" si="10"/>
        <v>-5743.2802033989055</v>
      </c>
      <c r="T29" s="830">
        <f t="shared" si="11"/>
        <v>-174239.00197126789</v>
      </c>
      <c r="U29" s="830">
        <f t="shared" si="12"/>
        <v>62.169498934705537</v>
      </c>
      <c r="V29" s="1157">
        <f t="shared" si="13"/>
        <v>55.081733664052273</v>
      </c>
      <c r="W29" s="830">
        <f t="shared" si="14"/>
        <v>-770.88419576319859</v>
      </c>
      <c r="X29" s="2773"/>
      <c r="Y29" s="498"/>
      <c r="Z29" s="498"/>
      <c r="AA29" s="498"/>
      <c r="AB29" s="498"/>
      <c r="AC29" s="498"/>
      <c r="AD29" s="498"/>
      <c r="AE29" s="498"/>
      <c r="AF29" s="498"/>
      <c r="AG29" s="498"/>
    </row>
    <row r="30" spans="1:33" x14ac:dyDescent="0.25">
      <c r="A30" s="2802"/>
      <c r="B30" s="706">
        <v>2034</v>
      </c>
      <c r="C30" s="1058">
        <f t="shared" si="0"/>
        <v>-201959.47891733114</v>
      </c>
      <c r="D30" s="1208">
        <f t="shared" si="6"/>
        <v>0</v>
      </c>
      <c r="E30" s="1208">
        <f t="shared" si="7"/>
        <v>8797.404281252464</v>
      </c>
      <c r="F30" s="1883">
        <f t="shared" si="8"/>
        <v>-193.1620746360787</v>
      </c>
      <c r="G30" s="1058">
        <f>P6</f>
        <v>-417.75588762863032</v>
      </c>
      <c r="H30" s="1058">
        <f t="shared" si="1"/>
        <v>-16319.048682906454</v>
      </c>
      <c r="I30" s="1058">
        <f t="shared" si="2"/>
        <v>58.50241358046182</v>
      </c>
      <c r="J30" s="1208">
        <f t="shared" si="3"/>
        <v>1127.1841971098338</v>
      </c>
      <c r="K30" s="1058">
        <f t="shared" si="4"/>
        <v>-31.197933837706117</v>
      </c>
      <c r="L30" s="1857">
        <v>79</v>
      </c>
      <c r="M30" s="1857">
        <f>'Emission-Waste Transport Vehicl'!P48</f>
        <v>13.477654919520001</v>
      </c>
      <c r="N30" s="1857">
        <f>'Emission-Waste Transport Vehicl'!Q48</f>
        <v>10.467125792640001</v>
      </c>
      <c r="O30" s="1857">
        <f>'Emission-Waste Transport Vehicl'!R48</f>
        <v>1.04179073328</v>
      </c>
      <c r="P30" s="1857">
        <f>'Emission-Waste Transport Vehicl'!S48</f>
        <v>4.7905967577600003E-2</v>
      </c>
      <c r="Q30" s="1857">
        <f>'Emission-Waste Transport Vehicl'!N48</f>
        <v>24.223685317920005</v>
      </c>
      <c r="R30" s="2180">
        <f t="shared" si="9"/>
        <v>-15259.803896250218</v>
      </c>
      <c r="S30" s="830">
        <f t="shared" si="10"/>
        <v>-5630.3696940564541</v>
      </c>
      <c r="T30" s="830">
        <f t="shared" si="11"/>
        <v>-170813.53538019798</v>
      </c>
      <c r="U30" s="830">
        <f t="shared" si="12"/>
        <v>60.947272342639152</v>
      </c>
      <c r="V30" s="1157">
        <f t="shared" si="13"/>
        <v>53.998849600726793</v>
      </c>
      <c r="W30" s="830">
        <f t="shared" si="14"/>
        <v>-755.72893185388136</v>
      </c>
      <c r="X30" s="2773"/>
      <c r="Y30" s="498"/>
      <c r="Z30" s="498"/>
      <c r="AA30" s="498"/>
      <c r="AB30" s="498"/>
      <c r="AC30" s="498"/>
      <c r="AD30" s="498"/>
      <c r="AE30" s="498"/>
      <c r="AF30" s="498"/>
      <c r="AG30" s="498"/>
    </row>
    <row r="31" spans="1:33" x14ac:dyDescent="0.25">
      <c r="A31" s="2802"/>
      <c r="B31" s="706">
        <v>2035</v>
      </c>
      <c r="C31" s="1058">
        <f t="shared" si="0"/>
        <v>-201959.47891733114</v>
      </c>
      <c r="D31" s="1208">
        <f t="shared" si="6"/>
        <v>0</v>
      </c>
      <c r="E31" s="1208">
        <f t="shared" si="7"/>
        <v>8797.404281252464</v>
      </c>
      <c r="F31" s="1883">
        <f t="shared" si="8"/>
        <v>-193.1620746360787</v>
      </c>
      <c r="G31" s="1058">
        <f>P6</f>
        <v>-417.75588762863032</v>
      </c>
      <c r="H31" s="1058">
        <f t="shared" si="1"/>
        <v>-16319.048682906454</v>
      </c>
      <c r="I31" s="1058">
        <f t="shared" si="2"/>
        <v>58.50241358046182</v>
      </c>
      <c r="J31" s="1208">
        <f t="shared" si="3"/>
        <v>1127.1841971098338</v>
      </c>
      <c r="K31" s="1058">
        <f t="shared" si="4"/>
        <v>-31.197933837706117</v>
      </c>
      <c r="L31" s="1857">
        <v>80</v>
      </c>
      <c r="M31" s="1857">
        <f>'Emission-Waste Transport Vehicl'!P49</f>
        <v>13.212818093376002</v>
      </c>
      <c r="N31" s="1857">
        <f>'Emission-Waste Transport Vehicl'!Q49</f>
        <v>10.261446066432002</v>
      </c>
      <c r="O31" s="1857">
        <f>'Emission-Waste Transport Vehicl'!R49</f>
        <v>1.0213194752640002</v>
      </c>
      <c r="P31" s="1857">
        <f>'Emission-Waste Transport Vehicl'!S49</f>
        <v>4.6964612090880008E-2</v>
      </c>
      <c r="Q31" s="1857">
        <f>'Emission-Waste Transport Vehicl'!N49</f>
        <v>23.747688271296006</v>
      </c>
      <c r="R31" s="2180">
        <f t="shared" si="9"/>
        <v>-15452.965970886296</v>
      </c>
      <c r="S31" s="830">
        <f t="shared" si="10"/>
        <v>-5519.7325506739189</v>
      </c>
      <c r="T31" s="830">
        <f t="shared" si="11"/>
        <v>-167457.03791512278</v>
      </c>
      <c r="U31" s="830">
        <f t="shared" si="12"/>
        <v>59.749654339674784</v>
      </c>
      <c r="V31" s="1157">
        <f t="shared" si="13"/>
        <v>52.937768572233374</v>
      </c>
      <c r="W31" s="830">
        <f t="shared" si="14"/>
        <v>-740.87880748636235</v>
      </c>
      <c r="X31" s="2773"/>
      <c r="Y31" s="498"/>
      <c r="Z31" s="498"/>
      <c r="AA31" s="498"/>
      <c r="AB31" s="498"/>
      <c r="AC31" s="498"/>
      <c r="AD31" s="498"/>
      <c r="AE31" s="498"/>
      <c r="AF31" s="498"/>
      <c r="AG31" s="498"/>
    </row>
    <row r="32" spans="1:33" x14ac:dyDescent="0.25">
      <c r="A32" s="2802"/>
      <c r="B32" s="706">
        <v>2036</v>
      </c>
      <c r="C32" s="1058">
        <f t="shared" si="0"/>
        <v>-201959.47891733114</v>
      </c>
      <c r="D32" s="1208">
        <f t="shared" si="6"/>
        <v>0</v>
      </c>
      <c r="E32" s="1208">
        <f t="shared" si="7"/>
        <v>8797.404281252464</v>
      </c>
      <c r="F32" s="1883">
        <f t="shared" si="8"/>
        <v>-193.1620746360787</v>
      </c>
      <c r="G32" s="1058">
        <f>P6</f>
        <v>-417.75588762863032</v>
      </c>
      <c r="H32" s="1058">
        <f t="shared" si="1"/>
        <v>-16319.048682906454</v>
      </c>
      <c r="I32" s="1058">
        <f t="shared" si="2"/>
        <v>58.50241358046182</v>
      </c>
      <c r="J32" s="1208">
        <f t="shared" si="3"/>
        <v>1127.1841971098338</v>
      </c>
      <c r="K32" s="1058">
        <f t="shared" si="4"/>
        <v>-31.197933837706117</v>
      </c>
      <c r="L32" s="1857">
        <v>81</v>
      </c>
      <c r="M32" s="1857">
        <f>'Emission-Waste Transport Vehicl'!P50</f>
        <v>12.955237070688</v>
      </c>
      <c r="N32" s="1857">
        <f>'Emission-Waste Transport Vehicl'!Q50</f>
        <v>10.061401401215999</v>
      </c>
      <c r="O32" s="1857">
        <f>'Emission-Waste Transport Vehicl'!R50</f>
        <v>1.001409073632</v>
      </c>
      <c r="P32" s="1857">
        <f>'Emission-Waste Transport Vehicl'!S50</f>
        <v>4.6049047165439998E-2</v>
      </c>
      <c r="Q32" s="1857">
        <f>'Emission-Waste Transport Vehicl'!N50</f>
        <v>23.284732239648001</v>
      </c>
      <c r="R32" s="2180">
        <f t="shared" si="9"/>
        <v>-15646.128045522375</v>
      </c>
      <c r="S32" s="830">
        <f t="shared" si="10"/>
        <v>-5412.1265619046017</v>
      </c>
      <c r="T32" s="830">
        <f t="shared" si="11"/>
        <v>-164192.4992847071</v>
      </c>
      <c r="U32" s="830">
        <f t="shared" si="12"/>
        <v>58.58484778884641</v>
      </c>
      <c r="V32" s="1157">
        <f t="shared" si="13"/>
        <v>51.905758256849353</v>
      </c>
      <c r="W32" s="830">
        <f t="shared" si="14"/>
        <v>-726.43553584124095</v>
      </c>
      <c r="X32" s="2773"/>
      <c r="Y32" s="498"/>
      <c r="Z32" s="498"/>
      <c r="AA32" s="498"/>
      <c r="AB32" s="498"/>
      <c r="AC32" s="498"/>
      <c r="AD32" s="498"/>
      <c r="AE32" s="498"/>
      <c r="AF32" s="498"/>
      <c r="AG32" s="498"/>
    </row>
    <row r="33" spans="1:33" x14ac:dyDescent="0.25">
      <c r="A33" s="2802"/>
      <c r="B33" s="706">
        <v>2037</v>
      </c>
      <c r="C33" s="1058">
        <f t="shared" si="0"/>
        <v>-201959.47891733114</v>
      </c>
      <c r="D33" s="1208">
        <f t="shared" si="6"/>
        <v>0</v>
      </c>
      <c r="E33" s="1208">
        <f t="shared" si="7"/>
        <v>8797.404281252464</v>
      </c>
      <c r="F33" s="1883">
        <f t="shared" si="8"/>
        <v>-193.1620746360787</v>
      </c>
      <c r="G33" s="1058">
        <f>P6</f>
        <v>-417.75588762863032</v>
      </c>
      <c r="H33" s="1058">
        <f t="shared" si="1"/>
        <v>-16319.048682906454</v>
      </c>
      <c r="I33" s="1058">
        <f t="shared" si="2"/>
        <v>58.50241358046182</v>
      </c>
      <c r="J33" s="1208">
        <f t="shared" si="3"/>
        <v>1127.1841971098338</v>
      </c>
      <c r="K33" s="1058">
        <f t="shared" si="4"/>
        <v>-31.197933837706117</v>
      </c>
      <c r="L33" s="1857">
        <v>83</v>
      </c>
      <c r="M33" s="1857">
        <f>'Emission-Waste Transport Vehicl'!P51</f>
        <v>12.701283949728003</v>
      </c>
      <c r="N33" s="1857">
        <f>'Emission-Waste Transport Vehicl'!Q51</f>
        <v>9.8641742664960006</v>
      </c>
      <c r="O33" s="1857">
        <f>'Emission-Waste Transport Vehicl'!R51</f>
        <v>0.9817791001920001</v>
      </c>
      <c r="P33" s="1857">
        <f>'Emission-Waste Transport Vehicl'!S51</f>
        <v>4.5146377520640005E-2</v>
      </c>
      <c r="Q33" s="1857">
        <f>'Emission-Waste Transport Vehicl'!N51</f>
        <v>22.828296715488005</v>
      </c>
      <c r="R33" s="2180">
        <f t="shared" si="9"/>
        <v>-16032.452194794532</v>
      </c>
      <c r="S33" s="830">
        <f t="shared" si="10"/>
        <v>-5306.0361504418979</v>
      </c>
      <c r="T33" s="830">
        <f t="shared" si="11"/>
        <v>-160973.9400716213</v>
      </c>
      <c r="U33" s="830">
        <f t="shared" si="12"/>
        <v>57.436446964086052</v>
      </c>
      <c r="V33" s="1157">
        <f t="shared" si="13"/>
        <v>50.888283298020056</v>
      </c>
      <c r="W33" s="830">
        <f t="shared" si="14"/>
        <v>-712.19569055731858</v>
      </c>
      <c r="X33" s="2773"/>
      <c r="Y33" s="498"/>
      <c r="Z33" s="498"/>
      <c r="AA33" s="498"/>
      <c r="AB33" s="498"/>
      <c r="AC33" s="498"/>
      <c r="AD33" s="498"/>
      <c r="AE33" s="498"/>
      <c r="AF33" s="498"/>
      <c r="AG33" s="498"/>
    </row>
    <row r="34" spans="1:33" x14ac:dyDescent="0.25">
      <c r="A34" s="2802"/>
      <c r="B34" s="706">
        <v>2038</v>
      </c>
      <c r="C34" s="1058">
        <f t="shared" si="0"/>
        <v>-201959.47891733114</v>
      </c>
      <c r="D34" s="1208">
        <f t="shared" si="6"/>
        <v>0</v>
      </c>
      <c r="E34" s="1208">
        <f t="shared" si="7"/>
        <v>8797.404281252464</v>
      </c>
      <c r="F34" s="1883">
        <f t="shared" si="8"/>
        <v>-193.1620746360787</v>
      </c>
      <c r="G34" s="1058">
        <f>P6</f>
        <v>-417.75588762863032</v>
      </c>
      <c r="H34" s="1058">
        <f t="shared" si="1"/>
        <v>-16319.048682906454</v>
      </c>
      <c r="I34" s="1058">
        <f t="shared" si="2"/>
        <v>58.50241358046182</v>
      </c>
      <c r="J34" s="1208">
        <f t="shared" si="3"/>
        <v>1127.1841971098338</v>
      </c>
      <c r="K34" s="1058">
        <f t="shared" si="4"/>
        <v>-31.197933837706117</v>
      </c>
      <c r="L34" s="1857">
        <v>84</v>
      </c>
      <c r="M34" s="1857">
        <f>'Emission-Waste Transport Vehicl'!P52</f>
        <v>12.450958730496001</v>
      </c>
      <c r="N34" s="1857">
        <f>'Emission-Waste Transport Vehicl'!Q52</f>
        <v>9.6697646622720015</v>
      </c>
      <c r="O34" s="1857">
        <f>'Emission-Waste Transport Vehicl'!R52</f>
        <v>0.96242955494400007</v>
      </c>
      <c r="P34" s="1857">
        <f>'Emission-Waste Transport Vehicl'!S52</f>
        <v>4.4256603156480001E-2</v>
      </c>
      <c r="Q34" s="1857">
        <f>'Emission-Waste Transport Vehicl'!N52</f>
        <v>22.378381698816003</v>
      </c>
      <c r="R34" s="2180">
        <f t="shared" si="9"/>
        <v>-16225.614269430611</v>
      </c>
      <c r="S34" s="830">
        <f t="shared" si="10"/>
        <v>-5201.4613162858013</v>
      </c>
      <c r="T34" s="830">
        <f t="shared" si="11"/>
        <v>-157801.36027586527</v>
      </c>
      <c r="U34" s="830">
        <f t="shared" si="12"/>
        <v>56.304451865393695</v>
      </c>
      <c r="V34" s="1157">
        <f t="shared" si="13"/>
        <v>49.885343695745448</v>
      </c>
      <c r="W34" s="830">
        <f t="shared" si="14"/>
        <v>-698.15927163459514</v>
      </c>
      <c r="X34" s="2773"/>
      <c r="Y34" s="498"/>
      <c r="Z34" s="498"/>
      <c r="AA34" s="498"/>
      <c r="AB34" s="498"/>
      <c r="AC34" s="498"/>
      <c r="AD34" s="498"/>
      <c r="AE34" s="498"/>
      <c r="AF34" s="498"/>
      <c r="AG34" s="498"/>
    </row>
    <row r="35" spans="1:33" x14ac:dyDescent="0.25">
      <c r="A35" s="2802"/>
      <c r="B35" s="706">
        <v>2039</v>
      </c>
      <c r="C35" s="1058">
        <f t="shared" si="0"/>
        <v>-201959.47891733114</v>
      </c>
      <c r="D35" s="1208">
        <f t="shared" si="6"/>
        <v>0</v>
      </c>
      <c r="E35" s="1208">
        <f t="shared" si="7"/>
        <v>8797.404281252464</v>
      </c>
      <c r="F35" s="1883">
        <f t="shared" si="8"/>
        <v>-193.1620746360787</v>
      </c>
      <c r="G35" s="1058">
        <f>P6</f>
        <v>-417.75588762863032</v>
      </c>
      <c r="H35" s="1058">
        <f t="shared" si="1"/>
        <v>-16319.048682906454</v>
      </c>
      <c r="I35" s="1058">
        <f t="shared" si="2"/>
        <v>58.50241358046182</v>
      </c>
      <c r="J35" s="1208">
        <f t="shared" si="3"/>
        <v>1127.1841971098338</v>
      </c>
      <c r="K35" s="1058">
        <f t="shared" si="4"/>
        <v>-31.197933837706117</v>
      </c>
      <c r="L35" s="1857">
        <v>85</v>
      </c>
      <c r="M35" s="1857">
        <f>'Emission-Waste Transport Vehicl'!P53</f>
        <v>12.207889314720003</v>
      </c>
      <c r="N35" s="1857">
        <f>'Emission-Waste Transport Vehicl'!Q53</f>
        <v>9.4809901190400012</v>
      </c>
      <c r="O35" s="1857">
        <f>'Emission-Waste Transport Vehicl'!R53</f>
        <v>0.9436408660800002</v>
      </c>
      <c r="P35" s="1857">
        <f>'Emission-Waste Transport Vehicl'!S53</f>
        <v>4.3392619353600011E-2</v>
      </c>
      <c r="Q35" s="1857">
        <f>'Emission-Waste Transport Vehicl'!N53</f>
        <v>21.941507697120006</v>
      </c>
      <c r="R35" s="2180">
        <f t="shared" si="9"/>
        <v>-16418.776344066689</v>
      </c>
      <c r="S35" s="830">
        <f t="shared" si="10"/>
        <v>-5099.9176367429263</v>
      </c>
      <c r="T35" s="830">
        <f t="shared" si="11"/>
        <v>-154720.73931476884</v>
      </c>
      <c r="U35" s="830">
        <f t="shared" si="12"/>
        <v>55.205268218837354</v>
      </c>
      <c r="V35" s="1157">
        <f t="shared" si="13"/>
        <v>48.911474806580266</v>
      </c>
      <c r="W35" s="830">
        <f t="shared" si="14"/>
        <v>-684.52970543426943</v>
      </c>
      <c r="X35" s="2773"/>
      <c r="Y35" s="498"/>
      <c r="Z35" s="498"/>
      <c r="AA35" s="498"/>
      <c r="AB35" s="498"/>
      <c r="AC35" s="498"/>
      <c r="AD35" s="498"/>
      <c r="AE35" s="498"/>
      <c r="AF35" s="498"/>
      <c r="AG35" s="498"/>
    </row>
    <row r="36" spans="1:33" x14ac:dyDescent="0.25">
      <c r="A36" s="2802"/>
      <c r="B36" s="706">
        <v>2040</v>
      </c>
      <c r="C36" s="1058">
        <f t="shared" si="0"/>
        <v>-201959.47891733114</v>
      </c>
      <c r="D36" s="1208">
        <f t="shared" si="6"/>
        <v>0</v>
      </c>
      <c r="E36" s="1208">
        <f t="shared" si="7"/>
        <v>8797.404281252464</v>
      </c>
      <c r="F36" s="1883">
        <f t="shared" si="8"/>
        <v>-193.1620746360787</v>
      </c>
      <c r="G36" s="1058">
        <f>P6</f>
        <v>-417.75588762863032</v>
      </c>
      <c r="H36" s="1058">
        <f t="shared" si="1"/>
        <v>-16319.048682906454</v>
      </c>
      <c r="I36" s="1058">
        <f t="shared" si="2"/>
        <v>58.50241358046182</v>
      </c>
      <c r="J36" s="1208">
        <f t="shared" si="3"/>
        <v>1127.1841971098338</v>
      </c>
      <c r="K36" s="1058">
        <f t="shared" si="4"/>
        <v>-31.197933837706117</v>
      </c>
      <c r="L36" s="1857">
        <v>86</v>
      </c>
      <c r="M36" s="1857">
        <f>'Emission-Waste Transport Vehicl'!P54</f>
        <v>11.968447800672001</v>
      </c>
      <c r="N36" s="1857">
        <f>'Emission-Waste Transport Vehicl'!Q54</f>
        <v>9.2950331063040004</v>
      </c>
      <c r="O36" s="1857">
        <f>'Emission-Waste Transport Vehicl'!R54</f>
        <v>0.92513260540800013</v>
      </c>
      <c r="P36" s="1857">
        <f>'Emission-Waste Transport Vehicl'!S54</f>
        <v>4.254153083136001E-2</v>
      </c>
      <c r="Q36" s="1857">
        <f>'Emission-Waste Transport Vehicl'!N54</f>
        <v>21.511154202912003</v>
      </c>
      <c r="R36" s="2180">
        <f t="shared" si="9"/>
        <v>-16611.938418702768</v>
      </c>
      <c r="S36" s="830">
        <f t="shared" si="10"/>
        <v>-4999.8895345066603</v>
      </c>
      <c r="T36" s="830">
        <f t="shared" si="11"/>
        <v>-151686.09777100218</v>
      </c>
      <c r="U36" s="830">
        <f t="shared" si="12"/>
        <v>54.122490298349014</v>
      </c>
      <c r="V36" s="1157">
        <f t="shared" si="13"/>
        <v>47.952141273969772</v>
      </c>
      <c r="W36" s="830">
        <f t="shared" si="14"/>
        <v>-671.10356559514253</v>
      </c>
      <c r="X36" s="2773"/>
      <c r="Y36" s="498"/>
      <c r="Z36" s="498"/>
      <c r="AA36" s="498"/>
      <c r="AB36" s="498"/>
      <c r="AC36" s="498"/>
      <c r="AD36" s="498"/>
      <c r="AE36" s="498"/>
      <c r="AF36" s="498"/>
      <c r="AG36" s="498"/>
    </row>
    <row r="37" spans="1:33" x14ac:dyDescent="0.25">
      <c r="A37" s="2802"/>
      <c r="B37" s="706">
        <v>2041</v>
      </c>
      <c r="C37" s="1058">
        <f t="shared" si="0"/>
        <v>-201959.47891733114</v>
      </c>
      <c r="D37" s="1208">
        <f t="shared" si="6"/>
        <v>0</v>
      </c>
      <c r="E37" s="1208">
        <f t="shared" si="7"/>
        <v>8797.404281252464</v>
      </c>
      <c r="F37" s="1883">
        <f t="shared" si="8"/>
        <v>-193.1620746360787</v>
      </c>
      <c r="G37" s="1058">
        <f>P6</f>
        <v>-417.75588762863032</v>
      </c>
      <c r="H37" s="1058">
        <f t="shared" si="1"/>
        <v>-16319.048682906454</v>
      </c>
      <c r="I37" s="1058">
        <f t="shared" si="2"/>
        <v>58.50241358046182</v>
      </c>
      <c r="J37" s="1208">
        <f t="shared" si="3"/>
        <v>1127.1841971098338</v>
      </c>
      <c r="K37" s="1058">
        <f t="shared" si="4"/>
        <v>-31.197933837706117</v>
      </c>
      <c r="L37" s="1857">
        <v>87</v>
      </c>
      <c r="M37" s="1857">
        <f>'Emission-Waste Transport Vehicl'!P55</f>
        <v>11.732634188352002</v>
      </c>
      <c r="N37" s="1857">
        <f>'Emission-Waste Transport Vehicl'!Q55</f>
        <v>9.1118936240640007</v>
      </c>
      <c r="O37" s="1857">
        <f>'Emission-Waste Transport Vehicl'!R55</f>
        <v>0.9069047729280002</v>
      </c>
      <c r="P37" s="1857">
        <f>'Emission-Waste Transport Vehicl'!S55</f>
        <v>4.1703337589760005E-2</v>
      </c>
      <c r="Q37" s="1857">
        <f>'Emission-Waste Transport Vehicl'!N55</f>
        <v>21.087321216192002</v>
      </c>
      <c r="R37" s="2180">
        <f t="shared" si="9"/>
        <v>-16805.100493338847</v>
      </c>
      <c r="S37" s="830">
        <f t="shared" si="10"/>
        <v>-4901.3770095770051</v>
      </c>
      <c r="T37" s="830">
        <f t="shared" si="11"/>
        <v>-148697.43564456535</v>
      </c>
      <c r="U37" s="830">
        <f t="shared" si="12"/>
        <v>53.056118103928682</v>
      </c>
      <c r="V37" s="1157">
        <f t="shared" si="13"/>
        <v>47.007343097913981</v>
      </c>
      <c r="W37" s="830">
        <f t="shared" si="14"/>
        <v>-657.88085211721454</v>
      </c>
      <c r="X37" s="2773"/>
      <c r="Y37" s="498"/>
      <c r="Z37" s="498"/>
      <c r="AA37" s="498"/>
      <c r="AB37" s="498"/>
      <c r="AC37" s="498"/>
      <c r="AD37" s="498"/>
      <c r="AE37" s="498"/>
      <c r="AF37" s="498"/>
      <c r="AG37" s="498"/>
    </row>
    <row r="38" spans="1:33" x14ac:dyDescent="0.25">
      <c r="A38" s="2802"/>
      <c r="B38" s="706">
        <v>2042</v>
      </c>
      <c r="C38" s="1058">
        <f t="shared" si="0"/>
        <v>-201959.47891733114</v>
      </c>
      <c r="D38" s="1208">
        <f t="shared" si="6"/>
        <v>0</v>
      </c>
      <c r="E38" s="1208">
        <f t="shared" si="7"/>
        <v>8797.404281252464</v>
      </c>
      <c r="F38" s="1883">
        <f t="shared" si="8"/>
        <v>-193.1620746360787</v>
      </c>
      <c r="G38" s="1058">
        <f>P6</f>
        <v>-417.75588762863032</v>
      </c>
      <c r="H38" s="1058">
        <f t="shared" si="1"/>
        <v>-16319.048682906454</v>
      </c>
      <c r="I38" s="1058">
        <f t="shared" si="2"/>
        <v>58.50241358046182</v>
      </c>
      <c r="J38" s="1208">
        <f t="shared" si="3"/>
        <v>1127.1841971098338</v>
      </c>
      <c r="K38" s="1058">
        <f t="shared" si="4"/>
        <v>-31.197933837706117</v>
      </c>
      <c r="L38" s="1857">
        <v>88</v>
      </c>
      <c r="M38" s="1857">
        <f>'Emission-Waste Transport Vehicl'!P56</f>
        <v>11.504076379488001</v>
      </c>
      <c r="N38" s="1857">
        <f>'Emission-Waste Transport Vehicl'!Q56</f>
        <v>8.9343892028159999</v>
      </c>
      <c r="O38" s="1857">
        <f>'Emission-Waste Transport Vehicl'!R56</f>
        <v>0.8892377968320001</v>
      </c>
      <c r="P38" s="1857">
        <f>'Emission-Waste Transport Vehicl'!S56</f>
        <v>4.0890934909439999E-2</v>
      </c>
      <c r="Q38" s="1857">
        <f>'Emission-Waste Transport Vehicl'!N56</f>
        <v>20.676529244448002</v>
      </c>
      <c r="R38" s="2180">
        <f t="shared" si="9"/>
        <v>-16998.262567974925</v>
      </c>
      <c r="S38" s="830">
        <f t="shared" si="10"/>
        <v>-4805.8956392605696</v>
      </c>
      <c r="T38" s="830">
        <f t="shared" si="11"/>
        <v>-145800.73235278809</v>
      </c>
      <c r="U38" s="830">
        <f t="shared" si="12"/>
        <v>52.022557361644353</v>
      </c>
      <c r="V38" s="1157">
        <f t="shared" si="13"/>
        <v>46.091615634967603</v>
      </c>
      <c r="W38" s="830">
        <f t="shared" si="14"/>
        <v>-645.06499136168441</v>
      </c>
      <c r="X38" s="2773"/>
      <c r="Y38" s="498"/>
      <c r="Z38" s="498"/>
      <c r="AA38" s="498"/>
      <c r="AB38" s="498"/>
      <c r="AC38" s="498"/>
      <c r="AD38" s="498"/>
      <c r="AE38" s="498"/>
      <c r="AF38" s="498"/>
      <c r="AG38" s="498"/>
    </row>
    <row r="39" spans="1:33" x14ac:dyDescent="0.25">
      <c r="A39" s="2802"/>
      <c r="B39" s="706">
        <v>2043</v>
      </c>
      <c r="C39" s="1058">
        <f t="shared" si="0"/>
        <v>-201959.47891733114</v>
      </c>
      <c r="D39" s="1208">
        <f t="shared" si="6"/>
        <v>0</v>
      </c>
      <c r="E39" s="1208">
        <f t="shared" si="7"/>
        <v>8797.404281252464</v>
      </c>
      <c r="F39" s="1883">
        <f t="shared" si="8"/>
        <v>-193.1620746360787</v>
      </c>
      <c r="G39" s="1058">
        <f>P6</f>
        <v>-417.75588762863032</v>
      </c>
      <c r="H39" s="1058">
        <f t="shared" si="1"/>
        <v>-16319.048682906454</v>
      </c>
      <c r="I39" s="1058">
        <f t="shared" si="2"/>
        <v>58.50241358046182</v>
      </c>
      <c r="J39" s="1208">
        <f t="shared" si="3"/>
        <v>1127.1841971098338</v>
      </c>
      <c r="K39" s="1058">
        <f t="shared" si="4"/>
        <v>-31.197933837706117</v>
      </c>
      <c r="L39" s="1857">
        <v>89</v>
      </c>
      <c r="M39" s="1857">
        <f>'Emission-Waste Transport Vehicl'!P57</f>
        <v>11.277332521488001</v>
      </c>
      <c r="N39" s="1857">
        <f>'Emission-Waste Transport Vehicl'!Q57</f>
        <v>8.7582935468160006</v>
      </c>
      <c r="O39" s="1857">
        <f>'Emission-Waste Transport Vehicl'!R57</f>
        <v>0.87171103483200019</v>
      </c>
      <c r="P39" s="1857">
        <f>'Emission-Waste Transport Vehicl'!S57</f>
        <v>4.0084979869440006E-2</v>
      </c>
      <c r="Q39" s="1857">
        <f>'Emission-Waste Transport Vehicl'!N57</f>
        <v>20.268997526448004</v>
      </c>
      <c r="R39" s="2180">
        <f t="shared" si="9"/>
        <v>-17191.424642611004</v>
      </c>
      <c r="S39" s="830">
        <f t="shared" si="10"/>
        <v>-4711.1720575974396</v>
      </c>
      <c r="T39" s="830">
        <f t="shared" si="11"/>
        <v>-142927.01876967575</v>
      </c>
      <c r="U39" s="830">
        <f t="shared" si="12"/>
        <v>50.997199482394031</v>
      </c>
      <c r="V39" s="1157">
        <f t="shared" si="13"/>
        <v>45.183155850298583</v>
      </c>
      <c r="W39" s="830">
        <f t="shared" si="14"/>
        <v>-632.35084378675379</v>
      </c>
      <c r="X39" s="2773"/>
      <c r="Y39" s="498"/>
      <c r="Z39" s="498"/>
      <c r="AA39" s="498"/>
      <c r="AB39" s="498"/>
      <c r="AC39" s="498"/>
      <c r="AD39" s="498"/>
      <c r="AE39" s="498"/>
      <c r="AF39" s="498"/>
      <c r="AG39" s="498"/>
    </row>
    <row r="40" spans="1:33" x14ac:dyDescent="0.25">
      <c r="A40" s="2802"/>
      <c r="B40" s="706">
        <v>2044</v>
      </c>
      <c r="C40" s="1058">
        <f t="shared" si="0"/>
        <v>-201959.47891733114</v>
      </c>
      <c r="D40" s="1208">
        <f t="shared" si="6"/>
        <v>0</v>
      </c>
      <c r="E40" s="1208">
        <f t="shared" si="7"/>
        <v>8797.404281252464</v>
      </c>
      <c r="F40" s="1883">
        <f t="shared" si="8"/>
        <v>-193.1620746360787</v>
      </c>
      <c r="G40" s="1058">
        <f>P6</f>
        <v>-417.75588762863032</v>
      </c>
      <c r="H40" s="1058">
        <f t="shared" si="1"/>
        <v>-16319.048682906454</v>
      </c>
      <c r="I40" s="1058">
        <f t="shared" si="2"/>
        <v>58.50241358046182</v>
      </c>
      <c r="J40" s="1208">
        <f t="shared" si="3"/>
        <v>1127.1841971098338</v>
      </c>
      <c r="K40" s="1058">
        <f t="shared" si="4"/>
        <v>-31.197933837706117</v>
      </c>
      <c r="L40" s="1857">
        <v>90</v>
      </c>
      <c r="M40" s="1857">
        <f>'Emission-Waste Transport Vehicl'!P58</f>
        <v>11.056030516080002</v>
      </c>
      <c r="N40" s="1857">
        <f>'Emission-Waste Transport Vehicl'!Q58</f>
        <v>8.5864241865600004</v>
      </c>
      <c r="O40" s="1857">
        <f>'Emission-Waste Transport Vehicl'!R58</f>
        <v>0.85460491512000014</v>
      </c>
      <c r="P40" s="1857">
        <f>'Emission-Waste Transport Vehicl'!S58</f>
        <v>3.9298367750400007E-2</v>
      </c>
      <c r="Q40" s="1857">
        <f>'Emission-Waste Transport Vehicl'!N58</f>
        <v>19.871246569680004</v>
      </c>
      <c r="R40" s="2180">
        <f t="shared" si="9"/>
        <v>-17384.586717247083</v>
      </c>
      <c r="S40" s="830">
        <f t="shared" si="10"/>
        <v>-4618.7218418942248</v>
      </c>
      <c r="T40" s="830">
        <f t="shared" si="11"/>
        <v>-140122.27431255809</v>
      </c>
      <c r="U40" s="830">
        <f t="shared" si="12"/>
        <v>49.996450192245717</v>
      </c>
      <c r="V40" s="1157">
        <f t="shared" si="13"/>
        <v>44.296499100461617</v>
      </c>
      <c r="W40" s="830">
        <f t="shared" si="14"/>
        <v>-619.94183575362138</v>
      </c>
      <c r="X40" s="2773"/>
      <c r="Y40" s="498"/>
      <c r="Z40" s="498"/>
      <c r="AA40" s="498"/>
      <c r="AB40" s="498"/>
      <c r="AC40" s="498"/>
      <c r="AD40" s="498"/>
      <c r="AE40" s="498"/>
      <c r="AF40" s="498"/>
      <c r="AG40" s="498"/>
    </row>
    <row r="41" spans="1:33" x14ac:dyDescent="0.25">
      <c r="A41" s="2802"/>
      <c r="B41" s="706">
        <v>2045</v>
      </c>
      <c r="C41" s="1058">
        <f t="shared" si="0"/>
        <v>-201959.47891733114</v>
      </c>
      <c r="D41" s="1208">
        <f t="shared" si="6"/>
        <v>0</v>
      </c>
      <c r="E41" s="1208">
        <f t="shared" si="7"/>
        <v>8797.404281252464</v>
      </c>
      <c r="F41" s="1883">
        <f t="shared" si="8"/>
        <v>-193.1620746360787</v>
      </c>
      <c r="G41" s="1058">
        <f>P6</f>
        <v>-417.75588762863032</v>
      </c>
      <c r="H41" s="1058">
        <f t="shared" si="1"/>
        <v>-16319.048682906454</v>
      </c>
      <c r="I41" s="1058">
        <f t="shared" si="2"/>
        <v>58.50241358046182</v>
      </c>
      <c r="J41" s="1208">
        <f t="shared" si="3"/>
        <v>1127.1841971098338</v>
      </c>
      <c r="K41" s="1058">
        <f t="shared" si="4"/>
        <v>-31.197933837706117</v>
      </c>
      <c r="L41" s="1857">
        <v>92</v>
      </c>
      <c r="M41" s="1857">
        <f>'Emission-Waste Transport Vehicl'!P59</f>
        <v>10.840170363264003</v>
      </c>
      <c r="N41" s="1857">
        <f>'Emission-Waste Transport Vehicl'!Q59</f>
        <v>8.4187811220480011</v>
      </c>
      <c r="O41" s="1857">
        <f>'Emission-Waste Transport Vehicl'!R59</f>
        <v>0.83791943769600008</v>
      </c>
      <c r="P41" s="1857">
        <f>'Emission-Waste Transport Vehicl'!S59</f>
        <v>3.8531098552320009E-2</v>
      </c>
      <c r="Q41" s="1857">
        <f>'Emission-Waste Transport Vehicl'!N59</f>
        <v>19.483276374144001</v>
      </c>
      <c r="R41" s="2180">
        <f t="shared" si="9"/>
        <v>-17770.91086651924</v>
      </c>
      <c r="S41" s="830">
        <f t="shared" si="10"/>
        <v>-4528.5449921509253</v>
      </c>
      <c r="T41" s="830">
        <f t="shared" si="11"/>
        <v>-137386.49898143514</v>
      </c>
      <c r="U41" s="830">
        <f t="shared" si="12"/>
        <v>49.020309491199406</v>
      </c>
      <c r="V41" s="1157">
        <f t="shared" si="13"/>
        <v>43.431645385456711</v>
      </c>
      <c r="W41" s="830">
        <f t="shared" si="14"/>
        <v>-607.83796726228729</v>
      </c>
      <c r="X41" s="2773"/>
      <c r="Y41" s="498"/>
      <c r="Z41" s="498"/>
      <c r="AA41" s="498"/>
      <c r="AB41" s="498"/>
      <c r="AC41" s="498"/>
      <c r="AD41" s="498"/>
      <c r="AE41" s="498"/>
      <c r="AF41" s="498"/>
      <c r="AG41" s="498"/>
    </row>
    <row r="42" spans="1:33" x14ac:dyDescent="0.25">
      <c r="A42" s="2802"/>
      <c r="B42" s="706">
        <v>2046</v>
      </c>
      <c r="C42" s="1058">
        <f t="shared" si="0"/>
        <v>-201959.47891733114</v>
      </c>
      <c r="D42" s="1208">
        <f t="shared" si="6"/>
        <v>0</v>
      </c>
      <c r="E42" s="1208">
        <f t="shared" si="7"/>
        <v>8797.404281252464</v>
      </c>
      <c r="F42" s="1883">
        <f t="shared" si="8"/>
        <v>-193.1620746360787</v>
      </c>
      <c r="G42" s="1058">
        <f>P6</f>
        <v>-417.75588762863032</v>
      </c>
      <c r="H42" s="1058">
        <f t="shared" si="1"/>
        <v>-16319.048682906454</v>
      </c>
      <c r="I42" s="1058">
        <f t="shared" si="2"/>
        <v>58.50241358046182</v>
      </c>
      <c r="J42" s="1208">
        <f t="shared" si="3"/>
        <v>1127.1841971098338</v>
      </c>
      <c r="K42" s="1058">
        <f t="shared" si="4"/>
        <v>-31.197933837706117</v>
      </c>
      <c r="L42" s="1857">
        <v>93</v>
      </c>
      <c r="M42" s="1857">
        <f>'Emission-Waste Transport Vehicl'!P60</f>
        <v>10.627938112176002</v>
      </c>
      <c r="N42" s="1857">
        <f>'Emission-Waste Transport Vehicl'!Q60</f>
        <v>8.2539555880319995</v>
      </c>
      <c r="O42" s="1857">
        <f>'Emission-Waste Transport Vehicl'!R60</f>
        <v>0.82151438846400004</v>
      </c>
      <c r="P42" s="1857">
        <f>'Emission-Waste Transport Vehicl'!S60</f>
        <v>3.777672463488E-2</v>
      </c>
      <c r="Q42" s="1857">
        <f>'Emission-Waste Transport Vehicl'!N60</f>
        <v>19.101826686096</v>
      </c>
      <c r="R42" s="2180">
        <f t="shared" si="9"/>
        <v>-17964.072941155318</v>
      </c>
      <c r="S42" s="830">
        <f t="shared" si="10"/>
        <v>-4439.8837197142357</v>
      </c>
      <c r="T42" s="830">
        <f t="shared" si="11"/>
        <v>-134696.70306764197</v>
      </c>
      <c r="U42" s="830">
        <f t="shared" si="12"/>
        <v>48.060574516221102</v>
      </c>
      <c r="V42" s="1157">
        <f t="shared" si="13"/>
        <v>42.581327027006495</v>
      </c>
      <c r="W42" s="830">
        <f t="shared" si="14"/>
        <v>-595.93752513215213</v>
      </c>
      <c r="X42" s="2773"/>
      <c r="Y42" s="498"/>
      <c r="Z42" s="498"/>
      <c r="AA42" s="498"/>
      <c r="AB42" s="498"/>
      <c r="AC42" s="498"/>
      <c r="AD42" s="498"/>
      <c r="AE42" s="498"/>
      <c r="AF42" s="498"/>
      <c r="AG42" s="498"/>
    </row>
    <row r="43" spans="1:33" x14ac:dyDescent="0.25">
      <c r="A43" s="2802"/>
      <c r="B43" s="706">
        <v>2047</v>
      </c>
      <c r="C43" s="1058">
        <f t="shared" si="0"/>
        <v>-201959.47891733114</v>
      </c>
      <c r="D43" s="1208">
        <f t="shared" si="6"/>
        <v>0</v>
      </c>
      <c r="E43" s="1208">
        <f t="shared" si="7"/>
        <v>8797.404281252464</v>
      </c>
      <c r="F43" s="1883">
        <f t="shared" si="8"/>
        <v>-193.1620746360787</v>
      </c>
      <c r="G43" s="1058">
        <f>P6</f>
        <v>-417.75588762863032</v>
      </c>
      <c r="H43" s="1058">
        <f t="shared" si="1"/>
        <v>-16319.048682906454</v>
      </c>
      <c r="I43" s="1058">
        <f t="shared" si="2"/>
        <v>58.50241358046182</v>
      </c>
      <c r="J43" s="1208">
        <f t="shared" si="3"/>
        <v>1127.1841971098338</v>
      </c>
      <c r="K43" s="1058">
        <f t="shared" si="4"/>
        <v>-31.197933837706117</v>
      </c>
      <c r="L43" s="1857">
        <v>94</v>
      </c>
      <c r="M43" s="1857">
        <f>'Emission-Waste Transport Vehicl'!P61</f>
        <v>10.419333762816001</v>
      </c>
      <c r="N43" s="1857">
        <f>'Emission-Waste Transport Vehicl'!Q61</f>
        <v>8.0919475845120008</v>
      </c>
      <c r="O43" s="1857">
        <f>'Emission-Waste Transport Vehicl'!R61</f>
        <v>0.80538976742400015</v>
      </c>
      <c r="P43" s="1857">
        <f>'Emission-Waste Transport Vehicl'!S61</f>
        <v>3.7035245998080002E-2</v>
      </c>
      <c r="Q43" s="1857">
        <f>'Emission-Waste Transport Vehicl'!N61</f>
        <v>18.726897505536005</v>
      </c>
      <c r="R43" s="2180">
        <f t="shared" si="9"/>
        <v>-18157.235015791397</v>
      </c>
      <c r="S43" s="830">
        <f t="shared" si="10"/>
        <v>-4352.738024584155</v>
      </c>
      <c r="T43" s="830">
        <f t="shared" si="11"/>
        <v>-132052.88657117862</v>
      </c>
      <c r="U43" s="830">
        <f t="shared" si="12"/>
        <v>47.117245267310814</v>
      </c>
      <c r="V43" s="1157">
        <f t="shared" si="13"/>
        <v>41.745544025110995</v>
      </c>
      <c r="W43" s="830">
        <f t="shared" si="14"/>
        <v>-584.24050936321601</v>
      </c>
      <c r="X43" s="2773"/>
      <c r="Y43" s="498"/>
      <c r="Z43" s="498"/>
      <c r="AA43" s="498"/>
      <c r="AB43" s="498"/>
      <c r="AC43" s="498"/>
      <c r="AD43" s="498"/>
      <c r="AE43" s="498"/>
      <c r="AF43" s="498"/>
      <c r="AG43" s="498"/>
    </row>
    <row r="44" spans="1:33" x14ac:dyDescent="0.25">
      <c r="A44" s="2802"/>
      <c r="B44" s="706">
        <v>2048</v>
      </c>
      <c r="C44" s="1058">
        <f t="shared" si="0"/>
        <v>-201959.47891733114</v>
      </c>
      <c r="D44" s="1208">
        <f t="shared" si="6"/>
        <v>0</v>
      </c>
      <c r="E44" s="1208">
        <f t="shared" si="7"/>
        <v>8797.404281252464</v>
      </c>
      <c r="F44" s="1883">
        <f t="shared" si="8"/>
        <v>-193.1620746360787</v>
      </c>
      <c r="G44" s="1058">
        <f>P6</f>
        <v>-417.75588762863032</v>
      </c>
      <c r="H44" s="1058">
        <f t="shared" si="1"/>
        <v>-16319.048682906454</v>
      </c>
      <c r="I44" s="1058">
        <f t="shared" si="2"/>
        <v>58.50241358046182</v>
      </c>
      <c r="J44" s="1208">
        <f t="shared" si="3"/>
        <v>1127.1841971098338</v>
      </c>
      <c r="K44" s="1058">
        <f t="shared" si="4"/>
        <v>-31.197933837706117</v>
      </c>
      <c r="L44" s="1857">
        <v>95</v>
      </c>
      <c r="M44" s="1857">
        <f>'Emission-Waste Transport Vehicl'!P62</f>
        <v>10.214357315184001</v>
      </c>
      <c r="N44" s="1857">
        <f>'Emission-Waste Transport Vehicl'!Q62</f>
        <v>7.9327571114880007</v>
      </c>
      <c r="O44" s="1857">
        <f>'Emission-Waste Transport Vehicl'!R62</f>
        <v>0.78954557457600016</v>
      </c>
      <c r="P44" s="1857">
        <f>'Emission-Waste Transport Vehicl'!S62</f>
        <v>3.6306662641920007E-2</v>
      </c>
      <c r="Q44" s="1857">
        <f>'Emission-Waste Transport Vehicl'!N62</f>
        <v>18.358488832464005</v>
      </c>
      <c r="R44" s="2180">
        <f t="shared" si="9"/>
        <v>-18350.397090427476</v>
      </c>
      <c r="S44" s="830">
        <f t="shared" si="10"/>
        <v>-4267.1079067606861</v>
      </c>
      <c r="T44" s="830">
        <f t="shared" si="11"/>
        <v>-129455.04949204506</v>
      </c>
      <c r="U44" s="830">
        <f t="shared" si="12"/>
        <v>46.19032174446852</v>
      </c>
      <c r="V44" s="1157">
        <f t="shared" si="13"/>
        <v>40.924296379770198</v>
      </c>
      <c r="W44" s="830">
        <f t="shared" si="14"/>
        <v>-572.74691995547869</v>
      </c>
      <c r="X44" s="2773"/>
      <c r="Y44" s="498"/>
      <c r="Z44" s="498"/>
      <c r="AA44" s="498"/>
      <c r="AB44" s="498"/>
      <c r="AC44" s="498"/>
      <c r="AD44" s="498"/>
      <c r="AE44" s="498"/>
      <c r="AF44" s="498"/>
      <c r="AG44" s="498"/>
    </row>
    <row r="45" spans="1:33" x14ac:dyDescent="0.25">
      <c r="A45" s="2802"/>
      <c r="B45" s="706">
        <v>2049</v>
      </c>
      <c r="C45" s="1058">
        <f t="shared" si="0"/>
        <v>-201959.47891733114</v>
      </c>
      <c r="D45" s="1208">
        <f t="shared" si="6"/>
        <v>0</v>
      </c>
      <c r="E45" s="1208">
        <f t="shared" si="7"/>
        <v>8797.404281252464</v>
      </c>
      <c r="F45" s="1883">
        <f t="shared" si="8"/>
        <v>-193.1620746360787</v>
      </c>
      <c r="G45" s="1058">
        <f>P6</f>
        <v>-417.75588762863032</v>
      </c>
      <c r="H45" s="1058">
        <f t="shared" si="1"/>
        <v>-16319.048682906454</v>
      </c>
      <c r="I45" s="1058">
        <f t="shared" si="2"/>
        <v>58.50241358046182</v>
      </c>
      <c r="J45" s="1208">
        <f t="shared" si="3"/>
        <v>1127.1841971098338</v>
      </c>
      <c r="K45" s="1058">
        <f t="shared" si="4"/>
        <v>-31.197933837706117</v>
      </c>
      <c r="L45" s="1857">
        <v>96</v>
      </c>
      <c r="M45" s="1857">
        <f>'Emission-Waste Transport Vehicl'!P63</f>
        <v>10.014822720144002</v>
      </c>
      <c r="N45" s="1857">
        <f>'Emission-Waste Transport Vehicl'!Q63</f>
        <v>7.7777929342080014</v>
      </c>
      <c r="O45" s="1857">
        <f>'Emission-Waste Transport Vehicl'!R63</f>
        <v>0.77412202401600017</v>
      </c>
      <c r="P45" s="1857">
        <f>'Emission-Waste Transport Vehicl'!S63</f>
        <v>3.5597422206719999E-2</v>
      </c>
      <c r="Q45" s="1857">
        <f>'Emission-Waste Transport Vehicl'!N63</f>
        <v>17.999860920624005</v>
      </c>
      <c r="R45" s="2180">
        <f t="shared" si="9"/>
        <v>-18543.559165063554</v>
      </c>
      <c r="S45" s="830">
        <f t="shared" si="10"/>
        <v>-4183.7511548971315</v>
      </c>
      <c r="T45" s="830">
        <f t="shared" si="11"/>
        <v>-126926.18153890621</v>
      </c>
      <c r="U45" s="830">
        <f t="shared" si="12"/>
        <v>45.288006810728241</v>
      </c>
      <c r="V45" s="1157">
        <f t="shared" si="13"/>
        <v>40.124851769261447</v>
      </c>
      <c r="W45" s="830">
        <f t="shared" si="14"/>
        <v>-561.55847008953958</v>
      </c>
      <c r="X45" s="2773"/>
      <c r="Y45" s="498"/>
      <c r="Z45" s="498"/>
      <c r="AA45" s="498"/>
      <c r="AB45" s="498"/>
      <c r="AC45" s="498"/>
      <c r="AD45" s="498"/>
      <c r="AE45" s="498"/>
      <c r="AF45" s="498"/>
      <c r="AG45" s="498"/>
    </row>
    <row r="46" spans="1:33" x14ac:dyDescent="0.25">
      <c r="A46" s="2802"/>
      <c r="B46" s="706">
        <v>2050</v>
      </c>
      <c r="C46" s="1058">
        <f t="shared" si="0"/>
        <v>-201959.47891733114</v>
      </c>
      <c r="D46" s="1208">
        <f t="shared" si="6"/>
        <v>0</v>
      </c>
      <c r="E46" s="1208">
        <f t="shared" si="7"/>
        <v>8797.404281252464</v>
      </c>
      <c r="F46" s="1883">
        <f t="shared" si="8"/>
        <v>-193.1620746360787</v>
      </c>
      <c r="G46" s="1058">
        <f>P6</f>
        <v>-417.75588762863032</v>
      </c>
      <c r="H46" s="1058">
        <f t="shared" si="1"/>
        <v>-16319.048682906454</v>
      </c>
      <c r="I46" s="1058">
        <f t="shared" si="2"/>
        <v>58.50241358046182</v>
      </c>
      <c r="J46" s="1208">
        <f t="shared" si="3"/>
        <v>1127.1841971098338</v>
      </c>
      <c r="K46" s="1058">
        <f t="shared" si="4"/>
        <v>-31.197933837706117</v>
      </c>
      <c r="L46" s="1857">
        <v>97</v>
      </c>
      <c r="M46" s="1857">
        <f>'Emission-Waste Transport Vehicl'!P64</f>
        <v>9.8171020759680019</v>
      </c>
      <c r="N46" s="1857">
        <f>'Emission-Waste Transport Vehicl'!Q64</f>
        <v>7.624237522176001</v>
      </c>
      <c r="O46" s="1857">
        <f>'Emission-Waste Transport Vehicl'!R64</f>
        <v>0.75883868755200012</v>
      </c>
      <c r="P46" s="1857">
        <f>'Emission-Waste Transport Vehicl'!S64</f>
        <v>3.4894629411840003E-2</v>
      </c>
      <c r="Q46" s="1857">
        <f>'Emission-Waste Transport Vehicl'!N64</f>
        <v>17.644493262528005</v>
      </c>
      <c r="R46" s="2180">
        <f t="shared" si="9"/>
        <v>-18736.721239699633</v>
      </c>
      <c r="S46" s="830">
        <f t="shared" si="10"/>
        <v>-4101.1521916868824</v>
      </c>
      <c r="T46" s="830">
        <f t="shared" si="11"/>
        <v>-124420.30329443223</v>
      </c>
      <c r="U46" s="830">
        <f t="shared" si="12"/>
        <v>44.393894740021956</v>
      </c>
      <c r="V46" s="1157">
        <f t="shared" si="13"/>
        <v>39.332674837030069</v>
      </c>
      <c r="W46" s="830">
        <f t="shared" si="14"/>
        <v>-550.47173340420011</v>
      </c>
      <c r="X46" s="2773"/>
      <c r="Y46" s="498"/>
      <c r="Z46" s="498"/>
      <c r="AA46" s="498"/>
      <c r="AB46" s="498"/>
      <c r="AC46" s="498"/>
      <c r="AD46" s="498"/>
      <c r="AE46" s="498"/>
      <c r="AF46" s="498"/>
      <c r="AG46" s="498"/>
    </row>
    <row r="47" spans="1:33" x14ac:dyDescent="0.25">
      <c r="A47" s="2802"/>
      <c r="B47" s="706">
        <v>2051</v>
      </c>
      <c r="C47" s="1058">
        <f t="shared" ref="C47:C65" si="15">$V$6</f>
        <v>-201959.47891733114</v>
      </c>
      <c r="D47" s="1208">
        <f t="shared" si="6"/>
        <v>0</v>
      </c>
      <c r="E47" s="1208">
        <f t="shared" si="7"/>
        <v>8797.404281252464</v>
      </c>
      <c r="F47" s="1883">
        <f t="shared" si="8"/>
        <v>-193.1620746360787</v>
      </c>
      <c r="G47" s="1058">
        <f>P6</f>
        <v>-417.75588762863032</v>
      </c>
      <c r="H47" s="1058">
        <f t="shared" ref="H47:H65" si="16">$R$6</f>
        <v>-16319.048682906454</v>
      </c>
      <c r="I47" s="1058">
        <f t="shared" ref="I47:I65" si="17">$S$6</f>
        <v>58.50241358046182</v>
      </c>
      <c r="J47" s="1208">
        <f t="shared" ref="J47:J65" si="18">$Q$6</f>
        <v>1127.1841971098338</v>
      </c>
      <c r="K47" s="1058">
        <f t="shared" ref="K47:K65" si="19">$T$6</f>
        <v>-31.197933837706117</v>
      </c>
      <c r="L47" s="1857">
        <v>97</v>
      </c>
      <c r="M47" s="1857">
        <f>'Emission-Waste Transport Vehicl'!P65</f>
        <v>9.624823284384</v>
      </c>
      <c r="N47" s="1857">
        <f>'Emission-Waste Transport Vehicl'!Q65</f>
        <v>7.4749084058879998</v>
      </c>
      <c r="O47" s="1857">
        <f>'Emission-Waste Transport Vehicl'!R65</f>
        <v>0.74397599337600007</v>
      </c>
      <c r="P47" s="1857">
        <f>'Emission-Waste Transport Vehicl'!S65</f>
        <v>3.4211179537920001E-2</v>
      </c>
      <c r="Q47" s="1857">
        <f>'Emission-Waste Transport Vehicl'!N65</f>
        <v>17.298906365664003</v>
      </c>
      <c r="R47" s="2180">
        <f t="shared" si="9"/>
        <v>-18736.721239699633</v>
      </c>
      <c r="S47" s="830">
        <f t="shared" si="10"/>
        <v>-4020.8265944365471</v>
      </c>
      <c r="T47" s="830">
        <f t="shared" si="11"/>
        <v>-121983.39417595294</v>
      </c>
      <c r="U47" s="830">
        <f t="shared" si="12"/>
        <v>43.52439125841768</v>
      </c>
      <c r="V47" s="1157">
        <f t="shared" si="13"/>
        <v>38.562300939630731</v>
      </c>
      <c r="W47" s="830">
        <f t="shared" si="14"/>
        <v>-539.69013626065873</v>
      </c>
      <c r="X47" s="2773"/>
      <c r="Y47" s="498"/>
      <c r="Z47" s="498"/>
      <c r="AA47" s="498"/>
      <c r="AB47" s="498"/>
      <c r="AC47" s="498"/>
      <c r="AD47" s="498"/>
      <c r="AE47" s="498"/>
      <c r="AF47" s="498"/>
      <c r="AG47" s="498"/>
    </row>
    <row r="48" spans="1:33" x14ac:dyDescent="0.25">
      <c r="A48" s="2802"/>
      <c r="B48" s="706">
        <v>2052</v>
      </c>
      <c r="C48" s="1058">
        <f t="shared" si="15"/>
        <v>-201959.47891733114</v>
      </c>
      <c r="D48" s="1208">
        <f t="shared" si="6"/>
        <v>0</v>
      </c>
      <c r="E48" s="1208">
        <f t="shared" si="7"/>
        <v>8797.404281252464</v>
      </c>
      <c r="F48" s="1883">
        <f t="shared" si="8"/>
        <v>-193.1620746360787</v>
      </c>
      <c r="G48" s="1058">
        <f>P6</f>
        <v>-417.75588762863032</v>
      </c>
      <c r="H48" s="1058">
        <f t="shared" si="16"/>
        <v>-16319.048682906454</v>
      </c>
      <c r="I48" s="1058">
        <f t="shared" si="17"/>
        <v>58.50241358046182</v>
      </c>
      <c r="J48" s="1208">
        <f t="shared" si="18"/>
        <v>1127.1841971098338</v>
      </c>
      <c r="K48" s="1058">
        <f t="shared" si="19"/>
        <v>-31.197933837706117</v>
      </c>
      <c r="L48" s="1857">
        <v>97</v>
      </c>
      <c r="M48" s="1857">
        <f>'Emission-Waste Transport Vehicl'!P66</f>
        <v>9.4361723945280005</v>
      </c>
      <c r="N48" s="1857">
        <f>'Emission-Waste Transport Vehicl'!Q66</f>
        <v>7.3283968200960006</v>
      </c>
      <c r="O48" s="1857">
        <f>'Emission-Waste Transport Vehicl'!R66</f>
        <v>0.72939372739200004</v>
      </c>
      <c r="P48" s="1857">
        <f>'Emission-Waste Transport Vehicl'!S66</f>
        <v>3.3540624944640003E-2</v>
      </c>
      <c r="Q48" s="1857">
        <f>'Emission-Waste Transport Vehicl'!N66</f>
        <v>16.959839976288002</v>
      </c>
      <c r="R48" s="2180">
        <f t="shared" si="9"/>
        <v>-18736.721239699633</v>
      </c>
      <c r="S48" s="830">
        <f t="shared" si="10"/>
        <v>-3942.0165744928227</v>
      </c>
      <c r="T48" s="830">
        <f t="shared" si="11"/>
        <v>-119592.46447480348</v>
      </c>
      <c r="U48" s="830">
        <f t="shared" si="12"/>
        <v>42.671293502881412</v>
      </c>
      <c r="V48" s="1157">
        <f t="shared" si="13"/>
        <v>37.806462398786103</v>
      </c>
      <c r="W48" s="830">
        <f t="shared" si="14"/>
        <v>-529.11196547831639</v>
      </c>
      <c r="X48" s="2773"/>
      <c r="Y48" s="498"/>
      <c r="Z48" s="498"/>
      <c r="AA48" s="498"/>
      <c r="AB48" s="498"/>
      <c r="AC48" s="498"/>
      <c r="AD48" s="498"/>
      <c r="AE48" s="498"/>
      <c r="AF48" s="498"/>
      <c r="AG48" s="498"/>
    </row>
    <row r="49" spans="1:33" x14ac:dyDescent="0.25">
      <c r="A49" s="2802"/>
      <c r="B49" s="706">
        <v>2053</v>
      </c>
      <c r="C49" s="1058">
        <f t="shared" si="15"/>
        <v>-201959.47891733114</v>
      </c>
      <c r="D49" s="1208">
        <f t="shared" si="6"/>
        <v>0</v>
      </c>
      <c r="E49" s="1208">
        <f t="shared" si="7"/>
        <v>8797.404281252464</v>
      </c>
      <c r="F49" s="1883">
        <f t="shared" si="8"/>
        <v>-193.1620746360787</v>
      </c>
      <c r="G49" s="1058">
        <f>P6</f>
        <v>-417.75588762863032</v>
      </c>
      <c r="H49" s="1058">
        <f t="shared" si="16"/>
        <v>-16319.048682906454</v>
      </c>
      <c r="I49" s="1058">
        <f t="shared" si="17"/>
        <v>58.50241358046182</v>
      </c>
      <c r="J49" s="1208">
        <f t="shared" si="18"/>
        <v>1127.1841971098338</v>
      </c>
      <c r="K49" s="1058">
        <f t="shared" si="19"/>
        <v>-31.197933837706117</v>
      </c>
      <c r="L49" s="1857">
        <v>97</v>
      </c>
      <c r="M49" s="1857">
        <f>'Emission-Waste Transport Vehicl'!P67</f>
        <v>9.2511494064000015</v>
      </c>
      <c r="N49" s="1857">
        <f>'Emission-Waste Transport Vehicl'!Q67</f>
        <v>7.1847027647999999</v>
      </c>
      <c r="O49" s="1857">
        <f>'Emission-Waste Transport Vehicl'!R67</f>
        <v>0.71509188960000014</v>
      </c>
      <c r="P49" s="1857">
        <f>'Emission-Waste Transport Vehicl'!S67</f>
        <v>3.2882965632000001E-2</v>
      </c>
      <c r="Q49" s="1857">
        <f>'Emission-Waste Transport Vehicl'!N67</f>
        <v>15.361506000000002</v>
      </c>
      <c r="R49" s="2180">
        <f t="shared" si="9"/>
        <v>-18736.721239699633</v>
      </c>
      <c r="S49" s="830">
        <f t="shared" ref="S49:S65" si="20">G49*M49</f>
        <v>-3864.722131855709</v>
      </c>
      <c r="T49" s="830">
        <f t="shared" ref="T49:T65" si="21">H49*N49</f>
        <v>-117247.5141909838</v>
      </c>
      <c r="U49" s="830">
        <f t="shared" ref="U49:U65" si="22">I49*O49</f>
        <v>41.834601473413151</v>
      </c>
      <c r="V49" s="1157">
        <f t="shared" si="13"/>
        <v>37.065159214496177</v>
      </c>
      <c r="W49" s="830">
        <f t="shared" ref="W49:W65" si="23">K49*Q49</f>
        <v>-479.24724783552563</v>
      </c>
      <c r="X49" s="2773"/>
      <c r="Y49" s="498"/>
      <c r="Z49" s="498"/>
      <c r="AA49" s="498"/>
      <c r="AB49" s="498"/>
      <c r="AC49" s="498"/>
      <c r="AD49" s="498"/>
      <c r="AE49" s="498"/>
      <c r="AF49" s="498"/>
      <c r="AG49" s="498"/>
    </row>
    <row r="50" spans="1:33" x14ac:dyDescent="0.25">
      <c r="A50" s="2802"/>
      <c r="B50" s="706">
        <v>2054</v>
      </c>
      <c r="C50" s="1058">
        <f t="shared" si="15"/>
        <v>-201959.47891733114</v>
      </c>
      <c r="D50" s="1208">
        <f t="shared" si="6"/>
        <v>0</v>
      </c>
      <c r="E50" s="1208">
        <f t="shared" si="7"/>
        <v>8797.404281252464</v>
      </c>
      <c r="F50" s="1883">
        <f t="shared" si="8"/>
        <v>-193.1620746360787</v>
      </c>
      <c r="G50" s="1058">
        <f>P6</f>
        <v>-417.75588762863032</v>
      </c>
      <c r="H50" s="1058">
        <f t="shared" si="16"/>
        <v>-16319.048682906454</v>
      </c>
      <c r="I50" s="1058">
        <f t="shared" si="17"/>
        <v>58.50241358046182</v>
      </c>
      <c r="J50" s="1208">
        <f t="shared" si="18"/>
        <v>1127.1841971098338</v>
      </c>
      <c r="K50" s="1058">
        <f t="shared" si="19"/>
        <v>-31.197933837706117</v>
      </c>
      <c r="L50" s="1857">
        <v>97</v>
      </c>
      <c r="M50" s="1857">
        <f>'Emission-Waste Transport Vehicl'!P68</f>
        <v>9.0697543200000013</v>
      </c>
      <c r="N50" s="1857">
        <f>'Emission-Waste Transport Vehicl'!Q68</f>
        <v>7.0438262400000005</v>
      </c>
      <c r="O50" s="1857">
        <f>'Emission-Waste Transport Vehicl'!R68</f>
        <v>0.70107048000000005</v>
      </c>
      <c r="P50" s="1857">
        <f>'Emission-Waste Transport Vehicl'!S68</f>
        <v>3.2238201600000002E-2</v>
      </c>
      <c r="Q50" s="1857">
        <f>'Emission-Waste Transport Vehicl'!N68</f>
        <v>16.301268720000003</v>
      </c>
      <c r="R50" s="2180">
        <f t="shared" si="9"/>
        <v>-18736.721239699633</v>
      </c>
      <c r="S50" s="830">
        <f t="shared" si="20"/>
        <v>-3788.9432665252048</v>
      </c>
      <c r="T50" s="830">
        <f t="shared" si="21"/>
        <v>-114948.54332449393</v>
      </c>
      <c r="U50" s="830">
        <f t="shared" si="22"/>
        <v>41.014315170012893</v>
      </c>
      <c r="V50" s="1157">
        <f t="shared" si="13"/>
        <v>36.338391386760961</v>
      </c>
      <c r="W50" s="830">
        <f t="shared" si="23"/>
        <v>-508.56590299722836</v>
      </c>
      <c r="X50" s="2773"/>
      <c r="Y50" s="498"/>
      <c r="Z50" s="498"/>
      <c r="AA50" s="498"/>
      <c r="AB50" s="498"/>
      <c r="AC50" s="498"/>
      <c r="AD50" s="498"/>
      <c r="AE50" s="498"/>
      <c r="AF50" s="498"/>
      <c r="AG50" s="498"/>
    </row>
    <row r="51" spans="1:33" x14ac:dyDescent="0.25">
      <c r="A51" s="2802"/>
      <c r="B51" s="706">
        <v>2055</v>
      </c>
      <c r="C51" s="1058">
        <f t="shared" si="15"/>
        <v>-201959.47891733114</v>
      </c>
      <c r="D51" s="1208">
        <f t="shared" si="6"/>
        <v>0</v>
      </c>
      <c r="E51" s="1208">
        <f t="shared" si="7"/>
        <v>8797.404281252464</v>
      </c>
      <c r="F51" s="1883">
        <f t="shared" si="8"/>
        <v>-193.1620746360787</v>
      </c>
      <c r="G51" s="1058">
        <f>P6</f>
        <v>-417.75588762863032</v>
      </c>
      <c r="H51" s="1058">
        <f t="shared" si="16"/>
        <v>-16319.048682906454</v>
      </c>
      <c r="I51" s="1058">
        <f t="shared" si="17"/>
        <v>58.50241358046182</v>
      </c>
      <c r="J51" s="1208">
        <f t="shared" si="18"/>
        <v>1127.1841971098338</v>
      </c>
      <c r="K51" s="1058">
        <f t="shared" si="19"/>
        <v>-31.197933837706117</v>
      </c>
      <c r="L51" s="1857">
        <v>97</v>
      </c>
      <c r="M51" s="1857">
        <f>'Emission-Waste Transport Vehicl'!P69</f>
        <v>8.8919871353280016</v>
      </c>
      <c r="N51" s="1857">
        <f>'Emission-Waste Transport Vehicl'!Q69</f>
        <v>6.9057672456960004</v>
      </c>
      <c r="O51" s="1857">
        <f>'Emission-Waste Transport Vehicl'!R69</f>
        <v>0.6873294985920001</v>
      </c>
      <c r="P51" s="1857">
        <f>'Emission-Waste Transport Vehicl'!S69</f>
        <v>3.1606332848640006E-2</v>
      </c>
      <c r="Q51" s="1857">
        <f>'Emission-Waste Transport Vehicl'!N69</f>
        <v>15.981763853088003</v>
      </c>
      <c r="R51" s="2180">
        <f t="shared" si="9"/>
        <v>-18736.721239699633</v>
      </c>
      <c r="S51" s="830">
        <f t="shared" si="20"/>
        <v>-3714.6799785013109</v>
      </c>
      <c r="T51" s="830">
        <f t="shared" si="21"/>
        <v>-112695.55187533384</v>
      </c>
      <c r="U51" s="830">
        <f t="shared" si="22"/>
        <v>40.210434592680642</v>
      </c>
      <c r="V51" s="1157">
        <f t="shared" si="13"/>
        <v>35.626158915580454</v>
      </c>
      <c r="W51" s="830">
        <f t="shared" si="23"/>
        <v>-498.59801129848267</v>
      </c>
      <c r="X51" s="2773"/>
      <c r="Y51" s="498"/>
      <c r="Z51" s="498"/>
      <c r="AA51" s="498"/>
      <c r="AB51" s="498"/>
      <c r="AC51" s="498"/>
      <c r="AD51" s="498"/>
      <c r="AE51" s="498"/>
      <c r="AF51" s="498"/>
      <c r="AG51" s="498"/>
    </row>
    <row r="52" spans="1:33" x14ac:dyDescent="0.25">
      <c r="A52" s="2802"/>
      <c r="B52" s="706">
        <v>2056</v>
      </c>
      <c r="C52" s="1058">
        <f t="shared" si="15"/>
        <v>-201959.47891733114</v>
      </c>
      <c r="D52" s="1208">
        <f t="shared" si="6"/>
        <v>0</v>
      </c>
      <c r="E52" s="1208">
        <f t="shared" si="7"/>
        <v>8797.404281252464</v>
      </c>
      <c r="F52" s="1883">
        <f t="shared" si="8"/>
        <v>-193.1620746360787</v>
      </c>
      <c r="G52" s="1058">
        <f>P6</f>
        <v>-417.75588762863032</v>
      </c>
      <c r="H52" s="1058">
        <f t="shared" si="16"/>
        <v>-16319.048682906454</v>
      </c>
      <c r="I52" s="1058">
        <f t="shared" si="17"/>
        <v>58.50241358046182</v>
      </c>
      <c r="J52" s="1208">
        <f t="shared" si="18"/>
        <v>1127.1841971098338</v>
      </c>
      <c r="K52" s="1058">
        <f t="shared" si="19"/>
        <v>-31.197933837706117</v>
      </c>
      <c r="L52" s="1857">
        <v>97</v>
      </c>
      <c r="M52" s="1857">
        <f>'Emission-Waste Transport Vehicl'!P70</f>
        <v>8.7178478523840006</v>
      </c>
      <c r="N52" s="1857">
        <f>'Emission-Waste Transport Vehicl'!Q70</f>
        <v>6.7705257818880007</v>
      </c>
      <c r="O52" s="1857">
        <f>'Emission-Waste Transport Vehicl'!R70</f>
        <v>0.67386894537600017</v>
      </c>
      <c r="P52" s="1857">
        <f>'Emission-Waste Transport Vehicl'!S70</f>
        <v>3.0987359377920003E-2</v>
      </c>
      <c r="Q52" s="1857">
        <f>'Emission-Waste Transport Vehicl'!N70</f>
        <v>15.668779493664003</v>
      </c>
      <c r="R52" s="2180">
        <f t="shared" si="9"/>
        <v>-18736.721239699633</v>
      </c>
      <c r="S52" s="830">
        <f t="shared" si="20"/>
        <v>-3641.9322677840269</v>
      </c>
      <c r="T52" s="830">
        <f t="shared" si="21"/>
        <v>-110488.53984350356</v>
      </c>
      <c r="U52" s="830">
        <f t="shared" si="22"/>
        <v>39.422959741416399</v>
      </c>
      <c r="V52" s="1157">
        <f t="shared" si="13"/>
        <v>34.928461800954636</v>
      </c>
      <c r="W52" s="830">
        <f t="shared" si="23"/>
        <v>-488.83354596093591</v>
      </c>
      <c r="X52" s="2773"/>
      <c r="Y52" s="498"/>
      <c r="Z52" s="498"/>
      <c r="AA52" s="498"/>
      <c r="AB52" s="498"/>
      <c r="AC52" s="498"/>
      <c r="AD52" s="498"/>
      <c r="AE52" s="498"/>
      <c r="AF52" s="498"/>
      <c r="AG52" s="498"/>
    </row>
    <row r="53" spans="1:33" x14ac:dyDescent="0.25">
      <c r="A53" s="2802"/>
      <c r="B53" s="706">
        <v>2057</v>
      </c>
      <c r="C53" s="1058">
        <f t="shared" si="15"/>
        <v>-201959.47891733114</v>
      </c>
      <c r="D53" s="1208">
        <f t="shared" si="6"/>
        <v>0</v>
      </c>
      <c r="E53" s="1208">
        <f t="shared" si="7"/>
        <v>8797.404281252464</v>
      </c>
      <c r="F53" s="1883">
        <f t="shared" si="8"/>
        <v>-193.1620746360787</v>
      </c>
      <c r="G53" s="1058">
        <f>P6</f>
        <v>-417.75588762863032</v>
      </c>
      <c r="H53" s="1058">
        <f t="shared" si="16"/>
        <v>-16319.048682906454</v>
      </c>
      <c r="I53" s="1058">
        <f t="shared" si="17"/>
        <v>58.50241358046182</v>
      </c>
      <c r="J53" s="1208">
        <f t="shared" si="18"/>
        <v>1127.1841971098338</v>
      </c>
      <c r="K53" s="1058">
        <f t="shared" si="19"/>
        <v>-31.197933837706117</v>
      </c>
      <c r="L53" s="1857">
        <v>97</v>
      </c>
      <c r="M53" s="1857">
        <f>'Emission-Waste Transport Vehicl'!P71</f>
        <v>8.547336471168002</v>
      </c>
      <c r="N53" s="1857">
        <f>'Emission-Waste Transport Vehicl'!Q71</f>
        <v>6.6381018485760004</v>
      </c>
      <c r="O53" s="1857">
        <f>'Emission-Waste Transport Vehicl'!R71</f>
        <v>0.66068882035200005</v>
      </c>
      <c r="P53" s="1857">
        <f>'Emission-Waste Transport Vehicl'!S71</f>
        <v>3.038128118784E-2</v>
      </c>
      <c r="Q53" s="1857">
        <f>'Emission-Waste Transport Vehicl'!N71</f>
        <v>15.362315641728001</v>
      </c>
      <c r="R53" s="2180">
        <f t="shared" si="9"/>
        <v>-18736.721239699633</v>
      </c>
      <c r="S53" s="830">
        <f t="shared" si="20"/>
        <v>-3570.7001343733536</v>
      </c>
      <c r="T53" s="830">
        <f t="shared" si="21"/>
        <v>-108327.50722900308</v>
      </c>
      <c r="U53" s="830">
        <f t="shared" si="22"/>
        <v>38.65189061622015</v>
      </c>
      <c r="V53" s="1157">
        <f t="shared" si="13"/>
        <v>34.245300042883528</v>
      </c>
      <c r="W53" s="830">
        <f t="shared" si="23"/>
        <v>-479.27250698458795</v>
      </c>
      <c r="X53" s="2773"/>
      <c r="Y53" s="498"/>
      <c r="Z53" s="498"/>
      <c r="AA53" s="498"/>
      <c r="AB53" s="498"/>
      <c r="AC53" s="498"/>
      <c r="AD53" s="498"/>
      <c r="AE53" s="498"/>
      <c r="AF53" s="498"/>
      <c r="AG53" s="498"/>
    </row>
    <row r="54" spans="1:33" x14ac:dyDescent="0.25">
      <c r="A54" s="2802"/>
      <c r="B54" s="706">
        <v>2058</v>
      </c>
      <c r="C54" s="1058">
        <f t="shared" si="15"/>
        <v>-201959.47891733114</v>
      </c>
      <c r="D54" s="1208">
        <f t="shared" si="6"/>
        <v>0</v>
      </c>
      <c r="E54" s="1208">
        <f t="shared" si="7"/>
        <v>8797.404281252464</v>
      </c>
      <c r="F54" s="1883">
        <f t="shared" si="8"/>
        <v>-193.1620746360787</v>
      </c>
      <c r="G54" s="1058">
        <f>P6</f>
        <v>-417.75588762863032</v>
      </c>
      <c r="H54" s="1058">
        <f t="shared" si="16"/>
        <v>-16319.048682906454</v>
      </c>
      <c r="I54" s="1058">
        <f t="shared" si="17"/>
        <v>58.50241358046182</v>
      </c>
      <c r="J54" s="1208">
        <f t="shared" si="18"/>
        <v>1127.1841971098338</v>
      </c>
      <c r="K54" s="1058">
        <f t="shared" si="19"/>
        <v>-31.197933837706117</v>
      </c>
      <c r="L54" s="1857">
        <v>97</v>
      </c>
      <c r="M54" s="1857">
        <f>'Emission-Waste Transport Vehicl'!P72</f>
        <v>8.378639040816001</v>
      </c>
      <c r="N54" s="1857">
        <f>'Emission-Waste Transport Vehicl'!Q72</f>
        <v>6.5070866805119998</v>
      </c>
      <c r="O54" s="1857">
        <f>'Emission-Waste Transport Vehicl'!R72</f>
        <v>0.647648909424</v>
      </c>
      <c r="P54" s="1857">
        <f>'Emission-Waste Transport Vehicl'!S72</f>
        <v>2.9781650638080002E-2</v>
      </c>
      <c r="Q54" s="1857">
        <f>'Emission-Waste Transport Vehicl'!N72</f>
        <v>15.059112043536</v>
      </c>
      <c r="R54" s="2180">
        <f t="shared" si="9"/>
        <v>-18736.721239699633</v>
      </c>
      <c r="S54" s="830">
        <f t="shared" si="20"/>
        <v>-3500.225789615984</v>
      </c>
      <c r="T54" s="830">
        <f t="shared" si="21"/>
        <v>-106189.46432316749</v>
      </c>
      <c r="U54" s="830">
        <f t="shared" si="22"/>
        <v>37.889024354057902</v>
      </c>
      <c r="V54" s="1157">
        <f t="shared" si="13"/>
        <v>33.569405963089778</v>
      </c>
      <c r="W54" s="830">
        <f t="shared" si="23"/>
        <v>-469.81318118883951</v>
      </c>
      <c r="X54" s="2773"/>
      <c r="Y54" s="498"/>
      <c r="Z54" s="498"/>
      <c r="AA54" s="498"/>
      <c r="AB54" s="498"/>
      <c r="AC54" s="498"/>
      <c r="AD54" s="498"/>
      <c r="AE54" s="498"/>
      <c r="AF54" s="498"/>
      <c r="AG54" s="498"/>
    </row>
    <row r="55" spans="1:33" x14ac:dyDescent="0.25">
      <c r="A55" s="2802"/>
      <c r="B55" s="706">
        <v>2059</v>
      </c>
      <c r="C55" s="1058">
        <f t="shared" si="15"/>
        <v>-201959.47891733114</v>
      </c>
      <c r="D55" s="1208">
        <f t="shared" si="6"/>
        <v>0</v>
      </c>
      <c r="E55" s="1208">
        <f t="shared" si="7"/>
        <v>8797.404281252464</v>
      </c>
      <c r="F55" s="1883">
        <f t="shared" si="8"/>
        <v>-193.1620746360787</v>
      </c>
      <c r="G55" s="1058">
        <f>P6</f>
        <v>-417.75588762863032</v>
      </c>
      <c r="H55" s="1058">
        <f t="shared" si="16"/>
        <v>-16319.048682906454</v>
      </c>
      <c r="I55" s="1058">
        <f t="shared" si="17"/>
        <v>58.50241358046182</v>
      </c>
      <c r="J55" s="1208">
        <f t="shared" si="18"/>
        <v>1127.1841971098338</v>
      </c>
      <c r="K55" s="1058">
        <f t="shared" si="19"/>
        <v>-31.197933837706117</v>
      </c>
      <c r="L55" s="1857">
        <v>97</v>
      </c>
      <c r="M55" s="1857">
        <f>'Emission-Waste Transport Vehicl'!P73</f>
        <v>8.2153834630560016</v>
      </c>
      <c r="N55" s="1857">
        <f>'Emission-Waste Transport Vehicl'!Q73</f>
        <v>6.380297808192001</v>
      </c>
      <c r="O55" s="1857">
        <f>'Emission-Waste Transport Vehicl'!R73</f>
        <v>0.63502964078400004</v>
      </c>
      <c r="P55" s="1857">
        <f>'Emission-Waste Transport Vehicl'!S73</f>
        <v>2.9201363009280005E-2</v>
      </c>
      <c r="Q55" s="1857">
        <f>'Emission-Waste Transport Vehicl'!N73</f>
        <v>14.765689206576004</v>
      </c>
      <c r="R55" s="2180">
        <f t="shared" si="9"/>
        <v>-18736.721239699633</v>
      </c>
      <c r="S55" s="830">
        <f t="shared" si="20"/>
        <v>-3432.024810818531</v>
      </c>
      <c r="T55" s="830">
        <f t="shared" si="21"/>
        <v>-104120.3905433266</v>
      </c>
      <c r="U55" s="830">
        <f t="shared" si="22"/>
        <v>37.150766680997677</v>
      </c>
      <c r="V55" s="1157">
        <f t="shared" si="13"/>
        <v>32.915314918128082</v>
      </c>
      <c r="W55" s="830">
        <f t="shared" si="23"/>
        <v>-460.65899493488951</v>
      </c>
      <c r="X55" s="2773"/>
      <c r="Y55" s="498"/>
      <c r="Z55" s="498"/>
      <c r="AA55" s="498"/>
      <c r="AB55" s="498"/>
      <c r="AC55" s="498"/>
      <c r="AD55" s="498"/>
      <c r="AE55" s="498"/>
      <c r="AF55" s="498"/>
      <c r="AG55" s="498"/>
    </row>
    <row r="56" spans="1:33" x14ac:dyDescent="0.25">
      <c r="A56" s="2802"/>
      <c r="B56" s="706">
        <v>2060</v>
      </c>
      <c r="C56" s="1058">
        <f t="shared" si="15"/>
        <v>-201959.47891733114</v>
      </c>
      <c r="D56" s="1208">
        <f t="shared" si="6"/>
        <v>0</v>
      </c>
      <c r="E56" s="1208">
        <f t="shared" si="7"/>
        <v>8797.404281252464</v>
      </c>
      <c r="F56" s="1883">
        <f t="shared" si="8"/>
        <v>-193.1620746360787</v>
      </c>
      <c r="G56" s="1058">
        <f>P6</f>
        <v>-417.75588762863032</v>
      </c>
      <c r="H56" s="1058">
        <f t="shared" si="16"/>
        <v>-16319.048682906454</v>
      </c>
      <c r="I56" s="1058">
        <f t="shared" si="17"/>
        <v>58.50241358046182</v>
      </c>
      <c r="J56" s="1208">
        <f t="shared" si="18"/>
        <v>1127.1841971098338</v>
      </c>
      <c r="K56" s="1058">
        <f t="shared" si="19"/>
        <v>-31.197933837706117</v>
      </c>
      <c r="L56" s="1857">
        <v>97</v>
      </c>
      <c r="M56" s="1857">
        <f>'Emission-Waste Transport Vehicl'!P74</f>
        <v>8.0539418361599999</v>
      </c>
      <c r="N56" s="1857">
        <f>'Emission-Waste Transport Vehicl'!Q74</f>
        <v>6.2549177011200001</v>
      </c>
      <c r="O56" s="1857">
        <f>'Emission-Waste Transport Vehicl'!R74</f>
        <v>0.62255058624000004</v>
      </c>
      <c r="P56" s="1857">
        <f>'Emission-Waste Transport Vehicl'!S74</f>
        <v>2.8627523020800003E-2</v>
      </c>
      <c r="Q56" s="1857">
        <f>'Emission-Waste Transport Vehicl'!N74</f>
        <v>14.475526623360002</v>
      </c>
      <c r="R56" s="2180">
        <f t="shared" si="9"/>
        <v>-18736.721239699633</v>
      </c>
      <c r="S56" s="830">
        <f t="shared" si="20"/>
        <v>-3364.5816206743816</v>
      </c>
      <c r="T56" s="830">
        <f t="shared" si="21"/>
        <v>-102074.30647215061</v>
      </c>
      <c r="U56" s="830">
        <f t="shared" si="22"/>
        <v>36.420711870971445</v>
      </c>
      <c r="V56" s="1157">
        <f t="shared" si="13"/>
        <v>32.268491551443738</v>
      </c>
      <c r="W56" s="830">
        <f t="shared" si="23"/>
        <v>-451.60652186153879</v>
      </c>
      <c r="X56" s="2773"/>
      <c r="Y56" s="498"/>
      <c r="Z56" s="498"/>
      <c r="AA56" s="498"/>
      <c r="AB56" s="498"/>
      <c r="AC56" s="498"/>
      <c r="AD56" s="498"/>
      <c r="AE56" s="498"/>
      <c r="AF56" s="498"/>
      <c r="AG56" s="498"/>
    </row>
    <row r="57" spans="1:33" x14ac:dyDescent="0.25">
      <c r="A57" s="2802"/>
      <c r="B57" s="706">
        <v>2061</v>
      </c>
      <c r="C57" s="1058">
        <f t="shared" si="15"/>
        <v>-201959.47891733114</v>
      </c>
      <c r="D57" s="1208">
        <f t="shared" si="6"/>
        <v>0</v>
      </c>
      <c r="E57" s="1208">
        <f t="shared" si="7"/>
        <v>8797.404281252464</v>
      </c>
      <c r="F57" s="1883">
        <f t="shared" si="8"/>
        <v>-193.1620746360787</v>
      </c>
      <c r="G57" s="1058">
        <f>P6</f>
        <v>-417.75588762863032</v>
      </c>
      <c r="H57" s="1058">
        <f t="shared" si="16"/>
        <v>-16319.048682906454</v>
      </c>
      <c r="I57" s="1058">
        <f t="shared" si="17"/>
        <v>58.50241358046182</v>
      </c>
      <c r="J57" s="1208">
        <f t="shared" si="18"/>
        <v>1127.1841971098338</v>
      </c>
      <c r="K57" s="1058">
        <f t="shared" si="19"/>
        <v>-31.197933837706117</v>
      </c>
      <c r="L57" s="1857">
        <v>97</v>
      </c>
      <c r="M57" s="1857">
        <f>'Emission-Waste Transport Vehicl'!P75</f>
        <v>7.8961281109920014</v>
      </c>
      <c r="N57" s="1857">
        <f>'Emission-Waste Transport Vehicl'!Q75</f>
        <v>6.1323551245440004</v>
      </c>
      <c r="O57" s="1857">
        <f>'Emission-Waste Transport Vehicl'!R75</f>
        <v>0.61035195988800006</v>
      </c>
      <c r="P57" s="1857">
        <f>'Emission-Waste Transport Vehicl'!S75</f>
        <v>2.8066578312960003E-2</v>
      </c>
      <c r="Q57" s="1857">
        <f>'Emission-Waste Transport Vehicl'!N75</f>
        <v>14.191884547632004</v>
      </c>
      <c r="R57" s="2180">
        <f t="shared" si="9"/>
        <v>-18736.721239699633</v>
      </c>
      <c r="S57" s="830">
        <f t="shared" si="20"/>
        <v>-3298.6540078368434</v>
      </c>
      <c r="T57" s="830">
        <f t="shared" si="21"/>
        <v>-100074.20181830441</v>
      </c>
      <c r="U57" s="830">
        <f t="shared" si="22"/>
        <v>35.707062787013221</v>
      </c>
      <c r="V57" s="1157">
        <f t="shared" si="13"/>
        <v>31.636203541314096</v>
      </c>
      <c r="W57" s="830">
        <f t="shared" si="23"/>
        <v>-442.75747514938706</v>
      </c>
      <c r="X57" s="2773"/>
      <c r="Y57" s="498"/>
      <c r="Z57" s="498"/>
      <c r="AA57" s="498"/>
      <c r="AB57" s="498"/>
      <c r="AC57" s="498"/>
      <c r="AD57" s="498"/>
      <c r="AE57" s="498"/>
      <c r="AF57" s="498"/>
      <c r="AG57" s="498"/>
    </row>
    <row r="58" spans="1:33" x14ac:dyDescent="0.25">
      <c r="A58" s="2802"/>
      <c r="B58" s="706">
        <v>2062</v>
      </c>
      <c r="C58" s="1058">
        <f t="shared" si="15"/>
        <v>-201959.47891733114</v>
      </c>
      <c r="D58" s="1208">
        <f t="shared" si="6"/>
        <v>0</v>
      </c>
      <c r="E58" s="1208">
        <f t="shared" si="7"/>
        <v>8797.404281252464</v>
      </c>
      <c r="F58" s="1883">
        <f t="shared" si="8"/>
        <v>-193.1620746360787</v>
      </c>
      <c r="G58" s="1058">
        <f>P6</f>
        <v>-417.75588762863032</v>
      </c>
      <c r="H58" s="1058">
        <f t="shared" si="16"/>
        <v>-16319.048682906454</v>
      </c>
      <c r="I58" s="1058">
        <f t="shared" si="17"/>
        <v>58.50241358046182</v>
      </c>
      <c r="J58" s="1208">
        <f t="shared" si="18"/>
        <v>1127.1841971098338</v>
      </c>
      <c r="K58" s="1058">
        <f t="shared" si="19"/>
        <v>-31.197933837706117</v>
      </c>
      <c r="L58" s="1857">
        <v>97</v>
      </c>
      <c r="M58" s="1857">
        <f>'Emission-Waste Transport Vehicl'!P76</f>
        <v>7.7419422875520008</v>
      </c>
      <c r="N58" s="1857">
        <f>'Emission-Waste Transport Vehicl'!Q76</f>
        <v>6.0126100784640002</v>
      </c>
      <c r="O58" s="1857">
        <f>'Emission-Waste Transport Vehicl'!R76</f>
        <v>0.59843376172800011</v>
      </c>
      <c r="P58" s="1857">
        <f>'Emission-Waste Transport Vehicl'!S76</f>
        <v>2.7518528885760004E-2</v>
      </c>
      <c r="Q58" s="1857">
        <f>'Emission-Waste Transport Vehicl'!N76</f>
        <v>13.914762979392002</v>
      </c>
      <c r="R58" s="2180">
        <f t="shared" si="9"/>
        <v>-18736.721239699633</v>
      </c>
      <c r="S58" s="830">
        <f t="shared" si="20"/>
        <v>-3234.2419723059147</v>
      </c>
      <c r="T58" s="830">
        <f t="shared" si="21"/>
        <v>-98120.076581788016</v>
      </c>
      <c r="U58" s="830">
        <f t="shared" si="22"/>
        <v>35.009819429123006</v>
      </c>
      <c r="V58" s="1157">
        <f t="shared" si="13"/>
        <v>31.01845088773916</v>
      </c>
      <c r="W58" s="830">
        <f t="shared" si="23"/>
        <v>-434.11185479843414</v>
      </c>
      <c r="X58" s="2773"/>
      <c r="Y58" s="498"/>
      <c r="Z58" s="498"/>
      <c r="AA58" s="498"/>
      <c r="AB58" s="498"/>
      <c r="AC58" s="498"/>
      <c r="AD58" s="498"/>
      <c r="AE58" s="498"/>
      <c r="AF58" s="498"/>
      <c r="AG58" s="498"/>
    </row>
    <row r="59" spans="1:33" x14ac:dyDescent="0.25">
      <c r="A59" s="2802"/>
      <c r="B59" s="706">
        <v>2063</v>
      </c>
      <c r="C59" s="1058">
        <f t="shared" si="15"/>
        <v>-201959.47891733114</v>
      </c>
      <c r="D59" s="1208">
        <f t="shared" si="6"/>
        <v>0</v>
      </c>
      <c r="E59" s="1208">
        <f t="shared" si="7"/>
        <v>8797.404281252464</v>
      </c>
      <c r="F59" s="1883">
        <f t="shared" si="8"/>
        <v>-193.1620746360787</v>
      </c>
      <c r="G59" s="1058">
        <f>P6</f>
        <v>-417.75588762863032</v>
      </c>
      <c r="H59" s="1058">
        <f t="shared" si="16"/>
        <v>-16319.048682906454</v>
      </c>
      <c r="I59" s="1058">
        <f t="shared" si="17"/>
        <v>58.50241358046182</v>
      </c>
      <c r="J59" s="1208">
        <f t="shared" si="18"/>
        <v>1127.1841971098338</v>
      </c>
      <c r="K59" s="1058">
        <f t="shared" si="19"/>
        <v>-31.197933837706117</v>
      </c>
      <c r="L59" s="1857">
        <v>97</v>
      </c>
      <c r="M59" s="1857">
        <f>'Emission-Waste Transport Vehicl'!P77</f>
        <v>7.5895704149760004</v>
      </c>
      <c r="N59" s="1857">
        <f>'Emission-Waste Transport Vehicl'!Q77</f>
        <v>5.8942737976319997</v>
      </c>
      <c r="O59" s="1857">
        <f>'Emission-Waste Transport Vehicl'!R77</f>
        <v>0.58665577766400001</v>
      </c>
      <c r="P59" s="1857">
        <f>'Emission-Waste Transport Vehicl'!S77</f>
        <v>2.6976927098879999E-2</v>
      </c>
      <c r="Q59" s="1857">
        <f>'Emission-Waste Transport Vehicl'!N77</f>
        <v>13.640901664896001</v>
      </c>
      <c r="R59" s="2180">
        <f t="shared" si="9"/>
        <v>-18736.721239699633</v>
      </c>
      <c r="S59" s="830">
        <f t="shared" si="20"/>
        <v>-3170.5877254282914</v>
      </c>
      <c r="T59" s="830">
        <f t="shared" si="21"/>
        <v>-96188.941053936505</v>
      </c>
      <c r="U59" s="830">
        <f t="shared" si="22"/>
        <v>34.320778934266784</v>
      </c>
      <c r="V59" s="1157">
        <f t="shared" si="13"/>
        <v>30.407965912441568</v>
      </c>
      <c r="W59" s="830">
        <f t="shared" si="23"/>
        <v>-425.56794762808067</v>
      </c>
      <c r="X59" s="2773"/>
      <c r="Y59" s="498"/>
      <c r="Z59" s="498"/>
      <c r="AA59" s="498"/>
      <c r="AB59" s="498"/>
      <c r="AC59" s="498"/>
      <c r="AD59" s="498"/>
      <c r="AE59" s="498"/>
      <c r="AF59" s="498"/>
      <c r="AG59" s="498"/>
    </row>
    <row r="60" spans="1:33" x14ac:dyDescent="0.25">
      <c r="A60" s="2802"/>
      <c r="B60" s="706">
        <v>2064</v>
      </c>
      <c r="C60" s="1058">
        <f t="shared" si="15"/>
        <v>-201959.47891733114</v>
      </c>
      <c r="D60" s="1208">
        <f t="shared" si="6"/>
        <v>0</v>
      </c>
      <c r="E60" s="1208">
        <f t="shared" si="7"/>
        <v>8797.404281252464</v>
      </c>
      <c r="F60" s="1883">
        <f t="shared" si="8"/>
        <v>-193.1620746360787</v>
      </c>
      <c r="G60" s="1058">
        <f>P6</f>
        <v>-417.75588762863032</v>
      </c>
      <c r="H60" s="1058">
        <f t="shared" si="16"/>
        <v>-16319.048682906454</v>
      </c>
      <c r="I60" s="1058">
        <f t="shared" si="17"/>
        <v>58.50241358046182</v>
      </c>
      <c r="J60" s="1208">
        <f t="shared" si="18"/>
        <v>1127.1841971098338</v>
      </c>
      <c r="K60" s="1058">
        <f t="shared" si="19"/>
        <v>-31.197933837706117</v>
      </c>
      <c r="L60" s="1857">
        <v>97</v>
      </c>
      <c r="M60" s="1857">
        <f>'Emission-Waste Transport Vehicl'!P78</f>
        <v>7.4408264441280014</v>
      </c>
      <c r="N60" s="1857">
        <f>'Emission-Waste Transport Vehicl'!Q78</f>
        <v>5.7787550472960003</v>
      </c>
      <c r="O60" s="1857">
        <f>'Emission-Waste Transport Vehicl'!R78</f>
        <v>0.57515822179200005</v>
      </c>
      <c r="P60" s="1857">
        <f>'Emission-Waste Transport Vehicl'!S78</f>
        <v>2.6448220592640001E-2</v>
      </c>
      <c r="Q60" s="1857">
        <f>'Emission-Waste Transport Vehicl'!N78</f>
        <v>13.373560857888002</v>
      </c>
      <c r="R60" s="2180">
        <f t="shared" si="9"/>
        <v>-18736.721239699633</v>
      </c>
      <c r="S60" s="830">
        <f t="shared" si="20"/>
        <v>-3108.4490558572784</v>
      </c>
      <c r="T60" s="830">
        <f t="shared" si="21"/>
        <v>-94303.784943414823</v>
      </c>
      <c r="U60" s="830">
        <f t="shared" si="22"/>
        <v>33.648144165478577</v>
      </c>
      <c r="V60" s="1157">
        <f t="shared" si="13"/>
        <v>29.812016293698694</v>
      </c>
      <c r="W60" s="830">
        <f t="shared" si="23"/>
        <v>-417.22746681892613</v>
      </c>
      <c r="X60" s="2773"/>
      <c r="Y60" s="498"/>
      <c r="Z60" s="498"/>
      <c r="AA60" s="498"/>
      <c r="AB60" s="498"/>
      <c r="AC60" s="498"/>
      <c r="AD60" s="498"/>
      <c r="AE60" s="498"/>
      <c r="AF60" s="498"/>
      <c r="AG60" s="498"/>
    </row>
    <row r="61" spans="1:33" x14ac:dyDescent="0.25">
      <c r="A61" s="2802"/>
      <c r="B61" s="706">
        <v>2065</v>
      </c>
      <c r="C61" s="1058">
        <f t="shared" si="15"/>
        <v>-201959.47891733114</v>
      </c>
      <c r="D61" s="1208">
        <f t="shared" si="6"/>
        <v>0</v>
      </c>
      <c r="E61" s="1208">
        <f t="shared" si="7"/>
        <v>8797.404281252464</v>
      </c>
      <c r="F61" s="1883">
        <f t="shared" si="8"/>
        <v>-193.1620746360787</v>
      </c>
      <c r="G61" s="1058">
        <f>P6</f>
        <v>-417.75588762863032</v>
      </c>
      <c r="H61" s="1058">
        <f t="shared" si="16"/>
        <v>-16319.048682906454</v>
      </c>
      <c r="I61" s="1058">
        <f t="shared" si="17"/>
        <v>58.50241358046182</v>
      </c>
      <c r="J61" s="1208">
        <f t="shared" si="18"/>
        <v>1127.1841971098338</v>
      </c>
      <c r="K61" s="1058">
        <f t="shared" si="19"/>
        <v>-31.197933837706117</v>
      </c>
      <c r="L61" s="1857">
        <v>97</v>
      </c>
      <c r="M61" s="1857">
        <f>'Emission-Waste Transport Vehicl'!P79</f>
        <v>7.2957103750080003</v>
      </c>
      <c r="N61" s="1857">
        <f>'Emission-Waste Transport Vehicl'!Q79</f>
        <v>5.6660538274560004</v>
      </c>
      <c r="O61" s="1857">
        <f>'Emission-Waste Transport Vehicl'!R79</f>
        <v>0.56394109411200011</v>
      </c>
      <c r="P61" s="1857">
        <f>'Emission-Waste Transport Vehicl'!S79</f>
        <v>2.5932409367040003E-2</v>
      </c>
      <c r="Q61" s="1857">
        <f>'Emission-Waste Transport Vehicl'!N79</f>
        <v>13.112740558368001</v>
      </c>
      <c r="R61" s="2180">
        <f t="shared" si="9"/>
        <v>-18736.721239699633</v>
      </c>
      <c r="S61" s="830">
        <f t="shared" si="20"/>
        <v>-3047.8259635928744</v>
      </c>
      <c r="T61" s="830">
        <f t="shared" si="21"/>
        <v>-92464.608250222911</v>
      </c>
      <c r="U61" s="830">
        <f t="shared" si="22"/>
        <v>32.991915122758371</v>
      </c>
      <c r="V61" s="1157">
        <f t="shared" si="13"/>
        <v>29.230602031510518</v>
      </c>
      <c r="W61" s="830">
        <f t="shared" si="23"/>
        <v>-409.09041237097045</v>
      </c>
      <c r="X61" s="2773"/>
      <c r="Y61" s="498"/>
      <c r="Z61" s="498"/>
      <c r="AA61" s="498"/>
      <c r="AB61" s="498"/>
      <c r="AC61" s="498"/>
      <c r="AD61" s="498"/>
      <c r="AE61" s="498"/>
      <c r="AF61" s="498"/>
      <c r="AG61" s="498"/>
    </row>
    <row r="62" spans="1:33" x14ac:dyDescent="0.25">
      <c r="A62" s="2802"/>
      <c r="B62" s="706">
        <v>2066</v>
      </c>
      <c r="C62" s="1058">
        <f t="shared" si="15"/>
        <v>-201959.47891733114</v>
      </c>
      <c r="D62" s="1208">
        <f t="shared" si="6"/>
        <v>0</v>
      </c>
      <c r="E62" s="1208">
        <f t="shared" si="7"/>
        <v>8797.404281252464</v>
      </c>
      <c r="F62" s="1883">
        <f t="shared" si="8"/>
        <v>-193.1620746360787</v>
      </c>
      <c r="G62" s="1058">
        <f>P6</f>
        <v>-417.75588762863032</v>
      </c>
      <c r="H62" s="1058">
        <f t="shared" si="16"/>
        <v>-16319.048682906454</v>
      </c>
      <c r="I62" s="1058">
        <f t="shared" si="17"/>
        <v>58.50241358046182</v>
      </c>
      <c r="J62" s="1208">
        <f t="shared" si="18"/>
        <v>1127.1841971098338</v>
      </c>
      <c r="K62" s="1058">
        <f t="shared" si="19"/>
        <v>-31.197933837706117</v>
      </c>
      <c r="L62" s="1857">
        <v>97</v>
      </c>
      <c r="M62" s="1857">
        <f>'Emission-Waste Transport Vehicl'!P80</f>
        <v>7.1524082567520004</v>
      </c>
      <c r="N62" s="1857">
        <f>'Emission-Waste Transport Vehicl'!Q80</f>
        <v>5.5547613728639993</v>
      </c>
      <c r="O62" s="1857">
        <f>'Emission-Waste Transport Vehicl'!R80</f>
        <v>0.55286418052800002</v>
      </c>
      <c r="P62" s="1857">
        <f>'Emission-Waste Transport Vehicl'!S80</f>
        <v>2.5423045781760002E-2</v>
      </c>
      <c r="Q62" s="1857">
        <f>'Emission-Waste Transport Vehicl'!N80</f>
        <v>12.855180512592</v>
      </c>
      <c r="R62" s="2180">
        <f t="shared" si="9"/>
        <v>-18736.721239699633</v>
      </c>
      <c r="S62" s="830">
        <f t="shared" si="20"/>
        <v>-2987.9606599817762</v>
      </c>
      <c r="T62" s="830">
        <f t="shared" si="21"/>
        <v>-90648.421265695899</v>
      </c>
      <c r="U62" s="830">
        <f t="shared" si="22"/>
        <v>32.343888943072166</v>
      </c>
      <c r="V62" s="1157">
        <f t="shared" si="13"/>
        <v>28.656455447599694</v>
      </c>
      <c r="W62" s="830">
        <f t="shared" si="23"/>
        <v>-401.05507110361424</v>
      </c>
      <c r="X62" s="2773"/>
      <c r="Y62" s="498"/>
      <c r="Z62" s="498"/>
      <c r="AA62" s="498"/>
      <c r="AB62" s="498"/>
      <c r="AC62" s="498"/>
      <c r="AD62" s="498"/>
      <c r="AE62" s="498"/>
      <c r="AF62" s="498"/>
      <c r="AG62" s="498"/>
    </row>
    <row r="63" spans="1:33" x14ac:dyDescent="0.25">
      <c r="A63" s="2802"/>
      <c r="B63" s="706">
        <v>2067</v>
      </c>
      <c r="C63" s="1058">
        <f t="shared" si="15"/>
        <v>-201959.47891733114</v>
      </c>
      <c r="D63" s="1208">
        <f t="shared" si="6"/>
        <v>0</v>
      </c>
      <c r="E63" s="1208">
        <f t="shared" si="7"/>
        <v>8797.404281252464</v>
      </c>
      <c r="F63" s="1883">
        <f t="shared" si="8"/>
        <v>-193.1620746360787</v>
      </c>
      <c r="G63" s="1058">
        <f>P6</f>
        <v>-417.75588762863032</v>
      </c>
      <c r="H63" s="1058">
        <f t="shared" si="16"/>
        <v>-16319.048682906454</v>
      </c>
      <c r="I63" s="1058">
        <f t="shared" si="17"/>
        <v>58.50241358046182</v>
      </c>
      <c r="J63" s="1208">
        <f t="shared" si="18"/>
        <v>1127.1841971098338</v>
      </c>
      <c r="K63" s="1058">
        <f t="shared" si="19"/>
        <v>-31.197933837706117</v>
      </c>
      <c r="L63" s="1857">
        <v>97</v>
      </c>
      <c r="M63" s="1857">
        <f>'Emission-Waste Transport Vehicl'!P81</f>
        <v>7.0109200893600008</v>
      </c>
      <c r="N63" s="1857">
        <f>'Emission-Waste Transport Vehicl'!Q81</f>
        <v>5.4448776835200006</v>
      </c>
      <c r="O63" s="1857">
        <f>'Emission-Waste Transport Vehicl'!R81</f>
        <v>0.5419274810400001</v>
      </c>
      <c r="P63" s="1857">
        <f>'Emission-Waste Transport Vehicl'!S81</f>
        <v>2.4920129836800003E-2</v>
      </c>
      <c r="Q63" s="1857">
        <f>'Emission-Waste Transport Vehicl'!N81</f>
        <v>12.600880720560001</v>
      </c>
      <c r="R63" s="2180">
        <f t="shared" si="9"/>
        <v>-18736.721239699633</v>
      </c>
      <c r="S63" s="830">
        <f t="shared" si="20"/>
        <v>-2928.8531450239834</v>
      </c>
      <c r="T63" s="830">
        <f t="shared" si="21"/>
        <v>-88855.223989833816</v>
      </c>
      <c r="U63" s="830">
        <f t="shared" si="22"/>
        <v>31.704065626419968</v>
      </c>
      <c r="V63" s="1157">
        <f t="shared" si="13"/>
        <v>28.089576541966224</v>
      </c>
      <c r="W63" s="830">
        <f t="shared" si="23"/>
        <v>-393.12144301685748</v>
      </c>
      <c r="X63" s="2773"/>
      <c r="Y63" s="498"/>
      <c r="Z63" s="498"/>
      <c r="AA63" s="498"/>
      <c r="AB63" s="498"/>
      <c r="AC63" s="498"/>
      <c r="AD63" s="498"/>
      <c r="AE63" s="498"/>
      <c r="AF63" s="498"/>
      <c r="AG63" s="498"/>
    </row>
    <row r="64" spans="1:33" x14ac:dyDescent="0.25">
      <c r="A64" s="2802"/>
      <c r="B64" s="706">
        <v>2068</v>
      </c>
      <c r="C64" s="1058">
        <f t="shared" si="15"/>
        <v>-201959.47891733114</v>
      </c>
      <c r="D64" s="1208">
        <f t="shared" si="6"/>
        <v>0</v>
      </c>
      <c r="E64" s="1208">
        <f t="shared" si="7"/>
        <v>8797.404281252464</v>
      </c>
      <c r="F64" s="1883">
        <f t="shared" si="8"/>
        <v>-193.1620746360787</v>
      </c>
      <c r="G64" s="1058">
        <f>P6</f>
        <v>-417.75588762863032</v>
      </c>
      <c r="H64" s="1058">
        <f t="shared" si="16"/>
        <v>-16319.048682906454</v>
      </c>
      <c r="I64" s="1058">
        <f t="shared" si="17"/>
        <v>58.50241358046182</v>
      </c>
      <c r="J64" s="1208">
        <f t="shared" si="18"/>
        <v>1127.1841971098338</v>
      </c>
      <c r="K64" s="1058">
        <f t="shared" si="19"/>
        <v>-31.197933837706117</v>
      </c>
      <c r="L64" s="1857">
        <v>97</v>
      </c>
      <c r="M64" s="1857">
        <f>'Emission-Waste Transport Vehicl'!P82</f>
        <v>6.8748737745600002</v>
      </c>
      <c r="N64" s="1857">
        <f>'Emission-Waste Transport Vehicl'!Q82</f>
        <v>5.339220289920001</v>
      </c>
      <c r="O64" s="1857">
        <f>'Emission-Waste Transport Vehicl'!R82</f>
        <v>0.53141142384000006</v>
      </c>
      <c r="P64" s="1857">
        <f>'Emission-Waste Transport Vehicl'!S82</f>
        <v>2.4436556812800003E-2</v>
      </c>
      <c r="Q64" s="1857">
        <f>'Emission-Waste Transport Vehicl'!N82</f>
        <v>12.356361689760002</v>
      </c>
      <c r="R64" s="2180">
        <f t="shared" si="9"/>
        <v>-18736.721239699633</v>
      </c>
      <c r="S64" s="830">
        <f t="shared" si="20"/>
        <v>-2872.018996026105</v>
      </c>
      <c r="T64" s="830">
        <f t="shared" si="21"/>
        <v>-87130.995839966403</v>
      </c>
      <c r="U64" s="830">
        <f t="shared" si="22"/>
        <v>31.088850898869772</v>
      </c>
      <c r="V64" s="1157">
        <f t="shared" si="13"/>
        <v>27.544500671164812</v>
      </c>
      <c r="W64" s="830">
        <f t="shared" si="23"/>
        <v>-385.49295447189911</v>
      </c>
      <c r="X64" s="2773"/>
      <c r="Y64" s="498"/>
      <c r="Z64" s="498"/>
      <c r="AA64" s="498"/>
      <c r="AB64" s="498"/>
      <c r="AC64" s="498"/>
      <c r="AD64" s="498"/>
      <c r="AE64" s="498"/>
      <c r="AF64" s="498"/>
      <c r="AG64" s="498"/>
    </row>
    <row r="65" spans="1:33" ht="15.75" thickBot="1" x14ac:dyDescent="0.3">
      <c r="A65" s="2807"/>
      <c r="B65" s="55">
        <v>2069</v>
      </c>
      <c r="C65" s="1060">
        <f t="shared" si="15"/>
        <v>-201959.47891733114</v>
      </c>
      <c r="D65" s="1871">
        <f t="shared" si="6"/>
        <v>0</v>
      </c>
      <c r="E65" s="1871">
        <f t="shared" si="7"/>
        <v>8797.404281252464</v>
      </c>
      <c r="F65" s="1872">
        <f t="shared" si="8"/>
        <v>-193.1620746360787</v>
      </c>
      <c r="G65" s="1060">
        <f>P6</f>
        <v>-417.75588762863032</v>
      </c>
      <c r="H65" s="1060">
        <f t="shared" si="16"/>
        <v>-16319.048682906454</v>
      </c>
      <c r="I65" s="1060">
        <f t="shared" si="17"/>
        <v>58.50241358046182</v>
      </c>
      <c r="J65" s="1871">
        <f t="shared" si="18"/>
        <v>1127.1841971098338</v>
      </c>
      <c r="K65" s="1060">
        <f t="shared" si="19"/>
        <v>-31.197933837706117</v>
      </c>
      <c r="L65" s="1858">
        <v>97</v>
      </c>
      <c r="M65" s="1858">
        <f>'Emission-Waste Transport Vehicl'!P83</f>
        <v>6.7388274597600004</v>
      </c>
      <c r="N65" s="1858">
        <f>'Emission-Waste Transport Vehicl'!Q83</f>
        <v>5.2335628963200005</v>
      </c>
      <c r="O65" s="1858">
        <f>'Emission-Waste Transport Vehicl'!R83</f>
        <v>0.52089536664000002</v>
      </c>
      <c r="P65" s="1858">
        <f>'Emission-Waste Transport Vehicl'!S83</f>
        <v>2.3952983788800002E-2</v>
      </c>
      <c r="Q65" s="1858">
        <f>'Emission-Waste Transport Vehicl'!N83</f>
        <v>12.111842658960002</v>
      </c>
      <c r="R65" s="2181">
        <f t="shared" si="9"/>
        <v>-18736.721239699633</v>
      </c>
      <c r="S65" s="1063">
        <f t="shared" si="20"/>
        <v>-2815.1848470282271</v>
      </c>
      <c r="T65" s="1063">
        <f t="shared" si="21"/>
        <v>-85406.76769009899</v>
      </c>
      <c r="U65" s="1063">
        <f t="shared" si="22"/>
        <v>30.473636171319576</v>
      </c>
      <c r="V65" s="1161">
        <f t="shared" si="13"/>
        <v>26.999424800363396</v>
      </c>
      <c r="W65" s="1063">
        <f t="shared" si="23"/>
        <v>-377.86446592694068</v>
      </c>
      <c r="X65" s="2774"/>
      <c r="Y65" s="498"/>
      <c r="Z65" s="498"/>
      <c r="AA65" s="498"/>
      <c r="AB65" s="498"/>
      <c r="AC65" s="498"/>
      <c r="AD65" s="498"/>
      <c r="AE65" s="498"/>
      <c r="AF65" s="498"/>
      <c r="AG65" s="498"/>
    </row>
    <row r="66" spans="1:33" ht="15.75" thickBot="1" x14ac:dyDescent="0.3">
      <c r="A66" s="498"/>
      <c r="B66" s="498"/>
      <c r="C66" s="498"/>
      <c r="D66" s="498"/>
      <c r="E66" s="498"/>
      <c r="F66" s="498"/>
      <c r="G66" s="498"/>
      <c r="H66" s="498"/>
      <c r="I66" s="498"/>
      <c r="J66" s="498"/>
      <c r="K66" s="498"/>
      <c r="L66" s="498"/>
      <c r="M66" s="498"/>
      <c r="N66" s="498"/>
      <c r="O66" s="498"/>
      <c r="P66" s="498"/>
      <c r="Q66" s="498"/>
      <c r="R66" s="498"/>
      <c r="S66" s="498"/>
      <c r="T66" s="498"/>
      <c r="U66" s="498"/>
      <c r="V66" s="498"/>
      <c r="W66" s="498"/>
      <c r="X66" s="498"/>
      <c r="Y66" s="498"/>
      <c r="Z66" s="498"/>
      <c r="AA66" s="498"/>
      <c r="AB66" s="498"/>
      <c r="AC66" s="498"/>
      <c r="AD66" s="498"/>
      <c r="AE66" s="498"/>
      <c r="AF66" s="498"/>
      <c r="AG66" s="498"/>
    </row>
    <row r="67" spans="1:33" ht="61.5" customHeight="1" thickBot="1" x14ac:dyDescent="0.3">
      <c r="A67" s="2832" t="s">
        <v>1334</v>
      </c>
      <c r="B67" s="2833"/>
      <c r="C67" s="2833"/>
      <c r="D67" s="2833"/>
      <c r="E67" s="2833"/>
      <c r="F67" s="2833"/>
      <c r="G67" s="2833"/>
      <c r="H67" s="2833"/>
      <c r="I67" s="2833"/>
      <c r="J67" s="2833"/>
      <c r="K67" s="2833"/>
      <c r="L67" s="2833"/>
      <c r="M67" s="2833"/>
      <c r="N67" s="2833"/>
      <c r="O67" s="2833"/>
      <c r="P67" s="2833"/>
      <c r="Q67" s="2833"/>
      <c r="R67" s="2834"/>
      <c r="S67" s="498"/>
      <c r="T67" s="498"/>
      <c r="U67" s="498"/>
      <c r="V67" s="498"/>
      <c r="W67" s="498"/>
      <c r="X67" s="498"/>
      <c r="Y67" s="498"/>
      <c r="Z67" s="498"/>
      <c r="AA67" s="498"/>
      <c r="AB67" s="498"/>
      <c r="AC67" s="498"/>
      <c r="AD67" s="498"/>
      <c r="AE67" s="498"/>
      <c r="AF67" s="498"/>
      <c r="AG67" s="498"/>
    </row>
    <row r="68" spans="1:33" ht="135.75" thickBot="1" x14ac:dyDescent="0.3">
      <c r="A68" s="1009" t="s">
        <v>1130</v>
      </c>
      <c r="B68" s="1022" t="s">
        <v>177</v>
      </c>
      <c r="C68" s="1010" t="s">
        <v>1244</v>
      </c>
      <c r="D68" s="1010" t="s">
        <v>1103</v>
      </c>
      <c r="E68" s="1010" t="s">
        <v>1104</v>
      </c>
      <c r="F68" s="1010" t="s">
        <v>1241</v>
      </c>
      <c r="G68" s="1010" t="s">
        <v>1242</v>
      </c>
      <c r="H68" s="128" t="s">
        <v>272</v>
      </c>
      <c r="I68" s="1010" t="s">
        <v>1080</v>
      </c>
      <c r="J68" s="1010" t="s">
        <v>273</v>
      </c>
      <c r="K68" s="1010" t="s">
        <v>455</v>
      </c>
      <c r="L68" s="1010" t="s">
        <v>274</v>
      </c>
      <c r="M68" s="1010" t="s">
        <v>1117</v>
      </c>
      <c r="N68" s="1010" t="s">
        <v>1079</v>
      </c>
      <c r="O68" s="1010" t="s">
        <v>271</v>
      </c>
      <c r="P68" s="1010" t="s">
        <v>277</v>
      </c>
      <c r="Q68" s="1010" t="s">
        <v>278</v>
      </c>
      <c r="R68" s="83" t="s">
        <v>316</v>
      </c>
      <c r="S68" s="498"/>
      <c r="T68" s="498"/>
      <c r="U68" s="498"/>
      <c r="V68" s="498"/>
      <c r="W68" s="498"/>
      <c r="X68" s="498"/>
      <c r="Y68" s="498"/>
      <c r="Z68" s="498"/>
      <c r="AA68" s="498"/>
      <c r="AB68" s="498"/>
      <c r="AC68" s="498"/>
      <c r="AD68" s="498"/>
      <c r="AE68" s="498"/>
      <c r="AF68" s="498"/>
      <c r="AG68" s="498"/>
    </row>
    <row r="69" spans="1:33" x14ac:dyDescent="0.25">
      <c r="A69" s="2806" t="s">
        <v>1177</v>
      </c>
      <c r="B69" s="888">
        <v>2019</v>
      </c>
      <c r="C69" s="1055">
        <f t="shared" ref="C69:C100" si="24">$Q$11</f>
        <v>68961.207501437384</v>
      </c>
      <c r="D69" s="1055">
        <f t="shared" ref="D69:D100" si="25">$P$11</f>
        <v>4.3669318500693848</v>
      </c>
      <c r="E69" s="1055">
        <f t="shared" ref="E69:E100" si="26">$M$11</f>
        <v>54.585725510703057</v>
      </c>
      <c r="F69" s="1055">
        <f t="shared" ref="F69:F100" si="27">$N$11</f>
        <v>-0.19710688300087648</v>
      </c>
      <c r="G69" s="1055">
        <f t="shared" ref="G69:G100" si="28">$O$11</f>
        <v>3.1629722452113631</v>
      </c>
      <c r="H69" s="1056">
        <v>62</v>
      </c>
      <c r="I69" s="1056">
        <f>'Emission-Waste Transport Vehicl'!N33</f>
        <v>32.602537440000006</v>
      </c>
      <c r="J69" s="1056">
        <f>'Emission-Waste Transport Vehicl'!P33</f>
        <v>18.139508640000003</v>
      </c>
      <c r="K69" s="1056">
        <f>'Emission-Waste Transport Vehicl'!Q33</f>
        <v>14.087652480000001</v>
      </c>
      <c r="L69" s="1056">
        <f>'Emission-Waste Transport Vehicl'!R33</f>
        <v>1.4021409600000001</v>
      </c>
      <c r="M69" s="1056">
        <f>(C69/1000)*H69</f>
        <v>4275.5948650891178</v>
      </c>
      <c r="N69" s="1057">
        <f t="shared" ref="N69:N119" si="29">D69*I69</f>
        <v>142.37305913981561</v>
      </c>
      <c r="O69" s="1057">
        <f t="shared" ref="O69:O119" si="30">E69*J69</f>
        <v>990.15823952206665</v>
      </c>
      <c r="P69" s="1057">
        <f t="shared" ref="P69:P119" si="31">F69*K69</f>
        <v>-2.7767732691323674</v>
      </c>
      <c r="Q69" s="1057">
        <f t="shared" ref="Q69:Q119" si="32">G69*L69</f>
        <v>4.4349329403540168</v>
      </c>
      <c r="R69" s="2772">
        <f>(SUM(M69:M119)*1.2682)+(SUM(N69:N119))+(SUM(O69:O119))+(SUM(P69:P119))+(SUM(Q69:Q119))</f>
        <v>421140.74944871815</v>
      </c>
      <c r="S69" s="498"/>
      <c r="T69" s="498"/>
      <c r="U69" s="498"/>
      <c r="V69" s="498"/>
      <c r="W69" s="498"/>
      <c r="X69" s="498"/>
      <c r="Y69" s="498"/>
      <c r="Z69" s="498"/>
      <c r="AA69" s="498"/>
      <c r="AB69" s="498"/>
      <c r="AC69" s="498"/>
      <c r="AD69" s="498"/>
      <c r="AE69" s="498"/>
      <c r="AF69" s="498"/>
      <c r="AG69" s="498"/>
    </row>
    <row r="70" spans="1:33" x14ac:dyDescent="0.25">
      <c r="A70" s="2802"/>
      <c r="B70" s="706">
        <v>2020</v>
      </c>
      <c r="C70" s="1058">
        <f t="shared" si="24"/>
        <v>68961.207501437384</v>
      </c>
      <c r="D70" s="1058">
        <f t="shared" si="25"/>
        <v>4.3669318500693848</v>
      </c>
      <c r="E70" s="1058">
        <f t="shared" si="26"/>
        <v>54.585725510703057</v>
      </c>
      <c r="F70" s="1058">
        <f t="shared" si="27"/>
        <v>-0.19710688300087648</v>
      </c>
      <c r="G70" s="1058">
        <f t="shared" si="28"/>
        <v>3.1629722452113631</v>
      </c>
      <c r="H70" s="827">
        <v>64</v>
      </c>
      <c r="I70" s="827">
        <f>'Emission-Waste Transport Vehicl'!N34</f>
        <v>31.963527706176006</v>
      </c>
      <c r="J70" s="827">
        <f>'Emission-Waste Transport Vehicl'!P34</f>
        <v>17.783974270656003</v>
      </c>
      <c r="K70" s="827">
        <f>'Emission-Waste Transport Vehicl'!Q34</f>
        <v>13.811534491392001</v>
      </c>
      <c r="L70" s="827">
        <f>'Emission-Waste Transport Vehicl'!R34</f>
        <v>1.3746589971840002</v>
      </c>
      <c r="M70" s="827">
        <f t="shared" ref="M70:M119" si="33">(C70/1000)*H70</f>
        <v>4413.5172800919927</v>
      </c>
      <c r="N70" s="830">
        <f t="shared" si="29"/>
        <v>139.58254718067522</v>
      </c>
      <c r="O70" s="830">
        <f t="shared" si="30"/>
        <v>970.75113802743419</v>
      </c>
      <c r="P70" s="830">
        <f t="shared" si="31"/>
        <v>-2.7223485130573732</v>
      </c>
      <c r="Q70" s="830">
        <f t="shared" si="32"/>
        <v>4.3480082547230783</v>
      </c>
      <c r="R70" s="2773"/>
      <c r="S70" s="498"/>
      <c r="T70" s="498"/>
      <c r="U70" s="498"/>
      <c r="V70" s="498"/>
      <c r="W70" s="498"/>
      <c r="X70" s="498"/>
      <c r="Y70" s="498"/>
      <c r="Z70" s="498"/>
      <c r="AA70" s="498"/>
      <c r="AB70" s="498"/>
      <c r="AC70" s="498"/>
      <c r="AD70" s="498"/>
      <c r="AE70" s="498"/>
      <c r="AF70" s="498"/>
      <c r="AG70" s="498"/>
    </row>
    <row r="71" spans="1:33" x14ac:dyDescent="0.25">
      <c r="A71" s="2802"/>
      <c r="B71" s="706">
        <v>2021</v>
      </c>
      <c r="C71" s="1058">
        <f t="shared" si="24"/>
        <v>68961.207501437384</v>
      </c>
      <c r="D71" s="1058">
        <f t="shared" si="25"/>
        <v>4.3669318500693848</v>
      </c>
      <c r="E71" s="1058">
        <f t="shared" si="26"/>
        <v>54.585725510703057</v>
      </c>
      <c r="F71" s="1058">
        <f t="shared" si="27"/>
        <v>-0.19710688300087648</v>
      </c>
      <c r="G71" s="1058">
        <f t="shared" si="28"/>
        <v>3.1629722452113631</v>
      </c>
      <c r="H71" s="827">
        <v>65</v>
      </c>
      <c r="I71" s="827">
        <f>'Emission-Waste Transport Vehicl'!N35</f>
        <v>31.337558987328006</v>
      </c>
      <c r="J71" s="827">
        <f>'Emission-Waste Transport Vehicl'!P35</f>
        <v>17.435695704768001</v>
      </c>
      <c r="K71" s="827">
        <f>'Emission-Waste Transport Vehicl'!Q35</f>
        <v>13.541051563776001</v>
      </c>
      <c r="L71" s="827">
        <f>'Emission-Waste Transport Vehicl'!R35</f>
        <v>1.3477378907520003</v>
      </c>
      <c r="M71" s="827">
        <f t="shared" si="33"/>
        <v>4482.4784875934301</v>
      </c>
      <c r="N71" s="830">
        <f t="shared" si="29"/>
        <v>136.84898444519075</v>
      </c>
      <c r="O71" s="830">
        <f t="shared" si="30"/>
        <v>951.74009982861037</v>
      </c>
      <c r="P71" s="830">
        <f t="shared" si="31"/>
        <v>-2.6690344662900318</v>
      </c>
      <c r="Q71" s="830">
        <f t="shared" si="32"/>
        <v>4.2628575422682813</v>
      </c>
      <c r="R71" s="2773"/>
      <c r="S71" s="498"/>
      <c r="T71" s="498"/>
      <c r="U71" s="498"/>
      <c r="V71" s="498"/>
      <c r="W71" s="498"/>
      <c r="X71" s="498"/>
      <c r="Y71" s="498"/>
      <c r="Z71" s="498"/>
      <c r="AA71" s="498"/>
      <c r="AB71" s="498"/>
      <c r="AC71" s="498"/>
      <c r="AD71" s="498"/>
      <c r="AE71" s="498"/>
      <c r="AF71" s="498"/>
      <c r="AG71" s="498"/>
    </row>
    <row r="72" spans="1:33" x14ac:dyDescent="0.25">
      <c r="A72" s="2802"/>
      <c r="B72" s="706">
        <v>2022</v>
      </c>
      <c r="C72" s="1058">
        <f t="shared" si="24"/>
        <v>68961.207501437384</v>
      </c>
      <c r="D72" s="1058">
        <f t="shared" si="25"/>
        <v>4.3669318500693848</v>
      </c>
      <c r="E72" s="1058">
        <f t="shared" si="26"/>
        <v>54.585725510703057</v>
      </c>
      <c r="F72" s="1058">
        <f t="shared" si="27"/>
        <v>-0.19710688300087648</v>
      </c>
      <c r="G72" s="1058">
        <f t="shared" si="28"/>
        <v>3.1629722452113631</v>
      </c>
      <c r="H72" s="827">
        <v>66</v>
      </c>
      <c r="I72" s="827">
        <f>'Emission-Waste Transport Vehicl'!N36</f>
        <v>30.721371029712003</v>
      </c>
      <c r="J72" s="827">
        <f>'Emission-Waste Transport Vehicl'!P36</f>
        <v>17.092858991472003</v>
      </c>
      <c r="K72" s="827">
        <f>'Emission-Waste Transport Vehicl'!Q36</f>
        <v>13.274794931903999</v>
      </c>
      <c r="L72" s="827">
        <f>'Emission-Waste Transport Vehicl'!R36</f>
        <v>1.3212374266080003</v>
      </c>
      <c r="M72" s="827">
        <f t="shared" si="33"/>
        <v>4551.4396950948676</v>
      </c>
      <c r="N72" s="830">
        <f t="shared" si="29"/>
        <v>134.15813362744825</v>
      </c>
      <c r="O72" s="830">
        <f t="shared" si="30"/>
        <v>933.02610910164344</v>
      </c>
      <c r="P72" s="830">
        <f t="shared" si="31"/>
        <v>-2.6165534515034294</v>
      </c>
      <c r="Q72" s="830">
        <f t="shared" si="32"/>
        <v>4.1790373096955902</v>
      </c>
      <c r="R72" s="2773"/>
      <c r="S72" s="498"/>
      <c r="T72" s="498"/>
      <c r="U72" s="498"/>
      <c r="V72" s="498"/>
      <c r="W72" s="498"/>
      <c r="X72" s="498"/>
      <c r="Y72" s="498"/>
      <c r="Z72" s="498"/>
      <c r="AA72" s="498"/>
      <c r="AB72" s="498"/>
      <c r="AC72" s="498"/>
      <c r="AD72" s="498"/>
      <c r="AE72" s="498"/>
      <c r="AF72" s="498"/>
      <c r="AG72" s="498"/>
    </row>
    <row r="73" spans="1:33" x14ac:dyDescent="0.25">
      <c r="A73" s="2802"/>
      <c r="B73" s="706">
        <v>2023</v>
      </c>
      <c r="C73" s="1058">
        <f t="shared" si="24"/>
        <v>68961.207501437384</v>
      </c>
      <c r="D73" s="1058">
        <f t="shared" si="25"/>
        <v>4.3669318500693848</v>
      </c>
      <c r="E73" s="1058">
        <f t="shared" si="26"/>
        <v>54.585725510703057</v>
      </c>
      <c r="F73" s="1058">
        <f t="shared" si="27"/>
        <v>-0.19710688300087648</v>
      </c>
      <c r="G73" s="1058">
        <f t="shared" si="28"/>
        <v>3.1629722452113631</v>
      </c>
      <c r="H73" s="827">
        <v>67</v>
      </c>
      <c r="I73" s="827">
        <f>'Emission-Waste Transport Vehicl'!N37</f>
        <v>30.118224087072001</v>
      </c>
      <c r="J73" s="827">
        <f>'Emission-Waste Transport Vehicl'!P37</f>
        <v>16.757278081632002</v>
      </c>
      <c r="K73" s="827">
        <f>'Emission-Waste Transport Vehicl'!Q37</f>
        <v>13.014173361024</v>
      </c>
      <c r="L73" s="827">
        <f>'Emission-Waste Transport Vehicl'!R37</f>
        <v>1.295297818848</v>
      </c>
      <c r="M73" s="827">
        <f t="shared" si="33"/>
        <v>4620.4009025963051</v>
      </c>
      <c r="N73" s="830">
        <f t="shared" si="29"/>
        <v>131.52423203336164</v>
      </c>
      <c r="O73" s="830">
        <f t="shared" si="30"/>
        <v>914.70818167048515</v>
      </c>
      <c r="P73" s="830">
        <f t="shared" si="31"/>
        <v>-2.5651831460244807</v>
      </c>
      <c r="Q73" s="830">
        <f t="shared" si="32"/>
        <v>4.0969910502990396</v>
      </c>
      <c r="R73" s="2773"/>
      <c r="S73" s="498"/>
      <c r="T73" s="498"/>
      <c r="U73" s="498"/>
      <c r="V73" s="498"/>
      <c r="W73" s="498"/>
      <c r="X73" s="498"/>
      <c r="Y73" s="498"/>
      <c r="Z73" s="498"/>
      <c r="AA73" s="498"/>
      <c r="AB73" s="498"/>
      <c r="AC73" s="498"/>
      <c r="AD73" s="498"/>
      <c r="AE73" s="498"/>
      <c r="AF73" s="498"/>
      <c r="AG73" s="498"/>
    </row>
    <row r="74" spans="1:33" x14ac:dyDescent="0.25">
      <c r="A74" s="2802"/>
      <c r="B74" s="706">
        <v>2024</v>
      </c>
      <c r="C74" s="1058">
        <f t="shared" si="24"/>
        <v>68961.207501437384</v>
      </c>
      <c r="D74" s="1058">
        <f t="shared" si="25"/>
        <v>4.3669318500693848</v>
      </c>
      <c r="E74" s="1058">
        <f t="shared" si="26"/>
        <v>54.585725510703057</v>
      </c>
      <c r="F74" s="1058">
        <f t="shared" si="27"/>
        <v>-0.19710688300087648</v>
      </c>
      <c r="G74" s="1058">
        <f t="shared" si="28"/>
        <v>3.1629722452113631</v>
      </c>
      <c r="H74" s="827">
        <v>68</v>
      </c>
      <c r="I74" s="827">
        <f>'Emission-Waste Transport Vehicl'!N38</f>
        <v>29.528118159408002</v>
      </c>
      <c r="J74" s="827">
        <f>'Emission-Waste Transport Vehicl'!P38</f>
        <v>16.428952975248002</v>
      </c>
      <c r="K74" s="827">
        <f>'Emission-Waste Transport Vehicl'!Q38</f>
        <v>12.759186851135999</v>
      </c>
      <c r="L74" s="827">
        <f>'Emission-Waste Transport Vehicl'!R38</f>
        <v>1.269919067472</v>
      </c>
      <c r="M74" s="827">
        <f t="shared" si="33"/>
        <v>4689.3621100977425</v>
      </c>
      <c r="N74" s="830">
        <f t="shared" si="29"/>
        <v>128.94727966293098</v>
      </c>
      <c r="O74" s="830">
        <f t="shared" si="30"/>
        <v>896.78631753513571</v>
      </c>
      <c r="P74" s="830">
        <f t="shared" si="31"/>
        <v>-2.5149235498531848</v>
      </c>
      <c r="Q74" s="830">
        <f t="shared" si="32"/>
        <v>4.0167187640786324</v>
      </c>
      <c r="R74" s="2773"/>
      <c r="S74" s="498"/>
      <c r="T74" s="498"/>
      <c r="U74" s="498"/>
      <c r="V74" s="498"/>
      <c r="W74" s="498"/>
      <c r="X74" s="498"/>
      <c r="Y74" s="498"/>
      <c r="Z74" s="498"/>
      <c r="AA74" s="498"/>
      <c r="AB74" s="498"/>
      <c r="AC74" s="498"/>
      <c r="AD74" s="498"/>
      <c r="AE74" s="498"/>
      <c r="AF74" s="498"/>
      <c r="AG74" s="498"/>
    </row>
    <row r="75" spans="1:33" x14ac:dyDescent="0.25">
      <c r="A75" s="2802"/>
      <c r="B75" s="706">
        <v>2025</v>
      </c>
      <c r="C75" s="1058">
        <f t="shared" si="24"/>
        <v>68961.207501437384</v>
      </c>
      <c r="D75" s="1058">
        <f t="shared" si="25"/>
        <v>4.3669318500693848</v>
      </c>
      <c r="E75" s="1058">
        <f t="shared" si="26"/>
        <v>54.585725510703057</v>
      </c>
      <c r="F75" s="1058">
        <f t="shared" si="27"/>
        <v>-0.19710688300087648</v>
      </c>
      <c r="G75" s="1058">
        <f t="shared" si="28"/>
        <v>3.1629722452113631</v>
      </c>
      <c r="H75" s="827">
        <v>69</v>
      </c>
      <c r="I75" s="827">
        <f>'Emission-Waste Transport Vehicl'!N39</f>
        <v>28.951053246720004</v>
      </c>
      <c r="J75" s="827">
        <f>'Emission-Waste Transport Vehicl'!P39</f>
        <v>16.10788367232</v>
      </c>
      <c r="K75" s="827">
        <f>'Emission-Waste Transport Vehicl'!Q39</f>
        <v>12.50983540224</v>
      </c>
      <c r="L75" s="827">
        <f>'Emission-Waste Transport Vehicl'!R39</f>
        <v>1.2451011724800001</v>
      </c>
      <c r="M75" s="827">
        <f t="shared" si="33"/>
        <v>4758.32331759918</v>
      </c>
      <c r="N75" s="830">
        <f t="shared" si="29"/>
        <v>126.42727651615625</v>
      </c>
      <c r="O75" s="830">
        <f t="shared" si="30"/>
        <v>879.26051669559502</v>
      </c>
      <c r="P75" s="830">
        <f t="shared" si="31"/>
        <v>-2.4657746629895421</v>
      </c>
      <c r="Q75" s="830">
        <f t="shared" si="32"/>
        <v>3.9382204510343666</v>
      </c>
      <c r="R75" s="2773"/>
      <c r="S75" s="498"/>
      <c r="T75" s="498"/>
      <c r="U75" s="498"/>
      <c r="V75" s="498"/>
      <c r="W75" s="498"/>
      <c r="X75" s="498"/>
      <c r="Y75" s="498"/>
      <c r="Z75" s="498"/>
      <c r="AA75" s="498"/>
      <c r="AB75" s="498"/>
      <c r="AC75" s="498"/>
      <c r="AD75" s="498"/>
      <c r="AE75" s="498"/>
      <c r="AF75" s="498"/>
      <c r="AG75" s="498"/>
    </row>
    <row r="76" spans="1:33" x14ac:dyDescent="0.25">
      <c r="A76" s="2802"/>
      <c r="B76" s="706">
        <v>2026</v>
      </c>
      <c r="C76" s="1058">
        <f t="shared" si="24"/>
        <v>68961.207501437384</v>
      </c>
      <c r="D76" s="1058">
        <f t="shared" si="25"/>
        <v>4.3669318500693848</v>
      </c>
      <c r="E76" s="1058">
        <f t="shared" si="26"/>
        <v>54.585725510703057</v>
      </c>
      <c r="F76" s="1058">
        <f t="shared" si="27"/>
        <v>-0.19710688300087648</v>
      </c>
      <c r="G76" s="1058">
        <f t="shared" si="28"/>
        <v>3.1629722452113631</v>
      </c>
      <c r="H76" s="827">
        <v>70</v>
      </c>
      <c r="I76" s="827">
        <f>'Emission-Waste Transport Vehicl'!N40</f>
        <v>28.383769095264007</v>
      </c>
      <c r="J76" s="827">
        <f>'Emission-Waste Transport Vehicl'!P40</f>
        <v>15.792256221984003</v>
      </c>
      <c r="K76" s="827">
        <f>'Emission-Waste Transport Vehicl'!Q40</f>
        <v>12.264710249088001</v>
      </c>
      <c r="L76" s="827">
        <f>'Emission-Waste Transport Vehicl'!R40</f>
        <v>1.2207039197760001</v>
      </c>
      <c r="M76" s="827">
        <f t="shared" si="33"/>
        <v>4827.2845251006174</v>
      </c>
      <c r="N76" s="830">
        <f t="shared" si="29"/>
        <v>123.94998528712348</v>
      </c>
      <c r="O76" s="830">
        <f t="shared" si="30"/>
        <v>862.03176332791122</v>
      </c>
      <c r="P76" s="830">
        <f t="shared" si="31"/>
        <v>-2.4174588081066393</v>
      </c>
      <c r="Q76" s="830">
        <f t="shared" si="32"/>
        <v>3.8610526178722067</v>
      </c>
      <c r="R76" s="2773"/>
      <c r="S76" s="498"/>
      <c r="T76" s="498"/>
      <c r="U76" s="498"/>
      <c r="V76" s="498"/>
      <c r="W76" s="498"/>
      <c r="X76" s="498"/>
      <c r="Y76" s="498"/>
      <c r="Z76" s="498"/>
      <c r="AA76" s="498"/>
      <c r="AB76" s="498"/>
      <c r="AC76" s="498"/>
      <c r="AD76" s="498"/>
      <c r="AE76" s="498"/>
      <c r="AF76" s="498"/>
      <c r="AG76" s="498"/>
    </row>
    <row r="77" spans="1:33" x14ac:dyDescent="0.25">
      <c r="A77" s="2802"/>
      <c r="B77" s="706">
        <v>2027</v>
      </c>
      <c r="C77" s="1058">
        <f t="shared" si="24"/>
        <v>68961.207501437384</v>
      </c>
      <c r="D77" s="1058">
        <f t="shared" si="25"/>
        <v>4.3669318500693848</v>
      </c>
      <c r="E77" s="1058">
        <f t="shared" si="26"/>
        <v>54.585725510703057</v>
      </c>
      <c r="F77" s="1058">
        <f t="shared" si="27"/>
        <v>-0.19710688300087648</v>
      </c>
      <c r="G77" s="1058">
        <f t="shared" si="28"/>
        <v>3.1629722452113631</v>
      </c>
      <c r="H77" s="827">
        <v>71</v>
      </c>
      <c r="I77" s="827">
        <f>'Emission-Waste Transport Vehicl'!N41</f>
        <v>27.826265705040004</v>
      </c>
      <c r="J77" s="827">
        <f>'Emission-Waste Transport Vehicl'!P41</f>
        <v>15.482070624240002</v>
      </c>
      <c r="K77" s="827">
        <f>'Emission-Waste Transport Vehicl'!Q41</f>
        <v>12.023811391680001</v>
      </c>
      <c r="L77" s="827">
        <f>'Emission-Waste Transport Vehicl'!R41</f>
        <v>1.1967273093600002</v>
      </c>
      <c r="M77" s="827">
        <f t="shared" si="33"/>
        <v>4896.245732602054</v>
      </c>
      <c r="N77" s="830">
        <f t="shared" si="29"/>
        <v>121.51540597583262</v>
      </c>
      <c r="O77" s="830">
        <f t="shared" si="30"/>
        <v>845.10005743208387</v>
      </c>
      <c r="P77" s="830">
        <f t="shared" si="31"/>
        <v>-2.3699759852044755</v>
      </c>
      <c r="Q77" s="830">
        <f t="shared" si="32"/>
        <v>3.7852152645921531</v>
      </c>
      <c r="R77" s="2773"/>
      <c r="S77" s="498"/>
      <c r="T77" s="498"/>
      <c r="U77" s="498"/>
      <c r="V77" s="498"/>
      <c r="W77" s="498"/>
      <c r="X77" s="498"/>
      <c r="Y77" s="498"/>
      <c r="Z77" s="498"/>
      <c r="AA77" s="498"/>
      <c r="AB77" s="498"/>
      <c r="AC77" s="498"/>
      <c r="AD77" s="498"/>
      <c r="AE77" s="498"/>
      <c r="AF77" s="498"/>
      <c r="AG77" s="498"/>
    </row>
    <row r="78" spans="1:33" x14ac:dyDescent="0.25">
      <c r="A78" s="2802"/>
      <c r="B78" s="706">
        <v>2028</v>
      </c>
      <c r="C78" s="1058">
        <f t="shared" si="24"/>
        <v>68961.207501437384</v>
      </c>
      <c r="D78" s="1058">
        <f t="shared" si="25"/>
        <v>4.3669318500693848</v>
      </c>
      <c r="E78" s="1058">
        <f t="shared" si="26"/>
        <v>54.585725510703057</v>
      </c>
      <c r="F78" s="1058">
        <f t="shared" si="27"/>
        <v>-0.19710688300087648</v>
      </c>
      <c r="G78" s="1058">
        <f t="shared" si="28"/>
        <v>3.1629722452113631</v>
      </c>
      <c r="H78" s="827">
        <v>72</v>
      </c>
      <c r="I78" s="827">
        <f>'Emission-Waste Transport Vehicl'!N42</f>
        <v>27.281803329792002</v>
      </c>
      <c r="J78" s="827">
        <f>'Emission-Waste Transport Vehicl'!P42</f>
        <v>15.179140829952001</v>
      </c>
      <c r="K78" s="827">
        <f>'Emission-Waste Transport Vehicl'!Q42</f>
        <v>11.788547595263999</v>
      </c>
      <c r="L78" s="827">
        <f>'Emission-Waste Transport Vehicl'!R42</f>
        <v>1.173311555328</v>
      </c>
      <c r="M78" s="827">
        <f t="shared" si="33"/>
        <v>4965.2069401034914</v>
      </c>
      <c r="N78" s="830">
        <f t="shared" si="29"/>
        <v>119.13777588819769</v>
      </c>
      <c r="O78" s="830">
        <f t="shared" si="30"/>
        <v>828.56441483206527</v>
      </c>
      <c r="P78" s="830">
        <f t="shared" si="31"/>
        <v>-2.323603871609965</v>
      </c>
      <c r="Q78" s="830">
        <f t="shared" si="32"/>
        <v>3.7111518844882405</v>
      </c>
      <c r="R78" s="2773"/>
      <c r="S78" s="498"/>
      <c r="T78" s="498"/>
      <c r="U78" s="498"/>
      <c r="V78" s="498"/>
      <c r="W78" s="498"/>
      <c r="X78" s="498"/>
      <c r="Y78" s="498"/>
      <c r="Z78" s="498"/>
      <c r="AA78" s="498"/>
      <c r="AB78" s="498"/>
      <c r="AC78" s="498"/>
      <c r="AD78" s="498"/>
      <c r="AE78" s="498"/>
      <c r="AF78" s="498"/>
      <c r="AG78" s="498"/>
    </row>
    <row r="79" spans="1:33" x14ac:dyDescent="0.25">
      <c r="A79" s="2802"/>
      <c r="B79" s="706">
        <v>2029</v>
      </c>
      <c r="C79" s="1058">
        <f t="shared" si="24"/>
        <v>68961.207501437384</v>
      </c>
      <c r="D79" s="1058">
        <f t="shared" si="25"/>
        <v>4.3669318500693848</v>
      </c>
      <c r="E79" s="1058">
        <f t="shared" si="26"/>
        <v>54.585725510703057</v>
      </c>
      <c r="F79" s="1058">
        <f t="shared" si="27"/>
        <v>-0.19710688300087648</v>
      </c>
      <c r="G79" s="1058">
        <f t="shared" si="28"/>
        <v>3.1629722452113631</v>
      </c>
      <c r="H79" s="827">
        <v>73</v>
      </c>
      <c r="I79" s="827">
        <f>'Emission-Waste Transport Vehicl'!N43</f>
        <v>26.743861462032005</v>
      </c>
      <c r="J79" s="827">
        <f>'Emission-Waste Transport Vehicl'!P43</f>
        <v>14.879838937392002</v>
      </c>
      <c r="K79" s="827">
        <f>'Emission-Waste Transport Vehicl'!Q43</f>
        <v>11.556101329344001</v>
      </c>
      <c r="L79" s="827">
        <f>'Emission-Waste Transport Vehicl'!R43</f>
        <v>1.1501762294880002</v>
      </c>
      <c r="M79" s="827">
        <f t="shared" si="33"/>
        <v>5034.1681476049289</v>
      </c>
      <c r="N79" s="830">
        <f t="shared" si="29"/>
        <v>116.78862041239074</v>
      </c>
      <c r="O79" s="830">
        <f t="shared" si="30"/>
        <v>812.22680387995126</v>
      </c>
      <c r="P79" s="830">
        <f t="shared" si="31"/>
        <v>-2.277787112669281</v>
      </c>
      <c r="Q79" s="830">
        <f t="shared" si="32"/>
        <v>3.6379754909724</v>
      </c>
      <c r="R79" s="2773"/>
      <c r="S79" s="498"/>
      <c r="T79" s="498"/>
      <c r="U79" s="498"/>
      <c r="V79" s="498"/>
      <c r="W79" s="498"/>
      <c r="X79" s="498"/>
      <c r="Y79" s="498"/>
      <c r="Z79" s="498"/>
      <c r="AA79" s="498"/>
      <c r="AB79" s="498"/>
      <c r="AC79" s="498"/>
      <c r="AD79" s="498"/>
      <c r="AE79" s="498"/>
      <c r="AF79" s="498"/>
      <c r="AG79" s="498"/>
    </row>
    <row r="80" spans="1:33" x14ac:dyDescent="0.25">
      <c r="A80" s="2802"/>
      <c r="B80" s="706">
        <v>2030</v>
      </c>
      <c r="C80" s="1058">
        <f t="shared" si="24"/>
        <v>68961.207501437384</v>
      </c>
      <c r="D80" s="1058">
        <f t="shared" si="25"/>
        <v>4.3669318500693848</v>
      </c>
      <c r="E80" s="1058">
        <f t="shared" si="26"/>
        <v>54.585725510703057</v>
      </c>
      <c r="F80" s="1058">
        <f t="shared" si="27"/>
        <v>-0.19710688300087648</v>
      </c>
      <c r="G80" s="1058">
        <f t="shared" si="28"/>
        <v>3.1629722452113631</v>
      </c>
      <c r="H80" s="827">
        <v>75</v>
      </c>
      <c r="I80" s="827">
        <f>'Emission-Waste Transport Vehicl'!N44</f>
        <v>26.222220862992003</v>
      </c>
      <c r="J80" s="827">
        <f>'Emission-Waste Transport Vehicl'!P44</f>
        <v>14.589606799152003</v>
      </c>
      <c r="K80" s="827">
        <f>'Emission-Waste Transport Vehicl'!Q44</f>
        <v>11.330698889664001</v>
      </c>
      <c r="L80" s="827">
        <f>'Emission-Waste Transport Vehicl'!R44</f>
        <v>1.1277419741280001</v>
      </c>
      <c r="M80" s="827">
        <f t="shared" si="33"/>
        <v>5172.0905626078038</v>
      </c>
      <c r="N80" s="830">
        <f t="shared" si="29"/>
        <v>114.51065146615369</v>
      </c>
      <c r="O80" s="830">
        <f t="shared" si="30"/>
        <v>796.3842720475983</v>
      </c>
      <c r="P80" s="830">
        <f t="shared" si="31"/>
        <v>-2.2333587403631632</v>
      </c>
      <c r="Q80" s="830">
        <f t="shared" si="32"/>
        <v>3.5670165639267357</v>
      </c>
      <c r="R80" s="2773"/>
      <c r="S80" s="498"/>
      <c r="T80" s="498"/>
      <c r="U80" s="498"/>
      <c r="V80" s="498"/>
      <c r="W80" s="498"/>
      <c r="X80" s="498"/>
      <c r="Y80" s="498"/>
      <c r="Z80" s="498"/>
      <c r="AA80" s="498"/>
      <c r="AB80" s="498"/>
      <c r="AC80" s="498"/>
      <c r="AD80" s="498"/>
      <c r="AE80" s="498"/>
      <c r="AF80" s="498"/>
      <c r="AG80" s="498"/>
    </row>
    <row r="81" spans="1:33" x14ac:dyDescent="0.25">
      <c r="A81" s="2802"/>
      <c r="B81" s="706">
        <v>2031</v>
      </c>
      <c r="C81" s="1058">
        <f t="shared" si="24"/>
        <v>68961.207501437384</v>
      </c>
      <c r="D81" s="1058">
        <f t="shared" si="25"/>
        <v>4.3669318500693848</v>
      </c>
      <c r="E81" s="1058">
        <f t="shared" si="26"/>
        <v>54.585725510703057</v>
      </c>
      <c r="F81" s="1058">
        <f t="shared" si="27"/>
        <v>-0.19710688300087648</v>
      </c>
      <c r="G81" s="1058">
        <f t="shared" si="28"/>
        <v>3.1629722452113631</v>
      </c>
      <c r="H81" s="827">
        <v>76</v>
      </c>
      <c r="I81" s="827">
        <f>'Emission-Waste Transport Vehicl'!N45</f>
        <v>25.70710077144</v>
      </c>
      <c r="J81" s="827">
        <f>'Emission-Waste Transport Vehicl'!P45</f>
        <v>14.303002562640001</v>
      </c>
      <c r="K81" s="827">
        <f>'Emission-Waste Transport Vehicl'!Q45</f>
        <v>11.108113980480001</v>
      </c>
      <c r="L81" s="827">
        <f>'Emission-Waste Transport Vehicl'!R45</f>
        <v>1.1055881469600002</v>
      </c>
      <c r="M81" s="827">
        <f t="shared" si="33"/>
        <v>5241.0517701092413</v>
      </c>
      <c r="N81" s="830">
        <f t="shared" si="29"/>
        <v>112.2611571317446</v>
      </c>
      <c r="O81" s="830">
        <f t="shared" si="30"/>
        <v>780.73977186314949</v>
      </c>
      <c r="P81" s="830">
        <f t="shared" si="31"/>
        <v>-2.1894857227108719</v>
      </c>
      <c r="Q81" s="830">
        <f t="shared" si="32"/>
        <v>3.4969446234691421</v>
      </c>
      <c r="R81" s="2773"/>
      <c r="S81" s="498"/>
      <c r="T81" s="498"/>
      <c r="U81" s="498"/>
      <c r="V81" s="498"/>
      <c r="W81" s="498"/>
      <c r="X81" s="498"/>
      <c r="Y81" s="498"/>
      <c r="Z81" s="498"/>
      <c r="AA81" s="498"/>
      <c r="AB81" s="498"/>
      <c r="AC81" s="498"/>
      <c r="AD81" s="498"/>
      <c r="AE81" s="498"/>
      <c r="AF81" s="498"/>
      <c r="AG81" s="498"/>
    </row>
    <row r="82" spans="1:33" x14ac:dyDescent="0.25">
      <c r="A82" s="2802"/>
      <c r="B82" s="706">
        <v>2032</v>
      </c>
      <c r="C82" s="1058">
        <f t="shared" si="24"/>
        <v>68961.207501437384</v>
      </c>
      <c r="D82" s="1058">
        <f t="shared" si="25"/>
        <v>4.3669318500693848</v>
      </c>
      <c r="E82" s="1058">
        <f t="shared" si="26"/>
        <v>54.585725510703057</v>
      </c>
      <c r="F82" s="1058">
        <f t="shared" si="27"/>
        <v>-0.19710688300087648</v>
      </c>
      <c r="G82" s="1058">
        <f t="shared" si="28"/>
        <v>3.1629722452113631</v>
      </c>
      <c r="H82" s="827">
        <v>77</v>
      </c>
      <c r="I82" s="827">
        <f>'Emission-Waste Transport Vehicl'!N46</f>
        <v>25.201761441120002</v>
      </c>
      <c r="J82" s="827">
        <f>'Emission-Waste Transport Vehicl'!P46</f>
        <v>14.021840178720002</v>
      </c>
      <c r="K82" s="827">
        <f>'Emission-Waste Transport Vehicl'!Q46</f>
        <v>10.889755367040001</v>
      </c>
      <c r="L82" s="827">
        <f>'Emission-Waste Transport Vehicl'!R46</f>
        <v>1.0838549620800002</v>
      </c>
      <c r="M82" s="827">
        <f t="shared" si="33"/>
        <v>5310.0129776106787</v>
      </c>
      <c r="N82" s="830">
        <f t="shared" si="29"/>
        <v>110.05437471507746</v>
      </c>
      <c r="O82" s="830">
        <f t="shared" si="30"/>
        <v>765.39231915055746</v>
      </c>
      <c r="P82" s="830">
        <f t="shared" si="31"/>
        <v>-2.1464457370393202</v>
      </c>
      <c r="Q82" s="830">
        <f t="shared" si="32"/>
        <v>3.4282031628936549</v>
      </c>
      <c r="R82" s="2773"/>
      <c r="S82" s="498"/>
      <c r="T82" s="498"/>
      <c r="U82" s="498"/>
      <c r="V82" s="498"/>
      <c r="W82" s="498"/>
      <c r="X82" s="498"/>
      <c r="Y82" s="498"/>
      <c r="Z82" s="498"/>
      <c r="AA82" s="498"/>
      <c r="AB82" s="498"/>
      <c r="AC82" s="498"/>
      <c r="AD82" s="498"/>
      <c r="AE82" s="498"/>
      <c r="AF82" s="498"/>
      <c r="AG82" s="498"/>
    </row>
    <row r="83" spans="1:33" x14ac:dyDescent="0.25">
      <c r="A83" s="2802"/>
      <c r="B83" s="706">
        <v>2033</v>
      </c>
      <c r="C83" s="1058">
        <f t="shared" si="24"/>
        <v>68961.207501437384</v>
      </c>
      <c r="D83" s="1058">
        <f t="shared" si="25"/>
        <v>4.3669318500693848</v>
      </c>
      <c r="E83" s="1058">
        <f t="shared" si="26"/>
        <v>54.585725510703057</v>
      </c>
      <c r="F83" s="1058">
        <f t="shared" si="27"/>
        <v>-0.19710688300087648</v>
      </c>
      <c r="G83" s="1058">
        <f t="shared" si="28"/>
        <v>3.1629722452113631</v>
      </c>
      <c r="H83" s="827">
        <v>78</v>
      </c>
      <c r="I83" s="827">
        <f>'Emission-Waste Transport Vehicl'!N47</f>
        <v>24.709463125776001</v>
      </c>
      <c r="J83" s="827">
        <f>'Emission-Waste Transport Vehicl'!P47</f>
        <v>13.747933598256003</v>
      </c>
      <c r="K83" s="827">
        <f>'Emission-Waste Transport Vehicl'!Q47</f>
        <v>10.677031814592</v>
      </c>
      <c r="L83" s="827">
        <f>'Emission-Waste Transport Vehicl'!R47</f>
        <v>1.0626826335840001</v>
      </c>
      <c r="M83" s="827">
        <f t="shared" si="33"/>
        <v>5378.9741851121162</v>
      </c>
      <c r="N83" s="830">
        <f t="shared" si="29"/>
        <v>107.90454152206624</v>
      </c>
      <c r="O83" s="830">
        <f t="shared" si="30"/>
        <v>750.4409297337744</v>
      </c>
      <c r="P83" s="830">
        <f t="shared" si="31"/>
        <v>-2.1045164606754212</v>
      </c>
      <c r="Q83" s="830">
        <f t="shared" si="32"/>
        <v>3.3612356754943091</v>
      </c>
      <c r="R83" s="2773"/>
      <c r="S83" s="498"/>
      <c r="T83" s="498"/>
      <c r="U83" s="498"/>
      <c r="V83" s="498"/>
      <c r="W83" s="498"/>
      <c r="X83" s="498"/>
      <c r="Y83" s="498"/>
      <c r="Z83" s="498"/>
      <c r="AA83" s="498"/>
      <c r="AB83" s="498"/>
      <c r="AC83" s="498"/>
      <c r="AD83" s="498"/>
      <c r="AE83" s="498"/>
      <c r="AF83" s="498"/>
      <c r="AG83" s="498"/>
    </row>
    <row r="84" spans="1:33" x14ac:dyDescent="0.25">
      <c r="A84" s="2802"/>
      <c r="B84" s="706">
        <v>2034</v>
      </c>
      <c r="C84" s="1058">
        <f t="shared" si="24"/>
        <v>68961.207501437384</v>
      </c>
      <c r="D84" s="1058">
        <f t="shared" si="25"/>
        <v>4.3669318500693848</v>
      </c>
      <c r="E84" s="1058">
        <f t="shared" si="26"/>
        <v>54.585725510703057</v>
      </c>
      <c r="F84" s="1058">
        <f t="shared" si="27"/>
        <v>-0.19710688300087648</v>
      </c>
      <c r="G84" s="1058">
        <f t="shared" si="28"/>
        <v>3.1629722452113631</v>
      </c>
      <c r="H84" s="827">
        <v>79</v>
      </c>
      <c r="I84" s="827">
        <f>'Emission-Waste Transport Vehicl'!N48</f>
        <v>24.223685317920005</v>
      </c>
      <c r="J84" s="827">
        <f>'Emission-Waste Transport Vehicl'!P48</f>
        <v>13.477654919520001</v>
      </c>
      <c r="K84" s="827">
        <f>'Emission-Waste Transport Vehicl'!Q48</f>
        <v>10.467125792640001</v>
      </c>
      <c r="L84" s="827">
        <f>'Emission-Waste Transport Vehicl'!R48</f>
        <v>1.04179073328</v>
      </c>
      <c r="M84" s="827">
        <f t="shared" si="33"/>
        <v>5447.9353926135536</v>
      </c>
      <c r="N84" s="830">
        <f t="shared" si="29"/>
        <v>105.78318294088299</v>
      </c>
      <c r="O84" s="830">
        <f t="shared" si="30"/>
        <v>735.68757196489548</v>
      </c>
      <c r="P84" s="830">
        <f t="shared" si="31"/>
        <v>-2.0631425389653493</v>
      </c>
      <c r="Q84" s="830">
        <f t="shared" si="32"/>
        <v>3.2951551746830341</v>
      </c>
      <c r="R84" s="2773"/>
      <c r="S84" s="498"/>
      <c r="T84" s="498"/>
      <c r="U84" s="498"/>
      <c r="V84" s="498"/>
      <c r="W84" s="498"/>
      <c r="X84" s="498"/>
      <c r="Y84" s="498"/>
      <c r="Z84" s="498"/>
      <c r="AA84" s="498"/>
      <c r="AB84" s="498"/>
      <c r="AC84" s="498"/>
      <c r="AD84" s="498"/>
      <c r="AE84" s="498"/>
      <c r="AF84" s="498"/>
      <c r="AG84" s="498"/>
    </row>
    <row r="85" spans="1:33" x14ac:dyDescent="0.25">
      <c r="A85" s="2802"/>
      <c r="B85" s="706">
        <v>2035</v>
      </c>
      <c r="C85" s="1058">
        <f t="shared" si="24"/>
        <v>68961.207501437384</v>
      </c>
      <c r="D85" s="1058">
        <f t="shared" si="25"/>
        <v>4.3669318500693848</v>
      </c>
      <c r="E85" s="1058">
        <f t="shared" si="26"/>
        <v>54.585725510703057</v>
      </c>
      <c r="F85" s="1058">
        <f t="shared" si="27"/>
        <v>-0.19710688300087648</v>
      </c>
      <c r="G85" s="1058">
        <f t="shared" si="28"/>
        <v>3.1629722452113631</v>
      </c>
      <c r="H85" s="827">
        <v>80</v>
      </c>
      <c r="I85" s="827">
        <f>'Emission-Waste Transport Vehicl'!N49</f>
        <v>23.747688271296006</v>
      </c>
      <c r="J85" s="827">
        <f>'Emission-Waste Transport Vehicl'!P49</f>
        <v>13.212818093376002</v>
      </c>
      <c r="K85" s="827">
        <f>'Emission-Waste Transport Vehicl'!Q49</f>
        <v>10.261446066432002</v>
      </c>
      <c r="L85" s="827">
        <f>'Emission-Waste Transport Vehicl'!R49</f>
        <v>1.0213194752640002</v>
      </c>
      <c r="M85" s="827">
        <f t="shared" si="33"/>
        <v>5516.8966001149911</v>
      </c>
      <c r="N85" s="830">
        <f t="shared" si="29"/>
        <v>103.7045362774417</v>
      </c>
      <c r="O85" s="830">
        <f t="shared" si="30"/>
        <v>721.23126166787335</v>
      </c>
      <c r="P85" s="830">
        <f t="shared" si="31"/>
        <v>-2.0226016492360168</v>
      </c>
      <c r="Q85" s="830">
        <f t="shared" si="32"/>
        <v>3.2304051537538663</v>
      </c>
      <c r="R85" s="2773"/>
      <c r="S85" s="498"/>
      <c r="T85" s="498"/>
      <c r="U85" s="498"/>
      <c r="V85" s="498"/>
      <c r="W85" s="498"/>
      <c r="X85" s="498"/>
      <c r="Y85" s="498"/>
      <c r="Z85" s="498"/>
      <c r="AA85" s="498"/>
      <c r="AB85" s="498"/>
      <c r="AC85" s="498"/>
      <c r="AD85" s="498"/>
      <c r="AE85" s="498"/>
      <c r="AF85" s="498"/>
      <c r="AG85" s="498"/>
    </row>
    <row r="86" spans="1:33" x14ac:dyDescent="0.25">
      <c r="A86" s="2802"/>
      <c r="B86" s="706">
        <v>2036</v>
      </c>
      <c r="C86" s="1058">
        <f t="shared" si="24"/>
        <v>68961.207501437384</v>
      </c>
      <c r="D86" s="1058">
        <f t="shared" si="25"/>
        <v>4.3669318500693848</v>
      </c>
      <c r="E86" s="1058">
        <f t="shared" si="26"/>
        <v>54.585725510703057</v>
      </c>
      <c r="F86" s="1058">
        <f t="shared" si="27"/>
        <v>-0.19710688300087648</v>
      </c>
      <c r="G86" s="1058">
        <f t="shared" si="28"/>
        <v>3.1629722452113631</v>
      </c>
      <c r="H86" s="827">
        <v>81</v>
      </c>
      <c r="I86" s="827">
        <f>'Emission-Waste Transport Vehicl'!N50</f>
        <v>23.284732239648001</v>
      </c>
      <c r="J86" s="827">
        <f>'Emission-Waste Transport Vehicl'!P50</f>
        <v>12.955237070688</v>
      </c>
      <c r="K86" s="827">
        <f>'Emission-Waste Transport Vehicl'!Q50</f>
        <v>10.061401401215999</v>
      </c>
      <c r="L86" s="827">
        <f>'Emission-Waste Transport Vehicl'!R50</f>
        <v>1.001409073632</v>
      </c>
      <c r="M86" s="827">
        <f t="shared" si="33"/>
        <v>5585.8578076164285</v>
      </c>
      <c r="N86" s="830">
        <f t="shared" si="29"/>
        <v>101.68283883765629</v>
      </c>
      <c r="O86" s="830">
        <f t="shared" si="30"/>
        <v>707.17101466665986</v>
      </c>
      <c r="P86" s="830">
        <f t="shared" si="31"/>
        <v>-1.9831714688143365</v>
      </c>
      <c r="Q86" s="830">
        <f t="shared" si="32"/>
        <v>3.1674291060008386</v>
      </c>
      <c r="R86" s="2773"/>
      <c r="S86" s="498"/>
      <c r="T86" s="498"/>
      <c r="U86" s="498"/>
      <c r="V86" s="498"/>
      <c r="W86" s="498"/>
      <c r="X86" s="498"/>
      <c r="Y86" s="498"/>
      <c r="Z86" s="498"/>
      <c r="AA86" s="498"/>
      <c r="AB86" s="498"/>
      <c r="AC86" s="498"/>
      <c r="AD86" s="498"/>
      <c r="AE86" s="498"/>
      <c r="AF86" s="498"/>
      <c r="AG86" s="498"/>
    </row>
    <row r="87" spans="1:33" x14ac:dyDescent="0.25">
      <c r="A87" s="2802"/>
      <c r="B87" s="706">
        <v>2037</v>
      </c>
      <c r="C87" s="1058">
        <f t="shared" si="24"/>
        <v>68961.207501437384</v>
      </c>
      <c r="D87" s="1058">
        <f t="shared" si="25"/>
        <v>4.3669318500693848</v>
      </c>
      <c r="E87" s="1058">
        <f t="shared" si="26"/>
        <v>54.585725510703057</v>
      </c>
      <c r="F87" s="1058">
        <f t="shared" si="27"/>
        <v>-0.19710688300087648</v>
      </c>
      <c r="G87" s="1058">
        <f t="shared" si="28"/>
        <v>3.1629722452113631</v>
      </c>
      <c r="H87" s="827">
        <v>83</v>
      </c>
      <c r="I87" s="827">
        <f>'Emission-Waste Transport Vehicl'!N51</f>
        <v>22.828296715488005</v>
      </c>
      <c r="J87" s="827">
        <f>'Emission-Waste Transport Vehicl'!P51</f>
        <v>12.701283949728003</v>
      </c>
      <c r="K87" s="827">
        <f>'Emission-Waste Transport Vehicl'!Q51</f>
        <v>9.8641742664960006</v>
      </c>
      <c r="L87" s="827">
        <f>'Emission-Waste Transport Vehicl'!R51</f>
        <v>0.9817791001920001</v>
      </c>
      <c r="M87" s="827">
        <f t="shared" si="33"/>
        <v>5723.7802226193035</v>
      </c>
      <c r="N87" s="830">
        <f t="shared" si="29"/>
        <v>99.689616009698895</v>
      </c>
      <c r="O87" s="830">
        <f t="shared" si="30"/>
        <v>693.30879931335119</v>
      </c>
      <c r="P87" s="830">
        <f t="shared" si="31"/>
        <v>-1.9442966430464836</v>
      </c>
      <c r="Q87" s="830">
        <f t="shared" si="32"/>
        <v>3.1053400448358826</v>
      </c>
      <c r="R87" s="2773"/>
      <c r="S87" s="498"/>
      <c r="T87" s="498"/>
      <c r="U87" s="498"/>
      <c r="V87" s="498"/>
      <c r="W87" s="498"/>
      <c r="X87" s="498"/>
      <c r="Y87" s="498"/>
      <c r="Z87" s="498"/>
      <c r="AA87" s="498"/>
      <c r="AB87" s="498"/>
      <c r="AC87" s="498"/>
      <c r="AD87" s="498"/>
      <c r="AE87" s="498"/>
      <c r="AF87" s="498"/>
      <c r="AG87" s="498"/>
    </row>
    <row r="88" spans="1:33" x14ac:dyDescent="0.25">
      <c r="A88" s="2802"/>
      <c r="B88" s="706">
        <v>2038</v>
      </c>
      <c r="C88" s="1058">
        <f t="shared" si="24"/>
        <v>68961.207501437384</v>
      </c>
      <c r="D88" s="1058">
        <f t="shared" si="25"/>
        <v>4.3669318500693848</v>
      </c>
      <c r="E88" s="1058">
        <f t="shared" si="26"/>
        <v>54.585725510703057</v>
      </c>
      <c r="F88" s="1058">
        <f t="shared" si="27"/>
        <v>-0.19710688300087648</v>
      </c>
      <c r="G88" s="1058">
        <f t="shared" si="28"/>
        <v>3.1629722452113631</v>
      </c>
      <c r="H88" s="827">
        <v>84</v>
      </c>
      <c r="I88" s="827">
        <f>'Emission-Waste Transport Vehicl'!N52</f>
        <v>22.378381698816003</v>
      </c>
      <c r="J88" s="827">
        <f>'Emission-Waste Transport Vehicl'!P52</f>
        <v>12.450958730496001</v>
      </c>
      <c r="K88" s="827">
        <f>'Emission-Waste Transport Vehicl'!Q52</f>
        <v>9.6697646622720015</v>
      </c>
      <c r="L88" s="827">
        <f>'Emission-Waste Transport Vehicl'!R52</f>
        <v>0.96242955494400007</v>
      </c>
      <c r="M88" s="827">
        <f t="shared" si="33"/>
        <v>5792.74143012074</v>
      </c>
      <c r="N88" s="830">
        <f t="shared" si="29"/>
        <v>97.72486779356943</v>
      </c>
      <c r="O88" s="830">
        <f t="shared" si="30"/>
        <v>679.64461560794655</v>
      </c>
      <c r="P88" s="830">
        <f t="shared" si="31"/>
        <v>-1.9059771719324572</v>
      </c>
      <c r="Q88" s="830">
        <f t="shared" si="32"/>
        <v>3.0441379702589968</v>
      </c>
      <c r="R88" s="2773"/>
      <c r="S88" s="498"/>
      <c r="T88" s="498"/>
      <c r="U88" s="498"/>
      <c r="V88" s="498"/>
      <c r="W88" s="498"/>
      <c r="X88" s="498"/>
      <c r="Y88" s="498"/>
      <c r="Z88" s="498"/>
      <c r="AA88" s="498"/>
      <c r="AB88" s="498"/>
      <c r="AC88" s="498"/>
      <c r="AD88" s="498"/>
      <c r="AE88" s="498"/>
      <c r="AF88" s="498"/>
      <c r="AG88" s="498"/>
    </row>
    <row r="89" spans="1:33" x14ac:dyDescent="0.25">
      <c r="A89" s="2802"/>
      <c r="B89" s="706">
        <v>2039</v>
      </c>
      <c r="C89" s="1058">
        <f t="shared" si="24"/>
        <v>68961.207501437384</v>
      </c>
      <c r="D89" s="1058">
        <f t="shared" si="25"/>
        <v>4.3669318500693848</v>
      </c>
      <c r="E89" s="1058">
        <f t="shared" si="26"/>
        <v>54.585725510703057</v>
      </c>
      <c r="F89" s="1058">
        <f t="shared" si="27"/>
        <v>-0.19710688300087648</v>
      </c>
      <c r="G89" s="1058">
        <f t="shared" si="28"/>
        <v>3.1629722452113631</v>
      </c>
      <c r="H89" s="827">
        <v>85</v>
      </c>
      <c r="I89" s="827">
        <f>'Emission-Waste Transport Vehicl'!N53</f>
        <v>21.941507697120006</v>
      </c>
      <c r="J89" s="827">
        <f>'Emission-Waste Transport Vehicl'!P53</f>
        <v>12.207889314720003</v>
      </c>
      <c r="K89" s="827">
        <f>'Emission-Waste Transport Vehicl'!Q53</f>
        <v>9.4809901190400012</v>
      </c>
      <c r="L89" s="827">
        <f>'Emission-Waste Transport Vehicl'!R53</f>
        <v>0.9436408660800002</v>
      </c>
      <c r="M89" s="827">
        <f t="shared" si="33"/>
        <v>5861.7026376221775</v>
      </c>
      <c r="N89" s="830">
        <f t="shared" si="29"/>
        <v>95.817068801095914</v>
      </c>
      <c r="O89" s="830">
        <f t="shared" si="30"/>
        <v>666.37649519835088</v>
      </c>
      <c r="P89" s="830">
        <f t="shared" si="31"/>
        <v>-1.8687684101260835</v>
      </c>
      <c r="Q89" s="830">
        <f t="shared" si="32"/>
        <v>2.9847098688582534</v>
      </c>
      <c r="R89" s="2773"/>
      <c r="S89" s="498"/>
      <c r="T89" s="498"/>
      <c r="U89" s="498"/>
      <c r="V89" s="498"/>
      <c r="W89" s="498"/>
      <c r="X89" s="498"/>
      <c r="Y89" s="498"/>
      <c r="Z89" s="498"/>
      <c r="AA89" s="498"/>
      <c r="AB89" s="498"/>
      <c r="AC89" s="498"/>
      <c r="AD89" s="498"/>
      <c r="AE89" s="498"/>
      <c r="AF89" s="498"/>
      <c r="AG89" s="498"/>
    </row>
    <row r="90" spans="1:33" x14ac:dyDescent="0.25">
      <c r="A90" s="2802"/>
      <c r="B90" s="706">
        <v>2040</v>
      </c>
      <c r="C90" s="1058">
        <f t="shared" si="24"/>
        <v>68961.207501437384</v>
      </c>
      <c r="D90" s="1058">
        <f t="shared" si="25"/>
        <v>4.3669318500693848</v>
      </c>
      <c r="E90" s="1058">
        <f t="shared" si="26"/>
        <v>54.585725510703057</v>
      </c>
      <c r="F90" s="1058">
        <f t="shared" si="27"/>
        <v>-0.19710688300087648</v>
      </c>
      <c r="G90" s="1058">
        <f t="shared" si="28"/>
        <v>3.1629722452113631</v>
      </c>
      <c r="H90" s="827">
        <v>86</v>
      </c>
      <c r="I90" s="827">
        <f>'Emission-Waste Transport Vehicl'!N54</f>
        <v>21.511154202912003</v>
      </c>
      <c r="J90" s="827">
        <f>'Emission-Waste Transport Vehicl'!P54</f>
        <v>11.968447800672001</v>
      </c>
      <c r="K90" s="827">
        <f>'Emission-Waste Transport Vehicl'!Q54</f>
        <v>9.2950331063040004</v>
      </c>
      <c r="L90" s="827">
        <f>'Emission-Waste Transport Vehicl'!R54</f>
        <v>0.92513260540800013</v>
      </c>
      <c r="M90" s="827">
        <f t="shared" si="33"/>
        <v>5930.6638451236149</v>
      </c>
      <c r="N90" s="830">
        <f t="shared" si="29"/>
        <v>93.937744420450329</v>
      </c>
      <c r="O90" s="830">
        <f t="shared" si="30"/>
        <v>653.30640643665959</v>
      </c>
      <c r="P90" s="830">
        <f t="shared" si="31"/>
        <v>-1.832115002973536</v>
      </c>
      <c r="Q90" s="830">
        <f t="shared" si="32"/>
        <v>2.9261687540455803</v>
      </c>
      <c r="R90" s="2773"/>
      <c r="S90" s="498"/>
      <c r="T90" s="498"/>
      <c r="U90" s="498"/>
      <c r="V90" s="498"/>
      <c r="W90" s="498"/>
      <c r="X90" s="498"/>
      <c r="Y90" s="498"/>
      <c r="Z90" s="498"/>
      <c r="AA90" s="498"/>
      <c r="AB90" s="498"/>
      <c r="AC90" s="498"/>
      <c r="AD90" s="498"/>
      <c r="AE90" s="498"/>
      <c r="AF90" s="498"/>
      <c r="AG90" s="498"/>
    </row>
    <row r="91" spans="1:33" x14ac:dyDescent="0.25">
      <c r="A91" s="2802"/>
      <c r="B91" s="706">
        <v>2041</v>
      </c>
      <c r="C91" s="1058">
        <f t="shared" si="24"/>
        <v>68961.207501437384</v>
      </c>
      <c r="D91" s="1058">
        <f t="shared" si="25"/>
        <v>4.3669318500693848</v>
      </c>
      <c r="E91" s="1058">
        <f t="shared" si="26"/>
        <v>54.585725510703057</v>
      </c>
      <c r="F91" s="1058">
        <f t="shared" si="27"/>
        <v>-0.19710688300087648</v>
      </c>
      <c r="G91" s="1058">
        <f t="shared" si="28"/>
        <v>3.1629722452113631</v>
      </c>
      <c r="H91" s="827">
        <v>87</v>
      </c>
      <c r="I91" s="827">
        <f>'Emission-Waste Transport Vehicl'!N55</f>
        <v>21.087321216192002</v>
      </c>
      <c r="J91" s="827">
        <f>'Emission-Waste Transport Vehicl'!P55</f>
        <v>11.732634188352002</v>
      </c>
      <c r="K91" s="827">
        <f>'Emission-Waste Transport Vehicl'!Q55</f>
        <v>9.1118936240640007</v>
      </c>
      <c r="L91" s="827">
        <f>'Emission-Waste Transport Vehicl'!R55</f>
        <v>0.9069047729280002</v>
      </c>
      <c r="M91" s="827">
        <f t="shared" si="33"/>
        <v>5999.6250526250524</v>
      </c>
      <c r="N91" s="830">
        <f t="shared" si="29"/>
        <v>92.086894651632733</v>
      </c>
      <c r="O91" s="830">
        <f t="shared" si="30"/>
        <v>640.43434932287266</v>
      </c>
      <c r="P91" s="830">
        <f t="shared" si="31"/>
        <v>-1.7960169504748154</v>
      </c>
      <c r="Q91" s="830">
        <f t="shared" si="32"/>
        <v>2.8685146258209784</v>
      </c>
      <c r="R91" s="2773"/>
      <c r="S91" s="498"/>
      <c r="T91" s="498"/>
      <c r="U91" s="498"/>
      <c r="V91" s="498"/>
      <c r="W91" s="498"/>
      <c r="X91" s="498"/>
      <c r="Y91" s="498"/>
      <c r="Z91" s="498"/>
      <c r="AA91" s="498"/>
      <c r="AB91" s="498"/>
      <c r="AC91" s="498"/>
      <c r="AD91" s="498"/>
      <c r="AE91" s="498"/>
      <c r="AF91" s="498"/>
      <c r="AG91" s="498"/>
    </row>
    <row r="92" spans="1:33" x14ac:dyDescent="0.25">
      <c r="A92" s="2802"/>
      <c r="B92" s="706">
        <v>2042</v>
      </c>
      <c r="C92" s="1058">
        <f t="shared" si="24"/>
        <v>68961.207501437384</v>
      </c>
      <c r="D92" s="1058">
        <f t="shared" si="25"/>
        <v>4.3669318500693848</v>
      </c>
      <c r="E92" s="1058">
        <f t="shared" si="26"/>
        <v>54.585725510703057</v>
      </c>
      <c r="F92" s="1058">
        <f t="shared" si="27"/>
        <v>-0.19710688300087648</v>
      </c>
      <c r="G92" s="1058">
        <f t="shared" si="28"/>
        <v>3.1629722452113631</v>
      </c>
      <c r="H92" s="827">
        <v>88</v>
      </c>
      <c r="I92" s="827">
        <f>'Emission-Waste Transport Vehicl'!N56</f>
        <v>20.676529244448002</v>
      </c>
      <c r="J92" s="827">
        <f>'Emission-Waste Transport Vehicl'!P56</f>
        <v>11.504076379488001</v>
      </c>
      <c r="K92" s="827">
        <f>'Emission-Waste Transport Vehicl'!Q56</f>
        <v>8.9343892028159999</v>
      </c>
      <c r="L92" s="827">
        <f>'Emission-Waste Transport Vehicl'!R56</f>
        <v>0.8892377968320001</v>
      </c>
      <c r="M92" s="827">
        <f t="shared" si="33"/>
        <v>6068.5862601264898</v>
      </c>
      <c r="N92" s="830">
        <f t="shared" si="29"/>
        <v>90.292994106471056</v>
      </c>
      <c r="O92" s="830">
        <f t="shared" si="30"/>
        <v>627.95835550489471</v>
      </c>
      <c r="P92" s="830">
        <f t="shared" si="31"/>
        <v>-1.7610296072837472</v>
      </c>
      <c r="Q92" s="830">
        <f t="shared" si="32"/>
        <v>2.8126344707725175</v>
      </c>
      <c r="R92" s="2773"/>
      <c r="S92" s="498"/>
      <c r="T92" s="498"/>
      <c r="U92" s="498"/>
      <c r="V92" s="498"/>
      <c r="W92" s="498"/>
      <c r="X92" s="498"/>
      <c r="Y92" s="498"/>
      <c r="Z92" s="498"/>
      <c r="AA92" s="498"/>
      <c r="AB92" s="498"/>
      <c r="AC92" s="498"/>
      <c r="AD92" s="498"/>
      <c r="AE92" s="498"/>
      <c r="AF92" s="498"/>
      <c r="AG92" s="498"/>
    </row>
    <row r="93" spans="1:33" x14ac:dyDescent="0.25">
      <c r="A93" s="2802"/>
      <c r="B93" s="706">
        <v>2043</v>
      </c>
      <c r="C93" s="1058">
        <f t="shared" si="24"/>
        <v>68961.207501437384</v>
      </c>
      <c r="D93" s="1058">
        <f t="shared" si="25"/>
        <v>4.3669318500693848</v>
      </c>
      <c r="E93" s="1058">
        <f t="shared" si="26"/>
        <v>54.585725510703057</v>
      </c>
      <c r="F93" s="1058">
        <f t="shared" si="27"/>
        <v>-0.19710688300087648</v>
      </c>
      <c r="G93" s="1058">
        <f t="shared" si="28"/>
        <v>3.1629722452113631</v>
      </c>
      <c r="H93" s="827">
        <v>89</v>
      </c>
      <c r="I93" s="827">
        <f>'Emission-Waste Transport Vehicl'!N57</f>
        <v>20.268997526448004</v>
      </c>
      <c r="J93" s="827">
        <f>'Emission-Waste Transport Vehicl'!P57</f>
        <v>11.277332521488001</v>
      </c>
      <c r="K93" s="827">
        <f>'Emission-Waste Transport Vehicl'!Q57</f>
        <v>8.7582935468160006</v>
      </c>
      <c r="L93" s="827">
        <f>'Emission-Waste Transport Vehicl'!R57</f>
        <v>0.87171103483200019</v>
      </c>
      <c r="M93" s="827">
        <f t="shared" si="33"/>
        <v>6137.5474676279273</v>
      </c>
      <c r="N93" s="830">
        <f t="shared" si="29"/>
        <v>88.51333086722336</v>
      </c>
      <c r="O93" s="830">
        <f t="shared" si="30"/>
        <v>615.58137751086883</v>
      </c>
      <c r="P93" s="830">
        <f t="shared" si="31"/>
        <v>-1.7263199414195929</v>
      </c>
      <c r="Q93" s="830">
        <f t="shared" si="32"/>
        <v>2.7571978090180922</v>
      </c>
      <c r="R93" s="2773"/>
      <c r="S93" s="498"/>
      <c r="T93" s="498"/>
      <c r="U93" s="498"/>
      <c r="V93" s="498"/>
      <c r="W93" s="498"/>
      <c r="X93" s="498"/>
      <c r="Y93" s="498"/>
      <c r="Z93" s="498"/>
      <c r="AA93" s="498"/>
      <c r="AB93" s="498"/>
      <c r="AC93" s="498"/>
      <c r="AD93" s="498"/>
      <c r="AE93" s="498"/>
      <c r="AF93" s="498"/>
      <c r="AG93" s="498"/>
    </row>
    <row r="94" spans="1:33" x14ac:dyDescent="0.25">
      <c r="A94" s="2802"/>
      <c r="B94" s="706">
        <v>2044</v>
      </c>
      <c r="C94" s="1058">
        <f t="shared" si="24"/>
        <v>68961.207501437384</v>
      </c>
      <c r="D94" s="1058">
        <f t="shared" si="25"/>
        <v>4.3669318500693848</v>
      </c>
      <c r="E94" s="1058">
        <f t="shared" si="26"/>
        <v>54.585725510703057</v>
      </c>
      <c r="F94" s="1058">
        <f t="shared" si="27"/>
        <v>-0.19710688300087648</v>
      </c>
      <c r="G94" s="1058">
        <f t="shared" si="28"/>
        <v>3.1629722452113631</v>
      </c>
      <c r="H94" s="827">
        <v>90</v>
      </c>
      <c r="I94" s="827">
        <f>'Emission-Waste Transport Vehicl'!N58</f>
        <v>19.871246569680004</v>
      </c>
      <c r="J94" s="827">
        <f>'Emission-Waste Transport Vehicl'!P58</f>
        <v>11.056030516080002</v>
      </c>
      <c r="K94" s="827">
        <f>'Emission-Waste Transport Vehicl'!Q58</f>
        <v>8.5864241865600004</v>
      </c>
      <c r="L94" s="827">
        <f>'Emission-Waste Transport Vehicl'!R58</f>
        <v>0.85460491512000014</v>
      </c>
      <c r="M94" s="827">
        <f t="shared" si="33"/>
        <v>6206.5086751293647</v>
      </c>
      <c r="N94" s="830">
        <f t="shared" si="29"/>
        <v>86.776379545717617</v>
      </c>
      <c r="O94" s="830">
        <f t="shared" si="30"/>
        <v>603.50144698869963</v>
      </c>
      <c r="P94" s="830">
        <f t="shared" si="31"/>
        <v>-1.692443307536178</v>
      </c>
      <c r="Q94" s="830">
        <f t="shared" si="32"/>
        <v>2.7030916271457732</v>
      </c>
      <c r="R94" s="2773"/>
      <c r="S94" s="498"/>
      <c r="T94" s="498"/>
      <c r="U94" s="498"/>
      <c r="V94" s="498"/>
      <c r="W94" s="498"/>
      <c r="X94" s="498"/>
      <c r="Y94" s="498"/>
      <c r="Z94" s="498"/>
      <c r="AA94" s="498"/>
      <c r="AB94" s="498"/>
      <c r="AC94" s="498"/>
      <c r="AD94" s="498"/>
      <c r="AE94" s="498"/>
      <c r="AF94" s="498"/>
      <c r="AG94" s="498"/>
    </row>
    <row r="95" spans="1:33" x14ac:dyDescent="0.25">
      <c r="A95" s="2802"/>
      <c r="B95" s="706">
        <v>2045</v>
      </c>
      <c r="C95" s="1058">
        <f t="shared" si="24"/>
        <v>68961.207501437384</v>
      </c>
      <c r="D95" s="1058">
        <f t="shared" si="25"/>
        <v>4.3669318500693848</v>
      </c>
      <c r="E95" s="1058">
        <f t="shared" si="26"/>
        <v>54.585725510703057</v>
      </c>
      <c r="F95" s="1058">
        <f t="shared" si="27"/>
        <v>-0.19710688300087648</v>
      </c>
      <c r="G95" s="1058">
        <f t="shared" si="28"/>
        <v>3.1629722452113631</v>
      </c>
      <c r="H95" s="827">
        <v>92</v>
      </c>
      <c r="I95" s="827">
        <f>'Emission-Waste Transport Vehicl'!N59</f>
        <v>19.483276374144001</v>
      </c>
      <c r="J95" s="827">
        <f>'Emission-Waste Transport Vehicl'!P59</f>
        <v>10.840170363264003</v>
      </c>
      <c r="K95" s="827">
        <f>'Emission-Waste Transport Vehicl'!Q59</f>
        <v>8.4187811220480011</v>
      </c>
      <c r="L95" s="827">
        <f>'Emission-Waste Transport Vehicl'!R59</f>
        <v>0.83791943769600008</v>
      </c>
      <c r="M95" s="827">
        <f t="shared" si="33"/>
        <v>6344.4310901322397</v>
      </c>
      <c r="N95" s="830">
        <f t="shared" si="29"/>
        <v>85.082140141953801</v>
      </c>
      <c r="O95" s="830">
        <f t="shared" si="30"/>
        <v>591.71856393838709</v>
      </c>
      <c r="P95" s="830">
        <f t="shared" si="31"/>
        <v>-1.659399705633503</v>
      </c>
      <c r="Q95" s="830">
        <f t="shared" si="32"/>
        <v>2.6503159251555601</v>
      </c>
      <c r="R95" s="2773"/>
      <c r="S95" s="498"/>
      <c r="T95" s="498"/>
      <c r="U95" s="498"/>
      <c r="V95" s="498"/>
      <c r="W95" s="498"/>
      <c r="X95" s="498"/>
      <c r="Y95" s="498"/>
      <c r="Z95" s="498"/>
      <c r="AA95" s="498"/>
      <c r="AB95" s="498"/>
      <c r="AC95" s="498"/>
      <c r="AD95" s="498"/>
      <c r="AE95" s="498"/>
      <c r="AF95" s="498"/>
      <c r="AG95" s="498"/>
    </row>
    <row r="96" spans="1:33" x14ac:dyDescent="0.25">
      <c r="A96" s="2802"/>
      <c r="B96" s="706">
        <v>2046</v>
      </c>
      <c r="C96" s="1058">
        <f t="shared" si="24"/>
        <v>68961.207501437384</v>
      </c>
      <c r="D96" s="1058">
        <f t="shared" si="25"/>
        <v>4.3669318500693848</v>
      </c>
      <c r="E96" s="1058">
        <f t="shared" si="26"/>
        <v>54.585725510703057</v>
      </c>
      <c r="F96" s="1058">
        <f t="shared" si="27"/>
        <v>-0.19710688300087648</v>
      </c>
      <c r="G96" s="1058">
        <f t="shared" si="28"/>
        <v>3.1629722452113631</v>
      </c>
      <c r="H96" s="827">
        <v>93</v>
      </c>
      <c r="I96" s="827">
        <f>'Emission-Waste Transport Vehicl'!N60</f>
        <v>19.101826686096</v>
      </c>
      <c r="J96" s="827">
        <f>'Emission-Waste Transport Vehicl'!P60</f>
        <v>10.627938112176002</v>
      </c>
      <c r="K96" s="827">
        <f>'Emission-Waste Transport Vehicl'!Q60</f>
        <v>8.2539555880319995</v>
      </c>
      <c r="L96" s="827">
        <f>'Emission-Waste Transport Vehicl'!R60</f>
        <v>0.82151438846400004</v>
      </c>
      <c r="M96" s="827">
        <f t="shared" si="33"/>
        <v>6413.3922976336771</v>
      </c>
      <c r="N96" s="830">
        <f t="shared" si="29"/>
        <v>83.416375350017958</v>
      </c>
      <c r="O96" s="830">
        <f t="shared" si="30"/>
        <v>580.13371253597893</v>
      </c>
      <c r="P96" s="830">
        <f t="shared" si="31"/>
        <v>-1.626911458384654</v>
      </c>
      <c r="Q96" s="830">
        <f t="shared" si="32"/>
        <v>2.5984272097534182</v>
      </c>
      <c r="R96" s="2773"/>
      <c r="S96" s="498"/>
      <c r="T96" s="498"/>
      <c r="U96" s="498"/>
      <c r="V96" s="498"/>
      <c r="W96" s="498"/>
      <c r="X96" s="498"/>
      <c r="Y96" s="498"/>
      <c r="Z96" s="498"/>
      <c r="AA96" s="498"/>
      <c r="AB96" s="498"/>
      <c r="AC96" s="498"/>
      <c r="AD96" s="498"/>
      <c r="AE96" s="498"/>
      <c r="AF96" s="498"/>
      <c r="AG96" s="498"/>
    </row>
    <row r="97" spans="1:33" x14ac:dyDescent="0.25">
      <c r="A97" s="2802"/>
      <c r="B97" s="706">
        <v>2047</v>
      </c>
      <c r="C97" s="1058">
        <f t="shared" si="24"/>
        <v>68961.207501437384</v>
      </c>
      <c r="D97" s="1058">
        <f t="shared" si="25"/>
        <v>4.3669318500693848</v>
      </c>
      <c r="E97" s="1058">
        <f t="shared" si="26"/>
        <v>54.585725510703057</v>
      </c>
      <c r="F97" s="1058">
        <f t="shared" si="27"/>
        <v>-0.19710688300087648</v>
      </c>
      <c r="G97" s="1058">
        <f t="shared" si="28"/>
        <v>3.1629722452113631</v>
      </c>
      <c r="H97" s="827">
        <v>94</v>
      </c>
      <c r="I97" s="827">
        <f>'Emission-Waste Transport Vehicl'!N61</f>
        <v>18.726897505536005</v>
      </c>
      <c r="J97" s="827">
        <f>'Emission-Waste Transport Vehicl'!P61</f>
        <v>10.419333762816001</v>
      </c>
      <c r="K97" s="827">
        <f>'Emission-Waste Transport Vehicl'!Q61</f>
        <v>8.0919475845120008</v>
      </c>
      <c r="L97" s="827">
        <f>'Emission-Waste Transport Vehicl'!R61</f>
        <v>0.80538976742400015</v>
      </c>
      <c r="M97" s="827">
        <f t="shared" si="33"/>
        <v>6482.3535051351146</v>
      </c>
      <c r="N97" s="830">
        <f t="shared" si="29"/>
        <v>81.77908516991009</v>
      </c>
      <c r="O97" s="830">
        <f t="shared" si="30"/>
        <v>568.74689278147503</v>
      </c>
      <c r="P97" s="830">
        <f t="shared" si="31"/>
        <v>-1.594978565789632</v>
      </c>
      <c r="Q97" s="830">
        <f t="shared" si="32"/>
        <v>2.5474254809393475</v>
      </c>
      <c r="R97" s="2773"/>
      <c r="S97" s="498"/>
      <c r="T97" s="498"/>
      <c r="U97" s="498"/>
      <c r="V97" s="498"/>
      <c r="W97" s="498"/>
      <c r="X97" s="498"/>
      <c r="Y97" s="498"/>
      <c r="Z97" s="498"/>
      <c r="AA97" s="498"/>
      <c r="AB97" s="498"/>
      <c r="AC97" s="498"/>
      <c r="AD97" s="498"/>
      <c r="AE97" s="498"/>
      <c r="AF97" s="498"/>
      <c r="AG97" s="498"/>
    </row>
    <row r="98" spans="1:33" x14ac:dyDescent="0.25">
      <c r="A98" s="2802"/>
      <c r="B98" s="706">
        <v>2048</v>
      </c>
      <c r="C98" s="1058">
        <f t="shared" si="24"/>
        <v>68961.207501437384</v>
      </c>
      <c r="D98" s="1058">
        <f t="shared" si="25"/>
        <v>4.3669318500693848</v>
      </c>
      <c r="E98" s="1058">
        <f t="shared" si="26"/>
        <v>54.585725510703057</v>
      </c>
      <c r="F98" s="1058">
        <f t="shared" si="27"/>
        <v>-0.19710688300087648</v>
      </c>
      <c r="G98" s="1058">
        <f t="shared" si="28"/>
        <v>3.1629722452113631</v>
      </c>
      <c r="H98" s="827">
        <v>95</v>
      </c>
      <c r="I98" s="827">
        <f>'Emission-Waste Transport Vehicl'!N62</f>
        <v>18.358488832464005</v>
      </c>
      <c r="J98" s="827">
        <f>'Emission-Waste Transport Vehicl'!P62</f>
        <v>10.214357315184001</v>
      </c>
      <c r="K98" s="827">
        <f>'Emission-Waste Transport Vehicl'!Q62</f>
        <v>7.9327571114880007</v>
      </c>
      <c r="L98" s="827">
        <f>'Emission-Waste Transport Vehicl'!R62</f>
        <v>0.78954557457600016</v>
      </c>
      <c r="M98" s="827">
        <f t="shared" si="33"/>
        <v>6551.314712636552</v>
      </c>
      <c r="N98" s="830">
        <f t="shared" si="29"/>
        <v>80.170269601630181</v>
      </c>
      <c r="O98" s="830">
        <f t="shared" si="30"/>
        <v>557.55810467487572</v>
      </c>
      <c r="P98" s="830">
        <f t="shared" si="31"/>
        <v>-1.5636010278484362</v>
      </c>
      <c r="Q98" s="830">
        <f t="shared" si="32"/>
        <v>2.4973107387133471</v>
      </c>
      <c r="R98" s="2773"/>
      <c r="S98" s="498"/>
      <c r="T98" s="498"/>
      <c r="U98" s="498"/>
      <c r="V98" s="498"/>
      <c r="W98" s="498"/>
      <c r="X98" s="498"/>
      <c r="Y98" s="498"/>
      <c r="Z98" s="498"/>
      <c r="AA98" s="498"/>
      <c r="AB98" s="498"/>
      <c r="AC98" s="498"/>
      <c r="AD98" s="498"/>
      <c r="AE98" s="498"/>
      <c r="AF98" s="498"/>
      <c r="AG98" s="498"/>
    </row>
    <row r="99" spans="1:33" x14ac:dyDescent="0.25">
      <c r="A99" s="2802"/>
      <c r="B99" s="706">
        <v>2049</v>
      </c>
      <c r="C99" s="1058">
        <f t="shared" si="24"/>
        <v>68961.207501437384</v>
      </c>
      <c r="D99" s="1058">
        <f t="shared" si="25"/>
        <v>4.3669318500693848</v>
      </c>
      <c r="E99" s="1058">
        <f t="shared" si="26"/>
        <v>54.585725510703057</v>
      </c>
      <c r="F99" s="1058">
        <f t="shared" si="27"/>
        <v>-0.19710688300087648</v>
      </c>
      <c r="G99" s="1058">
        <f t="shared" si="28"/>
        <v>3.1629722452113631</v>
      </c>
      <c r="H99" s="827">
        <v>96</v>
      </c>
      <c r="I99" s="827">
        <f>'Emission-Waste Transport Vehicl'!N63</f>
        <v>17.999860920624005</v>
      </c>
      <c r="J99" s="827">
        <f>'Emission-Waste Transport Vehicl'!P63</f>
        <v>10.014822720144002</v>
      </c>
      <c r="K99" s="827">
        <f>'Emission-Waste Transport Vehicl'!Q63</f>
        <v>7.7777929342080014</v>
      </c>
      <c r="L99" s="827">
        <f>'Emission-Waste Transport Vehicl'!R63</f>
        <v>0.77412202401600017</v>
      </c>
      <c r="M99" s="827">
        <f t="shared" si="33"/>
        <v>6620.2759201379886</v>
      </c>
      <c r="N99" s="830">
        <f t="shared" si="29"/>
        <v>78.604165951092213</v>
      </c>
      <c r="O99" s="830">
        <f t="shared" si="30"/>
        <v>546.66636404013298</v>
      </c>
      <c r="P99" s="830">
        <f t="shared" si="31"/>
        <v>-1.5330565218879804</v>
      </c>
      <c r="Q99" s="830">
        <f t="shared" si="32"/>
        <v>2.448526476369453</v>
      </c>
      <c r="R99" s="2773"/>
      <c r="S99" s="498"/>
      <c r="T99" s="498"/>
      <c r="U99" s="498"/>
      <c r="V99" s="498"/>
      <c r="W99" s="498"/>
      <c r="X99" s="498"/>
      <c r="Y99" s="498"/>
      <c r="Z99" s="498"/>
      <c r="AA99" s="498"/>
      <c r="AB99" s="498"/>
      <c r="AC99" s="498"/>
      <c r="AD99" s="498"/>
      <c r="AE99" s="498"/>
      <c r="AF99" s="498"/>
      <c r="AG99" s="498"/>
    </row>
    <row r="100" spans="1:33" x14ac:dyDescent="0.25">
      <c r="A100" s="2802"/>
      <c r="B100" s="706">
        <v>2050</v>
      </c>
      <c r="C100" s="1058">
        <f t="shared" si="24"/>
        <v>68961.207501437384</v>
      </c>
      <c r="D100" s="1058">
        <f t="shared" si="25"/>
        <v>4.3669318500693848</v>
      </c>
      <c r="E100" s="1058">
        <f t="shared" si="26"/>
        <v>54.585725510703057</v>
      </c>
      <c r="F100" s="1058">
        <f t="shared" si="27"/>
        <v>-0.19710688300087648</v>
      </c>
      <c r="G100" s="1058">
        <f t="shared" si="28"/>
        <v>3.1629722452113631</v>
      </c>
      <c r="H100" s="827">
        <v>97</v>
      </c>
      <c r="I100" s="827">
        <f>'Emission-Waste Transport Vehicl'!N64</f>
        <v>17.644493262528005</v>
      </c>
      <c r="J100" s="827">
        <f>'Emission-Waste Transport Vehicl'!P64</f>
        <v>9.8171020759680019</v>
      </c>
      <c r="K100" s="827">
        <f>'Emission-Waste Transport Vehicl'!Q64</f>
        <v>7.624237522176001</v>
      </c>
      <c r="L100" s="827">
        <f>'Emission-Waste Transport Vehicl'!R64</f>
        <v>0.75883868755200012</v>
      </c>
      <c r="M100" s="827">
        <f t="shared" si="33"/>
        <v>6689.237127639426</v>
      </c>
      <c r="N100" s="830">
        <f t="shared" si="29"/>
        <v>77.05229960646821</v>
      </c>
      <c r="O100" s="830">
        <f t="shared" si="30"/>
        <v>535.87363922934253</v>
      </c>
      <c r="P100" s="830">
        <f t="shared" si="31"/>
        <v>-1.5027896932544373</v>
      </c>
      <c r="Q100" s="830">
        <f t="shared" si="32"/>
        <v>2.400185707319594</v>
      </c>
      <c r="R100" s="2773"/>
      <c r="S100" s="498"/>
      <c r="T100" s="498"/>
      <c r="U100" s="498"/>
      <c r="V100" s="498"/>
      <c r="W100" s="498"/>
      <c r="X100" s="498"/>
      <c r="Y100" s="498"/>
      <c r="Z100" s="498"/>
      <c r="AA100" s="498"/>
      <c r="AB100" s="498"/>
      <c r="AC100" s="498"/>
      <c r="AD100" s="498"/>
      <c r="AE100" s="498"/>
      <c r="AF100" s="498"/>
      <c r="AG100" s="498"/>
    </row>
    <row r="101" spans="1:33" x14ac:dyDescent="0.25">
      <c r="A101" s="2802"/>
      <c r="B101" s="706">
        <v>2051</v>
      </c>
      <c r="C101" s="1058">
        <f t="shared" ref="C101:C119" si="34">$Q$11</f>
        <v>68961.207501437384</v>
      </c>
      <c r="D101" s="1058">
        <f t="shared" ref="D101:D119" si="35">$P$11</f>
        <v>4.3669318500693848</v>
      </c>
      <c r="E101" s="1058">
        <f t="shared" ref="E101:E119" si="36">$M$11</f>
        <v>54.585725510703057</v>
      </c>
      <c r="F101" s="1058">
        <f t="shared" ref="F101:F119" si="37">$N$11</f>
        <v>-0.19710688300087648</v>
      </c>
      <c r="G101" s="1058">
        <f t="shared" ref="G101:G119" si="38">$O$11</f>
        <v>3.1629722452113631</v>
      </c>
      <c r="H101" s="827">
        <v>97</v>
      </c>
      <c r="I101" s="827">
        <f>'Emission-Waste Transport Vehicl'!N65</f>
        <v>17.298906365664003</v>
      </c>
      <c r="J101" s="827">
        <f>'Emission-Waste Transport Vehicl'!P65</f>
        <v>9.624823284384</v>
      </c>
      <c r="K101" s="827">
        <f>'Emission-Waste Transport Vehicl'!Q65</f>
        <v>7.4749084058879998</v>
      </c>
      <c r="L101" s="827">
        <f>'Emission-Waste Transport Vehicl'!R65</f>
        <v>0.74397599337600007</v>
      </c>
      <c r="M101" s="827">
        <f t="shared" si="33"/>
        <v>6689.237127639426</v>
      </c>
      <c r="N101" s="830">
        <f t="shared" si="29"/>
        <v>75.543145179586162</v>
      </c>
      <c r="O101" s="830">
        <f t="shared" si="30"/>
        <v>525.37796189040853</v>
      </c>
      <c r="P101" s="830">
        <f t="shared" si="31"/>
        <v>-1.473355896601634</v>
      </c>
      <c r="Q101" s="830">
        <f t="shared" si="32"/>
        <v>2.3531754181518409</v>
      </c>
      <c r="R101" s="2773"/>
      <c r="S101" s="498"/>
      <c r="T101" s="498"/>
      <c r="U101" s="498"/>
      <c r="V101" s="498"/>
      <c r="W101" s="498"/>
      <c r="X101" s="498"/>
      <c r="Y101" s="498"/>
      <c r="Z101" s="498"/>
      <c r="AA101" s="498"/>
      <c r="AB101" s="498"/>
      <c r="AC101" s="498"/>
      <c r="AD101" s="498"/>
      <c r="AE101" s="498"/>
      <c r="AF101" s="498"/>
      <c r="AG101" s="498"/>
    </row>
    <row r="102" spans="1:33" x14ac:dyDescent="0.25">
      <c r="A102" s="2802"/>
      <c r="B102" s="706">
        <v>2052</v>
      </c>
      <c r="C102" s="1058">
        <f t="shared" si="34"/>
        <v>68961.207501437384</v>
      </c>
      <c r="D102" s="1058">
        <f t="shared" si="35"/>
        <v>4.3669318500693848</v>
      </c>
      <c r="E102" s="1058">
        <f t="shared" si="36"/>
        <v>54.585725510703057</v>
      </c>
      <c r="F102" s="1058">
        <f t="shared" si="37"/>
        <v>-0.19710688300087648</v>
      </c>
      <c r="G102" s="1058">
        <f t="shared" si="38"/>
        <v>3.1629722452113631</v>
      </c>
      <c r="H102" s="827">
        <v>97</v>
      </c>
      <c r="I102" s="827">
        <f>'Emission-Waste Transport Vehicl'!N66</f>
        <v>16.959839976288002</v>
      </c>
      <c r="J102" s="827">
        <f>'Emission-Waste Transport Vehicl'!P66</f>
        <v>9.4361723945280005</v>
      </c>
      <c r="K102" s="827">
        <f>'Emission-Waste Transport Vehicl'!Q66</f>
        <v>7.3283968200960006</v>
      </c>
      <c r="L102" s="827">
        <f>'Emission-Waste Transport Vehicl'!R66</f>
        <v>0.72939372739200004</v>
      </c>
      <c r="M102" s="827">
        <f t="shared" si="33"/>
        <v>6689.237127639426</v>
      </c>
      <c r="N102" s="830">
        <f t="shared" si="29"/>
        <v>74.062465364532073</v>
      </c>
      <c r="O102" s="830">
        <f t="shared" si="30"/>
        <v>515.08031619937901</v>
      </c>
      <c r="P102" s="830">
        <f t="shared" si="31"/>
        <v>-1.4444774546026575</v>
      </c>
      <c r="Q102" s="830">
        <f t="shared" si="32"/>
        <v>2.3070521155721591</v>
      </c>
      <c r="R102" s="2773"/>
      <c r="S102" s="498"/>
      <c r="T102" s="498"/>
      <c r="U102" s="498"/>
      <c r="V102" s="498"/>
      <c r="W102" s="498"/>
      <c r="X102" s="498"/>
      <c r="Y102" s="498"/>
      <c r="Z102" s="498"/>
      <c r="AA102" s="498"/>
      <c r="AB102" s="498"/>
      <c r="AC102" s="498"/>
      <c r="AD102" s="498"/>
      <c r="AE102" s="498"/>
      <c r="AF102" s="498"/>
      <c r="AG102" s="498"/>
    </row>
    <row r="103" spans="1:33" x14ac:dyDescent="0.25">
      <c r="A103" s="2802"/>
      <c r="B103" s="706">
        <v>2053</v>
      </c>
      <c r="C103" s="1058">
        <f t="shared" si="34"/>
        <v>68961.207501437384</v>
      </c>
      <c r="D103" s="1058">
        <f t="shared" si="35"/>
        <v>4.3669318500693848</v>
      </c>
      <c r="E103" s="1058">
        <f t="shared" si="36"/>
        <v>54.585725510703057</v>
      </c>
      <c r="F103" s="1058">
        <f t="shared" si="37"/>
        <v>-0.19710688300087648</v>
      </c>
      <c r="G103" s="1058">
        <f t="shared" si="38"/>
        <v>3.1629722452113631</v>
      </c>
      <c r="H103" s="827">
        <v>97</v>
      </c>
      <c r="I103" s="827">
        <f>'Emission-Waste Transport Vehicl'!N67</f>
        <v>15.361506000000002</v>
      </c>
      <c r="J103" s="827">
        <f>'Emission-Waste Transport Vehicl'!P67</f>
        <v>9.2511494064000015</v>
      </c>
      <c r="K103" s="827">
        <f>'Emission-Waste Transport Vehicl'!Q67</f>
        <v>7.1847027647999999</v>
      </c>
      <c r="L103" s="827">
        <f>'Emission-Waste Transport Vehicl'!R67</f>
        <v>0.71509188960000014</v>
      </c>
      <c r="M103" s="827">
        <f t="shared" si="33"/>
        <v>6689.237127639426</v>
      </c>
      <c r="N103" s="830">
        <f t="shared" si="29"/>
        <v>67.082649816431967</v>
      </c>
      <c r="O103" s="830">
        <f t="shared" si="30"/>
        <v>504.98070215625398</v>
      </c>
      <c r="P103" s="830">
        <f t="shared" si="31"/>
        <v>-1.4161543672575074</v>
      </c>
      <c r="Q103" s="830">
        <f t="shared" si="32"/>
        <v>2.2618157995805488</v>
      </c>
      <c r="R103" s="2773"/>
      <c r="S103" s="498"/>
      <c r="T103" s="498"/>
      <c r="U103" s="498"/>
      <c r="V103" s="498"/>
      <c r="W103" s="498"/>
      <c r="X103" s="498"/>
      <c r="Y103" s="498"/>
      <c r="Z103" s="498"/>
      <c r="AA103" s="498"/>
      <c r="AB103" s="498"/>
      <c r="AC103" s="498"/>
      <c r="AD103" s="498"/>
      <c r="AE103" s="498"/>
      <c r="AF103" s="498"/>
      <c r="AG103" s="498"/>
    </row>
    <row r="104" spans="1:33" x14ac:dyDescent="0.25">
      <c r="A104" s="2802"/>
      <c r="B104" s="706">
        <v>2054</v>
      </c>
      <c r="C104" s="1058">
        <f t="shared" si="34"/>
        <v>68961.207501437384</v>
      </c>
      <c r="D104" s="1058">
        <f t="shared" si="35"/>
        <v>4.3669318500693848</v>
      </c>
      <c r="E104" s="1058">
        <f t="shared" si="36"/>
        <v>54.585725510703057</v>
      </c>
      <c r="F104" s="1058">
        <f t="shared" si="37"/>
        <v>-0.19710688300087648</v>
      </c>
      <c r="G104" s="1058">
        <f t="shared" si="38"/>
        <v>3.1629722452113631</v>
      </c>
      <c r="H104" s="827">
        <v>97</v>
      </c>
      <c r="I104" s="827">
        <f>'Emission-Waste Transport Vehicl'!N68</f>
        <v>16.301268720000003</v>
      </c>
      <c r="J104" s="827">
        <f>'Emission-Waste Transport Vehicl'!P68</f>
        <v>9.0697543200000013</v>
      </c>
      <c r="K104" s="827">
        <f>'Emission-Waste Transport Vehicl'!Q68</f>
        <v>7.0438262400000005</v>
      </c>
      <c r="L104" s="827">
        <f>'Emission-Waste Transport Vehicl'!R68</f>
        <v>0.70107048000000005</v>
      </c>
      <c r="M104" s="827">
        <f t="shared" si="33"/>
        <v>6689.237127639426</v>
      </c>
      <c r="N104" s="830">
        <f t="shared" si="29"/>
        <v>71.186529569907805</v>
      </c>
      <c r="O104" s="830">
        <f t="shared" si="30"/>
        <v>495.07911976103333</v>
      </c>
      <c r="P104" s="830">
        <f t="shared" si="31"/>
        <v>-1.3883866345661837</v>
      </c>
      <c r="Q104" s="830">
        <f t="shared" si="32"/>
        <v>2.2174664701770084</v>
      </c>
      <c r="R104" s="2773"/>
      <c r="S104" s="498"/>
      <c r="T104" s="498"/>
      <c r="U104" s="498"/>
      <c r="V104" s="498"/>
      <c r="W104" s="498"/>
      <c r="X104" s="498"/>
      <c r="Y104" s="498"/>
      <c r="Z104" s="498"/>
      <c r="AA104" s="498"/>
      <c r="AB104" s="498"/>
      <c r="AC104" s="498"/>
      <c r="AD104" s="498"/>
      <c r="AE104" s="498"/>
      <c r="AF104" s="498"/>
      <c r="AG104" s="498"/>
    </row>
    <row r="105" spans="1:33" x14ac:dyDescent="0.25">
      <c r="A105" s="2802"/>
      <c r="B105" s="706">
        <v>2055</v>
      </c>
      <c r="C105" s="1058">
        <f t="shared" si="34"/>
        <v>68961.207501437384</v>
      </c>
      <c r="D105" s="1058">
        <f t="shared" si="35"/>
        <v>4.3669318500693848</v>
      </c>
      <c r="E105" s="1058">
        <f t="shared" si="36"/>
        <v>54.585725510703057</v>
      </c>
      <c r="F105" s="1058">
        <f t="shared" si="37"/>
        <v>-0.19710688300087648</v>
      </c>
      <c r="G105" s="1058">
        <f t="shared" si="38"/>
        <v>3.1629722452113631</v>
      </c>
      <c r="H105" s="827">
        <v>97</v>
      </c>
      <c r="I105" s="827">
        <f>'Emission-Waste Transport Vehicl'!N69</f>
        <v>15.981763853088003</v>
      </c>
      <c r="J105" s="827">
        <f>'Emission-Waste Transport Vehicl'!P69</f>
        <v>8.8919871353280016</v>
      </c>
      <c r="K105" s="827">
        <f>'Emission-Waste Transport Vehicl'!Q69</f>
        <v>6.9057672456960004</v>
      </c>
      <c r="L105" s="827">
        <f>'Emission-Waste Transport Vehicl'!R69</f>
        <v>0.6873294985920001</v>
      </c>
      <c r="M105" s="827">
        <f t="shared" si="33"/>
        <v>6689.237127639426</v>
      </c>
      <c r="N105" s="830">
        <f t="shared" si="29"/>
        <v>69.79127359033761</v>
      </c>
      <c r="O105" s="830">
        <f t="shared" si="30"/>
        <v>485.3755690137171</v>
      </c>
      <c r="P105" s="830">
        <f t="shared" si="31"/>
        <v>-1.3611742565286866</v>
      </c>
      <c r="Q105" s="830">
        <f t="shared" si="32"/>
        <v>2.1740041273615391</v>
      </c>
      <c r="R105" s="2773"/>
      <c r="S105" s="498"/>
      <c r="T105" s="498"/>
      <c r="U105" s="498"/>
      <c r="V105" s="498"/>
      <c r="W105" s="498"/>
      <c r="X105" s="498"/>
      <c r="Y105" s="498"/>
      <c r="Z105" s="498"/>
      <c r="AA105" s="498"/>
      <c r="AB105" s="498"/>
      <c r="AC105" s="498"/>
      <c r="AD105" s="498"/>
      <c r="AE105" s="498"/>
      <c r="AF105" s="498"/>
      <c r="AG105" s="498"/>
    </row>
    <row r="106" spans="1:33" x14ac:dyDescent="0.25">
      <c r="A106" s="2802"/>
      <c r="B106" s="706">
        <v>2056</v>
      </c>
      <c r="C106" s="1058">
        <f t="shared" si="34"/>
        <v>68961.207501437384</v>
      </c>
      <c r="D106" s="1058">
        <f t="shared" si="35"/>
        <v>4.3669318500693848</v>
      </c>
      <c r="E106" s="1058">
        <f t="shared" si="36"/>
        <v>54.585725510703057</v>
      </c>
      <c r="F106" s="1058">
        <f t="shared" si="37"/>
        <v>-0.19710688300087648</v>
      </c>
      <c r="G106" s="1058">
        <f t="shared" si="38"/>
        <v>3.1629722452113631</v>
      </c>
      <c r="H106" s="827">
        <v>97</v>
      </c>
      <c r="I106" s="827">
        <f>'Emission-Waste Transport Vehicl'!N70</f>
        <v>15.668779493664003</v>
      </c>
      <c r="J106" s="827">
        <f>'Emission-Waste Transport Vehicl'!P70</f>
        <v>8.7178478523840006</v>
      </c>
      <c r="K106" s="827">
        <f>'Emission-Waste Transport Vehicl'!Q70</f>
        <v>6.7705257818880007</v>
      </c>
      <c r="L106" s="827">
        <f>'Emission-Waste Transport Vehicl'!R70</f>
        <v>0.67386894537600017</v>
      </c>
      <c r="M106" s="827">
        <f t="shared" si="33"/>
        <v>6689.237127639426</v>
      </c>
      <c r="N106" s="830">
        <f t="shared" si="29"/>
        <v>68.424492222595376</v>
      </c>
      <c r="O106" s="830">
        <f t="shared" si="30"/>
        <v>475.87004991430518</v>
      </c>
      <c r="P106" s="830">
        <f t="shared" si="31"/>
        <v>-1.3345172331450159</v>
      </c>
      <c r="Q106" s="830">
        <f t="shared" si="32"/>
        <v>2.1314287711341406</v>
      </c>
      <c r="R106" s="2773"/>
      <c r="S106" s="498"/>
      <c r="T106" s="498"/>
      <c r="U106" s="498"/>
      <c r="V106" s="498"/>
      <c r="W106" s="498"/>
      <c r="X106" s="498"/>
      <c r="Y106" s="498"/>
      <c r="Z106" s="498"/>
      <c r="AA106" s="498"/>
      <c r="AB106" s="498"/>
      <c r="AC106" s="498"/>
      <c r="AD106" s="498"/>
      <c r="AE106" s="498"/>
      <c r="AF106" s="498"/>
      <c r="AG106" s="498"/>
    </row>
    <row r="107" spans="1:33" x14ac:dyDescent="0.25">
      <c r="A107" s="2802"/>
      <c r="B107" s="706">
        <v>2057</v>
      </c>
      <c r="C107" s="1058">
        <f t="shared" si="34"/>
        <v>68961.207501437384</v>
      </c>
      <c r="D107" s="1058">
        <f t="shared" si="35"/>
        <v>4.3669318500693848</v>
      </c>
      <c r="E107" s="1058">
        <f t="shared" si="36"/>
        <v>54.585725510703057</v>
      </c>
      <c r="F107" s="1058">
        <f t="shared" si="37"/>
        <v>-0.19710688300087648</v>
      </c>
      <c r="G107" s="1058">
        <f t="shared" si="38"/>
        <v>3.1629722452113631</v>
      </c>
      <c r="H107" s="827">
        <v>97</v>
      </c>
      <c r="I107" s="827">
        <f>'Emission-Waste Transport Vehicl'!N71</f>
        <v>15.362315641728001</v>
      </c>
      <c r="J107" s="827">
        <f>'Emission-Waste Transport Vehicl'!P71</f>
        <v>8.547336471168002</v>
      </c>
      <c r="K107" s="827">
        <f>'Emission-Waste Transport Vehicl'!Q71</f>
        <v>6.6381018485760004</v>
      </c>
      <c r="L107" s="827">
        <f>'Emission-Waste Transport Vehicl'!R71</f>
        <v>0.66068882035200005</v>
      </c>
      <c r="M107" s="827">
        <f t="shared" si="33"/>
        <v>6689.237127639426</v>
      </c>
      <c r="N107" s="830">
        <f t="shared" si="29"/>
        <v>67.086185466681101</v>
      </c>
      <c r="O107" s="830">
        <f t="shared" si="30"/>
        <v>466.56256246279787</v>
      </c>
      <c r="P107" s="830">
        <f t="shared" si="31"/>
        <v>-1.3084155644151716</v>
      </c>
      <c r="Q107" s="830">
        <f t="shared" si="32"/>
        <v>2.0897404014948124</v>
      </c>
      <c r="R107" s="2773"/>
      <c r="S107" s="498"/>
      <c r="T107" s="498"/>
      <c r="U107" s="498"/>
      <c r="V107" s="498"/>
      <c r="W107" s="498"/>
      <c r="X107" s="498"/>
      <c r="Y107" s="498"/>
      <c r="Z107" s="498"/>
      <c r="AA107" s="498"/>
      <c r="AB107" s="498"/>
      <c r="AC107" s="498"/>
      <c r="AD107" s="498"/>
      <c r="AE107" s="498"/>
      <c r="AF107" s="498"/>
      <c r="AG107" s="498"/>
    </row>
    <row r="108" spans="1:33" x14ac:dyDescent="0.25">
      <c r="A108" s="2802"/>
      <c r="B108" s="706">
        <v>2058</v>
      </c>
      <c r="C108" s="1058">
        <f t="shared" si="34"/>
        <v>68961.207501437384</v>
      </c>
      <c r="D108" s="1058">
        <f t="shared" si="35"/>
        <v>4.3669318500693848</v>
      </c>
      <c r="E108" s="1058">
        <f t="shared" si="36"/>
        <v>54.585725510703057</v>
      </c>
      <c r="F108" s="1058">
        <f t="shared" si="37"/>
        <v>-0.19710688300087648</v>
      </c>
      <c r="G108" s="1058">
        <f t="shared" si="38"/>
        <v>3.1629722452113631</v>
      </c>
      <c r="H108" s="827">
        <v>97</v>
      </c>
      <c r="I108" s="827">
        <f>'Emission-Waste Transport Vehicl'!N72</f>
        <v>15.059112043536</v>
      </c>
      <c r="J108" s="827">
        <f>'Emission-Waste Transport Vehicl'!P72</f>
        <v>8.378639040816001</v>
      </c>
      <c r="K108" s="827">
        <f>'Emission-Waste Transport Vehicl'!Q72</f>
        <v>6.5070866805119998</v>
      </c>
      <c r="L108" s="827">
        <f>'Emission-Waste Transport Vehicl'!R72</f>
        <v>0.647648909424</v>
      </c>
      <c r="M108" s="827">
        <f t="shared" si="33"/>
        <v>6689.237127639426</v>
      </c>
      <c r="N108" s="830">
        <f t="shared" si="29"/>
        <v>65.762116016680821</v>
      </c>
      <c r="O108" s="830">
        <f t="shared" si="30"/>
        <v>457.35409083524257</v>
      </c>
      <c r="P108" s="830">
        <f t="shared" si="31"/>
        <v>-1.2825915730122404</v>
      </c>
      <c r="Q108" s="830">
        <f t="shared" si="32"/>
        <v>2.0484955251495198</v>
      </c>
      <c r="R108" s="2773"/>
      <c r="S108" s="498"/>
      <c r="T108" s="498"/>
      <c r="U108" s="498"/>
      <c r="V108" s="498"/>
      <c r="W108" s="498"/>
      <c r="X108" s="498"/>
      <c r="Y108" s="498"/>
      <c r="Z108" s="498"/>
      <c r="AA108" s="498"/>
      <c r="AB108" s="498"/>
      <c r="AC108" s="498"/>
      <c r="AD108" s="498"/>
      <c r="AE108" s="498"/>
      <c r="AF108" s="498"/>
      <c r="AG108" s="498"/>
    </row>
    <row r="109" spans="1:33" x14ac:dyDescent="0.25">
      <c r="A109" s="2802"/>
      <c r="B109" s="706">
        <v>2059</v>
      </c>
      <c r="C109" s="1058">
        <f t="shared" si="34"/>
        <v>68961.207501437384</v>
      </c>
      <c r="D109" s="1058">
        <f t="shared" si="35"/>
        <v>4.3669318500693848</v>
      </c>
      <c r="E109" s="1058">
        <f t="shared" si="36"/>
        <v>54.585725510703057</v>
      </c>
      <c r="F109" s="1058">
        <f t="shared" si="37"/>
        <v>-0.19710688300087648</v>
      </c>
      <c r="G109" s="1058">
        <f t="shared" si="38"/>
        <v>3.1629722452113631</v>
      </c>
      <c r="H109" s="827">
        <v>97</v>
      </c>
      <c r="I109" s="827">
        <f>'Emission-Waste Transport Vehicl'!N73</f>
        <v>14.765689206576004</v>
      </c>
      <c r="J109" s="827">
        <f>'Emission-Waste Transport Vehicl'!P73</f>
        <v>8.2153834630560016</v>
      </c>
      <c r="K109" s="827">
        <f>'Emission-Waste Transport Vehicl'!Q73</f>
        <v>6.380297808192001</v>
      </c>
      <c r="L109" s="827">
        <f>'Emission-Waste Transport Vehicl'!R73</f>
        <v>0.63502964078400004</v>
      </c>
      <c r="M109" s="827">
        <f t="shared" si="33"/>
        <v>6689.237127639426</v>
      </c>
      <c r="N109" s="830">
        <f t="shared" si="29"/>
        <v>64.480758484422495</v>
      </c>
      <c r="O109" s="830">
        <f t="shared" si="30"/>
        <v>448.442666679544</v>
      </c>
      <c r="P109" s="830">
        <f t="shared" si="31"/>
        <v>-1.2576006135900493</v>
      </c>
      <c r="Q109" s="830">
        <f t="shared" si="32"/>
        <v>2.008581128686334</v>
      </c>
      <c r="R109" s="2773"/>
      <c r="S109" s="498"/>
      <c r="T109" s="498"/>
      <c r="U109" s="498"/>
      <c r="V109" s="498"/>
      <c r="W109" s="498"/>
      <c r="X109" s="498"/>
      <c r="Y109" s="498"/>
      <c r="Z109" s="498"/>
      <c r="AA109" s="498"/>
      <c r="AB109" s="498"/>
      <c r="AC109" s="498"/>
      <c r="AD109" s="498"/>
      <c r="AE109" s="498"/>
      <c r="AF109" s="498"/>
      <c r="AG109" s="498"/>
    </row>
    <row r="110" spans="1:33" x14ac:dyDescent="0.25">
      <c r="A110" s="2802"/>
      <c r="B110" s="706">
        <v>2060</v>
      </c>
      <c r="C110" s="1058">
        <f t="shared" si="34"/>
        <v>68961.207501437384</v>
      </c>
      <c r="D110" s="1058">
        <f t="shared" si="35"/>
        <v>4.3669318500693848</v>
      </c>
      <c r="E110" s="1058">
        <f t="shared" si="36"/>
        <v>54.585725510703057</v>
      </c>
      <c r="F110" s="1058">
        <f t="shared" si="37"/>
        <v>-0.19710688300087648</v>
      </c>
      <c r="G110" s="1058">
        <f t="shared" si="38"/>
        <v>3.1629722452113631</v>
      </c>
      <c r="H110" s="827">
        <v>97</v>
      </c>
      <c r="I110" s="827">
        <f>'Emission-Waste Transport Vehicl'!N74</f>
        <v>14.475526623360002</v>
      </c>
      <c r="J110" s="827">
        <f>'Emission-Waste Transport Vehicl'!P74</f>
        <v>8.0539418361599999</v>
      </c>
      <c r="K110" s="827">
        <f>'Emission-Waste Transport Vehicl'!Q74</f>
        <v>6.2549177011200001</v>
      </c>
      <c r="L110" s="827">
        <f>'Emission-Waste Transport Vehicl'!R74</f>
        <v>0.62255058624000004</v>
      </c>
      <c r="M110" s="827">
        <f t="shared" si="33"/>
        <v>6689.237127639426</v>
      </c>
      <c r="N110" s="830">
        <f t="shared" si="29"/>
        <v>63.213638258078127</v>
      </c>
      <c r="O110" s="830">
        <f t="shared" si="30"/>
        <v>439.63025834779751</v>
      </c>
      <c r="P110" s="830">
        <f t="shared" si="31"/>
        <v>-1.232887331494771</v>
      </c>
      <c r="Q110" s="830">
        <f t="shared" si="32"/>
        <v>1.9691102255171833</v>
      </c>
      <c r="R110" s="2773"/>
      <c r="S110" s="498"/>
      <c r="T110" s="498"/>
      <c r="U110" s="498"/>
      <c r="V110" s="498"/>
      <c r="W110" s="498"/>
      <c r="X110" s="498"/>
      <c r="Y110" s="498"/>
      <c r="Z110" s="498"/>
      <c r="AA110" s="498"/>
      <c r="AB110" s="498"/>
      <c r="AC110" s="498"/>
      <c r="AD110" s="498"/>
      <c r="AE110" s="498"/>
      <c r="AF110" s="498"/>
      <c r="AG110" s="498"/>
    </row>
    <row r="111" spans="1:33" x14ac:dyDescent="0.25">
      <c r="A111" s="2802"/>
      <c r="B111" s="706">
        <v>2061</v>
      </c>
      <c r="C111" s="1058">
        <f t="shared" si="34"/>
        <v>68961.207501437384</v>
      </c>
      <c r="D111" s="1058">
        <f t="shared" si="35"/>
        <v>4.3669318500693848</v>
      </c>
      <c r="E111" s="1058">
        <f t="shared" si="36"/>
        <v>54.585725510703057</v>
      </c>
      <c r="F111" s="1058">
        <f t="shared" si="37"/>
        <v>-0.19710688300087648</v>
      </c>
      <c r="G111" s="1058">
        <f t="shared" si="38"/>
        <v>3.1629722452113631</v>
      </c>
      <c r="H111" s="827">
        <v>97</v>
      </c>
      <c r="I111" s="827">
        <f>'Emission-Waste Transport Vehicl'!N75</f>
        <v>14.191884547632004</v>
      </c>
      <c r="J111" s="827">
        <f>'Emission-Waste Transport Vehicl'!P75</f>
        <v>7.8961281109920014</v>
      </c>
      <c r="K111" s="827">
        <f>'Emission-Waste Transport Vehicl'!Q75</f>
        <v>6.1323551245440004</v>
      </c>
      <c r="L111" s="827">
        <f>'Emission-Waste Transport Vehicl'!R75</f>
        <v>0.61035195988800006</v>
      </c>
      <c r="M111" s="827">
        <f t="shared" si="33"/>
        <v>6689.237127639426</v>
      </c>
      <c r="N111" s="830">
        <f t="shared" si="29"/>
        <v>61.974992643561741</v>
      </c>
      <c r="O111" s="830">
        <f t="shared" si="30"/>
        <v>431.01588166395561</v>
      </c>
      <c r="P111" s="830">
        <f t="shared" si="31"/>
        <v>-1.2087294040533196</v>
      </c>
      <c r="Q111" s="830">
        <f t="shared" si="32"/>
        <v>1.9305263089361033</v>
      </c>
      <c r="R111" s="2773"/>
      <c r="S111" s="498"/>
      <c r="T111" s="498"/>
      <c r="U111" s="498"/>
      <c r="V111" s="498"/>
      <c r="W111" s="498"/>
      <c r="X111" s="498"/>
      <c r="Y111" s="498"/>
      <c r="Z111" s="498"/>
      <c r="AA111" s="498"/>
      <c r="AB111" s="498"/>
      <c r="AC111" s="498"/>
      <c r="AD111" s="498"/>
      <c r="AE111" s="498"/>
      <c r="AF111" s="498"/>
      <c r="AG111" s="498"/>
    </row>
    <row r="112" spans="1:33" x14ac:dyDescent="0.25">
      <c r="A112" s="2802"/>
      <c r="B112" s="706">
        <v>2062</v>
      </c>
      <c r="C112" s="1058">
        <f t="shared" si="34"/>
        <v>68961.207501437384</v>
      </c>
      <c r="D112" s="1058">
        <f t="shared" si="35"/>
        <v>4.3669318500693848</v>
      </c>
      <c r="E112" s="1058">
        <f t="shared" si="36"/>
        <v>54.585725510703057</v>
      </c>
      <c r="F112" s="1058">
        <f t="shared" si="37"/>
        <v>-0.19710688300087648</v>
      </c>
      <c r="G112" s="1058">
        <f t="shared" si="38"/>
        <v>3.1629722452113631</v>
      </c>
      <c r="H112" s="827">
        <v>97</v>
      </c>
      <c r="I112" s="827">
        <f>'Emission-Waste Transport Vehicl'!N76</f>
        <v>13.914762979392002</v>
      </c>
      <c r="J112" s="827">
        <f>'Emission-Waste Transport Vehicl'!P76</f>
        <v>7.7419422875520008</v>
      </c>
      <c r="K112" s="827">
        <f>'Emission-Waste Transport Vehicl'!Q76</f>
        <v>6.0126100784640002</v>
      </c>
      <c r="L112" s="827">
        <f>'Emission-Waste Transport Vehicl'!R76</f>
        <v>0.59843376172800011</v>
      </c>
      <c r="M112" s="827">
        <f t="shared" si="33"/>
        <v>6689.237127639426</v>
      </c>
      <c r="N112" s="830">
        <f t="shared" si="29"/>
        <v>60.764821640873301</v>
      </c>
      <c r="O112" s="830">
        <f t="shared" si="30"/>
        <v>422.59953662801803</v>
      </c>
      <c r="P112" s="830">
        <f t="shared" si="31"/>
        <v>-1.1851268312656944</v>
      </c>
      <c r="Q112" s="830">
        <f t="shared" si="32"/>
        <v>1.8928293789430943</v>
      </c>
      <c r="R112" s="2773"/>
      <c r="S112" s="498"/>
      <c r="T112" s="498"/>
      <c r="U112" s="498"/>
      <c r="V112" s="498"/>
      <c r="W112" s="498"/>
      <c r="X112" s="498"/>
      <c r="Y112" s="498"/>
      <c r="Z112" s="498"/>
      <c r="AA112" s="498"/>
      <c r="AB112" s="498"/>
      <c r="AC112" s="498"/>
      <c r="AD112" s="498"/>
      <c r="AE112" s="498"/>
      <c r="AF112" s="498"/>
      <c r="AG112" s="498"/>
    </row>
    <row r="113" spans="1:33" x14ac:dyDescent="0.25">
      <c r="A113" s="2802"/>
      <c r="B113" s="706">
        <v>2063</v>
      </c>
      <c r="C113" s="1058">
        <f t="shared" si="34"/>
        <v>68961.207501437384</v>
      </c>
      <c r="D113" s="1058">
        <f t="shared" si="35"/>
        <v>4.3669318500693848</v>
      </c>
      <c r="E113" s="1058">
        <f t="shared" si="36"/>
        <v>54.585725510703057</v>
      </c>
      <c r="F113" s="1058">
        <f t="shared" si="37"/>
        <v>-0.19710688300087648</v>
      </c>
      <c r="G113" s="1058">
        <f t="shared" si="38"/>
        <v>3.1629722452113631</v>
      </c>
      <c r="H113" s="827">
        <v>97</v>
      </c>
      <c r="I113" s="827">
        <f>'Emission-Waste Transport Vehicl'!N77</f>
        <v>13.640901664896001</v>
      </c>
      <c r="J113" s="827">
        <f>'Emission-Waste Transport Vehicl'!P77</f>
        <v>7.5895704149760004</v>
      </c>
      <c r="K113" s="827">
        <f>'Emission-Waste Transport Vehicl'!Q77</f>
        <v>5.8942737976319997</v>
      </c>
      <c r="L113" s="827">
        <f>'Emission-Waste Transport Vehicl'!R77</f>
        <v>0.58665577766400001</v>
      </c>
      <c r="M113" s="827">
        <f t="shared" si="33"/>
        <v>6689.237127639426</v>
      </c>
      <c r="N113" s="830">
        <f t="shared" si="29"/>
        <v>59.568887944098847</v>
      </c>
      <c r="O113" s="830">
        <f t="shared" si="30"/>
        <v>414.28220741603263</v>
      </c>
      <c r="P113" s="830">
        <f t="shared" si="31"/>
        <v>-1.1618019358049825</v>
      </c>
      <c r="Q113" s="830">
        <f t="shared" si="32"/>
        <v>1.8555759422441203</v>
      </c>
      <c r="R113" s="2773"/>
      <c r="S113" s="498"/>
      <c r="T113" s="498"/>
      <c r="U113" s="498"/>
      <c r="V113" s="498"/>
      <c r="W113" s="498"/>
      <c r="X113" s="498"/>
      <c r="Y113" s="498"/>
      <c r="Z113" s="498"/>
      <c r="AA113" s="498"/>
      <c r="AB113" s="498"/>
      <c r="AC113" s="498"/>
      <c r="AD113" s="498"/>
      <c r="AE113" s="498"/>
      <c r="AF113" s="498"/>
      <c r="AG113" s="498"/>
    </row>
    <row r="114" spans="1:33" x14ac:dyDescent="0.25">
      <c r="A114" s="2802"/>
      <c r="B114" s="706">
        <v>2064</v>
      </c>
      <c r="C114" s="1058">
        <f t="shared" si="34"/>
        <v>68961.207501437384</v>
      </c>
      <c r="D114" s="1058">
        <f t="shared" si="35"/>
        <v>4.3669318500693848</v>
      </c>
      <c r="E114" s="1058">
        <f t="shared" si="36"/>
        <v>54.585725510703057</v>
      </c>
      <c r="F114" s="1058">
        <f t="shared" si="37"/>
        <v>-0.19710688300087648</v>
      </c>
      <c r="G114" s="1058">
        <f t="shared" si="38"/>
        <v>3.1629722452113631</v>
      </c>
      <c r="H114" s="827">
        <v>97</v>
      </c>
      <c r="I114" s="827">
        <f>'Emission-Waste Transport Vehicl'!N78</f>
        <v>13.373560857888002</v>
      </c>
      <c r="J114" s="827">
        <f>'Emission-Waste Transport Vehicl'!P78</f>
        <v>7.4408264441280014</v>
      </c>
      <c r="K114" s="827">
        <f>'Emission-Waste Transport Vehicl'!Q78</f>
        <v>5.7787550472960003</v>
      </c>
      <c r="L114" s="827">
        <f>'Emission-Waste Transport Vehicl'!R78</f>
        <v>0.57515822179200005</v>
      </c>
      <c r="M114" s="827">
        <f t="shared" si="33"/>
        <v>6689.237127639426</v>
      </c>
      <c r="N114" s="830">
        <f t="shared" si="29"/>
        <v>58.401428859152361</v>
      </c>
      <c r="O114" s="830">
        <f t="shared" si="30"/>
        <v>406.16290985195178</v>
      </c>
      <c r="P114" s="830">
        <f t="shared" si="31"/>
        <v>-1.1390323949980972</v>
      </c>
      <c r="Q114" s="830">
        <f t="shared" si="32"/>
        <v>1.8192094921332176</v>
      </c>
      <c r="R114" s="2773"/>
      <c r="S114" s="498"/>
      <c r="T114" s="498"/>
      <c r="U114" s="498"/>
      <c r="V114" s="498"/>
      <c r="W114" s="498"/>
      <c r="X114" s="498"/>
      <c r="Y114" s="498"/>
      <c r="Z114" s="498"/>
      <c r="AA114" s="498"/>
      <c r="AB114" s="498"/>
      <c r="AC114" s="498"/>
      <c r="AD114" s="498"/>
      <c r="AE114" s="498"/>
      <c r="AF114" s="498"/>
      <c r="AG114" s="498"/>
    </row>
    <row r="115" spans="1:33" x14ac:dyDescent="0.25">
      <c r="A115" s="2802"/>
      <c r="B115" s="706">
        <v>2065</v>
      </c>
      <c r="C115" s="1058">
        <f t="shared" si="34"/>
        <v>68961.207501437384</v>
      </c>
      <c r="D115" s="1058">
        <f t="shared" si="35"/>
        <v>4.3669318500693848</v>
      </c>
      <c r="E115" s="1058">
        <f t="shared" si="36"/>
        <v>54.585725510703057</v>
      </c>
      <c r="F115" s="1058">
        <f t="shared" si="37"/>
        <v>-0.19710688300087648</v>
      </c>
      <c r="G115" s="1058">
        <f t="shared" si="38"/>
        <v>3.1629722452113631</v>
      </c>
      <c r="H115" s="827">
        <v>97</v>
      </c>
      <c r="I115" s="827">
        <f>'Emission-Waste Transport Vehicl'!N79</f>
        <v>13.112740558368001</v>
      </c>
      <c r="J115" s="827">
        <f>'Emission-Waste Transport Vehicl'!P79</f>
        <v>7.2957103750080003</v>
      </c>
      <c r="K115" s="827">
        <f>'Emission-Waste Transport Vehicl'!Q79</f>
        <v>5.6660538274560004</v>
      </c>
      <c r="L115" s="827">
        <f>'Emission-Waste Transport Vehicl'!R79</f>
        <v>0.56394109411200011</v>
      </c>
      <c r="M115" s="827">
        <f t="shared" si="33"/>
        <v>6689.237127639426</v>
      </c>
      <c r="N115" s="830">
        <f t="shared" si="29"/>
        <v>57.262444386033835</v>
      </c>
      <c r="O115" s="830">
        <f t="shared" si="30"/>
        <v>398.24164393577519</v>
      </c>
      <c r="P115" s="830">
        <f t="shared" si="31"/>
        <v>-1.1168182088450382</v>
      </c>
      <c r="Q115" s="830">
        <f t="shared" si="32"/>
        <v>1.7837300286103857</v>
      </c>
      <c r="R115" s="2773"/>
      <c r="S115" s="498"/>
      <c r="T115" s="498"/>
      <c r="U115" s="498"/>
      <c r="V115" s="498"/>
      <c r="W115" s="498"/>
      <c r="X115" s="498"/>
      <c r="Y115" s="498"/>
      <c r="Z115" s="498"/>
      <c r="AA115" s="498"/>
      <c r="AB115" s="498"/>
      <c r="AC115" s="498"/>
      <c r="AD115" s="498"/>
      <c r="AE115" s="498"/>
      <c r="AF115" s="498"/>
      <c r="AG115" s="498"/>
    </row>
    <row r="116" spans="1:33" x14ac:dyDescent="0.25">
      <c r="A116" s="2802"/>
      <c r="B116" s="706">
        <v>2066</v>
      </c>
      <c r="C116" s="1058">
        <f t="shared" si="34"/>
        <v>68961.207501437384</v>
      </c>
      <c r="D116" s="1058">
        <f t="shared" si="35"/>
        <v>4.3669318500693848</v>
      </c>
      <c r="E116" s="1058">
        <f t="shared" si="36"/>
        <v>54.585725510703057</v>
      </c>
      <c r="F116" s="1058">
        <f t="shared" si="37"/>
        <v>-0.19710688300087648</v>
      </c>
      <c r="G116" s="1058">
        <f t="shared" si="38"/>
        <v>3.1629722452113631</v>
      </c>
      <c r="H116" s="827">
        <v>97</v>
      </c>
      <c r="I116" s="827">
        <f>'Emission-Waste Transport Vehicl'!N80</f>
        <v>12.855180512592</v>
      </c>
      <c r="J116" s="827">
        <f>'Emission-Waste Transport Vehicl'!P80</f>
        <v>7.1524082567520004</v>
      </c>
      <c r="K116" s="827">
        <f>'Emission-Waste Transport Vehicl'!Q80</f>
        <v>5.5547613728639993</v>
      </c>
      <c r="L116" s="827">
        <f>'Emission-Waste Transport Vehicl'!R80</f>
        <v>0.55286418052800002</v>
      </c>
      <c r="M116" s="827">
        <f t="shared" si="33"/>
        <v>6689.237127639426</v>
      </c>
      <c r="N116" s="830">
        <f t="shared" si="29"/>
        <v>56.137697218829281</v>
      </c>
      <c r="O116" s="830">
        <f t="shared" si="30"/>
        <v>390.41939384355084</v>
      </c>
      <c r="P116" s="830">
        <f t="shared" si="31"/>
        <v>-1.0948817000188924</v>
      </c>
      <c r="Q116" s="830">
        <f t="shared" si="32"/>
        <v>1.7486940583815886</v>
      </c>
      <c r="R116" s="2773"/>
      <c r="S116" s="498"/>
      <c r="T116" s="498"/>
      <c r="U116" s="498"/>
      <c r="V116" s="498"/>
      <c r="W116" s="498"/>
      <c r="X116" s="498"/>
      <c r="Y116" s="498"/>
      <c r="Z116" s="498"/>
      <c r="AA116" s="498"/>
      <c r="AB116" s="498"/>
      <c r="AC116" s="498"/>
      <c r="AD116" s="498"/>
      <c r="AE116" s="498"/>
      <c r="AF116" s="498"/>
      <c r="AG116" s="498"/>
    </row>
    <row r="117" spans="1:33" x14ac:dyDescent="0.25">
      <c r="A117" s="2802"/>
      <c r="B117" s="706">
        <v>2067</v>
      </c>
      <c r="C117" s="1058">
        <f t="shared" si="34"/>
        <v>68961.207501437384</v>
      </c>
      <c r="D117" s="1058">
        <f t="shared" si="35"/>
        <v>4.3669318500693848</v>
      </c>
      <c r="E117" s="1058">
        <f t="shared" si="36"/>
        <v>54.585725510703057</v>
      </c>
      <c r="F117" s="1058">
        <f t="shared" si="37"/>
        <v>-0.19710688300087648</v>
      </c>
      <c r="G117" s="1058">
        <f t="shared" si="38"/>
        <v>3.1629722452113631</v>
      </c>
      <c r="H117" s="827">
        <v>97</v>
      </c>
      <c r="I117" s="827">
        <f>'Emission-Waste Transport Vehicl'!N81</f>
        <v>12.600880720560001</v>
      </c>
      <c r="J117" s="827">
        <f>'Emission-Waste Transport Vehicl'!P81</f>
        <v>7.0109200893600008</v>
      </c>
      <c r="K117" s="827">
        <f>'Emission-Waste Transport Vehicl'!Q81</f>
        <v>5.4448776835200006</v>
      </c>
      <c r="L117" s="827">
        <f>'Emission-Waste Transport Vehicl'!R81</f>
        <v>0.5419274810400001</v>
      </c>
      <c r="M117" s="827">
        <f t="shared" si="33"/>
        <v>6689.237127639426</v>
      </c>
      <c r="N117" s="830">
        <f t="shared" si="29"/>
        <v>55.027187357538729</v>
      </c>
      <c r="O117" s="830">
        <f t="shared" si="30"/>
        <v>382.69615957527873</v>
      </c>
      <c r="P117" s="830">
        <f t="shared" si="31"/>
        <v>-1.0732228685196601</v>
      </c>
      <c r="Q117" s="830">
        <f t="shared" si="32"/>
        <v>1.7141015814468274</v>
      </c>
      <c r="R117" s="2773"/>
      <c r="S117" s="498"/>
      <c r="T117" s="498"/>
      <c r="U117" s="498"/>
      <c r="V117" s="498"/>
      <c r="W117" s="498"/>
      <c r="X117" s="498"/>
      <c r="Y117" s="498"/>
      <c r="Z117" s="498"/>
      <c r="AA117" s="498"/>
      <c r="AB117" s="498"/>
      <c r="AC117" s="498"/>
      <c r="AD117" s="498"/>
      <c r="AE117" s="498"/>
      <c r="AF117" s="498"/>
      <c r="AG117" s="498"/>
    </row>
    <row r="118" spans="1:33" x14ac:dyDescent="0.25">
      <c r="A118" s="2802"/>
      <c r="B118" s="706">
        <v>2068</v>
      </c>
      <c r="C118" s="1058">
        <f t="shared" si="34"/>
        <v>68961.207501437384</v>
      </c>
      <c r="D118" s="1058">
        <f t="shared" si="35"/>
        <v>4.3669318500693848</v>
      </c>
      <c r="E118" s="1058">
        <f t="shared" si="36"/>
        <v>54.585725510703057</v>
      </c>
      <c r="F118" s="1058">
        <f t="shared" si="37"/>
        <v>-0.19710688300087648</v>
      </c>
      <c r="G118" s="1058">
        <f t="shared" si="38"/>
        <v>3.1629722452113631</v>
      </c>
      <c r="H118" s="827">
        <v>97</v>
      </c>
      <c r="I118" s="827">
        <f>'Emission-Waste Transport Vehicl'!N82</f>
        <v>12.356361689760002</v>
      </c>
      <c r="J118" s="827">
        <f>'Emission-Waste Transport Vehicl'!P82</f>
        <v>6.8748737745600002</v>
      </c>
      <c r="K118" s="827">
        <f>'Emission-Waste Transport Vehicl'!Q82</f>
        <v>5.339220289920001</v>
      </c>
      <c r="L118" s="827">
        <f>'Emission-Waste Transport Vehicl'!R82</f>
        <v>0.53141142384000006</v>
      </c>
      <c r="M118" s="827">
        <f t="shared" si="33"/>
        <v>6689.237127639426</v>
      </c>
      <c r="N118" s="830">
        <f t="shared" si="29"/>
        <v>53.959389413990117</v>
      </c>
      <c r="O118" s="830">
        <f t="shared" si="30"/>
        <v>375.26997277886323</v>
      </c>
      <c r="P118" s="830">
        <f t="shared" si="31"/>
        <v>-1.0523970690011675</v>
      </c>
      <c r="Q118" s="830">
        <f t="shared" si="32"/>
        <v>1.6808395843941724</v>
      </c>
      <c r="R118" s="2773"/>
      <c r="S118" s="498"/>
      <c r="T118" s="498"/>
      <c r="U118" s="498"/>
      <c r="V118" s="498"/>
      <c r="W118" s="498"/>
      <c r="X118" s="498"/>
      <c r="Y118" s="498"/>
      <c r="Z118" s="498"/>
      <c r="AA118" s="498"/>
      <c r="AB118" s="498"/>
      <c r="AC118" s="498"/>
      <c r="AD118" s="498"/>
      <c r="AE118" s="498"/>
      <c r="AF118" s="498"/>
      <c r="AG118" s="498"/>
    </row>
    <row r="119" spans="1:33" ht="15.75" thickBot="1" x14ac:dyDescent="0.3">
      <c r="A119" s="2807"/>
      <c r="B119" s="55">
        <v>2069</v>
      </c>
      <c r="C119" s="1060">
        <f t="shared" si="34"/>
        <v>68961.207501437384</v>
      </c>
      <c r="D119" s="1060">
        <f t="shared" si="35"/>
        <v>4.3669318500693848</v>
      </c>
      <c r="E119" s="1060">
        <f t="shared" si="36"/>
        <v>54.585725510703057</v>
      </c>
      <c r="F119" s="1060">
        <f t="shared" si="37"/>
        <v>-0.19710688300087648</v>
      </c>
      <c r="G119" s="1060">
        <f t="shared" si="38"/>
        <v>3.1629722452113631</v>
      </c>
      <c r="H119" s="1062">
        <v>97</v>
      </c>
      <c r="I119" s="1062">
        <f>'Emission-Waste Transport Vehicl'!N83</f>
        <v>12.111842658960002</v>
      </c>
      <c r="J119" s="1062">
        <f>'Emission-Waste Transport Vehicl'!P83</f>
        <v>6.7388274597600004</v>
      </c>
      <c r="K119" s="1062">
        <f>'Emission-Waste Transport Vehicl'!Q83</f>
        <v>5.2335628963200005</v>
      </c>
      <c r="L119" s="1062">
        <f>'Emission-Waste Transport Vehicl'!R83</f>
        <v>0.52089536664000002</v>
      </c>
      <c r="M119" s="1062">
        <f t="shared" si="33"/>
        <v>6689.237127639426</v>
      </c>
      <c r="N119" s="1063">
        <f t="shared" si="29"/>
        <v>52.891591470441497</v>
      </c>
      <c r="O119" s="1063">
        <f t="shared" si="30"/>
        <v>367.84378598244774</v>
      </c>
      <c r="P119" s="1063">
        <f t="shared" si="31"/>
        <v>-1.0315712694826746</v>
      </c>
      <c r="Q119" s="1063">
        <f t="shared" si="32"/>
        <v>1.647577587341517</v>
      </c>
      <c r="R119" s="2774"/>
      <c r="S119" s="498"/>
      <c r="T119" s="498"/>
      <c r="U119" s="498"/>
      <c r="V119" s="498"/>
      <c r="W119" s="498"/>
      <c r="X119" s="498"/>
      <c r="Y119" s="498"/>
      <c r="Z119" s="498"/>
      <c r="AA119" s="498"/>
      <c r="AB119" s="498"/>
      <c r="AC119" s="498"/>
      <c r="AD119" s="498"/>
      <c r="AE119" s="498"/>
      <c r="AF119" s="498"/>
      <c r="AG119" s="498"/>
    </row>
    <row r="120" spans="1:33" x14ac:dyDescent="0.25">
      <c r="A120" s="498"/>
      <c r="B120" s="498"/>
      <c r="C120" s="498"/>
      <c r="D120" s="498"/>
      <c r="E120" s="498"/>
      <c r="F120" s="498"/>
      <c r="G120" s="498"/>
      <c r="H120" s="498"/>
      <c r="I120" s="498"/>
      <c r="J120" s="498"/>
      <c r="K120" s="498"/>
      <c r="L120" s="498"/>
      <c r="M120" s="498"/>
      <c r="N120" s="498"/>
      <c r="O120" s="498"/>
      <c r="P120" s="498"/>
      <c r="Q120" s="498"/>
      <c r="R120" s="498"/>
      <c r="S120" s="498"/>
      <c r="T120" s="498"/>
      <c r="U120" s="498"/>
      <c r="V120" s="498"/>
      <c r="W120" s="498"/>
      <c r="X120" s="498"/>
      <c r="Y120" s="498"/>
      <c r="Z120" s="498"/>
      <c r="AA120" s="498"/>
      <c r="AB120" s="498"/>
      <c r="AC120" s="498"/>
      <c r="AD120" s="498"/>
      <c r="AE120" s="498"/>
      <c r="AF120" s="498"/>
      <c r="AG120" s="498"/>
    </row>
    <row r="121" spans="1:33" x14ac:dyDescent="0.25">
      <c r="A121" s="498"/>
      <c r="B121" s="498"/>
      <c r="C121" s="498"/>
      <c r="D121" s="498"/>
      <c r="E121" s="498"/>
      <c r="F121" s="498"/>
      <c r="G121" s="498"/>
      <c r="H121" s="498"/>
      <c r="I121" s="498"/>
      <c r="J121" s="498"/>
      <c r="K121" s="498"/>
      <c r="L121" s="498"/>
      <c r="M121" s="498"/>
      <c r="N121" s="498"/>
      <c r="O121" s="498"/>
      <c r="P121" s="498"/>
      <c r="Q121" s="498"/>
      <c r="R121" s="498"/>
      <c r="S121" s="498"/>
      <c r="T121" s="498"/>
      <c r="U121" s="498"/>
      <c r="V121" s="498"/>
      <c r="W121" s="498"/>
      <c r="X121" s="498"/>
      <c r="Y121" s="498"/>
      <c r="Z121" s="498"/>
      <c r="AA121" s="498"/>
      <c r="AB121" s="498"/>
      <c r="AC121" s="498"/>
      <c r="AD121" s="498"/>
      <c r="AE121" s="498"/>
      <c r="AF121" s="498"/>
      <c r="AG121" s="498"/>
    </row>
    <row r="122" spans="1:33" x14ac:dyDescent="0.25">
      <c r="A122" s="498"/>
      <c r="B122" s="498"/>
      <c r="C122" s="498"/>
      <c r="D122" s="498"/>
      <c r="E122" s="498"/>
      <c r="F122" s="498"/>
      <c r="G122" s="498"/>
      <c r="H122" s="498"/>
      <c r="I122" s="498"/>
      <c r="J122" s="498"/>
      <c r="K122" s="498"/>
      <c r="L122" s="498"/>
      <c r="M122" s="498"/>
      <c r="N122" s="498"/>
      <c r="O122" s="498"/>
      <c r="P122" s="498"/>
      <c r="Q122" s="498"/>
      <c r="R122" s="498"/>
      <c r="S122" s="498"/>
      <c r="T122" s="498"/>
      <c r="U122" s="498"/>
      <c r="V122" s="498"/>
      <c r="W122" s="498"/>
      <c r="X122" s="498"/>
      <c r="Y122" s="498"/>
      <c r="Z122" s="498"/>
      <c r="AA122" s="498"/>
      <c r="AB122" s="498"/>
      <c r="AC122" s="498"/>
      <c r="AD122" s="498"/>
      <c r="AE122" s="498"/>
      <c r="AF122" s="498"/>
      <c r="AG122" s="498"/>
    </row>
    <row r="123" spans="1:33" x14ac:dyDescent="0.25">
      <c r="A123" s="498"/>
      <c r="B123" s="498"/>
      <c r="C123" s="498"/>
      <c r="D123" s="498"/>
      <c r="E123" s="498"/>
      <c r="F123" s="498"/>
      <c r="G123" s="498"/>
      <c r="H123" s="498"/>
      <c r="I123" s="498"/>
      <c r="J123" s="498"/>
      <c r="K123" s="498"/>
      <c r="L123" s="498"/>
      <c r="M123" s="498"/>
      <c r="N123" s="498"/>
      <c r="O123" s="498"/>
      <c r="P123" s="498"/>
      <c r="Q123" s="498"/>
      <c r="R123" s="498"/>
      <c r="S123" s="498"/>
      <c r="T123" s="498"/>
      <c r="U123" s="498"/>
      <c r="V123" s="498"/>
      <c r="W123" s="498"/>
      <c r="X123" s="498"/>
      <c r="Y123" s="498"/>
      <c r="Z123" s="498"/>
      <c r="AA123" s="498"/>
      <c r="AB123" s="498"/>
      <c r="AC123" s="498"/>
      <c r="AD123" s="498"/>
      <c r="AE123" s="498"/>
      <c r="AF123" s="498"/>
      <c r="AG123" s="498"/>
    </row>
    <row r="124" spans="1:33" x14ac:dyDescent="0.25">
      <c r="A124" s="498"/>
      <c r="B124" s="498"/>
      <c r="C124" s="498"/>
      <c r="D124" s="498"/>
      <c r="E124" s="498"/>
      <c r="F124" s="498"/>
      <c r="G124" s="498"/>
      <c r="H124" s="498"/>
      <c r="I124" s="498"/>
      <c r="J124" s="498"/>
      <c r="K124" s="498"/>
      <c r="L124" s="498"/>
      <c r="M124" s="498"/>
      <c r="N124" s="498"/>
      <c r="O124" s="498"/>
      <c r="P124" s="498"/>
      <c r="Q124" s="498"/>
      <c r="R124" s="498"/>
      <c r="S124" s="498"/>
      <c r="T124" s="498"/>
      <c r="U124" s="498"/>
      <c r="V124" s="498"/>
      <c r="W124" s="498"/>
      <c r="X124" s="498"/>
      <c r="Y124" s="498"/>
      <c r="Z124" s="498"/>
      <c r="AA124" s="498"/>
      <c r="AB124" s="498"/>
      <c r="AC124" s="498"/>
      <c r="AD124" s="498"/>
      <c r="AE124" s="498"/>
      <c r="AF124" s="498"/>
      <c r="AG124" s="498"/>
    </row>
    <row r="125" spans="1:33" x14ac:dyDescent="0.25">
      <c r="A125" s="498"/>
      <c r="B125" s="498"/>
      <c r="C125" s="498"/>
      <c r="D125" s="498"/>
      <c r="E125" s="498"/>
      <c r="F125" s="498"/>
      <c r="G125" s="498"/>
      <c r="H125" s="498"/>
      <c r="I125" s="498"/>
      <c r="J125" s="498"/>
      <c r="K125" s="498"/>
      <c r="L125" s="498"/>
      <c r="M125" s="498"/>
      <c r="N125" s="498"/>
      <c r="O125" s="498"/>
      <c r="P125" s="498"/>
      <c r="Q125" s="498"/>
      <c r="R125" s="498"/>
      <c r="S125" s="498"/>
      <c r="T125" s="498"/>
      <c r="U125" s="498"/>
      <c r="V125" s="498"/>
      <c r="W125" s="498"/>
      <c r="X125" s="498"/>
      <c r="Y125" s="498"/>
      <c r="Z125" s="498"/>
      <c r="AA125" s="498"/>
      <c r="AB125" s="498"/>
      <c r="AC125" s="498"/>
      <c r="AD125" s="498"/>
      <c r="AE125" s="498"/>
      <c r="AF125" s="498"/>
      <c r="AG125" s="498"/>
    </row>
    <row r="126" spans="1:33" x14ac:dyDescent="0.25">
      <c r="A126" s="498"/>
      <c r="B126" s="498"/>
      <c r="C126" s="498"/>
      <c r="D126" s="498"/>
      <c r="E126" s="498"/>
      <c r="F126" s="498"/>
      <c r="G126" s="498"/>
      <c r="H126" s="498"/>
      <c r="I126" s="498"/>
      <c r="J126" s="498"/>
      <c r="K126" s="498"/>
      <c r="L126" s="498"/>
      <c r="M126" s="498"/>
      <c r="N126" s="498"/>
      <c r="O126" s="498"/>
      <c r="P126" s="498"/>
      <c r="Q126" s="498"/>
      <c r="R126" s="498"/>
      <c r="S126" s="498"/>
      <c r="T126" s="498"/>
      <c r="U126" s="498"/>
      <c r="V126" s="498"/>
      <c r="W126" s="498"/>
      <c r="X126" s="498"/>
      <c r="Y126" s="498"/>
      <c r="Z126" s="498"/>
      <c r="AA126" s="498"/>
      <c r="AB126" s="498"/>
      <c r="AC126" s="498"/>
      <c r="AD126" s="498"/>
      <c r="AE126" s="498"/>
      <c r="AF126" s="498"/>
      <c r="AG126" s="498"/>
    </row>
    <row r="127" spans="1:33" x14ac:dyDescent="0.25">
      <c r="A127" s="498"/>
      <c r="B127" s="498"/>
      <c r="C127" s="498"/>
      <c r="D127" s="498"/>
      <c r="E127" s="498"/>
      <c r="F127" s="498"/>
      <c r="G127" s="498"/>
      <c r="H127" s="498"/>
      <c r="I127" s="498"/>
      <c r="J127" s="498"/>
      <c r="K127" s="498"/>
      <c r="L127" s="498"/>
      <c r="M127" s="498"/>
      <c r="N127" s="498"/>
      <c r="O127" s="498"/>
      <c r="P127" s="498"/>
      <c r="Q127" s="498"/>
      <c r="R127" s="498"/>
      <c r="S127" s="498"/>
      <c r="T127" s="498"/>
      <c r="U127" s="498"/>
      <c r="V127" s="498"/>
      <c r="W127" s="498"/>
      <c r="X127" s="498"/>
      <c r="Y127" s="498"/>
      <c r="Z127" s="498"/>
      <c r="AA127" s="498"/>
      <c r="AB127" s="498"/>
      <c r="AC127" s="498"/>
      <c r="AD127" s="498"/>
      <c r="AE127" s="498"/>
      <c r="AF127" s="498"/>
      <c r="AG127" s="498"/>
    </row>
    <row r="128" spans="1:33" x14ac:dyDescent="0.25">
      <c r="A128" s="498"/>
      <c r="B128" s="498"/>
      <c r="C128" s="498"/>
      <c r="D128" s="498"/>
      <c r="E128" s="498"/>
      <c r="F128" s="498"/>
      <c r="G128" s="498"/>
      <c r="H128" s="498"/>
      <c r="I128" s="498"/>
      <c r="J128" s="498"/>
      <c r="K128" s="498"/>
      <c r="L128" s="498"/>
      <c r="M128" s="498"/>
      <c r="N128" s="498"/>
      <c r="O128" s="498"/>
      <c r="P128" s="498"/>
      <c r="Q128" s="498"/>
      <c r="R128" s="498"/>
      <c r="S128" s="498"/>
      <c r="T128" s="498"/>
      <c r="U128" s="498"/>
      <c r="V128" s="498"/>
      <c r="W128" s="498"/>
      <c r="X128" s="498"/>
      <c r="Y128" s="498"/>
      <c r="Z128" s="498"/>
      <c r="AA128" s="498"/>
      <c r="AB128" s="498"/>
      <c r="AC128" s="498"/>
      <c r="AD128" s="498"/>
      <c r="AE128" s="498"/>
      <c r="AF128" s="498"/>
      <c r="AG128" s="498"/>
    </row>
    <row r="129" spans="1:33" x14ac:dyDescent="0.25">
      <c r="A129" s="498"/>
      <c r="B129" s="498"/>
      <c r="C129" s="498"/>
      <c r="D129" s="498"/>
      <c r="E129" s="498"/>
      <c r="F129" s="498"/>
      <c r="G129" s="498"/>
      <c r="H129" s="498"/>
      <c r="I129" s="498"/>
      <c r="J129" s="498"/>
      <c r="K129" s="498"/>
      <c r="L129" s="498"/>
      <c r="M129" s="498"/>
      <c r="N129" s="498"/>
      <c r="O129" s="498"/>
      <c r="P129" s="498"/>
      <c r="Q129" s="498"/>
      <c r="R129" s="498"/>
      <c r="S129" s="498"/>
      <c r="T129" s="498"/>
      <c r="U129" s="498"/>
      <c r="V129" s="498"/>
      <c r="W129" s="498"/>
      <c r="X129" s="498"/>
      <c r="Y129" s="498"/>
      <c r="Z129" s="498"/>
      <c r="AA129" s="498"/>
      <c r="AB129" s="498"/>
      <c r="AC129" s="498"/>
      <c r="AD129" s="498"/>
      <c r="AE129" s="498"/>
      <c r="AF129" s="498"/>
      <c r="AG129" s="498"/>
    </row>
    <row r="130" spans="1:33" x14ac:dyDescent="0.25">
      <c r="A130" s="498"/>
      <c r="B130" s="498"/>
      <c r="C130" s="498"/>
      <c r="D130" s="498"/>
      <c r="E130" s="498"/>
      <c r="F130" s="498"/>
      <c r="G130" s="498"/>
      <c r="H130" s="498"/>
      <c r="I130" s="498"/>
      <c r="J130" s="498"/>
      <c r="K130" s="498"/>
      <c r="L130" s="498"/>
      <c r="M130" s="498"/>
      <c r="N130" s="498"/>
      <c r="O130" s="498"/>
      <c r="P130" s="498"/>
      <c r="Q130" s="498"/>
      <c r="R130" s="498"/>
      <c r="S130" s="498"/>
      <c r="T130" s="498"/>
      <c r="U130" s="498"/>
      <c r="V130" s="498"/>
      <c r="W130" s="498"/>
      <c r="X130" s="498"/>
      <c r="Y130" s="498"/>
      <c r="Z130" s="498"/>
      <c r="AA130" s="498"/>
      <c r="AB130" s="498"/>
      <c r="AC130" s="498"/>
      <c r="AD130" s="498"/>
      <c r="AE130" s="498"/>
      <c r="AF130" s="498"/>
      <c r="AG130" s="498"/>
    </row>
    <row r="131" spans="1:33" x14ac:dyDescent="0.25">
      <c r="A131" s="498"/>
      <c r="B131" s="498"/>
      <c r="C131" s="498"/>
      <c r="D131" s="498"/>
      <c r="E131" s="498"/>
      <c r="F131" s="498"/>
      <c r="G131" s="498"/>
      <c r="H131" s="498"/>
      <c r="I131" s="498"/>
      <c r="J131" s="498"/>
      <c r="K131" s="498"/>
      <c r="L131" s="498"/>
      <c r="M131" s="498"/>
      <c r="N131" s="498"/>
      <c r="O131" s="498"/>
      <c r="P131" s="498"/>
      <c r="Q131" s="498"/>
      <c r="R131" s="498"/>
      <c r="S131" s="498"/>
      <c r="T131" s="498"/>
      <c r="U131" s="498"/>
      <c r="V131" s="498"/>
      <c r="W131" s="498"/>
      <c r="X131" s="498"/>
      <c r="Y131" s="498"/>
      <c r="Z131" s="498"/>
      <c r="AA131" s="498"/>
      <c r="AB131" s="498"/>
      <c r="AC131" s="498"/>
      <c r="AD131" s="498"/>
      <c r="AE131" s="498"/>
      <c r="AF131" s="498"/>
      <c r="AG131" s="498"/>
    </row>
    <row r="132" spans="1:33" x14ac:dyDescent="0.25">
      <c r="A132" s="498"/>
      <c r="B132" s="498"/>
      <c r="C132" s="498"/>
      <c r="D132" s="498"/>
      <c r="E132" s="498"/>
      <c r="F132" s="498"/>
      <c r="G132" s="498"/>
      <c r="H132" s="498"/>
      <c r="I132" s="498"/>
      <c r="J132" s="498"/>
      <c r="K132" s="498"/>
      <c r="L132" s="498"/>
      <c r="M132" s="498"/>
      <c r="N132" s="498"/>
      <c r="O132" s="498"/>
      <c r="P132" s="498"/>
      <c r="Q132" s="498"/>
      <c r="R132" s="498"/>
      <c r="S132" s="498"/>
      <c r="T132" s="498"/>
      <c r="U132" s="498"/>
      <c r="V132" s="498"/>
      <c r="W132" s="498"/>
      <c r="X132" s="498"/>
      <c r="Y132" s="498"/>
      <c r="Z132" s="498"/>
      <c r="AA132" s="498"/>
      <c r="AB132" s="498"/>
      <c r="AC132" s="498"/>
      <c r="AD132" s="498"/>
      <c r="AE132" s="498"/>
      <c r="AF132" s="498"/>
      <c r="AG132" s="498"/>
    </row>
    <row r="133" spans="1:33" x14ac:dyDescent="0.25">
      <c r="A133" s="498"/>
      <c r="B133" s="498"/>
      <c r="C133" s="498"/>
      <c r="D133" s="498"/>
      <c r="E133" s="498"/>
      <c r="F133" s="498"/>
      <c r="G133" s="498"/>
      <c r="H133" s="498"/>
      <c r="I133" s="498"/>
      <c r="J133" s="498"/>
      <c r="K133" s="498"/>
      <c r="L133" s="498"/>
      <c r="M133" s="498"/>
      <c r="N133" s="498"/>
      <c r="O133" s="498"/>
      <c r="P133" s="498"/>
      <c r="Q133" s="498"/>
      <c r="R133" s="498"/>
      <c r="S133" s="498"/>
      <c r="T133" s="498"/>
      <c r="U133" s="498"/>
      <c r="V133" s="498"/>
      <c r="W133" s="498"/>
      <c r="X133" s="498"/>
      <c r="Y133" s="498"/>
      <c r="Z133" s="498"/>
      <c r="AA133" s="498"/>
      <c r="AB133" s="498"/>
      <c r="AC133" s="498"/>
      <c r="AD133" s="498"/>
      <c r="AE133" s="498"/>
      <c r="AF133" s="498"/>
      <c r="AG133" s="498"/>
    </row>
    <row r="134" spans="1:33" x14ac:dyDescent="0.25">
      <c r="A134" s="498"/>
      <c r="B134" s="498"/>
      <c r="C134" s="498"/>
      <c r="D134" s="498"/>
      <c r="E134" s="498"/>
      <c r="F134" s="498"/>
      <c r="G134" s="498"/>
      <c r="H134" s="498"/>
      <c r="I134" s="498"/>
      <c r="J134" s="498"/>
      <c r="K134" s="498"/>
      <c r="L134" s="498"/>
      <c r="M134" s="498"/>
      <c r="N134" s="498"/>
      <c r="O134" s="498"/>
      <c r="P134" s="498"/>
      <c r="Q134" s="498"/>
      <c r="R134" s="498"/>
      <c r="S134" s="498"/>
      <c r="T134" s="498"/>
      <c r="U134" s="498"/>
      <c r="V134" s="498"/>
      <c r="W134" s="498"/>
      <c r="X134" s="498"/>
      <c r="Y134" s="498"/>
      <c r="Z134" s="498"/>
      <c r="AA134" s="498"/>
      <c r="AB134" s="498"/>
      <c r="AC134" s="498"/>
      <c r="AD134" s="498"/>
      <c r="AE134" s="498"/>
      <c r="AF134" s="498"/>
      <c r="AG134" s="498"/>
    </row>
    <row r="135" spans="1:33" x14ac:dyDescent="0.25">
      <c r="A135" s="498"/>
      <c r="B135" s="498"/>
      <c r="C135" s="498"/>
      <c r="D135" s="498"/>
      <c r="E135" s="498"/>
      <c r="F135" s="498"/>
      <c r="G135" s="498"/>
      <c r="H135" s="498"/>
      <c r="I135" s="498"/>
      <c r="J135" s="498"/>
      <c r="K135" s="498"/>
      <c r="L135" s="498"/>
      <c r="M135" s="498"/>
      <c r="N135" s="498"/>
      <c r="O135" s="498"/>
      <c r="P135" s="498"/>
      <c r="Q135" s="498"/>
      <c r="R135" s="498"/>
      <c r="S135" s="498"/>
      <c r="T135" s="498"/>
      <c r="U135" s="498"/>
      <c r="V135" s="498"/>
      <c r="W135" s="498"/>
      <c r="X135" s="498"/>
      <c r="Y135" s="498"/>
      <c r="Z135" s="498"/>
      <c r="AA135" s="498"/>
      <c r="AB135" s="498"/>
      <c r="AC135" s="498"/>
      <c r="AD135" s="498"/>
      <c r="AE135" s="498"/>
      <c r="AF135" s="498"/>
      <c r="AG135" s="498"/>
    </row>
    <row r="136" spans="1:33" x14ac:dyDescent="0.25">
      <c r="A136" s="498"/>
      <c r="B136" s="498"/>
      <c r="C136" s="498"/>
      <c r="D136" s="498"/>
      <c r="E136" s="498"/>
      <c r="F136" s="498"/>
      <c r="G136" s="498"/>
      <c r="H136" s="498"/>
      <c r="I136" s="498"/>
      <c r="J136" s="498"/>
      <c r="K136" s="498"/>
      <c r="L136" s="498"/>
      <c r="M136" s="498"/>
      <c r="N136" s="498"/>
      <c r="O136" s="498"/>
      <c r="P136" s="498"/>
      <c r="Q136" s="498"/>
      <c r="R136" s="498"/>
      <c r="S136" s="498"/>
      <c r="T136" s="498"/>
      <c r="U136" s="498"/>
      <c r="V136" s="498"/>
      <c r="W136" s="498"/>
      <c r="X136" s="498"/>
      <c r="Y136" s="498"/>
      <c r="Z136" s="498"/>
      <c r="AA136" s="498"/>
      <c r="AB136" s="498"/>
      <c r="AC136" s="498"/>
      <c r="AD136" s="498"/>
      <c r="AE136" s="498"/>
      <c r="AF136" s="498"/>
      <c r="AG136" s="498"/>
    </row>
    <row r="137" spans="1:33" x14ac:dyDescent="0.25">
      <c r="A137" s="498"/>
      <c r="B137" s="498"/>
      <c r="C137" s="498"/>
      <c r="D137" s="498"/>
      <c r="E137" s="498"/>
      <c r="F137" s="498"/>
      <c r="G137" s="498"/>
      <c r="H137" s="498"/>
      <c r="I137" s="498"/>
      <c r="J137" s="498"/>
      <c r="K137" s="498"/>
      <c r="L137" s="498"/>
      <c r="M137" s="498"/>
      <c r="N137" s="498"/>
      <c r="O137" s="498"/>
      <c r="P137" s="498"/>
      <c r="Q137" s="498"/>
      <c r="R137" s="498"/>
      <c r="S137" s="498"/>
      <c r="T137" s="498"/>
      <c r="U137" s="498"/>
      <c r="V137" s="498"/>
      <c r="W137" s="498"/>
      <c r="X137" s="498"/>
      <c r="Y137" s="498"/>
      <c r="Z137" s="498"/>
      <c r="AA137" s="498"/>
      <c r="AB137" s="498"/>
      <c r="AC137" s="498"/>
      <c r="AD137" s="498"/>
      <c r="AE137" s="498"/>
      <c r="AF137" s="498"/>
      <c r="AG137" s="498"/>
    </row>
    <row r="138" spans="1:33" x14ac:dyDescent="0.25">
      <c r="A138" s="498"/>
      <c r="B138" s="498"/>
      <c r="C138" s="498"/>
      <c r="D138" s="498"/>
      <c r="E138" s="498"/>
      <c r="F138" s="498"/>
      <c r="G138" s="498"/>
      <c r="H138" s="498"/>
      <c r="I138" s="498"/>
      <c r="J138" s="498"/>
      <c r="K138" s="498"/>
      <c r="L138" s="498"/>
      <c r="M138" s="498"/>
      <c r="N138" s="498"/>
      <c r="O138" s="498"/>
      <c r="P138" s="498"/>
      <c r="Q138" s="498"/>
      <c r="R138" s="498"/>
      <c r="S138" s="498"/>
      <c r="T138" s="498"/>
      <c r="U138" s="498"/>
      <c r="V138" s="498"/>
      <c r="W138" s="498"/>
      <c r="X138" s="498"/>
      <c r="Y138" s="498"/>
      <c r="Z138" s="498"/>
      <c r="AA138" s="498"/>
      <c r="AB138" s="498"/>
      <c r="AC138" s="498"/>
      <c r="AD138" s="498"/>
      <c r="AE138" s="498"/>
      <c r="AF138" s="498"/>
      <c r="AG138" s="498"/>
    </row>
    <row r="139" spans="1:33" x14ac:dyDescent="0.25">
      <c r="A139" s="498"/>
      <c r="B139" s="498"/>
      <c r="C139" s="498"/>
      <c r="D139" s="498"/>
      <c r="E139" s="498"/>
      <c r="F139" s="498"/>
      <c r="G139" s="498"/>
      <c r="H139" s="498"/>
      <c r="I139" s="498"/>
      <c r="J139" s="498"/>
      <c r="K139" s="498"/>
      <c r="L139" s="498"/>
      <c r="M139" s="498"/>
      <c r="N139" s="498"/>
      <c r="O139" s="498"/>
      <c r="P139" s="498"/>
      <c r="Q139" s="498"/>
      <c r="R139" s="498"/>
      <c r="S139" s="498"/>
      <c r="T139" s="498"/>
      <c r="U139" s="498"/>
      <c r="V139" s="498"/>
      <c r="W139" s="498"/>
      <c r="X139" s="498"/>
      <c r="Y139" s="498"/>
      <c r="Z139" s="498"/>
      <c r="AA139" s="498"/>
      <c r="AB139" s="498"/>
      <c r="AC139" s="498"/>
      <c r="AD139" s="498"/>
      <c r="AE139" s="498"/>
      <c r="AF139" s="498"/>
      <c r="AG139" s="498"/>
    </row>
    <row r="140" spans="1:33" x14ac:dyDescent="0.25">
      <c r="A140" s="498"/>
      <c r="B140" s="498"/>
      <c r="C140" s="498"/>
      <c r="D140" s="498"/>
      <c r="E140" s="498"/>
      <c r="F140" s="498"/>
      <c r="G140" s="498"/>
      <c r="H140" s="498"/>
      <c r="I140" s="498"/>
      <c r="J140" s="498"/>
      <c r="K140" s="498"/>
      <c r="L140" s="498"/>
      <c r="M140" s="498"/>
      <c r="N140" s="498"/>
      <c r="O140" s="498"/>
      <c r="P140" s="498"/>
      <c r="Q140" s="498"/>
      <c r="R140" s="498"/>
      <c r="S140" s="498"/>
      <c r="T140" s="498"/>
      <c r="U140" s="498"/>
      <c r="V140" s="498"/>
      <c r="W140" s="498"/>
      <c r="X140" s="498"/>
      <c r="Y140" s="498"/>
      <c r="Z140" s="498"/>
      <c r="AA140" s="498"/>
      <c r="AB140" s="498"/>
      <c r="AC140" s="498"/>
      <c r="AD140" s="498"/>
      <c r="AE140" s="498"/>
      <c r="AF140" s="498"/>
      <c r="AG140" s="498"/>
    </row>
    <row r="141" spans="1:33" x14ac:dyDescent="0.25">
      <c r="A141" s="498"/>
      <c r="B141" s="498"/>
      <c r="C141" s="498"/>
      <c r="D141" s="498"/>
      <c r="E141" s="498"/>
      <c r="F141" s="498"/>
      <c r="G141" s="498"/>
      <c r="H141" s="498"/>
      <c r="I141" s="498"/>
      <c r="J141" s="498"/>
      <c r="K141" s="498"/>
      <c r="L141" s="498"/>
      <c r="M141" s="498"/>
      <c r="N141" s="498"/>
      <c r="O141" s="498"/>
      <c r="P141" s="498"/>
      <c r="Q141" s="498"/>
      <c r="R141" s="498"/>
      <c r="S141" s="498"/>
      <c r="T141" s="498"/>
      <c r="U141" s="498"/>
      <c r="V141" s="498"/>
      <c r="W141" s="498"/>
      <c r="X141" s="498"/>
      <c r="Y141" s="498"/>
      <c r="Z141" s="498"/>
      <c r="AA141" s="498"/>
      <c r="AB141" s="498"/>
      <c r="AC141" s="498"/>
      <c r="AD141" s="498"/>
      <c r="AE141" s="498"/>
      <c r="AF141" s="498"/>
      <c r="AG141" s="498"/>
    </row>
    <row r="142" spans="1:33" x14ac:dyDescent="0.25">
      <c r="A142" s="498"/>
      <c r="B142" s="498"/>
      <c r="C142" s="498"/>
      <c r="D142" s="498"/>
      <c r="E142" s="498"/>
      <c r="F142" s="498"/>
      <c r="G142" s="498"/>
      <c r="H142" s="498"/>
      <c r="I142" s="498"/>
      <c r="J142" s="498"/>
      <c r="K142" s="498"/>
      <c r="L142" s="498"/>
      <c r="M142" s="498"/>
      <c r="N142" s="498"/>
      <c r="O142" s="498"/>
      <c r="P142" s="498"/>
      <c r="Q142" s="498"/>
      <c r="R142" s="498"/>
      <c r="S142" s="498"/>
      <c r="T142" s="498"/>
      <c r="U142" s="498"/>
      <c r="V142" s="498"/>
      <c r="W142" s="498"/>
      <c r="X142" s="498"/>
      <c r="Y142" s="498"/>
      <c r="Z142" s="498"/>
      <c r="AA142" s="498"/>
      <c r="AB142" s="498"/>
      <c r="AC142" s="498"/>
      <c r="AD142" s="498"/>
      <c r="AE142" s="498"/>
      <c r="AF142" s="498"/>
      <c r="AG142" s="498"/>
    </row>
    <row r="143" spans="1:33" x14ac:dyDescent="0.25">
      <c r="A143" s="498"/>
      <c r="B143" s="498"/>
      <c r="C143" s="498"/>
      <c r="D143" s="498"/>
      <c r="E143" s="498"/>
      <c r="F143" s="498"/>
      <c r="G143" s="498"/>
      <c r="H143" s="498"/>
      <c r="I143" s="498"/>
      <c r="J143" s="498"/>
      <c r="K143" s="498"/>
      <c r="L143" s="498"/>
      <c r="M143" s="498"/>
      <c r="N143" s="498"/>
      <c r="O143" s="498"/>
      <c r="P143" s="498"/>
      <c r="Q143" s="498"/>
      <c r="R143" s="498"/>
      <c r="S143" s="498"/>
      <c r="T143" s="498"/>
      <c r="U143" s="498"/>
      <c r="V143" s="498"/>
      <c r="W143" s="498"/>
      <c r="X143" s="498"/>
      <c r="Y143" s="498"/>
      <c r="Z143" s="498"/>
      <c r="AA143" s="498"/>
      <c r="AB143" s="498"/>
      <c r="AC143" s="498"/>
      <c r="AD143" s="498"/>
      <c r="AE143" s="498"/>
      <c r="AF143" s="498"/>
      <c r="AG143" s="498"/>
    </row>
    <row r="144" spans="1:33" x14ac:dyDescent="0.25">
      <c r="A144" s="498"/>
      <c r="B144" s="498"/>
      <c r="C144" s="498"/>
      <c r="D144" s="498"/>
      <c r="E144" s="498"/>
      <c r="F144" s="498"/>
      <c r="G144" s="498"/>
      <c r="H144" s="498"/>
      <c r="I144" s="498"/>
      <c r="J144" s="498"/>
      <c r="K144" s="498"/>
      <c r="L144" s="498"/>
      <c r="M144" s="498"/>
      <c r="N144" s="498"/>
      <c r="O144" s="498"/>
      <c r="P144" s="498"/>
      <c r="Q144" s="498"/>
      <c r="R144" s="498"/>
      <c r="S144" s="498"/>
      <c r="T144" s="498"/>
      <c r="U144" s="498"/>
      <c r="V144" s="498"/>
      <c r="W144" s="498"/>
      <c r="X144" s="498"/>
      <c r="Y144" s="498"/>
      <c r="Z144" s="498"/>
      <c r="AA144" s="498"/>
      <c r="AB144" s="498"/>
      <c r="AC144" s="498"/>
      <c r="AD144" s="498"/>
      <c r="AE144" s="498"/>
      <c r="AF144" s="498"/>
      <c r="AG144" s="498"/>
    </row>
    <row r="145" spans="1:33" x14ac:dyDescent="0.25">
      <c r="A145" s="498"/>
      <c r="B145" s="498"/>
      <c r="C145" s="498"/>
      <c r="D145" s="498"/>
      <c r="E145" s="498"/>
      <c r="F145" s="498"/>
      <c r="G145" s="498"/>
      <c r="H145" s="498"/>
      <c r="I145" s="498"/>
      <c r="J145" s="498"/>
      <c r="K145" s="498"/>
      <c r="L145" s="498"/>
      <c r="M145" s="498"/>
      <c r="N145" s="498"/>
      <c r="O145" s="498"/>
      <c r="P145" s="498"/>
      <c r="Q145" s="498"/>
      <c r="R145" s="498"/>
      <c r="S145" s="498"/>
      <c r="T145" s="498"/>
      <c r="U145" s="498"/>
      <c r="V145" s="498"/>
      <c r="W145" s="498"/>
      <c r="X145" s="498"/>
      <c r="Y145" s="498"/>
      <c r="Z145" s="498"/>
      <c r="AA145" s="498"/>
      <c r="AB145" s="498"/>
      <c r="AC145" s="498"/>
      <c r="AD145" s="498"/>
      <c r="AE145" s="498"/>
      <c r="AF145" s="498"/>
      <c r="AG145" s="498"/>
    </row>
    <row r="146" spans="1:33" x14ac:dyDescent="0.25">
      <c r="A146" s="498"/>
      <c r="B146" s="498"/>
      <c r="C146" s="498"/>
      <c r="D146" s="498"/>
      <c r="E146" s="498"/>
      <c r="F146" s="498"/>
      <c r="G146" s="498"/>
      <c r="H146" s="498"/>
      <c r="I146" s="498"/>
      <c r="J146" s="498"/>
      <c r="K146" s="498"/>
      <c r="L146" s="498"/>
      <c r="M146" s="498"/>
      <c r="N146" s="498"/>
      <c r="O146" s="498"/>
      <c r="P146" s="498"/>
      <c r="Q146" s="498"/>
      <c r="R146" s="498"/>
      <c r="S146" s="498"/>
      <c r="T146" s="498"/>
      <c r="U146" s="498"/>
      <c r="V146" s="498"/>
      <c r="W146" s="498"/>
      <c r="X146" s="498"/>
      <c r="Y146" s="498"/>
      <c r="Z146" s="498"/>
      <c r="AA146" s="498"/>
      <c r="AB146" s="498"/>
      <c r="AC146" s="498"/>
      <c r="AD146" s="498"/>
      <c r="AE146" s="498"/>
      <c r="AF146" s="498"/>
      <c r="AG146" s="498"/>
    </row>
    <row r="147" spans="1:33" x14ac:dyDescent="0.25">
      <c r="A147" s="498"/>
      <c r="B147" s="498"/>
      <c r="C147" s="498"/>
      <c r="D147" s="498"/>
      <c r="E147" s="498"/>
      <c r="F147" s="498"/>
      <c r="G147" s="498"/>
      <c r="H147" s="498"/>
      <c r="I147" s="498"/>
      <c r="J147" s="498"/>
      <c r="K147" s="498"/>
      <c r="L147" s="498"/>
      <c r="M147" s="498"/>
      <c r="N147" s="498"/>
      <c r="O147" s="498"/>
      <c r="P147" s="498"/>
      <c r="Q147" s="498"/>
      <c r="R147" s="498"/>
      <c r="S147" s="498"/>
      <c r="T147" s="498"/>
      <c r="U147" s="498"/>
      <c r="V147" s="498"/>
      <c r="W147" s="498"/>
      <c r="X147" s="498"/>
      <c r="Y147" s="498"/>
      <c r="Z147" s="498"/>
      <c r="AA147" s="498"/>
      <c r="AB147" s="498"/>
      <c r="AC147" s="498"/>
      <c r="AD147" s="498"/>
      <c r="AE147" s="498"/>
      <c r="AF147" s="498"/>
      <c r="AG147" s="498"/>
    </row>
    <row r="148" spans="1:33" x14ac:dyDescent="0.25">
      <c r="A148" s="498"/>
      <c r="B148" s="498"/>
      <c r="C148" s="498"/>
      <c r="D148" s="498"/>
      <c r="E148" s="498"/>
      <c r="F148" s="498"/>
      <c r="G148" s="498"/>
      <c r="H148" s="498"/>
      <c r="I148" s="498"/>
      <c r="J148" s="498"/>
      <c r="K148" s="498"/>
      <c r="L148" s="498"/>
      <c r="M148" s="498"/>
      <c r="N148" s="498"/>
      <c r="O148" s="498"/>
      <c r="P148" s="498"/>
      <c r="Q148" s="498"/>
      <c r="R148" s="498"/>
      <c r="S148" s="498"/>
      <c r="T148" s="498"/>
      <c r="U148" s="498"/>
      <c r="V148" s="498"/>
      <c r="W148" s="498"/>
      <c r="X148" s="498"/>
      <c r="Y148" s="498"/>
      <c r="Z148" s="498"/>
      <c r="AA148" s="498"/>
      <c r="AB148" s="498"/>
      <c r="AC148" s="498"/>
      <c r="AD148" s="498"/>
      <c r="AE148" s="498"/>
      <c r="AF148" s="498"/>
      <c r="AG148" s="498"/>
    </row>
    <row r="149" spans="1:33" x14ac:dyDescent="0.25">
      <c r="A149" s="498"/>
      <c r="B149" s="498"/>
      <c r="C149" s="498"/>
      <c r="D149" s="498"/>
      <c r="E149" s="498"/>
      <c r="F149" s="498"/>
      <c r="G149" s="498"/>
      <c r="H149" s="498"/>
      <c r="I149" s="498"/>
      <c r="J149" s="498"/>
      <c r="K149" s="498"/>
      <c r="L149" s="498"/>
      <c r="M149" s="498"/>
      <c r="N149" s="498"/>
      <c r="O149" s="498"/>
      <c r="P149" s="498"/>
      <c r="Q149" s="498"/>
      <c r="R149" s="498"/>
      <c r="S149" s="498"/>
      <c r="T149" s="498"/>
      <c r="U149" s="498"/>
      <c r="V149" s="498"/>
      <c r="W149" s="498"/>
      <c r="X149" s="498"/>
      <c r="Y149" s="498"/>
      <c r="Z149" s="498"/>
      <c r="AA149" s="498"/>
      <c r="AB149" s="498"/>
      <c r="AC149" s="498"/>
      <c r="AD149" s="498"/>
      <c r="AE149" s="498"/>
      <c r="AF149" s="498"/>
      <c r="AG149" s="498"/>
    </row>
    <row r="150" spans="1:33" x14ac:dyDescent="0.25">
      <c r="A150" s="498"/>
      <c r="B150" s="498"/>
      <c r="C150" s="498"/>
      <c r="D150" s="498"/>
      <c r="E150" s="498"/>
      <c r="F150" s="498"/>
      <c r="G150" s="498"/>
      <c r="H150" s="498"/>
      <c r="I150" s="498"/>
      <c r="J150" s="498"/>
      <c r="K150" s="498"/>
      <c r="L150" s="498"/>
      <c r="M150" s="498"/>
      <c r="N150" s="498"/>
      <c r="O150" s="498"/>
      <c r="P150" s="498"/>
      <c r="Q150" s="498"/>
      <c r="R150" s="498"/>
      <c r="S150" s="498"/>
      <c r="T150" s="498"/>
      <c r="U150" s="498"/>
      <c r="V150" s="498"/>
      <c r="W150" s="498"/>
      <c r="X150" s="498"/>
      <c r="Y150" s="498"/>
      <c r="Z150" s="498"/>
      <c r="AA150" s="498"/>
      <c r="AB150" s="498"/>
      <c r="AC150" s="498"/>
      <c r="AD150" s="498"/>
      <c r="AE150" s="498"/>
      <c r="AF150" s="498"/>
      <c r="AG150" s="498"/>
    </row>
    <row r="151" spans="1:33" x14ac:dyDescent="0.25">
      <c r="A151" s="498"/>
      <c r="B151" s="498"/>
      <c r="C151" s="498"/>
      <c r="D151" s="498"/>
      <c r="E151" s="498"/>
      <c r="F151" s="498"/>
      <c r="G151" s="498"/>
      <c r="H151" s="498"/>
      <c r="I151" s="498"/>
      <c r="J151" s="498"/>
      <c r="K151" s="498"/>
      <c r="L151" s="498"/>
      <c r="M151" s="498"/>
      <c r="N151" s="498"/>
      <c r="O151" s="498"/>
      <c r="P151" s="498"/>
      <c r="Q151" s="498"/>
      <c r="R151" s="498"/>
      <c r="S151" s="498"/>
      <c r="T151" s="498"/>
      <c r="U151" s="498"/>
      <c r="V151" s="498"/>
      <c r="W151" s="498"/>
      <c r="X151" s="498"/>
      <c r="Y151" s="498"/>
      <c r="Z151" s="498"/>
      <c r="AA151" s="498"/>
      <c r="AB151" s="498"/>
      <c r="AC151" s="498"/>
      <c r="AD151" s="498"/>
      <c r="AE151" s="498"/>
      <c r="AF151" s="498"/>
      <c r="AG151" s="498"/>
    </row>
    <row r="152" spans="1:33" x14ac:dyDescent="0.25">
      <c r="A152" s="498"/>
      <c r="B152" s="498"/>
      <c r="C152" s="498"/>
      <c r="D152" s="498"/>
      <c r="E152" s="498"/>
      <c r="F152" s="498"/>
      <c r="G152" s="498"/>
      <c r="H152" s="498"/>
      <c r="I152" s="498"/>
      <c r="J152" s="498"/>
      <c r="K152" s="498"/>
      <c r="L152" s="498"/>
      <c r="M152" s="498"/>
      <c r="N152" s="498"/>
      <c r="O152" s="498"/>
      <c r="P152" s="498"/>
      <c r="Q152" s="498"/>
      <c r="R152" s="498"/>
      <c r="S152" s="498"/>
      <c r="T152" s="498"/>
      <c r="U152" s="498"/>
      <c r="V152" s="498"/>
      <c r="W152" s="498"/>
      <c r="X152" s="498"/>
      <c r="Y152" s="498"/>
      <c r="Z152" s="498"/>
      <c r="AA152" s="498"/>
      <c r="AB152" s="498"/>
      <c r="AC152" s="498"/>
      <c r="AD152" s="498"/>
      <c r="AE152" s="498"/>
      <c r="AF152" s="498"/>
      <c r="AG152" s="498"/>
    </row>
    <row r="153" spans="1:33" x14ac:dyDescent="0.25">
      <c r="A153" s="498"/>
      <c r="B153" s="498"/>
      <c r="C153" s="498"/>
      <c r="D153" s="498"/>
      <c r="E153" s="498"/>
      <c r="F153" s="498"/>
      <c r="G153" s="498"/>
      <c r="H153" s="498"/>
      <c r="I153" s="498"/>
      <c r="J153" s="498"/>
      <c r="K153" s="498"/>
      <c r="L153" s="498"/>
      <c r="M153" s="498"/>
      <c r="N153" s="498"/>
      <c r="O153" s="498"/>
      <c r="P153" s="498"/>
      <c r="Q153" s="498"/>
      <c r="R153" s="498"/>
      <c r="S153" s="498"/>
      <c r="T153" s="498"/>
      <c r="U153" s="498"/>
      <c r="V153" s="498"/>
      <c r="W153" s="498"/>
      <c r="X153" s="498"/>
      <c r="Y153" s="498"/>
      <c r="Z153" s="498"/>
      <c r="AA153" s="498"/>
      <c r="AB153" s="498"/>
      <c r="AC153" s="498"/>
      <c r="AD153" s="498"/>
      <c r="AE153" s="498"/>
      <c r="AF153" s="498"/>
      <c r="AG153" s="498"/>
    </row>
    <row r="154" spans="1:33" x14ac:dyDescent="0.25">
      <c r="A154" s="498"/>
      <c r="B154" s="498"/>
      <c r="C154" s="498"/>
      <c r="D154" s="498"/>
      <c r="E154" s="498"/>
      <c r="F154" s="498"/>
      <c r="G154" s="498"/>
      <c r="H154" s="498"/>
      <c r="I154" s="498"/>
      <c r="J154" s="498"/>
      <c r="K154" s="498"/>
      <c r="L154" s="498"/>
      <c r="M154" s="498"/>
      <c r="N154" s="498"/>
      <c r="O154" s="498"/>
      <c r="P154" s="498"/>
      <c r="Q154" s="498"/>
      <c r="R154" s="498"/>
      <c r="S154" s="498"/>
      <c r="T154" s="498"/>
      <c r="U154" s="498"/>
      <c r="V154" s="498"/>
      <c r="W154" s="498"/>
      <c r="X154" s="498"/>
      <c r="Y154" s="498"/>
      <c r="Z154" s="498"/>
      <c r="AA154" s="498"/>
      <c r="AB154" s="498"/>
      <c r="AC154" s="498"/>
      <c r="AD154" s="498"/>
      <c r="AE154" s="498"/>
      <c r="AF154" s="498"/>
      <c r="AG154" s="498"/>
    </row>
    <row r="155" spans="1:33" x14ac:dyDescent="0.25">
      <c r="A155" s="498"/>
      <c r="B155" s="498"/>
      <c r="C155" s="498"/>
      <c r="D155" s="498"/>
      <c r="E155" s="498"/>
      <c r="F155" s="498"/>
      <c r="G155" s="498"/>
      <c r="H155" s="498"/>
      <c r="I155" s="498"/>
      <c r="J155" s="498"/>
      <c r="K155" s="498"/>
      <c r="L155" s="498"/>
      <c r="M155" s="498"/>
      <c r="N155" s="498"/>
      <c r="O155" s="498"/>
      <c r="P155" s="498"/>
      <c r="Q155" s="498"/>
      <c r="R155" s="498"/>
      <c r="S155" s="498"/>
      <c r="T155" s="498"/>
      <c r="U155" s="498"/>
      <c r="V155" s="498"/>
      <c r="W155" s="498"/>
      <c r="X155" s="498"/>
      <c r="Y155" s="498"/>
      <c r="Z155" s="498"/>
      <c r="AA155" s="498"/>
      <c r="AB155" s="498"/>
      <c r="AC155" s="498"/>
      <c r="AD155" s="498"/>
      <c r="AE155" s="498"/>
      <c r="AF155" s="498"/>
      <c r="AG155" s="498"/>
    </row>
    <row r="156" spans="1:33" x14ac:dyDescent="0.25">
      <c r="A156" s="498"/>
      <c r="B156" s="498"/>
      <c r="C156" s="498"/>
      <c r="D156" s="498"/>
      <c r="E156" s="498"/>
      <c r="F156" s="498"/>
      <c r="G156" s="498"/>
      <c r="H156" s="498"/>
      <c r="I156" s="498"/>
      <c r="J156" s="498"/>
      <c r="K156" s="498"/>
      <c r="L156" s="498"/>
      <c r="M156" s="498"/>
      <c r="N156" s="498"/>
      <c r="O156" s="498"/>
      <c r="P156" s="498"/>
      <c r="Q156" s="498"/>
      <c r="R156" s="498"/>
      <c r="S156" s="498"/>
      <c r="T156" s="498"/>
      <c r="U156" s="498"/>
      <c r="V156" s="498"/>
      <c r="W156" s="498"/>
      <c r="X156" s="498"/>
      <c r="Y156" s="498"/>
      <c r="Z156" s="498"/>
      <c r="AA156" s="498"/>
      <c r="AB156" s="498"/>
      <c r="AC156" s="498"/>
      <c r="AD156" s="498"/>
      <c r="AE156" s="498"/>
      <c r="AF156" s="498"/>
      <c r="AG156" s="498"/>
    </row>
    <row r="157" spans="1:33" x14ac:dyDescent="0.25">
      <c r="A157" s="498"/>
      <c r="B157" s="498"/>
      <c r="C157" s="498"/>
      <c r="D157" s="498"/>
      <c r="E157" s="498"/>
      <c r="F157" s="498"/>
      <c r="G157" s="498"/>
      <c r="H157" s="498"/>
      <c r="I157" s="498"/>
      <c r="J157" s="498"/>
      <c r="K157" s="498"/>
      <c r="L157" s="498"/>
      <c r="M157" s="498"/>
      <c r="N157" s="498"/>
      <c r="O157" s="498"/>
      <c r="P157" s="498"/>
      <c r="Q157" s="498"/>
      <c r="R157" s="498"/>
      <c r="S157" s="498"/>
      <c r="T157" s="498"/>
      <c r="U157" s="498"/>
      <c r="V157" s="498"/>
      <c r="W157" s="498"/>
      <c r="X157" s="498"/>
      <c r="Y157" s="498"/>
      <c r="Z157" s="498"/>
      <c r="AA157" s="498"/>
      <c r="AB157" s="498"/>
      <c r="AC157" s="498"/>
      <c r="AD157" s="498"/>
      <c r="AE157" s="498"/>
      <c r="AF157" s="498"/>
      <c r="AG157" s="498"/>
    </row>
    <row r="158" spans="1:33" x14ac:dyDescent="0.25">
      <c r="A158" s="498"/>
      <c r="B158" s="498"/>
      <c r="C158" s="498"/>
      <c r="D158" s="498"/>
      <c r="E158" s="498"/>
      <c r="F158" s="498"/>
      <c r="G158" s="498"/>
      <c r="H158" s="498"/>
      <c r="I158" s="498"/>
      <c r="J158" s="498"/>
      <c r="K158" s="498"/>
      <c r="L158" s="498"/>
      <c r="M158" s="498"/>
      <c r="N158" s="498"/>
      <c r="O158" s="498"/>
      <c r="P158" s="498"/>
      <c r="Q158" s="498"/>
      <c r="R158" s="498"/>
      <c r="S158" s="498"/>
      <c r="T158" s="498"/>
      <c r="U158" s="498"/>
      <c r="V158" s="498"/>
      <c r="W158" s="498"/>
      <c r="X158" s="498"/>
      <c r="Y158" s="498"/>
      <c r="Z158" s="498"/>
      <c r="AA158" s="498"/>
      <c r="AB158" s="498"/>
      <c r="AC158" s="498"/>
      <c r="AD158" s="498"/>
      <c r="AE158" s="498"/>
      <c r="AF158" s="498"/>
      <c r="AG158" s="498"/>
    </row>
    <row r="159" spans="1:33" x14ac:dyDescent="0.25">
      <c r="A159" s="498"/>
      <c r="B159" s="498"/>
      <c r="C159" s="498"/>
      <c r="D159" s="498"/>
      <c r="E159" s="498"/>
      <c r="F159" s="498"/>
      <c r="G159" s="498"/>
      <c r="H159" s="498"/>
      <c r="I159" s="498"/>
      <c r="J159" s="498"/>
      <c r="K159" s="498"/>
      <c r="L159" s="498"/>
      <c r="M159" s="498"/>
      <c r="N159" s="498"/>
      <c r="O159" s="498"/>
      <c r="P159" s="498"/>
      <c r="Q159" s="498"/>
      <c r="R159" s="498"/>
      <c r="S159" s="498"/>
      <c r="T159" s="498"/>
      <c r="U159" s="498"/>
      <c r="V159" s="498"/>
      <c r="W159" s="498"/>
      <c r="X159" s="498"/>
      <c r="Y159" s="498"/>
      <c r="Z159" s="498"/>
      <c r="AA159" s="498"/>
      <c r="AB159" s="498"/>
      <c r="AC159" s="498"/>
      <c r="AD159" s="498"/>
      <c r="AE159" s="498"/>
      <c r="AF159" s="498"/>
      <c r="AG159" s="498"/>
    </row>
    <row r="160" spans="1:33" x14ac:dyDescent="0.25">
      <c r="A160" s="498"/>
      <c r="B160" s="498"/>
      <c r="C160" s="498"/>
      <c r="D160" s="498"/>
      <c r="E160" s="498"/>
      <c r="F160" s="498"/>
      <c r="G160" s="498"/>
      <c r="H160" s="498"/>
      <c r="I160" s="498"/>
      <c r="J160" s="498"/>
      <c r="K160" s="498"/>
      <c r="L160" s="498"/>
      <c r="M160" s="498"/>
      <c r="N160" s="498"/>
      <c r="O160" s="498"/>
      <c r="P160" s="498"/>
      <c r="Q160" s="498"/>
      <c r="R160" s="498"/>
      <c r="S160" s="498"/>
      <c r="T160" s="498"/>
      <c r="U160" s="498"/>
      <c r="V160" s="498"/>
      <c r="W160" s="498"/>
      <c r="X160" s="498"/>
      <c r="Y160" s="498"/>
      <c r="Z160" s="498"/>
      <c r="AA160" s="498"/>
      <c r="AB160" s="498"/>
      <c r="AC160" s="498"/>
      <c r="AD160" s="498"/>
      <c r="AE160" s="498"/>
      <c r="AF160" s="498"/>
      <c r="AG160" s="498"/>
    </row>
    <row r="161" spans="1:33" x14ac:dyDescent="0.25">
      <c r="A161" s="498"/>
      <c r="B161" s="498"/>
      <c r="C161" s="498"/>
      <c r="D161" s="498"/>
      <c r="E161" s="498"/>
      <c r="F161" s="498"/>
      <c r="G161" s="498"/>
      <c r="H161" s="498"/>
      <c r="I161" s="498"/>
      <c r="J161" s="498"/>
      <c r="K161" s="498"/>
      <c r="L161" s="498"/>
      <c r="M161" s="498"/>
      <c r="N161" s="498"/>
      <c r="O161" s="498"/>
      <c r="P161" s="498"/>
      <c r="Q161" s="498"/>
      <c r="R161" s="498"/>
      <c r="S161" s="498"/>
      <c r="T161" s="498"/>
      <c r="U161" s="498"/>
      <c r="V161" s="498"/>
      <c r="W161" s="498"/>
      <c r="X161" s="498"/>
      <c r="Y161" s="498"/>
      <c r="Z161" s="498"/>
      <c r="AA161" s="498"/>
      <c r="AB161" s="498"/>
      <c r="AC161" s="498"/>
      <c r="AD161" s="498"/>
      <c r="AE161" s="498"/>
      <c r="AF161" s="498"/>
      <c r="AG161" s="498"/>
    </row>
    <row r="162" spans="1:33" x14ac:dyDescent="0.25">
      <c r="A162" s="498"/>
      <c r="B162" s="498"/>
      <c r="C162" s="498"/>
      <c r="D162" s="498"/>
      <c r="E162" s="498"/>
      <c r="F162" s="498"/>
      <c r="G162" s="498"/>
      <c r="H162" s="498"/>
      <c r="I162" s="498"/>
      <c r="J162" s="498"/>
      <c r="K162" s="498"/>
      <c r="L162" s="498"/>
      <c r="M162" s="498"/>
      <c r="N162" s="498"/>
      <c r="O162" s="498"/>
      <c r="P162" s="498"/>
      <c r="Q162" s="498"/>
      <c r="R162" s="498"/>
      <c r="S162" s="498"/>
      <c r="T162" s="498"/>
      <c r="U162" s="498"/>
      <c r="V162" s="498"/>
      <c r="W162" s="498"/>
      <c r="X162" s="498"/>
      <c r="Y162" s="498"/>
      <c r="Z162" s="498"/>
      <c r="AA162" s="498"/>
      <c r="AB162" s="498"/>
      <c r="AC162" s="498"/>
      <c r="AD162" s="498"/>
      <c r="AE162" s="498"/>
      <c r="AF162" s="498"/>
      <c r="AG162" s="498"/>
    </row>
    <row r="163" spans="1:33" x14ac:dyDescent="0.25">
      <c r="A163" s="498"/>
      <c r="B163" s="498"/>
      <c r="C163" s="498"/>
      <c r="D163" s="498"/>
      <c r="E163" s="498"/>
      <c r="F163" s="498"/>
      <c r="G163" s="498"/>
      <c r="H163" s="498"/>
      <c r="I163" s="498"/>
      <c r="J163" s="498"/>
      <c r="K163" s="498"/>
      <c r="L163" s="498"/>
      <c r="M163" s="498"/>
      <c r="N163" s="498"/>
      <c r="O163" s="498"/>
      <c r="P163" s="498"/>
      <c r="Q163" s="498"/>
      <c r="R163" s="498"/>
      <c r="S163" s="498"/>
      <c r="T163" s="498"/>
      <c r="U163" s="498"/>
      <c r="V163" s="498"/>
      <c r="W163" s="498"/>
      <c r="X163" s="498"/>
      <c r="Y163" s="498"/>
      <c r="Z163" s="498"/>
      <c r="AA163" s="498"/>
      <c r="AB163" s="498"/>
      <c r="AC163" s="498"/>
      <c r="AD163" s="498"/>
      <c r="AE163" s="498"/>
      <c r="AF163" s="498"/>
      <c r="AG163" s="498"/>
    </row>
    <row r="164" spans="1:33" x14ac:dyDescent="0.25">
      <c r="A164" s="498"/>
      <c r="B164" s="498"/>
      <c r="C164" s="498"/>
      <c r="D164" s="498"/>
      <c r="E164" s="498"/>
      <c r="F164" s="498"/>
      <c r="G164" s="498"/>
      <c r="H164" s="498"/>
      <c r="I164" s="498"/>
      <c r="J164" s="498"/>
      <c r="K164" s="498"/>
      <c r="L164" s="498"/>
      <c r="M164" s="498"/>
      <c r="N164" s="498"/>
      <c r="O164" s="498"/>
      <c r="P164" s="498"/>
      <c r="Q164" s="498"/>
      <c r="R164" s="498"/>
      <c r="S164" s="498"/>
      <c r="T164" s="498"/>
      <c r="U164" s="498"/>
      <c r="V164" s="498"/>
      <c r="W164" s="498"/>
      <c r="X164" s="498"/>
      <c r="Y164" s="498"/>
      <c r="Z164" s="498"/>
      <c r="AA164" s="498"/>
      <c r="AB164" s="498"/>
      <c r="AC164" s="498"/>
      <c r="AD164" s="498"/>
      <c r="AE164" s="498"/>
      <c r="AF164" s="498"/>
      <c r="AG164" s="498"/>
    </row>
    <row r="165" spans="1:33" x14ac:dyDescent="0.25">
      <c r="A165" s="498"/>
      <c r="B165" s="498"/>
      <c r="C165" s="498"/>
      <c r="D165" s="498"/>
      <c r="E165" s="498"/>
      <c r="F165" s="498"/>
      <c r="G165" s="498"/>
      <c r="H165" s="498"/>
      <c r="I165" s="498"/>
      <c r="J165" s="498"/>
      <c r="K165" s="498"/>
      <c r="L165" s="498"/>
      <c r="M165" s="498"/>
      <c r="N165" s="498"/>
      <c r="O165" s="498"/>
      <c r="P165" s="498"/>
      <c r="Q165" s="498"/>
      <c r="R165" s="498"/>
      <c r="S165" s="498"/>
      <c r="T165" s="498"/>
      <c r="U165" s="498"/>
      <c r="V165" s="498"/>
      <c r="W165" s="498"/>
      <c r="X165" s="498"/>
      <c r="Y165" s="498"/>
      <c r="Z165" s="498"/>
      <c r="AA165" s="498"/>
      <c r="AB165" s="498"/>
      <c r="AC165" s="498"/>
      <c r="AD165" s="498"/>
      <c r="AE165" s="498"/>
      <c r="AF165" s="498"/>
      <c r="AG165" s="498"/>
    </row>
    <row r="166" spans="1:33" x14ac:dyDescent="0.25">
      <c r="A166" s="498"/>
      <c r="B166" s="498"/>
      <c r="C166" s="498"/>
      <c r="D166" s="498"/>
      <c r="E166" s="498"/>
      <c r="F166" s="498"/>
      <c r="G166" s="498"/>
      <c r="H166" s="498"/>
      <c r="I166" s="498"/>
      <c r="J166" s="498"/>
      <c r="K166" s="498"/>
      <c r="L166" s="498"/>
      <c r="M166" s="498"/>
      <c r="N166" s="498"/>
      <c r="O166" s="498"/>
      <c r="P166" s="498"/>
      <c r="Q166" s="498"/>
      <c r="R166" s="498"/>
      <c r="S166" s="498"/>
      <c r="T166" s="498"/>
      <c r="U166" s="498"/>
      <c r="V166" s="498"/>
      <c r="W166" s="498"/>
      <c r="X166" s="498"/>
      <c r="Y166" s="498"/>
      <c r="Z166" s="498"/>
      <c r="AA166" s="498"/>
      <c r="AB166" s="498"/>
      <c r="AC166" s="498"/>
      <c r="AD166" s="498"/>
      <c r="AE166" s="498"/>
      <c r="AF166" s="498"/>
      <c r="AG166" s="498"/>
    </row>
    <row r="167" spans="1:33" x14ac:dyDescent="0.25">
      <c r="A167" s="498"/>
      <c r="B167" s="498"/>
      <c r="C167" s="498"/>
      <c r="D167" s="498"/>
      <c r="E167" s="498"/>
      <c r="F167" s="498"/>
      <c r="G167" s="498"/>
      <c r="H167" s="498"/>
      <c r="I167" s="498"/>
      <c r="J167" s="498"/>
      <c r="K167" s="498"/>
      <c r="L167" s="498"/>
      <c r="M167" s="498"/>
      <c r="N167" s="498"/>
      <c r="O167" s="498"/>
      <c r="P167" s="498"/>
      <c r="Q167" s="498"/>
      <c r="R167" s="498"/>
      <c r="S167" s="498"/>
      <c r="T167" s="498"/>
      <c r="U167" s="498"/>
      <c r="V167" s="498"/>
      <c r="W167" s="498"/>
      <c r="X167" s="498"/>
      <c r="Y167" s="498"/>
      <c r="Z167" s="498"/>
      <c r="AA167" s="498"/>
      <c r="AB167" s="498"/>
      <c r="AC167" s="498"/>
      <c r="AD167" s="498"/>
      <c r="AE167" s="498"/>
      <c r="AF167" s="498"/>
      <c r="AG167" s="498"/>
    </row>
    <row r="168" spans="1:33" x14ac:dyDescent="0.25">
      <c r="A168" s="498"/>
      <c r="B168" s="498"/>
      <c r="C168" s="498"/>
      <c r="D168" s="498"/>
      <c r="E168" s="498"/>
      <c r="F168" s="498"/>
      <c r="G168" s="498"/>
      <c r="H168" s="498"/>
      <c r="I168" s="498"/>
      <c r="J168" s="498"/>
      <c r="K168" s="498"/>
      <c r="L168" s="498"/>
      <c r="M168" s="498"/>
      <c r="N168" s="498"/>
      <c r="O168" s="498"/>
      <c r="P168" s="498"/>
      <c r="Q168" s="498"/>
      <c r="R168" s="498"/>
      <c r="S168" s="498"/>
      <c r="T168" s="498"/>
      <c r="U168" s="498"/>
      <c r="V168" s="498"/>
      <c r="W168" s="498"/>
      <c r="X168" s="498"/>
      <c r="Y168" s="498"/>
      <c r="Z168" s="498"/>
      <c r="AA168" s="498"/>
      <c r="AB168" s="498"/>
      <c r="AC168" s="498"/>
      <c r="AD168" s="498"/>
      <c r="AE168" s="498"/>
      <c r="AF168" s="498"/>
      <c r="AG168" s="498"/>
    </row>
    <row r="169" spans="1:33" x14ac:dyDescent="0.25">
      <c r="A169" s="498"/>
      <c r="B169" s="498"/>
      <c r="C169" s="498"/>
      <c r="D169" s="498"/>
      <c r="E169" s="498"/>
      <c r="F169" s="498"/>
      <c r="G169" s="498"/>
      <c r="H169" s="498"/>
      <c r="I169" s="498"/>
      <c r="J169" s="498"/>
      <c r="K169" s="498"/>
      <c r="L169" s="498"/>
      <c r="M169" s="498"/>
      <c r="N169" s="498"/>
      <c r="O169" s="498"/>
      <c r="P169" s="498"/>
      <c r="Q169" s="498"/>
      <c r="R169" s="498"/>
      <c r="S169" s="498"/>
      <c r="T169" s="498"/>
      <c r="U169" s="498"/>
      <c r="V169" s="498"/>
      <c r="W169" s="498"/>
      <c r="X169" s="498"/>
      <c r="Y169" s="498"/>
      <c r="Z169" s="498"/>
      <c r="AA169" s="498"/>
      <c r="AB169" s="498"/>
      <c r="AC169" s="498"/>
      <c r="AD169" s="498"/>
      <c r="AE169" s="498"/>
      <c r="AF169" s="498"/>
      <c r="AG169" s="498"/>
    </row>
    <row r="170" spans="1:33" x14ac:dyDescent="0.25">
      <c r="A170" s="498"/>
      <c r="B170" s="498"/>
      <c r="C170" s="498"/>
      <c r="D170" s="498"/>
      <c r="E170" s="498"/>
      <c r="F170" s="498"/>
      <c r="G170" s="498"/>
      <c r="H170" s="498"/>
      <c r="I170" s="498"/>
      <c r="J170" s="498"/>
      <c r="K170" s="498"/>
      <c r="L170" s="498"/>
      <c r="M170" s="498"/>
      <c r="N170" s="498"/>
      <c r="O170" s="498"/>
      <c r="P170" s="498"/>
      <c r="Q170" s="498"/>
      <c r="R170" s="498"/>
      <c r="S170" s="498"/>
      <c r="T170" s="498"/>
      <c r="U170" s="498"/>
      <c r="V170" s="498"/>
      <c r="W170" s="498"/>
      <c r="X170" s="498"/>
      <c r="Y170" s="498"/>
      <c r="Z170" s="498"/>
      <c r="AA170" s="498"/>
      <c r="AB170" s="498"/>
      <c r="AC170" s="498"/>
      <c r="AD170" s="498"/>
      <c r="AE170" s="498"/>
      <c r="AF170" s="498"/>
      <c r="AG170" s="498"/>
    </row>
    <row r="171" spans="1:33" x14ac:dyDescent="0.25">
      <c r="A171" s="498"/>
      <c r="B171" s="498"/>
      <c r="C171" s="498"/>
      <c r="D171" s="498"/>
      <c r="E171" s="498"/>
      <c r="F171" s="498"/>
      <c r="G171" s="498"/>
      <c r="H171" s="498"/>
      <c r="I171" s="498"/>
      <c r="J171" s="498"/>
      <c r="K171" s="498"/>
      <c r="L171" s="498"/>
      <c r="M171" s="498"/>
      <c r="N171" s="498"/>
      <c r="O171" s="498"/>
      <c r="P171" s="498"/>
      <c r="Q171" s="498"/>
      <c r="R171" s="498"/>
      <c r="S171" s="498"/>
      <c r="T171" s="498"/>
      <c r="U171" s="498"/>
      <c r="V171" s="498"/>
      <c r="W171" s="498"/>
      <c r="X171" s="498"/>
      <c r="Y171" s="498"/>
      <c r="Z171" s="498"/>
      <c r="AA171" s="498"/>
      <c r="AB171" s="498"/>
      <c r="AC171" s="498"/>
      <c r="AD171" s="498"/>
      <c r="AE171" s="498"/>
      <c r="AF171" s="498"/>
      <c r="AG171" s="498"/>
    </row>
    <row r="172" spans="1:33" x14ac:dyDescent="0.25">
      <c r="A172" s="498"/>
      <c r="B172" s="498"/>
      <c r="C172" s="498"/>
      <c r="D172" s="498"/>
      <c r="E172" s="498"/>
      <c r="F172" s="498"/>
      <c r="G172" s="498"/>
      <c r="H172" s="498"/>
      <c r="I172" s="498"/>
      <c r="J172" s="498"/>
      <c r="K172" s="498"/>
      <c r="L172" s="498"/>
      <c r="M172" s="498"/>
      <c r="N172" s="498"/>
      <c r="O172" s="498"/>
      <c r="P172" s="498"/>
      <c r="Q172" s="498"/>
      <c r="R172" s="498"/>
      <c r="S172" s="498"/>
      <c r="T172" s="498"/>
      <c r="U172" s="498"/>
      <c r="V172" s="498"/>
      <c r="W172" s="498"/>
      <c r="X172" s="498"/>
      <c r="Y172" s="498"/>
      <c r="Z172" s="498"/>
      <c r="AA172" s="498"/>
      <c r="AB172" s="498"/>
      <c r="AC172" s="498"/>
      <c r="AD172" s="498"/>
      <c r="AE172" s="498"/>
      <c r="AF172" s="498"/>
      <c r="AG172" s="498"/>
    </row>
    <row r="173" spans="1:33" x14ac:dyDescent="0.25">
      <c r="A173" s="498"/>
      <c r="B173" s="498"/>
      <c r="C173" s="498"/>
      <c r="D173" s="498"/>
      <c r="E173" s="498"/>
      <c r="F173" s="498"/>
      <c r="G173" s="498"/>
      <c r="H173" s="498"/>
      <c r="I173" s="498"/>
      <c r="J173" s="498"/>
      <c r="K173" s="498"/>
      <c r="L173" s="498"/>
      <c r="M173" s="498"/>
      <c r="N173" s="498"/>
      <c r="O173" s="498"/>
      <c r="P173" s="498"/>
      <c r="Q173" s="498"/>
      <c r="R173" s="498"/>
      <c r="S173" s="498"/>
      <c r="T173" s="498"/>
      <c r="U173" s="498"/>
      <c r="V173" s="498"/>
      <c r="W173" s="498"/>
      <c r="X173" s="498"/>
      <c r="Y173" s="498"/>
      <c r="Z173" s="498"/>
      <c r="AA173" s="498"/>
      <c r="AB173" s="498"/>
      <c r="AC173" s="498"/>
      <c r="AD173" s="498"/>
      <c r="AE173" s="498"/>
      <c r="AF173" s="498"/>
      <c r="AG173" s="498"/>
    </row>
  </sheetData>
  <mergeCells count="19">
    <mergeCell ref="A69:A119"/>
    <mergeCell ref="R69:R119"/>
    <mergeCell ref="C9:G9"/>
    <mergeCell ref="M9:Q9"/>
    <mergeCell ref="A10:A11"/>
    <mergeCell ref="B10:B11"/>
    <mergeCell ref="A13:X13"/>
    <mergeCell ref="X15:X65"/>
    <mergeCell ref="H9:L9"/>
    <mergeCell ref="A8:Q8"/>
    <mergeCell ref="A15:A65"/>
    <mergeCell ref="A1:S1"/>
    <mergeCell ref="A67:R67"/>
    <mergeCell ref="A5:A6"/>
    <mergeCell ref="B5:B6"/>
    <mergeCell ref="C4:J4"/>
    <mergeCell ref="K4:O4"/>
    <mergeCell ref="P4:X4"/>
    <mergeCell ref="A3:X3"/>
  </mergeCells>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E2CADF-D326-4D27-A10C-387AF48A58D2}">
  <dimension ref="A1:V126"/>
  <sheetViews>
    <sheetView topLeftCell="B1" workbookViewId="0">
      <selection sqref="A1:K1"/>
    </sheetView>
  </sheetViews>
  <sheetFormatPr defaultRowHeight="15" x14ac:dyDescent="0.25"/>
  <cols>
    <col min="1" max="1" width="67.42578125" customWidth="1"/>
    <col min="2" max="2" width="12.28515625" customWidth="1"/>
    <col min="3" max="3" width="12.5703125" customWidth="1"/>
    <col min="4" max="4" width="11.5703125" bestFit="1" customWidth="1"/>
    <col min="7" max="7" width="12.5703125" bestFit="1" customWidth="1"/>
    <col min="9" max="9" width="13.42578125" customWidth="1"/>
    <col min="11" max="11" width="32.5703125" customWidth="1"/>
  </cols>
  <sheetData>
    <row r="1" spans="1:22" ht="39" customHeight="1" thickBot="1" x14ac:dyDescent="0.3">
      <c r="A1" s="2627" t="s">
        <v>1346</v>
      </c>
      <c r="B1" s="2550"/>
      <c r="C1" s="2550"/>
      <c r="D1" s="2550"/>
      <c r="E1" s="2550"/>
      <c r="F1" s="2550"/>
      <c r="G1" s="2550"/>
      <c r="H1" s="2550"/>
      <c r="I1" s="2550"/>
      <c r="J1" s="2550"/>
      <c r="K1" s="2551"/>
    </row>
    <row r="2" spans="1:22" ht="29.25" customHeight="1" thickBot="1" x14ac:dyDescent="0.3">
      <c r="A2" s="993"/>
      <c r="B2" s="3101" t="s">
        <v>1107</v>
      </c>
      <c r="C2" s="3102"/>
      <c r="D2" s="3102"/>
      <c r="E2" s="3102"/>
      <c r="F2" s="3102"/>
      <c r="G2" s="3102"/>
      <c r="H2" s="3102"/>
      <c r="I2" s="3102"/>
      <c r="J2" s="3103"/>
      <c r="K2" s="3106" t="s">
        <v>1815</v>
      </c>
    </row>
    <row r="3" spans="1:22" s="230" customFormat="1" ht="29.25" customHeight="1" thickBot="1" x14ac:dyDescent="0.3">
      <c r="A3" s="1547" t="s">
        <v>1094</v>
      </c>
      <c r="B3" s="1040" t="s">
        <v>20</v>
      </c>
      <c r="C3" s="1016" t="s">
        <v>21</v>
      </c>
      <c r="D3" s="1016" t="s">
        <v>79</v>
      </c>
      <c r="E3" s="1016" t="s">
        <v>17</v>
      </c>
      <c r="F3" s="1016" t="s">
        <v>18</v>
      </c>
      <c r="G3" s="1016" t="s">
        <v>19</v>
      </c>
      <c r="H3" s="1016" t="s">
        <v>76</v>
      </c>
      <c r="I3" s="1016" t="s">
        <v>77</v>
      </c>
      <c r="J3" s="1017" t="s">
        <v>78</v>
      </c>
      <c r="K3" s="3107"/>
    </row>
    <row r="4" spans="1:22" ht="18.75" customHeight="1" thickBot="1" x14ac:dyDescent="0.3">
      <c r="A4" s="1540" t="s">
        <v>1298</v>
      </c>
      <c r="B4" s="1105" t="s">
        <v>897</v>
      </c>
      <c r="C4" s="1043" t="s">
        <v>897</v>
      </c>
      <c r="D4" s="1043" t="s">
        <v>897</v>
      </c>
      <c r="E4" s="1043" t="s">
        <v>897</v>
      </c>
      <c r="F4" s="1043" t="s">
        <v>897</v>
      </c>
      <c r="G4" s="1043" t="s">
        <v>897</v>
      </c>
      <c r="H4" s="1043" t="s">
        <v>897</v>
      </c>
      <c r="I4" s="1229">
        <f>'Emission-Solid-liquid Residual'!$C$41</f>
        <v>347868.7490257583</v>
      </c>
      <c r="J4" s="1043" t="s">
        <v>897</v>
      </c>
      <c r="K4" s="992">
        <f>'Emission-Solid-liquid Residual'!$C$276</f>
        <v>1938929.6133260797</v>
      </c>
    </row>
    <row r="5" spans="1:22" ht="18.75" thickBot="1" x14ac:dyDescent="0.3">
      <c r="A5" s="1039" t="s">
        <v>1201</v>
      </c>
      <c r="B5" s="770" t="s">
        <v>20</v>
      </c>
      <c r="C5" s="1016" t="s">
        <v>21</v>
      </c>
      <c r="D5" s="1016" t="s">
        <v>79</v>
      </c>
      <c r="E5" s="1016" t="s">
        <v>17</v>
      </c>
      <c r="F5" s="1016" t="s">
        <v>18</v>
      </c>
      <c r="G5" s="1016" t="s">
        <v>19</v>
      </c>
      <c r="H5" s="1016" t="s">
        <v>76</v>
      </c>
      <c r="I5" s="1016" t="s">
        <v>77</v>
      </c>
      <c r="J5" s="1017" t="s">
        <v>78</v>
      </c>
      <c r="K5" s="993"/>
      <c r="M5" s="718"/>
      <c r="N5" s="718"/>
      <c r="O5" s="718"/>
      <c r="P5" s="718"/>
      <c r="Q5" s="718"/>
      <c r="R5" s="718"/>
      <c r="S5" s="718"/>
      <c r="T5" s="718"/>
      <c r="U5" s="718"/>
      <c r="V5" s="3"/>
    </row>
    <row r="6" spans="1:22" x14ac:dyDescent="0.25">
      <c r="A6" s="778" t="s">
        <v>1197</v>
      </c>
      <c r="B6" s="803">
        <f>'Emission-Waste Transport Vehicl'!L5</f>
        <v>0</v>
      </c>
      <c r="C6" s="804">
        <f>'Emission-Waste Transport Vehicl'!M5</f>
        <v>0</v>
      </c>
      <c r="D6" s="804">
        <f>'Emission-Waste Transport Vehicl'!N5</f>
        <v>0</v>
      </c>
      <c r="E6" s="779">
        <f>'Emission-Waste Transport Vehicl'!O5</f>
        <v>0</v>
      </c>
      <c r="F6" s="779">
        <f>'Emission-Waste Transport Vehicl'!P5</f>
        <v>0</v>
      </c>
      <c r="G6" s="804">
        <f>'Emission-Waste Transport Vehicl'!Q5</f>
        <v>0</v>
      </c>
      <c r="H6" s="804">
        <f>'Emission-Waste Transport Vehicl'!R5</f>
        <v>0</v>
      </c>
      <c r="I6" s="804">
        <f>'Emission-Waste Transport Vehicl'!S5</f>
        <v>0</v>
      </c>
      <c r="J6" s="780">
        <f>'Emission-Waste Transport Vehicl'!T5</f>
        <v>0</v>
      </c>
      <c r="K6" s="1155">
        <f>'Emission-Waste Transport Vehicl'!$AA$33</f>
        <v>0</v>
      </c>
      <c r="M6" s="3"/>
      <c r="N6" s="3"/>
      <c r="O6" s="3"/>
      <c r="P6" s="3"/>
      <c r="Q6" s="3"/>
      <c r="R6" s="3"/>
      <c r="S6" s="3"/>
      <c r="T6" s="3"/>
      <c r="U6" s="3"/>
      <c r="V6" s="3"/>
    </row>
    <row r="7" spans="1:22" x14ac:dyDescent="0.25">
      <c r="A7" s="606" t="s">
        <v>1781</v>
      </c>
      <c r="B7" s="728">
        <f>'Emission-Waste Transport Vehicl'!L6</f>
        <v>0</v>
      </c>
      <c r="C7" s="729">
        <f>'Emission-Waste Transport Vehicl'!M6</f>
        <v>0</v>
      </c>
      <c r="D7" s="729">
        <f>'Emission-Waste Transport Vehicl'!N6</f>
        <v>0</v>
      </c>
      <c r="E7" s="729">
        <f>'Emission-Waste Transport Vehicl'!O6</f>
        <v>0</v>
      </c>
      <c r="F7" s="729">
        <f>'Emission-Waste Transport Vehicl'!P6</f>
        <v>0</v>
      </c>
      <c r="G7" s="729">
        <f>'Emission-Waste Transport Vehicl'!Q6</f>
        <v>0</v>
      </c>
      <c r="H7" s="729">
        <f>'Emission-Waste Transport Vehicl'!R6</f>
        <v>0</v>
      </c>
      <c r="I7" s="729">
        <f>'Emission-Waste Transport Vehicl'!S6</f>
        <v>0</v>
      </c>
      <c r="J7" s="730">
        <f>'Emission-Waste Transport Vehicl'!T6</f>
        <v>0</v>
      </c>
      <c r="K7" s="1159">
        <f>'Emission-Waste Transport Vehicl'!$AA$84</f>
        <v>0</v>
      </c>
    </row>
    <row r="8" spans="1:22" x14ac:dyDescent="0.25">
      <c r="A8" s="606" t="s">
        <v>1198</v>
      </c>
      <c r="B8" s="728">
        <f>'Emission-Waste Transport Vehicl'!L7</f>
        <v>0</v>
      </c>
      <c r="C8" s="729">
        <f>'Emission-Waste Transport Vehicl'!M7</f>
        <v>0</v>
      </c>
      <c r="D8" s="729">
        <f>'Emission-Waste Transport Vehicl'!N7</f>
        <v>0</v>
      </c>
      <c r="E8" s="729">
        <f>'Emission-Waste Transport Vehicl'!O7</f>
        <v>0</v>
      </c>
      <c r="F8" s="729">
        <f>'Emission-Waste Transport Vehicl'!P7</f>
        <v>0</v>
      </c>
      <c r="G8" s="729">
        <f>'Emission-Waste Transport Vehicl'!Q7</f>
        <v>0</v>
      </c>
      <c r="H8" s="729">
        <f>'Emission-Waste Transport Vehicl'!R7</f>
        <v>0</v>
      </c>
      <c r="I8" s="729">
        <f>'Emission-Waste Transport Vehicl'!S7</f>
        <v>0</v>
      </c>
      <c r="J8" s="730">
        <f>'Emission-Waste Transport Vehicl'!T7</f>
        <v>0</v>
      </c>
      <c r="K8" s="1159">
        <f>'Emission-Waste Transport Vehicl'!$AA$135</f>
        <v>0</v>
      </c>
    </row>
    <row r="9" spans="1:22" ht="18" customHeight="1" x14ac:dyDescent="0.25">
      <c r="A9" s="607" t="s">
        <v>1199</v>
      </c>
      <c r="B9" s="589">
        <f>'Emission-Waste Transport Vehicl'!L8</f>
        <v>0</v>
      </c>
      <c r="C9" s="588">
        <f>'Emission-Waste Transport Vehicl'!M8</f>
        <v>0</v>
      </c>
      <c r="D9" s="588">
        <f>'Emission-Waste Transport Vehicl'!N8</f>
        <v>0</v>
      </c>
      <c r="E9" s="591">
        <f>'Emission-Waste Transport Vehicl'!O8</f>
        <v>0</v>
      </c>
      <c r="F9" s="591">
        <f>'Emission-Waste Transport Vehicl'!P8</f>
        <v>0</v>
      </c>
      <c r="G9" s="588">
        <f>'Emission-Waste Transport Vehicl'!Q8</f>
        <v>0</v>
      </c>
      <c r="H9" s="588">
        <f>'Emission-Waste Transport Vehicl'!R8</f>
        <v>0</v>
      </c>
      <c r="I9" s="588">
        <f>'Emission-Waste Transport Vehicl'!S8</f>
        <v>0</v>
      </c>
      <c r="J9" s="592">
        <f>'Emission-Waste Transport Vehicl'!T8</f>
        <v>0</v>
      </c>
      <c r="K9" s="1159">
        <f>'Emission-Waste Transport Vehicl'!$AA$186</f>
        <v>0</v>
      </c>
    </row>
    <row r="10" spans="1:22" ht="15.75" thickBot="1" x14ac:dyDescent="0.3">
      <c r="A10" s="608" t="s">
        <v>1200</v>
      </c>
      <c r="B10" s="585">
        <f>'Emission-Waste Transport Vehicl'!L9</f>
        <v>0</v>
      </c>
      <c r="C10" s="586">
        <f>'Emission-Waste Transport Vehicl'!M9</f>
        <v>0</v>
      </c>
      <c r="D10" s="586">
        <f>'Emission-Waste Transport Vehicl'!N9</f>
        <v>0</v>
      </c>
      <c r="E10" s="716">
        <f>'Emission-Waste Transport Vehicl'!O9</f>
        <v>0</v>
      </c>
      <c r="F10" s="716">
        <f>'Emission-Waste Transport Vehicl'!P9</f>
        <v>0</v>
      </c>
      <c r="G10" s="586">
        <f>'Emission-Waste Transport Vehicl'!Q9</f>
        <v>0</v>
      </c>
      <c r="H10" s="586">
        <f>'Emission-Waste Transport Vehicl'!R9</f>
        <v>0</v>
      </c>
      <c r="I10" s="586">
        <f>'Emission-Waste Transport Vehicl'!S9</f>
        <v>0</v>
      </c>
      <c r="J10" s="717">
        <f>'Emission-Waste Transport Vehicl'!T9</f>
        <v>0</v>
      </c>
      <c r="K10" s="1163">
        <f>'Emission-Waste Transport Vehicl'!$AA$237</f>
        <v>0</v>
      </c>
    </row>
    <row r="11" spans="1:22" s="230" customFormat="1" ht="20.25" customHeight="1" thickBot="1" x14ac:dyDescent="0.3">
      <c r="A11" s="1221" t="s">
        <v>1202</v>
      </c>
      <c r="B11" s="1016" t="s">
        <v>20</v>
      </c>
      <c r="C11" s="1016" t="s">
        <v>21</v>
      </c>
      <c r="D11" s="1016" t="s">
        <v>79</v>
      </c>
      <c r="E11" s="1016" t="s">
        <v>17</v>
      </c>
      <c r="F11" s="1016" t="s">
        <v>18</v>
      </c>
      <c r="G11" s="1016" t="s">
        <v>19</v>
      </c>
      <c r="H11" s="1016" t="s">
        <v>76</v>
      </c>
      <c r="I11" s="1016" t="s">
        <v>77</v>
      </c>
      <c r="J11" s="1016" t="s">
        <v>78</v>
      </c>
      <c r="K11" s="1230"/>
    </row>
    <row r="12" spans="1:22" s="230" customFormat="1" x14ac:dyDescent="0.25">
      <c r="A12" s="420" t="s">
        <v>1504</v>
      </c>
      <c r="B12" s="775">
        <f>'Emission-Preprocessing'!$I$13</f>
        <v>0</v>
      </c>
      <c r="C12" s="775" t="s">
        <v>897</v>
      </c>
      <c r="D12" s="588">
        <f>'Emission-Preprocessing'!$G$13</f>
        <v>0</v>
      </c>
      <c r="E12" s="3104">
        <f>'Emission-Preprocessing'!$J$13</f>
        <v>0</v>
      </c>
      <c r="F12" s="3104"/>
      <c r="G12" s="775">
        <f>'Emission-Preprocessing'!$H$13</f>
        <v>0</v>
      </c>
      <c r="H12" s="775" t="s">
        <v>897</v>
      </c>
      <c r="I12" s="775">
        <f>'Emission-Preprocessing'!$K$13</f>
        <v>0</v>
      </c>
      <c r="J12" s="775" t="s">
        <v>897</v>
      </c>
      <c r="K12" s="1159">
        <f>'Emission-Preprocessing'!$R$25</f>
        <v>0</v>
      </c>
    </row>
    <row r="13" spans="1:22" s="230" customFormat="1" ht="15.75" thickBot="1" x14ac:dyDescent="0.3">
      <c r="A13" s="1124" t="s">
        <v>1505</v>
      </c>
      <c r="B13" s="1247">
        <f>'Emission-Preprocessing'!$I$18</f>
        <v>94.562695094906573</v>
      </c>
      <c r="C13" s="1247">
        <f>'Emission-Preprocessing'!$K$18</f>
        <v>826.11826880458273</v>
      </c>
      <c r="D13" s="1247">
        <f>'Emission-Preprocessing'!$G$18</f>
        <v>666.57997953403481</v>
      </c>
      <c r="E13" s="3108">
        <f>'Emission-Preprocessing'!$J$18</f>
        <v>129.9511883512827</v>
      </c>
      <c r="F13" s="3109"/>
      <c r="G13" s="1247">
        <f>'Emission-Preprocessing'!$H$18</f>
        <v>90.501720458929015</v>
      </c>
      <c r="H13" s="868" t="s">
        <v>897</v>
      </c>
      <c r="I13" s="1247" t="s">
        <v>897</v>
      </c>
      <c r="J13" s="868" t="s">
        <v>897</v>
      </c>
      <c r="K13" s="1158">
        <f>'Emission-Preprocessing'!$R$79</f>
        <v>574893.38480307162</v>
      </c>
    </row>
    <row r="14" spans="1:22" s="230" customFormat="1" ht="17.25" customHeight="1" thickBot="1" x14ac:dyDescent="0.3">
      <c r="A14" s="3105" t="s">
        <v>1047</v>
      </c>
      <c r="B14" s="3111" t="s">
        <v>1082</v>
      </c>
      <c r="C14" s="2783"/>
      <c r="D14" s="2783"/>
      <c r="E14" s="2783"/>
      <c r="F14" s="2783"/>
      <c r="G14" s="2783"/>
      <c r="H14" s="2783"/>
      <c r="I14" s="2783"/>
      <c r="J14" s="2784"/>
      <c r="K14" s="3082">
        <f>'Emission-Preprocessing'!C184</f>
        <v>1203980891.7023211</v>
      </c>
    </row>
    <row r="15" spans="1:22" s="230" customFormat="1" ht="14.25" customHeight="1" thickBot="1" x14ac:dyDescent="0.3">
      <c r="A15" s="2807"/>
      <c r="B15" s="3110">
        <f>'Emission-Preprocessing'!$D$21</f>
        <v>216009556.90647194</v>
      </c>
      <c r="C15" s="3110"/>
      <c r="D15" s="3110"/>
      <c r="E15" s="3110"/>
      <c r="F15" s="3110"/>
      <c r="G15" s="3110"/>
      <c r="H15" s="3110"/>
      <c r="I15" s="3110"/>
      <c r="J15" s="3110"/>
      <c r="K15" s="2674"/>
    </row>
    <row r="16" spans="1:22" s="230" customFormat="1" ht="18.75" thickBot="1" x14ac:dyDescent="0.3">
      <c r="A16" s="1231" t="s">
        <v>1225</v>
      </c>
      <c r="B16" s="1016" t="s">
        <v>20</v>
      </c>
      <c r="C16" s="1016" t="s">
        <v>21</v>
      </c>
      <c r="D16" s="1016" t="s">
        <v>79</v>
      </c>
      <c r="E16" s="1016" t="s">
        <v>17</v>
      </c>
      <c r="F16" s="1016" t="s">
        <v>18</v>
      </c>
      <c r="G16" s="1016" t="s">
        <v>19</v>
      </c>
      <c r="H16" s="1016" t="s">
        <v>76</v>
      </c>
      <c r="I16" s="1016" t="s">
        <v>77</v>
      </c>
      <c r="J16" s="1017" t="s">
        <v>78</v>
      </c>
      <c r="K16" s="1899"/>
    </row>
    <row r="17" spans="1:16" s="230" customFormat="1" x14ac:dyDescent="0.25">
      <c r="A17" s="1124" t="s">
        <v>1165</v>
      </c>
      <c r="B17" s="1232" t="s">
        <v>897</v>
      </c>
      <c r="C17" s="732" t="s">
        <v>897</v>
      </c>
      <c r="D17" s="1232" t="s">
        <v>897</v>
      </c>
      <c r="E17" s="3099" t="s">
        <v>897</v>
      </c>
      <c r="F17" s="3099"/>
      <c r="G17" s="1232" t="s">
        <v>897</v>
      </c>
      <c r="H17" s="732" t="s">
        <v>897</v>
      </c>
      <c r="I17" s="1232" t="s">
        <v>897</v>
      </c>
      <c r="J17" s="732" t="s">
        <v>897</v>
      </c>
      <c r="K17" s="1158">
        <f>'Emission-AD '!$R$18</f>
        <v>542097.49268919672</v>
      </c>
    </row>
    <row r="18" spans="1:16" s="230" customFormat="1" x14ac:dyDescent="0.25">
      <c r="A18" s="420" t="s">
        <v>913</v>
      </c>
      <c r="B18" s="1596" t="s">
        <v>897</v>
      </c>
      <c r="C18" s="732" t="s">
        <v>897</v>
      </c>
      <c r="D18" s="1596" t="s">
        <v>897</v>
      </c>
      <c r="E18" s="3099" t="s">
        <v>897</v>
      </c>
      <c r="F18" s="3099"/>
      <c r="G18" s="1037" t="s">
        <v>897</v>
      </c>
      <c r="H18" s="732" t="s">
        <v>897</v>
      </c>
      <c r="I18" s="1596" t="s">
        <v>897</v>
      </c>
      <c r="J18" s="732" t="s">
        <v>897</v>
      </c>
      <c r="K18" s="1159">
        <f>'Emission-AD '!$R$69</f>
        <v>23562564.221256316</v>
      </c>
    </row>
    <row r="19" spans="1:16" x14ac:dyDescent="0.25">
      <c r="A19" s="420" t="s">
        <v>914</v>
      </c>
      <c r="B19" s="1596" t="s">
        <v>897</v>
      </c>
      <c r="C19" s="732" t="s">
        <v>897</v>
      </c>
      <c r="D19" s="1596" t="s">
        <v>897</v>
      </c>
      <c r="E19" s="3099" t="s">
        <v>897</v>
      </c>
      <c r="F19" s="3099"/>
      <c r="G19" s="1595" t="s">
        <v>897</v>
      </c>
      <c r="H19" s="732" t="s">
        <v>897</v>
      </c>
      <c r="I19" s="1596" t="s">
        <v>897</v>
      </c>
      <c r="J19" s="732" t="s">
        <v>897</v>
      </c>
      <c r="K19" s="1159">
        <f>'Emission-AD '!$R$120</f>
        <v>23562564.221256316</v>
      </c>
    </row>
    <row r="20" spans="1:16" s="230" customFormat="1" ht="15" customHeight="1" thickBot="1" x14ac:dyDescent="0.3">
      <c r="A20" s="1233" t="s">
        <v>753</v>
      </c>
      <c r="B20" s="1596" t="s">
        <v>897</v>
      </c>
      <c r="C20" s="732" t="s">
        <v>897</v>
      </c>
      <c r="D20" s="1596" t="s">
        <v>897</v>
      </c>
      <c r="E20" s="3099" t="s">
        <v>897</v>
      </c>
      <c r="F20" s="3099"/>
      <c r="G20" s="1595" t="s">
        <v>897</v>
      </c>
      <c r="H20" s="732" t="s">
        <v>897</v>
      </c>
      <c r="I20" s="1596" t="s">
        <v>897</v>
      </c>
      <c r="J20" s="732" t="s">
        <v>897</v>
      </c>
      <c r="K20" s="1183">
        <f>'Emission-AD '!$R$171</f>
        <v>41234514.554075576</v>
      </c>
    </row>
    <row r="21" spans="1:16" s="230" customFormat="1" ht="15" customHeight="1" thickBot="1" x14ac:dyDescent="0.3">
      <c r="A21" s="1014" t="s">
        <v>1206</v>
      </c>
      <c r="B21" s="1015" t="s">
        <v>20</v>
      </c>
      <c r="C21" s="1015" t="s">
        <v>21</v>
      </c>
      <c r="D21" s="1015" t="s">
        <v>79</v>
      </c>
      <c r="E21" s="1015" t="s">
        <v>17</v>
      </c>
      <c r="F21" s="1015" t="s">
        <v>18</v>
      </c>
      <c r="G21" s="1015" t="s">
        <v>19</v>
      </c>
      <c r="H21" s="1015" t="s">
        <v>76</v>
      </c>
      <c r="I21" s="1015" t="s">
        <v>77</v>
      </c>
      <c r="J21" s="1897" t="s">
        <v>78</v>
      </c>
      <c r="K21" s="1898"/>
      <c r="L21" s="772"/>
      <c r="M21" s="772"/>
      <c r="N21" s="772"/>
      <c r="O21" s="772"/>
      <c r="P21" s="772"/>
    </row>
    <row r="22" spans="1:16" s="230" customFormat="1" ht="15" customHeight="1" thickBot="1" x14ac:dyDescent="0.3">
      <c r="A22" s="2903" t="s">
        <v>1471</v>
      </c>
      <c r="B22" s="1981">
        <f>'Emission-Solid-liquid Residual'!$I$10</f>
        <v>1.2254467295225575</v>
      </c>
      <c r="C22" s="1981" t="s">
        <v>897</v>
      </c>
      <c r="D22" s="1981">
        <f>'Emission-Solid-liquid Residual'!$G$10</f>
        <v>4.5802718621724834</v>
      </c>
      <c r="E22" s="3088">
        <f>'Emission-Solid-liquid Residual'!$J$10</f>
        <v>0.32942116385014986</v>
      </c>
      <c r="F22" s="3088"/>
      <c r="G22" s="1981">
        <f>'Emission-Solid-liquid Residual'!$H$10</f>
        <v>20.727179629451427</v>
      </c>
      <c r="H22" s="1981" t="s">
        <v>897</v>
      </c>
      <c r="I22" s="1981">
        <f>'Emission-Solid-liquid Residual'!$K$10</f>
        <v>220.05333745190012</v>
      </c>
      <c r="J22" s="1981" t="s">
        <v>897</v>
      </c>
      <c r="K22" s="1901">
        <f>'Emission-Solid-liquid Residual'!$R$62</f>
        <v>13791.525362338803</v>
      </c>
      <c r="L22" s="738"/>
      <c r="M22" s="738"/>
      <c r="N22" s="738"/>
      <c r="O22" s="738"/>
      <c r="P22" s="738"/>
    </row>
    <row r="23" spans="1:16" s="230" customFormat="1" ht="15" customHeight="1" thickBot="1" x14ac:dyDescent="0.3">
      <c r="A23" s="3100"/>
      <c r="B23" s="2838" t="s">
        <v>1082</v>
      </c>
      <c r="C23" s="2839"/>
      <c r="D23" s="2839"/>
      <c r="E23" s="2839"/>
      <c r="F23" s="2839"/>
      <c r="G23" s="2839"/>
      <c r="H23" s="2839"/>
      <c r="I23" s="2839"/>
      <c r="J23" s="2840"/>
      <c r="K23" s="1902"/>
    </row>
    <row r="24" spans="1:16" s="230" customFormat="1" ht="15" customHeight="1" x14ac:dyDescent="0.25">
      <c r="A24" s="420" t="s">
        <v>1048</v>
      </c>
      <c r="B24" s="3089">
        <f>'Emission-Solid-liquid Residual'!D32</f>
        <v>804368.46244545502</v>
      </c>
      <c r="C24" s="3089"/>
      <c r="D24" s="3089"/>
      <c r="E24" s="3089"/>
      <c r="F24" s="3089"/>
      <c r="G24" s="3089"/>
      <c r="H24" s="3089"/>
      <c r="I24" s="3089"/>
      <c r="J24" s="3089"/>
      <c r="K24" s="1129">
        <f>'Emission-Solid-liquid Residual'!$C$167</f>
        <v>3535199.3924477734</v>
      </c>
    </row>
    <row r="25" spans="1:16" s="230" customFormat="1" ht="15.75" customHeight="1" thickBot="1" x14ac:dyDescent="0.3">
      <c r="A25" s="420" t="s">
        <v>1053</v>
      </c>
      <c r="B25" s="3090">
        <f>'Emission-Solid-liquid Residual'!$D$33</f>
        <v>-64604.196247640823</v>
      </c>
      <c r="C25" s="3090"/>
      <c r="D25" s="3090"/>
      <c r="E25" s="3090"/>
      <c r="F25" s="3090"/>
      <c r="G25" s="3090"/>
      <c r="H25" s="3090"/>
      <c r="I25" s="3090"/>
      <c r="J25" s="3090"/>
      <c r="K25" s="1092">
        <f>'Emission-Solid-liquid Residual'!$D$167</f>
        <v>-283935.4425083815</v>
      </c>
    </row>
    <row r="26" spans="1:16" s="230" customFormat="1" ht="15.75" customHeight="1" thickBot="1" x14ac:dyDescent="0.3">
      <c r="A26" s="3085" t="s">
        <v>1052</v>
      </c>
      <c r="B26" s="1894" t="s">
        <v>20</v>
      </c>
      <c r="C26" s="1891" t="s">
        <v>21</v>
      </c>
      <c r="D26" s="1891" t="s">
        <v>79</v>
      </c>
      <c r="E26" s="1891" t="s">
        <v>17</v>
      </c>
      <c r="F26" s="1891" t="s">
        <v>18</v>
      </c>
      <c r="G26" s="1891" t="s">
        <v>19</v>
      </c>
      <c r="H26" s="1891" t="s">
        <v>76</v>
      </c>
      <c r="I26" s="1891" t="s">
        <v>77</v>
      </c>
      <c r="J26" s="1892" t="s">
        <v>78</v>
      </c>
      <c r="K26" s="3082">
        <f>'Emission-Solid-liquid Residual'!$R$171</f>
        <v>569.39297567370227</v>
      </c>
    </row>
    <row r="27" spans="1:16" s="230" customFormat="1" ht="15.75" customHeight="1" thickBot="1" x14ac:dyDescent="0.3">
      <c r="A27" s="2781"/>
      <c r="B27" s="1893">
        <f>'Emission-Solid-liquid Residual'!$J$37</f>
        <v>5.0593443547431317E-2</v>
      </c>
      <c r="C27" s="1543"/>
      <c r="D27" s="1542">
        <f>'Emission-Solid-liquid Residual'!$H$37</f>
        <v>0.18909979545254973</v>
      </c>
      <c r="E27" s="3091">
        <f>'Emission-Solid-liquid Residual'!$K$37</f>
        <v>1.3600388050384762E-2</v>
      </c>
      <c r="F27" s="3091"/>
      <c r="G27" s="1542">
        <f>'Emission-Solid-liquid Residual'!$I$37</f>
        <v>0.85573641613020923</v>
      </c>
      <c r="H27" s="1543" t="s">
        <v>897</v>
      </c>
      <c r="I27" s="1542">
        <f>'Emission-Solid-liquid Residual'!$L$37</f>
        <v>9.0850592176570188</v>
      </c>
      <c r="J27" s="1543" t="s">
        <v>897</v>
      </c>
      <c r="K27" s="2676"/>
    </row>
    <row r="28" spans="1:16" s="230" customFormat="1" ht="15.75" customHeight="1" thickBot="1" x14ac:dyDescent="0.3">
      <c r="A28" s="1896" t="s">
        <v>1219</v>
      </c>
      <c r="B28" s="1895" t="s">
        <v>20</v>
      </c>
      <c r="C28" s="771" t="s">
        <v>21</v>
      </c>
      <c r="D28" s="771" t="s">
        <v>79</v>
      </c>
      <c r="E28" s="771" t="s">
        <v>17</v>
      </c>
      <c r="F28" s="771" t="s">
        <v>18</v>
      </c>
      <c r="G28" s="771" t="s">
        <v>19</v>
      </c>
      <c r="H28" s="771" t="s">
        <v>76</v>
      </c>
      <c r="I28" s="771" t="s">
        <v>77</v>
      </c>
      <c r="J28" s="1900" t="s">
        <v>78</v>
      </c>
      <c r="K28" s="1899"/>
    </row>
    <row r="29" spans="1:16" s="230" customFormat="1" ht="15.75" customHeight="1" thickBot="1" x14ac:dyDescent="0.3">
      <c r="A29" s="1234" t="s">
        <v>1131</v>
      </c>
      <c r="B29" s="1235">
        <f>'Emission-Impurities'!$K$5</f>
        <v>17.720059732015535</v>
      </c>
      <c r="C29" s="1217">
        <v>0</v>
      </c>
      <c r="D29" s="1235">
        <f>'Emission-Impurities'!$I$5</f>
        <v>66.231104976866661</v>
      </c>
      <c r="E29" s="3083">
        <f>'Emission-Impurities'!$L$5</f>
        <v>4.7634569172084777</v>
      </c>
      <c r="F29" s="3084"/>
      <c r="G29" s="1235">
        <f>'Emission-Impurities'!$J$5</f>
        <v>299.71670923075737</v>
      </c>
      <c r="H29" s="1217" t="s">
        <v>897</v>
      </c>
      <c r="I29" s="1235">
        <f>'Emission-Impurities'!$M$5</f>
        <v>3181.9892206952627</v>
      </c>
      <c r="J29" s="1217" t="s">
        <v>897</v>
      </c>
      <c r="K29" s="1219">
        <f>'Emission-Impurities'!$R$14</f>
        <v>199426.58242799796</v>
      </c>
    </row>
    <row r="30" spans="1:16" s="230" customFormat="1" ht="15.75" customHeight="1" thickBot="1" x14ac:dyDescent="0.3">
      <c r="A30" s="1236" t="s">
        <v>1406</v>
      </c>
      <c r="B30" s="1015" t="s">
        <v>20</v>
      </c>
      <c r="C30" s="1015" t="s">
        <v>21</v>
      </c>
      <c r="D30" s="1015" t="s">
        <v>79</v>
      </c>
      <c r="E30" s="1015" t="s">
        <v>17</v>
      </c>
      <c r="F30" s="1015" t="s">
        <v>18</v>
      </c>
      <c r="G30" s="1015" t="s">
        <v>19</v>
      </c>
      <c r="H30" s="1015" t="s">
        <v>76</v>
      </c>
      <c r="I30" s="1015" t="s">
        <v>77</v>
      </c>
      <c r="J30" s="1015" t="s">
        <v>78</v>
      </c>
      <c r="K30" s="1237"/>
    </row>
    <row r="31" spans="1:16" s="230" customFormat="1" ht="15.75" customHeight="1" x14ac:dyDescent="0.25">
      <c r="A31" s="1238" t="s">
        <v>1204</v>
      </c>
      <c r="B31" s="1148">
        <f>'Emission-Biogas Conversion'!U7</f>
        <v>39.082393453211623</v>
      </c>
      <c r="C31" s="1148">
        <f>'Emission-Biogas Conversion'!S7</f>
        <v>255.09659601596528</v>
      </c>
      <c r="D31" s="1148">
        <f>'Emission-Biogas Conversion'!R7</f>
        <v>-1028965.6227365993</v>
      </c>
      <c r="E31" s="2970">
        <f>'Emission-Biogas Conversion'!T7</f>
        <v>43.15744542674723</v>
      </c>
      <c r="F31" s="2970"/>
      <c r="G31" s="1148">
        <f>'Emission-Biogas Conversion'!V7</f>
        <v>-815.64359547620472</v>
      </c>
      <c r="H31" s="1211" t="s">
        <v>897</v>
      </c>
      <c r="I31" s="1211" t="s">
        <v>897</v>
      </c>
      <c r="J31" s="1211" t="s">
        <v>897</v>
      </c>
      <c r="K31" s="1155">
        <f>'Emission-Biogas Conversion'!$R$27</f>
        <v>-605508977.67927468</v>
      </c>
    </row>
    <row r="32" spans="1:16" s="230" customFormat="1" ht="15.75" customHeight="1" x14ac:dyDescent="0.25">
      <c r="A32" s="1226" t="s">
        <v>1205</v>
      </c>
      <c r="B32" s="989">
        <f>'Emission-Biogas Conversion'!U8</f>
        <v>91.023128688850591</v>
      </c>
      <c r="C32" s="989">
        <f>'Emission-Biogas Conversion'!S8</f>
        <v>98.288177448651609</v>
      </c>
      <c r="D32" s="989">
        <f>'Emission-Biogas Conversion'!R8</f>
        <v>790.10736695915375</v>
      </c>
      <c r="E32" s="2931">
        <f>'Emission-Biogas Conversion'!T8</f>
        <v>323.14143730779034</v>
      </c>
      <c r="F32" s="2931"/>
      <c r="G32" s="989">
        <f>'Emission-Biogas Conversion'!V8</f>
        <v>-270.70460073694801</v>
      </c>
      <c r="H32" s="1215" t="s">
        <v>897</v>
      </c>
      <c r="I32" s="1215" t="s">
        <v>897</v>
      </c>
      <c r="J32" s="1215" t="s">
        <v>897</v>
      </c>
      <c r="K32" s="1158">
        <f>'Emission-Biogas Conversion'!$R$78</f>
        <v>686558.86208911496</v>
      </c>
    </row>
    <row r="33" spans="1:11" ht="19.5" customHeight="1" x14ac:dyDescent="0.25">
      <c r="A33" s="1226" t="s">
        <v>704</v>
      </c>
      <c r="B33" s="989">
        <f>'Emission-Biogas Conversion'!U9</f>
        <v>307.39366771292697</v>
      </c>
      <c r="C33" s="989">
        <f>'Emission-Biogas Conversion'!S9</f>
        <v>3444.6872431242909</v>
      </c>
      <c r="D33" s="989">
        <f>'Emission-Biogas Conversion'!R9</f>
        <v>1032.9166200358613</v>
      </c>
      <c r="E33" s="2931">
        <f>'Emission-Biogas Conversion'!T9</f>
        <v>370.97876042062092</v>
      </c>
      <c r="F33" s="2931"/>
      <c r="G33" s="989">
        <f>'Emission-Biogas Conversion'!V9</f>
        <v>-1728.5843544840845</v>
      </c>
      <c r="H33" s="1215" t="s">
        <v>897</v>
      </c>
      <c r="I33" s="1215" t="s">
        <v>897</v>
      </c>
      <c r="J33" s="1215" t="s">
        <v>897</v>
      </c>
      <c r="K33" s="1158">
        <f>'Emission-Biogas Conversion'!$R$129</f>
        <v>230255.31727685643</v>
      </c>
    </row>
    <row r="34" spans="1:11" ht="15" customHeight="1" x14ac:dyDescent="0.25">
      <c r="A34" s="1226" t="s">
        <v>997</v>
      </c>
      <c r="B34" s="989">
        <f>'Emission-Biogas Conversion'!U10</f>
        <v>-15.253727278031683</v>
      </c>
      <c r="C34" s="989">
        <f>'Emission-Biogas Conversion'!S10</f>
        <v>82.144545483074637</v>
      </c>
      <c r="D34" s="989">
        <f>'Emission-Biogas Conversion'!R10</f>
        <v>46.934545470805148</v>
      </c>
      <c r="E34" s="2931">
        <f>'Emission-Biogas Conversion'!T10</f>
        <v>35.200909103137214</v>
      </c>
      <c r="F34" s="2931"/>
      <c r="G34" s="989">
        <f>'Emission-Biogas Conversion'!V10</f>
        <v>-1824.5804551790177</v>
      </c>
      <c r="H34" s="1215" t="s">
        <v>897</v>
      </c>
      <c r="I34" s="1215" t="s">
        <v>897</v>
      </c>
      <c r="J34" s="1215" t="s">
        <v>897</v>
      </c>
      <c r="K34" s="1158">
        <f>'Emission-Biogas Conversion'!$R$180</f>
        <v>-769182.33032002021</v>
      </c>
    </row>
    <row r="35" spans="1:11" s="230" customFormat="1" ht="19.5" customHeight="1" x14ac:dyDescent="0.25">
      <c r="A35" s="1227" t="s">
        <v>1782</v>
      </c>
      <c r="B35" s="989">
        <f>'Emission-Biogas Conversion'!U11</f>
        <v>-1359442.1142114073</v>
      </c>
      <c r="C35" s="989">
        <f>'Emission-Biogas Conversion'!S11</f>
        <v>-161007524651.63318</v>
      </c>
      <c r="D35" s="989">
        <f>'Emission-Biogas Conversion'!R11</f>
        <v>-150374882.5177612</v>
      </c>
      <c r="E35" s="2931">
        <f>'Emission-Biogas Conversion'!T11</f>
        <v>-11832519.071247591</v>
      </c>
      <c r="F35" s="2931"/>
      <c r="G35" s="989">
        <f>'Emission-Biogas Conversion'!V11</f>
        <v>-1450586612.0203741</v>
      </c>
      <c r="H35" s="1215" t="s">
        <v>897</v>
      </c>
      <c r="I35" s="1215" t="s">
        <v>897</v>
      </c>
      <c r="J35" s="1215" t="s">
        <v>897</v>
      </c>
      <c r="K35" s="1158">
        <f>'Emission-Biogas Conversion'!$R$231</f>
        <v>-1074556919459.8683</v>
      </c>
    </row>
    <row r="36" spans="1:11" s="230" customFormat="1" ht="15" customHeight="1" thickBot="1" x14ac:dyDescent="0.3">
      <c r="A36" s="1228" t="s">
        <v>1176</v>
      </c>
      <c r="B36" s="817">
        <f>'Emission-Biogas Conversion'!U12</f>
        <v>-1359442.1142114073</v>
      </c>
      <c r="C36" s="817">
        <f>'Emission-Biogas Conversion'!S12</f>
        <v>-161007524651.63318</v>
      </c>
      <c r="D36" s="817">
        <f>'Emission-Biogas Conversion'!R12</f>
        <v>-150374882.5177612</v>
      </c>
      <c r="E36" s="2973">
        <f>'Emission-Biogas Conversion'!T12</f>
        <v>-11832519.071247591</v>
      </c>
      <c r="F36" s="2973"/>
      <c r="G36" s="817">
        <f>'Emission-Biogas Conversion'!V12</f>
        <v>-1450586612.0203741</v>
      </c>
      <c r="H36" s="1224" t="s">
        <v>897</v>
      </c>
      <c r="I36" s="1224" t="s">
        <v>897</v>
      </c>
      <c r="J36" s="1224" t="s">
        <v>897</v>
      </c>
      <c r="K36" s="1162">
        <f>'Emission-Biogas Conversion'!$R$282</f>
        <v>-1074556919459.8683</v>
      </c>
    </row>
    <row r="37" spans="1:11" ht="15.75" customHeight="1" thickBot="1" x14ac:dyDescent="0.3">
      <c r="A37" s="1239" t="s">
        <v>1422</v>
      </c>
      <c r="B37" s="3092" t="s">
        <v>1210</v>
      </c>
      <c r="C37" s="3093"/>
      <c r="D37" s="3093"/>
      <c r="E37" s="3093"/>
      <c r="F37" s="3093"/>
      <c r="G37" s="3093"/>
      <c r="H37" s="3093"/>
      <c r="I37" s="3093"/>
      <c r="J37" s="3094"/>
      <c r="K37" s="1240"/>
    </row>
    <row r="38" spans="1:11" s="230" customFormat="1" ht="18.75" customHeight="1" x14ac:dyDescent="0.25">
      <c r="A38" s="1238" t="s">
        <v>1207</v>
      </c>
      <c r="B38" s="2970">
        <f>'Emission-GHG from Biogas Conver'!R7</f>
        <v>4349639.1647264874</v>
      </c>
      <c r="C38" s="2970"/>
      <c r="D38" s="2970"/>
      <c r="E38" s="2970"/>
      <c r="F38" s="2970"/>
      <c r="G38" s="2970"/>
      <c r="H38" s="2970"/>
      <c r="I38" s="2970"/>
      <c r="J38" s="2970"/>
      <c r="K38" s="1155">
        <f>'Emission-GHG from Biogas Conver'!$F$27</f>
        <v>24243753.448363449</v>
      </c>
    </row>
    <row r="39" spans="1:11" s="100" customFormat="1" ht="15.75" customHeight="1" x14ac:dyDescent="0.25">
      <c r="A39" s="1226" t="s">
        <v>1205</v>
      </c>
      <c r="B39" s="2931">
        <f>'Emission-GHG from Biogas Conver'!R8</f>
        <v>8469098.4061250165</v>
      </c>
      <c r="C39" s="2931"/>
      <c r="D39" s="2931"/>
      <c r="E39" s="2931"/>
      <c r="F39" s="2931"/>
      <c r="G39" s="2931"/>
      <c r="H39" s="2931"/>
      <c r="I39" s="2931"/>
      <c r="J39" s="2931"/>
      <c r="K39" s="1158">
        <f>'Emission-GHG from Biogas Conver'!$F$78</f>
        <v>47204544.081056863</v>
      </c>
    </row>
    <row r="40" spans="1:11" ht="18.75" customHeight="1" x14ac:dyDescent="0.25">
      <c r="A40" s="1226" t="s">
        <v>1208</v>
      </c>
      <c r="B40" s="2931">
        <f>'Emission-GHG from Biogas Conver'!$R$9</f>
        <v>5023283.2299451847</v>
      </c>
      <c r="C40" s="2931"/>
      <c r="D40" s="2931"/>
      <c r="E40" s="2931"/>
      <c r="F40" s="2931"/>
      <c r="G40" s="2931"/>
      <c r="H40" s="2931"/>
      <c r="I40" s="2931"/>
      <c r="J40" s="2931"/>
      <c r="K40" s="1158">
        <f>'Emission-GHG from Biogas Conver'!$F$129</f>
        <v>27998469.646791428</v>
      </c>
    </row>
    <row r="41" spans="1:11" ht="15" customHeight="1" x14ac:dyDescent="0.25">
      <c r="A41" s="1226" t="s">
        <v>1209</v>
      </c>
      <c r="B41" s="2931">
        <f>'Emission-GHG from Biogas Conver'!$R$10</f>
        <v>1702550.6369550053</v>
      </c>
      <c r="C41" s="2931"/>
      <c r="D41" s="2931"/>
      <c r="E41" s="2931"/>
      <c r="F41" s="2931"/>
      <c r="G41" s="2931"/>
      <c r="H41" s="2931"/>
      <c r="I41" s="2931"/>
      <c r="J41" s="2931"/>
      <c r="K41" s="1158">
        <f>'Emission-GHG from Biogas Conver'!$F$180</f>
        <v>9489572.8846709635</v>
      </c>
    </row>
    <row r="42" spans="1:11" ht="15" customHeight="1" x14ac:dyDescent="0.25">
      <c r="A42" s="1227" t="s">
        <v>1782</v>
      </c>
      <c r="B42" s="2931">
        <f>'Emission-GHG from Biogas Conver'!$R$11</f>
        <v>1669842.8748612823</v>
      </c>
      <c r="C42" s="2931"/>
      <c r="D42" s="2931"/>
      <c r="E42" s="2931"/>
      <c r="F42" s="2931"/>
      <c r="G42" s="2931"/>
      <c r="H42" s="2931"/>
      <c r="I42" s="2931"/>
      <c r="J42" s="2931"/>
      <c r="K42" s="1158">
        <f>'Emission-GHG from Biogas Conver'!$F$231</f>
        <v>9307268.3554864526</v>
      </c>
    </row>
    <row r="43" spans="1:11" s="230" customFormat="1" ht="15" customHeight="1" thickBot="1" x14ac:dyDescent="0.3">
      <c r="A43" s="1228" t="s">
        <v>1176</v>
      </c>
      <c r="B43" s="2931">
        <f>'Emission-GHG from Biogas Conver'!$R$12</f>
        <v>1382410.9045982747</v>
      </c>
      <c r="C43" s="2931"/>
      <c r="D43" s="2931"/>
      <c r="E43" s="2931"/>
      <c r="F43" s="2931"/>
      <c r="G43" s="2931"/>
      <c r="H43" s="2931"/>
      <c r="I43" s="2931"/>
      <c r="J43" s="2931"/>
      <c r="K43" s="1162">
        <f>'Emission-GHG from Biogas Conver'!$F$282</f>
        <v>7705197.5729846898</v>
      </c>
    </row>
    <row r="44" spans="1:11" ht="15" customHeight="1" thickBot="1" x14ac:dyDescent="0.3">
      <c r="A44" s="770" t="s">
        <v>1213</v>
      </c>
      <c r="B44" s="771" t="s">
        <v>20</v>
      </c>
      <c r="C44" s="771" t="s">
        <v>21</v>
      </c>
      <c r="D44" s="771" t="s">
        <v>79</v>
      </c>
      <c r="E44" s="771" t="s">
        <v>17</v>
      </c>
      <c r="F44" s="771" t="s">
        <v>18</v>
      </c>
      <c r="G44" s="771" t="s">
        <v>19</v>
      </c>
      <c r="H44" s="771" t="s">
        <v>76</v>
      </c>
      <c r="I44" s="771" t="s">
        <v>77</v>
      </c>
      <c r="J44" s="771" t="s">
        <v>78</v>
      </c>
      <c r="K44" s="1222"/>
    </row>
    <row r="45" spans="1:11" ht="15" customHeight="1" x14ac:dyDescent="0.25">
      <c r="A45" s="1079" t="s">
        <v>284</v>
      </c>
      <c r="B45" s="1148">
        <f>'Emission-Vehicle to be refueled'!V7</f>
        <v>-1303.2805903737037</v>
      </c>
      <c r="C45" s="1148">
        <f>'Emission-Vehicle to be refueled'!W7</f>
        <v>-15074.037771872458</v>
      </c>
      <c r="D45" s="1148">
        <f>'Emission-Vehicle to be refueled'!X7</f>
        <v>-1395.5821041000477</v>
      </c>
      <c r="E45" s="1148">
        <f>'Emission-Vehicle to be refueled'!Y7</f>
        <v>-118.87668635845182</v>
      </c>
      <c r="F45" s="1148">
        <f>'Emission-Vehicle to be refueled'!Z7</f>
        <v>-90.960357084002752</v>
      </c>
      <c r="G45" s="1148">
        <f>'Emission-Vehicle to be refueled'!AA7</f>
        <v>-506.76994909368705</v>
      </c>
      <c r="H45" s="1148">
        <f>'Emission-Vehicle to be refueled'!AB7</f>
        <v>-741.60822544184884</v>
      </c>
      <c r="I45" s="1148">
        <f>'Emission-Vehicle to be refueled'!AC7</f>
        <v>-1930258.610792438</v>
      </c>
      <c r="J45" s="1148">
        <f>'Emission-Vehicle to be refueled'!AD7</f>
        <v>-92.831003600581298</v>
      </c>
      <c r="K45" s="1155">
        <f>'Emission-Vehicle to be refueled'!$AB$31</f>
        <v>-12437133.828822872</v>
      </c>
    </row>
    <row r="46" spans="1:11" ht="15" customHeight="1" x14ac:dyDescent="0.25">
      <c r="A46" s="249" t="s">
        <v>1783</v>
      </c>
      <c r="B46" s="989">
        <f>'Emission-Vehicle to be refueled'!V8</f>
        <v>-521.59083498161681</v>
      </c>
      <c r="C46" s="989">
        <f>'Emission-Vehicle to be refueled'!W8</f>
        <v>586.78968935431806</v>
      </c>
      <c r="D46" s="989">
        <f>'Emission-Vehicle to be refueled'!X8</f>
        <v>130.39770874540434</v>
      </c>
      <c r="E46" s="989">
        <f>'Emission-Vehicle to be refueled'!Y8</f>
        <v>-84.758510684512757</v>
      </c>
      <c r="F46" s="989">
        <f>'Emission-Vehicle to be refueled'!Z8</f>
        <v>-63.112491032775637</v>
      </c>
      <c r="G46" s="989">
        <f>'Emission-Vehicle to be refueled'!AA8</f>
        <v>-199.1825001086049</v>
      </c>
      <c r="H46" s="989">
        <f>'Emission-Vehicle to be refueled'!AB8</f>
        <v>5476.7037673069781</v>
      </c>
      <c r="I46" s="989">
        <f>'Emission-Vehicle to be refueled'!AC8</f>
        <v>-260795.41749080844</v>
      </c>
      <c r="J46" s="989">
        <f>'Emission-Vehicle to be refueled'!AD8</f>
        <v>-20.928832253637385</v>
      </c>
      <c r="K46" s="1159">
        <f>'Emission-Vehicle to be refueled'!$AB$286</f>
        <v>-856969.38912438892</v>
      </c>
    </row>
    <row r="47" spans="1:11" ht="15" customHeight="1" x14ac:dyDescent="0.25">
      <c r="A47" s="435" t="s">
        <v>285</v>
      </c>
      <c r="B47" s="989">
        <f>'Emission-Vehicle to be refueled'!V9</f>
        <v>38.993854136399797</v>
      </c>
      <c r="C47" s="989">
        <f>'Emission-Vehicle to be refueled'!W9</f>
        <v>7473.822042809963</v>
      </c>
      <c r="D47" s="989">
        <f>'Emission-Vehicle to be refueled'!X9</f>
        <v>45.492829825799745</v>
      </c>
      <c r="E47" s="989">
        <f>'Emission-Vehicle to be refueled'!Y9</f>
        <v>-7.6070510444426649</v>
      </c>
      <c r="F47" s="989">
        <f>'Emission-Vehicle to be refueled'!Z9</f>
        <v>-7.0676360622224648</v>
      </c>
      <c r="G47" s="989">
        <f>'Emission-Vehicle to be refueled'!AA9</f>
        <v>38.993854136399804</v>
      </c>
      <c r="H47" s="989">
        <f>'Emission-Vehicle to be refueled'!AB9</f>
        <v>4773.4976438642771</v>
      </c>
      <c r="I47" s="989">
        <f>'Emission-Vehicle to be refueled'!AC9</f>
        <v>-113732.07456449943</v>
      </c>
      <c r="J47" s="989">
        <f>'Emission-Vehicle to be refueled'!AD9</f>
        <v>11.659162386783541</v>
      </c>
      <c r="K47" s="1159">
        <f>'Emission-Vehicle to be refueled'!$AB$82</f>
        <v>173491.48550665166</v>
      </c>
    </row>
    <row r="48" spans="1:11" ht="15" customHeight="1" x14ac:dyDescent="0.25">
      <c r="A48" s="435" t="s">
        <v>1784</v>
      </c>
      <c r="B48" s="989">
        <f>'Emission-Vehicle to be refueled'!V10</f>
        <v>-1.6641936206841792</v>
      </c>
      <c r="C48" s="989">
        <f>'Emission-Vehicle to be refueled'!W10</f>
        <v>-91.49251933529969</v>
      </c>
      <c r="D48" s="989">
        <f>'Emission-Vehicle to be refueled'!X10</f>
        <v>-329.7613979483408</v>
      </c>
      <c r="E48" s="989">
        <f>'Emission-Vehicle to be refueled'!Y10</f>
        <v>-17.716077728225301</v>
      </c>
      <c r="F48" s="989">
        <f>'Emission-Vehicle to be refueled'!Z10</f>
        <v>-14.811098006770084</v>
      </c>
      <c r="G48" s="989">
        <f>'Emission-Vehicle to be refueled'!AA10</f>
        <v>-14.958606357168243</v>
      </c>
      <c r="H48" s="989">
        <f>'Emission-Vehicle to be refueled'!AB10</f>
        <v>661.29223637934058</v>
      </c>
      <c r="I48" s="989">
        <f>'Emission-Vehicle to be refueled'!AC10</f>
        <v>-591590.52504849702</v>
      </c>
      <c r="J48" s="989">
        <f>'Emission-Vehicle to be refueled'!AD10</f>
        <v>3.6752041031694316</v>
      </c>
      <c r="K48" s="1159">
        <f>'Emission-Vehicle to be refueled'!$AB$235</f>
        <v>-3430592.8766109413</v>
      </c>
    </row>
    <row r="49" spans="1:11" ht="15" customHeight="1" x14ac:dyDescent="0.25">
      <c r="A49" s="249" t="s">
        <v>1099</v>
      </c>
      <c r="B49" s="989">
        <f>'Emission-Vehicle to be refueled'!V11</f>
        <v>-794.04476822832805</v>
      </c>
      <c r="C49" s="989">
        <f>'Emission-Vehicle to be refueled'!W11</f>
        <v>-21245.787580673339</v>
      </c>
      <c r="D49" s="989">
        <f>'Emission-Vehicle to be refueled'!X11</f>
        <v>-1428.6019120689148</v>
      </c>
      <c r="E49" s="989">
        <f>'Emission-Vehicle to be refueled'!Y11</f>
        <v>-40.720244524529633</v>
      </c>
      <c r="F49" s="989">
        <f>'Emission-Vehicle to be refueled'!Z11</f>
        <v>-33.933537103774697</v>
      </c>
      <c r="G49" s="989">
        <f>'Emission-Vehicle to be refueled'!AA11</f>
        <v>-10.18006113113241</v>
      </c>
      <c r="H49" s="989">
        <f>'Emission-Vehicle to be refueled'!AB11</f>
        <v>-57.687013076416996</v>
      </c>
      <c r="I49" s="989">
        <f>'Emission-Vehicle to be refueled'!AC11</f>
        <v>-1778117.3442377944</v>
      </c>
      <c r="J49" s="989">
        <f>'Emission-Vehicle to be refueled'!AD11</f>
        <v>-139.12750212547627</v>
      </c>
      <c r="K49" s="1159">
        <f>'Emission-Vehicle to be refueled'!$AB$133</f>
        <v>-11171424.536782525</v>
      </c>
    </row>
    <row r="50" spans="1:11" ht="15" customHeight="1" x14ac:dyDescent="0.25">
      <c r="A50" s="249" t="s">
        <v>1785</v>
      </c>
      <c r="B50" s="989">
        <f>'Emission-Vehicle to be refueled'!V12</f>
        <v>-490.16970034417011</v>
      </c>
      <c r="C50" s="989">
        <f>'Emission-Vehicle to be refueled'!W12</f>
        <v>-3745.7134601300322</v>
      </c>
      <c r="D50" s="989">
        <f>'Emission-Vehicle to be refueled'!X12</f>
        <v>-253.25434517782119</v>
      </c>
      <c r="E50" s="989">
        <f>'Emission-Vehicle to be refueled'!Y12</f>
        <v>-12.254242508604248</v>
      </c>
      <c r="F50" s="989">
        <f>'Emission-Vehicle to be refueled'!Z12</f>
        <v>-12.254242508604248</v>
      </c>
      <c r="G50" s="989">
        <f>'Emission-Vehicle to be refueled'!AA12</f>
        <v>-8.1694950057361684</v>
      </c>
      <c r="H50" s="989">
        <f>'Emission-Vehicle to be refueled'!AB12</f>
        <v>624.96636793881692</v>
      </c>
      <c r="I50" s="989">
        <f>'Emission-Vehicle to be refueled'!AC12</f>
        <v>-400305.25528107223</v>
      </c>
      <c r="J50" s="989">
        <f>'Emission-Vehicle to be refueled'!AD12</f>
        <v>0</v>
      </c>
      <c r="K50" s="1159">
        <f>'Emission-Vehicle to be refueled'!$AB$337</f>
        <v>-21085404.433107138</v>
      </c>
    </row>
    <row r="51" spans="1:11" ht="15" customHeight="1" x14ac:dyDescent="0.25">
      <c r="A51" s="249" t="s">
        <v>1212</v>
      </c>
      <c r="B51" s="989">
        <f>'Emission-Vehicle to be refueled'!V13</f>
        <v>-477.55900016587674</v>
      </c>
      <c r="C51" s="989">
        <f>'Emission-Vehicle to be refueled'!W13</f>
        <v>-6773.5936023527611</v>
      </c>
      <c r="D51" s="989">
        <f>'Emission-Vehicle to be refueled'!X13</f>
        <v>-366.5588001273216</v>
      </c>
      <c r="E51" s="989">
        <f>'Emission-Vehicle to be refueled'!Y13</f>
        <v>-23.232600008069678</v>
      </c>
      <c r="F51" s="989">
        <f>'Emission-Vehicle to be refueled'!Z13</f>
        <v>-15.488400005379786</v>
      </c>
      <c r="G51" s="989">
        <f>'Emission-Vehicle to be refueled'!AA13</f>
        <v>-5.1628000017932631</v>
      </c>
      <c r="H51" s="989">
        <f>'Emission-Vehicle to be refueled'!AB13</f>
        <v>-30.976800010759575</v>
      </c>
      <c r="I51" s="989">
        <f>'Emission-Vehicle to be refueled'!AC13</f>
        <v>-1107420.6003846547</v>
      </c>
      <c r="J51" s="989">
        <f>'Emission-Vehicle to be refueled'!AD13</f>
        <v>-25.81400000896631</v>
      </c>
      <c r="K51" s="1159">
        <f>'Emission-Vehicle to be refueled'!$AB$184</f>
        <v>-6522353.2532843556</v>
      </c>
    </row>
    <row r="52" spans="1:11" ht="15" customHeight="1" thickBot="1" x14ac:dyDescent="0.3">
      <c r="A52" s="1020" t="s">
        <v>1786</v>
      </c>
      <c r="B52" s="1146">
        <f>'Emission-Vehicle to be refueled'!V14</f>
        <v>-341.3906278358595</v>
      </c>
      <c r="C52" s="1146">
        <f>'Emission-Vehicle to be refueled'!W14</f>
        <v>-1236.7358593299059</v>
      </c>
      <c r="D52" s="1146">
        <f>'Emission-Vehicle to be refueled'!X14</f>
        <v>-67.633992307104208</v>
      </c>
      <c r="E52" s="1146">
        <f>'Emission-Vehicle to be refueled'!Y14</f>
        <v>-12.882665201353189</v>
      </c>
      <c r="F52" s="1146">
        <f>'Emission-Vehicle to be refueled'!Z14</f>
        <v>-3.2206663003382947</v>
      </c>
      <c r="G52" s="1146">
        <f>'Emission-Vehicle to be refueled'!AA14</f>
        <v>-3.2206663003382974</v>
      </c>
      <c r="H52" s="1146">
        <f>'Emission-Vehicle to be refueled'!AB14</f>
        <v>344.61129413619778</v>
      </c>
      <c r="I52" s="1146">
        <f>'Emission-Vehicle to be refueled'!AC14</f>
        <v>-254432.63772672549</v>
      </c>
      <c r="J52" s="1146">
        <f>'Emission-Vehicle to be refueled'!AD14</f>
        <v>0</v>
      </c>
      <c r="K52" s="1183">
        <f>'Emission-Vehicle to be refueled'!$AB$388</f>
        <v>-1442270.0513087374</v>
      </c>
    </row>
    <row r="53" spans="1:11" ht="15" customHeight="1" x14ac:dyDescent="0.25">
      <c r="A53" s="3095" t="s">
        <v>1214</v>
      </c>
      <c r="B53" s="1025" t="s">
        <v>20</v>
      </c>
      <c r="C53" s="1025" t="s">
        <v>21</v>
      </c>
      <c r="D53" s="1025" t="s">
        <v>79</v>
      </c>
      <c r="E53" s="1025" t="s">
        <v>17</v>
      </c>
      <c r="F53" s="1025" t="s">
        <v>18</v>
      </c>
      <c r="G53" s="1025" t="s">
        <v>19</v>
      </c>
      <c r="H53" s="1025" t="s">
        <v>76</v>
      </c>
      <c r="I53" s="1025" t="s">
        <v>77</v>
      </c>
      <c r="J53" s="1025" t="s">
        <v>78</v>
      </c>
      <c r="K53" s="1241"/>
    </row>
    <row r="54" spans="1:11" ht="15" customHeight="1" thickBot="1" x14ac:dyDescent="0.3">
      <c r="A54" s="3096"/>
      <c r="B54" s="1209">
        <f>'Emission-Combustion Pipeline NG'!$S$6</f>
        <v>58.50241358046182</v>
      </c>
      <c r="C54" s="1209">
        <f>'Emission-Combustion Pipeline NG'!$Q$6</f>
        <v>1127.1841971098338</v>
      </c>
      <c r="D54" s="1209">
        <f>'Emission-Combustion Pipeline NG'!$P$6</f>
        <v>-417.75588762863032</v>
      </c>
      <c r="E54" s="3097">
        <f>'Emission-Combustion Pipeline NG'!$T$6</f>
        <v>-31.197933837706117</v>
      </c>
      <c r="F54" s="3098"/>
      <c r="G54" s="1209">
        <f>'Emission-Combustion Pipeline NG'!$R$6</f>
        <v>-16319.048682906454</v>
      </c>
      <c r="H54" s="1209">
        <f>'Emission-Combustion Pipeline NG'!$W$6</f>
        <v>0</v>
      </c>
      <c r="I54" s="1209">
        <f>'Emission-Combustion Pipeline NG'!$V$6</f>
        <v>-201959.47891733114</v>
      </c>
      <c r="J54" s="1209">
        <f>'Emission-Combustion Pipeline NG'!$U$6</f>
        <v>29.521490876686123</v>
      </c>
      <c r="K54" s="1163">
        <f>'Emission-Combustion Pipeline NG'!$X$15</f>
        <v>-8804352.007604152</v>
      </c>
    </row>
    <row r="55" spans="1:11" ht="15" customHeight="1" thickBot="1" x14ac:dyDescent="0.3">
      <c r="A55" s="3086" t="s">
        <v>1390</v>
      </c>
      <c r="B55" s="1040" t="s">
        <v>20</v>
      </c>
      <c r="C55" s="1477" t="s">
        <v>21</v>
      </c>
      <c r="D55" s="1477" t="s">
        <v>79</v>
      </c>
      <c r="E55" s="1477" t="s">
        <v>17</v>
      </c>
      <c r="F55" s="1477" t="s">
        <v>18</v>
      </c>
      <c r="G55" s="1477" t="s">
        <v>19</v>
      </c>
      <c r="H55" s="1477" t="s">
        <v>76</v>
      </c>
      <c r="I55" s="1477" t="s">
        <v>77</v>
      </c>
      <c r="J55" s="1478" t="s">
        <v>78</v>
      </c>
      <c r="K55" s="1512"/>
    </row>
    <row r="56" spans="1:11" ht="15" customHeight="1" thickBot="1" x14ac:dyDescent="0.3">
      <c r="A56" s="3087"/>
      <c r="B56" s="1285" t="s">
        <v>897</v>
      </c>
      <c r="C56" s="1285" t="s">
        <v>897</v>
      </c>
      <c r="D56" s="1285" t="s">
        <v>897</v>
      </c>
      <c r="E56" s="1285" t="s">
        <v>897</v>
      </c>
      <c r="F56" s="1285" t="s">
        <v>897</v>
      </c>
      <c r="G56" s="1285" t="s">
        <v>897</v>
      </c>
      <c r="H56" s="1282" t="s">
        <v>897</v>
      </c>
      <c r="I56" s="1282">
        <f>'Emission-Solid-liquid Residual'!$D$45</f>
        <v>205615.27844201072</v>
      </c>
      <c r="J56" s="1282" t="s">
        <v>897</v>
      </c>
      <c r="K56" s="1162">
        <f>'Emission-Solid-liquid Residual'!$E$45</f>
        <v>205615.27844201072</v>
      </c>
    </row>
    <row r="57" spans="1:11" ht="15" customHeight="1" x14ac:dyDescent="0.25">
      <c r="K57" s="731"/>
    </row>
    <row r="58" spans="1:11" ht="15" customHeight="1" x14ac:dyDescent="0.25">
      <c r="K58" s="731"/>
    </row>
    <row r="59" spans="1:11" ht="15" customHeight="1" x14ac:dyDescent="0.25">
      <c r="K59" s="731"/>
    </row>
    <row r="60" spans="1:11" ht="15" customHeight="1" x14ac:dyDescent="0.25">
      <c r="K60" s="731"/>
    </row>
    <row r="61" spans="1:11" ht="15" customHeight="1" x14ac:dyDescent="0.25">
      <c r="K61" s="731"/>
    </row>
    <row r="62" spans="1:11" ht="15" customHeight="1" x14ac:dyDescent="0.25">
      <c r="K62" s="731"/>
    </row>
    <row r="63" spans="1:11" ht="15" customHeight="1" x14ac:dyDescent="0.25">
      <c r="K63" s="731"/>
    </row>
    <row r="64" spans="1:11" ht="15" customHeight="1" x14ac:dyDescent="0.25">
      <c r="K64" s="731"/>
    </row>
    <row r="65" spans="11:11" ht="15" customHeight="1" x14ac:dyDescent="0.25">
      <c r="K65" s="731"/>
    </row>
    <row r="66" spans="11:11" ht="15" customHeight="1" x14ac:dyDescent="0.25">
      <c r="K66" s="731"/>
    </row>
    <row r="67" spans="11:11" ht="15" customHeight="1" x14ac:dyDescent="0.25">
      <c r="K67" s="731"/>
    </row>
    <row r="68" spans="11:11" ht="15" customHeight="1" x14ac:dyDescent="0.25">
      <c r="K68" s="731"/>
    </row>
    <row r="69" spans="11:11" ht="15" customHeight="1" x14ac:dyDescent="0.25">
      <c r="K69" s="731"/>
    </row>
    <row r="70" spans="11:11" ht="15" customHeight="1" x14ac:dyDescent="0.25">
      <c r="K70" s="731"/>
    </row>
    <row r="71" spans="11:11" ht="15" customHeight="1" x14ac:dyDescent="0.25">
      <c r="K71" s="731"/>
    </row>
    <row r="72" spans="11:11" ht="15" customHeight="1" x14ac:dyDescent="0.25">
      <c r="K72" s="731"/>
    </row>
    <row r="73" spans="11:11" ht="15" customHeight="1" x14ac:dyDescent="0.25">
      <c r="K73" s="731"/>
    </row>
    <row r="74" spans="11:11" ht="15" customHeight="1" x14ac:dyDescent="0.25">
      <c r="K74" s="731"/>
    </row>
    <row r="75" spans="11:11" ht="15" customHeight="1" x14ac:dyDescent="0.25">
      <c r="K75" s="731"/>
    </row>
    <row r="76" spans="11:11" ht="15" customHeight="1" x14ac:dyDescent="0.25">
      <c r="K76" s="731"/>
    </row>
    <row r="77" spans="11:11" ht="15" customHeight="1" x14ac:dyDescent="0.25">
      <c r="K77" s="731"/>
    </row>
    <row r="78" spans="11:11" ht="15.75" customHeight="1" x14ac:dyDescent="0.25">
      <c r="K78" s="731"/>
    </row>
    <row r="79" spans="11:11" ht="15" customHeight="1" x14ac:dyDescent="0.25">
      <c r="K79" s="731"/>
    </row>
    <row r="80" spans="11:11" ht="15" customHeight="1" x14ac:dyDescent="0.25">
      <c r="K80" s="731"/>
    </row>
    <row r="81" spans="11:11" ht="15" customHeight="1" x14ac:dyDescent="0.25">
      <c r="K81" s="731"/>
    </row>
    <row r="82" spans="11:11" ht="15" customHeight="1" x14ac:dyDescent="0.25">
      <c r="K82" s="731"/>
    </row>
    <row r="83" spans="11:11" ht="15" customHeight="1" x14ac:dyDescent="0.25">
      <c r="K83" s="731"/>
    </row>
    <row r="84" spans="11:11" ht="15" customHeight="1" x14ac:dyDescent="0.25">
      <c r="K84" s="731"/>
    </row>
    <row r="85" spans="11:11" ht="15" customHeight="1" x14ac:dyDescent="0.25">
      <c r="K85" s="731"/>
    </row>
    <row r="86" spans="11:11" ht="15" customHeight="1" x14ac:dyDescent="0.25">
      <c r="K86" s="731"/>
    </row>
    <row r="87" spans="11:11" ht="15" customHeight="1" x14ac:dyDescent="0.25">
      <c r="K87" s="731"/>
    </row>
    <row r="88" spans="11:11" ht="15" customHeight="1" x14ac:dyDescent="0.25">
      <c r="K88" s="731"/>
    </row>
    <row r="89" spans="11:11" ht="15" customHeight="1" x14ac:dyDescent="0.25">
      <c r="K89" s="731"/>
    </row>
    <row r="90" spans="11:11" ht="15" customHeight="1" x14ac:dyDescent="0.25">
      <c r="K90" s="731"/>
    </row>
    <row r="91" spans="11:11" ht="15" customHeight="1" x14ac:dyDescent="0.25">
      <c r="K91" s="731"/>
    </row>
    <row r="92" spans="11:11" ht="15" customHeight="1" x14ac:dyDescent="0.25">
      <c r="K92" s="731"/>
    </row>
    <row r="93" spans="11:11" ht="15" customHeight="1" x14ac:dyDescent="0.25">
      <c r="K93" s="731"/>
    </row>
    <row r="94" spans="11:11" ht="15" customHeight="1" x14ac:dyDescent="0.25">
      <c r="K94" s="731"/>
    </row>
    <row r="95" spans="11:11" ht="15" customHeight="1" x14ac:dyDescent="0.25">
      <c r="K95" s="731"/>
    </row>
    <row r="96" spans="11:11" ht="15" customHeight="1" x14ac:dyDescent="0.25">
      <c r="K96" s="731"/>
    </row>
    <row r="97" spans="11:11" ht="15" customHeight="1" x14ac:dyDescent="0.25">
      <c r="K97" s="731"/>
    </row>
    <row r="98" spans="11:11" ht="15" customHeight="1" x14ac:dyDescent="0.25">
      <c r="K98" s="731"/>
    </row>
    <row r="99" spans="11:11" ht="15" customHeight="1" x14ac:dyDescent="0.25">
      <c r="K99" s="731"/>
    </row>
    <row r="100" spans="11:11" ht="15" customHeight="1" x14ac:dyDescent="0.25">
      <c r="K100" s="731"/>
    </row>
    <row r="101" spans="11:11" ht="15" customHeight="1" x14ac:dyDescent="0.25">
      <c r="K101" s="731"/>
    </row>
    <row r="102" spans="11:11" ht="15" customHeight="1" x14ac:dyDescent="0.25">
      <c r="K102" s="731"/>
    </row>
    <row r="103" spans="11:11" ht="15" customHeight="1" x14ac:dyDescent="0.25">
      <c r="K103" s="731"/>
    </row>
    <row r="104" spans="11:11" ht="15" customHeight="1" x14ac:dyDescent="0.25">
      <c r="K104" s="731"/>
    </row>
    <row r="105" spans="11:11" ht="15" customHeight="1" x14ac:dyDescent="0.25">
      <c r="K105" s="731"/>
    </row>
    <row r="106" spans="11:11" ht="15" customHeight="1" x14ac:dyDescent="0.25">
      <c r="K106" s="731"/>
    </row>
    <row r="107" spans="11:11" ht="15" customHeight="1" x14ac:dyDescent="0.25">
      <c r="K107" s="731"/>
    </row>
    <row r="108" spans="11:11" ht="15" customHeight="1" x14ac:dyDescent="0.25">
      <c r="K108" s="731"/>
    </row>
    <row r="109" spans="11:11" ht="15" customHeight="1" x14ac:dyDescent="0.25">
      <c r="K109" s="731"/>
    </row>
    <row r="110" spans="11:11" ht="15" customHeight="1" x14ac:dyDescent="0.25">
      <c r="K110" s="731"/>
    </row>
    <row r="111" spans="11:11" ht="15" customHeight="1" x14ac:dyDescent="0.25">
      <c r="K111" s="731"/>
    </row>
    <row r="112" spans="11:11" ht="15" customHeight="1" x14ac:dyDescent="0.25">
      <c r="K112" s="731"/>
    </row>
    <row r="113" spans="11:11" ht="15" customHeight="1" x14ac:dyDescent="0.25">
      <c r="K113" s="731"/>
    </row>
    <row r="114" spans="11:11" ht="15" customHeight="1" x14ac:dyDescent="0.25">
      <c r="K114" s="731"/>
    </row>
    <row r="115" spans="11:11" x14ac:dyDescent="0.25">
      <c r="K115" s="731"/>
    </row>
    <row r="116" spans="11:11" x14ac:dyDescent="0.25">
      <c r="K116" s="731"/>
    </row>
    <row r="117" spans="11:11" x14ac:dyDescent="0.25">
      <c r="K117" s="731"/>
    </row>
    <row r="118" spans="11:11" x14ac:dyDescent="0.25">
      <c r="K118" s="731"/>
    </row>
    <row r="119" spans="11:11" x14ac:dyDescent="0.25">
      <c r="K119" s="731"/>
    </row>
    <row r="120" spans="11:11" x14ac:dyDescent="0.25">
      <c r="K120" s="731"/>
    </row>
    <row r="121" spans="11:11" x14ac:dyDescent="0.25">
      <c r="K121" s="731"/>
    </row>
    <row r="122" spans="11:11" x14ac:dyDescent="0.25">
      <c r="K122" s="731"/>
    </row>
    <row r="123" spans="11:11" x14ac:dyDescent="0.25">
      <c r="K123" s="731"/>
    </row>
    <row r="124" spans="11:11" x14ac:dyDescent="0.25">
      <c r="K124" s="731"/>
    </row>
    <row r="125" spans="11:11" x14ac:dyDescent="0.25">
      <c r="K125" s="731"/>
    </row>
    <row r="126" spans="11:11" x14ac:dyDescent="0.25">
      <c r="K126" s="731"/>
    </row>
  </sheetData>
  <mergeCells count="38">
    <mergeCell ref="A1:K1"/>
    <mergeCell ref="B2:J2"/>
    <mergeCell ref="E18:F18"/>
    <mergeCell ref="E12:F12"/>
    <mergeCell ref="E17:F17"/>
    <mergeCell ref="A14:A15"/>
    <mergeCell ref="K2:K3"/>
    <mergeCell ref="K14:K15"/>
    <mergeCell ref="E13:F13"/>
    <mergeCell ref="B15:J15"/>
    <mergeCell ref="B14:J14"/>
    <mergeCell ref="A53:A54"/>
    <mergeCell ref="E54:F54"/>
    <mergeCell ref="B40:J40"/>
    <mergeCell ref="E19:F19"/>
    <mergeCell ref="E20:F20"/>
    <mergeCell ref="B42:J42"/>
    <mergeCell ref="A22:A23"/>
    <mergeCell ref="B23:J23"/>
    <mergeCell ref="E35:F35"/>
    <mergeCell ref="E33:F33"/>
    <mergeCell ref="E34:F34"/>
    <mergeCell ref="K26:K27"/>
    <mergeCell ref="E29:F29"/>
    <mergeCell ref="A26:A27"/>
    <mergeCell ref="A55:A56"/>
    <mergeCell ref="E22:F22"/>
    <mergeCell ref="B24:J24"/>
    <mergeCell ref="B25:J25"/>
    <mergeCell ref="E27:F27"/>
    <mergeCell ref="E36:F36"/>
    <mergeCell ref="B43:J43"/>
    <mergeCell ref="B37:J37"/>
    <mergeCell ref="B38:J38"/>
    <mergeCell ref="B39:J39"/>
    <mergeCell ref="E31:F31"/>
    <mergeCell ref="E32:F32"/>
    <mergeCell ref="B41:J41"/>
  </mergeCells>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67C635-DC5A-406F-BC6D-3BF578545ED6}">
  <dimension ref="A1:S126"/>
  <sheetViews>
    <sheetView zoomScale="87" zoomScaleNormal="87" workbookViewId="0">
      <selection activeCell="I22" sqref="I22:I72"/>
    </sheetView>
  </sheetViews>
  <sheetFormatPr defaultRowHeight="15.75" x14ac:dyDescent="0.25"/>
  <cols>
    <col min="1" max="1" width="49.42578125" style="715" customWidth="1"/>
    <col min="2" max="2" width="36" style="715" customWidth="1"/>
    <col min="3" max="3" width="30.140625" style="715" customWidth="1"/>
    <col min="4" max="4" width="31" style="715" customWidth="1"/>
    <col min="5" max="5" width="132.7109375" style="715" customWidth="1"/>
    <col min="6" max="6" width="23.42578125" style="715" customWidth="1"/>
    <col min="7" max="7" width="32" style="715" customWidth="1"/>
    <col min="8" max="8" width="29.5703125" style="715" customWidth="1"/>
    <col min="9" max="9" width="29.28515625" style="715" customWidth="1"/>
    <col min="10" max="10" width="20.42578125" style="715" customWidth="1"/>
    <col min="11" max="11" width="21.42578125" style="715" customWidth="1"/>
    <col min="12" max="12" width="30.28515625" style="715" customWidth="1"/>
    <col min="13" max="13" width="20.140625" style="715" customWidth="1"/>
    <col min="14" max="14" width="21.28515625" style="715" customWidth="1"/>
    <col min="15" max="15" width="18.42578125" style="715" customWidth="1"/>
    <col min="16" max="16" width="15.5703125" style="715" customWidth="1"/>
    <col min="17" max="17" width="18.7109375" style="715" customWidth="1"/>
    <col min="18" max="18" width="9.140625" style="715"/>
    <col min="19" max="19" width="11.5703125" style="715" customWidth="1"/>
    <col min="20" max="16384" width="9.140625" style="715"/>
  </cols>
  <sheetData>
    <row r="1" spans="1:15" ht="37.5" customHeight="1" thickBot="1" x14ac:dyDescent="0.3">
      <c r="A1" s="3120" t="s">
        <v>1635</v>
      </c>
      <c r="B1" s="2668"/>
      <c r="C1" s="2668"/>
      <c r="D1" s="2668"/>
      <c r="E1" s="2669"/>
    </row>
    <row r="2" spans="1:15" ht="16.5" thickBot="1" x14ac:dyDescent="0.3"/>
    <row r="3" spans="1:15" ht="36" customHeight="1" thickBot="1" x14ac:dyDescent="0.3">
      <c r="A3" s="3127" t="s">
        <v>1338</v>
      </c>
      <c r="B3" s="3128"/>
      <c r="C3" s="3128"/>
      <c r="D3" s="3128"/>
      <c r="E3" s="3129"/>
    </row>
    <row r="4" spans="1:15" x14ac:dyDescent="0.25">
      <c r="A4" s="1737" t="s">
        <v>1094</v>
      </c>
      <c r="B4" s="1738" t="s">
        <v>1090</v>
      </c>
      <c r="C4" s="1738" t="s">
        <v>1472</v>
      </c>
      <c r="D4" s="1738" t="s">
        <v>1473</v>
      </c>
      <c r="E4" s="1006" t="s">
        <v>1331</v>
      </c>
    </row>
    <row r="5" spans="1:15" x14ac:dyDescent="0.25">
      <c r="A5" s="190" t="s">
        <v>1093</v>
      </c>
      <c r="B5" s="1711">
        <v>99.4</v>
      </c>
      <c r="C5" s="1711"/>
      <c r="D5" s="1711"/>
      <c r="E5" s="1739" t="s">
        <v>1091</v>
      </c>
    </row>
    <row r="6" spans="1:15" x14ac:dyDescent="0.25">
      <c r="A6" s="190" t="s">
        <v>1093</v>
      </c>
      <c r="B6" s="1711">
        <v>10.1</v>
      </c>
      <c r="C6" s="1711">
        <v>94.8</v>
      </c>
      <c r="D6" s="1711">
        <v>0.3</v>
      </c>
      <c r="E6" s="1739" t="s">
        <v>1092</v>
      </c>
    </row>
    <row r="7" spans="1:15" x14ac:dyDescent="0.25">
      <c r="A7" s="3130" t="s">
        <v>1119</v>
      </c>
      <c r="B7" s="3131"/>
      <c r="C7" s="3131"/>
      <c r="D7" s="3131"/>
      <c r="E7" s="1740"/>
    </row>
    <row r="8" spans="1:15" ht="16.5" thickBot="1" x14ac:dyDescent="0.3">
      <c r="A8" s="3132">
        <v>146.1</v>
      </c>
      <c r="B8" s="2191"/>
      <c r="C8" s="2191"/>
      <c r="D8" s="2191"/>
      <c r="E8" s="1741" t="s">
        <v>1118</v>
      </c>
    </row>
    <row r="9" spans="1:15" ht="16.5" thickBot="1" x14ac:dyDescent="0.3"/>
    <row r="10" spans="1:15" ht="30.75" customHeight="1" x14ac:dyDescent="0.25">
      <c r="A10" s="3133" t="s">
        <v>1120</v>
      </c>
      <c r="B10" s="3134"/>
      <c r="C10" s="3134"/>
      <c r="D10" s="3135"/>
      <c r="E10" s="1742" t="s">
        <v>1124</v>
      </c>
      <c r="F10" s="3133" t="s">
        <v>1125</v>
      </c>
      <c r="G10" s="3134"/>
      <c r="H10" s="3134"/>
      <c r="I10" s="3135"/>
    </row>
    <row r="11" spans="1:15" x14ac:dyDescent="0.25">
      <c r="A11" s="1743" t="s">
        <v>1094</v>
      </c>
      <c r="B11" s="1744" t="s">
        <v>1122</v>
      </c>
      <c r="C11" s="1738" t="s">
        <v>1474</v>
      </c>
      <c r="D11" s="1738" t="s">
        <v>1475</v>
      </c>
      <c r="E11" s="1745"/>
      <c r="F11" s="1743" t="s">
        <v>1122</v>
      </c>
      <c r="G11" s="1738" t="s">
        <v>1474</v>
      </c>
      <c r="H11" s="1738" t="s">
        <v>1475</v>
      </c>
      <c r="I11" s="1746" t="s">
        <v>1226</v>
      </c>
    </row>
    <row r="12" spans="1:15" x14ac:dyDescent="0.25">
      <c r="A12" s="3136" t="s">
        <v>1121</v>
      </c>
      <c r="B12" s="1747">
        <f>B5/A8</f>
        <v>0.68035592060232719</v>
      </c>
      <c r="C12" s="1747"/>
      <c r="D12" s="1748"/>
      <c r="E12" s="3137">
        <f>' QUICK OVERVIEW- Inputs&amp;Outputs'!H10+' QUICK OVERVIEW- Inputs&amp;Outputs'!L10+' QUICK OVERVIEW- Inputs&amp;Outputs'!P10+' QUICK OVERVIEW- Inputs&amp;Outputs'!T10</f>
        <v>13978.21</v>
      </c>
      <c r="F12" s="3124">
        <f>(B14*E12)*1000</f>
        <v>5238240.9137577005</v>
      </c>
      <c r="G12" s="3141">
        <f>(C14*E12)*1000</f>
        <v>9070050.0205338802</v>
      </c>
      <c r="H12" s="3141">
        <f>(E12*D14)*1000</f>
        <v>28702.689938398358</v>
      </c>
      <c r="I12" s="3139">
        <f>F12+G12+H12</f>
        <v>14336993.624229979</v>
      </c>
    </row>
    <row r="13" spans="1:15" x14ac:dyDescent="0.25">
      <c r="A13" s="3136"/>
      <c r="B13" s="1747">
        <f>B6/A8</f>
        <v>6.913073237508556E-2</v>
      </c>
      <c r="C13" s="1747">
        <f>C6/A8</f>
        <v>0.64887063655030797</v>
      </c>
      <c r="D13" s="1748">
        <f>D6/A8</f>
        <v>2.0533880903490761E-3</v>
      </c>
      <c r="E13" s="3137"/>
      <c r="F13" s="3124"/>
      <c r="G13" s="3141"/>
      <c r="H13" s="3141"/>
      <c r="I13" s="3139"/>
    </row>
    <row r="14" spans="1:15" ht="16.5" thickBot="1" x14ac:dyDescent="0.3">
      <c r="A14" s="1749" t="s">
        <v>1089</v>
      </c>
      <c r="B14" s="1750">
        <f>AVERAGE(B12,B13)</f>
        <v>0.3747433264887064</v>
      </c>
      <c r="C14" s="1750">
        <f>AVERAGE(C12,C13)</f>
        <v>0.64887063655030797</v>
      </c>
      <c r="D14" s="1751">
        <f>AVERAGE(D12,D13)</f>
        <v>2.0533880903490761E-3</v>
      </c>
      <c r="E14" s="3138"/>
      <c r="F14" s="3125"/>
      <c r="G14" s="3142"/>
      <c r="H14" s="3142"/>
      <c r="I14" s="3140"/>
    </row>
    <row r="15" spans="1:15" ht="16.5" thickBot="1" x14ac:dyDescent="0.3">
      <c r="A15" s="1752"/>
      <c r="B15" s="1753"/>
      <c r="C15" s="1753"/>
      <c r="D15" s="1754"/>
      <c r="E15" s="1755"/>
      <c r="F15" s="1756"/>
      <c r="G15" s="1756"/>
      <c r="H15" s="1756"/>
      <c r="I15" s="1756"/>
    </row>
    <row r="16" spans="1:15" ht="48.75" customHeight="1" thickBot="1" x14ac:dyDescent="0.3">
      <c r="A16" s="3143" t="s">
        <v>1636</v>
      </c>
      <c r="B16" s="3144"/>
      <c r="C16" s="3144"/>
      <c r="D16" s="3144"/>
      <c r="E16" s="3144"/>
      <c r="F16" s="3144"/>
      <c r="G16" s="3112" t="s">
        <v>1125</v>
      </c>
      <c r="H16" s="3113"/>
      <c r="I16" s="3113"/>
      <c r="J16" s="3114"/>
      <c r="K16" s="990"/>
      <c r="L16" s="990"/>
      <c r="M16" s="990"/>
      <c r="N16" s="990"/>
      <c r="O16" s="990"/>
    </row>
    <row r="17" spans="1:15" ht="54" customHeight="1" x14ac:dyDescent="0.25">
      <c r="A17" s="1757" t="s">
        <v>1487</v>
      </c>
      <c r="B17" s="1594" t="s">
        <v>1488</v>
      </c>
      <c r="C17" s="1505" t="s">
        <v>1489</v>
      </c>
      <c r="D17" s="1505" t="s">
        <v>1490</v>
      </c>
      <c r="E17" s="1528" t="s">
        <v>1491</v>
      </c>
      <c r="F17" s="1758" t="s">
        <v>1637</v>
      </c>
      <c r="G17" s="1529" t="s">
        <v>1493</v>
      </c>
      <c r="H17" s="962" t="s">
        <v>21</v>
      </c>
      <c r="I17" s="962" t="s">
        <v>1494</v>
      </c>
      <c r="J17" s="1006" t="s">
        <v>1495</v>
      </c>
      <c r="K17" s="990"/>
      <c r="L17" s="990"/>
      <c r="M17" s="990"/>
      <c r="N17" s="990"/>
      <c r="O17" s="990"/>
    </row>
    <row r="18" spans="1:15" x14ac:dyDescent="0.25">
      <c r="A18" s="1759" t="s">
        <v>1503</v>
      </c>
      <c r="B18" s="1760">
        <v>9.9580000000000002</v>
      </c>
      <c r="C18" s="1747">
        <v>43.002099999999999</v>
      </c>
      <c r="D18" s="1761">
        <f>10.1581*1000</f>
        <v>10158.099999999999</v>
      </c>
      <c r="E18" s="1762">
        <v>115.07954545454545</v>
      </c>
      <c r="F18" s="1763">
        <v>1.232</v>
      </c>
      <c r="G18" s="1764">
        <f>(B18*F18*0.264*(' QUICK OVERVIEW- Inputs&amp;Outputs'!H10+' QUICK OVERVIEW- Inputs&amp;Outputs'!L10))/1000</f>
        <v>45.272900297264641</v>
      </c>
      <c r="H18" s="1765">
        <f>(C18*F18*0.264*(' QUICK OVERVIEW- Inputs&amp;Outputs'!H10+' QUICK OVERVIEW- Inputs&amp;Outputs'!L10))/1000</f>
        <v>195.50409578961674</v>
      </c>
      <c r="I18" s="1766">
        <f>(D18*F18*0.264*(' QUICK OVERVIEW- Inputs&amp;Outputs'!H10+' QUICK OVERVIEW- Inputs&amp;Outputs'!L10))/1000</f>
        <v>46182.631904965237</v>
      </c>
      <c r="J18" s="1767">
        <f>(E18*F18*0.264*(' QUICK OVERVIEW- Inputs&amp;Outputs'!H10+' QUICK OVERVIEW- Inputs&amp;Outputs'!L10))/1000</f>
        <v>523.19590154831997</v>
      </c>
      <c r="K18" s="990"/>
      <c r="L18" s="990"/>
      <c r="M18" s="990"/>
      <c r="N18" s="990"/>
      <c r="O18" s="990"/>
    </row>
    <row r="19" spans="1:15" ht="16.5" thickBot="1" x14ac:dyDescent="0.3">
      <c r="A19" s="1768"/>
      <c r="B19" s="1768"/>
      <c r="C19" s="1769"/>
      <c r="D19" s="1769"/>
      <c r="E19" s="1712"/>
      <c r="F19" s="1756"/>
      <c r="G19" s="286"/>
      <c r="H19" s="286"/>
      <c r="I19" s="286"/>
      <c r="J19" s="1770"/>
      <c r="K19" s="990"/>
      <c r="L19" s="990"/>
      <c r="M19" s="990"/>
      <c r="N19" s="990"/>
      <c r="O19" s="990"/>
    </row>
    <row r="20" spans="1:15" ht="54" customHeight="1" x14ac:dyDescent="0.25">
      <c r="A20" s="3115" t="s">
        <v>1638</v>
      </c>
      <c r="B20" s="3116"/>
      <c r="C20" s="3116"/>
      <c r="D20" s="3116"/>
      <c r="E20" s="3116"/>
      <c r="F20" s="3116"/>
      <c r="G20" s="3116"/>
      <c r="H20" s="3116"/>
      <c r="I20" s="3117"/>
    </row>
    <row r="21" spans="1:15" ht="69.75" thickBot="1" x14ac:dyDescent="0.3">
      <c r="A21" s="597" t="s">
        <v>176</v>
      </c>
      <c r="B21" s="809" t="s">
        <v>177</v>
      </c>
      <c r="C21" s="806" t="s">
        <v>1639</v>
      </c>
      <c r="D21" s="806" t="s">
        <v>1640</v>
      </c>
      <c r="E21" s="806" t="s">
        <v>1641</v>
      </c>
      <c r="F21" s="806" t="s">
        <v>1642</v>
      </c>
      <c r="G21" s="806" t="s">
        <v>1643</v>
      </c>
      <c r="H21" s="806" t="s">
        <v>1644</v>
      </c>
      <c r="I21" s="432" t="s">
        <v>316</v>
      </c>
    </row>
    <row r="22" spans="1:15" x14ac:dyDescent="0.25">
      <c r="A22" s="2400" t="s">
        <v>1120</v>
      </c>
      <c r="B22" s="809">
        <v>2019</v>
      </c>
      <c r="C22" s="1771">
        <f t="shared" ref="C22:C53" si="0">$F$12</f>
        <v>5238240.9137577005</v>
      </c>
      <c r="D22" s="1771">
        <f t="shared" ref="D22:D53" si="1">$G$12</f>
        <v>9070050.0205338802</v>
      </c>
      <c r="E22" s="1771">
        <f t="shared" ref="E22:E53" si="2">$H$12</f>
        <v>28702.689938398358</v>
      </c>
      <c r="F22" s="1772">
        <f t="shared" ref="F22:F53" si="3">(C22/1000)+(D22/1000)+(E22/1000)</f>
        <v>14336.993624229979</v>
      </c>
      <c r="G22" s="809">
        <v>62</v>
      </c>
      <c r="H22" s="1773">
        <f t="shared" ref="H22:H53" si="4">F22*G22</f>
        <v>888893.60470225872</v>
      </c>
      <c r="I22" s="3118">
        <f>(SUM(H22:H72)*1.2682)</f>
        <v>79910660.506121904</v>
      </c>
    </row>
    <row r="23" spans="1:15" x14ac:dyDescent="0.25">
      <c r="A23" s="2400"/>
      <c r="B23" s="809">
        <v>2020</v>
      </c>
      <c r="C23" s="1771">
        <f t="shared" si="0"/>
        <v>5238240.9137577005</v>
      </c>
      <c r="D23" s="1771">
        <f t="shared" si="1"/>
        <v>9070050.0205338802</v>
      </c>
      <c r="E23" s="1771">
        <f t="shared" si="2"/>
        <v>28702.689938398358</v>
      </c>
      <c r="F23" s="1772">
        <f t="shared" si="3"/>
        <v>14336.993624229979</v>
      </c>
      <c r="G23" s="809">
        <v>64</v>
      </c>
      <c r="H23" s="1773">
        <f t="shared" si="4"/>
        <v>917567.59195071866</v>
      </c>
      <c r="I23" s="3118"/>
    </row>
    <row r="24" spans="1:15" x14ac:dyDescent="0.25">
      <c r="A24" s="2400"/>
      <c r="B24" s="809">
        <v>2021</v>
      </c>
      <c r="C24" s="1771">
        <f t="shared" si="0"/>
        <v>5238240.9137577005</v>
      </c>
      <c r="D24" s="1771">
        <f t="shared" si="1"/>
        <v>9070050.0205338802</v>
      </c>
      <c r="E24" s="1771">
        <f t="shared" si="2"/>
        <v>28702.689938398358</v>
      </c>
      <c r="F24" s="1772">
        <f t="shared" si="3"/>
        <v>14336.993624229979</v>
      </c>
      <c r="G24" s="809">
        <v>65</v>
      </c>
      <c r="H24" s="1773">
        <f t="shared" si="4"/>
        <v>931904.58557494869</v>
      </c>
      <c r="I24" s="3118"/>
    </row>
    <row r="25" spans="1:15" x14ac:dyDescent="0.25">
      <c r="A25" s="2400"/>
      <c r="B25" s="809">
        <v>2022</v>
      </c>
      <c r="C25" s="1771">
        <f t="shared" si="0"/>
        <v>5238240.9137577005</v>
      </c>
      <c r="D25" s="1771">
        <f t="shared" si="1"/>
        <v>9070050.0205338802</v>
      </c>
      <c r="E25" s="1771">
        <f t="shared" si="2"/>
        <v>28702.689938398358</v>
      </c>
      <c r="F25" s="1772">
        <f t="shared" si="3"/>
        <v>14336.993624229979</v>
      </c>
      <c r="G25" s="809">
        <v>66</v>
      </c>
      <c r="H25" s="1773">
        <f t="shared" si="4"/>
        <v>946241.57919917861</v>
      </c>
      <c r="I25" s="3118"/>
    </row>
    <row r="26" spans="1:15" x14ac:dyDescent="0.25">
      <c r="A26" s="2400"/>
      <c r="B26" s="809">
        <v>2023</v>
      </c>
      <c r="C26" s="1771">
        <f t="shared" si="0"/>
        <v>5238240.9137577005</v>
      </c>
      <c r="D26" s="1771">
        <f t="shared" si="1"/>
        <v>9070050.0205338802</v>
      </c>
      <c r="E26" s="1771">
        <f t="shared" si="2"/>
        <v>28702.689938398358</v>
      </c>
      <c r="F26" s="1772">
        <f t="shared" si="3"/>
        <v>14336.993624229979</v>
      </c>
      <c r="G26" s="809">
        <v>67</v>
      </c>
      <c r="H26" s="1773">
        <f t="shared" si="4"/>
        <v>960578.57282340864</v>
      </c>
      <c r="I26" s="3118"/>
    </row>
    <row r="27" spans="1:15" x14ac:dyDescent="0.25">
      <c r="A27" s="2400"/>
      <c r="B27" s="809">
        <v>2024</v>
      </c>
      <c r="C27" s="1771">
        <f t="shared" si="0"/>
        <v>5238240.9137577005</v>
      </c>
      <c r="D27" s="1771">
        <f t="shared" si="1"/>
        <v>9070050.0205338802</v>
      </c>
      <c r="E27" s="1771">
        <f t="shared" si="2"/>
        <v>28702.689938398358</v>
      </c>
      <c r="F27" s="1772">
        <f t="shared" si="3"/>
        <v>14336.993624229979</v>
      </c>
      <c r="G27" s="809">
        <v>68</v>
      </c>
      <c r="H27" s="1773">
        <f t="shared" si="4"/>
        <v>974915.56644763856</v>
      </c>
      <c r="I27" s="3118"/>
    </row>
    <row r="28" spans="1:15" x14ac:dyDescent="0.25">
      <c r="A28" s="2400"/>
      <c r="B28" s="809">
        <v>2025</v>
      </c>
      <c r="C28" s="1771">
        <f t="shared" si="0"/>
        <v>5238240.9137577005</v>
      </c>
      <c r="D28" s="1771">
        <f t="shared" si="1"/>
        <v>9070050.0205338802</v>
      </c>
      <c r="E28" s="1771">
        <f t="shared" si="2"/>
        <v>28702.689938398358</v>
      </c>
      <c r="F28" s="1772">
        <f t="shared" si="3"/>
        <v>14336.993624229979</v>
      </c>
      <c r="G28" s="809">
        <v>69</v>
      </c>
      <c r="H28" s="1773">
        <f t="shared" si="4"/>
        <v>989252.56007186859</v>
      </c>
      <c r="I28" s="3118"/>
    </row>
    <row r="29" spans="1:15" x14ac:dyDescent="0.25">
      <c r="A29" s="2400"/>
      <c r="B29" s="809">
        <v>2026</v>
      </c>
      <c r="C29" s="1771">
        <f t="shared" si="0"/>
        <v>5238240.9137577005</v>
      </c>
      <c r="D29" s="1771">
        <f t="shared" si="1"/>
        <v>9070050.0205338802</v>
      </c>
      <c r="E29" s="1771">
        <f t="shared" si="2"/>
        <v>28702.689938398358</v>
      </c>
      <c r="F29" s="1772">
        <f t="shared" si="3"/>
        <v>14336.993624229979</v>
      </c>
      <c r="G29" s="809">
        <v>70</v>
      </c>
      <c r="H29" s="1773">
        <f t="shared" si="4"/>
        <v>1003589.5536960985</v>
      </c>
      <c r="I29" s="3118"/>
    </row>
    <row r="30" spans="1:15" x14ac:dyDescent="0.25">
      <c r="A30" s="2400"/>
      <c r="B30" s="809">
        <v>2027</v>
      </c>
      <c r="C30" s="1771">
        <f t="shared" si="0"/>
        <v>5238240.9137577005</v>
      </c>
      <c r="D30" s="1771">
        <f t="shared" si="1"/>
        <v>9070050.0205338802</v>
      </c>
      <c r="E30" s="1771">
        <f t="shared" si="2"/>
        <v>28702.689938398358</v>
      </c>
      <c r="F30" s="1772">
        <f t="shared" si="3"/>
        <v>14336.993624229979</v>
      </c>
      <c r="G30" s="809">
        <v>71</v>
      </c>
      <c r="H30" s="1773">
        <f t="shared" si="4"/>
        <v>1017926.5473203285</v>
      </c>
      <c r="I30" s="3118"/>
    </row>
    <row r="31" spans="1:15" x14ac:dyDescent="0.25">
      <c r="A31" s="2400"/>
      <c r="B31" s="809">
        <v>2028</v>
      </c>
      <c r="C31" s="1771">
        <f t="shared" si="0"/>
        <v>5238240.9137577005</v>
      </c>
      <c r="D31" s="1771">
        <f t="shared" si="1"/>
        <v>9070050.0205338802</v>
      </c>
      <c r="E31" s="1771">
        <f t="shared" si="2"/>
        <v>28702.689938398358</v>
      </c>
      <c r="F31" s="1772">
        <f t="shared" si="3"/>
        <v>14336.993624229979</v>
      </c>
      <c r="G31" s="809">
        <v>72</v>
      </c>
      <c r="H31" s="1773">
        <f t="shared" si="4"/>
        <v>1032263.5409445585</v>
      </c>
      <c r="I31" s="3118"/>
    </row>
    <row r="32" spans="1:15" x14ac:dyDescent="0.25">
      <c r="A32" s="2400"/>
      <c r="B32" s="809">
        <v>2029</v>
      </c>
      <c r="C32" s="1771">
        <f t="shared" si="0"/>
        <v>5238240.9137577005</v>
      </c>
      <c r="D32" s="1771">
        <f t="shared" si="1"/>
        <v>9070050.0205338802</v>
      </c>
      <c r="E32" s="1771">
        <f t="shared" si="2"/>
        <v>28702.689938398358</v>
      </c>
      <c r="F32" s="1772">
        <f t="shared" si="3"/>
        <v>14336.993624229979</v>
      </c>
      <c r="G32" s="809">
        <v>73</v>
      </c>
      <c r="H32" s="1773">
        <f t="shared" si="4"/>
        <v>1046600.5345687885</v>
      </c>
      <c r="I32" s="3118"/>
    </row>
    <row r="33" spans="1:9" x14ac:dyDescent="0.25">
      <c r="A33" s="2400"/>
      <c r="B33" s="809">
        <v>2030</v>
      </c>
      <c r="C33" s="1771">
        <f t="shared" si="0"/>
        <v>5238240.9137577005</v>
      </c>
      <c r="D33" s="1771">
        <f t="shared" si="1"/>
        <v>9070050.0205338802</v>
      </c>
      <c r="E33" s="1771">
        <f t="shared" si="2"/>
        <v>28702.689938398358</v>
      </c>
      <c r="F33" s="1772">
        <f t="shared" si="3"/>
        <v>14336.993624229979</v>
      </c>
      <c r="G33" s="809">
        <v>75</v>
      </c>
      <c r="H33" s="1773">
        <f t="shared" si="4"/>
        <v>1075274.5218172485</v>
      </c>
      <c r="I33" s="3118"/>
    </row>
    <row r="34" spans="1:9" x14ac:dyDescent="0.25">
      <c r="A34" s="2400"/>
      <c r="B34" s="809">
        <v>2031</v>
      </c>
      <c r="C34" s="1771">
        <f t="shared" si="0"/>
        <v>5238240.9137577005</v>
      </c>
      <c r="D34" s="1771">
        <f t="shared" si="1"/>
        <v>9070050.0205338802</v>
      </c>
      <c r="E34" s="1771">
        <f t="shared" si="2"/>
        <v>28702.689938398358</v>
      </c>
      <c r="F34" s="1772">
        <f t="shared" si="3"/>
        <v>14336.993624229979</v>
      </c>
      <c r="G34" s="809">
        <v>76</v>
      </c>
      <c r="H34" s="1773">
        <f t="shared" si="4"/>
        <v>1089611.5154414785</v>
      </c>
      <c r="I34" s="3118"/>
    </row>
    <row r="35" spans="1:9" x14ac:dyDescent="0.25">
      <c r="A35" s="2400"/>
      <c r="B35" s="809">
        <v>2032</v>
      </c>
      <c r="C35" s="1771">
        <f t="shared" si="0"/>
        <v>5238240.9137577005</v>
      </c>
      <c r="D35" s="1771">
        <f t="shared" si="1"/>
        <v>9070050.0205338802</v>
      </c>
      <c r="E35" s="1771">
        <f t="shared" si="2"/>
        <v>28702.689938398358</v>
      </c>
      <c r="F35" s="1772">
        <f t="shared" si="3"/>
        <v>14336.993624229979</v>
      </c>
      <c r="G35" s="809">
        <v>77</v>
      </c>
      <c r="H35" s="1773">
        <f t="shared" si="4"/>
        <v>1103948.5090657084</v>
      </c>
      <c r="I35" s="3118"/>
    </row>
    <row r="36" spans="1:9" x14ac:dyDescent="0.25">
      <c r="A36" s="2400"/>
      <c r="B36" s="809">
        <v>2033</v>
      </c>
      <c r="C36" s="1771">
        <f t="shared" si="0"/>
        <v>5238240.9137577005</v>
      </c>
      <c r="D36" s="1771">
        <f t="shared" si="1"/>
        <v>9070050.0205338802</v>
      </c>
      <c r="E36" s="1771">
        <f t="shared" si="2"/>
        <v>28702.689938398358</v>
      </c>
      <c r="F36" s="1772">
        <f t="shared" si="3"/>
        <v>14336.993624229979</v>
      </c>
      <c r="G36" s="809">
        <v>78</v>
      </c>
      <c r="H36" s="1773">
        <f t="shared" si="4"/>
        <v>1118285.5026899383</v>
      </c>
      <c r="I36" s="3118"/>
    </row>
    <row r="37" spans="1:9" x14ac:dyDescent="0.25">
      <c r="A37" s="2400"/>
      <c r="B37" s="809">
        <v>2034</v>
      </c>
      <c r="C37" s="1771">
        <f t="shared" si="0"/>
        <v>5238240.9137577005</v>
      </c>
      <c r="D37" s="1771">
        <f t="shared" si="1"/>
        <v>9070050.0205338802</v>
      </c>
      <c r="E37" s="1771">
        <f t="shared" si="2"/>
        <v>28702.689938398358</v>
      </c>
      <c r="F37" s="1772">
        <f t="shared" si="3"/>
        <v>14336.993624229979</v>
      </c>
      <c r="G37" s="809">
        <v>79</v>
      </c>
      <c r="H37" s="1773">
        <f t="shared" si="4"/>
        <v>1132622.4963141684</v>
      </c>
      <c r="I37" s="3118"/>
    </row>
    <row r="38" spans="1:9" x14ac:dyDescent="0.25">
      <c r="A38" s="2400"/>
      <c r="B38" s="809">
        <v>2035</v>
      </c>
      <c r="C38" s="1771">
        <f t="shared" si="0"/>
        <v>5238240.9137577005</v>
      </c>
      <c r="D38" s="1771">
        <f t="shared" si="1"/>
        <v>9070050.0205338802</v>
      </c>
      <c r="E38" s="1771">
        <f t="shared" si="2"/>
        <v>28702.689938398358</v>
      </c>
      <c r="F38" s="1772">
        <f t="shared" si="3"/>
        <v>14336.993624229979</v>
      </c>
      <c r="G38" s="809">
        <v>80</v>
      </c>
      <c r="H38" s="1773">
        <f t="shared" si="4"/>
        <v>1146959.4899383984</v>
      </c>
      <c r="I38" s="3118"/>
    </row>
    <row r="39" spans="1:9" x14ac:dyDescent="0.25">
      <c r="A39" s="2400"/>
      <c r="B39" s="809">
        <v>2036</v>
      </c>
      <c r="C39" s="1771">
        <f t="shared" si="0"/>
        <v>5238240.9137577005</v>
      </c>
      <c r="D39" s="1771">
        <f t="shared" si="1"/>
        <v>9070050.0205338802</v>
      </c>
      <c r="E39" s="1771">
        <f t="shared" si="2"/>
        <v>28702.689938398358</v>
      </c>
      <c r="F39" s="1772">
        <f t="shared" si="3"/>
        <v>14336.993624229979</v>
      </c>
      <c r="G39" s="809">
        <v>81</v>
      </c>
      <c r="H39" s="1773">
        <f t="shared" si="4"/>
        <v>1161296.4835626283</v>
      </c>
      <c r="I39" s="3118"/>
    </row>
    <row r="40" spans="1:9" x14ac:dyDescent="0.25">
      <c r="A40" s="2400"/>
      <c r="B40" s="809">
        <v>2037</v>
      </c>
      <c r="C40" s="1771">
        <f t="shared" si="0"/>
        <v>5238240.9137577005</v>
      </c>
      <c r="D40" s="1771">
        <f t="shared" si="1"/>
        <v>9070050.0205338802</v>
      </c>
      <c r="E40" s="1771">
        <f t="shared" si="2"/>
        <v>28702.689938398358</v>
      </c>
      <c r="F40" s="1772">
        <f t="shared" si="3"/>
        <v>14336.993624229979</v>
      </c>
      <c r="G40" s="809">
        <v>83</v>
      </c>
      <c r="H40" s="1773">
        <f t="shared" si="4"/>
        <v>1189970.4708110883</v>
      </c>
      <c r="I40" s="3118"/>
    </row>
    <row r="41" spans="1:9" x14ac:dyDescent="0.25">
      <c r="A41" s="2400"/>
      <c r="B41" s="809">
        <v>2038</v>
      </c>
      <c r="C41" s="1771">
        <f t="shared" si="0"/>
        <v>5238240.9137577005</v>
      </c>
      <c r="D41" s="1771">
        <f t="shared" si="1"/>
        <v>9070050.0205338802</v>
      </c>
      <c r="E41" s="1771">
        <f t="shared" si="2"/>
        <v>28702.689938398358</v>
      </c>
      <c r="F41" s="1772">
        <f t="shared" si="3"/>
        <v>14336.993624229979</v>
      </c>
      <c r="G41" s="809">
        <v>84</v>
      </c>
      <c r="H41" s="1773">
        <f t="shared" si="4"/>
        <v>1204307.4644353183</v>
      </c>
      <c r="I41" s="3118"/>
    </row>
    <row r="42" spans="1:9" x14ac:dyDescent="0.25">
      <c r="A42" s="2400"/>
      <c r="B42" s="809">
        <v>2039</v>
      </c>
      <c r="C42" s="1771">
        <f t="shared" si="0"/>
        <v>5238240.9137577005</v>
      </c>
      <c r="D42" s="1771">
        <f t="shared" si="1"/>
        <v>9070050.0205338802</v>
      </c>
      <c r="E42" s="1771">
        <f t="shared" si="2"/>
        <v>28702.689938398358</v>
      </c>
      <c r="F42" s="1772">
        <f t="shared" si="3"/>
        <v>14336.993624229979</v>
      </c>
      <c r="G42" s="809">
        <v>85</v>
      </c>
      <c r="H42" s="1773">
        <f t="shared" si="4"/>
        <v>1218644.4580595482</v>
      </c>
      <c r="I42" s="3118"/>
    </row>
    <row r="43" spans="1:9" x14ac:dyDescent="0.25">
      <c r="A43" s="2400"/>
      <c r="B43" s="809">
        <v>2040</v>
      </c>
      <c r="C43" s="1771">
        <f t="shared" si="0"/>
        <v>5238240.9137577005</v>
      </c>
      <c r="D43" s="1771">
        <f t="shared" si="1"/>
        <v>9070050.0205338802</v>
      </c>
      <c r="E43" s="1771">
        <f t="shared" si="2"/>
        <v>28702.689938398358</v>
      </c>
      <c r="F43" s="1772">
        <f t="shared" si="3"/>
        <v>14336.993624229979</v>
      </c>
      <c r="G43" s="809">
        <v>86</v>
      </c>
      <c r="H43" s="1773">
        <f t="shared" si="4"/>
        <v>1232981.4516837783</v>
      </c>
      <c r="I43" s="3118"/>
    </row>
    <row r="44" spans="1:9" x14ac:dyDescent="0.25">
      <c r="A44" s="2400"/>
      <c r="B44" s="809">
        <v>2041</v>
      </c>
      <c r="C44" s="1771">
        <f t="shared" si="0"/>
        <v>5238240.9137577005</v>
      </c>
      <c r="D44" s="1771">
        <f t="shared" si="1"/>
        <v>9070050.0205338802</v>
      </c>
      <c r="E44" s="1771">
        <f t="shared" si="2"/>
        <v>28702.689938398358</v>
      </c>
      <c r="F44" s="1772">
        <f t="shared" si="3"/>
        <v>14336.993624229979</v>
      </c>
      <c r="G44" s="809">
        <v>87</v>
      </c>
      <c r="H44" s="1773">
        <f t="shared" si="4"/>
        <v>1247318.4453080082</v>
      </c>
      <c r="I44" s="3118"/>
    </row>
    <row r="45" spans="1:9" x14ac:dyDescent="0.25">
      <c r="A45" s="2400"/>
      <c r="B45" s="809">
        <v>2042</v>
      </c>
      <c r="C45" s="1771">
        <f t="shared" si="0"/>
        <v>5238240.9137577005</v>
      </c>
      <c r="D45" s="1771">
        <f t="shared" si="1"/>
        <v>9070050.0205338802</v>
      </c>
      <c r="E45" s="1771">
        <f t="shared" si="2"/>
        <v>28702.689938398358</v>
      </c>
      <c r="F45" s="1772">
        <f t="shared" si="3"/>
        <v>14336.993624229979</v>
      </c>
      <c r="G45" s="809">
        <v>88</v>
      </c>
      <c r="H45" s="1773">
        <f t="shared" si="4"/>
        <v>1261655.4389322381</v>
      </c>
      <c r="I45" s="3118"/>
    </row>
    <row r="46" spans="1:9" x14ac:dyDescent="0.25">
      <c r="A46" s="2400"/>
      <c r="B46" s="809">
        <v>2043</v>
      </c>
      <c r="C46" s="1771">
        <f t="shared" si="0"/>
        <v>5238240.9137577005</v>
      </c>
      <c r="D46" s="1771">
        <f t="shared" si="1"/>
        <v>9070050.0205338802</v>
      </c>
      <c r="E46" s="1771">
        <f t="shared" si="2"/>
        <v>28702.689938398358</v>
      </c>
      <c r="F46" s="1772">
        <f t="shared" si="3"/>
        <v>14336.993624229979</v>
      </c>
      <c r="G46" s="809">
        <v>89</v>
      </c>
      <c r="H46" s="1773">
        <f t="shared" si="4"/>
        <v>1275992.4325564681</v>
      </c>
      <c r="I46" s="3118"/>
    </row>
    <row r="47" spans="1:9" x14ac:dyDescent="0.25">
      <c r="A47" s="2400"/>
      <c r="B47" s="809">
        <v>2044</v>
      </c>
      <c r="C47" s="1771">
        <f t="shared" si="0"/>
        <v>5238240.9137577005</v>
      </c>
      <c r="D47" s="1771">
        <f t="shared" si="1"/>
        <v>9070050.0205338802</v>
      </c>
      <c r="E47" s="1771">
        <f t="shared" si="2"/>
        <v>28702.689938398358</v>
      </c>
      <c r="F47" s="1772">
        <f t="shared" si="3"/>
        <v>14336.993624229979</v>
      </c>
      <c r="G47" s="809">
        <v>90</v>
      </c>
      <c r="H47" s="1773">
        <f t="shared" si="4"/>
        <v>1290329.4261806982</v>
      </c>
      <c r="I47" s="3118"/>
    </row>
    <row r="48" spans="1:9" x14ac:dyDescent="0.25">
      <c r="A48" s="2400"/>
      <c r="B48" s="809">
        <v>2045</v>
      </c>
      <c r="C48" s="1771">
        <f t="shared" si="0"/>
        <v>5238240.9137577005</v>
      </c>
      <c r="D48" s="1771">
        <f t="shared" si="1"/>
        <v>9070050.0205338802</v>
      </c>
      <c r="E48" s="1771">
        <f t="shared" si="2"/>
        <v>28702.689938398358</v>
      </c>
      <c r="F48" s="1772">
        <f t="shared" si="3"/>
        <v>14336.993624229979</v>
      </c>
      <c r="G48" s="809">
        <v>92</v>
      </c>
      <c r="H48" s="1773">
        <f t="shared" si="4"/>
        <v>1319003.413429158</v>
      </c>
      <c r="I48" s="3118"/>
    </row>
    <row r="49" spans="1:9" x14ac:dyDescent="0.25">
      <c r="A49" s="2400"/>
      <c r="B49" s="809">
        <v>2046</v>
      </c>
      <c r="C49" s="1771">
        <f t="shared" si="0"/>
        <v>5238240.9137577005</v>
      </c>
      <c r="D49" s="1771">
        <f t="shared" si="1"/>
        <v>9070050.0205338802</v>
      </c>
      <c r="E49" s="1771">
        <f t="shared" si="2"/>
        <v>28702.689938398358</v>
      </c>
      <c r="F49" s="1772">
        <f t="shared" si="3"/>
        <v>14336.993624229979</v>
      </c>
      <c r="G49" s="809">
        <v>93</v>
      </c>
      <c r="H49" s="1773">
        <f t="shared" si="4"/>
        <v>1333340.407053388</v>
      </c>
      <c r="I49" s="3118"/>
    </row>
    <row r="50" spans="1:9" x14ac:dyDescent="0.25">
      <c r="A50" s="2400"/>
      <c r="B50" s="809">
        <v>2047</v>
      </c>
      <c r="C50" s="1771">
        <f t="shared" si="0"/>
        <v>5238240.9137577005</v>
      </c>
      <c r="D50" s="1771">
        <f t="shared" si="1"/>
        <v>9070050.0205338802</v>
      </c>
      <c r="E50" s="1771">
        <f t="shared" si="2"/>
        <v>28702.689938398358</v>
      </c>
      <c r="F50" s="1772">
        <f t="shared" si="3"/>
        <v>14336.993624229979</v>
      </c>
      <c r="G50" s="809">
        <v>94</v>
      </c>
      <c r="H50" s="1773">
        <f t="shared" si="4"/>
        <v>1347677.4006776181</v>
      </c>
      <c r="I50" s="3118"/>
    </row>
    <row r="51" spans="1:9" x14ac:dyDescent="0.25">
      <c r="A51" s="2400"/>
      <c r="B51" s="809">
        <v>2048</v>
      </c>
      <c r="C51" s="1771">
        <f t="shared" si="0"/>
        <v>5238240.9137577005</v>
      </c>
      <c r="D51" s="1771">
        <f t="shared" si="1"/>
        <v>9070050.0205338802</v>
      </c>
      <c r="E51" s="1771">
        <f t="shared" si="2"/>
        <v>28702.689938398358</v>
      </c>
      <c r="F51" s="1772">
        <f t="shared" si="3"/>
        <v>14336.993624229979</v>
      </c>
      <c r="G51" s="809">
        <v>95</v>
      </c>
      <c r="H51" s="1773">
        <f t="shared" si="4"/>
        <v>1362014.394301848</v>
      </c>
      <c r="I51" s="3118"/>
    </row>
    <row r="52" spans="1:9" x14ac:dyDescent="0.25">
      <c r="A52" s="2400"/>
      <c r="B52" s="809">
        <v>2049</v>
      </c>
      <c r="C52" s="1771">
        <f t="shared" si="0"/>
        <v>5238240.9137577005</v>
      </c>
      <c r="D52" s="1771">
        <f t="shared" si="1"/>
        <v>9070050.0205338802</v>
      </c>
      <c r="E52" s="1771">
        <f t="shared" si="2"/>
        <v>28702.689938398358</v>
      </c>
      <c r="F52" s="1772">
        <f t="shared" si="3"/>
        <v>14336.993624229979</v>
      </c>
      <c r="G52" s="809">
        <v>96</v>
      </c>
      <c r="H52" s="1773">
        <f t="shared" si="4"/>
        <v>1376351.3879260779</v>
      </c>
      <c r="I52" s="3118"/>
    </row>
    <row r="53" spans="1:9" x14ac:dyDescent="0.25">
      <c r="A53" s="2400"/>
      <c r="B53" s="809">
        <v>2050</v>
      </c>
      <c r="C53" s="1771">
        <f t="shared" si="0"/>
        <v>5238240.9137577005</v>
      </c>
      <c r="D53" s="1771">
        <f t="shared" si="1"/>
        <v>9070050.0205338802</v>
      </c>
      <c r="E53" s="1771">
        <f t="shared" si="2"/>
        <v>28702.689938398358</v>
      </c>
      <c r="F53" s="1772">
        <f t="shared" si="3"/>
        <v>14336.993624229979</v>
      </c>
      <c r="G53" s="809">
        <v>97</v>
      </c>
      <c r="H53" s="1773">
        <f t="shared" si="4"/>
        <v>1390688.3815503081</v>
      </c>
      <c r="I53" s="3118"/>
    </row>
    <row r="54" spans="1:9" x14ac:dyDescent="0.25">
      <c r="A54" s="2400"/>
      <c r="B54" s="809">
        <v>2051</v>
      </c>
      <c r="C54" s="1771">
        <f t="shared" ref="C54:C72" si="5">$F$12</f>
        <v>5238240.9137577005</v>
      </c>
      <c r="D54" s="1771">
        <f t="shared" ref="D54:D72" si="6">$G$12</f>
        <v>9070050.0205338802</v>
      </c>
      <c r="E54" s="1771">
        <f t="shared" ref="E54:E72" si="7">$H$12</f>
        <v>28702.689938398358</v>
      </c>
      <c r="F54" s="1772">
        <f t="shared" ref="F54:F72" si="8">(C54/1000)+(D54/1000)+(E54/1000)</f>
        <v>14336.993624229979</v>
      </c>
      <c r="G54" s="809">
        <v>97</v>
      </c>
      <c r="H54" s="1773">
        <f t="shared" ref="H54:H72" si="9">F54*G54</f>
        <v>1390688.3815503081</v>
      </c>
      <c r="I54" s="3118"/>
    </row>
    <row r="55" spans="1:9" x14ac:dyDescent="0.25">
      <c r="A55" s="2400"/>
      <c r="B55" s="809">
        <v>2052</v>
      </c>
      <c r="C55" s="1771">
        <f t="shared" si="5"/>
        <v>5238240.9137577005</v>
      </c>
      <c r="D55" s="1771">
        <f t="shared" si="6"/>
        <v>9070050.0205338802</v>
      </c>
      <c r="E55" s="1771">
        <f t="shared" si="7"/>
        <v>28702.689938398358</v>
      </c>
      <c r="F55" s="1772">
        <f t="shared" si="8"/>
        <v>14336.993624229979</v>
      </c>
      <c r="G55" s="809">
        <v>97</v>
      </c>
      <c r="H55" s="1773">
        <f t="shared" si="9"/>
        <v>1390688.3815503081</v>
      </c>
      <c r="I55" s="3118"/>
    </row>
    <row r="56" spans="1:9" x14ac:dyDescent="0.25">
      <c r="A56" s="2400"/>
      <c r="B56" s="809">
        <v>2053</v>
      </c>
      <c r="C56" s="1771">
        <f t="shared" si="5"/>
        <v>5238240.9137577005</v>
      </c>
      <c r="D56" s="1771">
        <f t="shared" si="6"/>
        <v>9070050.0205338802</v>
      </c>
      <c r="E56" s="1771">
        <f t="shared" si="7"/>
        <v>28702.689938398358</v>
      </c>
      <c r="F56" s="1772">
        <f t="shared" si="8"/>
        <v>14336.993624229979</v>
      </c>
      <c r="G56" s="809">
        <v>97</v>
      </c>
      <c r="H56" s="1773">
        <f t="shared" si="9"/>
        <v>1390688.3815503081</v>
      </c>
      <c r="I56" s="3118"/>
    </row>
    <row r="57" spans="1:9" x14ac:dyDescent="0.25">
      <c r="A57" s="2400"/>
      <c r="B57" s="809">
        <v>2054</v>
      </c>
      <c r="C57" s="1771">
        <f t="shared" si="5"/>
        <v>5238240.9137577005</v>
      </c>
      <c r="D57" s="1771">
        <f t="shared" si="6"/>
        <v>9070050.0205338802</v>
      </c>
      <c r="E57" s="1771">
        <f t="shared" si="7"/>
        <v>28702.689938398358</v>
      </c>
      <c r="F57" s="1772">
        <f t="shared" si="8"/>
        <v>14336.993624229979</v>
      </c>
      <c r="G57" s="809">
        <v>97</v>
      </c>
      <c r="H57" s="1773">
        <f t="shared" si="9"/>
        <v>1390688.3815503081</v>
      </c>
      <c r="I57" s="3118"/>
    </row>
    <row r="58" spans="1:9" x14ac:dyDescent="0.25">
      <c r="A58" s="2400"/>
      <c r="B58" s="809">
        <v>2055</v>
      </c>
      <c r="C58" s="1771">
        <f t="shared" si="5"/>
        <v>5238240.9137577005</v>
      </c>
      <c r="D58" s="1771">
        <f t="shared" si="6"/>
        <v>9070050.0205338802</v>
      </c>
      <c r="E58" s="1771">
        <f t="shared" si="7"/>
        <v>28702.689938398358</v>
      </c>
      <c r="F58" s="1772">
        <f t="shared" si="8"/>
        <v>14336.993624229979</v>
      </c>
      <c r="G58" s="809">
        <v>97</v>
      </c>
      <c r="H58" s="1773">
        <f t="shared" si="9"/>
        <v>1390688.3815503081</v>
      </c>
      <c r="I58" s="3118"/>
    </row>
    <row r="59" spans="1:9" x14ac:dyDescent="0.25">
      <c r="A59" s="2400"/>
      <c r="B59" s="809">
        <v>2056</v>
      </c>
      <c r="C59" s="1771">
        <f t="shared" si="5"/>
        <v>5238240.9137577005</v>
      </c>
      <c r="D59" s="1771">
        <f t="shared" si="6"/>
        <v>9070050.0205338802</v>
      </c>
      <c r="E59" s="1771">
        <f t="shared" si="7"/>
        <v>28702.689938398358</v>
      </c>
      <c r="F59" s="1772">
        <f t="shared" si="8"/>
        <v>14336.993624229979</v>
      </c>
      <c r="G59" s="809">
        <v>97</v>
      </c>
      <c r="H59" s="1773">
        <f t="shared" si="9"/>
        <v>1390688.3815503081</v>
      </c>
      <c r="I59" s="3118"/>
    </row>
    <row r="60" spans="1:9" x14ac:dyDescent="0.25">
      <c r="A60" s="2400"/>
      <c r="B60" s="809">
        <v>2057</v>
      </c>
      <c r="C60" s="1771">
        <f t="shared" si="5"/>
        <v>5238240.9137577005</v>
      </c>
      <c r="D60" s="1771">
        <f t="shared" si="6"/>
        <v>9070050.0205338802</v>
      </c>
      <c r="E60" s="1771">
        <f t="shared" si="7"/>
        <v>28702.689938398358</v>
      </c>
      <c r="F60" s="1772">
        <f t="shared" si="8"/>
        <v>14336.993624229979</v>
      </c>
      <c r="G60" s="809">
        <v>97</v>
      </c>
      <c r="H60" s="1773">
        <f t="shared" si="9"/>
        <v>1390688.3815503081</v>
      </c>
      <c r="I60" s="3118"/>
    </row>
    <row r="61" spans="1:9" x14ac:dyDescent="0.25">
      <c r="A61" s="2400"/>
      <c r="B61" s="809">
        <v>2058</v>
      </c>
      <c r="C61" s="1771">
        <f t="shared" si="5"/>
        <v>5238240.9137577005</v>
      </c>
      <c r="D61" s="1771">
        <f t="shared" si="6"/>
        <v>9070050.0205338802</v>
      </c>
      <c r="E61" s="1771">
        <f t="shared" si="7"/>
        <v>28702.689938398358</v>
      </c>
      <c r="F61" s="1772">
        <f t="shared" si="8"/>
        <v>14336.993624229979</v>
      </c>
      <c r="G61" s="809">
        <v>97</v>
      </c>
      <c r="H61" s="1773">
        <f t="shared" si="9"/>
        <v>1390688.3815503081</v>
      </c>
      <c r="I61" s="3118"/>
    </row>
    <row r="62" spans="1:9" x14ac:dyDescent="0.25">
      <c r="A62" s="2400"/>
      <c r="B62" s="809">
        <v>2059</v>
      </c>
      <c r="C62" s="1771">
        <f t="shared" si="5"/>
        <v>5238240.9137577005</v>
      </c>
      <c r="D62" s="1771">
        <f t="shared" si="6"/>
        <v>9070050.0205338802</v>
      </c>
      <c r="E62" s="1771">
        <f t="shared" si="7"/>
        <v>28702.689938398358</v>
      </c>
      <c r="F62" s="1772">
        <f t="shared" si="8"/>
        <v>14336.993624229979</v>
      </c>
      <c r="G62" s="809">
        <v>97</v>
      </c>
      <c r="H62" s="1773">
        <f t="shared" si="9"/>
        <v>1390688.3815503081</v>
      </c>
      <c r="I62" s="3118"/>
    </row>
    <row r="63" spans="1:9" x14ac:dyDescent="0.25">
      <c r="A63" s="2400"/>
      <c r="B63" s="809">
        <v>2060</v>
      </c>
      <c r="C63" s="1771">
        <f t="shared" si="5"/>
        <v>5238240.9137577005</v>
      </c>
      <c r="D63" s="1771">
        <f t="shared" si="6"/>
        <v>9070050.0205338802</v>
      </c>
      <c r="E63" s="1771">
        <f t="shared" si="7"/>
        <v>28702.689938398358</v>
      </c>
      <c r="F63" s="1772">
        <f t="shared" si="8"/>
        <v>14336.993624229979</v>
      </c>
      <c r="G63" s="809">
        <v>97</v>
      </c>
      <c r="H63" s="1773">
        <f t="shared" si="9"/>
        <v>1390688.3815503081</v>
      </c>
      <c r="I63" s="3118"/>
    </row>
    <row r="64" spans="1:9" x14ac:dyDescent="0.25">
      <c r="A64" s="2400"/>
      <c r="B64" s="809">
        <v>2061</v>
      </c>
      <c r="C64" s="1771">
        <f t="shared" si="5"/>
        <v>5238240.9137577005</v>
      </c>
      <c r="D64" s="1771">
        <f t="shared" si="6"/>
        <v>9070050.0205338802</v>
      </c>
      <c r="E64" s="1771">
        <f t="shared" si="7"/>
        <v>28702.689938398358</v>
      </c>
      <c r="F64" s="1772">
        <f t="shared" si="8"/>
        <v>14336.993624229979</v>
      </c>
      <c r="G64" s="809">
        <v>97</v>
      </c>
      <c r="H64" s="1773">
        <f t="shared" si="9"/>
        <v>1390688.3815503081</v>
      </c>
      <c r="I64" s="3118"/>
    </row>
    <row r="65" spans="1:19" x14ac:dyDescent="0.25">
      <c r="A65" s="2400"/>
      <c r="B65" s="809">
        <v>2062</v>
      </c>
      <c r="C65" s="1771">
        <f t="shared" si="5"/>
        <v>5238240.9137577005</v>
      </c>
      <c r="D65" s="1771">
        <f t="shared" si="6"/>
        <v>9070050.0205338802</v>
      </c>
      <c r="E65" s="1771">
        <f t="shared" si="7"/>
        <v>28702.689938398358</v>
      </c>
      <c r="F65" s="1772">
        <f t="shared" si="8"/>
        <v>14336.993624229979</v>
      </c>
      <c r="G65" s="809">
        <v>97</v>
      </c>
      <c r="H65" s="1773">
        <f t="shared" si="9"/>
        <v>1390688.3815503081</v>
      </c>
      <c r="I65" s="3118"/>
    </row>
    <row r="66" spans="1:19" x14ac:dyDescent="0.25">
      <c r="A66" s="2400"/>
      <c r="B66" s="809">
        <v>2063</v>
      </c>
      <c r="C66" s="1771">
        <f t="shared" si="5"/>
        <v>5238240.9137577005</v>
      </c>
      <c r="D66" s="1771">
        <f t="shared" si="6"/>
        <v>9070050.0205338802</v>
      </c>
      <c r="E66" s="1771">
        <f t="shared" si="7"/>
        <v>28702.689938398358</v>
      </c>
      <c r="F66" s="1772">
        <f t="shared" si="8"/>
        <v>14336.993624229979</v>
      </c>
      <c r="G66" s="809">
        <v>97</v>
      </c>
      <c r="H66" s="1773">
        <f t="shared" si="9"/>
        <v>1390688.3815503081</v>
      </c>
      <c r="I66" s="3118"/>
    </row>
    <row r="67" spans="1:19" x14ac:dyDescent="0.25">
      <c r="A67" s="2400"/>
      <c r="B67" s="809">
        <v>2064</v>
      </c>
      <c r="C67" s="1771">
        <f t="shared" si="5"/>
        <v>5238240.9137577005</v>
      </c>
      <c r="D67" s="1771">
        <f t="shared" si="6"/>
        <v>9070050.0205338802</v>
      </c>
      <c r="E67" s="1771">
        <f t="shared" si="7"/>
        <v>28702.689938398358</v>
      </c>
      <c r="F67" s="1772">
        <f t="shared" si="8"/>
        <v>14336.993624229979</v>
      </c>
      <c r="G67" s="809">
        <v>97</v>
      </c>
      <c r="H67" s="1773">
        <f t="shared" si="9"/>
        <v>1390688.3815503081</v>
      </c>
      <c r="I67" s="3118"/>
    </row>
    <row r="68" spans="1:19" x14ac:dyDescent="0.25">
      <c r="A68" s="2400"/>
      <c r="B68" s="809">
        <v>2065</v>
      </c>
      <c r="C68" s="1771">
        <f t="shared" si="5"/>
        <v>5238240.9137577005</v>
      </c>
      <c r="D68" s="1771">
        <f t="shared" si="6"/>
        <v>9070050.0205338802</v>
      </c>
      <c r="E68" s="1771">
        <f t="shared" si="7"/>
        <v>28702.689938398358</v>
      </c>
      <c r="F68" s="1772">
        <f t="shared" si="8"/>
        <v>14336.993624229979</v>
      </c>
      <c r="G68" s="809">
        <v>97</v>
      </c>
      <c r="H68" s="1773">
        <f t="shared" si="9"/>
        <v>1390688.3815503081</v>
      </c>
      <c r="I68" s="3118"/>
    </row>
    <row r="69" spans="1:19" x14ac:dyDescent="0.25">
      <c r="A69" s="2400"/>
      <c r="B69" s="809">
        <v>2066</v>
      </c>
      <c r="C69" s="1771">
        <f t="shared" si="5"/>
        <v>5238240.9137577005</v>
      </c>
      <c r="D69" s="1771">
        <f t="shared" si="6"/>
        <v>9070050.0205338802</v>
      </c>
      <c r="E69" s="1771">
        <f t="shared" si="7"/>
        <v>28702.689938398358</v>
      </c>
      <c r="F69" s="1772">
        <f t="shared" si="8"/>
        <v>14336.993624229979</v>
      </c>
      <c r="G69" s="809">
        <v>97</v>
      </c>
      <c r="H69" s="1773">
        <f t="shared" si="9"/>
        <v>1390688.3815503081</v>
      </c>
      <c r="I69" s="3118"/>
    </row>
    <row r="70" spans="1:19" ht="16.5" customHeight="1" x14ac:dyDescent="0.25">
      <c r="A70" s="2400"/>
      <c r="B70" s="809">
        <v>2067</v>
      </c>
      <c r="C70" s="1771">
        <f t="shared" si="5"/>
        <v>5238240.9137577005</v>
      </c>
      <c r="D70" s="1771">
        <f t="shared" si="6"/>
        <v>9070050.0205338802</v>
      </c>
      <c r="E70" s="1771">
        <f t="shared" si="7"/>
        <v>28702.689938398358</v>
      </c>
      <c r="F70" s="1772">
        <f t="shared" si="8"/>
        <v>14336.993624229979</v>
      </c>
      <c r="G70" s="809">
        <v>97</v>
      </c>
      <c r="H70" s="1773">
        <f t="shared" si="9"/>
        <v>1390688.3815503081</v>
      </c>
      <c r="I70" s="3118"/>
    </row>
    <row r="71" spans="1:19" ht="17.25" customHeight="1" x14ac:dyDescent="0.25">
      <c r="A71" s="2400"/>
      <c r="B71" s="809">
        <v>2068</v>
      </c>
      <c r="C71" s="1771">
        <f t="shared" si="5"/>
        <v>5238240.9137577005</v>
      </c>
      <c r="D71" s="1771">
        <f t="shared" si="6"/>
        <v>9070050.0205338802</v>
      </c>
      <c r="E71" s="1771">
        <f t="shared" si="7"/>
        <v>28702.689938398358</v>
      </c>
      <c r="F71" s="1772">
        <f t="shared" si="8"/>
        <v>14336.993624229979</v>
      </c>
      <c r="G71" s="809">
        <v>97</v>
      </c>
      <c r="H71" s="1773">
        <f t="shared" si="9"/>
        <v>1390688.3815503081</v>
      </c>
      <c r="I71" s="3118"/>
    </row>
    <row r="72" spans="1:19" ht="16.5" thickBot="1" x14ac:dyDescent="0.3">
      <c r="A72" s="2401"/>
      <c r="B72" s="620">
        <v>2069</v>
      </c>
      <c r="C72" s="1774">
        <f t="shared" si="5"/>
        <v>5238240.9137577005</v>
      </c>
      <c r="D72" s="1774">
        <f t="shared" si="6"/>
        <v>9070050.0205338802</v>
      </c>
      <c r="E72" s="1774">
        <f t="shared" si="7"/>
        <v>28702.689938398358</v>
      </c>
      <c r="F72" s="1775">
        <f t="shared" si="8"/>
        <v>14336.993624229979</v>
      </c>
      <c r="G72" s="620">
        <v>97</v>
      </c>
      <c r="H72" s="1776">
        <f t="shared" si="9"/>
        <v>1390688.3815503081</v>
      </c>
      <c r="I72" s="3119"/>
    </row>
    <row r="73" spans="1:19" ht="16.5" thickBot="1" x14ac:dyDescent="0.3"/>
    <row r="74" spans="1:19" ht="57" customHeight="1" thickBot="1" x14ac:dyDescent="0.3">
      <c r="A74" s="3120" t="s">
        <v>1805</v>
      </c>
      <c r="B74" s="3121"/>
      <c r="C74" s="3121"/>
      <c r="D74" s="3121"/>
      <c r="E74" s="3121"/>
      <c r="F74" s="3121"/>
      <c r="G74" s="3121"/>
      <c r="H74" s="3121"/>
      <c r="I74" s="3121"/>
      <c r="J74" s="3121"/>
      <c r="K74" s="3121"/>
      <c r="L74" s="3121"/>
      <c r="M74" s="3121"/>
      <c r="N74" s="3121"/>
      <c r="O74" s="3121"/>
      <c r="P74" s="3122"/>
      <c r="Q74" s="250"/>
      <c r="R74" s="250"/>
      <c r="S74" s="250"/>
    </row>
    <row r="75" spans="1:19" ht="95.25" thickBot="1" x14ac:dyDescent="0.3">
      <c r="A75" s="1777" t="s">
        <v>28</v>
      </c>
      <c r="B75" s="1778" t="s">
        <v>177</v>
      </c>
      <c r="C75" s="1779" t="s">
        <v>1645</v>
      </c>
      <c r="D75" s="1779" t="s">
        <v>1102</v>
      </c>
      <c r="E75" s="1779" t="s">
        <v>1247</v>
      </c>
      <c r="F75" s="1779" t="s">
        <v>1496</v>
      </c>
      <c r="G75" s="1779" t="s">
        <v>1646</v>
      </c>
      <c r="H75" s="1779" t="s">
        <v>1643</v>
      </c>
      <c r="I75" s="1779" t="s">
        <v>288</v>
      </c>
      <c r="J75" s="1779" t="s">
        <v>273</v>
      </c>
      <c r="K75" s="1779" t="s">
        <v>1497</v>
      </c>
      <c r="L75" s="1779" t="s">
        <v>1647</v>
      </c>
      <c r="M75" s="1779" t="s">
        <v>315</v>
      </c>
      <c r="N75" s="1779" t="s">
        <v>271</v>
      </c>
      <c r="O75" s="1779" t="s">
        <v>1498</v>
      </c>
      <c r="P75" s="1780" t="s">
        <v>316</v>
      </c>
      <c r="Q75" s="1781"/>
      <c r="R75" s="275"/>
      <c r="S75" s="1781"/>
    </row>
    <row r="76" spans="1:19" x14ac:dyDescent="0.25">
      <c r="A76" s="3123" t="s">
        <v>1492</v>
      </c>
      <c r="B76" s="619">
        <v>2019</v>
      </c>
      <c r="C76" s="1782">
        <f>$I$18</f>
        <v>46182.631904965237</v>
      </c>
      <c r="D76" s="1782">
        <f>$H$18</f>
        <v>195.50409578961674</v>
      </c>
      <c r="E76" s="1783">
        <f>$J$18</f>
        <v>523.19590154831997</v>
      </c>
      <c r="F76" s="1783">
        <f>$G$18</f>
        <v>45.272900297264641</v>
      </c>
      <c r="G76" s="1784">
        <f t="shared" ref="G76:G107" si="10">(C76/1000)</f>
        <v>46.182631904965234</v>
      </c>
      <c r="H76" s="1785">
        <v>62</v>
      </c>
      <c r="I76" s="1786">
        <f>0.0584*1.02</f>
        <v>5.9568000000000003E-2</v>
      </c>
      <c r="J76" s="1787">
        <f>16.43*1.02</f>
        <v>16.758600000000001</v>
      </c>
      <c r="K76" s="1785">
        <f>1.27*1.02</f>
        <v>1.2954000000000001</v>
      </c>
      <c r="L76" s="1788">
        <f>G76*H76</f>
        <v>2863.3231781078443</v>
      </c>
      <c r="M76" s="1785">
        <f>I76*D76</f>
        <v>11.645787977995891</v>
      </c>
      <c r="N76" s="1788">
        <f t="shared" ref="N76:N107" si="11">E76*J76</f>
        <v>8768.0308356876758</v>
      </c>
      <c r="O76" s="1788">
        <f t="shared" ref="O76:O107" si="12">F76*K76</f>
        <v>58.646515045076619</v>
      </c>
      <c r="P76" s="3126">
        <f>(SUM(L76:L126)*1.2682)+(SUM(M76:M126))+(SUM(N76:N126))+(SUM(O76:O126))</f>
        <v>543980.19069165085</v>
      </c>
      <c r="Q76" s="1781"/>
      <c r="R76" s="1789"/>
      <c r="S76" s="1781"/>
    </row>
    <row r="77" spans="1:19" x14ac:dyDescent="0.25">
      <c r="A77" s="3124"/>
      <c r="B77" s="809">
        <v>2020</v>
      </c>
      <c r="C77" s="1790">
        <f t="shared" ref="C77:C126" si="13">$I$18</f>
        <v>46182.631904965237</v>
      </c>
      <c r="D77" s="1790">
        <f t="shared" ref="D77:D126" si="14">$H$18</f>
        <v>195.50409578961674</v>
      </c>
      <c r="E77" s="1791">
        <f t="shared" ref="E77:E126" si="15">$J$18</f>
        <v>523.19590154831997</v>
      </c>
      <c r="F77" s="1791">
        <f t="shared" ref="F77:F126" si="16">$G$18</f>
        <v>45.272900297264641</v>
      </c>
      <c r="G77" s="1792">
        <f t="shared" si="10"/>
        <v>46.182631904965234</v>
      </c>
      <c r="H77" s="1793">
        <v>64</v>
      </c>
      <c r="I77" s="1794">
        <f>(0.0584*1.02)*0.9804</f>
        <v>5.8400467200000007E-2</v>
      </c>
      <c r="J77" s="1795">
        <f>(16.43*1.02)*0.9804</f>
        <v>16.430131440000004</v>
      </c>
      <c r="K77" s="1793">
        <f>(1.27*1.02)*0.9804</f>
        <v>1.2700101600000002</v>
      </c>
      <c r="L77" s="1796">
        <f>G77*H77</f>
        <v>2955.688441917775</v>
      </c>
      <c r="M77" s="1793">
        <f>I77*D77</f>
        <v>11.417530533627172</v>
      </c>
      <c r="N77" s="1796">
        <f t="shared" si="11"/>
        <v>8596.1774313081987</v>
      </c>
      <c r="O77" s="1796">
        <f t="shared" si="12"/>
        <v>57.497043350193124</v>
      </c>
      <c r="P77" s="3118"/>
      <c r="Q77" s="1781"/>
      <c r="R77" s="1789"/>
      <c r="S77" s="1781"/>
    </row>
    <row r="78" spans="1:19" x14ac:dyDescent="0.25">
      <c r="A78" s="3124"/>
      <c r="B78" s="809">
        <v>2021</v>
      </c>
      <c r="C78" s="1790">
        <f t="shared" si="13"/>
        <v>46182.631904965237</v>
      </c>
      <c r="D78" s="1790">
        <f t="shared" si="14"/>
        <v>195.50409578961674</v>
      </c>
      <c r="E78" s="1791">
        <f t="shared" si="15"/>
        <v>523.19590154831997</v>
      </c>
      <c r="F78" s="1791">
        <f t="shared" si="16"/>
        <v>45.272900297264641</v>
      </c>
      <c r="G78" s="1792">
        <f t="shared" si="10"/>
        <v>46.182631904965234</v>
      </c>
      <c r="H78" s="1793">
        <v>65</v>
      </c>
      <c r="I78" s="1794">
        <f>(0.0584*1.02)*0.9612</f>
        <v>5.7256761600000004E-2</v>
      </c>
      <c r="J78" s="1795">
        <f>(16.43*1.02)*0.9612</f>
        <v>16.108366320000002</v>
      </c>
      <c r="K78" s="1793">
        <f>(1.27*1.02)*0.9612</f>
        <v>1.2451384800000003</v>
      </c>
      <c r="L78" s="1796">
        <f>G78*H78</f>
        <v>3001.8710738227401</v>
      </c>
      <c r="M78" s="1793">
        <f t="shared" ref="M78:M126" si="17">I78*D78</f>
        <v>11.19393140444965</v>
      </c>
      <c r="N78" s="1796">
        <f t="shared" si="11"/>
        <v>8427.8312392629941</v>
      </c>
      <c r="O78" s="1796">
        <f t="shared" si="12"/>
        <v>56.371030261327654</v>
      </c>
      <c r="P78" s="3118"/>
      <c r="Q78" s="1781"/>
      <c r="R78" s="1789"/>
      <c r="S78" s="1781"/>
    </row>
    <row r="79" spans="1:19" x14ac:dyDescent="0.25">
      <c r="A79" s="3124"/>
      <c r="B79" s="809">
        <v>2022</v>
      </c>
      <c r="C79" s="1790">
        <f t="shared" si="13"/>
        <v>46182.631904965237</v>
      </c>
      <c r="D79" s="1790">
        <f t="shared" si="14"/>
        <v>195.50409578961674</v>
      </c>
      <c r="E79" s="1791">
        <f t="shared" si="15"/>
        <v>523.19590154831997</v>
      </c>
      <c r="F79" s="1791">
        <f t="shared" si="16"/>
        <v>45.272900297264641</v>
      </c>
      <c r="G79" s="1792">
        <f t="shared" si="10"/>
        <v>46.182631904965234</v>
      </c>
      <c r="H79" s="1793">
        <v>66</v>
      </c>
      <c r="I79" s="1794">
        <f>(0.0584*1.02)*0.9423</f>
        <v>5.6130926400000003E-2</v>
      </c>
      <c r="J79" s="1795">
        <f>(16.43*1.02)*0.9423</f>
        <v>15.791628780000002</v>
      </c>
      <c r="K79" s="1793">
        <f>(1.27*1.02)*0.9423</f>
        <v>1.2206554200000002</v>
      </c>
      <c r="L79" s="1796">
        <f>G79*H79</f>
        <v>3048.0537057277056</v>
      </c>
      <c r="M79" s="1793">
        <f t="shared" si="17"/>
        <v>10.973826011665528</v>
      </c>
      <c r="N79" s="1796">
        <f t="shared" si="11"/>
        <v>8262.1154564684966</v>
      </c>
      <c r="O79" s="1796">
        <f t="shared" si="12"/>
        <v>55.262611126975706</v>
      </c>
      <c r="P79" s="3118"/>
      <c r="Q79" s="1781"/>
      <c r="R79" s="1789"/>
      <c r="S79" s="1781"/>
    </row>
    <row r="80" spans="1:19" x14ac:dyDescent="0.25">
      <c r="A80" s="3124"/>
      <c r="B80" s="809">
        <v>2023</v>
      </c>
      <c r="C80" s="1790">
        <f t="shared" si="13"/>
        <v>46182.631904965237</v>
      </c>
      <c r="D80" s="1790">
        <f t="shared" si="14"/>
        <v>195.50409578961674</v>
      </c>
      <c r="E80" s="1791">
        <f t="shared" si="15"/>
        <v>523.19590154831997</v>
      </c>
      <c r="F80" s="1791">
        <f t="shared" si="16"/>
        <v>45.272900297264641</v>
      </c>
      <c r="G80" s="1792">
        <f t="shared" si="10"/>
        <v>46.182631904965234</v>
      </c>
      <c r="H80" s="1793">
        <v>67</v>
      </c>
      <c r="I80" s="1794">
        <f>(0.0584*1.02)*0.9238</f>
        <v>5.5028918400000001E-2</v>
      </c>
      <c r="J80" s="1795">
        <f>(16.43*1.02)*0.9238</f>
        <v>15.481594680000001</v>
      </c>
      <c r="K80" s="1793">
        <f>(1.27*1.02)*0.9238</f>
        <v>1.19669052</v>
      </c>
      <c r="L80" s="1796">
        <f t="shared" ref="L80:L126" si="18">G80*H80</f>
        <v>3094.2363376326707</v>
      </c>
      <c r="M80" s="1793">
        <f t="shared" si="17"/>
        <v>10.758378934072603</v>
      </c>
      <c r="N80" s="1796">
        <f t="shared" si="11"/>
        <v>8099.9068860082743</v>
      </c>
      <c r="O80" s="1796">
        <f t="shared" si="12"/>
        <v>54.177650598641776</v>
      </c>
      <c r="P80" s="3118"/>
      <c r="Q80" s="1781"/>
      <c r="R80" s="1789"/>
      <c r="S80" s="1781"/>
    </row>
    <row r="81" spans="1:19" x14ac:dyDescent="0.25">
      <c r="A81" s="3124"/>
      <c r="B81" s="809">
        <v>2024</v>
      </c>
      <c r="C81" s="1790">
        <f t="shared" si="13"/>
        <v>46182.631904965237</v>
      </c>
      <c r="D81" s="1790">
        <f t="shared" si="14"/>
        <v>195.50409578961674</v>
      </c>
      <c r="E81" s="1791">
        <f t="shared" si="15"/>
        <v>523.19590154831997</v>
      </c>
      <c r="F81" s="1791">
        <f t="shared" si="16"/>
        <v>45.272900297264641</v>
      </c>
      <c r="G81" s="1792">
        <f t="shared" si="10"/>
        <v>46.182631904965234</v>
      </c>
      <c r="H81" s="1793">
        <v>68</v>
      </c>
      <c r="I81" s="1794">
        <f>(0.0584*1.02)*0.9057</f>
        <v>5.39507376E-2</v>
      </c>
      <c r="J81" s="1795">
        <f>(16.43*1.02)*0.9057</f>
        <v>15.17826402</v>
      </c>
      <c r="K81" s="1793">
        <f>(1.27*1.02)*0.9057</f>
        <v>1.17324378</v>
      </c>
      <c r="L81" s="1796">
        <f t="shared" si="18"/>
        <v>3140.4189695376358</v>
      </c>
      <c r="M81" s="1793">
        <f t="shared" si="17"/>
        <v>10.547590171670878</v>
      </c>
      <c r="N81" s="1796">
        <f t="shared" si="11"/>
        <v>7941.2055278823273</v>
      </c>
      <c r="O81" s="1796">
        <f t="shared" si="12"/>
        <v>53.116148676325892</v>
      </c>
      <c r="P81" s="3118"/>
      <c r="Q81" s="1781"/>
      <c r="R81" s="1789"/>
      <c r="S81" s="1781"/>
    </row>
    <row r="82" spans="1:19" x14ac:dyDescent="0.25">
      <c r="A82" s="3124"/>
      <c r="B82" s="809">
        <v>2025</v>
      </c>
      <c r="C82" s="1790">
        <f t="shared" si="13"/>
        <v>46182.631904965237</v>
      </c>
      <c r="D82" s="1790">
        <f t="shared" si="14"/>
        <v>195.50409578961674</v>
      </c>
      <c r="E82" s="1791">
        <f t="shared" si="15"/>
        <v>523.19590154831997</v>
      </c>
      <c r="F82" s="1791">
        <f t="shared" si="16"/>
        <v>45.272900297264641</v>
      </c>
      <c r="G82" s="1792">
        <f t="shared" si="10"/>
        <v>46.182631904965234</v>
      </c>
      <c r="H82" s="1793">
        <v>69</v>
      </c>
      <c r="I82" s="1794">
        <f>(0.0584*1.02)*0.888</f>
        <v>5.2896384000000005E-2</v>
      </c>
      <c r="J82" s="1795">
        <f>(16.43*1.02)*0.888</f>
        <v>14.881636800000001</v>
      </c>
      <c r="K82" s="1793">
        <f>(1.27*1.02)*0.888</f>
        <v>1.1503152000000001</v>
      </c>
      <c r="L82" s="1796">
        <f t="shared" si="18"/>
        <v>3186.6016014426013</v>
      </c>
      <c r="M82" s="1793">
        <f t="shared" si="17"/>
        <v>10.341459724460352</v>
      </c>
      <c r="N82" s="1796">
        <f t="shared" si="11"/>
        <v>7786.0113820906554</v>
      </c>
      <c r="O82" s="1796">
        <f t="shared" si="12"/>
        <v>52.07810536002804</v>
      </c>
      <c r="P82" s="3118"/>
      <c r="Q82" s="1781"/>
      <c r="R82" s="1789"/>
      <c r="S82" s="1781"/>
    </row>
    <row r="83" spans="1:19" x14ac:dyDescent="0.25">
      <c r="A83" s="3124"/>
      <c r="B83" s="809">
        <v>2026</v>
      </c>
      <c r="C83" s="1790">
        <f t="shared" si="13"/>
        <v>46182.631904965237</v>
      </c>
      <c r="D83" s="1790">
        <f t="shared" si="14"/>
        <v>195.50409578961674</v>
      </c>
      <c r="E83" s="1791">
        <f t="shared" si="15"/>
        <v>523.19590154831997</v>
      </c>
      <c r="F83" s="1791">
        <f t="shared" si="16"/>
        <v>45.272900297264641</v>
      </c>
      <c r="G83" s="1792">
        <f t="shared" si="10"/>
        <v>46.182631904965234</v>
      </c>
      <c r="H83" s="1793">
        <v>70</v>
      </c>
      <c r="I83" s="1794">
        <f>(0.0584*1.02)*0.8706</f>
        <v>5.1859900800000004E-2</v>
      </c>
      <c r="J83" s="1795">
        <f>(16.43*1.02)*0.8706</f>
        <v>14.590037160000001</v>
      </c>
      <c r="K83" s="1793">
        <f>(1.27*1.02)*0.8706</f>
        <v>1.1277752400000001</v>
      </c>
      <c r="L83" s="1796">
        <f t="shared" si="18"/>
        <v>3232.7842333475664</v>
      </c>
      <c r="M83" s="1793">
        <f t="shared" si="17"/>
        <v>10.138823013643222</v>
      </c>
      <c r="N83" s="1796">
        <f t="shared" si="11"/>
        <v>7633.4476455496906</v>
      </c>
      <c r="O83" s="1796">
        <f t="shared" si="12"/>
        <v>51.057655998243703</v>
      </c>
      <c r="P83" s="3118"/>
      <c r="Q83" s="1781"/>
      <c r="R83" s="1789"/>
      <c r="S83" s="1781"/>
    </row>
    <row r="84" spans="1:19" x14ac:dyDescent="0.25">
      <c r="A84" s="3124"/>
      <c r="B84" s="809">
        <v>2027</v>
      </c>
      <c r="C84" s="1790">
        <f t="shared" si="13"/>
        <v>46182.631904965237</v>
      </c>
      <c r="D84" s="1790">
        <f t="shared" si="14"/>
        <v>195.50409578961674</v>
      </c>
      <c r="E84" s="1791">
        <f t="shared" si="15"/>
        <v>523.19590154831997</v>
      </c>
      <c r="F84" s="1791">
        <f t="shared" si="16"/>
        <v>45.272900297264641</v>
      </c>
      <c r="G84" s="1792">
        <f t="shared" si="10"/>
        <v>46.182631904965234</v>
      </c>
      <c r="H84" s="1793">
        <v>71</v>
      </c>
      <c r="I84" s="1794">
        <f>(0.0584*1.02)*0.8535</f>
        <v>5.0841288000000005E-2</v>
      </c>
      <c r="J84" s="1795">
        <f>(16.43*1.02)*0.8535</f>
        <v>14.303465100000002</v>
      </c>
      <c r="K84" s="1793">
        <f>(1.27*1.02)*0.8535</f>
        <v>1.1056239000000001</v>
      </c>
      <c r="L84" s="1796">
        <f t="shared" si="18"/>
        <v>3278.9668652525315</v>
      </c>
      <c r="M84" s="1793">
        <f t="shared" si="17"/>
        <v>9.9396800392194926</v>
      </c>
      <c r="N84" s="1796">
        <f t="shared" si="11"/>
        <v>7483.514318259432</v>
      </c>
      <c r="O84" s="1796">
        <f t="shared" si="12"/>
        <v>50.054800590972896</v>
      </c>
      <c r="P84" s="3118"/>
      <c r="Q84" s="1781"/>
      <c r="R84" s="1789"/>
      <c r="S84" s="1781"/>
    </row>
    <row r="85" spans="1:19" x14ac:dyDescent="0.25">
      <c r="A85" s="3124"/>
      <c r="B85" s="809">
        <v>2028</v>
      </c>
      <c r="C85" s="1790">
        <f t="shared" si="13"/>
        <v>46182.631904965237</v>
      </c>
      <c r="D85" s="1790">
        <f t="shared" si="14"/>
        <v>195.50409578961674</v>
      </c>
      <c r="E85" s="1791">
        <f t="shared" si="15"/>
        <v>523.19590154831997</v>
      </c>
      <c r="F85" s="1791">
        <f t="shared" si="16"/>
        <v>45.272900297264641</v>
      </c>
      <c r="G85" s="1792">
        <f t="shared" si="10"/>
        <v>46.182631904965234</v>
      </c>
      <c r="H85" s="1793">
        <v>72</v>
      </c>
      <c r="I85" s="1794">
        <f>(0.0584*1.02)*0.8368</f>
        <v>4.9846502399999999E-2</v>
      </c>
      <c r="J85" s="1795">
        <f>(16.43*1.02)*0.8368</f>
        <v>14.02359648</v>
      </c>
      <c r="K85" s="1793">
        <f>(1.27*1.02)*0.8368</f>
        <v>1.0839907200000001</v>
      </c>
      <c r="L85" s="1796">
        <f t="shared" si="18"/>
        <v>3325.1494971574966</v>
      </c>
      <c r="M85" s="1793">
        <f t="shared" si="17"/>
        <v>9.7451953799869599</v>
      </c>
      <c r="N85" s="1796">
        <f t="shared" si="11"/>
        <v>7337.0882033034468</v>
      </c>
      <c r="O85" s="1796">
        <f t="shared" si="12"/>
        <v>49.075403789720113</v>
      </c>
      <c r="P85" s="3118"/>
      <c r="Q85" s="1781"/>
      <c r="R85" s="1789"/>
      <c r="S85" s="1781"/>
    </row>
    <row r="86" spans="1:19" x14ac:dyDescent="0.25">
      <c r="A86" s="3124"/>
      <c r="B86" s="809">
        <v>2029</v>
      </c>
      <c r="C86" s="1790">
        <f t="shared" si="13"/>
        <v>46182.631904965237</v>
      </c>
      <c r="D86" s="1790">
        <f t="shared" si="14"/>
        <v>195.50409578961674</v>
      </c>
      <c r="E86" s="1791">
        <f t="shared" si="15"/>
        <v>523.19590154831997</v>
      </c>
      <c r="F86" s="1791">
        <f t="shared" si="16"/>
        <v>45.272900297264641</v>
      </c>
      <c r="G86" s="1792">
        <f t="shared" si="10"/>
        <v>46.182631904965234</v>
      </c>
      <c r="H86" s="1793">
        <v>73</v>
      </c>
      <c r="I86" s="1794">
        <f>(0.0584*1.02)*0.8203</f>
        <v>4.8863630400000004E-2</v>
      </c>
      <c r="J86" s="1795">
        <f>(16.43*1.02)*0.8203</f>
        <v>13.747079580000001</v>
      </c>
      <c r="K86" s="1793">
        <f>(1.27*1.02)*0.8203</f>
        <v>1.0626166200000002</v>
      </c>
      <c r="L86" s="1796">
        <f t="shared" si="18"/>
        <v>3371.3321290624622</v>
      </c>
      <c r="M86" s="1793">
        <f t="shared" si="17"/>
        <v>9.5530398783500292</v>
      </c>
      <c r="N86" s="1796">
        <f t="shared" si="11"/>
        <v>7192.4156945146005</v>
      </c>
      <c r="O86" s="1796">
        <f t="shared" si="12"/>
        <v>48.107736291476357</v>
      </c>
      <c r="P86" s="3118"/>
      <c r="Q86" s="1781"/>
      <c r="R86" s="1789"/>
      <c r="S86" s="1781"/>
    </row>
    <row r="87" spans="1:19" x14ac:dyDescent="0.25">
      <c r="A87" s="3124"/>
      <c r="B87" s="809">
        <v>2030</v>
      </c>
      <c r="C87" s="1790">
        <f t="shared" si="13"/>
        <v>46182.631904965237</v>
      </c>
      <c r="D87" s="1790">
        <f t="shared" si="14"/>
        <v>195.50409578961674</v>
      </c>
      <c r="E87" s="1791">
        <f t="shared" si="15"/>
        <v>523.19590154831997</v>
      </c>
      <c r="F87" s="1791">
        <f t="shared" si="16"/>
        <v>45.272900297264641</v>
      </c>
      <c r="G87" s="1792">
        <f t="shared" si="10"/>
        <v>46.182631904965234</v>
      </c>
      <c r="H87" s="1793">
        <v>75</v>
      </c>
      <c r="I87" s="1794">
        <f>(0.0584*1.02)*0.8043</f>
        <v>4.7910542400000006E-2</v>
      </c>
      <c r="J87" s="1795">
        <f>(16.43*1.02)*0.8043</f>
        <v>13.478941980000002</v>
      </c>
      <c r="K87" s="1793">
        <f>(1.27*1.02)*0.8043</f>
        <v>1.0418902200000002</v>
      </c>
      <c r="L87" s="1796">
        <f t="shared" si="18"/>
        <v>3463.6973928723924</v>
      </c>
      <c r="M87" s="1793">
        <f t="shared" si="17"/>
        <v>9.3667072707020953</v>
      </c>
      <c r="N87" s="1796">
        <f t="shared" si="11"/>
        <v>7052.1272011435976</v>
      </c>
      <c r="O87" s="1796">
        <f t="shared" si="12"/>
        <v>47.169392050755128</v>
      </c>
      <c r="P87" s="3118"/>
      <c r="Q87" s="1781"/>
      <c r="R87" s="1789"/>
      <c r="S87" s="1781"/>
    </row>
    <row r="88" spans="1:19" x14ac:dyDescent="0.25">
      <c r="A88" s="3124"/>
      <c r="B88" s="809">
        <v>2031</v>
      </c>
      <c r="C88" s="1790">
        <f t="shared" si="13"/>
        <v>46182.631904965237</v>
      </c>
      <c r="D88" s="1790">
        <f t="shared" si="14"/>
        <v>195.50409578961674</v>
      </c>
      <c r="E88" s="1791">
        <f t="shared" si="15"/>
        <v>523.19590154831997</v>
      </c>
      <c r="F88" s="1791">
        <f t="shared" si="16"/>
        <v>45.272900297264641</v>
      </c>
      <c r="G88" s="1792">
        <f t="shared" si="10"/>
        <v>46.182631904965234</v>
      </c>
      <c r="H88" s="1793">
        <v>76</v>
      </c>
      <c r="I88" s="1794">
        <f>(0.0584*1.02)*0.7885</f>
        <v>4.6969368000000004E-2</v>
      </c>
      <c r="J88" s="1795">
        <f>(16.43*1.02)*0.7885</f>
        <v>13.2141561</v>
      </c>
      <c r="K88" s="1793">
        <f>(1.27*1.02)*0.7885</f>
        <v>1.0214229000000001</v>
      </c>
      <c r="L88" s="1796">
        <f t="shared" si="18"/>
        <v>3509.8800247773579</v>
      </c>
      <c r="M88" s="1793">
        <f t="shared" si="17"/>
        <v>9.1827038206497598</v>
      </c>
      <c r="N88" s="1796">
        <f t="shared" si="11"/>
        <v>6913.5923139397319</v>
      </c>
      <c r="O88" s="1796">
        <f t="shared" si="12"/>
        <v>46.242777113042919</v>
      </c>
      <c r="P88" s="3118"/>
      <c r="Q88" s="1781"/>
      <c r="R88" s="1789"/>
      <c r="S88" s="1781"/>
    </row>
    <row r="89" spans="1:19" x14ac:dyDescent="0.25">
      <c r="A89" s="3124"/>
      <c r="B89" s="809">
        <v>2032</v>
      </c>
      <c r="C89" s="1790">
        <f t="shared" si="13"/>
        <v>46182.631904965237</v>
      </c>
      <c r="D89" s="1790">
        <f t="shared" si="14"/>
        <v>195.50409578961674</v>
      </c>
      <c r="E89" s="1791">
        <f t="shared" si="15"/>
        <v>523.19590154831997</v>
      </c>
      <c r="F89" s="1791">
        <f t="shared" si="16"/>
        <v>45.272900297264641</v>
      </c>
      <c r="G89" s="1792">
        <f t="shared" si="10"/>
        <v>46.182631904965234</v>
      </c>
      <c r="H89" s="1793">
        <v>77</v>
      </c>
      <c r="I89" s="1794">
        <f>(0.0584*1.02)*0.773</f>
        <v>4.6046064000000005E-2</v>
      </c>
      <c r="J89" s="1795">
        <f>(16.43*1.02)*0.773</f>
        <v>12.954397800000001</v>
      </c>
      <c r="K89" s="1793">
        <f>(1.27*1.02)*0.773</f>
        <v>1.0013442000000001</v>
      </c>
      <c r="L89" s="1796">
        <f t="shared" si="18"/>
        <v>3556.062656682323</v>
      </c>
      <c r="M89" s="1793">
        <f t="shared" si="17"/>
        <v>9.0021941069908245</v>
      </c>
      <c r="N89" s="1796">
        <f t="shared" si="11"/>
        <v>6777.6878359865732</v>
      </c>
      <c r="O89" s="1796">
        <f t="shared" si="12"/>
        <v>45.333756129844232</v>
      </c>
      <c r="P89" s="3118"/>
      <c r="Q89" s="1781"/>
      <c r="R89" s="1789"/>
      <c r="S89" s="1781"/>
    </row>
    <row r="90" spans="1:19" x14ac:dyDescent="0.25">
      <c r="A90" s="3124"/>
      <c r="B90" s="809">
        <v>2033</v>
      </c>
      <c r="C90" s="1790">
        <f t="shared" si="13"/>
        <v>46182.631904965237</v>
      </c>
      <c r="D90" s="1790">
        <f t="shared" si="14"/>
        <v>195.50409578961674</v>
      </c>
      <c r="E90" s="1791">
        <f t="shared" si="15"/>
        <v>523.19590154831997</v>
      </c>
      <c r="F90" s="1791">
        <f t="shared" si="16"/>
        <v>45.272900297264641</v>
      </c>
      <c r="G90" s="1792">
        <f t="shared" si="10"/>
        <v>46.182631904965234</v>
      </c>
      <c r="H90" s="1793">
        <v>78</v>
      </c>
      <c r="I90" s="1794">
        <f>(0.0584*1.02)*0.7579</f>
        <v>4.5146587200000005E-2</v>
      </c>
      <c r="J90" s="1795">
        <f>(16.43*1.02)*0.7579</f>
        <v>12.701342940000002</v>
      </c>
      <c r="K90" s="1793">
        <f>(1.27*1.02)*0.7579</f>
        <v>0.98178366000000006</v>
      </c>
      <c r="L90" s="1796">
        <f t="shared" si="18"/>
        <v>3602.2452885872881</v>
      </c>
      <c r="M90" s="1793">
        <f t="shared" si="17"/>
        <v>8.8263427085230859</v>
      </c>
      <c r="N90" s="1796">
        <f t="shared" si="11"/>
        <v>6645.2905703676897</v>
      </c>
      <c r="O90" s="1796">
        <f t="shared" si="12"/>
        <v>44.44819375266357</v>
      </c>
      <c r="P90" s="3118"/>
      <c r="Q90" s="1781"/>
      <c r="R90" s="1789"/>
      <c r="S90" s="1781"/>
    </row>
    <row r="91" spans="1:19" x14ac:dyDescent="0.25">
      <c r="A91" s="3124"/>
      <c r="B91" s="809">
        <v>2034</v>
      </c>
      <c r="C91" s="1790">
        <f t="shared" si="13"/>
        <v>46182.631904965237</v>
      </c>
      <c r="D91" s="1790">
        <f t="shared" si="14"/>
        <v>195.50409578961674</v>
      </c>
      <c r="E91" s="1791">
        <f t="shared" si="15"/>
        <v>523.19590154831997</v>
      </c>
      <c r="F91" s="1791">
        <f t="shared" si="16"/>
        <v>45.272900297264641</v>
      </c>
      <c r="G91" s="1792">
        <f t="shared" si="10"/>
        <v>46.182631904965234</v>
      </c>
      <c r="H91" s="1793">
        <v>79</v>
      </c>
      <c r="I91" s="1794">
        <f>(0.0584*1.02)*0.743</f>
        <v>4.4259024000000001E-2</v>
      </c>
      <c r="J91" s="1795">
        <f>(16.43*1.02)*0.743</f>
        <v>12.451639800000001</v>
      </c>
      <c r="K91" s="1793">
        <f>(1.27*1.02)*0.743</f>
        <v>0.96248220000000007</v>
      </c>
      <c r="L91" s="1796">
        <f t="shared" si="18"/>
        <v>3648.4279204922536</v>
      </c>
      <c r="M91" s="1793">
        <f t="shared" si="17"/>
        <v>8.6528204676509457</v>
      </c>
      <c r="N91" s="1796">
        <f t="shared" si="11"/>
        <v>6514.6469109159425</v>
      </c>
      <c r="O91" s="1796">
        <f t="shared" si="12"/>
        <v>43.574360678491928</v>
      </c>
      <c r="P91" s="3118"/>
      <c r="Q91" s="1781"/>
      <c r="R91" s="1789"/>
      <c r="S91" s="1781"/>
    </row>
    <row r="92" spans="1:19" x14ac:dyDescent="0.25">
      <c r="A92" s="3124"/>
      <c r="B92" s="809">
        <v>2035</v>
      </c>
      <c r="C92" s="1790">
        <f t="shared" si="13"/>
        <v>46182.631904965237</v>
      </c>
      <c r="D92" s="1790">
        <f t="shared" si="14"/>
        <v>195.50409578961674</v>
      </c>
      <c r="E92" s="1791">
        <f t="shared" si="15"/>
        <v>523.19590154831997</v>
      </c>
      <c r="F92" s="1791">
        <f t="shared" si="16"/>
        <v>45.272900297264641</v>
      </c>
      <c r="G92" s="1792">
        <f t="shared" si="10"/>
        <v>46.182631904965234</v>
      </c>
      <c r="H92" s="1793">
        <v>80</v>
      </c>
      <c r="I92" s="1794">
        <f>(0.0584*1.02)*0.7284</f>
        <v>4.3389331200000006E-2</v>
      </c>
      <c r="J92" s="1795">
        <f>(16.43*1.02)*0.7284</f>
        <v>12.206964240000001</v>
      </c>
      <c r="K92" s="1793">
        <f>(1.27*1.02)*0.7284</f>
        <v>0.94356936000000013</v>
      </c>
      <c r="L92" s="1796">
        <f t="shared" si="18"/>
        <v>3694.6105523972187</v>
      </c>
      <c r="M92" s="1793">
        <f t="shared" si="17"/>
        <v>8.4827919631722075</v>
      </c>
      <c r="N92" s="1796">
        <f t="shared" si="11"/>
        <v>6386.6336607149033</v>
      </c>
      <c r="O92" s="1796">
        <f t="shared" si="12"/>
        <v>42.718121558833815</v>
      </c>
      <c r="P92" s="3118"/>
      <c r="Q92" s="1781"/>
      <c r="R92" s="1789"/>
      <c r="S92" s="1781"/>
    </row>
    <row r="93" spans="1:19" x14ac:dyDescent="0.25">
      <c r="A93" s="3124"/>
      <c r="B93" s="809">
        <v>2036</v>
      </c>
      <c r="C93" s="1790">
        <f t="shared" si="13"/>
        <v>46182.631904965237</v>
      </c>
      <c r="D93" s="1790">
        <f t="shared" si="14"/>
        <v>195.50409578961674</v>
      </c>
      <c r="E93" s="1791">
        <f t="shared" si="15"/>
        <v>523.19590154831997</v>
      </c>
      <c r="F93" s="1791">
        <f t="shared" si="16"/>
        <v>45.272900297264641</v>
      </c>
      <c r="G93" s="1792">
        <f t="shared" si="10"/>
        <v>46.182631904965234</v>
      </c>
      <c r="H93" s="1793">
        <v>81</v>
      </c>
      <c r="I93" s="1794">
        <f>(0.0584*1.02)*0.7142</f>
        <v>4.2543465599999997E-2</v>
      </c>
      <c r="J93" s="1795">
        <f>(16.43*1.02)*0.7142</f>
        <v>11.968992119999999</v>
      </c>
      <c r="K93" s="1793">
        <f>(1.27*1.02)*0.7142</f>
        <v>0.92517468000000003</v>
      </c>
      <c r="L93" s="1796">
        <f t="shared" si="18"/>
        <v>3740.7931843021838</v>
      </c>
      <c r="M93" s="1793">
        <f t="shared" si="17"/>
        <v>8.3174217738846643</v>
      </c>
      <c r="N93" s="1796">
        <f t="shared" si="11"/>
        <v>6262.1276228481374</v>
      </c>
      <c r="O93" s="1796">
        <f t="shared" si="12"/>
        <v>41.885341045193719</v>
      </c>
      <c r="P93" s="3118"/>
      <c r="Q93" s="1781"/>
      <c r="R93" s="1789"/>
      <c r="S93" s="1781"/>
    </row>
    <row r="94" spans="1:19" x14ac:dyDescent="0.25">
      <c r="A94" s="3124"/>
      <c r="B94" s="809">
        <v>2037</v>
      </c>
      <c r="C94" s="1790">
        <f t="shared" si="13"/>
        <v>46182.631904965237</v>
      </c>
      <c r="D94" s="1790">
        <f t="shared" si="14"/>
        <v>195.50409578961674</v>
      </c>
      <c r="E94" s="1791">
        <f t="shared" si="15"/>
        <v>523.19590154831997</v>
      </c>
      <c r="F94" s="1791">
        <f t="shared" si="16"/>
        <v>45.272900297264641</v>
      </c>
      <c r="G94" s="1792">
        <f t="shared" si="10"/>
        <v>46.182631904965234</v>
      </c>
      <c r="H94" s="1793">
        <v>83</v>
      </c>
      <c r="I94" s="1794">
        <f>(0.0584*1.02)*0.7002</f>
        <v>4.1709513600000005E-2</v>
      </c>
      <c r="J94" s="1795">
        <f>(16.43*1.02)*0.7002</f>
        <v>11.734371720000002</v>
      </c>
      <c r="K94" s="1793">
        <f>(1.27*1.02)*0.7002</f>
        <v>0.90703908000000011</v>
      </c>
      <c r="L94" s="1796">
        <f t="shared" si="18"/>
        <v>3833.1584481121145</v>
      </c>
      <c r="M94" s="1793">
        <f t="shared" si="17"/>
        <v>8.154380742192723</v>
      </c>
      <c r="N94" s="1796">
        <f t="shared" si="11"/>
        <v>6139.3751911485115</v>
      </c>
      <c r="O94" s="1796">
        <f t="shared" si="12"/>
        <v>41.064289834562651</v>
      </c>
      <c r="P94" s="3118"/>
      <c r="Q94" s="1781"/>
      <c r="R94" s="1789"/>
      <c r="S94" s="1781"/>
    </row>
    <row r="95" spans="1:19" x14ac:dyDescent="0.25">
      <c r="A95" s="3124"/>
      <c r="B95" s="809">
        <v>2038</v>
      </c>
      <c r="C95" s="1790">
        <f t="shared" si="13"/>
        <v>46182.631904965237</v>
      </c>
      <c r="D95" s="1790">
        <f t="shared" si="14"/>
        <v>195.50409578961674</v>
      </c>
      <c r="E95" s="1791">
        <f t="shared" si="15"/>
        <v>523.19590154831997</v>
      </c>
      <c r="F95" s="1791">
        <f t="shared" si="16"/>
        <v>45.272900297264641</v>
      </c>
      <c r="G95" s="1792">
        <f t="shared" si="10"/>
        <v>46.182631904965234</v>
      </c>
      <c r="H95" s="1793">
        <v>84</v>
      </c>
      <c r="I95" s="1794">
        <f>(0.0584*1.02)*0.6864</f>
        <v>4.0887475200000002E-2</v>
      </c>
      <c r="J95" s="1795">
        <f>(16.43*1.02)*0.6864</f>
        <v>11.503103040000001</v>
      </c>
      <c r="K95" s="1793">
        <f>(1.27*1.02)*0.6864</f>
        <v>0.88916256000000005</v>
      </c>
      <c r="L95" s="1796">
        <f t="shared" si="18"/>
        <v>3879.3410800170795</v>
      </c>
      <c r="M95" s="1793">
        <f t="shared" si="17"/>
        <v>7.9936688680963792</v>
      </c>
      <c r="N95" s="1796">
        <f t="shared" si="11"/>
        <v>6018.3763656160208</v>
      </c>
      <c r="O95" s="1796">
        <f t="shared" si="12"/>
        <v>40.254967926940594</v>
      </c>
      <c r="P95" s="3118"/>
      <c r="Q95" s="1781"/>
      <c r="R95" s="1789"/>
      <c r="S95" s="1781"/>
    </row>
    <row r="96" spans="1:19" x14ac:dyDescent="0.25">
      <c r="A96" s="3124"/>
      <c r="B96" s="809">
        <v>2039</v>
      </c>
      <c r="C96" s="1790">
        <f t="shared" si="13"/>
        <v>46182.631904965237</v>
      </c>
      <c r="D96" s="1790">
        <f t="shared" si="14"/>
        <v>195.50409578961674</v>
      </c>
      <c r="E96" s="1791">
        <f t="shared" si="15"/>
        <v>523.19590154831997</v>
      </c>
      <c r="F96" s="1791">
        <f t="shared" si="16"/>
        <v>45.272900297264641</v>
      </c>
      <c r="G96" s="1792">
        <f t="shared" si="10"/>
        <v>46.182631904965234</v>
      </c>
      <c r="H96" s="1793">
        <v>85</v>
      </c>
      <c r="I96" s="1794">
        <f>(0.0584*1.02)*0.673</f>
        <v>4.0089264000000006E-2</v>
      </c>
      <c r="J96" s="1795">
        <f>(16.43*1.02)*0.673</f>
        <v>11.278537800000002</v>
      </c>
      <c r="K96" s="1793">
        <f>(1.27*1.02)*0.673</f>
        <v>0.87180420000000014</v>
      </c>
      <c r="L96" s="1796">
        <f t="shared" si="18"/>
        <v>3925.5237119220451</v>
      </c>
      <c r="M96" s="1793">
        <f t="shared" si="17"/>
        <v>7.8376153091912348</v>
      </c>
      <c r="N96" s="1796">
        <f t="shared" si="11"/>
        <v>5900.8847524178063</v>
      </c>
      <c r="O96" s="1796">
        <f t="shared" si="12"/>
        <v>39.46910462533657</v>
      </c>
      <c r="P96" s="3118"/>
      <c r="Q96" s="1781"/>
      <c r="R96" s="1789"/>
      <c r="S96" s="1781"/>
    </row>
    <row r="97" spans="1:19" x14ac:dyDescent="0.25">
      <c r="A97" s="3124"/>
      <c r="B97" s="809">
        <v>2040</v>
      </c>
      <c r="C97" s="1790">
        <f t="shared" si="13"/>
        <v>46182.631904965237</v>
      </c>
      <c r="D97" s="1790">
        <f t="shared" si="14"/>
        <v>195.50409578961674</v>
      </c>
      <c r="E97" s="1791">
        <f t="shared" si="15"/>
        <v>523.19590154831997</v>
      </c>
      <c r="F97" s="1791">
        <f t="shared" si="16"/>
        <v>45.272900297264641</v>
      </c>
      <c r="G97" s="1792">
        <f t="shared" si="10"/>
        <v>46.182631904965234</v>
      </c>
      <c r="H97" s="1793">
        <v>86</v>
      </c>
      <c r="I97" s="1794">
        <f>(0.0584*1.02)*0.6598</f>
        <v>3.9302966400000007E-2</v>
      </c>
      <c r="J97" s="1795">
        <f>(16.43*1.02)*0.6598</f>
        <v>11.057324280000001</v>
      </c>
      <c r="K97" s="1793">
        <f>(1.27*1.02)*0.6598</f>
        <v>0.85470492000000009</v>
      </c>
      <c r="L97" s="1796">
        <f t="shared" si="18"/>
        <v>3971.7063438270102</v>
      </c>
      <c r="M97" s="1793">
        <f t="shared" si="17"/>
        <v>7.6838909078816897</v>
      </c>
      <c r="N97" s="1796">
        <f t="shared" si="11"/>
        <v>5785.146745386729</v>
      </c>
      <c r="O97" s="1796">
        <f t="shared" si="12"/>
        <v>38.694970626741558</v>
      </c>
      <c r="P97" s="3118"/>
      <c r="Q97" s="1781"/>
      <c r="R97" s="1789"/>
      <c r="S97" s="1781"/>
    </row>
    <row r="98" spans="1:19" x14ac:dyDescent="0.25">
      <c r="A98" s="3124"/>
      <c r="B98" s="809">
        <v>2041</v>
      </c>
      <c r="C98" s="1790">
        <f t="shared" si="13"/>
        <v>46182.631904965237</v>
      </c>
      <c r="D98" s="1790">
        <f t="shared" si="14"/>
        <v>195.50409578961674</v>
      </c>
      <c r="E98" s="1791">
        <f t="shared" si="15"/>
        <v>523.19590154831997</v>
      </c>
      <c r="F98" s="1791">
        <f t="shared" si="16"/>
        <v>45.272900297264641</v>
      </c>
      <c r="G98" s="1792">
        <f t="shared" si="10"/>
        <v>46.182631904965234</v>
      </c>
      <c r="H98" s="1793">
        <v>87</v>
      </c>
      <c r="I98" s="1794">
        <f>(0.0584*1.02)*0.6468</f>
        <v>3.8528582400000004E-2</v>
      </c>
      <c r="J98" s="1795">
        <f>(16.43*1.02)*0.6468</f>
        <v>10.839462480000002</v>
      </c>
      <c r="K98" s="1793">
        <f>(1.27*1.02)*0.6468</f>
        <v>0.83786472000000012</v>
      </c>
      <c r="L98" s="1796">
        <f t="shared" si="18"/>
        <v>4017.8889757319753</v>
      </c>
      <c r="M98" s="1793">
        <f t="shared" si="17"/>
        <v>7.5324956641677421</v>
      </c>
      <c r="N98" s="1796">
        <f t="shared" si="11"/>
        <v>5671.1623445227888</v>
      </c>
      <c r="O98" s="1796">
        <f t="shared" si="12"/>
        <v>37.932565931155558</v>
      </c>
      <c r="P98" s="3118"/>
      <c r="Q98" s="1781"/>
      <c r="R98" s="1789"/>
      <c r="S98" s="1781"/>
    </row>
    <row r="99" spans="1:19" x14ac:dyDescent="0.25">
      <c r="A99" s="3124"/>
      <c r="B99" s="809">
        <v>2042</v>
      </c>
      <c r="C99" s="1790">
        <f t="shared" si="13"/>
        <v>46182.631904965237</v>
      </c>
      <c r="D99" s="1790">
        <f t="shared" si="14"/>
        <v>195.50409578961674</v>
      </c>
      <c r="E99" s="1791">
        <f t="shared" si="15"/>
        <v>523.19590154831997</v>
      </c>
      <c r="F99" s="1791">
        <f t="shared" si="16"/>
        <v>45.272900297264641</v>
      </c>
      <c r="G99" s="1792">
        <f t="shared" si="10"/>
        <v>46.182631904965234</v>
      </c>
      <c r="H99" s="1793">
        <v>88</v>
      </c>
      <c r="I99" s="1794">
        <f>(0.0584*1.02)*0.6342</f>
        <v>3.7778025600000001E-2</v>
      </c>
      <c r="J99" s="1795">
        <f>(16.43*1.02)*0.6342</f>
        <v>10.628304120000001</v>
      </c>
      <c r="K99" s="1793">
        <f>(1.27*1.02)*0.6342</f>
        <v>0.82154268000000008</v>
      </c>
      <c r="L99" s="1796">
        <f t="shared" si="18"/>
        <v>4064.0716076369408</v>
      </c>
      <c r="M99" s="1793">
        <f t="shared" si="17"/>
        <v>7.3857587356449939</v>
      </c>
      <c r="N99" s="1796">
        <f t="shared" si="11"/>
        <v>5560.6851559931238</v>
      </c>
      <c r="O99" s="1796">
        <f t="shared" si="12"/>
        <v>37.193619841587591</v>
      </c>
      <c r="P99" s="3118"/>
      <c r="Q99" s="1781"/>
      <c r="R99" s="1789"/>
      <c r="S99" s="1781"/>
    </row>
    <row r="100" spans="1:19" x14ac:dyDescent="0.25">
      <c r="A100" s="3124"/>
      <c r="B100" s="809">
        <v>2043</v>
      </c>
      <c r="C100" s="1790">
        <f t="shared" si="13"/>
        <v>46182.631904965237</v>
      </c>
      <c r="D100" s="1790">
        <f t="shared" si="14"/>
        <v>195.50409578961674</v>
      </c>
      <c r="E100" s="1791">
        <f t="shared" si="15"/>
        <v>523.19590154831997</v>
      </c>
      <c r="F100" s="1791">
        <f t="shared" si="16"/>
        <v>45.272900297264641</v>
      </c>
      <c r="G100" s="1792">
        <f t="shared" si="10"/>
        <v>46.182631904965234</v>
      </c>
      <c r="H100" s="1793">
        <v>89</v>
      </c>
      <c r="I100" s="1794">
        <f>(0.0584*1.02)*0.6217</f>
        <v>3.7033425600000003E-2</v>
      </c>
      <c r="J100" s="1795">
        <f>(16.43*1.02)*0.6217</f>
        <v>10.418821620000001</v>
      </c>
      <c r="K100" s="1793">
        <f>(1.27*1.02)*0.6217</f>
        <v>0.80535018000000014</v>
      </c>
      <c r="L100" s="1796">
        <f t="shared" si="18"/>
        <v>4110.2542395419059</v>
      </c>
      <c r="M100" s="1793">
        <f t="shared" si="17"/>
        <v>7.2401863859200457</v>
      </c>
      <c r="N100" s="1796">
        <f t="shared" si="11"/>
        <v>5451.0847705470278</v>
      </c>
      <c r="O100" s="1796">
        <f t="shared" si="12"/>
        <v>36.46053840352414</v>
      </c>
      <c r="P100" s="3118"/>
      <c r="Q100" s="1781"/>
      <c r="R100" s="1789"/>
      <c r="S100" s="1781"/>
    </row>
    <row r="101" spans="1:19" x14ac:dyDescent="0.25">
      <c r="A101" s="3124"/>
      <c r="B101" s="809">
        <v>2044</v>
      </c>
      <c r="C101" s="1790">
        <f t="shared" si="13"/>
        <v>46182.631904965237</v>
      </c>
      <c r="D101" s="1790">
        <f t="shared" si="14"/>
        <v>195.50409578961674</v>
      </c>
      <c r="E101" s="1791">
        <f t="shared" si="15"/>
        <v>523.19590154831997</v>
      </c>
      <c r="F101" s="1791">
        <f t="shared" si="16"/>
        <v>45.272900297264641</v>
      </c>
      <c r="G101" s="1792">
        <f t="shared" si="10"/>
        <v>46.182631904965234</v>
      </c>
      <c r="H101" s="1793">
        <v>90</v>
      </c>
      <c r="I101" s="1794">
        <f>(0.0584*1.02)*0.6095</f>
        <v>3.6306696000000006E-2</v>
      </c>
      <c r="J101" s="1795">
        <f>(16.43*1.02)*0.6095</f>
        <v>10.214366700000001</v>
      </c>
      <c r="K101" s="1793">
        <f>(1.27*1.02)*0.6095</f>
        <v>0.78954630000000015</v>
      </c>
      <c r="L101" s="1796">
        <f t="shared" si="18"/>
        <v>4156.436871446871</v>
      </c>
      <c r="M101" s="1793">
        <f t="shared" si="17"/>
        <v>7.098107772588496</v>
      </c>
      <c r="N101" s="1796">
        <f t="shared" si="11"/>
        <v>5344.1147943516389</v>
      </c>
      <c r="O101" s="1796">
        <f t="shared" si="12"/>
        <v>35.745050919974204</v>
      </c>
      <c r="P101" s="3118"/>
      <c r="Q101" s="1781"/>
      <c r="R101" s="1789"/>
      <c r="S101" s="1781"/>
    </row>
    <row r="102" spans="1:19" x14ac:dyDescent="0.25">
      <c r="A102" s="3124"/>
      <c r="B102" s="809">
        <v>2045</v>
      </c>
      <c r="C102" s="1790">
        <f t="shared" si="13"/>
        <v>46182.631904965237</v>
      </c>
      <c r="D102" s="1790">
        <f t="shared" si="14"/>
        <v>195.50409578961674</v>
      </c>
      <c r="E102" s="1791">
        <f t="shared" si="15"/>
        <v>523.19590154831997</v>
      </c>
      <c r="F102" s="1791">
        <f t="shared" si="16"/>
        <v>45.272900297264641</v>
      </c>
      <c r="G102" s="1792">
        <f t="shared" si="10"/>
        <v>46.182631904965234</v>
      </c>
      <c r="H102" s="1793">
        <v>92</v>
      </c>
      <c r="I102" s="1794">
        <f>(0.0584*1.02)*0.5976</f>
        <v>3.5597836800000004E-2</v>
      </c>
      <c r="J102" s="1795">
        <f>(16.43*1.02)*0.5976</f>
        <v>10.014939360000001</v>
      </c>
      <c r="K102" s="1793">
        <f>(1.27*1.02)*0.5976</f>
        <v>0.7741310400000001</v>
      </c>
      <c r="L102" s="1796">
        <f t="shared" si="18"/>
        <v>4248.8021352568012</v>
      </c>
      <c r="M102" s="1793">
        <f t="shared" si="17"/>
        <v>6.9595228956503448</v>
      </c>
      <c r="N102" s="1796">
        <f t="shared" si="11"/>
        <v>5239.7752274069553</v>
      </c>
      <c r="O102" s="1796">
        <f t="shared" si="12"/>
        <v>35.047157390937791</v>
      </c>
      <c r="P102" s="3118"/>
      <c r="Q102" s="1781"/>
      <c r="R102" s="1789"/>
      <c r="S102" s="1781"/>
    </row>
    <row r="103" spans="1:19" x14ac:dyDescent="0.25">
      <c r="A103" s="3124"/>
      <c r="B103" s="809">
        <v>2046</v>
      </c>
      <c r="C103" s="1790">
        <f t="shared" si="13"/>
        <v>46182.631904965237</v>
      </c>
      <c r="D103" s="1790">
        <f t="shared" si="14"/>
        <v>195.50409578961674</v>
      </c>
      <c r="E103" s="1791">
        <f t="shared" si="15"/>
        <v>523.19590154831997</v>
      </c>
      <c r="F103" s="1791">
        <f t="shared" si="16"/>
        <v>45.272900297264641</v>
      </c>
      <c r="G103" s="1792">
        <f t="shared" si="10"/>
        <v>46.182631904965234</v>
      </c>
      <c r="H103" s="1793">
        <v>93</v>
      </c>
      <c r="I103" s="1794">
        <f>(0.0584*1.02)*0.5859</f>
        <v>3.4900891199999999E-2</v>
      </c>
      <c r="J103" s="1795">
        <f>(16.43*1.02)*0.5859</f>
        <v>9.8188637400000012</v>
      </c>
      <c r="K103" s="1793">
        <f>(1.27*1.02)*0.5859</f>
        <v>0.75897486000000003</v>
      </c>
      <c r="L103" s="1796">
        <f t="shared" si="18"/>
        <v>4294.9847671617672</v>
      </c>
      <c r="M103" s="1793">
        <f t="shared" si="17"/>
        <v>6.8232671763077919</v>
      </c>
      <c r="N103" s="1796">
        <f t="shared" si="11"/>
        <v>5137.1892666294098</v>
      </c>
      <c r="O103" s="1796">
        <f t="shared" si="12"/>
        <v>34.36099316491039</v>
      </c>
      <c r="P103" s="3118"/>
      <c r="Q103" s="1781"/>
      <c r="R103" s="1789"/>
      <c r="S103" s="1781"/>
    </row>
    <row r="104" spans="1:19" x14ac:dyDescent="0.25">
      <c r="A104" s="3124"/>
      <c r="B104" s="809">
        <v>2047</v>
      </c>
      <c r="C104" s="1790">
        <f t="shared" si="13"/>
        <v>46182.631904965237</v>
      </c>
      <c r="D104" s="1790">
        <f t="shared" si="14"/>
        <v>195.50409578961674</v>
      </c>
      <c r="E104" s="1791">
        <f t="shared" si="15"/>
        <v>523.19590154831997</v>
      </c>
      <c r="F104" s="1791">
        <f t="shared" si="16"/>
        <v>45.272900297264641</v>
      </c>
      <c r="G104" s="1792">
        <f t="shared" si="10"/>
        <v>46.182631904965234</v>
      </c>
      <c r="H104" s="1793">
        <v>94</v>
      </c>
      <c r="I104" s="1794">
        <f>(0.0584*1.02)*0.5744</f>
        <v>3.4215859200000004E-2</v>
      </c>
      <c r="J104" s="1795">
        <f>(16.43*1.02)*0.5744</f>
        <v>9.6261398400000004</v>
      </c>
      <c r="K104" s="1793">
        <f>(1.27*1.02)*0.5744</f>
        <v>0.74407776000000014</v>
      </c>
      <c r="L104" s="1796">
        <f t="shared" si="18"/>
        <v>4341.1673990667323</v>
      </c>
      <c r="M104" s="1793">
        <f t="shared" si="17"/>
        <v>6.6893406145608401</v>
      </c>
      <c r="N104" s="1796">
        <f t="shared" si="11"/>
        <v>5036.3569120190004</v>
      </c>
      <c r="O104" s="1796">
        <f t="shared" si="12"/>
        <v>33.686558241892016</v>
      </c>
      <c r="P104" s="3118"/>
      <c r="Q104" s="1781"/>
      <c r="R104" s="1789"/>
      <c r="S104" s="1781"/>
    </row>
    <row r="105" spans="1:19" x14ac:dyDescent="0.25">
      <c r="A105" s="3124"/>
      <c r="B105" s="809">
        <v>2048</v>
      </c>
      <c r="C105" s="1790">
        <f t="shared" si="13"/>
        <v>46182.631904965237</v>
      </c>
      <c r="D105" s="1790">
        <f t="shared" si="14"/>
        <v>195.50409578961674</v>
      </c>
      <c r="E105" s="1791">
        <f t="shared" si="15"/>
        <v>523.19590154831997</v>
      </c>
      <c r="F105" s="1791">
        <f t="shared" si="16"/>
        <v>45.272900297264641</v>
      </c>
      <c r="G105" s="1792">
        <f t="shared" si="10"/>
        <v>46.182631904965234</v>
      </c>
      <c r="H105" s="1793">
        <v>95</v>
      </c>
      <c r="I105" s="1794">
        <f>(0.0584*1.02)*0.5631</f>
        <v>3.3542740800000005E-2</v>
      </c>
      <c r="J105" s="1795">
        <f>(16.43*1.02)*0.5631</f>
        <v>9.436767660000001</v>
      </c>
      <c r="K105" s="1793">
        <f>(1.27*1.02)*0.5631</f>
        <v>0.72943974000000011</v>
      </c>
      <c r="L105" s="1796">
        <f t="shared" si="18"/>
        <v>4387.3500309716974</v>
      </c>
      <c r="M105" s="1793">
        <f t="shared" si="17"/>
        <v>6.5577432104094866</v>
      </c>
      <c r="N105" s="1796">
        <f t="shared" si="11"/>
        <v>4937.2781635757301</v>
      </c>
      <c r="O105" s="1796">
        <f t="shared" si="12"/>
        <v>33.023852621882646</v>
      </c>
      <c r="P105" s="3118"/>
      <c r="Q105" s="1781"/>
      <c r="R105" s="1789"/>
      <c r="S105" s="1781"/>
    </row>
    <row r="106" spans="1:19" x14ac:dyDescent="0.25">
      <c r="A106" s="3124"/>
      <c r="B106" s="809">
        <v>2049</v>
      </c>
      <c r="C106" s="1790">
        <f t="shared" si="13"/>
        <v>46182.631904965237</v>
      </c>
      <c r="D106" s="1790">
        <f t="shared" si="14"/>
        <v>195.50409578961674</v>
      </c>
      <c r="E106" s="1791">
        <f t="shared" si="15"/>
        <v>523.19590154831997</v>
      </c>
      <c r="F106" s="1791">
        <f t="shared" si="16"/>
        <v>45.272900297264641</v>
      </c>
      <c r="G106" s="1792">
        <f t="shared" si="10"/>
        <v>46.182631904965234</v>
      </c>
      <c r="H106" s="1793">
        <v>96</v>
      </c>
      <c r="I106" s="1794">
        <f>(0.0584*1.02)*0.5521</f>
        <v>3.2887492800000001E-2</v>
      </c>
      <c r="J106" s="1795">
        <f>(16.43*1.02)*0.5521</f>
        <v>9.2524230600000017</v>
      </c>
      <c r="K106" s="1793">
        <f>(1.27*1.02)*0.5521</f>
        <v>0.71519034000000015</v>
      </c>
      <c r="L106" s="1796">
        <f t="shared" si="18"/>
        <v>4433.5326628766625</v>
      </c>
      <c r="M106" s="1793">
        <f t="shared" si="17"/>
        <v>6.4296395426515307</v>
      </c>
      <c r="N106" s="1796">
        <f t="shared" si="11"/>
        <v>4840.8298243831659</v>
      </c>
      <c r="O106" s="1796">
        <f t="shared" si="12"/>
        <v>32.378740956386807</v>
      </c>
      <c r="P106" s="3118"/>
      <c r="Q106" s="1781"/>
      <c r="R106" s="1789"/>
      <c r="S106" s="1781"/>
    </row>
    <row r="107" spans="1:19" x14ac:dyDescent="0.25">
      <c r="A107" s="3124"/>
      <c r="B107" s="809">
        <v>2050</v>
      </c>
      <c r="C107" s="1790">
        <f t="shared" si="13"/>
        <v>46182.631904965237</v>
      </c>
      <c r="D107" s="1790">
        <f t="shared" si="14"/>
        <v>195.50409578961674</v>
      </c>
      <c r="E107" s="1791">
        <f t="shared" si="15"/>
        <v>523.19590154831997</v>
      </c>
      <c r="F107" s="1791">
        <f t="shared" si="16"/>
        <v>45.272900297264641</v>
      </c>
      <c r="G107" s="1792">
        <f t="shared" si="10"/>
        <v>46.182631904965234</v>
      </c>
      <c r="H107" s="1793">
        <v>97</v>
      </c>
      <c r="I107" s="1794">
        <f>(0.0584*1.02)*0.5412</f>
        <v>3.2238201600000002E-2</v>
      </c>
      <c r="J107" s="1795">
        <f>(16.43*1.02)*0.5412</f>
        <v>9.0697543200000013</v>
      </c>
      <c r="K107" s="1793">
        <f>(1.27*1.02)*0.5412</f>
        <v>0.70107048000000005</v>
      </c>
      <c r="L107" s="1796">
        <f t="shared" si="18"/>
        <v>4479.7152947816276</v>
      </c>
      <c r="M107" s="1793">
        <f t="shared" si="17"/>
        <v>6.3027004536913758</v>
      </c>
      <c r="N107" s="1796">
        <f t="shared" si="11"/>
        <v>4745.2582882741708</v>
      </c>
      <c r="O107" s="1796">
        <f t="shared" si="12"/>
        <v>31.739493942395466</v>
      </c>
      <c r="P107" s="3118"/>
      <c r="Q107" s="1781"/>
      <c r="R107" s="1789"/>
      <c r="S107" s="1781"/>
    </row>
    <row r="108" spans="1:19" x14ac:dyDescent="0.25">
      <c r="A108" s="3124"/>
      <c r="B108" s="809">
        <v>2051</v>
      </c>
      <c r="C108" s="1790">
        <f t="shared" si="13"/>
        <v>46182.631904965237</v>
      </c>
      <c r="D108" s="1790">
        <f t="shared" si="14"/>
        <v>195.50409578961674</v>
      </c>
      <c r="E108" s="1791">
        <f t="shared" si="15"/>
        <v>523.19590154831997</v>
      </c>
      <c r="F108" s="1791">
        <f t="shared" si="16"/>
        <v>45.272900297264641</v>
      </c>
      <c r="G108" s="1792">
        <f t="shared" ref="G108:G126" si="19">(C108/1000)</f>
        <v>46.182631904965234</v>
      </c>
      <c r="H108" s="1793">
        <v>97</v>
      </c>
      <c r="I108" s="1794">
        <f>(0.0584*1.02)*0.5306</f>
        <v>3.1606780799999998E-2</v>
      </c>
      <c r="J108" s="1795">
        <f>(16.43*1.02)*0.5306</f>
        <v>8.8921131599999992</v>
      </c>
      <c r="K108" s="1793">
        <f>(1.27*1.02)*0.5306</f>
        <v>0.68733924000000002</v>
      </c>
      <c r="L108" s="1796">
        <f t="shared" si="18"/>
        <v>4479.7152947816276</v>
      </c>
      <c r="M108" s="1793">
        <f t="shared" si="17"/>
        <v>6.1792551011246184</v>
      </c>
      <c r="N108" s="1796">
        <f t="shared" ref="N108:N126" si="20">E108*J108</f>
        <v>4652.31716141588</v>
      </c>
      <c r="O108" s="1796">
        <f t="shared" ref="O108:O126" si="21">F108*K108</f>
        <v>31.117840882917655</v>
      </c>
      <c r="P108" s="3118"/>
      <c r="Q108" s="1781"/>
      <c r="R108" s="1789"/>
      <c r="S108" s="1781"/>
    </row>
    <row r="109" spans="1:19" x14ac:dyDescent="0.25">
      <c r="A109" s="3124"/>
      <c r="B109" s="809">
        <v>2052</v>
      </c>
      <c r="C109" s="1790">
        <f t="shared" si="13"/>
        <v>46182.631904965237</v>
      </c>
      <c r="D109" s="1790">
        <f t="shared" si="14"/>
        <v>195.50409578961674</v>
      </c>
      <c r="E109" s="1791">
        <f t="shared" si="15"/>
        <v>523.19590154831997</v>
      </c>
      <c r="F109" s="1791">
        <f t="shared" si="16"/>
        <v>45.272900297264641</v>
      </c>
      <c r="G109" s="1792">
        <f t="shared" si="19"/>
        <v>46.182631904965234</v>
      </c>
      <c r="H109" s="1793">
        <v>97</v>
      </c>
      <c r="I109" s="1794">
        <f>(0.0584*1.02)*0.5202</f>
        <v>3.09872736E-2</v>
      </c>
      <c r="J109" s="1795">
        <f>(16.43*1.02)*0.5202</f>
        <v>8.7178237200000002</v>
      </c>
      <c r="K109" s="1793">
        <f>(1.27*1.02)*0.5202</f>
        <v>0.67386708000000006</v>
      </c>
      <c r="L109" s="1796">
        <f t="shared" si="18"/>
        <v>4479.7152947816276</v>
      </c>
      <c r="M109" s="1793">
        <f t="shared" si="17"/>
        <v>6.0581389061534621</v>
      </c>
      <c r="N109" s="1796">
        <f t="shared" si="20"/>
        <v>4561.1296407247282</v>
      </c>
      <c r="O109" s="1796">
        <f t="shared" si="21"/>
        <v>30.507917126448859</v>
      </c>
      <c r="P109" s="3118"/>
      <c r="Q109" s="1781"/>
      <c r="R109" s="1789"/>
      <c r="S109" s="1781"/>
    </row>
    <row r="110" spans="1:19" x14ac:dyDescent="0.25">
      <c r="A110" s="3124"/>
      <c r="B110" s="809">
        <v>2053</v>
      </c>
      <c r="C110" s="1790">
        <f t="shared" si="13"/>
        <v>46182.631904965237</v>
      </c>
      <c r="D110" s="1790">
        <f t="shared" si="14"/>
        <v>195.50409578961674</v>
      </c>
      <c r="E110" s="1791">
        <f t="shared" si="15"/>
        <v>523.19590154831997</v>
      </c>
      <c r="F110" s="1791">
        <f t="shared" si="16"/>
        <v>45.272900297264641</v>
      </c>
      <c r="G110" s="1792">
        <f t="shared" si="19"/>
        <v>46.182631904965234</v>
      </c>
      <c r="H110" s="1793">
        <v>97</v>
      </c>
      <c r="I110" s="1794">
        <f>(0.0584*1.02)*0.51</f>
        <v>3.0379680000000003E-2</v>
      </c>
      <c r="J110" s="1795">
        <f>(16.43*1.02)*0.51</f>
        <v>8.5468860000000006</v>
      </c>
      <c r="K110" s="1793">
        <f>(1.27*1.02)*0.51</f>
        <v>0.66065400000000007</v>
      </c>
      <c r="L110" s="1796">
        <f t="shared" si="18"/>
        <v>4479.7152947816276</v>
      </c>
      <c r="M110" s="1793">
        <f t="shared" si="17"/>
        <v>5.9393518687779041</v>
      </c>
      <c r="N110" s="1796">
        <f t="shared" si="20"/>
        <v>4471.6957262007145</v>
      </c>
      <c r="O110" s="1796">
        <f t="shared" si="21"/>
        <v>29.909722672989076</v>
      </c>
      <c r="P110" s="3118"/>
      <c r="Q110" s="1781"/>
      <c r="R110" s="1789"/>
      <c r="S110" s="1781"/>
    </row>
    <row r="111" spans="1:19" x14ac:dyDescent="0.25">
      <c r="A111" s="3124"/>
      <c r="B111" s="809">
        <v>2054</v>
      </c>
      <c r="C111" s="1790">
        <f t="shared" si="13"/>
        <v>46182.631904965237</v>
      </c>
      <c r="D111" s="1790">
        <f t="shared" si="14"/>
        <v>195.50409578961674</v>
      </c>
      <c r="E111" s="1791">
        <f t="shared" si="15"/>
        <v>523.19590154831997</v>
      </c>
      <c r="F111" s="1791">
        <f t="shared" si="16"/>
        <v>45.272900297264641</v>
      </c>
      <c r="G111" s="1792">
        <f t="shared" si="19"/>
        <v>46.182631904965234</v>
      </c>
      <c r="H111" s="1793">
        <v>97</v>
      </c>
      <c r="I111" s="1794">
        <f>(0.0584*1.02)*0.5</f>
        <v>2.9784000000000001E-2</v>
      </c>
      <c r="J111" s="1795">
        <f>(16.43*1.02)*0.5</f>
        <v>8.3793000000000006</v>
      </c>
      <c r="K111" s="1793">
        <f>(1.27*1.02)*0.5</f>
        <v>0.64770000000000005</v>
      </c>
      <c r="L111" s="1796">
        <f t="shared" si="18"/>
        <v>4479.7152947816276</v>
      </c>
      <c r="M111" s="1793">
        <f t="shared" si="17"/>
        <v>5.8228939889979454</v>
      </c>
      <c r="N111" s="1796">
        <f t="shared" si="20"/>
        <v>4384.0154178438379</v>
      </c>
      <c r="O111" s="1796">
        <f t="shared" si="21"/>
        <v>29.323257522538309</v>
      </c>
      <c r="P111" s="3118"/>
      <c r="Q111" s="1781"/>
      <c r="R111" s="1789"/>
      <c r="S111" s="1781"/>
    </row>
    <row r="112" spans="1:19" x14ac:dyDescent="0.25">
      <c r="A112" s="3124"/>
      <c r="B112" s="809">
        <v>2055</v>
      </c>
      <c r="C112" s="1790">
        <f t="shared" si="13"/>
        <v>46182.631904965237</v>
      </c>
      <c r="D112" s="1790">
        <f t="shared" si="14"/>
        <v>195.50409578961674</v>
      </c>
      <c r="E112" s="1791">
        <f t="shared" si="15"/>
        <v>523.19590154831997</v>
      </c>
      <c r="F112" s="1791">
        <f t="shared" si="16"/>
        <v>45.272900297264641</v>
      </c>
      <c r="G112" s="1792">
        <f t="shared" si="19"/>
        <v>46.182631904965234</v>
      </c>
      <c r="H112" s="1793">
        <v>97</v>
      </c>
      <c r="I112" s="1794">
        <f>(0.0584*1.02)*0.4902</f>
        <v>2.9200233600000004E-2</v>
      </c>
      <c r="J112" s="1795">
        <f>(16.43*1.02)*0.4902</f>
        <v>8.2150657200000019</v>
      </c>
      <c r="K112" s="1793">
        <f>(1.27*1.02)*0.4902</f>
        <v>0.63500508000000011</v>
      </c>
      <c r="L112" s="1796">
        <f t="shared" si="18"/>
        <v>4479.7152947816276</v>
      </c>
      <c r="M112" s="1793">
        <f t="shared" si="17"/>
        <v>5.708765266813586</v>
      </c>
      <c r="N112" s="1796">
        <f t="shared" si="20"/>
        <v>4298.0887156540994</v>
      </c>
      <c r="O112" s="1796">
        <f t="shared" si="21"/>
        <v>28.748521675096562</v>
      </c>
      <c r="P112" s="3118"/>
      <c r="Q112" s="1781"/>
      <c r="R112" s="1789"/>
      <c r="S112" s="1781"/>
    </row>
    <row r="113" spans="1:19" x14ac:dyDescent="0.25">
      <c r="A113" s="3124"/>
      <c r="B113" s="809">
        <v>2056</v>
      </c>
      <c r="C113" s="1790">
        <f t="shared" si="13"/>
        <v>46182.631904965237</v>
      </c>
      <c r="D113" s="1790">
        <f t="shared" si="14"/>
        <v>195.50409578961674</v>
      </c>
      <c r="E113" s="1791">
        <f t="shared" si="15"/>
        <v>523.19590154831997</v>
      </c>
      <c r="F113" s="1791">
        <f t="shared" si="16"/>
        <v>45.272900297264641</v>
      </c>
      <c r="G113" s="1792">
        <f t="shared" si="19"/>
        <v>46.182631904965234</v>
      </c>
      <c r="H113" s="1793">
        <v>97</v>
      </c>
      <c r="I113" s="1794">
        <f>(0.0584*1.02)*0.4806</f>
        <v>2.8628380800000002E-2</v>
      </c>
      <c r="J113" s="1795">
        <f>(16.43*1.02)*0.4806</f>
        <v>8.0541831600000009</v>
      </c>
      <c r="K113" s="1793">
        <f>(1.27*1.02)*0.4806</f>
        <v>0.62256924000000013</v>
      </c>
      <c r="L113" s="1796">
        <f t="shared" si="18"/>
        <v>4479.7152947816276</v>
      </c>
      <c r="M113" s="1793">
        <f t="shared" si="17"/>
        <v>5.5969657022248249</v>
      </c>
      <c r="N113" s="1796">
        <f t="shared" si="20"/>
        <v>4213.9156196314971</v>
      </c>
      <c r="O113" s="1796">
        <f t="shared" si="21"/>
        <v>28.185515130663827</v>
      </c>
      <c r="P113" s="3118"/>
      <c r="Q113" s="1781"/>
      <c r="R113" s="1789"/>
      <c r="S113" s="1781"/>
    </row>
    <row r="114" spans="1:19" x14ac:dyDescent="0.25">
      <c r="A114" s="3124"/>
      <c r="B114" s="809">
        <v>2057</v>
      </c>
      <c r="C114" s="1790">
        <f t="shared" si="13"/>
        <v>46182.631904965237</v>
      </c>
      <c r="D114" s="1790">
        <f t="shared" si="14"/>
        <v>195.50409578961674</v>
      </c>
      <c r="E114" s="1791">
        <f t="shared" si="15"/>
        <v>523.19590154831997</v>
      </c>
      <c r="F114" s="1791">
        <f t="shared" si="16"/>
        <v>45.272900297264641</v>
      </c>
      <c r="G114" s="1792">
        <f t="shared" si="19"/>
        <v>46.182631904965234</v>
      </c>
      <c r="H114" s="1793">
        <v>97</v>
      </c>
      <c r="I114" s="1794">
        <f>(0.0584*1.02)*0.4712</f>
        <v>2.8068441600000001E-2</v>
      </c>
      <c r="J114" s="1795">
        <f>(16.43*1.02)*0.4712</f>
        <v>7.8966523200000012</v>
      </c>
      <c r="K114" s="1793">
        <f>(1.27*1.02)*0.4712</f>
        <v>0.61039248000000002</v>
      </c>
      <c r="L114" s="1796">
        <f t="shared" si="18"/>
        <v>4479.7152947816276</v>
      </c>
      <c r="M114" s="1793">
        <f t="shared" si="17"/>
        <v>5.4874952952316631</v>
      </c>
      <c r="N114" s="1796">
        <f t="shared" si="20"/>
        <v>4131.4961297760328</v>
      </c>
      <c r="O114" s="1796">
        <f t="shared" si="21"/>
        <v>27.634237889240101</v>
      </c>
      <c r="P114" s="3118"/>
      <c r="Q114" s="1781"/>
      <c r="R114" s="1789"/>
      <c r="S114" s="1781"/>
    </row>
    <row r="115" spans="1:19" x14ac:dyDescent="0.25">
      <c r="A115" s="3124"/>
      <c r="B115" s="809">
        <v>2058</v>
      </c>
      <c r="C115" s="1790">
        <f t="shared" si="13"/>
        <v>46182.631904965237</v>
      </c>
      <c r="D115" s="1790">
        <f t="shared" si="14"/>
        <v>195.50409578961674</v>
      </c>
      <c r="E115" s="1791">
        <f t="shared" si="15"/>
        <v>523.19590154831997</v>
      </c>
      <c r="F115" s="1791">
        <f t="shared" si="16"/>
        <v>45.272900297264641</v>
      </c>
      <c r="G115" s="1792">
        <f t="shared" si="19"/>
        <v>46.182631904965234</v>
      </c>
      <c r="H115" s="1793">
        <v>97</v>
      </c>
      <c r="I115" s="1794">
        <f>(0.0584*1.02)*0.4619</f>
        <v>2.7514459200000001E-2</v>
      </c>
      <c r="J115" s="1795">
        <f>(16.43*1.02)*0.4619</f>
        <v>7.7407973400000003</v>
      </c>
      <c r="K115" s="1793">
        <f>(1.27*1.02)*0.4619</f>
        <v>0.59834525999999999</v>
      </c>
      <c r="L115" s="1796">
        <f t="shared" si="18"/>
        <v>4479.7152947816276</v>
      </c>
      <c r="M115" s="1793">
        <f t="shared" si="17"/>
        <v>5.3791894670363014</v>
      </c>
      <c r="N115" s="1796">
        <f t="shared" si="20"/>
        <v>4049.9534430041372</v>
      </c>
      <c r="O115" s="1796">
        <f t="shared" si="21"/>
        <v>27.088825299320888</v>
      </c>
      <c r="P115" s="3118"/>
      <c r="Q115" s="1781"/>
      <c r="R115" s="1789"/>
      <c r="S115" s="1781"/>
    </row>
    <row r="116" spans="1:19" x14ac:dyDescent="0.25">
      <c r="A116" s="3124"/>
      <c r="B116" s="809">
        <v>2059</v>
      </c>
      <c r="C116" s="1790">
        <f t="shared" si="13"/>
        <v>46182.631904965237</v>
      </c>
      <c r="D116" s="1790">
        <f t="shared" si="14"/>
        <v>195.50409578961674</v>
      </c>
      <c r="E116" s="1791">
        <f t="shared" si="15"/>
        <v>523.19590154831997</v>
      </c>
      <c r="F116" s="1791">
        <f t="shared" si="16"/>
        <v>45.272900297264641</v>
      </c>
      <c r="G116" s="1792">
        <f t="shared" si="19"/>
        <v>46.182631904965234</v>
      </c>
      <c r="H116" s="1793">
        <v>97</v>
      </c>
      <c r="I116" s="1794">
        <f>(0.0584*1.02)*0.4529</f>
        <v>2.6978347200000002E-2</v>
      </c>
      <c r="J116" s="1795">
        <f>(16.43*1.02)*0.4529</f>
        <v>7.5899699400000014</v>
      </c>
      <c r="K116" s="1793">
        <f>(1.27*1.02)*0.4529</f>
        <v>0.58668666000000003</v>
      </c>
      <c r="L116" s="1796">
        <f t="shared" si="18"/>
        <v>4479.7152947816276</v>
      </c>
      <c r="M116" s="1793">
        <f t="shared" si="17"/>
        <v>5.274377375234339</v>
      </c>
      <c r="N116" s="1796">
        <f t="shared" si="20"/>
        <v>3971.0411654829486</v>
      </c>
      <c r="O116" s="1796">
        <f t="shared" si="21"/>
        <v>26.561006663915201</v>
      </c>
      <c r="P116" s="3118"/>
      <c r="Q116" s="1781"/>
      <c r="R116" s="1789"/>
      <c r="S116" s="1781"/>
    </row>
    <row r="117" spans="1:19" x14ac:dyDescent="0.25">
      <c r="A117" s="3124"/>
      <c r="B117" s="809">
        <v>2060</v>
      </c>
      <c r="C117" s="1790">
        <f t="shared" si="13"/>
        <v>46182.631904965237</v>
      </c>
      <c r="D117" s="1790">
        <f t="shared" si="14"/>
        <v>195.50409578961674</v>
      </c>
      <c r="E117" s="1791">
        <f t="shared" si="15"/>
        <v>523.19590154831997</v>
      </c>
      <c r="F117" s="1791">
        <f t="shared" si="16"/>
        <v>45.272900297264641</v>
      </c>
      <c r="G117" s="1792">
        <f t="shared" si="19"/>
        <v>46.182631904965234</v>
      </c>
      <c r="H117" s="1793">
        <v>97</v>
      </c>
      <c r="I117" s="1794">
        <f>(0.0584*1.02)*0.444</f>
        <v>2.6448192000000002E-2</v>
      </c>
      <c r="J117" s="1795">
        <f>(16.43*1.02)*0.444</f>
        <v>7.4408184000000004</v>
      </c>
      <c r="K117" s="1793">
        <f>(1.27*1.02)*0.444</f>
        <v>0.57515760000000005</v>
      </c>
      <c r="L117" s="1796">
        <f t="shared" si="18"/>
        <v>4479.7152947816276</v>
      </c>
      <c r="M117" s="1793">
        <f t="shared" si="17"/>
        <v>5.1707298622301758</v>
      </c>
      <c r="N117" s="1796">
        <f t="shared" si="20"/>
        <v>3893.0056910453277</v>
      </c>
      <c r="O117" s="1796">
        <f t="shared" si="21"/>
        <v>26.03905268001402</v>
      </c>
      <c r="P117" s="3118"/>
      <c r="Q117" s="1781"/>
      <c r="R117" s="1789"/>
      <c r="S117" s="1781"/>
    </row>
    <row r="118" spans="1:19" x14ac:dyDescent="0.25">
      <c r="A118" s="3124"/>
      <c r="B118" s="809">
        <v>2061</v>
      </c>
      <c r="C118" s="1790">
        <f t="shared" si="13"/>
        <v>46182.631904965237</v>
      </c>
      <c r="D118" s="1790">
        <f t="shared" si="14"/>
        <v>195.50409578961674</v>
      </c>
      <c r="E118" s="1791">
        <f t="shared" si="15"/>
        <v>523.19590154831997</v>
      </c>
      <c r="F118" s="1791">
        <f t="shared" si="16"/>
        <v>45.272900297264641</v>
      </c>
      <c r="G118" s="1792">
        <f t="shared" si="19"/>
        <v>46.182631904965234</v>
      </c>
      <c r="H118" s="1793">
        <v>97</v>
      </c>
      <c r="I118" s="1794">
        <f>(0.0584*1.02)*0.4353</f>
        <v>2.5929950400000002E-2</v>
      </c>
      <c r="J118" s="1795">
        <f>(16.43*1.02)*0.4353</f>
        <v>7.2950185800000007</v>
      </c>
      <c r="K118" s="1793">
        <f>(1.27*1.02)*0.4353</f>
        <v>0.56388762000000003</v>
      </c>
      <c r="L118" s="1796">
        <f t="shared" si="18"/>
        <v>4479.7152947816276</v>
      </c>
      <c r="M118" s="1793">
        <f t="shared" si="17"/>
        <v>5.069411506821611</v>
      </c>
      <c r="N118" s="1796">
        <f t="shared" si="20"/>
        <v>3816.7238227748453</v>
      </c>
      <c r="O118" s="1796">
        <f t="shared" si="21"/>
        <v>25.528827999121852</v>
      </c>
      <c r="P118" s="3118"/>
      <c r="Q118" s="1781"/>
      <c r="R118" s="1789"/>
      <c r="S118" s="1781"/>
    </row>
    <row r="119" spans="1:19" x14ac:dyDescent="0.25">
      <c r="A119" s="3124"/>
      <c r="B119" s="809">
        <v>2062</v>
      </c>
      <c r="C119" s="1790">
        <f t="shared" si="13"/>
        <v>46182.631904965237</v>
      </c>
      <c r="D119" s="1790">
        <f t="shared" si="14"/>
        <v>195.50409578961674</v>
      </c>
      <c r="E119" s="1791">
        <f t="shared" si="15"/>
        <v>523.19590154831997</v>
      </c>
      <c r="F119" s="1791">
        <f t="shared" si="16"/>
        <v>45.272900297264641</v>
      </c>
      <c r="G119" s="1792">
        <f t="shared" si="19"/>
        <v>46.182631904965234</v>
      </c>
      <c r="H119" s="1793">
        <v>97</v>
      </c>
      <c r="I119" s="1794">
        <f>(0.0584*1.02)*0.4268</f>
        <v>2.5423622400000002E-2</v>
      </c>
      <c r="J119" s="1795">
        <f>(16.43*1.02)*0.4268</f>
        <v>7.1525704800000005</v>
      </c>
      <c r="K119" s="1793">
        <f>(1.27*1.02)*0.4268</f>
        <v>0.5528767200000001</v>
      </c>
      <c r="L119" s="1796">
        <f t="shared" si="18"/>
        <v>4479.7152947816276</v>
      </c>
      <c r="M119" s="1793">
        <f t="shared" si="17"/>
        <v>4.9704223090086463</v>
      </c>
      <c r="N119" s="1796">
        <f t="shared" si="20"/>
        <v>3742.1955606715001</v>
      </c>
      <c r="O119" s="1796">
        <f t="shared" si="21"/>
        <v>25.030332621238703</v>
      </c>
      <c r="P119" s="3118"/>
      <c r="Q119" s="1781"/>
      <c r="R119" s="1789"/>
      <c r="S119" s="1781"/>
    </row>
    <row r="120" spans="1:19" x14ac:dyDescent="0.25">
      <c r="A120" s="3124"/>
      <c r="B120" s="809">
        <v>2063</v>
      </c>
      <c r="C120" s="1790">
        <f t="shared" si="13"/>
        <v>46182.631904965237</v>
      </c>
      <c r="D120" s="1790">
        <f t="shared" si="14"/>
        <v>195.50409578961674</v>
      </c>
      <c r="E120" s="1791">
        <f t="shared" si="15"/>
        <v>523.19590154831997</v>
      </c>
      <c r="F120" s="1791">
        <f t="shared" si="16"/>
        <v>45.272900297264641</v>
      </c>
      <c r="G120" s="1792">
        <f t="shared" si="19"/>
        <v>46.182631904965234</v>
      </c>
      <c r="H120" s="1793">
        <v>97</v>
      </c>
      <c r="I120" s="1794">
        <f>(0.0584*1.02)*0.4184</f>
        <v>2.49232512E-2</v>
      </c>
      <c r="J120" s="1795">
        <f>(16.43*1.02)*0.4184</f>
        <v>7.0117982400000001</v>
      </c>
      <c r="K120" s="1793">
        <f>(1.27*1.02)*0.4184</f>
        <v>0.54199536000000004</v>
      </c>
      <c r="L120" s="1796">
        <f t="shared" si="18"/>
        <v>4479.7152947816276</v>
      </c>
      <c r="M120" s="1793">
        <f t="shared" si="17"/>
        <v>4.87259768999348</v>
      </c>
      <c r="N120" s="1796">
        <f t="shared" si="20"/>
        <v>3668.5441016517234</v>
      </c>
      <c r="O120" s="1796">
        <f t="shared" si="21"/>
        <v>24.537701894860056</v>
      </c>
      <c r="P120" s="3118"/>
      <c r="Q120" s="1781"/>
      <c r="R120" s="1789"/>
      <c r="S120" s="1781"/>
    </row>
    <row r="121" spans="1:19" x14ac:dyDescent="0.25">
      <c r="A121" s="3124"/>
      <c r="B121" s="809">
        <v>2064</v>
      </c>
      <c r="C121" s="1790">
        <f t="shared" si="13"/>
        <v>46182.631904965237</v>
      </c>
      <c r="D121" s="1790">
        <f t="shared" si="14"/>
        <v>195.50409578961674</v>
      </c>
      <c r="E121" s="1791">
        <f t="shared" si="15"/>
        <v>523.19590154831997</v>
      </c>
      <c r="F121" s="1791">
        <f t="shared" si="16"/>
        <v>45.272900297264641</v>
      </c>
      <c r="G121" s="1792">
        <f t="shared" si="19"/>
        <v>46.182631904965234</v>
      </c>
      <c r="H121" s="1793">
        <v>97</v>
      </c>
      <c r="I121" s="1794">
        <f>(0.0584*1.02)*0.4102</f>
        <v>2.4434793600000001E-2</v>
      </c>
      <c r="J121" s="1795">
        <f>(16.43*1.02)*0.4102</f>
        <v>6.8743777200000009</v>
      </c>
      <c r="K121" s="1793">
        <f>(1.27*1.02)*0.4102</f>
        <v>0.53137308000000005</v>
      </c>
      <c r="L121" s="1796">
        <f t="shared" si="18"/>
        <v>4479.7152947816276</v>
      </c>
      <c r="M121" s="1793">
        <f t="shared" si="17"/>
        <v>4.7771022285739146</v>
      </c>
      <c r="N121" s="1796">
        <f t="shared" si="20"/>
        <v>3596.6462487990848</v>
      </c>
      <c r="O121" s="1796">
        <f t="shared" si="21"/>
        <v>24.05680047149043</v>
      </c>
      <c r="P121" s="3118"/>
      <c r="Q121" s="1781"/>
      <c r="R121" s="1789"/>
      <c r="S121" s="1781"/>
    </row>
    <row r="122" spans="1:19" x14ac:dyDescent="0.25">
      <c r="A122" s="3124"/>
      <c r="B122" s="809">
        <v>2065</v>
      </c>
      <c r="C122" s="1790">
        <f t="shared" si="13"/>
        <v>46182.631904965237</v>
      </c>
      <c r="D122" s="1790">
        <f t="shared" si="14"/>
        <v>195.50409578961674</v>
      </c>
      <c r="E122" s="1791">
        <f t="shared" si="15"/>
        <v>523.19590154831997</v>
      </c>
      <c r="F122" s="1791">
        <f t="shared" si="16"/>
        <v>45.272900297264641</v>
      </c>
      <c r="G122" s="1792">
        <f t="shared" si="19"/>
        <v>46.182631904965234</v>
      </c>
      <c r="H122" s="1793">
        <v>97</v>
      </c>
      <c r="I122" s="1794">
        <f>(0.0584*1.02)*0.4022</f>
        <v>2.3958249600000002E-2</v>
      </c>
      <c r="J122" s="1795">
        <f>(16.43*1.02)*0.4022</f>
        <v>6.7403089200000004</v>
      </c>
      <c r="K122" s="1793">
        <f>(1.27*1.02)*0.4022</f>
        <v>0.52100988000000004</v>
      </c>
      <c r="L122" s="1796">
        <f t="shared" si="18"/>
        <v>4479.7152947816276</v>
      </c>
      <c r="M122" s="1793">
        <f t="shared" si="17"/>
        <v>4.6839359247499477</v>
      </c>
      <c r="N122" s="1796">
        <f t="shared" si="20"/>
        <v>3526.5020021135829</v>
      </c>
      <c r="O122" s="1796">
        <f t="shared" si="21"/>
        <v>23.587628351129815</v>
      </c>
      <c r="P122" s="3118"/>
      <c r="Q122" s="1781"/>
      <c r="R122" s="1789"/>
      <c r="S122" s="1781"/>
    </row>
    <row r="123" spans="1:19" x14ac:dyDescent="0.25">
      <c r="A123" s="3124"/>
      <c r="B123" s="809">
        <v>2066</v>
      </c>
      <c r="C123" s="1790">
        <f t="shared" si="13"/>
        <v>46182.631904965237</v>
      </c>
      <c r="D123" s="1790">
        <f t="shared" si="14"/>
        <v>195.50409578961674</v>
      </c>
      <c r="E123" s="1791">
        <f t="shared" si="15"/>
        <v>523.19590154831997</v>
      </c>
      <c r="F123" s="1791">
        <f t="shared" si="16"/>
        <v>45.272900297264641</v>
      </c>
      <c r="G123" s="1792">
        <f t="shared" si="19"/>
        <v>46.182631904965234</v>
      </c>
      <c r="H123" s="1793">
        <v>97</v>
      </c>
      <c r="I123" s="1794">
        <f>(0.0584*1.02)*0.3943</f>
        <v>2.3487662400000001E-2</v>
      </c>
      <c r="J123" s="1795">
        <f>(16.43*1.02)*0.3943</f>
        <v>6.6079159800000005</v>
      </c>
      <c r="K123" s="1793">
        <f>(1.27*1.02)*0.3943</f>
        <v>0.51077622</v>
      </c>
      <c r="L123" s="1796">
        <f t="shared" si="18"/>
        <v>4479.7152947816276</v>
      </c>
      <c r="M123" s="1793">
        <f t="shared" si="17"/>
        <v>4.5919341997237799</v>
      </c>
      <c r="N123" s="1796">
        <f t="shared" si="20"/>
        <v>3457.2345585116504</v>
      </c>
      <c r="O123" s="1796">
        <f t="shared" si="21"/>
        <v>23.124320882273711</v>
      </c>
      <c r="P123" s="3118"/>
      <c r="Q123" s="1781"/>
      <c r="R123" s="1789"/>
      <c r="S123" s="1781"/>
    </row>
    <row r="124" spans="1:19" x14ac:dyDescent="0.25">
      <c r="A124" s="3124"/>
      <c r="B124" s="809">
        <v>2067</v>
      </c>
      <c r="C124" s="1790">
        <f t="shared" si="13"/>
        <v>46182.631904965237</v>
      </c>
      <c r="D124" s="1790">
        <f t="shared" si="14"/>
        <v>195.50409578961674</v>
      </c>
      <c r="E124" s="1791">
        <f t="shared" si="15"/>
        <v>523.19590154831997</v>
      </c>
      <c r="F124" s="1791">
        <f t="shared" si="16"/>
        <v>45.272900297264641</v>
      </c>
      <c r="G124" s="1792">
        <f t="shared" si="19"/>
        <v>46.182631904965234</v>
      </c>
      <c r="H124" s="1793">
        <v>97</v>
      </c>
      <c r="I124" s="1794">
        <f>(0.0584*1.02)*0.3865</f>
        <v>2.3023032000000002E-2</v>
      </c>
      <c r="J124" s="1795">
        <f>(16.43*1.02)*0.3865</f>
        <v>6.4771989000000003</v>
      </c>
      <c r="K124" s="1793">
        <f>(1.27*1.02)*0.3865</f>
        <v>0.50067210000000006</v>
      </c>
      <c r="L124" s="1796">
        <f t="shared" si="18"/>
        <v>4479.7152947816276</v>
      </c>
      <c r="M124" s="1793">
        <f t="shared" si="17"/>
        <v>4.5010970534954122</v>
      </c>
      <c r="N124" s="1796">
        <f t="shared" si="20"/>
        <v>3388.8439179932866</v>
      </c>
      <c r="O124" s="1796">
        <f t="shared" si="21"/>
        <v>22.666878064922116</v>
      </c>
      <c r="P124" s="3118"/>
      <c r="Q124" s="1781"/>
      <c r="R124" s="1789"/>
      <c r="S124" s="1781"/>
    </row>
    <row r="125" spans="1:19" x14ac:dyDescent="0.25">
      <c r="A125" s="3124"/>
      <c r="B125" s="809">
        <v>2068</v>
      </c>
      <c r="C125" s="1790">
        <f t="shared" si="13"/>
        <v>46182.631904965237</v>
      </c>
      <c r="D125" s="1790">
        <f t="shared" si="14"/>
        <v>195.50409578961674</v>
      </c>
      <c r="E125" s="1791">
        <f t="shared" si="15"/>
        <v>523.19590154831997</v>
      </c>
      <c r="F125" s="1791">
        <f t="shared" si="16"/>
        <v>45.272900297264641</v>
      </c>
      <c r="G125" s="1792">
        <f t="shared" si="19"/>
        <v>46.182631904965234</v>
      </c>
      <c r="H125" s="1793">
        <v>97</v>
      </c>
      <c r="I125" s="1794">
        <f>(0.0584*1.02)*0.379</f>
        <v>2.2576272000000001E-2</v>
      </c>
      <c r="J125" s="1795">
        <f>(16.43*1.02)*0.379</f>
        <v>6.3515094000000003</v>
      </c>
      <c r="K125" s="1793">
        <f>(1.27*1.02)*0.379</f>
        <v>0.49095660000000002</v>
      </c>
      <c r="L125" s="1796">
        <f t="shared" si="18"/>
        <v>4479.7152947816276</v>
      </c>
      <c r="M125" s="1793">
        <f t="shared" si="17"/>
        <v>4.413753643660443</v>
      </c>
      <c r="N125" s="1796">
        <f t="shared" si="20"/>
        <v>3323.0836867256289</v>
      </c>
      <c r="O125" s="1796">
        <f t="shared" si="21"/>
        <v>22.22702920208404</v>
      </c>
      <c r="P125" s="3118"/>
      <c r="Q125" s="1781"/>
      <c r="R125" s="1789"/>
      <c r="S125" s="1781"/>
    </row>
    <row r="126" spans="1:19" ht="16.5" thickBot="1" x14ac:dyDescent="0.3">
      <c r="A126" s="3125"/>
      <c r="B126" s="620">
        <v>2069</v>
      </c>
      <c r="C126" s="1797">
        <f t="shared" si="13"/>
        <v>46182.631904965237</v>
      </c>
      <c r="D126" s="1797">
        <f t="shared" si="14"/>
        <v>195.50409578961674</v>
      </c>
      <c r="E126" s="1798">
        <f t="shared" si="15"/>
        <v>523.19590154831997</v>
      </c>
      <c r="F126" s="1798">
        <f t="shared" si="16"/>
        <v>45.272900297264641</v>
      </c>
      <c r="G126" s="1799">
        <f t="shared" si="19"/>
        <v>46.182631904965234</v>
      </c>
      <c r="H126" s="1800">
        <v>97</v>
      </c>
      <c r="I126" s="1801">
        <f>(0.0584*1.02)*0.3715</f>
        <v>2.2129512E-2</v>
      </c>
      <c r="J126" s="1802">
        <f>(16.43*1.02)*0.3715</f>
        <v>6.2258199000000003</v>
      </c>
      <c r="K126" s="1800">
        <f>(1.27*1.02)*0.3715</f>
        <v>0.48124110000000003</v>
      </c>
      <c r="L126" s="1803">
        <f t="shared" si="18"/>
        <v>4479.7152947816276</v>
      </c>
      <c r="M126" s="1800">
        <f t="shared" si="17"/>
        <v>4.3264102338254729</v>
      </c>
      <c r="N126" s="1803">
        <f t="shared" si="20"/>
        <v>3257.3234554579712</v>
      </c>
      <c r="O126" s="1803">
        <f t="shared" si="21"/>
        <v>21.787180339245964</v>
      </c>
      <c r="P126" s="3119"/>
      <c r="Q126" s="1781"/>
      <c r="R126" s="1789"/>
      <c r="S126" s="1781"/>
    </row>
  </sheetData>
  <mergeCells count="20">
    <mergeCell ref="A1:E1"/>
    <mergeCell ref="A76:A126"/>
    <mergeCell ref="P76:P126"/>
    <mergeCell ref="A3:E3"/>
    <mergeCell ref="A7:D7"/>
    <mergeCell ref="A8:D8"/>
    <mergeCell ref="A10:D10"/>
    <mergeCell ref="A12:A13"/>
    <mergeCell ref="E12:E14"/>
    <mergeCell ref="F10:I10"/>
    <mergeCell ref="I12:I14"/>
    <mergeCell ref="F12:F14"/>
    <mergeCell ref="G12:G14"/>
    <mergeCell ref="H12:H14"/>
    <mergeCell ref="A16:F16"/>
    <mergeCell ref="G16:J16"/>
    <mergeCell ref="A22:A72"/>
    <mergeCell ref="A20:I20"/>
    <mergeCell ref="I22:I72"/>
    <mergeCell ref="A74:P74"/>
  </mergeCells>
  <hyperlinks>
    <hyperlink ref="E5" r:id="rId1" xr:uid="{55B59983-8383-4594-A782-75393B75BD18}"/>
    <hyperlink ref="E6" r:id="rId2" xr:uid="{065E17DA-CA86-4770-8FD7-FA1EB4A5BCEC}"/>
    <hyperlink ref="E8" r:id="rId3" xr:uid="{ADA54930-7517-4581-89F0-577331FF4E55}"/>
  </hyperlinks>
  <pageMargins left="0.7" right="0.7" top="0.75" bottom="0.75" header="0.3" footer="0.3"/>
  <pageSetup orientation="portrait"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4620B-CF60-4439-B3F0-964115FC8CDF}">
  <dimension ref="A1:K79"/>
  <sheetViews>
    <sheetView workbookViewId="0">
      <selection sqref="A1:K1"/>
    </sheetView>
  </sheetViews>
  <sheetFormatPr defaultRowHeight="15" x14ac:dyDescent="0.25"/>
  <cols>
    <col min="1" max="1" width="66" customWidth="1"/>
    <col min="2" max="2" width="17.42578125" bestFit="1" customWidth="1"/>
    <col min="3" max="3" width="13.85546875" customWidth="1"/>
    <col min="8" max="8" width="11.85546875" customWidth="1"/>
    <col min="9" max="9" width="12.28515625" customWidth="1"/>
    <col min="11" max="11" width="30.42578125" customWidth="1"/>
  </cols>
  <sheetData>
    <row r="1" spans="1:11" ht="39.75" customHeight="1" thickBot="1" x14ac:dyDescent="0.3">
      <c r="A1" s="3149" t="s">
        <v>1345</v>
      </c>
      <c r="B1" s="3150"/>
      <c r="C1" s="3150"/>
      <c r="D1" s="3150"/>
      <c r="E1" s="3150"/>
      <c r="F1" s="3150"/>
      <c r="G1" s="3150"/>
      <c r="H1" s="3150"/>
      <c r="I1" s="3150"/>
      <c r="J1" s="3150"/>
      <c r="K1" s="3151"/>
    </row>
    <row r="2" spans="1:11" ht="23.25" customHeight="1" thickBot="1" x14ac:dyDescent="0.3">
      <c r="A2" s="3152" t="s">
        <v>1101</v>
      </c>
      <c r="B2" s="3154" t="s">
        <v>1107</v>
      </c>
      <c r="C2" s="3150"/>
      <c r="D2" s="3150"/>
      <c r="E2" s="3150"/>
      <c r="F2" s="3150"/>
      <c r="G2" s="3150"/>
      <c r="H2" s="3150"/>
      <c r="I2" s="3150"/>
      <c r="J2" s="3155"/>
      <c r="K2" s="3156" t="s">
        <v>1804</v>
      </c>
    </row>
    <row r="3" spans="1:11" ht="18.75" thickBot="1" x14ac:dyDescent="0.3">
      <c r="A3" s="3153"/>
      <c r="B3" s="1401" t="s">
        <v>20</v>
      </c>
      <c r="C3" s="1400" t="s">
        <v>21</v>
      </c>
      <c r="D3" s="1400" t="s">
        <v>79</v>
      </c>
      <c r="E3" s="1400" t="s">
        <v>17</v>
      </c>
      <c r="F3" s="1400" t="s">
        <v>18</v>
      </c>
      <c r="G3" s="1400" t="s">
        <v>19</v>
      </c>
      <c r="H3" s="1400" t="s">
        <v>76</v>
      </c>
      <c r="I3" s="1400" t="s">
        <v>77</v>
      </c>
      <c r="J3" s="1950" t="s">
        <v>78</v>
      </c>
      <c r="K3" s="3157"/>
    </row>
    <row r="4" spans="1:11" ht="15" customHeight="1" thickBot="1" x14ac:dyDescent="0.3">
      <c r="A4" s="1903" t="s">
        <v>1215</v>
      </c>
      <c r="B4" s="1211" t="s">
        <v>897</v>
      </c>
      <c r="C4" s="1211" t="s">
        <v>897</v>
      </c>
      <c r="D4" s="1211" t="s">
        <v>897</v>
      </c>
      <c r="E4" s="1211" t="s">
        <v>897</v>
      </c>
      <c r="F4" s="1211" t="s">
        <v>897</v>
      </c>
      <c r="G4" s="1211" t="s">
        <v>897</v>
      </c>
      <c r="H4" s="1537">
        <f>'Emission-Landfilling'!$G$12</f>
        <v>9070050.0205338802</v>
      </c>
      <c r="I4" s="1537">
        <f>'Emission-Landfilling'!$F$12</f>
        <v>5238240.9137577005</v>
      </c>
      <c r="J4" s="2018">
        <f>'Emission-Landfilling'!$H$12</f>
        <v>28702.689938398358</v>
      </c>
      <c r="K4" s="2027">
        <f>'Emission-Landfilling'!$I$22</f>
        <v>79910660.506121904</v>
      </c>
    </row>
    <row r="5" spans="1:11" ht="18.75" thickBot="1" x14ac:dyDescent="0.3">
      <c r="A5" s="1399" t="s">
        <v>1217</v>
      </c>
      <c r="B5" s="1541" t="s">
        <v>20</v>
      </c>
      <c r="C5" s="1541" t="s">
        <v>21</v>
      </c>
      <c r="D5" s="1541" t="s">
        <v>79</v>
      </c>
      <c r="E5" s="1541" t="s">
        <v>17</v>
      </c>
      <c r="F5" s="1541" t="s">
        <v>18</v>
      </c>
      <c r="G5" s="1541" t="s">
        <v>19</v>
      </c>
      <c r="H5" s="1541" t="s">
        <v>76</v>
      </c>
      <c r="I5" s="1541" t="s">
        <v>77</v>
      </c>
      <c r="J5" s="1950" t="s">
        <v>78</v>
      </c>
      <c r="K5" s="2028"/>
    </row>
    <row r="6" spans="1:11" ht="15" customHeight="1" x14ac:dyDescent="0.25">
      <c r="A6" s="963" t="s">
        <v>1197</v>
      </c>
      <c r="B6" s="964">
        <f>'Emission-Waste Transport Vehicl'!L15</f>
        <v>0</v>
      </c>
      <c r="C6" s="965">
        <f>'Emission-Waste Transport Vehicl'!M15</f>
        <v>0</v>
      </c>
      <c r="D6" s="965">
        <f>'Emission-Waste Transport Vehicl'!N15</f>
        <v>0</v>
      </c>
      <c r="E6" s="966">
        <f>'Emission-Waste Transport Vehicl'!O15</f>
        <v>0</v>
      </c>
      <c r="F6" s="966">
        <f>'Emission-Waste Transport Vehicl'!P15</f>
        <v>0</v>
      </c>
      <c r="G6" s="965">
        <f>'Emission-Waste Transport Vehicl'!Q15</f>
        <v>0</v>
      </c>
      <c r="H6" s="965">
        <f>'Emission-Waste Transport Vehicl'!R15</f>
        <v>0</v>
      </c>
      <c r="I6" s="965">
        <f>'Emission-Waste Transport Vehicl'!S15</f>
        <v>0</v>
      </c>
      <c r="J6" s="2019">
        <f>'Emission-Waste Transport Vehicl'!T15</f>
        <v>0</v>
      </c>
      <c r="K6" s="2029">
        <f>'Emission-Waste Transport Vehicl'!$AA$291</f>
        <v>0</v>
      </c>
    </row>
    <row r="7" spans="1:11" ht="15" customHeight="1" x14ac:dyDescent="0.25">
      <c r="A7" s="606" t="s">
        <v>1787</v>
      </c>
      <c r="B7" s="728">
        <f>'Emission-Waste Transport Vehicl'!L16</f>
        <v>0</v>
      </c>
      <c r="C7" s="729">
        <f>'Emission-Waste Transport Vehicl'!M16</f>
        <v>0</v>
      </c>
      <c r="D7" s="729">
        <f>'Emission-Waste Transport Vehicl'!N16</f>
        <v>0</v>
      </c>
      <c r="E7" s="729">
        <f>'Emission-Waste Transport Vehicl'!O16</f>
        <v>0</v>
      </c>
      <c r="F7" s="729">
        <f>'Emission-Waste Transport Vehicl'!P16</f>
        <v>0</v>
      </c>
      <c r="G7" s="729">
        <f>'Emission-Waste Transport Vehicl'!Q16</f>
        <v>0</v>
      </c>
      <c r="H7" s="729">
        <f>'Emission-Waste Transport Vehicl'!R16</f>
        <v>0</v>
      </c>
      <c r="I7" s="729">
        <f>'Emission-Waste Transport Vehicl'!S16</f>
        <v>0</v>
      </c>
      <c r="J7" s="2020">
        <f>'Emission-Waste Transport Vehicl'!T16</f>
        <v>0</v>
      </c>
      <c r="K7" s="2030">
        <f>'Emission-Waste Transport Vehicl'!$AA$342</f>
        <v>0</v>
      </c>
    </row>
    <row r="8" spans="1:11" ht="15" customHeight="1" x14ac:dyDescent="0.25">
      <c r="A8" s="606" t="s">
        <v>1216</v>
      </c>
      <c r="B8" s="728">
        <f>'Emission-Waste Transport Vehicl'!L17</f>
        <v>0</v>
      </c>
      <c r="C8" s="729">
        <f>'Emission-Waste Transport Vehicl'!M17</f>
        <v>0</v>
      </c>
      <c r="D8" s="729">
        <f>'Emission-Waste Transport Vehicl'!N17</f>
        <v>0</v>
      </c>
      <c r="E8" s="729">
        <f>'Emission-Waste Transport Vehicl'!O17</f>
        <v>0</v>
      </c>
      <c r="F8" s="729">
        <f>'Emission-Waste Transport Vehicl'!P17</f>
        <v>0</v>
      </c>
      <c r="G8" s="729">
        <f>'Emission-Waste Transport Vehicl'!Q17</f>
        <v>0</v>
      </c>
      <c r="H8" s="729">
        <f>'Emission-Waste Transport Vehicl'!R17</f>
        <v>0</v>
      </c>
      <c r="I8" s="729">
        <f>'Emission-Waste Transport Vehicl'!S17</f>
        <v>0</v>
      </c>
      <c r="J8" s="2020">
        <f>'Emission-Waste Transport Vehicl'!T17</f>
        <v>0</v>
      </c>
      <c r="K8" s="2030">
        <f>'Emission-Waste Transport Vehicl'!$AA$393</f>
        <v>0</v>
      </c>
    </row>
    <row r="9" spans="1:11" ht="15" customHeight="1" x14ac:dyDescent="0.25">
      <c r="A9" s="1111" t="s">
        <v>1199</v>
      </c>
      <c r="B9" s="797">
        <f>'Emission-Waste Transport Vehicl'!L18</f>
        <v>0</v>
      </c>
      <c r="C9" s="798">
        <f>'Emission-Waste Transport Vehicl'!M18</f>
        <v>0</v>
      </c>
      <c r="D9" s="798">
        <f>'Emission-Waste Transport Vehicl'!N18</f>
        <v>0</v>
      </c>
      <c r="E9" s="591">
        <f>'Emission-Waste Transport Vehicl'!O18</f>
        <v>0</v>
      </c>
      <c r="F9" s="591">
        <f>'Emission-Waste Transport Vehicl'!P18</f>
        <v>0</v>
      </c>
      <c r="G9" s="798">
        <f>'Emission-Waste Transport Vehicl'!Q18</f>
        <v>0</v>
      </c>
      <c r="H9" s="798">
        <f>'Emission-Waste Transport Vehicl'!R18</f>
        <v>0</v>
      </c>
      <c r="I9" s="798">
        <f>'Emission-Waste Transport Vehicl'!S18</f>
        <v>0</v>
      </c>
      <c r="J9" s="2021">
        <f>'Emission-Waste Transport Vehicl'!T18</f>
        <v>0</v>
      </c>
      <c r="K9" s="2030">
        <f>'Emission-Waste Transport Vehicl'!$AA$444</f>
        <v>0</v>
      </c>
    </row>
    <row r="10" spans="1:11" ht="15.75" customHeight="1" thickBot="1" x14ac:dyDescent="0.3">
      <c r="A10" s="608" t="s">
        <v>1200</v>
      </c>
      <c r="B10" s="800">
        <f>'Emission-Waste Transport Vehicl'!L19</f>
        <v>0</v>
      </c>
      <c r="C10" s="801">
        <f>'Emission-Waste Transport Vehicl'!M19</f>
        <v>0</v>
      </c>
      <c r="D10" s="801">
        <f>'Emission-Waste Transport Vehicl'!N19</f>
        <v>0</v>
      </c>
      <c r="E10" s="716">
        <f>'Emission-Waste Transport Vehicl'!O19</f>
        <v>0</v>
      </c>
      <c r="F10" s="716">
        <f>'Emission-Waste Transport Vehicl'!P19</f>
        <v>0</v>
      </c>
      <c r="G10" s="801">
        <f>'Emission-Waste Transport Vehicl'!Q19</f>
        <v>0</v>
      </c>
      <c r="H10" s="801">
        <f>'Emission-Waste Transport Vehicl'!R19</f>
        <v>0</v>
      </c>
      <c r="I10" s="801">
        <f>'Emission-Waste Transport Vehicl'!S19</f>
        <v>0</v>
      </c>
      <c r="J10" s="2022">
        <f>'Emission-Waste Transport Vehicl'!T19</f>
        <v>0</v>
      </c>
      <c r="K10" s="2031">
        <f>'Emission-Waste Transport Vehicl'!$AA$495</f>
        <v>0</v>
      </c>
    </row>
    <row r="11" spans="1:11" ht="21.75" customHeight="1" thickBot="1" x14ac:dyDescent="0.3">
      <c r="A11" s="1399" t="s">
        <v>1287</v>
      </c>
      <c r="B11" s="1541" t="s">
        <v>20</v>
      </c>
      <c r="C11" s="1541" t="s">
        <v>21</v>
      </c>
      <c r="D11" s="1541" t="s">
        <v>79</v>
      </c>
      <c r="E11" s="1541" t="s">
        <v>17</v>
      </c>
      <c r="F11" s="1541" t="s">
        <v>18</v>
      </c>
      <c r="G11" s="1541" t="s">
        <v>19</v>
      </c>
      <c r="H11" s="1541" t="s">
        <v>76</v>
      </c>
      <c r="I11" s="1541" t="s">
        <v>77</v>
      </c>
      <c r="J11" s="1950" t="s">
        <v>78</v>
      </c>
      <c r="K11" s="2032"/>
    </row>
    <row r="12" spans="1:11" ht="15" customHeight="1" thickBot="1" x14ac:dyDescent="0.3">
      <c r="A12" s="1223" t="s">
        <v>1288</v>
      </c>
      <c r="B12" s="1542">
        <f>'Emission-Solid-liquid Residual'!$J$15</f>
        <v>0.99448610418181815</v>
      </c>
      <c r="C12" s="1543" t="s">
        <v>897</v>
      </c>
      <c r="D12" s="1542">
        <f>'Emission-Solid-liquid Residual'!$H$15</f>
        <v>2.8909479772727265</v>
      </c>
      <c r="E12" s="3158">
        <f>'Emission-Solid-liquid Residual'!$K$15</f>
        <v>0.46255167636363631</v>
      </c>
      <c r="F12" s="3159"/>
      <c r="G12" s="1542">
        <f>'Emission-Solid-liquid Residual'!$I$15</f>
        <v>3.1222238154545442E-2</v>
      </c>
      <c r="H12" s="1543" t="s">
        <v>897</v>
      </c>
      <c r="I12" s="1542">
        <f>'Emission-Solid-liquid Residual'!$L$15</f>
        <v>1084.683681072727</v>
      </c>
      <c r="J12" s="2023" t="s">
        <v>897</v>
      </c>
      <c r="K12" s="2033">
        <f>'Emission-Solid-liquid Residual'!$R$334</f>
        <v>8293.8967588128344</v>
      </c>
    </row>
    <row r="13" spans="1:11" ht="15" customHeight="1" thickBot="1" x14ac:dyDescent="0.3">
      <c r="A13" s="1223" t="s">
        <v>1397</v>
      </c>
      <c r="B13" s="1542">
        <f>'Emission-Solid-liquid Residual'!$J$20</f>
        <v>0</v>
      </c>
      <c r="C13" s="1543" t="s">
        <v>897</v>
      </c>
      <c r="D13" s="1542">
        <f>'Emission-Solid-liquid Residual'!$H$20</f>
        <v>0</v>
      </c>
      <c r="E13" s="3145">
        <f>'Emission-Solid-liquid Residual'!$K$20</f>
        <v>0</v>
      </c>
      <c r="F13" s="3146"/>
      <c r="G13" s="1542">
        <f>'Emission-Solid-liquid Residual'!$I$20</f>
        <v>0</v>
      </c>
      <c r="H13" s="1543" t="s">
        <v>897</v>
      </c>
      <c r="I13" s="1542">
        <f>'Emission-Solid-liquid Residual'!$L$20</f>
        <v>0</v>
      </c>
      <c r="J13" s="2023" t="s">
        <v>897</v>
      </c>
      <c r="K13" s="2033">
        <f>'Emission-Solid-liquid Residual'!$R$388</f>
        <v>0</v>
      </c>
    </row>
    <row r="14" spans="1:11" ht="15" customHeight="1" thickBot="1" x14ac:dyDescent="0.3">
      <c r="A14" s="1544" t="s">
        <v>1219</v>
      </c>
      <c r="B14" s="1541" t="s">
        <v>20</v>
      </c>
      <c r="C14" s="1541" t="s">
        <v>21</v>
      </c>
      <c r="D14" s="1541" t="s">
        <v>79</v>
      </c>
      <c r="E14" s="1541" t="s">
        <v>17</v>
      </c>
      <c r="F14" s="1541" t="s">
        <v>18</v>
      </c>
      <c r="G14" s="1541" t="s">
        <v>19</v>
      </c>
      <c r="H14" s="1541" t="s">
        <v>76</v>
      </c>
      <c r="I14" s="1541" t="s">
        <v>77</v>
      </c>
      <c r="J14" s="1950" t="s">
        <v>78</v>
      </c>
      <c r="K14" s="2034"/>
    </row>
    <row r="15" spans="1:11" ht="15" customHeight="1" thickBot="1" x14ac:dyDescent="0.3">
      <c r="A15" s="1223" t="s">
        <v>1131</v>
      </c>
      <c r="B15" s="1542">
        <f>'Emission-Impurities'!$K$10</f>
        <v>81.931458975985805</v>
      </c>
      <c r="C15" s="1543" t="s">
        <v>897</v>
      </c>
      <c r="D15" s="1542">
        <f>'Emission-Impurities'!$I$10</f>
        <v>238.17284586042385</v>
      </c>
      <c r="E15" s="3158">
        <f>'Emission-Impurities'!$L$10</f>
        <v>38.107655337667822</v>
      </c>
      <c r="F15" s="3159"/>
      <c r="G15" s="1542">
        <f>'Emission-Impurities'!$J$10</f>
        <v>2.5722667352925779</v>
      </c>
      <c r="H15" s="1543" t="s">
        <v>897</v>
      </c>
      <c r="I15" s="1542">
        <f>'Emission-Impurities'!$M$10</f>
        <v>89362.451766831029</v>
      </c>
      <c r="J15" s="2023" t="s">
        <v>897</v>
      </c>
      <c r="K15" s="2033">
        <f>'Emission-Impurities'!$R$68</f>
        <v>683298.699889626</v>
      </c>
    </row>
    <row r="16" spans="1:11" ht="15" customHeight="1" thickBot="1" x14ac:dyDescent="0.3">
      <c r="A16" s="1399" t="s">
        <v>1218</v>
      </c>
      <c r="B16" s="1541" t="s">
        <v>20</v>
      </c>
      <c r="C16" s="1541" t="s">
        <v>21</v>
      </c>
      <c r="D16" s="1541" t="s">
        <v>79</v>
      </c>
      <c r="E16" s="1541" t="s">
        <v>17</v>
      </c>
      <c r="F16" s="1541" t="s">
        <v>18</v>
      </c>
      <c r="G16" s="1541" t="s">
        <v>19</v>
      </c>
      <c r="H16" s="1541" t="s">
        <v>76</v>
      </c>
      <c r="I16" s="1541" t="s">
        <v>77</v>
      </c>
      <c r="J16" s="1950" t="s">
        <v>78</v>
      </c>
      <c r="K16" s="2028"/>
    </row>
    <row r="17" spans="1:11" ht="15.75" customHeight="1" x14ac:dyDescent="0.25">
      <c r="A17" s="1225" t="s">
        <v>1204</v>
      </c>
      <c r="B17" s="1220">
        <f>'Emission-Biogas Conversion'!U18</f>
        <v>1684.7122166464228</v>
      </c>
      <c r="C17" s="1318" t="s">
        <v>897</v>
      </c>
      <c r="D17" s="1545">
        <f>'Emission-Biogas Conversion'!R18</f>
        <v>1367.2146569372881</v>
      </c>
      <c r="E17" s="3163">
        <f>'Emission-Biogas Conversion'!T18</f>
        <v>794.5609353710405</v>
      </c>
      <c r="F17" s="3164"/>
      <c r="G17" s="1545">
        <f>'Emission-Biogas Conversion'!V18</f>
        <v>-870.18053017898262</v>
      </c>
      <c r="H17" s="1215" t="s">
        <v>897</v>
      </c>
      <c r="I17" s="1545">
        <f>'Emission-Biogas Conversion'!S18</f>
        <v>1887368.2584601068</v>
      </c>
      <c r="J17" s="2024" t="s">
        <v>897</v>
      </c>
      <c r="K17" s="2029">
        <f>'Emission-Biogas Conversion'!$R$336</f>
        <v>11841857.542861719</v>
      </c>
    </row>
    <row r="18" spans="1:11" s="230" customFormat="1" x14ac:dyDescent="0.25">
      <c r="A18" s="1226" t="s">
        <v>1205</v>
      </c>
      <c r="B18" s="1151">
        <f>'Emission-Biogas Conversion'!U19</f>
        <v>1684.7122166464228</v>
      </c>
      <c r="C18" s="1530" t="s">
        <v>897</v>
      </c>
      <c r="D18" s="1535">
        <f>'Emission-Biogas Conversion'!R19</f>
        <v>4852.1046581477403</v>
      </c>
      <c r="E18" s="3147">
        <f>'Emission-Biogas Conversion'!T19</f>
        <v>1765.4020084355284</v>
      </c>
      <c r="F18" s="3148"/>
      <c r="G18" s="1535">
        <f>'Emission-Biogas Conversion'!V19</f>
        <v>-870.18053017898262</v>
      </c>
      <c r="H18" s="1215" t="s">
        <v>897</v>
      </c>
      <c r="I18" s="1535">
        <f>'Emission-Biogas Conversion'!S19</f>
        <v>1887368.2584601068</v>
      </c>
      <c r="J18" s="2024" t="s">
        <v>897</v>
      </c>
      <c r="K18" s="2029">
        <f>'Emission-Biogas Conversion'!$R$387</f>
        <v>14916528.32405797</v>
      </c>
    </row>
    <row r="19" spans="1:11" s="230" customFormat="1" ht="15" customHeight="1" x14ac:dyDescent="0.25">
      <c r="A19" s="1226" t="s">
        <v>1208</v>
      </c>
      <c r="B19" s="1151">
        <f>'Emission-Biogas Conversion'!U20</f>
        <v>1493.541946125476</v>
      </c>
      <c r="C19" s="1530" t="s">
        <v>897</v>
      </c>
      <c r="D19" s="1535">
        <f>'Emission-Biogas Conversion'!R20</f>
        <v>17373.361367042369</v>
      </c>
      <c r="E19" s="3147">
        <f>'Emission-Biogas Conversion'!T20</f>
        <v>1263.906390079519</v>
      </c>
      <c r="F19" s="3148"/>
      <c r="G19" s="1535">
        <f>'Emission-Biogas Conversion'!V20</f>
        <v>-838.49971198616026</v>
      </c>
      <c r="H19" s="1215" t="s">
        <v>897</v>
      </c>
      <c r="I19" s="1535">
        <f>'Emission-Biogas Conversion'!S20</f>
        <v>2987983.3497514897</v>
      </c>
      <c r="J19" s="2024" t="s">
        <v>897</v>
      </c>
      <c r="K19" s="2029">
        <f>'Emission-Biogas Conversion'!$R$438</f>
        <v>27891711.649495214</v>
      </c>
    </row>
    <row r="20" spans="1:11" x14ac:dyDescent="0.25">
      <c r="A20" s="1226" t="s">
        <v>1209</v>
      </c>
      <c r="B20" s="1151">
        <f>'Emission-Biogas Conversion'!U21</f>
        <v>1482.8936711217773</v>
      </c>
      <c r="C20" s="1530" t="s">
        <v>897</v>
      </c>
      <c r="D20" s="1535">
        <f>'Emission-Biogas Conversion'!R21</f>
        <v>4265.4228397621418</v>
      </c>
      <c r="E20" s="3147">
        <f>'Emission-Biogas Conversion'!T21</f>
        <v>700.69184442934477</v>
      </c>
      <c r="F20" s="3148"/>
      <c r="G20" s="1535">
        <f>'Emission-Biogas Conversion'!V21</f>
        <v>-876.51669381754698</v>
      </c>
      <c r="H20" s="1215" t="s">
        <v>897</v>
      </c>
      <c r="I20" s="1535">
        <f>'Emission-Biogas Conversion'!S21</f>
        <v>1667245.2402018306</v>
      </c>
      <c r="J20" s="2024" t="s">
        <v>897</v>
      </c>
      <c r="K20" s="2029">
        <f>'Emission-Biogas Conversion'!$R$489</f>
        <v>12208346.372934783</v>
      </c>
    </row>
    <row r="21" spans="1:11" x14ac:dyDescent="0.25">
      <c r="A21" s="1227" t="s">
        <v>1782</v>
      </c>
      <c r="B21" s="1151">
        <f>'Emission-Biogas Conversion'!U22</f>
        <v>17936.097125328652</v>
      </c>
      <c r="C21" s="1530" t="s">
        <v>897</v>
      </c>
      <c r="D21" s="1535">
        <f>'Emission-Biogas Conversion'!R22</f>
        <v>52139.817224792598</v>
      </c>
      <c r="E21" s="3147">
        <f>'Emission-Biogas Conversion'!T22</f>
        <v>8342.3707559668164</v>
      </c>
      <c r="F21" s="3148"/>
      <c r="G21" s="1535">
        <f>'Emission-Biogas Conversion'!V22</f>
        <v>563.11002602776</v>
      </c>
      <c r="H21" s="1215" t="s">
        <v>897</v>
      </c>
      <c r="I21" s="1535">
        <f>'Emission-Biogas Conversion'!S22</f>
        <v>19562859.422742181</v>
      </c>
      <c r="J21" s="2024" t="s">
        <v>897</v>
      </c>
      <c r="K21" s="2029">
        <f>'Emission-Biogas Conversion'!$R$540</f>
        <v>149584933.55309698</v>
      </c>
    </row>
    <row r="22" spans="1:11" ht="15.75" thickBot="1" x14ac:dyDescent="0.3">
      <c r="A22" s="1227" t="s">
        <v>1176</v>
      </c>
      <c r="B22" s="1152">
        <f>'Emission-Biogas Conversion'!U23</f>
        <v>20878.853011354684</v>
      </c>
      <c r="C22" s="1245" t="s">
        <v>897</v>
      </c>
      <c r="D22" s="1536">
        <f>'Emission-Biogas Conversion'!R23</f>
        <v>60694.340149286865</v>
      </c>
      <c r="E22" s="3165">
        <f>'Emission-Biogas Conversion'!T23</f>
        <v>9711.0944238858992</v>
      </c>
      <c r="F22" s="3166"/>
      <c r="G22" s="1536">
        <f>'Emission-Biogas Conversion'!V23</f>
        <v>655.49887361229821</v>
      </c>
      <c r="H22" s="1043" t="s">
        <v>897</v>
      </c>
      <c r="I22" s="1536">
        <f>'Emission-Biogas Conversion'!S23</f>
        <v>22772516.424012434</v>
      </c>
      <c r="J22" s="879" t="s">
        <v>897</v>
      </c>
      <c r="K22" s="2035">
        <f>'Emission-Biogas Conversion'!$R$591</f>
        <v>174127170.39527836</v>
      </c>
    </row>
    <row r="23" spans="1:11" ht="15.75" thickBot="1" x14ac:dyDescent="0.3">
      <c r="A23" s="1399" t="s">
        <v>1423</v>
      </c>
      <c r="B23" s="3155" t="s">
        <v>1211</v>
      </c>
      <c r="C23" s="3066"/>
      <c r="D23" s="3066"/>
      <c r="E23" s="3066"/>
      <c r="F23" s="3066"/>
      <c r="G23" s="3066"/>
      <c r="H23" s="3066"/>
      <c r="I23" s="3066"/>
      <c r="J23" s="3066"/>
      <c r="K23" s="2028"/>
    </row>
    <row r="24" spans="1:11" x14ac:dyDescent="0.25">
      <c r="A24" s="1225" t="s">
        <v>1204</v>
      </c>
      <c r="B24" s="3089">
        <f>'Emission-GHG from Biogas Conver'!R18</f>
        <v>-23444431.848207776</v>
      </c>
      <c r="C24" s="3089"/>
      <c r="D24" s="3089"/>
      <c r="E24" s="3089"/>
      <c r="F24" s="3089"/>
      <c r="G24" s="3089"/>
      <c r="H24" s="3089"/>
      <c r="I24" s="3089"/>
      <c r="J24" s="3163"/>
      <c r="K24" s="2029">
        <f>'Emission-GHG from Biogas Conver'!$F$336</f>
        <v>-130673144.12519762</v>
      </c>
    </row>
    <row r="25" spans="1:11" x14ac:dyDescent="0.25">
      <c r="A25" s="1226" t="s">
        <v>1205</v>
      </c>
      <c r="B25" s="2931">
        <f>'Emission-GHG from Biogas Conver'!R19</f>
        <v>-23444431.848207776</v>
      </c>
      <c r="C25" s="2931"/>
      <c r="D25" s="2931"/>
      <c r="E25" s="2931"/>
      <c r="F25" s="2931"/>
      <c r="G25" s="2931"/>
      <c r="H25" s="2931"/>
      <c r="I25" s="2931"/>
      <c r="J25" s="3147"/>
      <c r="K25" s="2029">
        <f>'Emission-GHG from Biogas Conver'!$F$387</f>
        <v>-130673144.12519762</v>
      </c>
    </row>
    <row r="26" spans="1:11" x14ac:dyDescent="0.25">
      <c r="A26" s="1226" t="s">
        <v>1208</v>
      </c>
      <c r="B26" s="2931">
        <f>'Emission-GHG from Biogas Conver'!R20</f>
        <v>-22343816.756916393</v>
      </c>
      <c r="C26" s="2931"/>
      <c r="D26" s="2931"/>
      <c r="E26" s="2931"/>
      <c r="F26" s="2931"/>
      <c r="G26" s="2931"/>
      <c r="H26" s="2931"/>
      <c r="I26" s="2931"/>
      <c r="J26" s="3147"/>
      <c r="K26" s="2029">
        <f>'Emission-GHG from Biogas Conver'!$F$438</f>
        <v>-124538602.86687846</v>
      </c>
    </row>
    <row r="27" spans="1:11" x14ac:dyDescent="0.25">
      <c r="A27" s="1226" t="s">
        <v>1209</v>
      </c>
      <c r="B27" s="2931">
        <f>'Emission-GHG from Biogas Conver'!R21</f>
        <v>-23664554.866466049</v>
      </c>
      <c r="C27" s="2931"/>
      <c r="D27" s="2931"/>
      <c r="E27" s="2931"/>
      <c r="F27" s="2931"/>
      <c r="G27" s="2931"/>
      <c r="H27" s="2931"/>
      <c r="I27" s="2931"/>
      <c r="J27" s="3147"/>
      <c r="K27" s="2029">
        <f>'Emission-GHG from Biogas Conver'!$F$489</f>
        <v>-131900052.37686153</v>
      </c>
    </row>
    <row r="28" spans="1:11" x14ac:dyDescent="0.25">
      <c r="A28" s="1227" t="s">
        <v>1782</v>
      </c>
      <c r="B28" s="2931">
        <f>'Emission-GHG from Biogas Conver'!R22</f>
        <v>19562859.422742181</v>
      </c>
      <c r="C28" s="2931"/>
      <c r="D28" s="2931"/>
      <c r="E28" s="2931"/>
      <c r="F28" s="2931"/>
      <c r="G28" s="2931"/>
      <c r="H28" s="2931"/>
      <c r="I28" s="2931"/>
      <c r="J28" s="3147"/>
      <c r="K28" s="2029">
        <f>'Emission-GHG from Biogas Conver'!$F$540</f>
        <v>109038272.51605564</v>
      </c>
    </row>
    <row r="29" spans="1:11" ht="15.75" thickBot="1" x14ac:dyDescent="0.3">
      <c r="A29" s="1228" t="s">
        <v>1176</v>
      </c>
      <c r="B29" s="2931">
        <f>'Emission-GHG from Biogas Conver'!R23</f>
        <v>22772516.424012434</v>
      </c>
      <c r="C29" s="2931"/>
      <c r="D29" s="2931"/>
      <c r="E29" s="2931"/>
      <c r="F29" s="2931"/>
      <c r="G29" s="2931"/>
      <c r="H29" s="2931"/>
      <c r="I29" s="2931"/>
      <c r="J29" s="3147"/>
      <c r="K29" s="2033">
        <f>'Emission-GHG from Biogas Conver'!$F$591</f>
        <v>126928062.92065853</v>
      </c>
    </row>
    <row r="30" spans="1:11" ht="18.75" thickBot="1" x14ac:dyDescent="0.3">
      <c r="A30" s="1399" t="s">
        <v>1222</v>
      </c>
      <c r="B30" s="1541" t="s">
        <v>20</v>
      </c>
      <c r="C30" s="1541" t="s">
        <v>21</v>
      </c>
      <c r="D30" s="1541" t="s">
        <v>79</v>
      </c>
      <c r="E30" s="1541" t="s">
        <v>17</v>
      </c>
      <c r="F30" s="1541" t="s">
        <v>18</v>
      </c>
      <c r="G30" s="1541" t="s">
        <v>19</v>
      </c>
      <c r="H30" s="1541" t="s">
        <v>76</v>
      </c>
      <c r="I30" s="1541" t="s">
        <v>77</v>
      </c>
      <c r="J30" s="1950" t="s">
        <v>78</v>
      </c>
      <c r="K30" s="2028"/>
    </row>
    <row r="31" spans="1:11" x14ac:dyDescent="0.25">
      <c r="A31" s="1532" t="s">
        <v>1220</v>
      </c>
      <c r="B31" s="1545">
        <f>'Emission-Vehicle to be refueled'!V20</f>
        <v>-651.64029518685186</v>
      </c>
      <c r="C31" s="1545">
        <f>'Emission-Vehicle to be refueled'!W20</f>
        <v>-7537.0188859362288</v>
      </c>
      <c r="D31" s="1545">
        <f>'Emission-Vehicle to be refueled'!X20</f>
        <v>-697.79105205002384</v>
      </c>
      <c r="E31" s="1545">
        <f>'Emission-Vehicle to be refueled'!Y20</f>
        <v>-59.43834317922591</v>
      </c>
      <c r="F31" s="1545">
        <f>'Emission-Vehicle to be refueled'!Z20</f>
        <v>-45.480178542001376</v>
      </c>
      <c r="G31" s="1545">
        <f>'Emission-Vehicle to be refueled'!AA20</f>
        <v>-253.38497454684352</v>
      </c>
      <c r="H31" s="1545">
        <f>'Emission-Vehicle to be refueled'!AB20</f>
        <v>-370.80411272092442</v>
      </c>
      <c r="I31" s="1545">
        <f>'Emission-Vehicle to be refueled'!AC20</f>
        <v>-965129.30539621902</v>
      </c>
      <c r="J31" s="1949">
        <f>'Emission-Vehicle to be refueled'!AD20</f>
        <v>-46.415501800290649</v>
      </c>
      <c r="K31" s="2029">
        <f>'Emission-Vehicle to be refueled'!$AB$442</f>
        <v>-6218566.9144114358</v>
      </c>
    </row>
    <row r="32" spans="1:11" x14ac:dyDescent="0.25">
      <c r="A32" s="1533" t="s">
        <v>1783</v>
      </c>
      <c r="B32" s="1535">
        <f>'Emission-Vehicle to be refueled'!V21</f>
        <v>-260.7954174908084</v>
      </c>
      <c r="C32" s="1535">
        <f>'Emission-Vehicle to be refueled'!W21</f>
        <v>293.39484467715903</v>
      </c>
      <c r="D32" s="1535">
        <f>'Emission-Vehicle to be refueled'!X21</f>
        <v>65.198854372702172</v>
      </c>
      <c r="E32" s="1535">
        <f>'Emission-Vehicle to be refueled'!Y21</f>
        <v>-42.379255342256378</v>
      </c>
      <c r="F32" s="1535">
        <f>'Emission-Vehicle to be refueled'!Z21</f>
        <v>-31.556245516387818</v>
      </c>
      <c r="G32" s="1535">
        <f>'Emission-Vehicle to be refueled'!AA21</f>
        <v>-99.591250054302449</v>
      </c>
      <c r="H32" s="1535">
        <f>'Emission-Vehicle to be refueled'!AB21</f>
        <v>2738.351883653489</v>
      </c>
      <c r="I32" s="1535">
        <f>'Emission-Vehicle to be refueled'!AC21</f>
        <v>-130397.70874540422</v>
      </c>
      <c r="J32" s="1948">
        <f>'Emission-Vehicle to be refueled'!AD21</f>
        <v>-10.464416126818692</v>
      </c>
      <c r="K32" s="2030">
        <f>'Emission-Vehicle to be refueled'!$AB$493</f>
        <v>74498.379561132388</v>
      </c>
    </row>
    <row r="33" spans="1:11" x14ac:dyDescent="0.25">
      <c r="A33" s="435" t="s">
        <v>1221</v>
      </c>
      <c r="B33" s="1535">
        <f>'Emission-Vehicle to be refueled'!V22</f>
        <v>16.7442162220322</v>
      </c>
      <c r="C33" s="1535">
        <f>'Emission-Vehicle to be refueled'!W22</f>
        <v>3209.308109222839</v>
      </c>
      <c r="D33" s="1535">
        <f>'Emission-Vehicle to be refueled'!X22</f>
        <v>19.534918925704222</v>
      </c>
      <c r="E33" s="1535">
        <f>'Emission-Vehicle to be refueled'!Y22</f>
        <v>-3.2665175146481169</v>
      </c>
      <c r="F33" s="1535">
        <f>'Emission-Vehicle to be refueled'!Z22</f>
        <v>-3.0348891902433364</v>
      </c>
      <c r="G33" s="1535">
        <f>'Emission-Vehicle to be refueled'!AA22</f>
        <v>16.744216222032204</v>
      </c>
      <c r="H33" s="1535">
        <f>'Emission-Vehicle to be refueled'!AB22</f>
        <v>2049.7711358471092</v>
      </c>
      <c r="I33" s="1535">
        <f>'Emission-Vehicle to be refueled'!AC22</f>
        <v>-48837.297314260592</v>
      </c>
      <c r="J33" s="1948">
        <f>'Emission-Vehicle to be refueled'!AD22</f>
        <v>5.0065206503876283</v>
      </c>
      <c r="K33" s="2030">
        <f>'Emission-Vehicle to be refueled'!$AB$544</f>
        <v>-5585712.2683912627</v>
      </c>
    </row>
    <row r="34" spans="1:11" x14ac:dyDescent="0.25">
      <c r="A34" s="435" t="s">
        <v>1784</v>
      </c>
      <c r="B34" s="1535">
        <f>'Emission-Vehicle to be refueled'!V23</f>
        <v>-0.96889162262337902</v>
      </c>
      <c r="C34" s="1535">
        <f>'Emission-Vehicle to be refueled'!W23</f>
        <v>-53.266840116978294</v>
      </c>
      <c r="D34" s="1535">
        <f>'Emission-Vehicle to be refueled'!X23</f>
        <v>-191.98670873727326</v>
      </c>
      <c r="E34" s="1535">
        <f>'Emission-Vehicle to be refueled'!Y23</f>
        <v>-10.314280191487157</v>
      </c>
      <c r="F34" s="1535">
        <f>'Emission-Vehicle to be refueled'!Z23</f>
        <v>-8.6230043200824689</v>
      </c>
      <c r="G34" s="1535">
        <f>'Emission-Vehicle to be refueled'!AA23</f>
        <v>-8.7088835129789128</v>
      </c>
      <c r="H34" s="1535">
        <f>'Emission-Vehicle to be refueled'!AB23</f>
        <v>385.00358369984076</v>
      </c>
      <c r="I34" s="1535">
        <f>'Emission-Vehicle to be refueled'!AC23</f>
        <v>-344423.32708090043</v>
      </c>
      <c r="J34" s="1948">
        <f>'Emission-Vehicle to be refueled'!AD23</f>
        <v>2.1396996255327512</v>
      </c>
      <c r="K34" s="2030">
        <f>'Emission-Vehicle to be refueled'!$AB$595</f>
        <v>-3261176.6266421778</v>
      </c>
    </row>
    <row r="35" spans="1:11" x14ac:dyDescent="0.25">
      <c r="A35" s="1533" t="s">
        <v>1099</v>
      </c>
      <c r="B35" s="1535">
        <f>'Emission-Vehicle to be refueled'!V24</f>
        <v>-397.02238411416403</v>
      </c>
      <c r="C35" s="1535">
        <f>'Emission-Vehicle to be refueled'!W24</f>
        <v>-10622.89379033667</v>
      </c>
      <c r="D35" s="1535">
        <f>'Emission-Vehicle to be refueled'!X24</f>
        <v>-714.30095603445739</v>
      </c>
      <c r="E35" s="1535">
        <f>'Emission-Vehicle to be refueled'!Y24</f>
        <v>-20.360122262264817</v>
      </c>
      <c r="F35" s="1535">
        <f>'Emission-Vehicle to be refueled'!Z24</f>
        <v>-16.966768551887348</v>
      </c>
      <c r="G35" s="1535">
        <f>'Emission-Vehicle to be refueled'!AA24</f>
        <v>-5.090030565566205</v>
      </c>
      <c r="H35" s="1535">
        <f>'Emission-Vehicle to be refueled'!AB24</f>
        <v>-28.843506538208498</v>
      </c>
      <c r="I35" s="1535">
        <f>'Emission-Vehicle to be refueled'!AC24</f>
        <v>-889058.6721188972</v>
      </c>
      <c r="J35" s="1948">
        <f>'Emission-Vehicle to be refueled'!AD24</f>
        <v>-69.563751062738135</v>
      </c>
      <c r="K35" s="2030">
        <f>'Emission-Vehicle to be refueled'!$AB$646</f>
        <v>-1997287.2491923613</v>
      </c>
    </row>
    <row r="36" spans="1:11" x14ac:dyDescent="0.25">
      <c r="A36" s="1533" t="s">
        <v>1785</v>
      </c>
      <c r="B36" s="1535">
        <f>'Emission-Vehicle to be refueled'!V25</f>
        <v>-245.08485017208505</v>
      </c>
      <c r="C36" s="1535">
        <f>'Emission-Vehicle to be refueled'!W25</f>
        <v>-1872.8567300650161</v>
      </c>
      <c r="D36" s="1535">
        <f>'Emission-Vehicle to be refueled'!X25</f>
        <v>-126.6271725889106</v>
      </c>
      <c r="E36" s="1535">
        <f>'Emission-Vehicle to be refueled'!Y25</f>
        <v>-6.1271212543021241</v>
      </c>
      <c r="F36" s="1535">
        <f>'Emission-Vehicle to be refueled'!Z25</f>
        <v>-6.1271212543021241</v>
      </c>
      <c r="G36" s="1535">
        <f>'Emission-Vehicle to be refueled'!AA25</f>
        <v>-4.0847475028680842</v>
      </c>
      <c r="H36" s="1535">
        <f>'Emission-Vehicle to be refueled'!AB25</f>
        <v>312.48318396940846</v>
      </c>
      <c r="I36" s="1535">
        <f>'Emission-Vehicle to be refueled'!AC25</f>
        <v>-200152.62764053611</v>
      </c>
      <c r="J36" s="1948">
        <f>'Emission-Vehicle to be refueled'!AD25</f>
        <v>0</v>
      </c>
      <c r="K36" s="2030">
        <f>'Emission-Vehicle to be refueled'!$AB$697</f>
        <v>-428484.69456219446</v>
      </c>
    </row>
    <row r="37" spans="1:11" x14ac:dyDescent="0.25">
      <c r="A37" s="1533" t="s">
        <v>1212</v>
      </c>
      <c r="B37" s="1535">
        <f>'Emission-Vehicle to be refueled'!V26</f>
        <v>-238.77950008293837</v>
      </c>
      <c r="C37" s="1535">
        <f>'Emission-Vehicle to be refueled'!W26</f>
        <v>-3386.7968011763805</v>
      </c>
      <c r="D37" s="1535">
        <f>'Emission-Vehicle to be refueled'!X26</f>
        <v>-183.2794000636608</v>
      </c>
      <c r="E37" s="1535">
        <f>'Emission-Vehicle to be refueled'!Y26</f>
        <v>-11.616300004034839</v>
      </c>
      <c r="F37" s="1535">
        <f>'Emission-Vehicle to be refueled'!Z26</f>
        <v>-7.7442000026898929</v>
      </c>
      <c r="G37" s="1535">
        <f>'Emission-Vehicle to be refueled'!AA26</f>
        <v>-2.5814000008966316</v>
      </c>
      <c r="H37" s="1535">
        <f>'Emission-Vehicle to be refueled'!AB26</f>
        <v>-15.488400005379788</v>
      </c>
      <c r="I37" s="1535">
        <f>'Emission-Vehicle to be refueled'!AC26</f>
        <v>-553710.30019232736</v>
      </c>
      <c r="J37" s="1948">
        <f>'Emission-Vehicle to be refueled'!AD26</f>
        <v>-12.907000004483155</v>
      </c>
      <c r="K37" s="2030">
        <f>'Emission-Vehicle to be refueled'!$AB$748</f>
        <v>-1174121.4836206255</v>
      </c>
    </row>
    <row r="38" spans="1:11" ht="15.75" thickBot="1" x14ac:dyDescent="0.3">
      <c r="A38" s="1534" t="s">
        <v>1786</v>
      </c>
      <c r="B38" s="1538">
        <f>'Emission-Vehicle to be refueled'!V27</f>
        <v>-170.69531391792975</v>
      </c>
      <c r="C38" s="1538">
        <f>'Emission-Vehicle to be refueled'!W27</f>
        <v>-618.36792966495295</v>
      </c>
      <c r="D38" s="1538">
        <f>'Emission-Vehicle to be refueled'!X27</f>
        <v>-33.816996153552104</v>
      </c>
      <c r="E38" s="1538">
        <f>'Emission-Vehicle to be refueled'!Y27</f>
        <v>-6.4413326006765947</v>
      </c>
      <c r="F38" s="1538">
        <f>'Emission-Vehicle to be refueled'!Z27</f>
        <v>-1.6103331501691474</v>
      </c>
      <c r="G38" s="1538">
        <f>'Emission-Vehicle to be refueled'!AA27</f>
        <v>-1.6103331501691487</v>
      </c>
      <c r="H38" s="1538">
        <f>'Emission-Vehicle to be refueled'!AB27</f>
        <v>172.30564706809889</v>
      </c>
      <c r="I38" s="1538">
        <f>'Emission-Vehicle to be refueled'!AC27</f>
        <v>-127216.31886336274</v>
      </c>
      <c r="J38" s="2025">
        <f>'Emission-Vehicle to be refueled'!AD27</f>
        <v>0</v>
      </c>
      <c r="K38" s="2031">
        <f>'Emission-Vehicle to be refueled'!$AB$799</f>
        <v>-721135.02565436868</v>
      </c>
    </row>
    <row r="39" spans="1:11" ht="18.75" thickBot="1" x14ac:dyDescent="0.3">
      <c r="A39" s="3152" t="s">
        <v>1223</v>
      </c>
      <c r="B39" s="1544" t="s">
        <v>20</v>
      </c>
      <c r="C39" s="1541" t="s">
        <v>21</v>
      </c>
      <c r="D39" s="1541" t="s">
        <v>79</v>
      </c>
      <c r="E39" s="1541" t="s">
        <v>17</v>
      </c>
      <c r="F39" s="1541" t="s">
        <v>18</v>
      </c>
      <c r="G39" s="1541" t="s">
        <v>19</v>
      </c>
      <c r="H39" s="1541" t="s">
        <v>76</v>
      </c>
      <c r="I39" s="1541" t="s">
        <v>77</v>
      </c>
      <c r="J39" s="1950" t="s">
        <v>78</v>
      </c>
      <c r="K39" s="2036"/>
    </row>
    <row r="40" spans="1:11" ht="15.75" thickBot="1" x14ac:dyDescent="0.3">
      <c r="A40" s="3160"/>
      <c r="B40" s="1546">
        <f>'Emission-Combustion Pipeline NG'!$O$11</f>
        <v>3.1629722452113631</v>
      </c>
      <c r="C40" s="1043" t="s">
        <v>897</v>
      </c>
      <c r="D40" s="1546">
        <f>'Emission-Combustion Pipeline NG'!$M$11</f>
        <v>54.585725510703057</v>
      </c>
      <c r="E40" s="3161">
        <f>'Emission-Combustion Pipeline NG'!$P$11</f>
        <v>4.3669318500693848</v>
      </c>
      <c r="F40" s="3162"/>
      <c r="G40" s="1546">
        <f>'Emission-Combustion Pipeline NG'!$N$11</f>
        <v>-0.19710688300087648</v>
      </c>
      <c r="H40" s="1043" t="s">
        <v>897</v>
      </c>
      <c r="I40" s="1546">
        <f>'Emission-Combustion Pipeline NG'!$Q$11</f>
        <v>68961.207501437384</v>
      </c>
      <c r="J40" s="879" t="s">
        <v>897</v>
      </c>
      <c r="K40" s="2035">
        <f>'Emission-Combustion Pipeline NG'!$R$69</f>
        <v>421140.74944871815</v>
      </c>
    </row>
    <row r="41" spans="1:11" ht="18" x14ac:dyDescent="0.25">
      <c r="A41" s="1549" t="s">
        <v>1499</v>
      </c>
      <c r="B41" s="1550" t="s">
        <v>20</v>
      </c>
      <c r="C41" s="1550" t="s">
        <v>21</v>
      </c>
      <c r="D41" s="1550" t="s">
        <v>79</v>
      </c>
      <c r="E41" s="1550" t="s">
        <v>17</v>
      </c>
      <c r="F41" s="1550" t="s">
        <v>18</v>
      </c>
      <c r="G41" s="1550" t="s">
        <v>19</v>
      </c>
      <c r="H41" s="1550" t="s">
        <v>76</v>
      </c>
      <c r="I41" s="1550" t="s">
        <v>77</v>
      </c>
      <c r="J41" s="2026" t="s">
        <v>78</v>
      </c>
      <c r="K41" s="2037"/>
    </row>
    <row r="42" spans="1:11" ht="15.75" thickBot="1" x14ac:dyDescent="0.3">
      <c r="A42" s="1531" t="s">
        <v>1503</v>
      </c>
      <c r="B42" s="1538">
        <f>'Emission-Landfilling'!$G$18</f>
        <v>45.272900297264641</v>
      </c>
      <c r="C42" s="1538">
        <f>'Emission-Landfilling'!$H$18</f>
        <v>195.50409578961674</v>
      </c>
      <c r="D42" s="1538">
        <f>'Emission-Landfilling'!$J$18</f>
        <v>523.19590154831997</v>
      </c>
      <c r="E42" s="1539" t="s">
        <v>897</v>
      </c>
      <c r="F42" s="1539" t="s">
        <v>897</v>
      </c>
      <c r="G42" s="1539" t="s">
        <v>897</v>
      </c>
      <c r="H42" s="1539" t="s">
        <v>897</v>
      </c>
      <c r="I42" s="1538">
        <f>'Emission-Landfilling'!$I$18</f>
        <v>46182.631904965237</v>
      </c>
      <c r="J42" s="1205" t="s">
        <v>897</v>
      </c>
      <c r="K42" s="2031">
        <f>'Emission-Landfilling'!$P$76</f>
        <v>543980.19069165085</v>
      </c>
    </row>
    <row r="43" spans="1:11" x14ac:dyDescent="0.25">
      <c r="A43" s="498"/>
      <c r="B43" s="498"/>
      <c r="C43" s="498"/>
      <c r="D43" s="498"/>
      <c r="E43" s="498"/>
      <c r="F43" s="498"/>
      <c r="G43" s="498"/>
      <c r="H43" s="498"/>
      <c r="I43" s="498"/>
      <c r="J43" s="498"/>
      <c r="K43" s="498"/>
    </row>
    <row r="44" spans="1:11" x14ac:dyDescent="0.25">
      <c r="A44" s="498"/>
      <c r="B44" s="498"/>
      <c r="C44" s="498"/>
      <c r="D44" s="498"/>
      <c r="E44" s="498"/>
      <c r="F44" s="498"/>
      <c r="G44" s="498"/>
      <c r="H44" s="498"/>
      <c r="I44" s="498"/>
      <c r="J44" s="498"/>
      <c r="K44" s="498"/>
    </row>
    <row r="45" spans="1:11" x14ac:dyDescent="0.25">
      <c r="A45" s="498"/>
      <c r="B45" s="498"/>
      <c r="C45" s="498"/>
      <c r="D45" s="498"/>
      <c r="E45" s="498"/>
      <c r="F45" s="498"/>
      <c r="G45" s="498"/>
      <c r="H45" s="498"/>
      <c r="I45" s="498"/>
      <c r="J45" s="498"/>
      <c r="K45" s="498"/>
    </row>
    <row r="46" spans="1:11" x14ac:dyDescent="0.25">
      <c r="A46" s="498"/>
      <c r="B46" s="498"/>
      <c r="C46" s="498"/>
      <c r="D46" s="498"/>
      <c r="E46" s="498"/>
      <c r="F46" s="498"/>
      <c r="G46" s="498"/>
      <c r="H46" s="498"/>
      <c r="I46" s="498"/>
      <c r="J46" s="498"/>
      <c r="K46" s="498"/>
    </row>
    <row r="47" spans="1:11" x14ac:dyDescent="0.25">
      <c r="A47" s="498"/>
      <c r="B47" s="498"/>
      <c r="C47" s="498"/>
      <c r="D47" s="498"/>
      <c r="E47" s="498"/>
      <c r="F47" s="498"/>
      <c r="G47" s="498"/>
      <c r="H47" s="498"/>
      <c r="I47" s="498"/>
      <c r="J47" s="498"/>
      <c r="K47" s="498"/>
    </row>
    <row r="48" spans="1:11" x14ac:dyDescent="0.25">
      <c r="A48" s="498"/>
      <c r="B48" s="498"/>
      <c r="C48" s="498"/>
      <c r="D48" s="498"/>
      <c r="E48" s="498"/>
      <c r="F48" s="498"/>
      <c r="G48" s="498"/>
      <c r="H48" s="498"/>
      <c r="I48" s="498"/>
      <c r="J48" s="498"/>
      <c r="K48" s="498"/>
    </row>
    <row r="49" spans="1:11" x14ac:dyDescent="0.25">
      <c r="A49" s="498"/>
      <c r="B49" s="498"/>
      <c r="C49" s="498"/>
      <c r="D49" s="498"/>
      <c r="E49" s="498"/>
      <c r="F49" s="498"/>
      <c r="G49" s="498"/>
      <c r="H49" s="498"/>
      <c r="I49" s="498"/>
      <c r="J49" s="498"/>
      <c r="K49" s="498"/>
    </row>
    <row r="50" spans="1:11" x14ac:dyDescent="0.25">
      <c r="A50" s="498"/>
      <c r="B50" s="498"/>
      <c r="C50" s="498"/>
      <c r="D50" s="498"/>
      <c r="E50" s="498"/>
      <c r="F50" s="498"/>
      <c r="G50" s="498"/>
      <c r="H50" s="498"/>
      <c r="I50" s="498"/>
      <c r="J50" s="498"/>
      <c r="K50" s="498"/>
    </row>
    <row r="51" spans="1:11" x14ac:dyDescent="0.25">
      <c r="A51" s="498"/>
      <c r="B51" s="498"/>
      <c r="C51" s="498"/>
      <c r="D51" s="498"/>
      <c r="E51" s="498"/>
      <c r="F51" s="498"/>
      <c r="G51" s="498"/>
      <c r="H51" s="498"/>
      <c r="I51" s="498"/>
      <c r="J51" s="498"/>
      <c r="K51" s="498"/>
    </row>
    <row r="52" spans="1:11" x14ac:dyDescent="0.25">
      <c r="A52" s="498"/>
      <c r="B52" s="498"/>
      <c r="C52" s="498"/>
      <c r="D52" s="498"/>
      <c r="E52" s="498"/>
      <c r="F52" s="498"/>
      <c r="G52" s="498"/>
      <c r="H52" s="498"/>
      <c r="I52" s="498"/>
      <c r="J52" s="498"/>
      <c r="K52" s="498"/>
    </row>
    <row r="53" spans="1:11" x14ac:dyDescent="0.25">
      <c r="A53" s="498"/>
      <c r="B53" s="498"/>
      <c r="C53" s="498"/>
      <c r="D53" s="498"/>
      <c r="E53" s="498"/>
      <c r="F53" s="498"/>
      <c r="G53" s="498"/>
      <c r="H53" s="498"/>
      <c r="I53" s="498"/>
      <c r="J53" s="498"/>
      <c r="K53" s="498"/>
    </row>
    <row r="54" spans="1:11" x14ac:dyDescent="0.25">
      <c r="A54" s="498"/>
      <c r="B54" s="498"/>
      <c r="C54" s="498"/>
      <c r="D54" s="498"/>
      <c r="E54" s="498"/>
      <c r="F54" s="498"/>
      <c r="G54" s="498"/>
      <c r="H54" s="498"/>
      <c r="I54" s="498"/>
      <c r="J54" s="498"/>
      <c r="K54" s="498"/>
    </row>
    <row r="55" spans="1:11" x14ac:dyDescent="0.25">
      <c r="A55" s="498"/>
      <c r="B55" s="498"/>
      <c r="C55" s="498"/>
      <c r="D55" s="498"/>
      <c r="E55" s="498"/>
      <c r="F55" s="498"/>
      <c r="G55" s="498"/>
      <c r="H55" s="498"/>
      <c r="I55" s="498"/>
      <c r="J55" s="498"/>
      <c r="K55" s="498"/>
    </row>
    <row r="56" spans="1:11" x14ac:dyDescent="0.25">
      <c r="A56" s="498"/>
      <c r="B56" s="498"/>
      <c r="C56" s="498"/>
      <c r="D56" s="498"/>
      <c r="E56" s="498"/>
      <c r="F56" s="498"/>
      <c r="G56" s="498"/>
      <c r="H56" s="498"/>
      <c r="I56" s="498"/>
      <c r="J56" s="498"/>
      <c r="K56" s="498"/>
    </row>
    <row r="57" spans="1:11" x14ac:dyDescent="0.25">
      <c r="A57" s="498"/>
      <c r="B57" s="498"/>
      <c r="C57" s="498"/>
      <c r="D57" s="498"/>
      <c r="E57" s="498"/>
      <c r="F57" s="498"/>
      <c r="G57" s="498"/>
      <c r="H57" s="498"/>
      <c r="I57" s="498"/>
      <c r="J57" s="498"/>
      <c r="K57" s="498"/>
    </row>
    <row r="58" spans="1:11" x14ac:dyDescent="0.25">
      <c r="A58" s="498"/>
      <c r="B58" s="498"/>
      <c r="C58" s="498"/>
      <c r="D58" s="498"/>
      <c r="E58" s="498"/>
      <c r="F58" s="498"/>
      <c r="G58" s="498"/>
      <c r="H58" s="498"/>
      <c r="I58" s="498"/>
      <c r="J58" s="498"/>
      <c r="K58" s="498"/>
    </row>
    <row r="59" spans="1:11" x14ac:dyDescent="0.25">
      <c r="A59" s="498"/>
      <c r="B59" s="498"/>
      <c r="C59" s="498"/>
      <c r="D59" s="498"/>
      <c r="E59" s="498"/>
      <c r="F59" s="498"/>
      <c r="G59" s="498"/>
      <c r="H59" s="498"/>
      <c r="I59" s="498"/>
      <c r="J59" s="498"/>
      <c r="K59" s="498"/>
    </row>
    <row r="60" spans="1:11" x14ac:dyDescent="0.25">
      <c r="A60" s="498"/>
      <c r="B60" s="498"/>
      <c r="C60" s="498"/>
      <c r="D60" s="498"/>
      <c r="E60" s="498"/>
      <c r="F60" s="498"/>
      <c r="G60" s="498"/>
      <c r="H60" s="498"/>
      <c r="I60" s="498"/>
      <c r="J60" s="498"/>
      <c r="K60" s="498"/>
    </row>
    <row r="61" spans="1:11" x14ac:dyDescent="0.25">
      <c r="A61" s="498"/>
      <c r="B61" s="498"/>
      <c r="C61" s="498"/>
      <c r="D61" s="498"/>
      <c r="E61" s="498"/>
      <c r="F61" s="498"/>
      <c r="G61" s="498"/>
      <c r="H61" s="498"/>
      <c r="I61" s="498"/>
      <c r="J61" s="498"/>
      <c r="K61" s="498"/>
    </row>
    <row r="62" spans="1:11" x14ac:dyDescent="0.25">
      <c r="A62" s="498"/>
      <c r="B62" s="498"/>
      <c r="C62" s="498"/>
      <c r="D62" s="498"/>
      <c r="E62" s="498"/>
      <c r="F62" s="498"/>
      <c r="G62" s="498"/>
      <c r="H62" s="498"/>
      <c r="I62" s="498"/>
      <c r="J62" s="498"/>
      <c r="K62" s="498"/>
    </row>
    <row r="63" spans="1:11" x14ac:dyDescent="0.25">
      <c r="A63" s="498"/>
      <c r="B63" s="498"/>
      <c r="C63" s="498"/>
      <c r="D63" s="498"/>
      <c r="E63" s="498"/>
      <c r="F63" s="498"/>
      <c r="G63" s="498"/>
      <c r="H63" s="498"/>
      <c r="I63" s="498"/>
      <c r="J63" s="498"/>
      <c r="K63" s="498"/>
    </row>
    <row r="64" spans="1:11" x14ac:dyDescent="0.25">
      <c r="A64" s="498"/>
      <c r="B64" s="498"/>
      <c r="C64" s="498"/>
      <c r="D64" s="498"/>
      <c r="E64" s="498"/>
      <c r="F64" s="498"/>
      <c r="G64" s="498"/>
      <c r="H64" s="498"/>
      <c r="I64" s="498"/>
      <c r="J64" s="498"/>
      <c r="K64" s="498"/>
    </row>
    <row r="65" spans="1:11" x14ac:dyDescent="0.25">
      <c r="A65" s="498"/>
      <c r="B65" s="498"/>
      <c r="C65" s="498"/>
      <c r="D65" s="498"/>
      <c r="E65" s="498"/>
      <c r="F65" s="498"/>
      <c r="G65" s="498"/>
      <c r="H65" s="498"/>
      <c r="I65" s="498"/>
      <c r="J65" s="498"/>
      <c r="K65" s="498"/>
    </row>
    <row r="66" spans="1:11" x14ac:dyDescent="0.25">
      <c r="A66" s="498"/>
      <c r="B66" s="498"/>
      <c r="C66" s="498"/>
      <c r="D66" s="498"/>
      <c r="E66" s="498"/>
      <c r="F66" s="498"/>
      <c r="G66" s="498"/>
      <c r="H66" s="498"/>
      <c r="I66" s="498"/>
      <c r="J66" s="498"/>
      <c r="K66" s="498"/>
    </row>
    <row r="67" spans="1:11" x14ac:dyDescent="0.25">
      <c r="A67" s="498"/>
      <c r="B67" s="498"/>
      <c r="C67" s="498"/>
      <c r="D67" s="498"/>
      <c r="E67" s="498"/>
      <c r="F67" s="498"/>
      <c r="G67" s="498"/>
      <c r="H67" s="498"/>
      <c r="I67" s="498"/>
      <c r="J67" s="498"/>
      <c r="K67" s="498"/>
    </row>
    <row r="68" spans="1:11" x14ac:dyDescent="0.25">
      <c r="A68" s="498"/>
      <c r="B68" s="498"/>
      <c r="C68" s="498"/>
      <c r="D68" s="498"/>
      <c r="E68" s="498"/>
      <c r="F68" s="498"/>
      <c r="G68" s="498"/>
      <c r="H68" s="498"/>
      <c r="I68" s="498"/>
      <c r="J68" s="498"/>
      <c r="K68" s="498"/>
    </row>
    <row r="69" spans="1:11" x14ac:dyDescent="0.25">
      <c r="A69" s="498"/>
      <c r="B69" s="498"/>
      <c r="C69" s="498"/>
      <c r="D69" s="498"/>
      <c r="E69" s="498"/>
      <c r="F69" s="498"/>
      <c r="G69" s="498"/>
      <c r="H69" s="498"/>
      <c r="I69" s="498"/>
      <c r="J69" s="498"/>
      <c r="K69" s="498"/>
    </row>
    <row r="70" spans="1:11" x14ac:dyDescent="0.25">
      <c r="A70" s="498"/>
      <c r="B70" s="498"/>
      <c r="C70" s="498"/>
      <c r="D70" s="498"/>
      <c r="E70" s="498"/>
      <c r="F70" s="498"/>
      <c r="G70" s="498"/>
      <c r="H70" s="498"/>
      <c r="I70" s="498"/>
      <c r="J70" s="498"/>
      <c r="K70" s="498"/>
    </row>
    <row r="71" spans="1:11" x14ac:dyDescent="0.25">
      <c r="A71" s="498"/>
      <c r="B71" s="498"/>
      <c r="C71" s="498"/>
      <c r="D71" s="498"/>
      <c r="E71" s="498"/>
      <c r="F71" s="498"/>
      <c r="G71" s="498"/>
      <c r="H71" s="498"/>
      <c r="I71" s="498"/>
      <c r="J71" s="498"/>
      <c r="K71" s="498"/>
    </row>
    <row r="72" spans="1:11" x14ac:dyDescent="0.25">
      <c r="A72" s="498"/>
      <c r="B72" s="498"/>
      <c r="C72" s="498"/>
      <c r="D72" s="498"/>
      <c r="E72" s="498"/>
      <c r="F72" s="498"/>
      <c r="G72" s="498"/>
      <c r="H72" s="498"/>
      <c r="I72" s="498"/>
      <c r="J72" s="498"/>
      <c r="K72" s="498"/>
    </row>
    <row r="73" spans="1:11" x14ac:dyDescent="0.25">
      <c r="A73" s="498"/>
      <c r="B73" s="498"/>
      <c r="C73" s="498"/>
      <c r="D73" s="498"/>
      <c r="E73" s="498"/>
      <c r="F73" s="498"/>
      <c r="G73" s="498"/>
      <c r="H73" s="498"/>
      <c r="I73" s="498"/>
      <c r="J73" s="498"/>
      <c r="K73" s="498"/>
    </row>
    <row r="74" spans="1:11" x14ac:dyDescent="0.25">
      <c r="A74" s="498"/>
      <c r="B74" s="498"/>
      <c r="C74" s="498"/>
      <c r="D74" s="498"/>
      <c r="E74" s="498"/>
      <c r="F74" s="498"/>
      <c r="G74" s="498"/>
      <c r="H74" s="498"/>
      <c r="I74" s="498"/>
      <c r="J74" s="498"/>
      <c r="K74" s="498"/>
    </row>
    <row r="75" spans="1:11" x14ac:dyDescent="0.25">
      <c r="A75" s="498"/>
      <c r="B75" s="498"/>
      <c r="C75" s="498"/>
      <c r="D75" s="498"/>
      <c r="E75" s="498"/>
      <c r="F75" s="498"/>
      <c r="G75" s="498"/>
      <c r="H75" s="498"/>
      <c r="I75" s="498"/>
      <c r="J75" s="498"/>
      <c r="K75" s="498"/>
    </row>
    <row r="76" spans="1:11" x14ac:dyDescent="0.25">
      <c r="A76" s="498"/>
      <c r="B76" s="498"/>
      <c r="C76" s="498"/>
      <c r="D76" s="498"/>
      <c r="E76" s="498"/>
      <c r="F76" s="498"/>
      <c r="G76" s="498"/>
      <c r="H76" s="498"/>
      <c r="I76" s="498"/>
      <c r="J76" s="498"/>
      <c r="K76" s="498"/>
    </row>
    <row r="77" spans="1:11" x14ac:dyDescent="0.25">
      <c r="A77" s="498"/>
      <c r="B77" s="498"/>
      <c r="C77" s="498"/>
      <c r="D77" s="498"/>
      <c r="E77" s="498"/>
      <c r="F77" s="498"/>
      <c r="G77" s="498"/>
      <c r="H77" s="498"/>
      <c r="I77" s="498"/>
      <c r="J77" s="498"/>
      <c r="K77" s="498"/>
    </row>
    <row r="78" spans="1:11" x14ac:dyDescent="0.25">
      <c r="A78" s="498"/>
      <c r="B78" s="498"/>
      <c r="C78" s="498"/>
      <c r="D78" s="498"/>
      <c r="E78" s="498"/>
      <c r="F78" s="498"/>
      <c r="G78" s="498"/>
      <c r="H78" s="498"/>
      <c r="I78" s="498"/>
      <c r="J78" s="498"/>
      <c r="K78" s="498"/>
    </row>
    <row r="79" spans="1:11" x14ac:dyDescent="0.25">
      <c r="A79" s="498"/>
      <c r="B79" s="498"/>
      <c r="C79" s="498"/>
      <c r="D79" s="498"/>
      <c r="E79" s="498"/>
      <c r="F79" s="498"/>
      <c r="G79" s="498"/>
      <c r="H79" s="498"/>
      <c r="I79" s="498"/>
      <c r="J79" s="498"/>
      <c r="K79" s="498"/>
    </row>
  </sheetData>
  <mergeCells count="22">
    <mergeCell ref="A39:A40"/>
    <mergeCell ref="E40:F40"/>
    <mergeCell ref="E15:F15"/>
    <mergeCell ref="E17:F17"/>
    <mergeCell ref="B28:J28"/>
    <mergeCell ref="B29:J29"/>
    <mergeCell ref="B23:J23"/>
    <mergeCell ref="B24:J24"/>
    <mergeCell ref="B26:J26"/>
    <mergeCell ref="B27:J27"/>
    <mergeCell ref="B25:J25"/>
    <mergeCell ref="E22:F22"/>
    <mergeCell ref="E21:F21"/>
    <mergeCell ref="E13:F13"/>
    <mergeCell ref="E18:F18"/>
    <mergeCell ref="E19:F19"/>
    <mergeCell ref="E20:F20"/>
    <mergeCell ref="A1:K1"/>
    <mergeCell ref="A2:A3"/>
    <mergeCell ref="B2:J2"/>
    <mergeCell ref="K2:K3"/>
    <mergeCell ref="E12:F12"/>
  </mergeCells>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8A2D68-DD7E-48B6-A112-D24E328D2CFC}">
  <dimension ref="A1:N158"/>
  <sheetViews>
    <sheetView workbookViewId="0">
      <selection activeCell="G69" sqref="G69:G119"/>
    </sheetView>
  </sheetViews>
  <sheetFormatPr defaultRowHeight="15" x14ac:dyDescent="0.25"/>
  <cols>
    <col min="1" max="1" width="22.140625" customWidth="1"/>
    <col min="2" max="2" width="20.28515625" customWidth="1"/>
    <col min="3" max="3" width="25" customWidth="1"/>
    <col min="4" max="4" width="21.5703125" customWidth="1"/>
    <col min="5" max="5" width="26.42578125" customWidth="1"/>
    <col min="6" max="6" width="16.42578125" customWidth="1"/>
    <col min="7" max="7" width="27" customWidth="1"/>
    <col min="8" max="8" width="22.5703125" customWidth="1"/>
    <col min="9" max="9" width="24.42578125" customWidth="1"/>
    <col min="10" max="10" width="17.28515625" customWidth="1"/>
    <col min="11" max="11" width="24.28515625" customWidth="1"/>
    <col min="12" max="12" width="31.140625" customWidth="1"/>
    <col min="13" max="13" width="17.140625" customWidth="1"/>
    <col min="14" max="14" width="16.42578125" customWidth="1"/>
  </cols>
  <sheetData>
    <row r="1" spans="1:14" ht="33.75" customHeight="1" thickBot="1" x14ac:dyDescent="0.3">
      <c r="A1" s="3179" t="s">
        <v>1340</v>
      </c>
      <c r="B1" s="3180"/>
      <c r="C1" s="3180"/>
      <c r="D1" s="3180"/>
      <c r="E1" s="3180"/>
      <c r="F1" s="3180"/>
      <c r="G1" s="3180"/>
      <c r="H1" s="3180"/>
      <c r="I1" s="3180"/>
      <c r="J1" s="3180"/>
      <c r="K1" s="3180"/>
      <c r="L1" s="3181"/>
    </row>
    <row r="2" spans="1:14" s="100" customFormat="1" ht="18.75" customHeight="1" thickBot="1" x14ac:dyDescent="0.3">
      <c r="A2" s="1321"/>
      <c r="B2" s="1274"/>
      <c r="C2" s="1274"/>
      <c r="D2" s="1274"/>
      <c r="E2" s="1008"/>
      <c r="F2" s="1008"/>
      <c r="G2" s="1008"/>
      <c r="H2" s="1008"/>
      <c r="I2" s="1008"/>
      <c r="J2" s="1008"/>
      <c r="K2" s="1008"/>
      <c r="L2" s="1008"/>
    </row>
    <row r="3" spans="1:14" s="100" customFormat="1" ht="18.75" customHeight="1" thickBot="1" x14ac:dyDescent="0.3">
      <c r="A3" s="3176" t="s">
        <v>1392</v>
      </c>
      <c r="B3" s="3177"/>
      <c r="C3" s="3177"/>
      <c r="D3" s="3177"/>
      <c r="E3" s="3177"/>
      <c r="F3" s="3177"/>
      <c r="G3" s="3177"/>
      <c r="H3" s="3178"/>
      <c r="I3" s="1078"/>
      <c r="J3" s="1078"/>
      <c r="K3" s="1078"/>
      <c r="L3" s="1078"/>
      <c r="M3" s="1078"/>
      <c r="N3" s="1078"/>
    </row>
    <row r="4" spans="1:14" s="230" customFormat="1" ht="58.5" customHeight="1" thickBot="1" x14ac:dyDescent="0.3">
      <c r="A4" s="3176" t="s">
        <v>1341</v>
      </c>
      <c r="B4" s="3177"/>
      <c r="C4" s="3177"/>
      <c r="D4" s="3178"/>
      <c r="E4" s="3182" t="s">
        <v>1391</v>
      </c>
      <c r="F4" s="3183"/>
      <c r="G4" s="3183"/>
      <c r="H4" s="3184"/>
      <c r="I4" s="100"/>
      <c r="J4" s="100"/>
      <c r="K4" s="100"/>
      <c r="L4" s="100"/>
      <c r="M4" s="1475"/>
      <c r="N4" s="1475"/>
    </row>
    <row r="5" spans="1:14" ht="41.25" customHeight="1" thickBot="1" x14ac:dyDescent="0.3">
      <c r="A5" s="1255" t="s">
        <v>13</v>
      </c>
      <c r="B5" s="3185" t="s">
        <v>1374</v>
      </c>
      <c r="C5" s="3186"/>
      <c r="D5" s="3187"/>
      <c r="E5" s="1286" t="s">
        <v>1280</v>
      </c>
      <c r="F5" s="1287" t="s">
        <v>1301</v>
      </c>
      <c r="G5" s="1288" t="s">
        <v>1300</v>
      </c>
      <c r="H5" s="1289" t="s">
        <v>1299</v>
      </c>
    </row>
    <row r="6" spans="1:14" ht="15.75" thickBot="1" x14ac:dyDescent="0.3">
      <c r="A6" s="1079" t="s">
        <v>1476</v>
      </c>
      <c r="B6" s="3188">
        <f>AVERAGE(3,242)</f>
        <v>122.5</v>
      </c>
      <c r="C6" s="3189"/>
      <c r="D6" s="3190"/>
      <c r="E6" s="800" t="s">
        <v>1302</v>
      </c>
      <c r="F6" s="1320">
        <f>AVERAGE(-145,19,-145,19)</f>
        <v>-63</v>
      </c>
      <c r="G6" s="1279">
        <f>(' QUICK OVERVIEW- Inputs&amp;Outputs'!H10+' QUICK OVERVIEW- Inputs&amp;Outputs'!L10+' QUICK OVERVIEW- Inputs&amp;Outputs'!P10+' QUICK OVERVIEW- Inputs&amp;Outputs'!T10)</f>
        <v>13978.21</v>
      </c>
      <c r="H6" s="1250">
        <f>G6*F6</f>
        <v>-880627.23</v>
      </c>
    </row>
    <row r="7" spans="1:14" x14ac:dyDescent="0.25">
      <c r="A7" s="249" t="s">
        <v>1477</v>
      </c>
      <c r="B7" s="3170">
        <f>AVERAGE(5,81)</f>
        <v>43</v>
      </c>
      <c r="C7" s="3171"/>
      <c r="D7" s="3172"/>
    </row>
    <row r="8" spans="1:14" ht="15.75" thickBot="1" x14ac:dyDescent="0.3">
      <c r="A8" s="1004" t="s">
        <v>1089</v>
      </c>
      <c r="B8" s="3173">
        <f>AVERAGE(B6:B7)</f>
        <v>82.75</v>
      </c>
      <c r="C8" s="3174"/>
      <c r="D8" s="3175"/>
      <c r="E8" s="1278"/>
      <c r="F8" s="1278"/>
      <c r="G8" s="1278"/>
      <c r="H8" s="1278"/>
      <c r="K8" s="1216"/>
      <c r="L8" s="1216"/>
    </row>
    <row r="9" spans="1:14" ht="15.75" thickBot="1" x14ac:dyDescent="0.3">
      <c r="A9" s="498"/>
      <c r="B9" s="498"/>
      <c r="C9" s="498"/>
      <c r="D9" s="498"/>
      <c r="E9" s="1216"/>
      <c r="F9" s="1216"/>
      <c r="G9" s="1216"/>
      <c r="H9" s="1216"/>
      <c r="I9" s="1216"/>
      <c r="J9" s="1216"/>
      <c r="K9" s="1216"/>
      <c r="L9" s="1216"/>
    </row>
    <row r="10" spans="1:14" x14ac:dyDescent="0.25">
      <c r="A10" s="1252" t="s">
        <v>1132</v>
      </c>
      <c r="B10" s="1253" t="s">
        <v>1375</v>
      </c>
      <c r="C10" s="1253" t="s">
        <v>1133</v>
      </c>
      <c r="D10" s="1253" t="s">
        <v>1125</v>
      </c>
      <c r="E10" s="1254" t="s">
        <v>1234</v>
      </c>
      <c r="F10" s="498"/>
      <c r="G10" s="498"/>
      <c r="H10" s="498"/>
      <c r="I10" s="498"/>
      <c r="J10" s="498"/>
      <c r="K10" s="498"/>
      <c r="L10" s="498"/>
    </row>
    <row r="11" spans="1:14" ht="15.75" thickBot="1" x14ac:dyDescent="0.3">
      <c r="A11" s="1488" t="s">
        <v>1088</v>
      </c>
      <c r="B11" s="776">
        <f>$B$8</f>
        <v>82.75</v>
      </c>
      <c r="C11" s="1503">
        <f>(' QUICK OVERVIEW- Inputs&amp;Outputs'!H10+' QUICK OVERVIEW- Inputs&amp;Outputs'!L10+' QUICK OVERVIEW- Inputs&amp;Outputs'!P10+' QUICK OVERVIEW- Inputs&amp;Outputs'!T10)</f>
        <v>13978.21</v>
      </c>
      <c r="D11" s="1495">
        <f>B11*C11</f>
        <v>1156696.8774999999</v>
      </c>
      <c r="E11" s="1502">
        <f>D11</f>
        <v>1156696.8774999999</v>
      </c>
      <c r="F11" s="498"/>
      <c r="G11" s="498"/>
      <c r="H11" s="498"/>
      <c r="I11" s="498"/>
      <c r="J11" s="498"/>
      <c r="K11" s="498"/>
      <c r="L11" s="498"/>
    </row>
    <row r="12" spans="1:14" s="230" customFormat="1" ht="15.75" thickBot="1" x14ac:dyDescent="0.3">
      <c r="A12" s="738"/>
      <c r="B12" s="738"/>
      <c r="C12" s="994"/>
      <c r="D12" s="995"/>
      <c r="E12" s="738"/>
      <c r="F12" s="498"/>
      <c r="G12" s="498"/>
      <c r="H12" s="498"/>
      <c r="I12" s="498"/>
      <c r="J12" s="498"/>
      <c r="K12" s="498"/>
      <c r="L12" s="498"/>
    </row>
    <row r="13" spans="1:14" ht="60" customHeight="1" x14ac:dyDescent="0.25">
      <c r="A13" s="3167" t="s">
        <v>1342</v>
      </c>
      <c r="B13" s="3168"/>
      <c r="C13" s="3168"/>
      <c r="D13" s="3168"/>
      <c r="E13" s="3168"/>
      <c r="F13" s="3168"/>
      <c r="G13" s="3168"/>
      <c r="H13" s="3168"/>
      <c r="I13" s="3169"/>
      <c r="J13" s="498"/>
      <c r="K13" s="498"/>
      <c r="L13" s="498"/>
    </row>
    <row r="14" spans="1:14" ht="105.75" customHeight="1" x14ac:dyDescent="0.25">
      <c r="A14" s="987" t="s">
        <v>1134</v>
      </c>
      <c r="B14" s="1007" t="s">
        <v>177</v>
      </c>
      <c r="C14" s="1026" t="s">
        <v>208</v>
      </c>
      <c r="D14" s="1026" t="s">
        <v>1478</v>
      </c>
      <c r="E14" s="1026" t="s">
        <v>272</v>
      </c>
      <c r="F14" s="1026" t="s">
        <v>1339</v>
      </c>
      <c r="G14" s="1027" t="s">
        <v>316</v>
      </c>
      <c r="J14" s="498"/>
      <c r="K14" s="498"/>
      <c r="L14" s="498"/>
    </row>
    <row r="15" spans="1:14" x14ac:dyDescent="0.25">
      <c r="A15" s="2862" t="s">
        <v>1135</v>
      </c>
      <c r="B15" s="775">
        <v>2019</v>
      </c>
      <c r="C15" s="1058">
        <f>$D$11</f>
        <v>1156696.8774999999</v>
      </c>
      <c r="D15" s="1212">
        <f t="shared" ref="D15:D46" si="0">(C15/1000)</f>
        <v>1156.6968775</v>
      </c>
      <c r="E15" s="775">
        <v>62</v>
      </c>
      <c r="F15" s="830">
        <f t="shared" ref="F15:F46" si="1">D15*E15</f>
        <v>71715.206405000004</v>
      </c>
      <c r="G15" s="2773">
        <f>(SUM(F15:F65)*1.2682)</f>
        <v>6447126.4972999748</v>
      </c>
      <c r="J15" s="498"/>
      <c r="K15" s="498"/>
      <c r="L15" s="498"/>
    </row>
    <row r="16" spans="1:14" x14ac:dyDescent="0.25">
      <c r="A16" s="2862"/>
      <c r="B16" s="775">
        <v>2020</v>
      </c>
      <c r="C16" s="1058">
        <f t="shared" ref="C16:C65" si="2">$D$11</f>
        <v>1156696.8774999999</v>
      </c>
      <c r="D16" s="1212">
        <f t="shared" si="0"/>
        <v>1156.6968775</v>
      </c>
      <c r="E16" s="775">
        <v>64</v>
      </c>
      <c r="F16" s="830">
        <f t="shared" si="1"/>
        <v>74028.600160000002</v>
      </c>
      <c r="G16" s="2773"/>
      <c r="J16" s="498"/>
      <c r="K16" s="498"/>
      <c r="L16" s="498"/>
    </row>
    <row r="17" spans="1:12" x14ac:dyDescent="0.25">
      <c r="A17" s="2862"/>
      <c r="B17" s="775">
        <v>2021</v>
      </c>
      <c r="C17" s="1058">
        <f t="shared" si="2"/>
        <v>1156696.8774999999</v>
      </c>
      <c r="D17" s="1212">
        <f t="shared" si="0"/>
        <v>1156.6968775</v>
      </c>
      <c r="E17" s="775">
        <v>65</v>
      </c>
      <c r="F17" s="830">
        <f t="shared" si="1"/>
        <v>75185.2970375</v>
      </c>
      <c r="G17" s="2773"/>
      <c r="J17" s="498"/>
      <c r="K17" s="498"/>
      <c r="L17" s="498"/>
    </row>
    <row r="18" spans="1:12" x14ac:dyDescent="0.25">
      <c r="A18" s="2862"/>
      <c r="B18" s="775">
        <v>2022</v>
      </c>
      <c r="C18" s="1058">
        <f t="shared" si="2"/>
        <v>1156696.8774999999</v>
      </c>
      <c r="D18" s="1212">
        <f t="shared" si="0"/>
        <v>1156.6968775</v>
      </c>
      <c r="E18" s="775">
        <v>66</v>
      </c>
      <c r="F18" s="830">
        <f t="shared" si="1"/>
        <v>76341.993914999999</v>
      </c>
      <c r="G18" s="2773"/>
      <c r="J18" s="498"/>
      <c r="K18" s="498"/>
      <c r="L18" s="498"/>
    </row>
    <row r="19" spans="1:12" x14ac:dyDescent="0.25">
      <c r="A19" s="2862"/>
      <c r="B19" s="775">
        <v>2023</v>
      </c>
      <c r="C19" s="1058">
        <f t="shared" si="2"/>
        <v>1156696.8774999999</v>
      </c>
      <c r="D19" s="1212">
        <f t="shared" si="0"/>
        <v>1156.6968775</v>
      </c>
      <c r="E19" s="775">
        <v>67</v>
      </c>
      <c r="F19" s="830">
        <f t="shared" si="1"/>
        <v>77498.690792499998</v>
      </c>
      <c r="G19" s="2773"/>
      <c r="J19" s="498"/>
      <c r="K19" s="498"/>
      <c r="L19" s="498"/>
    </row>
    <row r="20" spans="1:12" x14ac:dyDescent="0.25">
      <c r="A20" s="2862"/>
      <c r="B20" s="775">
        <v>2024</v>
      </c>
      <c r="C20" s="1058">
        <f t="shared" si="2"/>
        <v>1156696.8774999999</v>
      </c>
      <c r="D20" s="1212">
        <f t="shared" si="0"/>
        <v>1156.6968775</v>
      </c>
      <c r="E20" s="775">
        <v>68</v>
      </c>
      <c r="F20" s="830">
        <f t="shared" si="1"/>
        <v>78655.387669999996</v>
      </c>
      <c r="G20" s="2773"/>
      <c r="J20" s="498"/>
      <c r="K20" s="498"/>
      <c r="L20" s="498"/>
    </row>
    <row r="21" spans="1:12" x14ac:dyDescent="0.25">
      <c r="A21" s="2862"/>
      <c r="B21" s="775">
        <v>2025</v>
      </c>
      <c r="C21" s="1058">
        <f t="shared" si="2"/>
        <v>1156696.8774999999</v>
      </c>
      <c r="D21" s="1212">
        <f t="shared" si="0"/>
        <v>1156.6968775</v>
      </c>
      <c r="E21" s="775">
        <v>69</v>
      </c>
      <c r="F21" s="830">
        <f t="shared" si="1"/>
        <v>79812.084547499995</v>
      </c>
      <c r="G21" s="2773"/>
      <c r="J21" s="498"/>
      <c r="K21" s="498"/>
      <c r="L21" s="498"/>
    </row>
    <row r="22" spans="1:12" x14ac:dyDescent="0.25">
      <c r="A22" s="2862"/>
      <c r="B22" s="775">
        <v>2026</v>
      </c>
      <c r="C22" s="1058">
        <f t="shared" si="2"/>
        <v>1156696.8774999999</v>
      </c>
      <c r="D22" s="1212">
        <f t="shared" si="0"/>
        <v>1156.6968775</v>
      </c>
      <c r="E22" s="775">
        <v>70</v>
      </c>
      <c r="F22" s="830">
        <f t="shared" si="1"/>
        <v>80968.781425000008</v>
      </c>
      <c r="G22" s="2773"/>
      <c r="J22" s="498"/>
      <c r="K22" s="498"/>
      <c r="L22" s="498"/>
    </row>
    <row r="23" spans="1:12" x14ac:dyDescent="0.25">
      <c r="A23" s="2862"/>
      <c r="B23" s="775">
        <v>2027</v>
      </c>
      <c r="C23" s="1058">
        <f t="shared" si="2"/>
        <v>1156696.8774999999</v>
      </c>
      <c r="D23" s="1212">
        <f t="shared" si="0"/>
        <v>1156.6968775</v>
      </c>
      <c r="E23" s="775">
        <v>71</v>
      </c>
      <c r="F23" s="830">
        <f t="shared" si="1"/>
        <v>82125.478302500007</v>
      </c>
      <c r="G23" s="2773"/>
      <c r="J23" s="498"/>
      <c r="K23" s="498"/>
      <c r="L23" s="498"/>
    </row>
    <row r="24" spans="1:12" x14ac:dyDescent="0.25">
      <c r="A24" s="2862"/>
      <c r="B24" s="775">
        <v>2028</v>
      </c>
      <c r="C24" s="1058">
        <f t="shared" si="2"/>
        <v>1156696.8774999999</v>
      </c>
      <c r="D24" s="1212">
        <f t="shared" si="0"/>
        <v>1156.6968775</v>
      </c>
      <c r="E24" s="775">
        <v>72</v>
      </c>
      <c r="F24" s="830">
        <f t="shared" si="1"/>
        <v>83282.175180000006</v>
      </c>
      <c r="G24" s="2773"/>
      <c r="J24" s="498"/>
      <c r="K24" s="498"/>
      <c r="L24" s="498"/>
    </row>
    <row r="25" spans="1:12" x14ac:dyDescent="0.25">
      <c r="A25" s="2862"/>
      <c r="B25" s="775">
        <v>2029</v>
      </c>
      <c r="C25" s="1058">
        <f t="shared" si="2"/>
        <v>1156696.8774999999</v>
      </c>
      <c r="D25" s="1212">
        <f t="shared" si="0"/>
        <v>1156.6968775</v>
      </c>
      <c r="E25" s="775">
        <v>73</v>
      </c>
      <c r="F25" s="830">
        <f t="shared" si="1"/>
        <v>84438.872057500004</v>
      </c>
      <c r="G25" s="2773"/>
      <c r="J25" s="498"/>
      <c r="K25" s="498"/>
      <c r="L25" s="498"/>
    </row>
    <row r="26" spans="1:12" x14ac:dyDescent="0.25">
      <c r="A26" s="2862"/>
      <c r="B26" s="775">
        <v>2030</v>
      </c>
      <c r="C26" s="1058">
        <f t="shared" si="2"/>
        <v>1156696.8774999999</v>
      </c>
      <c r="D26" s="1212">
        <f t="shared" si="0"/>
        <v>1156.6968775</v>
      </c>
      <c r="E26" s="775">
        <v>75</v>
      </c>
      <c r="F26" s="830">
        <f t="shared" si="1"/>
        <v>86752.265812500002</v>
      </c>
      <c r="G26" s="2773"/>
      <c r="J26" s="498"/>
      <c r="K26" s="498"/>
      <c r="L26" s="498"/>
    </row>
    <row r="27" spans="1:12" x14ac:dyDescent="0.25">
      <c r="A27" s="2862"/>
      <c r="B27" s="775">
        <v>2031</v>
      </c>
      <c r="C27" s="1058">
        <f t="shared" si="2"/>
        <v>1156696.8774999999</v>
      </c>
      <c r="D27" s="1212">
        <f t="shared" si="0"/>
        <v>1156.6968775</v>
      </c>
      <c r="E27" s="775">
        <v>76</v>
      </c>
      <c r="F27" s="830">
        <f t="shared" si="1"/>
        <v>87908.96269</v>
      </c>
      <c r="G27" s="2773"/>
      <c r="J27" s="498"/>
      <c r="K27" s="498"/>
      <c r="L27" s="498"/>
    </row>
    <row r="28" spans="1:12" x14ac:dyDescent="0.25">
      <c r="A28" s="2862"/>
      <c r="B28" s="775">
        <v>2032</v>
      </c>
      <c r="C28" s="1058">
        <f t="shared" si="2"/>
        <v>1156696.8774999999</v>
      </c>
      <c r="D28" s="1212">
        <f t="shared" si="0"/>
        <v>1156.6968775</v>
      </c>
      <c r="E28" s="775">
        <v>77</v>
      </c>
      <c r="F28" s="830">
        <f t="shared" si="1"/>
        <v>89065.659567499999</v>
      </c>
      <c r="G28" s="2773"/>
      <c r="J28" s="498"/>
      <c r="K28" s="498"/>
      <c r="L28" s="498"/>
    </row>
    <row r="29" spans="1:12" x14ac:dyDescent="0.25">
      <c r="A29" s="2862"/>
      <c r="B29" s="775">
        <v>2033</v>
      </c>
      <c r="C29" s="1058">
        <f t="shared" si="2"/>
        <v>1156696.8774999999</v>
      </c>
      <c r="D29" s="1212">
        <f t="shared" si="0"/>
        <v>1156.6968775</v>
      </c>
      <c r="E29" s="775">
        <v>78</v>
      </c>
      <c r="F29" s="830">
        <f t="shared" si="1"/>
        <v>90222.356444999998</v>
      </c>
      <c r="G29" s="2773"/>
      <c r="J29" s="498"/>
      <c r="K29" s="498"/>
      <c r="L29" s="498"/>
    </row>
    <row r="30" spans="1:12" x14ac:dyDescent="0.25">
      <c r="A30" s="2862"/>
      <c r="B30" s="775">
        <v>2034</v>
      </c>
      <c r="C30" s="1058">
        <f t="shared" si="2"/>
        <v>1156696.8774999999</v>
      </c>
      <c r="D30" s="1212">
        <f t="shared" si="0"/>
        <v>1156.6968775</v>
      </c>
      <c r="E30" s="775">
        <v>79</v>
      </c>
      <c r="F30" s="830">
        <f t="shared" si="1"/>
        <v>91379.053322499996</v>
      </c>
      <c r="G30" s="2773"/>
      <c r="J30" s="498"/>
      <c r="K30" s="498"/>
      <c r="L30" s="498"/>
    </row>
    <row r="31" spans="1:12" x14ac:dyDescent="0.25">
      <c r="A31" s="2862"/>
      <c r="B31" s="775">
        <v>2035</v>
      </c>
      <c r="C31" s="1058">
        <f t="shared" si="2"/>
        <v>1156696.8774999999</v>
      </c>
      <c r="D31" s="1212">
        <f t="shared" si="0"/>
        <v>1156.6968775</v>
      </c>
      <c r="E31" s="775">
        <v>80</v>
      </c>
      <c r="F31" s="830">
        <f t="shared" si="1"/>
        <v>92535.750200000009</v>
      </c>
      <c r="G31" s="2773"/>
      <c r="J31" s="498"/>
      <c r="K31" s="498"/>
      <c r="L31" s="498"/>
    </row>
    <row r="32" spans="1:12" x14ac:dyDescent="0.25">
      <c r="A32" s="2862"/>
      <c r="B32" s="775">
        <v>2036</v>
      </c>
      <c r="C32" s="1058">
        <f t="shared" si="2"/>
        <v>1156696.8774999999</v>
      </c>
      <c r="D32" s="1212">
        <f t="shared" si="0"/>
        <v>1156.6968775</v>
      </c>
      <c r="E32" s="775">
        <v>81</v>
      </c>
      <c r="F32" s="830">
        <f t="shared" si="1"/>
        <v>93692.447077500008</v>
      </c>
      <c r="G32" s="2773"/>
      <c r="J32" s="498"/>
      <c r="K32" s="498"/>
      <c r="L32" s="498"/>
    </row>
    <row r="33" spans="1:12" x14ac:dyDescent="0.25">
      <c r="A33" s="2862"/>
      <c r="B33" s="775">
        <v>2037</v>
      </c>
      <c r="C33" s="1058">
        <f t="shared" si="2"/>
        <v>1156696.8774999999</v>
      </c>
      <c r="D33" s="1212">
        <f t="shared" si="0"/>
        <v>1156.6968775</v>
      </c>
      <c r="E33" s="775">
        <v>83</v>
      </c>
      <c r="F33" s="830">
        <f t="shared" si="1"/>
        <v>96005.840832500005</v>
      </c>
      <c r="G33" s="2773"/>
      <c r="J33" s="498"/>
      <c r="K33" s="498"/>
      <c r="L33" s="498"/>
    </row>
    <row r="34" spans="1:12" x14ac:dyDescent="0.25">
      <c r="A34" s="2862"/>
      <c r="B34" s="775">
        <v>2038</v>
      </c>
      <c r="C34" s="1058">
        <f t="shared" si="2"/>
        <v>1156696.8774999999</v>
      </c>
      <c r="D34" s="1212">
        <f t="shared" si="0"/>
        <v>1156.6968775</v>
      </c>
      <c r="E34" s="775">
        <v>84</v>
      </c>
      <c r="F34" s="830">
        <f t="shared" si="1"/>
        <v>97162.537710000004</v>
      </c>
      <c r="G34" s="2773"/>
      <c r="J34" s="498"/>
      <c r="K34" s="498"/>
      <c r="L34" s="498"/>
    </row>
    <row r="35" spans="1:12" x14ac:dyDescent="0.25">
      <c r="A35" s="2862"/>
      <c r="B35" s="775">
        <v>2039</v>
      </c>
      <c r="C35" s="1058">
        <f t="shared" si="2"/>
        <v>1156696.8774999999</v>
      </c>
      <c r="D35" s="1212">
        <f t="shared" si="0"/>
        <v>1156.6968775</v>
      </c>
      <c r="E35" s="775">
        <v>85</v>
      </c>
      <c r="F35" s="830">
        <f t="shared" si="1"/>
        <v>98319.234587500003</v>
      </c>
      <c r="G35" s="2773"/>
      <c r="J35" s="498"/>
      <c r="K35" s="498"/>
      <c r="L35" s="498"/>
    </row>
    <row r="36" spans="1:12" x14ac:dyDescent="0.25">
      <c r="A36" s="2862"/>
      <c r="B36" s="775">
        <v>2040</v>
      </c>
      <c r="C36" s="1058">
        <f t="shared" si="2"/>
        <v>1156696.8774999999</v>
      </c>
      <c r="D36" s="1212">
        <f t="shared" si="0"/>
        <v>1156.6968775</v>
      </c>
      <c r="E36" s="775">
        <v>86</v>
      </c>
      <c r="F36" s="830">
        <f t="shared" si="1"/>
        <v>99475.931465000001</v>
      </c>
      <c r="G36" s="2773"/>
      <c r="J36" s="498"/>
      <c r="K36" s="498"/>
      <c r="L36" s="498"/>
    </row>
    <row r="37" spans="1:12" x14ac:dyDescent="0.25">
      <c r="A37" s="2862"/>
      <c r="B37" s="775">
        <v>2041</v>
      </c>
      <c r="C37" s="1058">
        <f t="shared" si="2"/>
        <v>1156696.8774999999</v>
      </c>
      <c r="D37" s="1212">
        <f t="shared" si="0"/>
        <v>1156.6968775</v>
      </c>
      <c r="E37" s="775">
        <v>87</v>
      </c>
      <c r="F37" s="830">
        <f t="shared" si="1"/>
        <v>100632.6283425</v>
      </c>
      <c r="G37" s="2773"/>
      <c r="J37" s="498"/>
      <c r="K37" s="498"/>
      <c r="L37" s="498"/>
    </row>
    <row r="38" spans="1:12" x14ac:dyDescent="0.25">
      <c r="A38" s="2862"/>
      <c r="B38" s="775">
        <v>2042</v>
      </c>
      <c r="C38" s="1058">
        <f t="shared" si="2"/>
        <v>1156696.8774999999</v>
      </c>
      <c r="D38" s="1212">
        <f t="shared" si="0"/>
        <v>1156.6968775</v>
      </c>
      <c r="E38" s="775">
        <v>88</v>
      </c>
      <c r="F38" s="830">
        <f t="shared" si="1"/>
        <v>101789.32522</v>
      </c>
      <c r="G38" s="2773"/>
      <c r="J38" s="498"/>
      <c r="K38" s="498"/>
      <c r="L38" s="498"/>
    </row>
    <row r="39" spans="1:12" x14ac:dyDescent="0.25">
      <c r="A39" s="2862"/>
      <c r="B39" s="775">
        <v>2043</v>
      </c>
      <c r="C39" s="1058">
        <f t="shared" si="2"/>
        <v>1156696.8774999999</v>
      </c>
      <c r="D39" s="1212">
        <f t="shared" si="0"/>
        <v>1156.6968775</v>
      </c>
      <c r="E39" s="775">
        <v>89</v>
      </c>
      <c r="F39" s="830">
        <f t="shared" si="1"/>
        <v>102946.0220975</v>
      </c>
      <c r="G39" s="2773"/>
      <c r="J39" s="498"/>
      <c r="K39" s="498"/>
      <c r="L39" s="498"/>
    </row>
    <row r="40" spans="1:12" x14ac:dyDescent="0.25">
      <c r="A40" s="2862"/>
      <c r="B40" s="775">
        <v>2044</v>
      </c>
      <c r="C40" s="1058">
        <f t="shared" si="2"/>
        <v>1156696.8774999999</v>
      </c>
      <c r="D40" s="1212">
        <f t="shared" si="0"/>
        <v>1156.6968775</v>
      </c>
      <c r="E40" s="775">
        <v>90</v>
      </c>
      <c r="F40" s="830">
        <f t="shared" si="1"/>
        <v>104102.718975</v>
      </c>
      <c r="G40" s="2773"/>
      <c r="J40" s="498"/>
      <c r="K40" s="498"/>
      <c r="L40" s="498"/>
    </row>
    <row r="41" spans="1:12" x14ac:dyDescent="0.25">
      <c r="A41" s="2862"/>
      <c r="B41" s="775">
        <v>2045</v>
      </c>
      <c r="C41" s="1058">
        <f t="shared" si="2"/>
        <v>1156696.8774999999</v>
      </c>
      <c r="D41" s="1212">
        <f t="shared" si="0"/>
        <v>1156.6968775</v>
      </c>
      <c r="E41" s="775">
        <v>92</v>
      </c>
      <c r="F41" s="830">
        <f t="shared" si="1"/>
        <v>106416.11273000001</v>
      </c>
      <c r="G41" s="2773"/>
      <c r="J41" s="498"/>
      <c r="K41" s="498"/>
      <c r="L41" s="498"/>
    </row>
    <row r="42" spans="1:12" x14ac:dyDescent="0.25">
      <c r="A42" s="2862"/>
      <c r="B42" s="775">
        <v>2046</v>
      </c>
      <c r="C42" s="1058">
        <f t="shared" si="2"/>
        <v>1156696.8774999999</v>
      </c>
      <c r="D42" s="1212">
        <f t="shared" si="0"/>
        <v>1156.6968775</v>
      </c>
      <c r="E42" s="775">
        <v>93</v>
      </c>
      <c r="F42" s="830">
        <f t="shared" si="1"/>
        <v>107572.80960750001</v>
      </c>
      <c r="G42" s="2773"/>
      <c r="J42" s="498"/>
      <c r="K42" s="498"/>
      <c r="L42" s="498"/>
    </row>
    <row r="43" spans="1:12" x14ac:dyDescent="0.25">
      <c r="A43" s="2862"/>
      <c r="B43" s="775">
        <v>2047</v>
      </c>
      <c r="C43" s="1058">
        <f t="shared" si="2"/>
        <v>1156696.8774999999</v>
      </c>
      <c r="D43" s="1212">
        <f t="shared" si="0"/>
        <v>1156.6968775</v>
      </c>
      <c r="E43" s="775">
        <v>94</v>
      </c>
      <c r="F43" s="830">
        <f t="shared" si="1"/>
        <v>108729.50648500001</v>
      </c>
      <c r="G43" s="2773"/>
      <c r="J43" s="498"/>
      <c r="K43" s="498"/>
      <c r="L43" s="498"/>
    </row>
    <row r="44" spans="1:12" x14ac:dyDescent="0.25">
      <c r="A44" s="2862"/>
      <c r="B44" s="775">
        <v>2048</v>
      </c>
      <c r="C44" s="1058">
        <f t="shared" si="2"/>
        <v>1156696.8774999999</v>
      </c>
      <c r="D44" s="1212">
        <f t="shared" si="0"/>
        <v>1156.6968775</v>
      </c>
      <c r="E44" s="775">
        <v>95</v>
      </c>
      <c r="F44" s="830">
        <f t="shared" si="1"/>
        <v>109886.2033625</v>
      </c>
      <c r="G44" s="2773"/>
      <c r="J44" s="498"/>
      <c r="K44" s="498"/>
      <c r="L44" s="498"/>
    </row>
    <row r="45" spans="1:12" x14ac:dyDescent="0.25">
      <c r="A45" s="2862"/>
      <c r="B45" s="775">
        <v>2049</v>
      </c>
      <c r="C45" s="1058">
        <f t="shared" si="2"/>
        <v>1156696.8774999999</v>
      </c>
      <c r="D45" s="1212">
        <f t="shared" si="0"/>
        <v>1156.6968775</v>
      </c>
      <c r="E45" s="775">
        <v>96</v>
      </c>
      <c r="F45" s="830">
        <f t="shared" si="1"/>
        <v>111042.90024</v>
      </c>
      <c r="G45" s="2773"/>
      <c r="J45" s="498"/>
      <c r="K45" s="498"/>
      <c r="L45" s="498"/>
    </row>
    <row r="46" spans="1:12" x14ac:dyDescent="0.25">
      <c r="A46" s="2862"/>
      <c r="B46" s="775">
        <v>2050</v>
      </c>
      <c r="C46" s="1058">
        <f t="shared" si="2"/>
        <v>1156696.8774999999</v>
      </c>
      <c r="D46" s="1212">
        <f t="shared" si="0"/>
        <v>1156.6968775</v>
      </c>
      <c r="E46" s="775">
        <v>97</v>
      </c>
      <c r="F46" s="830">
        <f t="shared" si="1"/>
        <v>112199.5971175</v>
      </c>
      <c r="G46" s="2773"/>
      <c r="J46" s="498"/>
      <c r="K46" s="498"/>
      <c r="L46" s="498"/>
    </row>
    <row r="47" spans="1:12" x14ac:dyDescent="0.25">
      <c r="A47" s="2862"/>
      <c r="B47" s="775">
        <v>2051</v>
      </c>
      <c r="C47" s="1058">
        <f t="shared" si="2"/>
        <v>1156696.8774999999</v>
      </c>
      <c r="D47" s="1212">
        <f t="shared" ref="D47:D65" si="3">(C47/1000)</f>
        <v>1156.6968775</v>
      </c>
      <c r="E47" s="775">
        <v>97</v>
      </c>
      <c r="F47" s="830">
        <f t="shared" ref="F47:F65" si="4">D47*E47</f>
        <v>112199.5971175</v>
      </c>
      <c r="G47" s="2773"/>
      <c r="J47" s="498"/>
      <c r="K47" s="498"/>
      <c r="L47" s="498"/>
    </row>
    <row r="48" spans="1:12" x14ac:dyDescent="0.25">
      <c r="A48" s="2862"/>
      <c r="B48" s="775">
        <v>2052</v>
      </c>
      <c r="C48" s="1058">
        <f t="shared" si="2"/>
        <v>1156696.8774999999</v>
      </c>
      <c r="D48" s="1212">
        <f t="shared" si="3"/>
        <v>1156.6968775</v>
      </c>
      <c r="E48" s="775">
        <v>97</v>
      </c>
      <c r="F48" s="830">
        <f t="shared" si="4"/>
        <v>112199.5971175</v>
      </c>
      <c r="G48" s="2773"/>
      <c r="J48" s="498"/>
      <c r="K48" s="498"/>
      <c r="L48" s="498"/>
    </row>
    <row r="49" spans="1:12" x14ac:dyDescent="0.25">
      <c r="A49" s="2862"/>
      <c r="B49" s="775">
        <v>2053</v>
      </c>
      <c r="C49" s="1058">
        <f t="shared" si="2"/>
        <v>1156696.8774999999</v>
      </c>
      <c r="D49" s="1212">
        <f t="shared" si="3"/>
        <v>1156.6968775</v>
      </c>
      <c r="E49" s="775">
        <v>97</v>
      </c>
      <c r="F49" s="830">
        <f t="shared" si="4"/>
        <v>112199.5971175</v>
      </c>
      <c r="G49" s="2773"/>
      <c r="J49" s="498"/>
      <c r="K49" s="498"/>
      <c r="L49" s="498"/>
    </row>
    <row r="50" spans="1:12" x14ac:dyDescent="0.25">
      <c r="A50" s="2862"/>
      <c r="B50" s="775">
        <v>2054</v>
      </c>
      <c r="C50" s="1058">
        <f t="shared" si="2"/>
        <v>1156696.8774999999</v>
      </c>
      <c r="D50" s="1212">
        <f t="shared" si="3"/>
        <v>1156.6968775</v>
      </c>
      <c r="E50" s="775">
        <v>97</v>
      </c>
      <c r="F50" s="830">
        <f t="shared" si="4"/>
        <v>112199.5971175</v>
      </c>
      <c r="G50" s="2773"/>
      <c r="J50" s="498"/>
      <c r="K50" s="498"/>
      <c r="L50" s="498"/>
    </row>
    <row r="51" spans="1:12" x14ac:dyDescent="0.25">
      <c r="A51" s="2862"/>
      <c r="B51" s="775">
        <v>2055</v>
      </c>
      <c r="C51" s="1058">
        <f t="shared" si="2"/>
        <v>1156696.8774999999</v>
      </c>
      <c r="D51" s="1212">
        <f t="shared" si="3"/>
        <v>1156.6968775</v>
      </c>
      <c r="E51" s="775">
        <v>97</v>
      </c>
      <c r="F51" s="830">
        <f t="shared" si="4"/>
        <v>112199.5971175</v>
      </c>
      <c r="G51" s="2773"/>
      <c r="J51" s="498"/>
      <c r="K51" s="498"/>
      <c r="L51" s="498"/>
    </row>
    <row r="52" spans="1:12" x14ac:dyDescent="0.25">
      <c r="A52" s="2862"/>
      <c r="B52" s="775">
        <v>2056</v>
      </c>
      <c r="C52" s="1058">
        <f t="shared" si="2"/>
        <v>1156696.8774999999</v>
      </c>
      <c r="D52" s="1212">
        <f t="shared" si="3"/>
        <v>1156.6968775</v>
      </c>
      <c r="E52" s="775">
        <v>97</v>
      </c>
      <c r="F52" s="830">
        <f t="shared" si="4"/>
        <v>112199.5971175</v>
      </c>
      <c r="G52" s="2773"/>
      <c r="J52" s="498"/>
      <c r="K52" s="498"/>
      <c r="L52" s="498"/>
    </row>
    <row r="53" spans="1:12" x14ac:dyDescent="0.25">
      <c r="A53" s="2862"/>
      <c r="B53" s="775">
        <v>2057</v>
      </c>
      <c r="C53" s="1058">
        <f t="shared" si="2"/>
        <v>1156696.8774999999</v>
      </c>
      <c r="D53" s="1212">
        <f t="shared" si="3"/>
        <v>1156.6968775</v>
      </c>
      <c r="E53" s="775">
        <v>97</v>
      </c>
      <c r="F53" s="830">
        <f t="shared" si="4"/>
        <v>112199.5971175</v>
      </c>
      <c r="G53" s="2773"/>
      <c r="J53" s="498"/>
      <c r="K53" s="498"/>
      <c r="L53" s="498"/>
    </row>
    <row r="54" spans="1:12" x14ac:dyDescent="0.25">
      <c r="A54" s="2862"/>
      <c r="B54" s="775">
        <v>2058</v>
      </c>
      <c r="C54" s="1058">
        <f t="shared" si="2"/>
        <v>1156696.8774999999</v>
      </c>
      <c r="D54" s="1212">
        <f t="shared" si="3"/>
        <v>1156.6968775</v>
      </c>
      <c r="E54" s="775">
        <v>97</v>
      </c>
      <c r="F54" s="830">
        <f t="shared" si="4"/>
        <v>112199.5971175</v>
      </c>
      <c r="G54" s="2773"/>
      <c r="J54" s="498"/>
      <c r="K54" s="498"/>
      <c r="L54" s="498"/>
    </row>
    <row r="55" spans="1:12" x14ac:dyDescent="0.25">
      <c r="A55" s="2862"/>
      <c r="B55" s="775">
        <v>2059</v>
      </c>
      <c r="C55" s="1058">
        <f t="shared" si="2"/>
        <v>1156696.8774999999</v>
      </c>
      <c r="D55" s="1212">
        <f t="shared" si="3"/>
        <v>1156.6968775</v>
      </c>
      <c r="E55" s="775">
        <v>97</v>
      </c>
      <c r="F55" s="830">
        <f t="shared" si="4"/>
        <v>112199.5971175</v>
      </c>
      <c r="G55" s="2773"/>
      <c r="J55" s="498"/>
      <c r="K55" s="498"/>
      <c r="L55" s="498"/>
    </row>
    <row r="56" spans="1:12" x14ac:dyDescent="0.25">
      <c r="A56" s="2862"/>
      <c r="B56" s="775">
        <v>2060</v>
      </c>
      <c r="C56" s="1058">
        <f t="shared" si="2"/>
        <v>1156696.8774999999</v>
      </c>
      <c r="D56" s="1212">
        <f t="shared" si="3"/>
        <v>1156.6968775</v>
      </c>
      <c r="E56" s="775">
        <v>97</v>
      </c>
      <c r="F56" s="830">
        <f t="shared" si="4"/>
        <v>112199.5971175</v>
      </c>
      <c r="G56" s="2773"/>
      <c r="J56" s="498"/>
      <c r="K56" s="498"/>
      <c r="L56" s="498"/>
    </row>
    <row r="57" spans="1:12" x14ac:dyDescent="0.25">
      <c r="A57" s="2862"/>
      <c r="B57" s="775">
        <v>2061</v>
      </c>
      <c r="C57" s="1058">
        <f t="shared" si="2"/>
        <v>1156696.8774999999</v>
      </c>
      <c r="D57" s="1212">
        <f t="shared" si="3"/>
        <v>1156.6968775</v>
      </c>
      <c r="E57" s="775">
        <v>97</v>
      </c>
      <c r="F57" s="830">
        <f t="shared" si="4"/>
        <v>112199.5971175</v>
      </c>
      <c r="G57" s="2773"/>
      <c r="J57" s="498"/>
      <c r="K57" s="498"/>
      <c r="L57" s="498"/>
    </row>
    <row r="58" spans="1:12" x14ac:dyDescent="0.25">
      <c r="A58" s="2862"/>
      <c r="B58" s="775">
        <v>2062</v>
      </c>
      <c r="C58" s="1058">
        <f t="shared" si="2"/>
        <v>1156696.8774999999</v>
      </c>
      <c r="D58" s="1212">
        <f t="shared" si="3"/>
        <v>1156.6968775</v>
      </c>
      <c r="E58" s="775">
        <v>97</v>
      </c>
      <c r="F58" s="830">
        <f t="shared" si="4"/>
        <v>112199.5971175</v>
      </c>
      <c r="G58" s="2773"/>
      <c r="J58" s="498"/>
      <c r="K58" s="498"/>
      <c r="L58" s="498"/>
    </row>
    <row r="59" spans="1:12" x14ac:dyDescent="0.25">
      <c r="A59" s="2862"/>
      <c r="B59" s="775">
        <v>2063</v>
      </c>
      <c r="C59" s="1058">
        <f t="shared" si="2"/>
        <v>1156696.8774999999</v>
      </c>
      <c r="D59" s="1212">
        <f t="shared" si="3"/>
        <v>1156.6968775</v>
      </c>
      <c r="E59" s="775">
        <v>97</v>
      </c>
      <c r="F59" s="830">
        <f t="shared" si="4"/>
        <v>112199.5971175</v>
      </c>
      <c r="G59" s="2773"/>
      <c r="J59" s="498"/>
      <c r="K59" s="498"/>
      <c r="L59" s="498"/>
    </row>
    <row r="60" spans="1:12" x14ac:dyDescent="0.25">
      <c r="A60" s="2862"/>
      <c r="B60" s="775">
        <v>2064</v>
      </c>
      <c r="C60" s="1058">
        <f t="shared" si="2"/>
        <v>1156696.8774999999</v>
      </c>
      <c r="D60" s="1212">
        <f t="shared" si="3"/>
        <v>1156.6968775</v>
      </c>
      <c r="E60" s="775">
        <v>97</v>
      </c>
      <c r="F60" s="830">
        <f t="shared" si="4"/>
        <v>112199.5971175</v>
      </c>
      <c r="G60" s="2773"/>
      <c r="J60" s="498"/>
      <c r="K60" s="498"/>
      <c r="L60" s="498"/>
    </row>
    <row r="61" spans="1:12" x14ac:dyDescent="0.25">
      <c r="A61" s="2862"/>
      <c r="B61" s="775">
        <v>2065</v>
      </c>
      <c r="C61" s="1058">
        <f t="shared" si="2"/>
        <v>1156696.8774999999</v>
      </c>
      <c r="D61" s="1212">
        <f t="shared" si="3"/>
        <v>1156.6968775</v>
      </c>
      <c r="E61" s="775">
        <v>97</v>
      </c>
      <c r="F61" s="830">
        <f t="shared" si="4"/>
        <v>112199.5971175</v>
      </c>
      <c r="G61" s="2773"/>
      <c r="J61" s="498"/>
      <c r="K61" s="498"/>
      <c r="L61" s="498"/>
    </row>
    <row r="62" spans="1:12" x14ac:dyDescent="0.25">
      <c r="A62" s="2862"/>
      <c r="B62" s="775">
        <v>2066</v>
      </c>
      <c r="C62" s="1058">
        <f t="shared" si="2"/>
        <v>1156696.8774999999</v>
      </c>
      <c r="D62" s="1212">
        <f t="shared" si="3"/>
        <v>1156.6968775</v>
      </c>
      <c r="E62" s="775">
        <v>97</v>
      </c>
      <c r="F62" s="830">
        <f t="shared" si="4"/>
        <v>112199.5971175</v>
      </c>
      <c r="G62" s="2773"/>
      <c r="J62" s="498"/>
      <c r="K62" s="498"/>
      <c r="L62" s="498"/>
    </row>
    <row r="63" spans="1:12" x14ac:dyDescent="0.25">
      <c r="A63" s="2862"/>
      <c r="B63" s="775">
        <v>2067</v>
      </c>
      <c r="C63" s="1058">
        <f t="shared" si="2"/>
        <v>1156696.8774999999</v>
      </c>
      <c r="D63" s="1212">
        <f t="shared" si="3"/>
        <v>1156.6968775</v>
      </c>
      <c r="E63" s="775">
        <v>97</v>
      </c>
      <c r="F63" s="830">
        <f t="shared" si="4"/>
        <v>112199.5971175</v>
      </c>
      <c r="G63" s="2773"/>
      <c r="J63" s="498"/>
      <c r="K63" s="498"/>
      <c r="L63" s="498"/>
    </row>
    <row r="64" spans="1:12" x14ac:dyDescent="0.25">
      <c r="A64" s="2862"/>
      <c r="B64" s="775">
        <v>2068</v>
      </c>
      <c r="C64" s="1058">
        <f t="shared" si="2"/>
        <v>1156696.8774999999</v>
      </c>
      <c r="D64" s="1212">
        <f t="shared" si="3"/>
        <v>1156.6968775</v>
      </c>
      <c r="E64" s="775">
        <v>97</v>
      </c>
      <c r="F64" s="830">
        <f t="shared" si="4"/>
        <v>112199.5971175</v>
      </c>
      <c r="G64" s="2773"/>
      <c r="J64" s="498"/>
      <c r="K64" s="498"/>
      <c r="L64" s="498"/>
    </row>
    <row r="65" spans="1:12" ht="15.75" thickBot="1" x14ac:dyDescent="0.3">
      <c r="A65" s="2863"/>
      <c r="B65" s="776">
        <v>2069</v>
      </c>
      <c r="C65" s="1060">
        <f t="shared" si="2"/>
        <v>1156696.8774999999</v>
      </c>
      <c r="D65" s="1214">
        <f t="shared" si="3"/>
        <v>1156.6968775</v>
      </c>
      <c r="E65" s="776">
        <v>97</v>
      </c>
      <c r="F65" s="1063">
        <f t="shared" si="4"/>
        <v>112199.5971175</v>
      </c>
      <c r="G65" s="2774"/>
      <c r="J65" s="498"/>
      <c r="K65" s="498"/>
      <c r="L65" s="498"/>
    </row>
    <row r="66" spans="1:12" ht="15.75" thickBot="1" x14ac:dyDescent="0.3">
      <c r="A66" s="498"/>
      <c r="B66" s="498"/>
      <c r="C66" s="498"/>
      <c r="D66" s="498"/>
      <c r="E66" s="498"/>
      <c r="F66" s="498"/>
      <c r="G66" s="498"/>
      <c r="H66" s="498"/>
      <c r="I66" s="498"/>
      <c r="J66" s="498"/>
      <c r="K66" s="498"/>
      <c r="L66" s="498"/>
    </row>
    <row r="67" spans="1:12" ht="63.75" customHeight="1" thickBot="1" x14ac:dyDescent="0.3">
      <c r="A67" s="3176" t="s">
        <v>1343</v>
      </c>
      <c r="B67" s="3177"/>
      <c r="C67" s="3177"/>
      <c r="D67" s="3177"/>
      <c r="E67" s="3177"/>
      <c r="F67" s="3177"/>
      <c r="G67" s="3178"/>
      <c r="H67" s="498"/>
      <c r="I67" s="498"/>
      <c r="J67" s="498"/>
      <c r="K67" s="498"/>
      <c r="L67" s="498"/>
    </row>
    <row r="68" spans="1:12" ht="78.75" thickBot="1" x14ac:dyDescent="0.3">
      <c r="A68" s="1336" t="s">
        <v>1134</v>
      </c>
      <c r="B68" s="1339" t="s">
        <v>177</v>
      </c>
      <c r="C68" s="1344" t="s">
        <v>208</v>
      </c>
      <c r="D68" s="1344" t="s">
        <v>211</v>
      </c>
      <c r="E68" s="1344" t="s">
        <v>272</v>
      </c>
      <c r="F68" s="1344" t="s">
        <v>1339</v>
      </c>
      <c r="G68" s="1402" t="s">
        <v>316</v>
      </c>
      <c r="H68" s="498"/>
      <c r="I68" s="498"/>
      <c r="J68" s="498"/>
      <c r="K68" s="498"/>
      <c r="L68" s="498"/>
    </row>
    <row r="69" spans="1:12" x14ac:dyDescent="0.25">
      <c r="A69" s="2903" t="s">
        <v>1302</v>
      </c>
      <c r="B69" s="1349">
        <v>2019</v>
      </c>
      <c r="C69" s="1055">
        <f t="shared" ref="C69:C100" si="5">$H$6</f>
        <v>-880627.23</v>
      </c>
      <c r="D69" s="1210">
        <f>(C69/1000)</f>
        <v>-880.62722999999994</v>
      </c>
      <c r="E69" s="1349">
        <v>62</v>
      </c>
      <c r="F69" s="1057">
        <f>D69*E69</f>
        <v>-54598.88826</v>
      </c>
      <c r="G69" s="2772">
        <f>(SUM(F69:F119)*1.2682)</f>
        <v>-4908386.3363129711</v>
      </c>
      <c r="H69" s="498"/>
      <c r="I69" s="498"/>
      <c r="J69" s="498"/>
      <c r="K69" s="498"/>
      <c r="L69" s="498"/>
    </row>
    <row r="70" spans="1:12" x14ac:dyDescent="0.25">
      <c r="A70" s="2862"/>
      <c r="B70" s="1347">
        <v>2020</v>
      </c>
      <c r="C70" s="1058">
        <f t="shared" si="5"/>
        <v>-880627.23</v>
      </c>
      <c r="D70" s="1212">
        <f t="shared" ref="D70:D119" si="6">(C70/1000)</f>
        <v>-880.62722999999994</v>
      </c>
      <c r="E70" s="1347">
        <v>64</v>
      </c>
      <c r="F70" s="830">
        <f t="shared" ref="F70:F119" si="7">D70*E70</f>
        <v>-56360.142719999996</v>
      </c>
      <c r="G70" s="2773"/>
      <c r="H70" s="498"/>
      <c r="I70" s="498"/>
      <c r="J70" s="498"/>
      <c r="K70" s="498"/>
      <c r="L70" s="498"/>
    </row>
    <row r="71" spans="1:12" x14ac:dyDescent="0.25">
      <c r="A71" s="2862"/>
      <c r="B71" s="1347">
        <v>2021</v>
      </c>
      <c r="C71" s="1058">
        <f t="shared" si="5"/>
        <v>-880627.23</v>
      </c>
      <c r="D71" s="1212">
        <f t="shared" si="6"/>
        <v>-880.62722999999994</v>
      </c>
      <c r="E71" s="1347">
        <v>65</v>
      </c>
      <c r="F71" s="830">
        <f t="shared" si="7"/>
        <v>-57240.769949999994</v>
      </c>
      <c r="G71" s="2773"/>
      <c r="H71" s="498"/>
      <c r="I71" s="498"/>
      <c r="J71" s="498"/>
      <c r="K71" s="498"/>
      <c r="L71" s="498"/>
    </row>
    <row r="72" spans="1:12" x14ac:dyDescent="0.25">
      <c r="A72" s="2862"/>
      <c r="B72" s="1347">
        <v>2022</v>
      </c>
      <c r="C72" s="1058">
        <f t="shared" si="5"/>
        <v>-880627.23</v>
      </c>
      <c r="D72" s="1212">
        <f t="shared" si="6"/>
        <v>-880.62722999999994</v>
      </c>
      <c r="E72" s="1347">
        <v>66</v>
      </c>
      <c r="F72" s="830">
        <f t="shared" si="7"/>
        <v>-58121.397179999993</v>
      </c>
      <c r="G72" s="2773"/>
      <c r="H72" s="498"/>
      <c r="I72" s="498"/>
      <c r="J72" s="498"/>
      <c r="K72" s="498"/>
      <c r="L72" s="498"/>
    </row>
    <row r="73" spans="1:12" x14ac:dyDescent="0.25">
      <c r="A73" s="2862"/>
      <c r="B73" s="1347">
        <v>2023</v>
      </c>
      <c r="C73" s="1058">
        <f t="shared" si="5"/>
        <v>-880627.23</v>
      </c>
      <c r="D73" s="1212">
        <f t="shared" si="6"/>
        <v>-880.62722999999994</v>
      </c>
      <c r="E73" s="1347">
        <v>67</v>
      </c>
      <c r="F73" s="830">
        <f t="shared" si="7"/>
        <v>-59002.024409999998</v>
      </c>
      <c r="G73" s="2773"/>
      <c r="H73" s="498"/>
      <c r="I73" s="498"/>
      <c r="J73" s="498"/>
      <c r="K73" s="498"/>
      <c r="L73" s="498"/>
    </row>
    <row r="74" spans="1:12" x14ac:dyDescent="0.25">
      <c r="A74" s="2862"/>
      <c r="B74" s="1347">
        <v>2024</v>
      </c>
      <c r="C74" s="1058">
        <f t="shared" si="5"/>
        <v>-880627.23</v>
      </c>
      <c r="D74" s="1212">
        <f t="shared" si="6"/>
        <v>-880.62722999999994</v>
      </c>
      <c r="E74" s="1347">
        <v>68</v>
      </c>
      <c r="F74" s="830">
        <f t="shared" si="7"/>
        <v>-59882.651639999996</v>
      </c>
      <c r="G74" s="2773"/>
      <c r="H74" s="498"/>
      <c r="I74" s="498"/>
      <c r="J74" s="498"/>
      <c r="K74" s="498"/>
      <c r="L74" s="498"/>
    </row>
    <row r="75" spans="1:12" x14ac:dyDescent="0.25">
      <c r="A75" s="2862"/>
      <c r="B75" s="1347">
        <v>2025</v>
      </c>
      <c r="C75" s="1058">
        <f t="shared" si="5"/>
        <v>-880627.23</v>
      </c>
      <c r="D75" s="1212">
        <f t="shared" si="6"/>
        <v>-880.62722999999994</v>
      </c>
      <c r="E75" s="1347">
        <v>69</v>
      </c>
      <c r="F75" s="830">
        <f t="shared" si="7"/>
        <v>-60763.278869999995</v>
      </c>
      <c r="G75" s="2773"/>
      <c r="H75" s="498"/>
      <c r="I75" s="498"/>
      <c r="J75" s="498"/>
      <c r="K75" s="498"/>
      <c r="L75" s="498"/>
    </row>
    <row r="76" spans="1:12" x14ac:dyDescent="0.25">
      <c r="A76" s="2862"/>
      <c r="B76" s="1347">
        <v>2026</v>
      </c>
      <c r="C76" s="1058">
        <f t="shared" si="5"/>
        <v>-880627.23</v>
      </c>
      <c r="D76" s="1212">
        <f t="shared" si="6"/>
        <v>-880.62722999999994</v>
      </c>
      <c r="E76" s="1347">
        <v>70</v>
      </c>
      <c r="F76" s="830">
        <f t="shared" si="7"/>
        <v>-61643.906099999993</v>
      </c>
      <c r="G76" s="2773"/>
      <c r="H76" s="498"/>
      <c r="I76" s="498"/>
      <c r="J76" s="498"/>
      <c r="K76" s="498"/>
      <c r="L76" s="498"/>
    </row>
    <row r="77" spans="1:12" x14ac:dyDescent="0.25">
      <c r="A77" s="2862"/>
      <c r="B77" s="1347">
        <v>2027</v>
      </c>
      <c r="C77" s="1058">
        <f t="shared" si="5"/>
        <v>-880627.23</v>
      </c>
      <c r="D77" s="1212">
        <f t="shared" si="6"/>
        <v>-880.62722999999994</v>
      </c>
      <c r="E77" s="1347">
        <v>71</v>
      </c>
      <c r="F77" s="830">
        <f t="shared" si="7"/>
        <v>-62524.533329999998</v>
      </c>
      <c r="G77" s="2773"/>
      <c r="H77" s="498"/>
      <c r="I77" s="498"/>
      <c r="J77" s="498"/>
      <c r="K77" s="498"/>
      <c r="L77" s="498"/>
    </row>
    <row r="78" spans="1:12" x14ac:dyDescent="0.25">
      <c r="A78" s="2862"/>
      <c r="B78" s="1347">
        <v>2028</v>
      </c>
      <c r="C78" s="1058">
        <f t="shared" si="5"/>
        <v>-880627.23</v>
      </c>
      <c r="D78" s="1212">
        <f t="shared" si="6"/>
        <v>-880.62722999999994</v>
      </c>
      <c r="E78" s="1347">
        <v>72</v>
      </c>
      <c r="F78" s="830">
        <f t="shared" si="7"/>
        <v>-63405.160559999997</v>
      </c>
      <c r="G78" s="2773"/>
      <c r="H78" s="498"/>
      <c r="I78" s="498"/>
      <c r="J78" s="498"/>
      <c r="K78" s="498"/>
      <c r="L78" s="498"/>
    </row>
    <row r="79" spans="1:12" x14ac:dyDescent="0.25">
      <c r="A79" s="2862"/>
      <c r="B79" s="1347">
        <v>2029</v>
      </c>
      <c r="C79" s="1058">
        <f t="shared" si="5"/>
        <v>-880627.23</v>
      </c>
      <c r="D79" s="1212">
        <f t="shared" si="6"/>
        <v>-880.62722999999994</v>
      </c>
      <c r="E79" s="1347">
        <v>73</v>
      </c>
      <c r="F79" s="830">
        <f t="shared" si="7"/>
        <v>-64285.787789999995</v>
      </c>
      <c r="G79" s="2773"/>
      <c r="H79" s="498"/>
      <c r="I79" s="498"/>
      <c r="J79" s="498"/>
      <c r="K79" s="498"/>
      <c r="L79" s="498"/>
    </row>
    <row r="80" spans="1:12" x14ac:dyDescent="0.25">
      <c r="A80" s="2862"/>
      <c r="B80" s="1347">
        <v>2030</v>
      </c>
      <c r="C80" s="1058">
        <f t="shared" si="5"/>
        <v>-880627.23</v>
      </c>
      <c r="D80" s="1212">
        <f t="shared" si="6"/>
        <v>-880.62722999999994</v>
      </c>
      <c r="E80" s="1347">
        <v>75</v>
      </c>
      <c r="F80" s="830">
        <f t="shared" si="7"/>
        <v>-66047.042249999999</v>
      </c>
      <c r="G80" s="2773"/>
      <c r="H80" s="498"/>
      <c r="I80" s="498"/>
      <c r="J80" s="498"/>
      <c r="K80" s="498"/>
      <c r="L80" s="498"/>
    </row>
    <row r="81" spans="1:12" x14ac:dyDescent="0.25">
      <c r="A81" s="2862"/>
      <c r="B81" s="1347">
        <v>2031</v>
      </c>
      <c r="C81" s="1058">
        <f t="shared" si="5"/>
        <v>-880627.23</v>
      </c>
      <c r="D81" s="1212">
        <f t="shared" si="6"/>
        <v>-880.62722999999994</v>
      </c>
      <c r="E81" s="1347">
        <v>76</v>
      </c>
      <c r="F81" s="830">
        <f t="shared" si="7"/>
        <v>-66927.669479999997</v>
      </c>
      <c r="G81" s="2773"/>
      <c r="H81" s="498"/>
      <c r="I81" s="498"/>
      <c r="J81" s="498"/>
      <c r="K81" s="498"/>
      <c r="L81" s="498"/>
    </row>
    <row r="82" spans="1:12" x14ac:dyDescent="0.25">
      <c r="A82" s="2862"/>
      <c r="B82" s="1347">
        <v>2032</v>
      </c>
      <c r="C82" s="1058">
        <f t="shared" si="5"/>
        <v>-880627.23</v>
      </c>
      <c r="D82" s="1212">
        <f t="shared" si="6"/>
        <v>-880.62722999999994</v>
      </c>
      <c r="E82" s="1347">
        <v>77</v>
      </c>
      <c r="F82" s="830">
        <f t="shared" si="7"/>
        <v>-67808.296709999995</v>
      </c>
      <c r="G82" s="2773"/>
      <c r="H82" s="498"/>
      <c r="I82" s="498"/>
      <c r="J82" s="498"/>
      <c r="K82" s="498"/>
      <c r="L82" s="498"/>
    </row>
    <row r="83" spans="1:12" x14ac:dyDescent="0.25">
      <c r="A83" s="2862"/>
      <c r="B83" s="1347">
        <v>2033</v>
      </c>
      <c r="C83" s="1058">
        <f t="shared" si="5"/>
        <v>-880627.23</v>
      </c>
      <c r="D83" s="1212">
        <f t="shared" si="6"/>
        <v>-880.62722999999994</v>
      </c>
      <c r="E83" s="1347">
        <v>78</v>
      </c>
      <c r="F83" s="830">
        <f t="shared" si="7"/>
        <v>-68688.923939999993</v>
      </c>
      <c r="G83" s="2773"/>
      <c r="H83" s="498"/>
      <c r="I83" s="498"/>
      <c r="J83" s="498"/>
      <c r="K83" s="498"/>
      <c r="L83" s="498"/>
    </row>
    <row r="84" spans="1:12" x14ac:dyDescent="0.25">
      <c r="A84" s="2862"/>
      <c r="B84" s="1347">
        <v>2034</v>
      </c>
      <c r="C84" s="1058">
        <f t="shared" si="5"/>
        <v>-880627.23</v>
      </c>
      <c r="D84" s="1212">
        <f t="shared" si="6"/>
        <v>-880.62722999999994</v>
      </c>
      <c r="E84" s="1347">
        <v>79</v>
      </c>
      <c r="F84" s="830">
        <f t="shared" si="7"/>
        <v>-69569.551169999992</v>
      </c>
      <c r="G84" s="2773"/>
      <c r="H84" s="498"/>
      <c r="I84" s="498"/>
      <c r="J84" s="498"/>
      <c r="K84" s="498"/>
      <c r="L84" s="498"/>
    </row>
    <row r="85" spans="1:12" x14ac:dyDescent="0.25">
      <c r="A85" s="2862"/>
      <c r="B85" s="1347">
        <v>2035</v>
      </c>
      <c r="C85" s="1058">
        <f t="shared" si="5"/>
        <v>-880627.23</v>
      </c>
      <c r="D85" s="1212">
        <f t="shared" si="6"/>
        <v>-880.62722999999994</v>
      </c>
      <c r="E85" s="1347">
        <v>80</v>
      </c>
      <c r="F85" s="830">
        <f t="shared" si="7"/>
        <v>-70450.17839999999</v>
      </c>
      <c r="G85" s="2773"/>
      <c r="H85" s="498"/>
      <c r="I85" s="498"/>
      <c r="J85" s="498"/>
      <c r="K85" s="498"/>
      <c r="L85" s="498"/>
    </row>
    <row r="86" spans="1:12" x14ac:dyDescent="0.25">
      <c r="A86" s="2862"/>
      <c r="B86" s="1347">
        <v>2036</v>
      </c>
      <c r="C86" s="1058">
        <f t="shared" si="5"/>
        <v>-880627.23</v>
      </c>
      <c r="D86" s="1212">
        <f t="shared" si="6"/>
        <v>-880.62722999999994</v>
      </c>
      <c r="E86" s="1347">
        <v>81</v>
      </c>
      <c r="F86" s="830">
        <f t="shared" si="7"/>
        <v>-71330.805629999988</v>
      </c>
      <c r="G86" s="2773"/>
      <c r="H86" s="498"/>
      <c r="I86" s="498"/>
      <c r="J86" s="498"/>
      <c r="K86" s="498"/>
      <c r="L86" s="498"/>
    </row>
    <row r="87" spans="1:12" x14ac:dyDescent="0.25">
      <c r="A87" s="2862"/>
      <c r="B87" s="1347">
        <v>2037</v>
      </c>
      <c r="C87" s="1058">
        <f t="shared" si="5"/>
        <v>-880627.23</v>
      </c>
      <c r="D87" s="1212">
        <f t="shared" si="6"/>
        <v>-880.62722999999994</v>
      </c>
      <c r="E87" s="1347">
        <v>83</v>
      </c>
      <c r="F87" s="830">
        <f t="shared" si="7"/>
        <v>-73092.060089999999</v>
      </c>
      <c r="G87" s="2773"/>
      <c r="H87" s="498"/>
      <c r="I87" s="498"/>
      <c r="J87" s="498"/>
      <c r="K87" s="498"/>
      <c r="L87" s="498"/>
    </row>
    <row r="88" spans="1:12" x14ac:dyDescent="0.25">
      <c r="A88" s="2862"/>
      <c r="B88" s="1347">
        <v>2038</v>
      </c>
      <c r="C88" s="1058">
        <f t="shared" si="5"/>
        <v>-880627.23</v>
      </c>
      <c r="D88" s="1212">
        <f t="shared" si="6"/>
        <v>-880.62722999999994</v>
      </c>
      <c r="E88" s="1347">
        <v>84</v>
      </c>
      <c r="F88" s="830">
        <f t="shared" si="7"/>
        <v>-73972.687319999997</v>
      </c>
      <c r="G88" s="2773"/>
      <c r="H88" s="498"/>
      <c r="I88" s="498"/>
      <c r="J88" s="498"/>
      <c r="K88" s="498"/>
      <c r="L88" s="498"/>
    </row>
    <row r="89" spans="1:12" x14ac:dyDescent="0.25">
      <c r="A89" s="2862"/>
      <c r="B89" s="1347">
        <v>2039</v>
      </c>
      <c r="C89" s="1058">
        <f t="shared" si="5"/>
        <v>-880627.23</v>
      </c>
      <c r="D89" s="1212">
        <f t="shared" si="6"/>
        <v>-880.62722999999994</v>
      </c>
      <c r="E89" s="1347">
        <v>85</v>
      </c>
      <c r="F89" s="830">
        <f t="shared" si="7"/>
        <v>-74853.314549999996</v>
      </c>
      <c r="G89" s="2773"/>
      <c r="H89" s="498"/>
      <c r="I89" s="498"/>
      <c r="J89" s="498"/>
      <c r="K89" s="498"/>
      <c r="L89" s="498"/>
    </row>
    <row r="90" spans="1:12" x14ac:dyDescent="0.25">
      <c r="A90" s="2862"/>
      <c r="B90" s="1347">
        <v>2040</v>
      </c>
      <c r="C90" s="1058">
        <f t="shared" si="5"/>
        <v>-880627.23</v>
      </c>
      <c r="D90" s="1212">
        <f t="shared" si="6"/>
        <v>-880.62722999999994</v>
      </c>
      <c r="E90" s="1347">
        <v>86</v>
      </c>
      <c r="F90" s="830">
        <f t="shared" si="7"/>
        <v>-75733.941779999994</v>
      </c>
      <c r="G90" s="2773"/>
      <c r="H90" s="498"/>
      <c r="I90" s="498"/>
      <c r="J90" s="498"/>
      <c r="K90" s="498"/>
      <c r="L90" s="498"/>
    </row>
    <row r="91" spans="1:12" x14ac:dyDescent="0.25">
      <c r="A91" s="2862"/>
      <c r="B91" s="1347">
        <v>2041</v>
      </c>
      <c r="C91" s="1058">
        <f t="shared" si="5"/>
        <v>-880627.23</v>
      </c>
      <c r="D91" s="1212">
        <f t="shared" si="6"/>
        <v>-880.62722999999994</v>
      </c>
      <c r="E91" s="1347">
        <v>87</v>
      </c>
      <c r="F91" s="830">
        <f t="shared" si="7"/>
        <v>-76614.569009999992</v>
      </c>
      <c r="G91" s="2773"/>
      <c r="H91" s="498"/>
      <c r="I91" s="498"/>
      <c r="J91" s="498"/>
      <c r="K91" s="498"/>
      <c r="L91" s="498"/>
    </row>
    <row r="92" spans="1:12" x14ac:dyDescent="0.25">
      <c r="A92" s="2862"/>
      <c r="B92" s="1347">
        <v>2042</v>
      </c>
      <c r="C92" s="1058">
        <f t="shared" si="5"/>
        <v>-880627.23</v>
      </c>
      <c r="D92" s="1212">
        <f t="shared" si="6"/>
        <v>-880.62722999999994</v>
      </c>
      <c r="E92" s="1347">
        <v>88</v>
      </c>
      <c r="F92" s="830">
        <f t="shared" si="7"/>
        <v>-77495.19623999999</v>
      </c>
      <c r="G92" s="2773"/>
      <c r="H92" s="498"/>
      <c r="I92" s="498"/>
      <c r="J92" s="498"/>
      <c r="K92" s="498"/>
      <c r="L92" s="498"/>
    </row>
    <row r="93" spans="1:12" x14ac:dyDescent="0.25">
      <c r="A93" s="2862"/>
      <c r="B93" s="1347">
        <v>2043</v>
      </c>
      <c r="C93" s="1058">
        <f t="shared" si="5"/>
        <v>-880627.23</v>
      </c>
      <c r="D93" s="1212">
        <f t="shared" si="6"/>
        <v>-880.62722999999994</v>
      </c>
      <c r="E93" s="1347">
        <v>89</v>
      </c>
      <c r="F93" s="830">
        <f t="shared" si="7"/>
        <v>-78375.823469999988</v>
      </c>
      <c r="G93" s="2773"/>
      <c r="H93" s="498"/>
      <c r="I93" s="498"/>
      <c r="J93" s="498"/>
      <c r="K93" s="498"/>
      <c r="L93" s="498"/>
    </row>
    <row r="94" spans="1:12" x14ac:dyDescent="0.25">
      <c r="A94" s="2862"/>
      <c r="B94" s="1347">
        <v>2044</v>
      </c>
      <c r="C94" s="1058">
        <f t="shared" si="5"/>
        <v>-880627.23</v>
      </c>
      <c r="D94" s="1212">
        <f t="shared" si="6"/>
        <v>-880.62722999999994</v>
      </c>
      <c r="E94" s="1347">
        <v>90</v>
      </c>
      <c r="F94" s="830">
        <f t="shared" si="7"/>
        <v>-79256.450700000001</v>
      </c>
      <c r="G94" s="2773"/>
      <c r="H94" s="498"/>
      <c r="I94" s="498"/>
      <c r="J94" s="498"/>
      <c r="K94" s="498"/>
      <c r="L94" s="498"/>
    </row>
    <row r="95" spans="1:12" x14ac:dyDescent="0.25">
      <c r="A95" s="2862"/>
      <c r="B95" s="1347">
        <v>2045</v>
      </c>
      <c r="C95" s="1058">
        <f t="shared" si="5"/>
        <v>-880627.23</v>
      </c>
      <c r="D95" s="1212">
        <f t="shared" si="6"/>
        <v>-880.62722999999994</v>
      </c>
      <c r="E95" s="1347">
        <v>92</v>
      </c>
      <c r="F95" s="830">
        <f t="shared" si="7"/>
        <v>-81017.705159999998</v>
      </c>
      <c r="G95" s="2773"/>
      <c r="H95" s="498"/>
      <c r="I95" s="498"/>
      <c r="J95" s="498"/>
      <c r="K95" s="498"/>
      <c r="L95" s="498"/>
    </row>
    <row r="96" spans="1:12" x14ac:dyDescent="0.25">
      <c r="A96" s="2862"/>
      <c r="B96" s="1347">
        <v>2046</v>
      </c>
      <c r="C96" s="1058">
        <f t="shared" si="5"/>
        <v>-880627.23</v>
      </c>
      <c r="D96" s="1212">
        <f t="shared" si="6"/>
        <v>-880.62722999999994</v>
      </c>
      <c r="E96" s="1347">
        <v>93</v>
      </c>
      <c r="F96" s="830">
        <f t="shared" si="7"/>
        <v>-81898.332389999996</v>
      </c>
      <c r="G96" s="2773"/>
      <c r="H96" s="498"/>
      <c r="I96" s="498"/>
      <c r="J96" s="498"/>
      <c r="K96" s="498"/>
      <c r="L96" s="498"/>
    </row>
    <row r="97" spans="1:12" x14ac:dyDescent="0.25">
      <c r="A97" s="2862"/>
      <c r="B97" s="1347">
        <v>2047</v>
      </c>
      <c r="C97" s="1058">
        <f t="shared" si="5"/>
        <v>-880627.23</v>
      </c>
      <c r="D97" s="1212">
        <f t="shared" si="6"/>
        <v>-880.62722999999994</v>
      </c>
      <c r="E97" s="1347">
        <v>94</v>
      </c>
      <c r="F97" s="830">
        <f t="shared" si="7"/>
        <v>-82778.959619999994</v>
      </c>
      <c r="G97" s="2773"/>
      <c r="H97" s="498"/>
      <c r="I97" s="498"/>
      <c r="J97" s="498"/>
      <c r="K97" s="498"/>
      <c r="L97" s="498"/>
    </row>
    <row r="98" spans="1:12" x14ac:dyDescent="0.25">
      <c r="A98" s="2862"/>
      <c r="B98" s="1347">
        <v>2048</v>
      </c>
      <c r="C98" s="1058">
        <f t="shared" si="5"/>
        <v>-880627.23</v>
      </c>
      <c r="D98" s="1212">
        <f t="shared" si="6"/>
        <v>-880.62722999999994</v>
      </c>
      <c r="E98" s="1347">
        <v>95</v>
      </c>
      <c r="F98" s="830">
        <f t="shared" si="7"/>
        <v>-83659.586849999992</v>
      </c>
      <c r="G98" s="2773"/>
      <c r="H98" s="498"/>
      <c r="I98" s="498"/>
      <c r="J98" s="498"/>
      <c r="K98" s="498"/>
      <c r="L98" s="498"/>
    </row>
    <row r="99" spans="1:12" x14ac:dyDescent="0.25">
      <c r="A99" s="2862"/>
      <c r="B99" s="1347">
        <v>2049</v>
      </c>
      <c r="C99" s="1058">
        <f t="shared" si="5"/>
        <v>-880627.23</v>
      </c>
      <c r="D99" s="1212">
        <f t="shared" si="6"/>
        <v>-880.62722999999994</v>
      </c>
      <c r="E99" s="1347">
        <v>96</v>
      </c>
      <c r="F99" s="830">
        <f t="shared" si="7"/>
        <v>-84540.214079999991</v>
      </c>
      <c r="G99" s="2773"/>
      <c r="H99" s="498"/>
      <c r="I99" s="498"/>
      <c r="J99" s="498"/>
      <c r="K99" s="498"/>
      <c r="L99" s="498"/>
    </row>
    <row r="100" spans="1:12" x14ac:dyDescent="0.25">
      <c r="A100" s="2862"/>
      <c r="B100" s="1347">
        <v>2050</v>
      </c>
      <c r="C100" s="1058">
        <f t="shared" si="5"/>
        <v>-880627.23</v>
      </c>
      <c r="D100" s="1212">
        <f t="shared" si="6"/>
        <v>-880.62722999999994</v>
      </c>
      <c r="E100" s="1347">
        <v>97</v>
      </c>
      <c r="F100" s="830">
        <f t="shared" si="7"/>
        <v>-85420.841309999989</v>
      </c>
      <c r="G100" s="2773"/>
      <c r="H100" s="498"/>
      <c r="I100" s="498"/>
      <c r="J100" s="498"/>
      <c r="K100" s="498"/>
      <c r="L100" s="498"/>
    </row>
    <row r="101" spans="1:12" x14ac:dyDescent="0.25">
      <c r="A101" s="2862"/>
      <c r="B101" s="1347">
        <v>2051</v>
      </c>
      <c r="C101" s="1058">
        <f t="shared" ref="C101:C119" si="8">$H$6</f>
        <v>-880627.23</v>
      </c>
      <c r="D101" s="1212">
        <f t="shared" si="6"/>
        <v>-880.62722999999994</v>
      </c>
      <c r="E101" s="1347">
        <v>97</v>
      </c>
      <c r="F101" s="830">
        <f t="shared" si="7"/>
        <v>-85420.841309999989</v>
      </c>
      <c r="G101" s="2773"/>
      <c r="H101" s="498"/>
      <c r="I101" s="498"/>
      <c r="J101" s="498"/>
      <c r="K101" s="498"/>
      <c r="L101" s="498"/>
    </row>
    <row r="102" spans="1:12" x14ac:dyDescent="0.25">
      <c r="A102" s="2862"/>
      <c r="B102" s="1347">
        <v>2052</v>
      </c>
      <c r="C102" s="1058">
        <f t="shared" si="8"/>
        <v>-880627.23</v>
      </c>
      <c r="D102" s="1212">
        <f t="shared" si="6"/>
        <v>-880.62722999999994</v>
      </c>
      <c r="E102" s="1347">
        <v>97</v>
      </c>
      <c r="F102" s="830">
        <f t="shared" si="7"/>
        <v>-85420.841309999989</v>
      </c>
      <c r="G102" s="2773"/>
      <c r="H102" s="498"/>
      <c r="I102" s="498"/>
      <c r="J102" s="498"/>
      <c r="K102" s="498"/>
      <c r="L102" s="498"/>
    </row>
    <row r="103" spans="1:12" x14ac:dyDescent="0.25">
      <c r="A103" s="2862"/>
      <c r="B103" s="1347">
        <v>2053</v>
      </c>
      <c r="C103" s="1058">
        <f t="shared" si="8"/>
        <v>-880627.23</v>
      </c>
      <c r="D103" s="1212">
        <f t="shared" si="6"/>
        <v>-880.62722999999994</v>
      </c>
      <c r="E103" s="1347">
        <v>97</v>
      </c>
      <c r="F103" s="830">
        <f t="shared" si="7"/>
        <v>-85420.841309999989</v>
      </c>
      <c r="G103" s="2773"/>
      <c r="H103" s="498"/>
      <c r="I103" s="498"/>
      <c r="J103" s="498"/>
      <c r="K103" s="498"/>
      <c r="L103" s="498"/>
    </row>
    <row r="104" spans="1:12" x14ac:dyDescent="0.25">
      <c r="A104" s="2862"/>
      <c r="B104" s="1347">
        <v>2054</v>
      </c>
      <c r="C104" s="1058">
        <f t="shared" si="8"/>
        <v>-880627.23</v>
      </c>
      <c r="D104" s="1212">
        <f t="shared" si="6"/>
        <v>-880.62722999999994</v>
      </c>
      <c r="E104" s="1347">
        <v>97</v>
      </c>
      <c r="F104" s="830">
        <f t="shared" si="7"/>
        <v>-85420.841309999989</v>
      </c>
      <c r="G104" s="2773"/>
      <c r="H104" s="498"/>
      <c r="I104" s="498"/>
      <c r="J104" s="498"/>
      <c r="K104" s="498"/>
      <c r="L104" s="498"/>
    </row>
    <row r="105" spans="1:12" x14ac:dyDescent="0.25">
      <c r="A105" s="2862"/>
      <c r="B105" s="1347">
        <v>2055</v>
      </c>
      <c r="C105" s="1058">
        <f t="shared" si="8"/>
        <v>-880627.23</v>
      </c>
      <c r="D105" s="1212">
        <f t="shared" si="6"/>
        <v>-880.62722999999994</v>
      </c>
      <c r="E105" s="1347">
        <v>97</v>
      </c>
      <c r="F105" s="830">
        <f t="shared" si="7"/>
        <v>-85420.841309999989</v>
      </c>
      <c r="G105" s="2773"/>
      <c r="H105" s="498"/>
      <c r="I105" s="498"/>
      <c r="J105" s="498"/>
      <c r="K105" s="498"/>
      <c r="L105" s="498"/>
    </row>
    <row r="106" spans="1:12" x14ac:dyDescent="0.25">
      <c r="A106" s="2862"/>
      <c r="B106" s="1347">
        <v>2056</v>
      </c>
      <c r="C106" s="1058">
        <f t="shared" si="8"/>
        <v>-880627.23</v>
      </c>
      <c r="D106" s="1212">
        <f t="shared" si="6"/>
        <v>-880.62722999999994</v>
      </c>
      <c r="E106" s="1347">
        <v>97</v>
      </c>
      <c r="F106" s="830">
        <f t="shared" si="7"/>
        <v>-85420.841309999989</v>
      </c>
      <c r="G106" s="2773"/>
      <c r="H106" s="498"/>
      <c r="I106" s="498"/>
      <c r="J106" s="498"/>
      <c r="K106" s="498"/>
      <c r="L106" s="498"/>
    </row>
    <row r="107" spans="1:12" x14ac:dyDescent="0.25">
      <c r="A107" s="2862"/>
      <c r="B107" s="1347">
        <v>2057</v>
      </c>
      <c r="C107" s="1058">
        <f t="shared" si="8"/>
        <v>-880627.23</v>
      </c>
      <c r="D107" s="1212">
        <f t="shared" si="6"/>
        <v>-880.62722999999994</v>
      </c>
      <c r="E107" s="1347">
        <v>97</v>
      </c>
      <c r="F107" s="830">
        <f t="shared" si="7"/>
        <v>-85420.841309999989</v>
      </c>
      <c r="G107" s="2773"/>
      <c r="H107" s="498"/>
      <c r="I107" s="498"/>
      <c r="J107" s="498"/>
      <c r="K107" s="498"/>
      <c r="L107" s="498"/>
    </row>
    <row r="108" spans="1:12" x14ac:dyDescent="0.25">
      <c r="A108" s="2862"/>
      <c r="B108" s="1347">
        <v>2058</v>
      </c>
      <c r="C108" s="1058">
        <f t="shared" si="8"/>
        <v>-880627.23</v>
      </c>
      <c r="D108" s="1212">
        <f t="shared" si="6"/>
        <v>-880.62722999999994</v>
      </c>
      <c r="E108" s="1347">
        <v>97</v>
      </c>
      <c r="F108" s="830">
        <f t="shared" si="7"/>
        <v>-85420.841309999989</v>
      </c>
      <c r="G108" s="2773"/>
      <c r="H108" s="498"/>
      <c r="I108" s="498"/>
      <c r="J108" s="498"/>
      <c r="K108" s="498"/>
      <c r="L108" s="498"/>
    </row>
    <row r="109" spans="1:12" x14ac:dyDescent="0.25">
      <c r="A109" s="2862"/>
      <c r="B109" s="1347">
        <v>2059</v>
      </c>
      <c r="C109" s="1058">
        <f t="shared" si="8"/>
        <v>-880627.23</v>
      </c>
      <c r="D109" s="1212">
        <f t="shared" si="6"/>
        <v>-880.62722999999994</v>
      </c>
      <c r="E109" s="1347">
        <v>97</v>
      </c>
      <c r="F109" s="830">
        <f t="shared" si="7"/>
        <v>-85420.841309999989</v>
      </c>
      <c r="G109" s="2773"/>
      <c r="H109" s="498"/>
      <c r="I109" s="498"/>
      <c r="J109" s="498"/>
      <c r="K109" s="498"/>
      <c r="L109" s="498"/>
    </row>
    <row r="110" spans="1:12" x14ac:dyDescent="0.25">
      <c r="A110" s="2862"/>
      <c r="B110" s="1347">
        <v>2060</v>
      </c>
      <c r="C110" s="1058">
        <f t="shared" si="8"/>
        <v>-880627.23</v>
      </c>
      <c r="D110" s="1212">
        <f t="shared" si="6"/>
        <v>-880.62722999999994</v>
      </c>
      <c r="E110" s="1347">
        <v>97</v>
      </c>
      <c r="F110" s="830">
        <f t="shared" si="7"/>
        <v>-85420.841309999989</v>
      </c>
      <c r="G110" s="2773"/>
      <c r="H110" s="498"/>
      <c r="I110" s="498"/>
      <c r="J110" s="498"/>
      <c r="K110" s="498"/>
      <c r="L110" s="498"/>
    </row>
    <row r="111" spans="1:12" x14ac:dyDescent="0.25">
      <c r="A111" s="2862"/>
      <c r="B111" s="1347">
        <v>2061</v>
      </c>
      <c r="C111" s="1058">
        <f t="shared" si="8"/>
        <v>-880627.23</v>
      </c>
      <c r="D111" s="1212">
        <f t="shared" si="6"/>
        <v>-880.62722999999994</v>
      </c>
      <c r="E111" s="1347">
        <v>97</v>
      </c>
      <c r="F111" s="830">
        <f t="shared" si="7"/>
        <v>-85420.841309999989</v>
      </c>
      <c r="G111" s="2773"/>
      <c r="H111" s="498"/>
      <c r="I111" s="498"/>
      <c r="J111" s="498"/>
      <c r="K111" s="498"/>
      <c r="L111" s="498"/>
    </row>
    <row r="112" spans="1:12" x14ac:dyDescent="0.25">
      <c r="A112" s="2862"/>
      <c r="B112" s="1347">
        <v>2062</v>
      </c>
      <c r="C112" s="1058">
        <f t="shared" si="8"/>
        <v>-880627.23</v>
      </c>
      <c r="D112" s="1212">
        <f t="shared" si="6"/>
        <v>-880.62722999999994</v>
      </c>
      <c r="E112" s="1347">
        <v>97</v>
      </c>
      <c r="F112" s="830">
        <f t="shared" si="7"/>
        <v>-85420.841309999989</v>
      </c>
      <c r="G112" s="2773"/>
      <c r="H112" s="498"/>
      <c r="I112" s="498"/>
      <c r="J112" s="498"/>
      <c r="K112" s="498"/>
      <c r="L112" s="498"/>
    </row>
    <row r="113" spans="1:12" x14ac:dyDescent="0.25">
      <c r="A113" s="2862"/>
      <c r="B113" s="1347">
        <v>2063</v>
      </c>
      <c r="C113" s="1058">
        <f t="shared" si="8"/>
        <v>-880627.23</v>
      </c>
      <c r="D113" s="1212">
        <f t="shared" si="6"/>
        <v>-880.62722999999994</v>
      </c>
      <c r="E113" s="1347">
        <v>97</v>
      </c>
      <c r="F113" s="830">
        <f t="shared" si="7"/>
        <v>-85420.841309999989</v>
      </c>
      <c r="G113" s="2773"/>
      <c r="H113" s="498"/>
      <c r="I113" s="498"/>
      <c r="J113" s="498"/>
      <c r="K113" s="498"/>
      <c r="L113" s="498"/>
    </row>
    <row r="114" spans="1:12" x14ac:dyDescent="0.25">
      <c r="A114" s="2862"/>
      <c r="B114" s="1347">
        <v>2064</v>
      </c>
      <c r="C114" s="1058">
        <f t="shared" si="8"/>
        <v>-880627.23</v>
      </c>
      <c r="D114" s="1212">
        <f t="shared" si="6"/>
        <v>-880.62722999999994</v>
      </c>
      <c r="E114" s="1347">
        <v>97</v>
      </c>
      <c r="F114" s="830">
        <f t="shared" si="7"/>
        <v>-85420.841309999989</v>
      </c>
      <c r="G114" s="2773"/>
      <c r="H114" s="498"/>
      <c r="I114" s="498"/>
      <c r="J114" s="498"/>
      <c r="K114" s="498"/>
      <c r="L114" s="498"/>
    </row>
    <row r="115" spans="1:12" x14ac:dyDescent="0.25">
      <c r="A115" s="2862"/>
      <c r="B115" s="1347">
        <v>2065</v>
      </c>
      <c r="C115" s="1058">
        <f t="shared" si="8"/>
        <v>-880627.23</v>
      </c>
      <c r="D115" s="1212">
        <f t="shared" si="6"/>
        <v>-880.62722999999994</v>
      </c>
      <c r="E115" s="1347">
        <v>97</v>
      </c>
      <c r="F115" s="830">
        <f t="shared" si="7"/>
        <v>-85420.841309999989</v>
      </c>
      <c r="G115" s="2773"/>
      <c r="H115" s="498"/>
      <c r="I115" s="498"/>
      <c r="J115" s="498"/>
      <c r="K115" s="498"/>
      <c r="L115" s="498"/>
    </row>
    <row r="116" spans="1:12" x14ac:dyDescent="0.25">
      <c r="A116" s="2862"/>
      <c r="B116" s="1347">
        <v>2066</v>
      </c>
      <c r="C116" s="1058">
        <f t="shared" si="8"/>
        <v>-880627.23</v>
      </c>
      <c r="D116" s="1212">
        <f t="shared" si="6"/>
        <v>-880.62722999999994</v>
      </c>
      <c r="E116" s="1347">
        <v>97</v>
      </c>
      <c r="F116" s="830">
        <f t="shared" si="7"/>
        <v>-85420.841309999989</v>
      </c>
      <c r="G116" s="2773"/>
      <c r="H116" s="498"/>
      <c r="I116" s="498"/>
      <c r="J116" s="498"/>
      <c r="K116" s="498"/>
      <c r="L116" s="498"/>
    </row>
    <row r="117" spans="1:12" x14ac:dyDescent="0.25">
      <c r="A117" s="2862"/>
      <c r="B117" s="1347">
        <v>2067</v>
      </c>
      <c r="C117" s="1058">
        <f t="shared" si="8"/>
        <v>-880627.23</v>
      </c>
      <c r="D117" s="1212">
        <f t="shared" si="6"/>
        <v>-880.62722999999994</v>
      </c>
      <c r="E117" s="1347">
        <v>97</v>
      </c>
      <c r="F117" s="830">
        <f t="shared" si="7"/>
        <v>-85420.841309999989</v>
      </c>
      <c r="G117" s="2773"/>
      <c r="H117" s="498"/>
      <c r="I117" s="498"/>
      <c r="J117" s="498"/>
      <c r="K117" s="498"/>
      <c r="L117" s="498"/>
    </row>
    <row r="118" spans="1:12" x14ac:dyDescent="0.25">
      <c r="A118" s="2862"/>
      <c r="B118" s="1347">
        <v>2068</v>
      </c>
      <c r="C118" s="1058">
        <f t="shared" si="8"/>
        <v>-880627.23</v>
      </c>
      <c r="D118" s="1212">
        <f t="shared" si="6"/>
        <v>-880.62722999999994</v>
      </c>
      <c r="E118" s="1347">
        <v>97</v>
      </c>
      <c r="F118" s="830">
        <f t="shared" si="7"/>
        <v>-85420.841309999989</v>
      </c>
      <c r="G118" s="2773"/>
      <c r="H118" s="498"/>
      <c r="I118" s="498"/>
      <c r="J118" s="498"/>
      <c r="K118" s="498"/>
      <c r="L118" s="498"/>
    </row>
    <row r="119" spans="1:12" ht="15.75" thickBot="1" x14ac:dyDescent="0.3">
      <c r="A119" s="2863"/>
      <c r="B119" s="776">
        <v>2069</v>
      </c>
      <c r="C119" s="1060">
        <f t="shared" si="8"/>
        <v>-880627.23</v>
      </c>
      <c r="D119" s="1214">
        <f t="shared" si="6"/>
        <v>-880.62722999999994</v>
      </c>
      <c r="E119" s="776">
        <v>97</v>
      </c>
      <c r="F119" s="1063">
        <f t="shared" si="7"/>
        <v>-85420.841309999989</v>
      </c>
      <c r="G119" s="2774"/>
      <c r="H119" s="498"/>
      <c r="I119" s="498"/>
      <c r="J119" s="498"/>
      <c r="K119" s="498"/>
      <c r="L119" s="498"/>
    </row>
    <row r="120" spans="1:12" x14ac:dyDescent="0.25">
      <c r="A120" s="498"/>
      <c r="B120" s="498"/>
      <c r="C120" s="498"/>
      <c r="D120" s="498"/>
      <c r="E120" s="498"/>
      <c r="F120" s="498"/>
      <c r="G120" s="498"/>
      <c r="H120" s="498"/>
      <c r="I120" s="498"/>
      <c r="J120" s="498"/>
      <c r="K120" s="498"/>
      <c r="L120" s="498"/>
    </row>
    <row r="121" spans="1:12" x14ac:dyDescent="0.25">
      <c r="A121" s="498"/>
      <c r="B121" s="498"/>
      <c r="C121" s="498"/>
      <c r="D121" s="498"/>
      <c r="E121" s="498"/>
      <c r="F121" s="498"/>
      <c r="G121" s="498"/>
      <c r="H121" s="498"/>
      <c r="I121" s="498"/>
      <c r="J121" s="498"/>
      <c r="K121" s="498"/>
      <c r="L121" s="498"/>
    </row>
    <row r="122" spans="1:12" x14ac:dyDescent="0.25">
      <c r="A122" s="498"/>
      <c r="B122" s="498"/>
      <c r="C122" s="498"/>
      <c r="D122" s="498"/>
      <c r="E122" s="498"/>
      <c r="F122" s="498"/>
      <c r="G122" s="498"/>
      <c r="H122" s="498"/>
      <c r="I122" s="498"/>
      <c r="J122" s="498"/>
      <c r="K122" s="498"/>
      <c r="L122" s="498"/>
    </row>
    <row r="123" spans="1:12" x14ac:dyDescent="0.25">
      <c r="A123" s="498"/>
      <c r="B123" s="498"/>
      <c r="C123" s="498"/>
      <c r="D123" s="498"/>
      <c r="E123" s="498"/>
      <c r="F123" s="498"/>
      <c r="G123" s="498"/>
      <c r="H123" s="498"/>
      <c r="I123" s="498"/>
      <c r="J123" s="498"/>
      <c r="K123" s="498"/>
      <c r="L123" s="498"/>
    </row>
    <row r="124" spans="1:12" x14ac:dyDescent="0.25">
      <c r="A124" s="498"/>
      <c r="B124" s="498"/>
      <c r="C124" s="498"/>
      <c r="D124" s="498"/>
      <c r="E124" s="498"/>
      <c r="F124" s="498"/>
      <c r="G124" s="498"/>
      <c r="H124" s="498"/>
      <c r="I124" s="498"/>
      <c r="J124" s="498"/>
      <c r="K124" s="498"/>
      <c r="L124" s="498"/>
    </row>
    <row r="125" spans="1:12" x14ac:dyDescent="0.25">
      <c r="A125" s="498"/>
      <c r="B125" s="498"/>
      <c r="C125" s="498"/>
      <c r="D125" s="498"/>
      <c r="E125" s="498"/>
      <c r="F125" s="498"/>
      <c r="G125" s="498"/>
      <c r="H125" s="498"/>
      <c r="I125" s="498"/>
      <c r="J125" s="498"/>
      <c r="K125" s="498"/>
      <c r="L125" s="498"/>
    </row>
    <row r="126" spans="1:12" x14ac:dyDescent="0.25">
      <c r="A126" s="498"/>
      <c r="B126" s="498"/>
      <c r="C126" s="498"/>
      <c r="D126" s="498"/>
      <c r="E126" s="498"/>
      <c r="F126" s="498"/>
      <c r="G126" s="498"/>
      <c r="H126" s="498"/>
      <c r="I126" s="498"/>
      <c r="J126" s="498"/>
      <c r="K126" s="498"/>
      <c r="L126" s="498"/>
    </row>
    <row r="127" spans="1:12" x14ac:dyDescent="0.25">
      <c r="A127" s="498"/>
      <c r="B127" s="498"/>
      <c r="C127" s="498"/>
      <c r="D127" s="498"/>
      <c r="E127" s="498"/>
      <c r="F127" s="498"/>
      <c r="G127" s="498"/>
      <c r="H127" s="498"/>
      <c r="I127" s="498"/>
      <c r="J127" s="498"/>
      <c r="K127" s="498"/>
      <c r="L127" s="498"/>
    </row>
    <row r="128" spans="1:12" x14ac:dyDescent="0.25">
      <c r="A128" s="498"/>
      <c r="B128" s="498"/>
      <c r="C128" s="498"/>
      <c r="D128" s="498"/>
      <c r="E128" s="498"/>
      <c r="F128" s="498"/>
      <c r="G128" s="498"/>
      <c r="H128" s="498"/>
      <c r="I128" s="498"/>
      <c r="J128" s="498"/>
      <c r="K128" s="498"/>
      <c r="L128" s="498"/>
    </row>
    <row r="129" spans="1:12" x14ac:dyDescent="0.25">
      <c r="A129" s="498"/>
      <c r="B129" s="498"/>
      <c r="C129" s="498"/>
      <c r="D129" s="498"/>
      <c r="E129" s="498"/>
      <c r="F129" s="498"/>
      <c r="G129" s="498"/>
      <c r="H129" s="498"/>
      <c r="I129" s="498"/>
      <c r="J129" s="498"/>
      <c r="K129" s="498"/>
      <c r="L129" s="498"/>
    </row>
    <row r="130" spans="1:12" x14ac:dyDescent="0.25">
      <c r="A130" s="498"/>
      <c r="B130" s="498"/>
      <c r="C130" s="498"/>
      <c r="D130" s="498"/>
      <c r="E130" s="498"/>
      <c r="F130" s="498"/>
      <c r="G130" s="498"/>
      <c r="H130" s="498"/>
      <c r="I130" s="498"/>
      <c r="J130" s="498"/>
      <c r="K130" s="498"/>
      <c r="L130" s="498"/>
    </row>
    <row r="131" spans="1:12" x14ac:dyDescent="0.25">
      <c r="A131" s="498"/>
      <c r="B131" s="498"/>
      <c r="C131" s="498"/>
      <c r="D131" s="498"/>
      <c r="E131" s="498"/>
      <c r="F131" s="498"/>
      <c r="G131" s="498"/>
      <c r="H131" s="498"/>
      <c r="I131" s="498"/>
      <c r="J131" s="498"/>
      <c r="K131" s="498"/>
      <c r="L131" s="498"/>
    </row>
    <row r="132" spans="1:12" x14ac:dyDescent="0.25">
      <c r="A132" s="498"/>
      <c r="B132" s="498"/>
      <c r="C132" s="498"/>
      <c r="D132" s="498"/>
      <c r="E132" s="498"/>
      <c r="F132" s="498"/>
      <c r="G132" s="498"/>
      <c r="H132" s="498"/>
      <c r="I132" s="498"/>
      <c r="J132" s="498"/>
      <c r="K132" s="498"/>
      <c r="L132" s="498"/>
    </row>
    <row r="133" spans="1:12" x14ac:dyDescent="0.25">
      <c r="A133" s="498"/>
      <c r="B133" s="498"/>
      <c r="C133" s="498"/>
      <c r="D133" s="498"/>
      <c r="E133" s="498"/>
      <c r="F133" s="498"/>
      <c r="G133" s="498"/>
      <c r="H133" s="498"/>
      <c r="I133" s="498"/>
      <c r="J133" s="498"/>
      <c r="K133" s="498"/>
      <c r="L133" s="498"/>
    </row>
    <row r="134" spans="1:12" x14ac:dyDescent="0.25">
      <c r="A134" s="498"/>
      <c r="B134" s="498"/>
      <c r="C134" s="498"/>
      <c r="D134" s="498"/>
      <c r="E134" s="498"/>
      <c r="F134" s="498"/>
      <c r="G134" s="498"/>
      <c r="H134" s="498"/>
      <c r="I134" s="498"/>
      <c r="J134" s="498"/>
      <c r="K134" s="498"/>
      <c r="L134" s="498"/>
    </row>
    <row r="135" spans="1:12" x14ac:dyDescent="0.25">
      <c r="A135" s="498"/>
      <c r="B135" s="498"/>
      <c r="C135" s="498"/>
      <c r="D135" s="498"/>
      <c r="E135" s="498"/>
      <c r="F135" s="498"/>
      <c r="G135" s="498"/>
      <c r="H135" s="498"/>
      <c r="I135" s="498"/>
      <c r="J135" s="498"/>
      <c r="K135" s="498"/>
      <c r="L135" s="498"/>
    </row>
    <row r="136" spans="1:12" x14ac:dyDescent="0.25">
      <c r="A136" s="498"/>
      <c r="B136" s="498"/>
      <c r="C136" s="498"/>
      <c r="D136" s="498"/>
      <c r="E136" s="498"/>
      <c r="F136" s="498"/>
      <c r="G136" s="498"/>
      <c r="H136" s="498"/>
      <c r="I136" s="498"/>
      <c r="J136" s="498"/>
      <c r="K136" s="498"/>
      <c r="L136" s="498"/>
    </row>
    <row r="137" spans="1:12" x14ac:dyDescent="0.25">
      <c r="A137" s="498"/>
      <c r="B137" s="498"/>
      <c r="C137" s="498"/>
      <c r="D137" s="498"/>
      <c r="E137" s="498"/>
      <c r="F137" s="498"/>
      <c r="G137" s="498"/>
      <c r="H137" s="498"/>
      <c r="I137" s="498"/>
      <c r="J137" s="498"/>
      <c r="K137" s="498"/>
      <c r="L137" s="498"/>
    </row>
    <row r="138" spans="1:12" x14ac:dyDescent="0.25">
      <c r="A138" s="498"/>
      <c r="B138" s="498"/>
      <c r="C138" s="498"/>
      <c r="D138" s="498"/>
      <c r="E138" s="498"/>
      <c r="F138" s="498"/>
      <c r="G138" s="498"/>
      <c r="H138" s="498"/>
      <c r="I138" s="498"/>
      <c r="J138" s="498"/>
      <c r="K138" s="498"/>
      <c r="L138" s="498"/>
    </row>
    <row r="139" spans="1:12" x14ac:dyDescent="0.25">
      <c r="A139" s="498"/>
      <c r="B139" s="498"/>
      <c r="C139" s="498"/>
      <c r="D139" s="498"/>
      <c r="E139" s="498"/>
      <c r="F139" s="498"/>
      <c r="G139" s="498"/>
      <c r="H139" s="498"/>
      <c r="I139" s="498"/>
      <c r="J139" s="498"/>
      <c r="K139" s="498"/>
      <c r="L139" s="498"/>
    </row>
    <row r="140" spans="1:12" x14ac:dyDescent="0.25">
      <c r="A140" s="498"/>
      <c r="B140" s="498"/>
      <c r="C140" s="498"/>
      <c r="D140" s="498"/>
      <c r="E140" s="498"/>
      <c r="F140" s="498"/>
      <c r="G140" s="498"/>
      <c r="H140" s="498"/>
      <c r="I140" s="498"/>
      <c r="J140" s="498"/>
      <c r="K140" s="498"/>
      <c r="L140" s="498"/>
    </row>
    <row r="141" spans="1:12" x14ac:dyDescent="0.25">
      <c r="A141" s="498"/>
      <c r="B141" s="498"/>
      <c r="C141" s="498"/>
      <c r="D141" s="498"/>
      <c r="E141" s="498"/>
      <c r="F141" s="498"/>
      <c r="G141" s="498"/>
      <c r="H141" s="498"/>
      <c r="I141" s="498"/>
      <c r="J141" s="498"/>
      <c r="K141" s="498"/>
      <c r="L141" s="498"/>
    </row>
    <row r="142" spans="1:12" x14ac:dyDescent="0.25">
      <c r="A142" s="498"/>
      <c r="B142" s="498"/>
      <c r="C142" s="498"/>
      <c r="D142" s="498"/>
      <c r="E142" s="498"/>
      <c r="F142" s="498"/>
      <c r="G142" s="498"/>
      <c r="H142" s="498"/>
      <c r="I142" s="498"/>
      <c r="J142" s="498"/>
      <c r="K142" s="498"/>
      <c r="L142" s="498"/>
    </row>
    <row r="143" spans="1:12" x14ac:dyDescent="0.25">
      <c r="A143" s="498"/>
      <c r="B143" s="498"/>
      <c r="C143" s="498"/>
      <c r="D143" s="498"/>
      <c r="E143" s="498"/>
      <c r="F143" s="498"/>
      <c r="G143" s="498"/>
      <c r="H143" s="498"/>
      <c r="I143" s="498"/>
      <c r="J143" s="498"/>
      <c r="K143" s="498"/>
      <c r="L143" s="498"/>
    </row>
    <row r="144" spans="1:12" x14ac:dyDescent="0.25">
      <c r="A144" s="498"/>
      <c r="B144" s="498"/>
      <c r="C144" s="498"/>
      <c r="D144" s="498"/>
      <c r="E144" s="498"/>
      <c r="F144" s="498"/>
      <c r="G144" s="498"/>
      <c r="H144" s="498"/>
      <c r="I144" s="498"/>
      <c r="J144" s="498"/>
      <c r="K144" s="498"/>
      <c r="L144" s="498"/>
    </row>
    <row r="145" spans="1:12" x14ac:dyDescent="0.25">
      <c r="A145" s="498"/>
      <c r="B145" s="498"/>
      <c r="C145" s="498"/>
      <c r="D145" s="498"/>
      <c r="E145" s="498"/>
      <c r="F145" s="498"/>
      <c r="G145" s="498"/>
      <c r="H145" s="498"/>
      <c r="I145" s="498"/>
      <c r="J145" s="498"/>
      <c r="K145" s="498"/>
      <c r="L145" s="498"/>
    </row>
    <row r="146" spans="1:12" x14ac:dyDescent="0.25">
      <c r="A146" s="498"/>
      <c r="B146" s="498"/>
      <c r="C146" s="498"/>
      <c r="D146" s="498"/>
      <c r="E146" s="498"/>
      <c r="F146" s="498"/>
      <c r="G146" s="498"/>
      <c r="H146" s="498"/>
      <c r="I146" s="498"/>
      <c r="J146" s="498"/>
      <c r="K146" s="498"/>
      <c r="L146" s="498"/>
    </row>
    <row r="147" spans="1:12" x14ac:dyDescent="0.25">
      <c r="A147" s="498"/>
      <c r="B147" s="498"/>
      <c r="C147" s="498"/>
      <c r="D147" s="498"/>
      <c r="E147" s="498"/>
      <c r="F147" s="498"/>
      <c r="G147" s="498"/>
      <c r="H147" s="498"/>
      <c r="I147" s="498"/>
      <c r="J147" s="498"/>
      <c r="K147" s="498"/>
      <c r="L147" s="498"/>
    </row>
    <row r="148" spans="1:12" x14ac:dyDescent="0.25">
      <c r="A148" s="498"/>
      <c r="B148" s="498"/>
      <c r="C148" s="498"/>
      <c r="D148" s="498"/>
      <c r="E148" s="498"/>
      <c r="F148" s="498"/>
      <c r="G148" s="498"/>
      <c r="H148" s="498"/>
      <c r="I148" s="498"/>
      <c r="J148" s="498"/>
      <c r="K148" s="498"/>
      <c r="L148" s="498"/>
    </row>
    <row r="149" spans="1:12" x14ac:dyDescent="0.25">
      <c r="A149" s="498"/>
      <c r="B149" s="498"/>
      <c r="C149" s="498"/>
      <c r="D149" s="498"/>
      <c r="E149" s="498"/>
      <c r="F149" s="498"/>
      <c r="G149" s="498"/>
      <c r="H149" s="498"/>
      <c r="I149" s="498"/>
      <c r="J149" s="498"/>
      <c r="K149" s="498"/>
      <c r="L149" s="498"/>
    </row>
    <row r="150" spans="1:12" x14ac:dyDescent="0.25">
      <c r="A150" s="498"/>
      <c r="B150" s="498"/>
      <c r="C150" s="498"/>
      <c r="D150" s="498"/>
      <c r="E150" s="498"/>
      <c r="F150" s="498"/>
      <c r="G150" s="498"/>
      <c r="H150" s="498"/>
      <c r="I150" s="498"/>
      <c r="J150" s="498"/>
      <c r="K150" s="498"/>
      <c r="L150" s="498"/>
    </row>
    <row r="151" spans="1:12" x14ac:dyDescent="0.25">
      <c r="A151" s="498"/>
      <c r="B151" s="498"/>
      <c r="C151" s="498"/>
      <c r="D151" s="498"/>
      <c r="E151" s="498"/>
      <c r="F151" s="498"/>
      <c r="G151" s="498"/>
      <c r="H151" s="498"/>
      <c r="I151" s="498"/>
      <c r="J151" s="498"/>
      <c r="K151" s="498"/>
      <c r="L151" s="498"/>
    </row>
    <row r="152" spans="1:12" x14ac:dyDescent="0.25">
      <c r="A152" s="498"/>
      <c r="B152" s="498"/>
      <c r="C152" s="498"/>
      <c r="D152" s="498"/>
      <c r="E152" s="498"/>
      <c r="F152" s="498"/>
      <c r="G152" s="498"/>
      <c r="H152" s="498"/>
      <c r="I152" s="498"/>
      <c r="J152" s="498"/>
      <c r="K152" s="498"/>
      <c r="L152" s="498"/>
    </row>
    <row r="153" spans="1:12" x14ac:dyDescent="0.25">
      <c r="A153" s="498"/>
      <c r="B153" s="498"/>
      <c r="C153" s="498"/>
      <c r="D153" s="498"/>
      <c r="E153" s="498"/>
      <c r="F153" s="498"/>
      <c r="G153" s="498"/>
      <c r="H153" s="498"/>
      <c r="I153" s="498"/>
      <c r="J153" s="498"/>
      <c r="K153" s="498"/>
      <c r="L153" s="498"/>
    </row>
    <row r="154" spans="1:12" x14ac:dyDescent="0.25">
      <c r="A154" s="498"/>
      <c r="B154" s="498"/>
      <c r="C154" s="498"/>
      <c r="D154" s="498"/>
      <c r="E154" s="498"/>
      <c r="F154" s="498"/>
      <c r="G154" s="498"/>
      <c r="H154" s="498"/>
      <c r="I154" s="498"/>
      <c r="J154" s="498"/>
      <c r="K154" s="498"/>
      <c r="L154" s="498"/>
    </row>
    <row r="155" spans="1:12" x14ac:dyDescent="0.25">
      <c r="A155" s="498"/>
      <c r="B155" s="498"/>
      <c r="C155" s="498"/>
      <c r="D155" s="498"/>
      <c r="E155" s="498"/>
      <c r="F155" s="498"/>
      <c r="G155" s="498"/>
      <c r="H155" s="498"/>
      <c r="I155" s="498"/>
      <c r="J155" s="498"/>
      <c r="K155" s="498"/>
      <c r="L155" s="498"/>
    </row>
    <row r="156" spans="1:12" x14ac:dyDescent="0.25">
      <c r="A156" s="498"/>
      <c r="B156" s="498"/>
      <c r="C156" s="498"/>
      <c r="D156" s="498"/>
      <c r="E156" s="498"/>
      <c r="F156" s="498"/>
      <c r="G156" s="498"/>
      <c r="H156" s="498"/>
      <c r="I156" s="498"/>
      <c r="J156" s="498"/>
      <c r="K156" s="498"/>
      <c r="L156" s="498"/>
    </row>
    <row r="157" spans="1:12" x14ac:dyDescent="0.25">
      <c r="A157" s="498"/>
      <c r="B157" s="498"/>
      <c r="C157" s="498"/>
      <c r="D157" s="498"/>
      <c r="E157" s="498"/>
      <c r="F157" s="498"/>
      <c r="G157" s="498"/>
      <c r="H157" s="498"/>
      <c r="I157" s="498"/>
      <c r="J157" s="498"/>
      <c r="K157" s="498"/>
      <c r="L157" s="498"/>
    </row>
    <row r="158" spans="1:12" x14ac:dyDescent="0.25">
      <c r="A158" s="498"/>
      <c r="B158" s="498"/>
      <c r="C158" s="498"/>
      <c r="D158" s="498"/>
      <c r="E158" s="498"/>
      <c r="F158" s="498"/>
      <c r="G158" s="498"/>
      <c r="H158" s="498"/>
      <c r="I158" s="498"/>
      <c r="J158" s="498"/>
      <c r="K158" s="498"/>
      <c r="L158" s="498"/>
    </row>
  </sheetData>
  <mergeCells count="14">
    <mergeCell ref="B7:D7"/>
    <mergeCell ref="B8:D8"/>
    <mergeCell ref="A3:H3"/>
    <mergeCell ref="A1:L1"/>
    <mergeCell ref="A67:G67"/>
    <mergeCell ref="A4:D4"/>
    <mergeCell ref="E4:H4"/>
    <mergeCell ref="B5:D5"/>
    <mergeCell ref="B6:D6"/>
    <mergeCell ref="A69:A119"/>
    <mergeCell ref="G69:G119"/>
    <mergeCell ref="A13:I13"/>
    <mergeCell ref="A15:A65"/>
    <mergeCell ref="G15:G65"/>
  </mergeCells>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292885-0428-4B59-AFA8-D2913ABCCE46}">
  <dimension ref="A1:K57"/>
  <sheetViews>
    <sheetView workbookViewId="0">
      <selection activeCell="M9" sqref="M9"/>
    </sheetView>
  </sheetViews>
  <sheetFormatPr defaultRowHeight="15" x14ac:dyDescent="0.25"/>
  <cols>
    <col min="1" max="1" width="41.7109375" customWidth="1"/>
    <col min="2" max="2" width="16.7109375" bestFit="1" customWidth="1"/>
    <col min="9" max="9" width="11.85546875" customWidth="1"/>
    <col min="10" max="10" width="11.5703125" customWidth="1"/>
    <col min="11" max="11" width="27.28515625" customWidth="1"/>
  </cols>
  <sheetData>
    <row r="1" spans="1:11" ht="48.75" customHeight="1" thickBot="1" x14ac:dyDescent="0.3">
      <c r="A1" s="3179" t="s">
        <v>1344</v>
      </c>
      <c r="B1" s="3180"/>
      <c r="C1" s="3180"/>
      <c r="D1" s="3180"/>
      <c r="E1" s="3180"/>
      <c r="F1" s="3180"/>
      <c r="G1" s="3180"/>
      <c r="H1" s="3180"/>
      <c r="I1" s="3180"/>
      <c r="J1" s="3180"/>
      <c r="K1" s="3181"/>
    </row>
    <row r="2" spans="1:11" x14ac:dyDescent="0.25">
      <c r="A2" s="3191" t="s">
        <v>1101</v>
      </c>
      <c r="B2" s="3193" t="s">
        <v>1107</v>
      </c>
      <c r="C2" s="3193"/>
      <c r="D2" s="3193"/>
      <c r="E2" s="3193"/>
      <c r="F2" s="3193"/>
      <c r="G2" s="3193"/>
      <c r="H2" s="3193"/>
      <c r="I2" s="3193"/>
      <c r="J2" s="3193"/>
      <c r="K2" s="3194" t="s">
        <v>1804</v>
      </c>
    </row>
    <row r="3" spans="1:11" ht="18.75" thickBot="1" x14ac:dyDescent="0.3">
      <c r="A3" s="3192"/>
      <c r="B3" s="1952" t="s">
        <v>20</v>
      </c>
      <c r="C3" s="1952" t="s">
        <v>21</v>
      </c>
      <c r="D3" s="1952" t="s">
        <v>79</v>
      </c>
      <c r="E3" s="1952" t="s">
        <v>17</v>
      </c>
      <c r="F3" s="1952" t="s">
        <v>18</v>
      </c>
      <c r="G3" s="1952" t="s">
        <v>19</v>
      </c>
      <c r="H3" s="1952" t="s">
        <v>76</v>
      </c>
      <c r="I3" s="1952" t="s">
        <v>77</v>
      </c>
      <c r="J3" s="1952" t="s">
        <v>78</v>
      </c>
      <c r="K3" s="3195"/>
    </row>
    <row r="4" spans="1:11" ht="15.75" thickBot="1" x14ac:dyDescent="0.3">
      <c r="A4" s="408" t="s">
        <v>1215</v>
      </c>
      <c r="B4" s="1217" t="s">
        <v>897</v>
      </c>
      <c r="C4" s="1217" t="s">
        <v>897</v>
      </c>
      <c r="D4" s="1217" t="s">
        <v>897</v>
      </c>
      <c r="E4" s="1217" t="s">
        <v>897</v>
      </c>
      <c r="F4" s="1217" t="s">
        <v>897</v>
      </c>
      <c r="G4" s="1217" t="s">
        <v>897</v>
      </c>
      <c r="H4" s="1218" t="s">
        <v>897</v>
      </c>
      <c r="I4" s="1218">
        <f>'Emission-Composting'!$D$11</f>
        <v>1156696.8774999999</v>
      </c>
      <c r="J4" s="1218" t="s">
        <v>897</v>
      </c>
      <c r="K4" s="2038">
        <f>'Emission-Composting'!$G$15</f>
        <v>6447126.4972999748</v>
      </c>
    </row>
    <row r="5" spans="1:11" x14ac:dyDescent="0.25">
      <c r="A5" s="1507" t="s">
        <v>1126</v>
      </c>
      <c r="B5" s="3200" t="s">
        <v>1303</v>
      </c>
      <c r="C5" s="3201"/>
      <c r="D5" s="3201"/>
      <c r="E5" s="3201"/>
      <c r="F5" s="3201"/>
      <c r="G5" s="3201"/>
      <c r="H5" s="3201"/>
      <c r="I5" s="3201"/>
      <c r="J5" s="3202"/>
      <c r="K5" s="1508"/>
    </row>
    <row r="6" spans="1:11" s="230" customFormat="1" ht="15.75" thickBot="1" x14ac:dyDescent="0.3">
      <c r="A6" s="1574" t="s">
        <v>1304</v>
      </c>
      <c r="B6" s="3203">
        <f>'Emission-Composting'!$H$6</f>
        <v>-880627.23</v>
      </c>
      <c r="C6" s="3203"/>
      <c r="D6" s="3203"/>
      <c r="E6" s="3203"/>
      <c r="F6" s="3203"/>
      <c r="G6" s="3203"/>
      <c r="H6" s="3203"/>
      <c r="I6" s="3203"/>
      <c r="J6" s="3203"/>
      <c r="K6" s="1511">
        <f>'Emission-Composting'!$G$69</f>
        <v>-4908386.3363129711</v>
      </c>
    </row>
    <row r="7" spans="1:11" ht="18.75" thickBot="1" x14ac:dyDescent="0.3">
      <c r="A7" s="1509" t="s">
        <v>1145</v>
      </c>
      <c r="B7" s="1510" t="s">
        <v>20</v>
      </c>
      <c r="C7" s="1510" t="s">
        <v>21</v>
      </c>
      <c r="D7" s="1510" t="s">
        <v>79</v>
      </c>
      <c r="E7" s="1510" t="s">
        <v>17</v>
      </c>
      <c r="F7" s="1510" t="s">
        <v>18</v>
      </c>
      <c r="G7" s="1510" t="s">
        <v>19</v>
      </c>
      <c r="H7" s="1510" t="s">
        <v>76</v>
      </c>
      <c r="I7" s="1510" t="s">
        <v>77</v>
      </c>
      <c r="J7" s="1510" t="s">
        <v>78</v>
      </c>
      <c r="K7" s="2039"/>
    </row>
    <row r="8" spans="1:11" ht="15" customHeight="1" x14ac:dyDescent="0.25">
      <c r="A8" s="778" t="s">
        <v>1197</v>
      </c>
      <c r="B8" s="1248">
        <f>'Emission-Waste Transport Vehicl'!L25</f>
        <v>0</v>
      </c>
      <c r="C8" s="1249">
        <f>'Emission-Waste Transport Vehicl'!M25</f>
        <v>0</v>
      </c>
      <c r="D8" s="1249">
        <f>'Emission-Waste Transport Vehicl'!N25</f>
        <v>0</v>
      </c>
      <c r="E8" s="779">
        <f>'Emission-Waste Transport Vehicl'!O25</f>
        <v>0</v>
      </c>
      <c r="F8" s="779">
        <f>'Emission-Waste Transport Vehicl'!P25</f>
        <v>0</v>
      </c>
      <c r="G8" s="1249">
        <f>'Emission-Waste Transport Vehicl'!Q25</f>
        <v>0</v>
      </c>
      <c r="H8" s="1249">
        <f>'Emission-Waste Transport Vehicl'!R25</f>
        <v>0</v>
      </c>
      <c r="I8" s="1249">
        <f>'Emission-Waste Transport Vehicl'!S25</f>
        <v>0</v>
      </c>
      <c r="J8" s="780">
        <f>'Emission-Waste Transport Vehicl'!T25</f>
        <v>0</v>
      </c>
      <c r="K8" s="2040">
        <f>'Emission-Waste Transport Vehicl'!$AA$549</f>
        <v>0</v>
      </c>
    </row>
    <row r="9" spans="1:11" ht="15" customHeight="1" x14ac:dyDescent="0.25">
      <c r="A9" s="606" t="s">
        <v>1781</v>
      </c>
      <c r="B9" s="728">
        <f>'Emission-Waste Transport Vehicl'!L26</f>
        <v>0</v>
      </c>
      <c r="C9" s="729">
        <f>'Emission-Waste Transport Vehicl'!M26</f>
        <v>0</v>
      </c>
      <c r="D9" s="729">
        <f>'Emission-Waste Transport Vehicl'!N26</f>
        <v>0</v>
      </c>
      <c r="E9" s="729">
        <f>'Emission-Waste Transport Vehicl'!O26</f>
        <v>0</v>
      </c>
      <c r="F9" s="729">
        <f>'Emission-Waste Transport Vehicl'!P26</f>
        <v>0</v>
      </c>
      <c r="G9" s="729">
        <f>'Emission-Waste Transport Vehicl'!Q26</f>
        <v>0</v>
      </c>
      <c r="H9" s="729">
        <f>'Emission-Waste Transport Vehicl'!R26</f>
        <v>0</v>
      </c>
      <c r="I9" s="729">
        <f>'Emission-Waste Transport Vehicl'!S26</f>
        <v>0</v>
      </c>
      <c r="J9" s="730">
        <f>'Emission-Waste Transport Vehicl'!T26</f>
        <v>0</v>
      </c>
      <c r="K9" s="1988">
        <f>'Emission-Waste Transport Vehicl'!$AA$600</f>
        <v>0</v>
      </c>
    </row>
    <row r="10" spans="1:11" ht="15" customHeight="1" x14ac:dyDescent="0.25">
      <c r="A10" s="606" t="s">
        <v>1216</v>
      </c>
      <c r="B10" s="728">
        <f>'Emission-Waste Transport Vehicl'!L27</f>
        <v>0</v>
      </c>
      <c r="C10" s="729">
        <f>'Emission-Waste Transport Vehicl'!M27</f>
        <v>0</v>
      </c>
      <c r="D10" s="729">
        <f>'Emission-Waste Transport Vehicl'!N27</f>
        <v>0</v>
      </c>
      <c r="E10" s="729">
        <f>'Emission-Waste Transport Vehicl'!O27</f>
        <v>0</v>
      </c>
      <c r="F10" s="729">
        <f>'Emission-Waste Transport Vehicl'!P27</f>
        <v>0</v>
      </c>
      <c r="G10" s="729">
        <f>'Emission-Waste Transport Vehicl'!Q27</f>
        <v>0</v>
      </c>
      <c r="H10" s="729">
        <f>'Emission-Waste Transport Vehicl'!R27</f>
        <v>0</v>
      </c>
      <c r="I10" s="729">
        <f>'Emission-Waste Transport Vehicl'!S27</f>
        <v>0</v>
      </c>
      <c r="J10" s="730">
        <f>'Emission-Waste Transport Vehicl'!T27</f>
        <v>0</v>
      </c>
      <c r="K10" s="1988">
        <f>'Emission-Waste Transport Vehicl'!$AA$651</f>
        <v>0</v>
      </c>
    </row>
    <row r="11" spans="1:11" ht="15" customHeight="1" x14ac:dyDescent="0.25">
      <c r="A11" s="1111" t="s">
        <v>1199</v>
      </c>
      <c r="B11" s="797">
        <f>'Emission-Waste Transport Vehicl'!L28</f>
        <v>0</v>
      </c>
      <c r="C11" s="798">
        <f>'Emission-Waste Transport Vehicl'!M28</f>
        <v>0</v>
      </c>
      <c r="D11" s="798">
        <f>'Emission-Waste Transport Vehicl'!N28</f>
        <v>0</v>
      </c>
      <c r="E11" s="591">
        <f>'Emission-Waste Transport Vehicl'!O28</f>
        <v>0</v>
      </c>
      <c r="F11" s="591">
        <f>'Emission-Waste Transport Vehicl'!P28</f>
        <v>0</v>
      </c>
      <c r="G11" s="798">
        <f>'Emission-Waste Transport Vehicl'!Q28</f>
        <v>0</v>
      </c>
      <c r="H11" s="798">
        <f>'Emission-Waste Transport Vehicl'!R28</f>
        <v>0</v>
      </c>
      <c r="I11" s="798">
        <f>'Emission-Waste Transport Vehicl'!S28</f>
        <v>0</v>
      </c>
      <c r="J11" s="592">
        <f>'Emission-Waste Transport Vehicl'!T28</f>
        <v>0</v>
      </c>
      <c r="K11" s="1988">
        <f>'Emission-Waste Transport Vehicl'!$AA$702</f>
        <v>0</v>
      </c>
    </row>
    <row r="12" spans="1:11" ht="15.75" customHeight="1" thickBot="1" x14ac:dyDescent="0.3">
      <c r="A12" s="608" t="s">
        <v>1224</v>
      </c>
      <c r="B12" s="800">
        <f>'Emission-Waste Transport Vehicl'!L29</f>
        <v>0</v>
      </c>
      <c r="C12" s="801">
        <f>'Emission-Waste Transport Vehicl'!M29</f>
        <v>0</v>
      </c>
      <c r="D12" s="801">
        <f>'Emission-Waste Transport Vehicl'!N29</f>
        <v>0</v>
      </c>
      <c r="E12" s="716">
        <f>'Emission-Waste Transport Vehicl'!O29</f>
        <v>0</v>
      </c>
      <c r="F12" s="716">
        <f>'Emission-Waste Transport Vehicl'!P29</f>
        <v>0</v>
      </c>
      <c r="G12" s="801">
        <f>'Emission-Waste Transport Vehicl'!Q29</f>
        <v>0</v>
      </c>
      <c r="H12" s="801">
        <f>'Emission-Waste Transport Vehicl'!R29</f>
        <v>0</v>
      </c>
      <c r="I12" s="801">
        <f>'Emission-Waste Transport Vehicl'!S29</f>
        <v>0</v>
      </c>
      <c r="J12" s="717">
        <f>'Emission-Waste Transport Vehicl'!T29</f>
        <v>0</v>
      </c>
      <c r="K12" s="1511">
        <f>'Emission-Waste Transport Vehicl'!$AA$753</f>
        <v>0</v>
      </c>
    </row>
    <row r="13" spans="1:11" ht="18.75" thickBot="1" x14ac:dyDescent="0.3">
      <c r="A13" s="3196" t="s">
        <v>1281</v>
      </c>
      <c r="B13" s="1256" t="s">
        <v>20</v>
      </c>
      <c r="C13" s="1951" t="s">
        <v>21</v>
      </c>
      <c r="D13" s="1951" t="s">
        <v>79</v>
      </c>
      <c r="E13" s="1951" t="s">
        <v>17</v>
      </c>
      <c r="F13" s="1951" t="s">
        <v>18</v>
      </c>
      <c r="G13" s="1951" t="s">
        <v>19</v>
      </c>
      <c r="H13" s="1951" t="s">
        <v>76</v>
      </c>
      <c r="I13" s="1951" t="s">
        <v>77</v>
      </c>
      <c r="J13" s="1951" t="s">
        <v>78</v>
      </c>
      <c r="K13" s="2041"/>
    </row>
    <row r="14" spans="1:11" ht="15.75" thickBot="1" x14ac:dyDescent="0.3">
      <c r="A14" s="3197"/>
      <c r="B14" s="1513">
        <f>'Emission-Preprocessing'!$I$13</f>
        <v>0</v>
      </c>
      <c r="C14" s="834" t="s">
        <v>897</v>
      </c>
      <c r="D14" s="834">
        <f>'Emission-Preprocessing'!$G$13</f>
        <v>0</v>
      </c>
      <c r="E14" s="3198">
        <f>'Emission-Preprocessing'!$J$13</f>
        <v>0</v>
      </c>
      <c r="F14" s="3199"/>
      <c r="G14" s="834">
        <f>'Emission-Preprocessing'!$H$13</f>
        <v>0</v>
      </c>
      <c r="H14" s="890" t="s">
        <v>897</v>
      </c>
      <c r="I14" s="834">
        <f>'Emission-Preprocessing'!$K$13</f>
        <v>0</v>
      </c>
      <c r="J14" s="890" t="s">
        <v>897</v>
      </c>
      <c r="K14" s="1319">
        <f>'Emission-Preprocessing'!$R$25</f>
        <v>0</v>
      </c>
    </row>
    <row r="17" spans="1:11" x14ac:dyDescent="0.25">
      <c r="A17" s="498"/>
      <c r="B17" s="498"/>
      <c r="C17" s="498"/>
      <c r="D17" s="498"/>
      <c r="E17" s="498"/>
      <c r="F17" s="498"/>
      <c r="G17" s="498"/>
      <c r="H17" s="498"/>
      <c r="I17" s="498"/>
      <c r="J17" s="498"/>
      <c r="K17" s="498"/>
    </row>
    <row r="18" spans="1:11" x14ac:dyDescent="0.25">
      <c r="A18" s="498"/>
      <c r="B18" s="498"/>
      <c r="C18" s="498"/>
      <c r="D18" s="498"/>
      <c r="E18" s="498"/>
      <c r="F18" s="498"/>
      <c r="G18" s="498"/>
      <c r="H18" s="498"/>
      <c r="I18" s="498"/>
      <c r="J18" s="498"/>
      <c r="K18" s="498"/>
    </row>
    <row r="19" spans="1:11" x14ac:dyDescent="0.25">
      <c r="A19" s="498"/>
      <c r="B19" s="498"/>
      <c r="C19" s="498"/>
      <c r="D19" s="498"/>
      <c r="E19" s="498"/>
      <c r="F19" s="498"/>
      <c r="G19" s="498"/>
      <c r="H19" s="498"/>
      <c r="I19" s="498"/>
      <c r="J19" s="498"/>
      <c r="K19" s="498"/>
    </row>
    <row r="20" spans="1:11" x14ac:dyDescent="0.25">
      <c r="A20" s="498"/>
      <c r="B20" s="498"/>
      <c r="C20" s="498"/>
      <c r="D20" s="498"/>
      <c r="E20" s="498"/>
      <c r="F20" s="498"/>
      <c r="G20" s="498"/>
      <c r="H20" s="498"/>
      <c r="I20" s="498"/>
      <c r="J20" s="498"/>
      <c r="K20" s="498"/>
    </row>
    <row r="21" spans="1:11" x14ac:dyDescent="0.25">
      <c r="A21" s="498"/>
      <c r="B21" s="498"/>
      <c r="C21" s="498"/>
      <c r="D21" s="498"/>
      <c r="E21" s="498"/>
      <c r="F21" s="498"/>
      <c r="G21" s="498"/>
      <c r="H21" s="498"/>
      <c r="I21" s="498"/>
      <c r="J21" s="498"/>
      <c r="K21" s="498"/>
    </row>
    <row r="22" spans="1:11" x14ac:dyDescent="0.25">
      <c r="A22" s="498"/>
      <c r="B22" s="498"/>
      <c r="C22" s="498"/>
      <c r="D22" s="498"/>
      <c r="E22" s="498"/>
      <c r="F22" s="498"/>
      <c r="G22" s="498"/>
      <c r="H22" s="498"/>
      <c r="I22" s="498"/>
      <c r="J22" s="498"/>
      <c r="K22" s="498"/>
    </row>
    <row r="23" spans="1:11" x14ac:dyDescent="0.25">
      <c r="A23" s="498"/>
      <c r="B23" s="498"/>
      <c r="C23" s="498"/>
      <c r="D23" s="498"/>
      <c r="E23" s="498"/>
      <c r="F23" s="498"/>
      <c r="G23" s="498"/>
      <c r="H23" s="498"/>
      <c r="I23" s="498"/>
      <c r="J23" s="498"/>
      <c r="K23" s="498"/>
    </row>
    <row r="24" spans="1:11" x14ac:dyDescent="0.25">
      <c r="A24" s="498"/>
      <c r="B24" s="498"/>
      <c r="C24" s="498"/>
      <c r="D24" s="498"/>
      <c r="E24" s="498"/>
      <c r="F24" s="498"/>
      <c r="G24" s="498"/>
      <c r="H24" s="498"/>
      <c r="I24" s="498"/>
      <c r="J24" s="498"/>
      <c r="K24" s="498"/>
    </row>
    <row r="25" spans="1:11" x14ac:dyDescent="0.25">
      <c r="A25" s="498"/>
      <c r="B25" s="498"/>
      <c r="C25" s="498"/>
      <c r="D25" s="498"/>
      <c r="E25" s="498"/>
      <c r="F25" s="498"/>
      <c r="G25" s="498"/>
      <c r="H25" s="498"/>
      <c r="I25" s="498"/>
      <c r="J25" s="498"/>
      <c r="K25" s="498"/>
    </row>
    <row r="26" spans="1:11" x14ac:dyDescent="0.25">
      <c r="A26" s="498"/>
      <c r="B26" s="498"/>
      <c r="C26" s="498"/>
      <c r="D26" s="498"/>
      <c r="E26" s="498"/>
      <c r="F26" s="498"/>
      <c r="G26" s="498"/>
      <c r="H26" s="498"/>
      <c r="I26" s="498"/>
      <c r="J26" s="498"/>
      <c r="K26" s="498"/>
    </row>
    <row r="27" spans="1:11" x14ac:dyDescent="0.25">
      <c r="A27" s="498"/>
      <c r="B27" s="498"/>
      <c r="C27" s="498"/>
      <c r="D27" s="498"/>
      <c r="E27" s="498"/>
      <c r="F27" s="498"/>
      <c r="G27" s="498"/>
      <c r="H27" s="498"/>
      <c r="I27" s="498"/>
      <c r="J27" s="498"/>
      <c r="K27" s="498"/>
    </row>
    <row r="28" spans="1:11" x14ac:dyDescent="0.25">
      <c r="A28" s="498"/>
      <c r="B28" s="498"/>
      <c r="C28" s="498"/>
      <c r="D28" s="498"/>
      <c r="E28" s="498"/>
      <c r="F28" s="498"/>
      <c r="G28" s="498"/>
      <c r="H28" s="498"/>
      <c r="I28" s="498"/>
      <c r="J28" s="498"/>
      <c r="K28" s="498"/>
    </row>
    <row r="29" spans="1:11" x14ac:dyDescent="0.25">
      <c r="A29" s="498"/>
      <c r="B29" s="498"/>
      <c r="C29" s="498"/>
      <c r="D29" s="498"/>
      <c r="E29" s="498"/>
      <c r="F29" s="498"/>
      <c r="G29" s="498"/>
      <c r="H29" s="498"/>
      <c r="I29" s="498"/>
      <c r="J29" s="498"/>
      <c r="K29" s="498"/>
    </row>
    <row r="30" spans="1:11" x14ac:dyDescent="0.25">
      <c r="A30" s="498"/>
      <c r="B30" s="498"/>
      <c r="C30" s="498"/>
      <c r="D30" s="498"/>
      <c r="E30" s="498"/>
      <c r="F30" s="498"/>
      <c r="G30" s="498"/>
      <c r="H30" s="498"/>
      <c r="I30" s="498"/>
      <c r="J30" s="498"/>
      <c r="K30" s="498"/>
    </row>
    <row r="31" spans="1:11" x14ac:dyDescent="0.25">
      <c r="A31" s="498"/>
      <c r="B31" s="498"/>
      <c r="C31" s="498"/>
      <c r="D31" s="498"/>
      <c r="E31" s="498"/>
      <c r="F31" s="498"/>
      <c r="G31" s="498"/>
      <c r="H31" s="498"/>
      <c r="I31" s="498"/>
      <c r="J31" s="498"/>
      <c r="K31" s="498"/>
    </row>
    <row r="32" spans="1:11" x14ac:dyDescent="0.25">
      <c r="A32" s="498"/>
      <c r="B32" s="498"/>
      <c r="C32" s="498"/>
      <c r="D32" s="498"/>
      <c r="E32" s="498"/>
      <c r="F32" s="498"/>
      <c r="G32" s="498"/>
      <c r="H32" s="498"/>
      <c r="I32" s="498"/>
      <c r="J32" s="498"/>
      <c r="K32" s="498"/>
    </row>
    <row r="33" spans="1:11" x14ac:dyDescent="0.25">
      <c r="A33" s="498"/>
      <c r="B33" s="498"/>
      <c r="C33" s="498"/>
      <c r="D33" s="498"/>
      <c r="E33" s="498"/>
      <c r="F33" s="498"/>
      <c r="G33" s="498"/>
      <c r="H33" s="498"/>
      <c r="I33" s="498"/>
      <c r="J33" s="498"/>
      <c r="K33" s="498"/>
    </row>
    <row r="34" spans="1:11" x14ac:dyDescent="0.25">
      <c r="A34" s="498"/>
      <c r="B34" s="498"/>
      <c r="C34" s="498"/>
      <c r="D34" s="498"/>
      <c r="E34" s="498"/>
      <c r="F34" s="498"/>
      <c r="G34" s="498"/>
      <c r="H34" s="498"/>
      <c r="I34" s="498"/>
      <c r="J34" s="498"/>
      <c r="K34" s="498"/>
    </row>
    <row r="35" spans="1:11" x14ac:dyDescent="0.25">
      <c r="A35" s="498"/>
      <c r="B35" s="498"/>
      <c r="C35" s="498"/>
      <c r="D35" s="498"/>
      <c r="E35" s="498"/>
      <c r="F35" s="498"/>
      <c r="G35" s="498"/>
      <c r="H35" s="498"/>
      <c r="I35" s="498"/>
      <c r="J35" s="498"/>
      <c r="K35" s="498"/>
    </row>
    <row r="36" spans="1:11" x14ac:dyDescent="0.25">
      <c r="A36" s="498"/>
      <c r="B36" s="498"/>
      <c r="C36" s="498"/>
      <c r="D36" s="498"/>
      <c r="E36" s="498"/>
      <c r="F36" s="498"/>
      <c r="G36" s="498"/>
      <c r="H36" s="498"/>
      <c r="I36" s="498"/>
      <c r="J36" s="498"/>
      <c r="K36" s="498"/>
    </row>
    <row r="37" spans="1:11" x14ac:dyDescent="0.25">
      <c r="A37" s="498"/>
      <c r="B37" s="498"/>
      <c r="C37" s="498"/>
      <c r="D37" s="498"/>
      <c r="E37" s="498"/>
      <c r="F37" s="498"/>
      <c r="G37" s="498"/>
      <c r="H37" s="498"/>
      <c r="I37" s="498"/>
      <c r="J37" s="498"/>
      <c r="K37" s="498"/>
    </row>
    <row r="38" spans="1:11" x14ac:dyDescent="0.25">
      <c r="A38" s="498"/>
      <c r="B38" s="498"/>
      <c r="C38" s="498"/>
      <c r="D38" s="498"/>
      <c r="E38" s="498"/>
      <c r="F38" s="498"/>
      <c r="G38" s="498"/>
      <c r="H38" s="498"/>
      <c r="I38" s="498"/>
      <c r="J38" s="498"/>
      <c r="K38" s="498"/>
    </row>
    <row r="39" spans="1:11" x14ac:dyDescent="0.25">
      <c r="A39" s="498"/>
      <c r="B39" s="498"/>
      <c r="C39" s="498"/>
      <c r="D39" s="498"/>
      <c r="E39" s="498"/>
      <c r="F39" s="498"/>
      <c r="G39" s="498"/>
      <c r="H39" s="498"/>
      <c r="I39" s="498"/>
      <c r="J39" s="498"/>
      <c r="K39" s="498"/>
    </row>
    <row r="40" spans="1:11" x14ac:dyDescent="0.25">
      <c r="A40" s="498"/>
      <c r="B40" s="498"/>
      <c r="C40" s="498"/>
      <c r="D40" s="498"/>
      <c r="E40" s="498"/>
      <c r="F40" s="498"/>
      <c r="G40" s="498"/>
      <c r="H40" s="498"/>
      <c r="I40" s="498"/>
      <c r="J40" s="498"/>
      <c r="K40" s="498"/>
    </row>
    <row r="41" spans="1:11" x14ac:dyDescent="0.25">
      <c r="A41" s="498"/>
      <c r="B41" s="498"/>
      <c r="C41" s="498"/>
      <c r="D41" s="498"/>
      <c r="E41" s="498"/>
      <c r="F41" s="498"/>
      <c r="G41" s="498"/>
      <c r="H41" s="498"/>
      <c r="I41" s="498"/>
      <c r="J41" s="498"/>
      <c r="K41" s="498"/>
    </row>
    <row r="42" spans="1:11" x14ac:dyDescent="0.25">
      <c r="A42" s="498"/>
      <c r="B42" s="498"/>
      <c r="C42" s="498"/>
      <c r="D42" s="498"/>
      <c r="E42" s="498"/>
      <c r="F42" s="498"/>
      <c r="G42" s="498"/>
      <c r="H42" s="498"/>
      <c r="I42" s="498"/>
      <c r="J42" s="498"/>
      <c r="K42" s="498"/>
    </row>
    <row r="43" spans="1:11" x14ac:dyDescent="0.25">
      <c r="A43" s="498"/>
      <c r="B43" s="498"/>
      <c r="C43" s="498"/>
      <c r="D43" s="498"/>
      <c r="E43" s="498"/>
      <c r="F43" s="498"/>
      <c r="G43" s="498"/>
      <c r="H43" s="498"/>
      <c r="I43" s="498"/>
      <c r="J43" s="498"/>
      <c r="K43" s="498"/>
    </row>
    <row r="44" spans="1:11" x14ac:dyDescent="0.25">
      <c r="A44" s="498"/>
      <c r="B44" s="498"/>
      <c r="C44" s="498"/>
      <c r="D44" s="498"/>
      <c r="E44" s="498"/>
      <c r="F44" s="498"/>
      <c r="G44" s="498"/>
      <c r="H44" s="498"/>
      <c r="I44" s="498"/>
      <c r="J44" s="498"/>
      <c r="K44" s="498"/>
    </row>
    <row r="45" spans="1:11" x14ac:dyDescent="0.25">
      <c r="A45" s="498"/>
      <c r="B45" s="498"/>
      <c r="C45" s="498"/>
      <c r="D45" s="498"/>
      <c r="E45" s="498"/>
      <c r="F45" s="498"/>
      <c r="G45" s="498"/>
      <c r="H45" s="498"/>
      <c r="I45" s="498"/>
      <c r="J45" s="498"/>
      <c r="K45" s="498"/>
    </row>
    <row r="46" spans="1:11" x14ac:dyDescent="0.25">
      <c r="A46" s="498"/>
      <c r="B46" s="498"/>
      <c r="C46" s="498"/>
      <c r="D46" s="498"/>
      <c r="E46" s="498"/>
      <c r="F46" s="498"/>
      <c r="G46" s="498"/>
      <c r="H46" s="498"/>
      <c r="I46" s="498"/>
      <c r="J46" s="498"/>
      <c r="K46" s="498"/>
    </row>
    <row r="47" spans="1:11" x14ac:dyDescent="0.25">
      <c r="A47" s="498"/>
      <c r="B47" s="498"/>
      <c r="C47" s="498"/>
      <c r="D47" s="498"/>
      <c r="E47" s="498"/>
      <c r="F47" s="498"/>
      <c r="G47" s="498"/>
      <c r="H47" s="498"/>
      <c r="I47" s="498"/>
      <c r="J47" s="498"/>
      <c r="K47" s="498"/>
    </row>
    <row r="48" spans="1:11" x14ac:dyDescent="0.25">
      <c r="A48" s="498"/>
      <c r="B48" s="498"/>
      <c r="C48" s="498"/>
      <c r="D48" s="498"/>
      <c r="E48" s="498"/>
      <c r="F48" s="498"/>
      <c r="G48" s="498"/>
      <c r="H48" s="498"/>
      <c r="I48" s="498"/>
      <c r="J48" s="498"/>
      <c r="K48" s="498"/>
    </row>
    <row r="49" spans="1:11" x14ac:dyDescent="0.25">
      <c r="A49" s="498"/>
      <c r="B49" s="498"/>
      <c r="C49" s="498"/>
      <c r="D49" s="498"/>
      <c r="E49" s="498"/>
      <c r="F49" s="498"/>
      <c r="G49" s="498"/>
      <c r="H49" s="498"/>
      <c r="I49" s="498"/>
      <c r="J49" s="498"/>
      <c r="K49" s="498"/>
    </row>
    <row r="50" spans="1:11" x14ac:dyDescent="0.25">
      <c r="A50" s="498"/>
      <c r="B50" s="498"/>
      <c r="C50" s="498"/>
      <c r="D50" s="498"/>
      <c r="E50" s="498"/>
      <c r="F50" s="498"/>
      <c r="G50" s="498"/>
      <c r="H50" s="498"/>
      <c r="I50" s="498"/>
      <c r="J50" s="498"/>
      <c r="K50" s="498"/>
    </row>
    <row r="51" spans="1:11" x14ac:dyDescent="0.25">
      <c r="A51" s="498"/>
      <c r="B51" s="498"/>
      <c r="C51" s="498"/>
      <c r="D51" s="498"/>
      <c r="E51" s="498"/>
      <c r="F51" s="498"/>
      <c r="G51" s="498"/>
      <c r="H51" s="498"/>
      <c r="I51" s="498"/>
      <c r="J51" s="498"/>
      <c r="K51" s="498"/>
    </row>
    <row r="52" spans="1:11" x14ac:dyDescent="0.25">
      <c r="A52" s="498"/>
      <c r="B52" s="498"/>
      <c r="C52" s="498"/>
      <c r="D52" s="498"/>
      <c r="E52" s="498"/>
      <c r="F52" s="498"/>
      <c r="G52" s="498"/>
      <c r="H52" s="498"/>
      <c r="I52" s="498"/>
      <c r="J52" s="498"/>
      <c r="K52" s="498"/>
    </row>
    <row r="53" spans="1:11" x14ac:dyDescent="0.25">
      <c r="A53" s="498"/>
      <c r="B53" s="498"/>
      <c r="C53" s="498"/>
      <c r="D53" s="498"/>
      <c r="E53" s="498"/>
      <c r="F53" s="498"/>
      <c r="G53" s="498"/>
      <c r="H53" s="498"/>
      <c r="I53" s="498"/>
      <c r="J53" s="498"/>
      <c r="K53" s="498"/>
    </row>
    <row r="54" spans="1:11" x14ac:dyDescent="0.25">
      <c r="A54" s="498"/>
      <c r="B54" s="498"/>
      <c r="C54" s="498"/>
      <c r="D54" s="498"/>
      <c r="E54" s="498"/>
      <c r="F54" s="498"/>
      <c r="G54" s="498"/>
      <c r="H54" s="498"/>
      <c r="I54" s="498"/>
      <c r="J54" s="498"/>
      <c r="K54" s="498"/>
    </row>
    <row r="55" spans="1:11" x14ac:dyDescent="0.25">
      <c r="A55" s="498"/>
      <c r="B55" s="498"/>
      <c r="C55" s="498"/>
      <c r="D55" s="498"/>
      <c r="E55" s="498"/>
      <c r="F55" s="498"/>
      <c r="G55" s="498"/>
      <c r="H55" s="498"/>
      <c r="I55" s="498"/>
      <c r="J55" s="498"/>
      <c r="K55" s="498"/>
    </row>
    <row r="56" spans="1:11" x14ac:dyDescent="0.25">
      <c r="A56" s="498"/>
      <c r="B56" s="498"/>
      <c r="C56" s="498"/>
      <c r="D56" s="498"/>
      <c r="E56" s="498"/>
      <c r="F56" s="498"/>
      <c r="G56" s="498"/>
      <c r="H56" s="498"/>
      <c r="I56" s="498"/>
      <c r="J56" s="498"/>
      <c r="K56" s="498"/>
    </row>
    <row r="57" spans="1:11" x14ac:dyDescent="0.25">
      <c r="A57" s="498"/>
      <c r="B57" s="498"/>
      <c r="C57" s="498"/>
      <c r="D57" s="498"/>
      <c r="E57" s="498"/>
      <c r="F57" s="498"/>
      <c r="G57" s="498"/>
      <c r="H57" s="498"/>
      <c r="I57" s="498"/>
      <c r="J57" s="498"/>
      <c r="K57" s="498"/>
    </row>
  </sheetData>
  <mergeCells count="8">
    <mergeCell ref="A1:K1"/>
    <mergeCell ref="A2:A3"/>
    <mergeCell ref="B2:J2"/>
    <mergeCell ref="K2:K3"/>
    <mergeCell ref="A13:A14"/>
    <mergeCell ref="E14:F14"/>
    <mergeCell ref="B5:J5"/>
    <mergeCell ref="B6:J6"/>
  </mergeCells>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8B5CA-2963-4D64-AE7A-CBE15FF483DD}">
  <dimension ref="A1:L70"/>
  <sheetViews>
    <sheetView workbookViewId="0">
      <selection activeCell="A62" sqref="A62:A67"/>
    </sheetView>
  </sheetViews>
  <sheetFormatPr defaultRowHeight="15" x14ac:dyDescent="0.25"/>
  <cols>
    <col min="1" max="1" width="88.42578125" customWidth="1"/>
    <col min="2" max="2" width="14.7109375" customWidth="1"/>
    <col min="3" max="3" width="15.140625" customWidth="1"/>
    <col min="4" max="4" width="14.140625" customWidth="1"/>
    <col min="5" max="5" width="20.140625" customWidth="1"/>
    <col min="6" max="6" width="20.28515625" customWidth="1"/>
    <col min="7" max="7" width="14.28515625" customWidth="1"/>
    <col min="8" max="8" width="16" customWidth="1"/>
    <col min="9" max="9" width="16.5703125" customWidth="1"/>
    <col min="10" max="10" width="14.42578125" customWidth="1"/>
    <col min="11" max="11" width="25" customWidth="1"/>
    <col min="12" max="12" width="27" customWidth="1"/>
  </cols>
  <sheetData>
    <row r="1" spans="1:12" ht="15" customHeight="1" x14ac:dyDescent="0.25">
      <c r="A1" s="3221" t="s">
        <v>1347</v>
      </c>
      <c r="B1" s="3222"/>
      <c r="C1" s="3222"/>
      <c r="D1" s="3222"/>
      <c r="E1" s="3222"/>
      <c r="F1" s="3222"/>
      <c r="G1" s="3222"/>
      <c r="H1" s="3222"/>
      <c r="I1" s="3222"/>
      <c r="J1" s="3222"/>
      <c r="K1" s="3222"/>
      <c r="L1" s="3223"/>
    </row>
    <row r="2" spans="1:12" ht="32.25" customHeight="1" thickBot="1" x14ac:dyDescent="0.3">
      <c r="A2" s="3224"/>
      <c r="B2" s="3225"/>
      <c r="C2" s="3225"/>
      <c r="D2" s="3225"/>
      <c r="E2" s="3225"/>
      <c r="F2" s="3225"/>
      <c r="G2" s="3225"/>
      <c r="H2" s="3225"/>
      <c r="I2" s="3225"/>
      <c r="J2" s="3225"/>
      <c r="K2" s="3225"/>
      <c r="L2" s="3226"/>
    </row>
    <row r="3" spans="1:12" ht="15.75" thickBot="1" x14ac:dyDescent="0.3">
      <c r="A3" s="498"/>
      <c r="B3" s="498"/>
      <c r="C3" s="498"/>
    </row>
    <row r="4" spans="1:12" ht="24.75" customHeight="1" thickBot="1" x14ac:dyDescent="0.3">
      <c r="A4" s="3215" t="s">
        <v>1528</v>
      </c>
      <c r="B4" s="3216"/>
      <c r="C4" s="3216"/>
      <c r="D4" s="3216"/>
      <c r="E4" s="3216"/>
      <c r="F4" s="3216"/>
      <c r="G4" s="3216"/>
      <c r="H4" s="3216"/>
      <c r="I4" s="3216"/>
      <c r="J4" s="3216"/>
      <c r="K4" s="3216"/>
      <c r="L4" s="3217"/>
    </row>
    <row r="5" spans="1:12" ht="15.75" thickBot="1" x14ac:dyDescent="0.3">
      <c r="A5" s="3218" t="s">
        <v>1259</v>
      </c>
      <c r="B5" s="3219"/>
      <c r="C5" s="3219"/>
      <c r="D5" s="3219"/>
      <c r="E5" s="3219"/>
      <c r="F5" s="3219"/>
      <c r="G5" s="3219"/>
      <c r="H5" s="3219"/>
      <c r="I5" s="3219"/>
      <c r="J5" s="3219"/>
      <c r="K5" s="3219"/>
      <c r="L5" s="3220"/>
    </row>
    <row r="6" spans="1:12" ht="18.75" thickBot="1" x14ac:dyDescent="0.3">
      <c r="A6" s="1982" t="s">
        <v>1137</v>
      </c>
      <c r="B6" s="1983" t="s">
        <v>1878</v>
      </c>
      <c r="C6" s="1983" t="s">
        <v>1879</v>
      </c>
      <c r="D6" s="1983" t="s">
        <v>1877</v>
      </c>
      <c r="E6" s="1983" t="s">
        <v>1880</v>
      </c>
      <c r="F6" s="1983" t="s">
        <v>1881</v>
      </c>
      <c r="G6" s="1983" t="s">
        <v>1882</v>
      </c>
      <c r="H6" s="1983" t="s">
        <v>1883</v>
      </c>
      <c r="I6" s="1983" t="s">
        <v>1884</v>
      </c>
      <c r="J6" s="1983" t="s">
        <v>1885</v>
      </c>
      <c r="K6" s="1980" t="s">
        <v>1886</v>
      </c>
      <c r="L6" s="2007" t="s">
        <v>1839</v>
      </c>
    </row>
    <row r="7" spans="1:12" x14ac:dyDescent="0.25">
      <c r="A7" s="1984" t="s">
        <v>1506</v>
      </c>
      <c r="B7" s="1985">
        <f>'Total AD Emission'!B6</f>
        <v>0</v>
      </c>
      <c r="C7" s="1985">
        <f>'Total AD Emission'!C6</f>
        <v>0</v>
      </c>
      <c r="D7" s="1985">
        <f>'Total AD Emission'!D6</f>
        <v>0</v>
      </c>
      <c r="E7" s="1985">
        <f>'Total AD Emission'!E6</f>
        <v>0</v>
      </c>
      <c r="F7" s="1985">
        <f>'Total AD Emission'!F6</f>
        <v>0</v>
      </c>
      <c r="G7" s="1985">
        <f>'Total AD Emission'!G6</f>
        <v>0</v>
      </c>
      <c r="H7" s="1985">
        <f>'Total AD Emission'!H6</f>
        <v>0</v>
      </c>
      <c r="I7" s="1985">
        <f>'Total AD Emission'!I6</f>
        <v>0</v>
      </c>
      <c r="J7" s="1985">
        <f>'Total AD Emission'!J6</f>
        <v>0</v>
      </c>
      <c r="K7" s="1985" t="s">
        <v>897</v>
      </c>
      <c r="L7" s="1965">
        <f>'Emission-Waste Transport Vehicl'!$AA$33</f>
        <v>0</v>
      </c>
    </row>
    <row r="8" spans="1:12" x14ac:dyDescent="0.25">
      <c r="A8" s="1554" t="s">
        <v>1821</v>
      </c>
      <c r="B8" s="1551">
        <f>'Total AD Emission'!B7</f>
        <v>0</v>
      </c>
      <c r="C8" s="1551">
        <f>'Total AD Emission'!C7</f>
        <v>0</v>
      </c>
      <c r="D8" s="1551">
        <f>'Total AD Emission'!D7</f>
        <v>0</v>
      </c>
      <c r="E8" s="1551">
        <f>'Total AD Emission'!E7</f>
        <v>0</v>
      </c>
      <c r="F8" s="1551">
        <f>'Total AD Emission'!F7</f>
        <v>0</v>
      </c>
      <c r="G8" s="1551">
        <f>'Total AD Emission'!G7</f>
        <v>0</v>
      </c>
      <c r="H8" s="1551">
        <f>'Total AD Emission'!H7</f>
        <v>0</v>
      </c>
      <c r="I8" s="1551">
        <f>'Total AD Emission'!I7</f>
        <v>0</v>
      </c>
      <c r="J8" s="1551">
        <f>'Total AD Emission'!J7</f>
        <v>0</v>
      </c>
      <c r="K8" s="1551" t="s">
        <v>897</v>
      </c>
      <c r="L8" s="1887">
        <f>'Emission-Waste Transport Vehicl'!$AA$84</f>
        <v>0</v>
      </c>
    </row>
    <row r="9" spans="1:12" x14ac:dyDescent="0.25">
      <c r="A9" s="1554" t="s">
        <v>1508</v>
      </c>
      <c r="B9" s="1551">
        <f>'Total AD Emission'!B8</f>
        <v>0</v>
      </c>
      <c r="C9" s="1551">
        <f>'Total AD Emission'!C8</f>
        <v>0</v>
      </c>
      <c r="D9" s="1551">
        <f>'Total AD Emission'!D8</f>
        <v>0</v>
      </c>
      <c r="E9" s="1551">
        <f>'Total AD Emission'!E8</f>
        <v>0</v>
      </c>
      <c r="F9" s="1551">
        <f>'Total AD Emission'!F8</f>
        <v>0</v>
      </c>
      <c r="G9" s="1551">
        <f>'Total AD Emission'!G8</f>
        <v>0</v>
      </c>
      <c r="H9" s="1551">
        <f>'Total AD Emission'!H8</f>
        <v>0</v>
      </c>
      <c r="I9" s="1551">
        <f>'Total AD Emission'!I8</f>
        <v>0</v>
      </c>
      <c r="J9" s="1551">
        <f>'Total AD Emission'!J8</f>
        <v>0</v>
      </c>
      <c r="K9" s="1551" t="s">
        <v>897</v>
      </c>
      <c r="L9" s="1887">
        <f>'Emission-Waste Transport Vehicl'!$AA$135</f>
        <v>0</v>
      </c>
    </row>
    <row r="10" spans="1:12" ht="15" customHeight="1" x14ac:dyDescent="0.25">
      <c r="A10" s="1554" t="s">
        <v>1509</v>
      </c>
      <c r="B10" s="1551">
        <f>'Total AD Emission'!B9</f>
        <v>0</v>
      </c>
      <c r="C10" s="1551">
        <f>'Total AD Emission'!C9</f>
        <v>0</v>
      </c>
      <c r="D10" s="1551">
        <f>'Total AD Emission'!D9</f>
        <v>0</v>
      </c>
      <c r="E10" s="1551">
        <f>'Total AD Emission'!E9</f>
        <v>0</v>
      </c>
      <c r="F10" s="1551">
        <f>'Total AD Emission'!F9</f>
        <v>0</v>
      </c>
      <c r="G10" s="1551">
        <f>'Total AD Emission'!G9</f>
        <v>0</v>
      </c>
      <c r="H10" s="1551">
        <f>'Total AD Emission'!H9</f>
        <v>0</v>
      </c>
      <c r="I10" s="1551">
        <f>'Total AD Emission'!I9</f>
        <v>0</v>
      </c>
      <c r="J10" s="1551">
        <f>'Total AD Emission'!J9</f>
        <v>0</v>
      </c>
      <c r="K10" s="1551" t="s">
        <v>897</v>
      </c>
      <c r="L10" s="1887">
        <f>'Emission-Waste Transport Vehicl'!$AA$186</f>
        <v>0</v>
      </c>
    </row>
    <row r="11" spans="1:12" ht="15" customHeight="1" thickBot="1" x14ac:dyDescent="0.3">
      <c r="A11" s="1986" t="s">
        <v>1510</v>
      </c>
      <c r="B11" s="1987">
        <f>'Total AD Emission'!B10</f>
        <v>0</v>
      </c>
      <c r="C11" s="1987">
        <f>'Total AD Emission'!C10</f>
        <v>0</v>
      </c>
      <c r="D11" s="1987">
        <f>'Total AD Emission'!D10</f>
        <v>0</v>
      </c>
      <c r="E11" s="1987">
        <f>'Total AD Emission'!E10</f>
        <v>0</v>
      </c>
      <c r="F11" s="1987">
        <f>'Total AD Emission'!F10</f>
        <v>0</v>
      </c>
      <c r="G11" s="1987">
        <f>'Total AD Emission'!G10</f>
        <v>0</v>
      </c>
      <c r="H11" s="1987">
        <f>'Total AD Emission'!H10</f>
        <v>0</v>
      </c>
      <c r="I11" s="1987">
        <f>'Total AD Emission'!I10</f>
        <v>0</v>
      </c>
      <c r="J11" s="1987">
        <f>'Total AD Emission'!J10</f>
        <v>0</v>
      </c>
      <c r="K11" s="1987" t="s">
        <v>897</v>
      </c>
      <c r="L11" s="1888">
        <f>'Emission-Waste Transport Vehicl'!$AA$237</f>
        <v>0</v>
      </c>
    </row>
    <row r="12" spans="1:12" ht="15" customHeight="1" x14ac:dyDescent="0.25">
      <c r="A12" s="2003" t="s">
        <v>1511</v>
      </c>
      <c r="B12" s="2008">
        <f>'Total AD Emission'!B12</f>
        <v>0</v>
      </c>
      <c r="C12" s="2008" t="str">
        <f>'Total AD Emission'!C12</f>
        <v>NA</v>
      </c>
      <c r="D12" s="2008">
        <f>'Total AD Emission'!D12</f>
        <v>0</v>
      </c>
      <c r="E12" s="2008">
        <f>'Total AD Emission'!E12</f>
        <v>0</v>
      </c>
      <c r="F12" s="2008">
        <f>'Total AD Emission'!F12</f>
        <v>0</v>
      </c>
      <c r="G12" s="2008">
        <f>'Total AD Emission'!G12</f>
        <v>0</v>
      </c>
      <c r="H12" s="2008" t="str">
        <f>'Total AD Emission'!H12</f>
        <v>NA</v>
      </c>
      <c r="I12" s="2008">
        <f>'Total AD Emission'!I12</f>
        <v>0</v>
      </c>
      <c r="J12" s="2008" t="str">
        <f>'Total AD Emission'!J12</f>
        <v>NA</v>
      </c>
      <c r="K12" s="2008" t="s">
        <v>897</v>
      </c>
      <c r="L12" s="1977">
        <f>'Emission-Preprocessing'!$R$25</f>
        <v>0</v>
      </c>
    </row>
    <row r="13" spans="1:12" ht="15" customHeight="1" x14ac:dyDescent="0.25">
      <c r="A13" s="1554" t="s">
        <v>1512</v>
      </c>
      <c r="B13" s="1551">
        <f>'Total AD Emission'!B13</f>
        <v>94.562695094906573</v>
      </c>
      <c r="C13" s="1551">
        <f>'Total AD Emission'!C13</f>
        <v>826.11826880458273</v>
      </c>
      <c r="D13" s="1551">
        <f>'Total AD Emission'!D13</f>
        <v>666.57997953403481</v>
      </c>
      <c r="E13" s="3207">
        <f>'Total AD Emission'!E13</f>
        <v>129.9511883512827</v>
      </c>
      <c r="F13" s="3208"/>
      <c r="G13" s="1551">
        <f>'Total AD Emission'!G13</f>
        <v>90.501720458929015</v>
      </c>
      <c r="H13" s="1551" t="str">
        <f>'Total AD Emission'!H13</f>
        <v>NA</v>
      </c>
      <c r="I13" s="1551" t="str">
        <f>'Total AD Emission'!I13</f>
        <v>NA</v>
      </c>
      <c r="J13" s="1551" t="str">
        <f>'Total AD Emission'!J13</f>
        <v>NA</v>
      </c>
      <c r="K13" s="1551" t="s">
        <v>897</v>
      </c>
      <c r="L13" s="1887">
        <f>'Emission-Preprocessing'!$R$79</f>
        <v>574893.38480307162</v>
      </c>
    </row>
    <row r="14" spans="1:12" ht="15" customHeight="1" thickBot="1" x14ac:dyDescent="0.3">
      <c r="A14" s="1986" t="s">
        <v>1513</v>
      </c>
      <c r="B14" s="1987" t="s">
        <v>897</v>
      </c>
      <c r="C14" s="1987" t="s">
        <v>897</v>
      </c>
      <c r="D14" s="1987" t="s">
        <v>897</v>
      </c>
      <c r="E14" s="1987" t="s">
        <v>897</v>
      </c>
      <c r="F14" s="1987" t="s">
        <v>897</v>
      </c>
      <c r="G14" s="1987" t="s">
        <v>897</v>
      </c>
      <c r="H14" s="1987" t="s">
        <v>897</v>
      </c>
      <c r="I14" s="1987" t="s">
        <v>897</v>
      </c>
      <c r="J14" s="1987" t="s">
        <v>897</v>
      </c>
      <c r="K14" s="1987">
        <f>'Total AD Emission'!B15</f>
        <v>216009556.90647194</v>
      </c>
      <c r="L14" s="1888">
        <f>'Emission-Preprocessing'!$C$184</f>
        <v>1203980891.7023211</v>
      </c>
    </row>
    <row r="15" spans="1:12" ht="15" customHeight="1" x14ac:dyDescent="0.25">
      <c r="A15" s="1984" t="s">
        <v>1514</v>
      </c>
      <c r="B15" s="1985" t="str">
        <f>'Total AD Emission'!B17</f>
        <v>NA</v>
      </c>
      <c r="C15" s="1985" t="str">
        <f>'Total AD Emission'!C17</f>
        <v>NA</v>
      </c>
      <c r="D15" s="1985" t="str">
        <f>'Total AD Emission'!D17</f>
        <v>NA</v>
      </c>
      <c r="E15" s="3209" t="str">
        <f>'Total AD Emission'!E17</f>
        <v>NA</v>
      </c>
      <c r="F15" s="3210"/>
      <c r="G15" s="1985" t="str">
        <f>'Total AD Emission'!G17</f>
        <v>NA</v>
      </c>
      <c r="H15" s="1985" t="str">
        <f>'Total AD Emission'!H17</f>
        <v>NA</v>
      </c>
      <c r="I15" s="1985" t="str">
        <f>'Total AD Emission'!I17</f>
        <v>NA</v>
      </c>
      <c r="J15" s="1985" t="str">
        <f>'Total AD Emission'!J17</f>
        <v>NA</v>
      </c>
      <c r="K15" s="1985" t="s">
        <v>897</v>
      </c>
      <c r="L15" s="1965">
        <f>'Emission-AD '!$R$18</f>
        <v>542097.49268919672</v>
      </c>
    </row>
    <row r="16" spans="1:12" ht="15" customHeight="1" x14ac:dyDescent="0.25">
      <c r="A16" s="1554" t="s">
        <v>1515</v>
      </c>
      <c r="B16" s="1551" t="str">
        <f>'Total AD Emission'!B18</f>
        <v>NA</v>
      </c>
      <c r="C16" s="1551" t="str">
        <f>'Total AD Emission'!C18</f>
        <v>NA</v>
      </c>
      <c r="D16" s="1551" t="str">
        <f>'Total AD Emission'!D18</f>
        <v>NA</v>
      </c>
      <c r="E16" s="3207" t="str">
        <f>'Total AD Emission'!E18</f>
        <v>NA</v>
      </c>
      <c r="F16" s="3208"/>
      <c r="G16" s="1551" t="str">
        <f>'Total AD Emission'!G18</f>
        <v>NA</v>
      </c>
      <c r="H16" s="1551" t="str">
        <f>'Total AD Emission'!H18</f>
        <v>NA</v>
      </c>
      <c r="I16" s="1551" t="str">
        <f>'Total AD Emission'!I18</f>
        <v>NA</v>
      </c>
      <c r="J16" s="1551" t="str">
        <f>'Total AD Emission'!J18</f>
        <v>NA</v>
      </c>
      <c r="K16" s="1551" t="s">
        <v>897</v>
      </c>
      <c r="L16" s="1988">
        <f>'Emission-AD '!$R$69</f>
        <v>23562564.221256316</v>
      </c>
    </row>
    <row r="17" spans="1:12" ht="15" customHeight="1" x14ac:dyDescent="0.25">
      <c r="A17" s="1554" t="s">
        <v>1516</v>
      </c>
      <c r="B17" s="1551" t="str">
        <f>'Total AD Emission'!B19</f>
        <v>NA</v>
      </c>
      <c r="C17" s="1551" t="str">
        <f>'Total AD Emission'!C19</f>
        <v>NA</v>
      </c>
      <c r="D17" s="1551" t="str">
        <f>'Total AD Emission'!D19</f>
        <v>NA</v>
      </c>
      <c r="E17" s="3207" t="str">
        <f>'Total AD Emission'!E19</f>
        <v>NA</v>
      </c>
      <c r="F17" s="3208"/>
      <c r="G17" s="1551" t="str">
        <f>'Total AD Emission'!G19</f>
        <v>NA</v>
      </c>
      <c r="H17" s="1551" t="str">
        <f>'Total AD Emission'!H19</f>
        <v>NA</v>
      </c>
      <c r="I17" s="1551" t="str">
        <f>'Total AD Emission'!I19</f>
        <v>NA</v>
      </c>
      <c r="J17" s="1551" t="str">
        <f>'Total AD Emission'!J19</f>
        <v>NA</v>
      </c>
      <c r="K17" s="1551" t="s">
        <v>897</v>
      </c>
      <c r="L17" s="1887">
        <f>'Emission-AD '!$R$120</f>
        <v>23562564.221256316</v>
      </c>
    </row>
    <row r="18" spans="1:12" ht="15" customHeight="1" thickBot="1" x14ac:dyDescent="0.3">
      <c r="A18" s="1986" t="s">
        <v>1517</v>
      </c>
      <c r="B18" s="1987" t="str">
        <f>'Total AD Emission'!B20</f>
        <v>NA</v>
      </c>
      <c r="C18" s="1987" t="str">
        <f>'Total AD Emission'!C20</f>
        <v>NA</v>
      </c>
      <c r="D18" s="1987" t="str">
        <f>'Total AD Emission'!D20</f>
        <v>NA</v>
      </c>
      <c r="E18" s="3211" t="str">
        <f>'Total AD Emission'!E20</f>
        <v>NA</v>
      </c>
      <c r="F18" s="3212"/>
      <c r="G18" s="1987" t="str">
        <f>'Total AD Emission'!G20</f>
        <v>NA</v>
      </c>
      <c r="H18" s="1987" t="str">
        <f>'Total AD Emission'!H20</f>
        <v>NA</v>
      </c>
      <c r="I18" s="1987" t="str">
        <f>'Total AD Emission'!I20</f>
        <v>NA</v>
      </c>
      <c r="J18" s="1987" t="str">
        <f>'Total AD Emission'!J20</f>
        <v>NA</v>
      </c>
      <c r="K18" s="1987" t="s">
        <v>897</v>
      </c>
      <c r="L18" s="1888">
        <f>'Emission-AD '!$R$171</f>
        <v>41234514.554075576</v>
      </c>
    </row>
    <row r="19" spans="1:12" ht="15" customHeight="1" x14ac:dyDescent="0.25">
      <c r="A19" s="1984" t="str">
        <f>'Total AD Emission'!A4</f>
        <v>Direct Emission (Solid-Liquid Separation)</v>
      </c>
      <c r="B19" s="1985" t="str">
        <f>'Total AD Emission'!B4</f>
        <v>NA</v>
      </c>
      <c r="C19" s="1985" t="str">
        <f>'Total AD Emission'!C4</f>
        <v>NA</v>
      </c>
      <c r="D19" s="1985" t="str">
        <f>'Total AD Emission'!D4</f>
        <v>NA</v>
      </c>
      <c r="E19" s="1985" t="str">
        <f>'Total AD Emission'!E4</f>
        <v>NA</v>
      </c>
      <c r="F19" s="1985" t="str">
        <f>'Total AD Emission'!F4</f>
        <v>NA</v>
      </c>
      <c r="G19" s="1985" t="str">
        <f>'Total AD Emission'!G4</f>
        <v>NA</v>
      </c>
      <c r="H19" s="1985" t="str">
        <f>'Total AD Emission'!H4</f>
        <v>NA</v>
      </c>
      <c r="I19" s="1985">
        <f>'Total AD Emission'!I4</f>
        <v>347868.7490257583</v>
      </c>
      <c r="J19" s="1985" t="str">
        <f>'Total AD Emission'!J4</f>
        <v>NA</v>
      </c>
      <c r="K19" s="1985" t="s">
        <v>897</v>
      </c>
      <c r="L19" s="1965">
        <f>'Emission-Solid-liquid Residual'!$C$276</f>
        <v>1938929.6133260797</v>
      </c>
    </row>
    <row r="20" spans="1:12" ht="15" customHeight="1" x14ac:dyDescent="0.25">
      <c r="A20" s="1554" t="s">
        <v>1822</v>
      </c>
      <c r="B20" s="1551">
        <f>'Total AD Emission'!B22</f>
        <v>1.2254467295225575</v>
      </c>
      <c r="C20" s="1551" t="str">
        <f>'Total AD Emission'!C22</f>
        <v>NA</v>
      </c>
      <c r="D20" s="1551">
        <f>'Total AD Emission'!D22</f>
        <v>4.5802718621724834</v>
      </c>
      <c r="E20" s="3207">
        <f>'Total AD Emission'!E22</f>
        <v>0.32942116385014986</v>
      </c>
      <c r="F20" s="3208"/>
      <c r="G20" s="1551">
        <f>'Total AD Emission'!G22</f>
        <v>20.727179629451427</v>
      </c>
      <c r="H20" s="1551" t="str">
        <f>'Total AD Emission'!H22</f>
        <v>NA</v>
      </c>
      <c r="I20" s="1551">
        <f>'Total AD Emission'!I22</f>
        <v>220.05333745190012</v>
      </c>
      <c r="J20" s="1551" t="str">
        <f>'Total AD Emission'!J22</f>
        <v>NA</v>
      </c>
      <c r="K20" s="1551" t="s">
        <v>897</v>
      </c>
      <c r="L20" s="1887">
        <f>'Emission-Solid-liquid Residual'!$R$62</f>
        <v>13791.525362338803</v>
      </c>
    </row>
    <row r="21" spans="1:12" ht="15" customHeight="1" x14ac:dyDescent="0.25">
      <c r="A21" s="1554" t="str">
        <f>'Total AD Emission'!A24</f>
        <v>Storage of Digestate</v>
      </c>
      <c r="B21" s="1551" t="s">
        <v>897</v>
      </c>
      <c r="C21" s="1551" t="s">
        <v>897</v>
      </c>
      <c r="D21" s="1551" t="s">
        <v>897</v>
      </c>
      <c r="E21" s="1551" t="s">
        <v>897</v>
      </c>
      <c r="F21" s="1551" t="s">
        <v>897</v>
      </c>
      <c r="G21" s="1551" t="s">
        <v>897</v>
      </c>
      <c r="H21" s="1551" t="s">
        <v>897</v>
      </c>
      <c r="I21" s="1551" t="s">
        <v>897</v>
      </c>
      <c r="J21" s="1551" t="s">
        <v>897</v>
      </c>
      <c r="K21" s="1551">
        <f>'Total AD Emission'!B24</f>
        <v>804368.46244545502</v>
      </c>
      <c r="L21" s="1887">
        <f>'Emission-Solid-liquid Residual'!$C$167</f>
        <v>3535199.3924477734</v>
      </c>
    </row>
    <row r="22" spans="1:12" ht="15" customHeight="1" x14ac:dyDescent="0.25">
      <c r="A22" s="1554" t="str">
        <f>'Total AD Emission'!A25</f>
        <v>Digestate use as fertilizer</v>
      </c>
      <c r="B22" s="1551" t="s">
        <v>897</v>
      </c>
      <c r="C22" s="1551" t="s">
        <v>897</v>
      </c>
      <c r="D22" s="1551" t="s">
        <v>897</v>
      </c>
      <c r="E22" s="1551" t="s">
        <v>897</v>
      </c>
      <c r="F22" s="1551" t="s">
        <v>897</v>
      </c>
      <c r="G22" s="1551" t="s">
        <v>897</v>
      </c>
      <c r="H22" s="1551" t="s">
        <v>897</v>
      </c>
      <c r="I22" s="1551" t="s">
        <v>897</v>
      </c>
      <c r="J22" s="1551" t="s">
        <v>897</v>
      </c>
      <c r="K22" s="1551">
        <f>'Total AD Emission'!B25</f>
        <v>-64604.196247640823</v>
      </c>
      <c r="L22" s="1887">
        <f>'Emission-Solid-liquid Residual'!$D$167</f>
        <v>-283935.4425083815</v>
      </c>
    </row>
    <row r="23" spans="1:12" ht="15" customHeight="1" x14ac:dyDescent="0.25">
      <c r="A23" s="1554" t="s">
        <v>1823</v>
      </c>
      <c r="B23" s="1551">
        <f>'Total AD Emission'!B27</f>
        <v>5.0593443547431317E-2</v>
      </c>
      <c r="C23" s="1551">
        <f>'Total AD Emission'!C27</f>
        <v>0</v>
      </c>
      <c r="D23" s="1551">
        <f>'Total AD Emission'!D27</f>
        <v>0.18909979545254973</v>
      </c>
      <c r="E23" s="1551">
        <f>'Total AD Emission'!E27</f>
        <v>1.3600388050384762E-2</v>
      </c>
      <c r="F23" s="1551">
        <f>'Total AD Emission'!F27</f>
        <v>0</v>
      </c>
      <c r="G23" s="1551">
        <f>'Total AD Emission'!G27</f>
        <v>0.85573641613020923</v>
      </c>
      <c r="H23" s="1551" t="str">
        <f>'Total AD Emission'!H27</f>
        <v>NA</v>
      </c>
      <c r="I23" s="1551">
        <f>'Total AD Emission'!I27</f>
        <v>9.0850592176570188</v>
      </c>
      <c r="J23" s="1551" t="str">
        <f>'Total AD Emission'!J27</f>
        <v>NA</v>
      </c>
      <c r="K23" s="1551" t="s">
        <v>897</v>
      </c>
      <c r="L23" s="1887">
        <f>'Emission-Solid-liquid Residual'!$R$171</f>
        <v>569.39297567370227</v>
      </c>
    </row>
    <row r="24" spans="1:12" ht="15" customHeight="1" thickBot="1" x14ac:dyDescent="0.3">
      <c r="A24" s="1986" t="s">
        <v>1479</v>
      </c>
      <c r="B24" s="1987" t="str">
        <f>'Total AD Emission'!B56</f>
        <v>NA</v>
      </c>
      <c r="C24" s="1987" t="str">
        <f>'Total AD Emission'!C56</f>
        <v>NA</v>
      </c>
      <c r="D24" s="1987" t="str">
        <f>'Total AD Emission'!D56</f>
        <v>NA</v>
      </c>
      <c r="E24" s="1987" t="str">
        <f>'Total AD Emission'!E56</f>
        <v>NA</v>
      </c>
      <c r="F24" s="1987" t="str">
        <f>'Total AD Emission'!F56</f>
        <v>NA</v>
      </c>
      <c r="G24" s="1987" t="str">
        <f>'Total AD Emission'!G56</f>
        <v>NA</v>
      </c>
      <c r="H24" s="1987" t="str">
        <f>'Total AD Emission'!H56</f>
        <v>NA</v>
      </c>
      <c r="I24" s="1987">
        <f>'Total AD Emission'!I56</f>
        <v>205615.27844201072</v>
      </c>
      <c r="J24" s="1987" t="str">
        <f>'Total AD Emission'!J56</f>
        <v>NA</v>
      </c>
      <c r="K24" s="1987" t="s">
        <v>897</v>
      </c>
      <c r="L24" s="1888">
        <f>'Emission-Solid-liquid Residual'!$G$280</f>
        <v>1146045.8964480951</v>
      </c>
    </row>
    <row r="25" spans="1:12" s="230" customFormat="1" ht="15" customHeight="1" thickBot="1" x14ac:dyDescent="0.3">
      <c r="A25" s="1993" t="s">
        <v>1825</v>
      </c>
      <c r="B25" s="1994">
        <f>SUM(B19:B24)</f>
        <v>1.2760401730699888</v>
      </c>
      <c r="C25" s="1994">
        <f>SUM(C19:C24)</f>
        <v>0</v>
      </c>
      <c r="D25" s="1994">
        <f t="shared" ref="D25:L25" si="0">SUM(D19:D24)</f>
        <v>4.7693716576250331</v>
      </c>
      <c r="E25" s="1994">
        <f t="shared" si="0"/>
        <v>0.34302155190053463</v>
      </c>
      <c r="F25" s="1994">
        <f t="shared" si="0"/>
        <v>0</v>
      </c>
      <c r="G25" s="1994">
        <f t="shared" si="0"/>
        <v>21.582916045581637</v>
      </c>
      <c r="H25" s="1994">
        <f t="shared" si="0"/>
        <v>0</v>
      </c>
      <c r="I25" s="1994">
        <f t="shared" si="0"/>
        <v>553713.16586443852</v>
      </c>
      <c r="J25" s="1994">
        <f t="shared" si="0"/>
        <v>0</v>
      </c>
      <c r="K25" s="1994">
        <f t="shared" si="0"/>
        <v>739764.26619781414</v>
      </c>
      <c r="L25" s="1319">
        <f t="shared" si="0"/>
        <v>6350600.3780515799</v>
      </c>
    </row>
    <row r="26" spans="1:12" ht="15" customHeight="1" thickBot="1" x14ac:dyDescent="0.3">
      <c r="A26" s="1989" t="s">
        <v>1518</v>
      </c>
      <c r="B26" s="1990">
        <f>'Total AD Emission'!B29</f>
        <v>17.720059732015535</v>
      </c>
      <c r="C26" s="1990">
        <f>'Total AD Emission'!C29</f>
        <v>0</v>
      </c>
      <c r="D26" s="1990">
        <f>'Total AD Emission'!D29</f>
        <v>66.231104976866661</v>
      </c>
      <c r="E26" s="3213">
        <f>'Total AD Emission'!E29</f>
        <v>4.7634569172084777</v>
      </c>
      <c r="F26" s="3214"/>
      <c r="G26" s="1990">
        <f>'Total AD Emission'!G29</f>
        <v>299.71670923075737</v>
      </c>
      <c r="H26" s="1990" t="str">
        <f>'Total AD Emission'!H29</f>
        <v>NA</v>
      </c>
      <c r="I26" s="1990">
        <f>'Total AD Emission'!I29</f>
        <v>3181.9892206952627</v>
      </c>
      <c r="J26" s="1990" t="str">
        <f>'Total AD Emission'!J29</f>
        <v>NA</v>
      </c>
      <c r="K26" s="1990" t="s">
        <v>897</v>
      </c>
      <c r="L26" s="1991">
        <f>'Emission-Impurities'!$R$14</f>
        <v>199426.58242799796</v>
      </c>
    </row>
    <row r="27" spans="1:12" ht="15" customHeight="1" thickBot="1" x14ac:dyDescent="0.3">
      <c r="A27" s="3233" t="s">
        <v>1523</v>
      </c>
      <c r="B27" s="3234"/>
      <c r="C27" s="3234"/>
      <c r="D27" s="3234"/>
      <c r="E27" s="3234"/>
      <c r="F27" s="3234"/>
      <c r="G27" s="3234"/>
      <c r="H27" s="3234"/>
      <c r="I27" s="3234"/>
      <c r="J27" s="3234"/>
      <c r="K27" s="3234"/>
      <c r="L27" s="3235"/>
    </row>
    <row r="28" spans="1:12" ht="18" customHeight="1" thickBot="1" x14ac:dyDescent="0.3">
      <c r="A28" s="2002" t="s">
        <v>1137</v>
      </c>
      <c r="B28" s="1983" t="s">
        <v>1878</v>
      </c>
      <c r="C28" s="1983" t="s">
        <v>1879</v>
      </c>
      <c r="D28" s="1983" t="s">
        <v>1877</v>
      </c>
      <c r="E28" s="1983" t="s">
        <v>1880</v>
      </c>
      <c r="F28" s="1983" t="s">
        <v>1881</v>
      </c>
      <c r="G28" s="1983" t="s">
        <v>1882</v>
      </c>
      <c r="H28" s="1983" t="s">
        <v>1883</v>
      </c>
      <c r="I28" s="1983" t="s">
        <v>1884</v>
      </c>
      <c r="J28" s="1983" t="s">
        <v>1885</v>
      </c>
      <c r="K28" s="1980" t="s">
        <v>1886</v>
      </c>
      <c r="L28" s="2007" t="s">
        <v>1887</v>
      </c>
    </row>
    <row r="29" spans="1:12" ht="15" customHeight="1" thickBot="1" x14ac:dyDescent="0.3">
      <c r="A29" s="2173" t="s">
        <v>1120</v>
      </c>
      <c r="B29" s="2174" t="str">
        <f>'Total Emission_Landfill'!B4</f>
        <v>NA</v>
      </c>
      <c r="C29" s="2174" t="str">
        <f>'Total Emission_Landfill'!C4</f>
        <v>NA</v>
      </c>
      <c r="D29" s="2174" t="str">
        <f>'Total Emission_Landfill'!D4</f>
        <v>NA</v>
      </c>
      <c r="E29" s="2174" t="str">
        <f>'Total Emission_Landfill'!E4</f>
        <v>NA</v>
      </c>
      <c r="F29" s="2174" t="str">
        <f>'Total Emission_Landfill'!F4</f>
        <v>NA</v>
      </c>
      <c r="G29" s="2174" t="str">
        <f>'Total Emission_Landfill'!G4</f>
        <v>NA</v>
      </c>
      <c r="H29" s="2174">
        <f>'Total Emission_Landfill'!H4</f>
        <v>9070050.0205338802</v>
      </c>
      <c r="I29" s="2174">
        <f>'Total Emission_Landfill'!I4</f>
        <v>5238240.9137577005</v>
      </c>
      <c r="J29" s="2174">
        <f>'Total Emission_Landfill'!J4</f>
        <v>28702.689938398358</v>
      </c>
      <c r="K29" s="2174" t="s">
        <v>897</v>
      </c>
      <c r="L29" s="2175">
        <f>'Emission-Landfilling'!$I$22</f>
        <v>79910660.506121904</v>
      </c>
    </row>
    <row r="30" spans="1:12" ht="15" customHeight="1" x14ac:dyDescent="0.25">
      <c r="A30" s="1984" t="s">
        <v>1506</v>
      </c>
      <c r="B30" s="2057">
        <f>'Emission-Waste Transport Vehicl'!L15</f>
        <v>0</v>
      </c>
      <c r="C30" s="2057">
        <f>'Emission-Waste Transport Vehicl'!M15</f>
        <v>0</v>
      </c>
      <c r="D30" s="2057">
        <f>'Emission-Waste Transport Vehicl'!N15</f>
        <v>0</v>
      </c>
      <c r="E30" s="2057">
        <f>'Emission-Waste Transport Vehicl'!O15</f>
        <v>0</v>
      </c>
      <c r="F30" s="2057">
        <f>'Emission-Waste Transport Vehicl'!P15</f>
        <v>0</v>
      </c>
      <c r="G30" s="2057">
        <f>'Emission-Waste Transport Vehicl'!Q15</f>
        <v>0</v>
      </c>
      <c r="H30" s="2057">
        <f>'Emission-Waste Transport Vehicl'!R15</f>
        <v>0</v>
      </c>
      <c r="I30" s="2057">
        <f>'Emission-Waste Transport Vehicl'!S15</f>
        <v>0</v>
      </c>
      <c r="J30" s="2057">
        <f>'Emission-Waste Transport Vehicl'!T15</f>
        <v>0</v>
      </c>
      <c r="K30" s="2057">
        <f>'Emission-Waste Transport Vehicl'!U15</f>
        <v>0</v>
      </c>
      <c r="L30" s="1965">
        <f>'Emission-Waste Transport Vehicl'!$AA$291</f>
        <v>0</v>
      </c>
    </row>
    <row r="31" spans="1:12" ht="15" customHeight="1" x14ac:dyDescent="0.25">
      <c r="A31" s="1554" t="s">
        <v>1507</v>
      </c>
      <c r="B31" s="2058">
        <f>'Emission-Waste Transport Vehicl'!L16</f>
        <v>0</v>
      </c>
      <c r="C31" s="2058">
        <f>'Emission-Waste Transport Vehicl'!M16</f>
        <v>0</v>
      </c>
      <c r="D31" s="2058">
        <f>'Emission-Waste Transport Vehicl'!N16</f>
        <v>0</v>
      </c>
      <c r="E31" s="2058">
        <f>'Emission-Waste Transport Vehicl'!O16</f>
        <v>0</v>
      </c>
      <c r="F31" s="2058">
        <f>'Emission-Waste Transport Vehicl'!P16</f>
        <v>0</v>
      </c>
      <c r="G31" s="2058">
        <f>'Emission-Waste Transport Vehicl'!Q16</f>
        <v>0</v>
      </c>
      <c r="H31" s="2058">
        <f>'Emission-Waste Transport Vehicl'!R16</f>
        <v>0</v>
      </c>
      <c r="I31" s="2058">
        <f>'Emission-Waste Transport Vehicl'!S16</f>
        <v>0</v>
      </c>
      <c r="J31" s="2058">
        <f>'Emission-Waste Transport Vehicl'!T16</f>
        <v>0</v>
      </c>
      <c r="K31" s="2058">
        <f>'Emission-Waste Transport Vehicl'!U16</f>
        <v>0</v>
      </c>
      <c r="L31" s="1887">
        <f>'Emission-Waste Transport Vehicl'!$AA$342</f>
        <v>0</v>
      </c>
    </row>
    <row r="32" spans="1:12" ht="15" customHeight="1" x14ac:dyDescent="0.25">
      <c r="A32" s="1554" t="s">
        <v>1508</v>
      </c>
      <c r="B32" s="2058">
        <f>'Emission-Waste Transport Vehicl'!L17</f>
        <v>0</v>
      </c>
      <c r="C32" s="2058">
        <f>'Emission-Waste Transport Vehicl'!M17</f>
        <v>0</v>
      </c>
      <c r="D32" s="2058">
        <f>'Emission-Waste Transport Vehicl'!N17</f>
        <v>0</v>
      </c>
      <c r="E32" s="2058">
        <f>'Emission-Waste Transport Vehicl'!O17</f>
        <v>0</v>
      </c>
      <c r="F32" s="2058">
        <f>'Emission-Waste Transport Vehicl'!P17</f>
        <v>0</v>
      </c>
      <c r="G32" s="2058">
        <f>'Emission-Waste Transport Vehicl'!Q17</f>
        <v>0</v>
      </c>
      <c r="H32" s="2058">
        <f>'Emission-Waste Transport Vehicl'!R17</f>
        <v>0</v>
      </c>
      <c r="I32" s="2058">
        <f>'Emission-Waste Transport Vehicl'!S17</f>
        <v>0</v>
      </c>
      <c r="J32" s="2058">
        <f>'Emission-Waste Transport Vehicl'!T17</f>
        <v>0</v>
      </c>
      <c r="K32" s="2058">
        <f>'Emission-Waste Transport Vehicl'!U17</f>
        <v>0</v>
      </c>
      <c r="L32" s="1887">
        <f>'Emission-Waste Transport Vehicl'!$AA$393</f>
        <v>0</v>
      </c>
    </row>
    <row r="33" spans="1:12" ht="15" customHeight="1" x14ac:dyDescent="0.25">
      <c r="A33" s="1554" t="s">
        <v>1509</v>
      </c>
      <c r="B33" s="2058">
        <f>'Emission-Waste Transport Vehicl'!L18</f>
        <v>0</v>
      </c>
      <c r="C33" s="2058">
        <f>'Emission-Waste Transport Vehicl'!M18</f>
        <v>0</v>
      </c>
      <c r="D33" s="2058">
        <f>'Emission-Waste Transport Vehicl'!N18</f>
        <v>0</v>
      </c>
      <c r="E33" s="2058">
        <f>'Emission-Waste Transport Vehicl'!O18</f>
        <v>0</v>
      </c>
      <c r="F33" s="2058">
        <f>'Emission-Waste Transport Vehicl'!P18</f>
        <v>0</v>
      </c>
      <c r="G33" s="2058">
        <f>'Emission-Waste Transport Vehicl'!Q18</f>
        <v>0</v>
      </c>
      <c r="H33" s="2058">
        <f>'Emission-Waste Transport Vehicl'!R18</f>
        <v>0</v>
      </c>
      <c r="I33" s="2058">
        <f>'Emission-Waste Transport Vehicl'!S18</f>
        <v>0</v>
      </c>
      <c r="J33" s="2058">
        <f>'Emission-Waste Transport Vehicl'!T18</f>
        <v>0</v>
      </c>
      <c r="K33" s="2058">
        <f>'Emission-Waste Transport Vehicl'!U18</f>
        <v>0</v>
      </c>
      <c r="L33" s="1887">
        <f>'Emission-Waste Transport Vehicl'!$AA$444</f>
        <v>0</v>
      </c>
    </row>
    <row r="34" spans="1:12" ht="15" customHeight="1" x14ac:dyDescent="0.25">
      <c r="A34" s="1554" t="s">
        <v>1510</v>
      </c>
      <c r="B34" s="2058">
        <f>'Emission-Waste Transport Vehicl'!L19</f>
        <v>0</v>
      </c>
      <c r="C34" s="2058">
        <f>'Emission-Waste Transport Vehicl'!M19</f>
        <v>0</v>
      </c>
      <c r="D34" s="2058">
        <f>'Emission-Waste Transport Vehicl'!N19</f>
        <v>0</v>
      </c>
      <c r="E34" s="2058">
        <f>'Emission-Waste Transport Vehicl'!O19</f>
        <v>0</v>
      </c>
      <c r="F34" s="2058">
        <f>'Emission-Waste Transport Vehicl'!P19</f>
        <v>0</v>
      </c>
      <c r="G34" s="2058">
        <f>'Emission-Waste Transport Vehicl'!Q19</f>
        <v>0</v>
      </c>
      <c r="H34" s="2058">
        <f>'Emission-Waste Transport Vehicl'!R19</f>
        <v>0</v>
      </c>
      <c r="I34" s="2058">
        <f>'Emission-Waste Transport Vehicl'!S19</f>
        <v>0</v>
      </c>
      <c r="J34" s="2058">
        <f>'Emission-Waste Transport Vehicl'!T19</f>
        <v>0</v>
      </c>
      <c r="K34" s="2058">
        <f>'Emission-Waste Transport Vehicl'!U19</f>
        <v>0</v>
      </c>
      <c r="L34" s="1887">
        <f>'Emission-Waste Transport Vehicl'!$AA$495</f>
        <v>0</v>
      </c>
    </row>
    <row r="35" spans="1:12" ht="15" customHeight="1" thickBot="1" x14ac:dyDescent="0.3">
      <c r="A35" s="1986" t="s">
        <v>94</v>
      </c>
      <c r="B35" s="2059">
        <v>0</v>
      </c>
      <c r="C35" s="2059">
        <v>0</v>
      </c>
      <c r="D35" s="2059">
        <v>0</v>
      </c>
      <c r="E35" s="2059">
        <v>0</v>
      </c>
      <c r="F35" s="2059">
        <v>0</v>
      </c>
      <c r="G35" s="2059">
        <v>0</v>
      </c>
      <c r="H35" s="2059">
        <v>0</v>
      </c>
      <c r="I35" s="2059">
        <v>0</v>
      </c>
      <c r="J35" s="2059">
        <v>0</v>
      </c>
      <c r="K35" s="2059">
        <v>0</v>
      </c>
      <c r="L35" s="1888"/>
    </row>
    <row r="36" spans="1:12" ht="15" customHeight="1" x14ac:dyDescent="0.25">
      <c r="A36" s="2176" t="str">
        <f>'Total Emission_Landfill'!A12</f>
        <v>Indirect Emission from Leachate Pumping</v>
      </c>
      <c r="B36" s="2060">
        <f>'Total Emission_Landfill'!B12</f>
        <v>0.99448610418181815</v>
      </c>
      <c r="C36" s="2060" t="str">
        <f>'Total Emission_Landfill'!C12</f>
        <v>NA</v>
      </c>
      <c r="D36" s="2060">
        <f>'Total Emission_Landfill'!D12</f>
        <v>2.8909479772727265</v>
      </c>
      <c r="E36" s="2060">
        <f>'Total Emission_Landfill'!E12</f>
        <v>0.46255167636363631</v>
      </c>
      <c r="F36" s="2060">
        <f>'Total Emission_Landfill'!F12</f>
        <v>0</v>
      </c>
      <c r="G36" s="2060">
        <f>'Total Emission_Landfill'!G12</f>
        <v>3.1222238154545442E-2</v>
      </c>
      <c r="H36" s="2060" t="str">
        <f>'Total Emission_Landfill'!H12</f>
        <v>NA</v>
      </c>
      <c r="I36" s="2060">
        <f>'Total Emission_Landfill'!I12</f>
        <v>1084.683681072727</v>
      </c>
      <c r="J36" s="2060" t="str">
        <f>'Total Emission_Landfill'!J12</f>
        <v>NA</v>
      </c>
      <c r="K36" s="2060" t="s">
        <v>897</v>
      </c>
      <c r="L36" s="1977">
        <f>'Emission-Solid-liquid Residual'!$R$334</f>
        <v>8293.8967588128344</v>
      </c>
    </row>
    <row r="37" spans="1:12" ht="15" customHeight="1" x14ac:dyDescent="0.25">
      <c r="A37" s="1553" t="str">
        <f>'Total Emission_Landfill'!A13</f>
        <v>Indirect Emission from Leachate Treatment</v>
      </c>
      <c r="B37" s="1946">
        <f>'Total Emission_Landfill'!B13</f>
        <v>0</v>
      </c>
      <c r="C37" s="1946" t="str">
        <f>'Total Emission_Landfill'!C13</f>
        <v>NA</v>
      </c>
      <c r="D37" s="1946">
        <f>'Total Emission_Landfill'!D13</f>
        <v>0</v>
      </c>
      <c r="E37" s="1946">
        <f>'Total Emission_Landfill'!E13</f>
        <v>0</v>
      </c>
      <c r="F37" s="1946">
        <f>'Total Emission_Landfill'!F13</f>
        <v>0</v>
      </c>
      <c r="G37" s="1946">
        <f>'Total Emission_Landfill'!G13</f>
        <v>0</v>
      </c>
      <c r="H37" s="1946" t="str">
        <f>'Total Emission_Landfill'!H13</f>
        <v>NA</v>
      </c>
      <c r="I37" s="1946">
        <f>'Total Emission_Landfill'!I13</f>
        <v>0</v>
      </c>
      <c r="J37" s="1946" t="str">
        <f>'Total Emission_Landfill'!J13</f>
        <v>NA</v>
      </c>
      <c r="K37" s="1946" t="s">
        <v>897</v>
      </c>
      <c r="L37" s="1887">
        <f>'Emission-Solid-liquid Residual'!$R$388</f>
        <v>0</v>
      </c>
    </row>
    <row r="38" spans="1:12" ht="15" customHeight="1" x14ac:dyDescent="0.25">
      <c r="A38" s="1554" t="s">
        <v>1518</v>
      </c>
      <c r="B38" s="1946">
        <f>'Total Emission_Landfill'!B15</f>
        <v>81.931458975985805</v>
      </c>
      <c r="C38" s="1946" t="str">
        <f>'Total Emission_Landfill'!C15</f>
        <v>NA</v>
      </c>
      <c r="D38" s="1946">
        <f>'Total Emission_Landfill'!D15</f>
        <v>238.17284586042385</v>
      </c>
      <c r="E38" s="2710">
        <f>'Total Emission_Landfill'!E15</f>
        <v>38.107655337667822</v>
      </c>
      <c r="F38" s="2710"/>
      <c r="G38" s="1946">
        <f>'Total Emission_Landfill'!G15</f>
        <v>2.5722667352925779</v>
      </c>
      <c r="H38" s="1946" t="str">
        <f>'Total Emission_Landfill'!H15</f>
        <v>NA</v>
      </c>
      <c r="I38" s="1946">
        <f>'Total Emission_Landfill'!I15</f>
        <v>89362.451766831029</v>
      </c>
      <c r="J38" s="1946" t="str">
        <f>'Total Emission_Landfill'!J15</f>
        <v>NA</v>
      </c>
      <c r="K38" s="1946" t="s">
        <v>897</v>
      </c>
      <c r="L38" s="1887">
        <f>'Emission-Impurities'!$R$68</f>
        <v>683298.699889626</v>
      </c>
    </row>
    <row r="39" spans="1:12" s="230" customFormat="1" ht="15" customHeight="1" thickBot="1" x14ac:dyDescent="0.3">
      <c r="A39" s="1559" t="s">
        <v>1527</v>
      </c>
      <c r="B39" s="1969">
        <f>'Total Emission_Landfill'!B42</f>
        <v>45.272900297264641</v>
      </c>
      <c r="C39" s="1969">
        <f>'Total Emission_Landfill'!C42</f>
        <v>195.50409578961674</v>
      </c>
      <c r="D39" s="1969">
        <f>'Total Emission_Landfill'!D42</f>
        <v>523.19590154831997</v>
      </c>
      <c r="E39" s="1969">
        <v>0</v>
      </c>
      <c r="F39" s="1969">
        <v>0</v>
      </c>
      <c r="G39" s="1969" t="str">
        <f>'Total Emission_Landfill'!G42</f>
        <v>NA</v>
      </c>
      <c r="H39" s="1969" t="str">
        <f>'Total Emission_Landfill'!H42</f>
        <v>NA</v>
      </c>
      <c r="I39" s="1969">
        <f>'Total Emission_Landfill'!I42</f>
        <v>46182.631904965237</v>
      </c>
      <c r="J39" s="1969" t="str">
        <f>'Total Emission_Landfill'!J42</f>
        <v>NA</v>
      </c>
      <c r="K39" s="1969" t="s">
        <v>897</v>
      </c>
      <c r="L39" s="1970"/>
    </row>
    <row r="40" spans="1:12" ht="15" customHeight="1" thickBot="1" x14ac:dyDescent="0.3">
      <c r="A40" s="2010" t="s">
        <v>1844</v>
      </c>
      <c r="B40" s="2011">
        <f>SUM(B36:B39)</f>
        <v>128.19884537743226</v>
      </c>
      <c r="C40" s="2011">
        <f t="shared" ref="C40:L40" si="1">SUM(C36:C39)</f>
        <v>195.50409578961674</v>
      </c>
      <c r="D40" s="2011">
        <f t="shared" si="1"/>
        <v>764.25969538601657</v>
      </c>
      <c r="E40" s="2012">
        <f>E36+E37+E39+(E38/2)</f>
        <v>19.516379345197546</v>
      </c>
      <c r="F40" s="2011">
        <f>F36+F37+(E38/2)+F39</f>
        <v>19.053827668833911</v>
      </c>
      <c r="G40" s="2011">
        <f t="shared" si="1"/>
        <v>2.6034889734471234</v>
      </c>
      <c r="H40" s="2011">
        <f t="shared" si="1"/>
        <v>0</v>
      </c>
      <c r="I40" s="2011">
        <f t="shared" si="1"/>
        <v>136629.76735286898</v>
      </c>
      <c r="J40" s="2011">
        <f t="shared" si="1"/>
        <v>0</v>
      </c>
      <c r="K40" s="2011">
        <f t="shared" si="1"/>
        <v>0</v>
      </c>
      <c r="L40" s="2042">
        <f t="shared" si="1"/>
        <v>691592.59664843883</v>
      </c>
    </row>
    <row r="41" spans="1:12" x14ac:dyDescent="0.25">
      <c r="A41" s="2003" t="s">
        <v>1833</v>
      </c>
      <c r="B41" s="1963">
        <f>'Total Emission_Landfill'!B17</f>
        <v>1684.7122166464228</v>
      </c>
      <c r="C41" s="1963" t="str">
        <f>'Total Emission_Landfill'!C17</f>
        <v>NA</v>
      </c>
      <c r="D41" s="1963">
        <f>'Total Emission_Landfill'!D17</f>
        <v>1367.2146569372881</v>
      </c>
      <c r="E41" s="3229">
        <f>'Total Emission_Landfill'!E17</f>
        <v>794.5609353710405</v>
      </c>
      <c r="F41" s="3230"/>
      <c r="G41" s="1963">
        <f>'Total Emission_Landfill'!G17</f>
        <v>-870.18053017898262</v>
      </c>
      <c r="H41" s="1963" t="str">
        <f>'Total Emission_Landfill'!H17</f>
        <v>NA</v>
      </c>
      <c r="I41" s="1963">
        <f>'Total Emission_Landfill'!I17</f>
        <v>1887368.2584601068</v>
      </c>
      <c r="J41" s="1963" t="str">
        <f>'Total Emission_Landfill'!J17</f>
        <v>NA</v>
      </c>
      <c r="K41" s="1963">
        <f>'Total Emission_Landfill'!B24</f>
        <v>-23444431.848207776</v>
      </c>
      <c r="L41" s="1977">
        <f>'Emission-Biogas Conversion'!$R$336+'Emission-GHG from Biogas Conver'!F336</f>
        <v>-118831286.5823359</v>
      </c>
    </row>
    <row r="42" spans="1:12" x14ac:dyDescent="0.25">
      <c r="A42" s="1554" t="s">
        <v>1834</v>
      </c>
      <c r="B42" s="1946">
        <f>'Total Emission_Landfill'!B18</f>
        <v>1684.7122166464228</v>
      </c>
      <c r="C42" s="1946" t="str">
        <f>'Total Emission_Landfill'!C18</f>
        <v>NA</v>
      </c>
      <c r="D42" s="1946">
        <f>'Total Emission_Landfill'!D18</f>
        <v>4852.1046581477403</v>
      </c>
      <c r="E42" s="3231">
        <f>'Total Emission_Landfill'!E18</f>
        <v>1765.4020084355284</v>
      </c>
      <c r="F42" s="3232"/>
      <c r="G42" s="1946">
        <f>'Total Emission_Landfill'!G18</f>
        <v>-870.18053017898262</v>
      </c>
      <c r="H42" s="1946" t="str">
        <f>'Total Emission_Landfill'!H18</f>
        <v>NA</v>
      </c>
      <c r="I42" s="1946">
        <f>'Total Emission_Landfill'!I18</f>
        <v>1887368.2584601068</v>
      </c>
      <c r="J42" s="1946" t="str">
        <f>'Total Emission_Landfill'!J18</f>
        <v>NA</v>
      </c>
      <c r="K42" s="1946">
        <f>'Total Emission_Landfill'!B25</f>
        <v>-23444431.848207776</v>
      </c>
      <c r="L42" s="1887">
        <f>'Emission-Biogas Conversion'!R387+'Emission-GHG from Biogas Conver'!F387</f>
        <v>-115756615.80113965</v>
      </c>
    </row>
    <row r="43" spans="1:12" x14ac:dyDescent="0.25">
      <c r="A43" s="1554" t="s">
        <v>1835</v>
      </c>
      <c r="B43" s="1946">
        <f>'Total Emission_Landfill'!B19</f>
        <v>1493.541946125476</v>
      </c>
      <c r="C43" s="1946" t="str">
        <f>'Total Emission_Landfill'!C19</f>
        <v>NA</v>
      </c>
      <c r="D43" s="1946">
        <f>'Total Emission_Landfill'!D19</f>
        <v>17373.361367042369</v>
      </c>
      <c r="E43" s="3231">
        <f>'Total Emission_Landfill'!E19</f>
        <v>1263.906390079519</v>
      </c>
      <c r="F43" s="3232"/>
      <c r="G43" s="1946">
        <f>'Total Emission_Landfill'!G19</f>
        <v>-838.49971198616026</v>
      </c>
      <c r="H43" s="1946" t="str">
        <f>'Total Emission_Landfill'!H19</f>
        <v>NA</v>
      </c>
      <c r="I43" s="1946">
        <f>'Total Emission_Landfill'!I19</f>
        <v>2987983.3497514897</v>
      </c>
      <c r="J43" s="1946" t="str">
        <f>'Total Emission_Landfill'!J19</f>
        <v>NA</v>
      </c>
      <c r="K43" s="1946">
        <f>'Total Emission_Landfill'!B26</f>
        <v>-22343816.756916393</v>
      </c>
      <c r="L43" s="1887">
        <f>'Emission-Biogas Conversion'!R438+'Emission-GHG from Biogas Conver'!F438</f>
        <v>-96646891.217383251</v>
      </c>
    </row>
    <row r="44" spans="1:12" x14ac:dyDescent="0.25">
      <c r="A44" s="1554" t="s">
        <v>1836</v>
      </c>
      <c r="B44" s="1946">
        <f>'Total Emission_Landfill'!B20</f>
        <v>1482.8936711217773</v>
      </c>
      <c r="C44" s="1946" t="str">
        <f>'Total Emission_Landfill'!C20</f>
        <v>NA</v>
      </c>
      <c r="D44" s="1946">
        <f>'Total Emission_Landfill'!D20</f>
        <v>4265.4228397621418</v>
      </c>
      <c r="E44" s="3231">
        <f>'Total Emission_Landfill'!E20</f>
        <v>700.69184442934477</v>
      </c>
      <c r="F44" s="3232"/>
      <c r="G44" s="1946">
        <f>'Total Emission_Landfill'!G20</f>
        <v>-876.51669381754698</v>
      </c>
      <c r="H44" s="1946" t="str">
        <f>'Total Emission_Landfill'!H20</f>
        <v>NA</v>
      </c>
      <c r="I44" s="1946">
        <f>'Total Emission_Landfill'!I20</f>
        <v>1667245.2402018306</v>
      </c>
      <c r="J44" s="1946" t="str">
        <f>'Total Emission_Landfill'!J20</f>
        <v>NA</v>
      </c>
      <c r="K44" s="1946">
        <f>'Total Emission_Landfill'!B27</f>
        <v>-23664554.866466049</v>
      </c>
      <c r="L44" s="1887">
        <f>'Emission-Biogas Conversion'!R489+'Emission-GHG from Biogas Conver'!F489</f>
        <v>-119691706.00392674</v>
      </c>
    </row>
    <row r="45" spans="1:12" x14ac:dyDescent="0.25">
      <c r="A45" s="1554" t="s">
        <v>1837</v>
      </c>
      <c r="B45" s="1946">
        <f>'Total Emission_Landfill'!B21</f>
        <v>17936.097125328652</v>
      </c>
      <c r="C45" s="1946" t="str">
        <f>'Total Emission_Landfill'!C21</f>
        <v>NA</v>
      </c>
      <c r="D45" s="1946">
        <f>'Total Emission_Landfill'!D21</f>
        <v>52139.817224792598</v>
      </c>
      <c r="E45" s="3231">
        <f>'Total Emission_Landfill'!E21</f>
        <v>8342.3707559668164</v>
      </c>
      <c r="F45" s="3232"/>
      <c r="G45" s="1946">
        <f>'Total Emission_Landfill'!G21</f>
        <v>563.11002602776</v>
      </c>
      <c r="H45" s="1946" t="str">
        <f>'Total Emission_Landfill'!H21</f>
        <v>NA</v>
      </c>
      <c r="I45" s="1946">
        <f>'Total Emission_Landfill'!I21</f>
        <v>19562859.422742181</v>
      </c>
      <c r="J45" s="1946" t="str">
        <f>'Total Emission_Landfill'!J21</f>
        <v>NA</v>
      </c>
      <c r="K45" s="1946">
        <f>'Total Emission_Landfill'!B28</f>
        <v>19562859.422742181</v>
      </c>
      <c r="L45" s="1887">
        <f>'Emission-Biogas Conversion'!R540+'Emission-GHG from Biogas Conver'!F540</f>
        <v>258623206.06915262</v>
      </c>
    </row>
    <row r="46" spans="1:12" s="230" customFormat="1" ht="15.75" thickBot="1" x14ac:dyDescent="0.3">
      <c r="A46" s="1986" t="s">
        <v>1838</v>
      </c>
      <c r="B46" s="1947">
        <f>'Total Emission_Landfill'!B22</f>
        <v>20878.853011354684</v>
      </c>
      <c r="C46" s="1947" t="str">
        <f>'Total Emission_Landfill'!C22</f>
        <v>NA</v>
      </c>
      <c r="D46" s="1947">
        <f>'Total Emission_Landfill'!D22</f>
        <v>60694.340149286865</v>
      </c>
      <c r="E46" s="3227">
        <f>'Total Emission_Landfill'!E22</f>
        <v>9711.0944238858992</v>
      </c>
      <c r="F46" s="3228"/>
      <c r="G46" s="1947">
        <f>'Total Emission_Landfill'!G22</f>
        <v>655.49887361229821</v>
      </c>
      <c r="H46" s="1947" t="str">
        <f>'Total Emission_Landfill'!H22</f>
        <v>NA</v>
      </c>
      <c r="I46" s="1947">
        <f>'Total Emission_Landfill'!I22</f>
        <v>22772516.424012434</v>
      </c>
      <c r="J46" s="1947" t="str">
        <f>'Total Emission_Landfill'!J22</f>
        <v>NA</v>
      </c>
      <c r="K46" s="1947">
        <f>'Total Emission_Landfill'!B29</f>
        <v>22772516.424012434</v>
      </c>
      <c r="L46" s="1888">
        <f>'Emission-Biogas Conversion'!R591+'Emission-GHG from Biogas Conver'!F591</f>
        <v>301055233.31593692</v>
      </c>
    </row>
    <row r="47" spans="1:12" ht="15.75" thickBot="1" x14ac:dyDescent="0.3">
      <c r="A47" s="2070" t="s">
        <v>94</v>
      </c>
      <c r="B47" s="2071">
        <v>0</v>
      </c>
      <c r="C47" s="2071">
        <v>0</v>
      </c>
      <c r="D47" s="2071">
        <v>0</v>
      </c>
      <c r="E47" s="2071">
        <v>0</v>
      </c>
      <c r="F47" s="2071">
        <v>0</v>
      </c>
      <c r="G47" s="2071">
        <v>0</v>
      </c>
      <c r="H47" s="2071">
        <v>0</v>
      </c>
      <c r="I47" s="2071">
        <v>0</v>
      </c>
      <c r="J47" s="2071">
        <v>0</v>
      </c>
      <c r="K47" s="2071">
        <v>0</v>
      </c>
      <c r="L47" s="2072"/>
    </row>
    <row r="48" spans="1:12" x14ac:dyDescent="0.25">
      <c r="A48" s="1984" t="s">
        <v>1519</v>
      </c>
      <c r="B48" s="1945">
        <f>'Total Emission_Landfill'!B31</f>
        <v>-651.64029518685186</v>
      </c>
      <c r="C48" s="1945">
        <f>'Total Emission_Landfill'!C31</f>
        <v>-7537.0188859362288</v>
      </c>
      <c r="D48" s="1945">
        <f>'Total Emission_Landfill'!D31</f>
        <v>-697.79105205002384</v>
      </c>
      <c r="E48" s="1945">
        <f>'Total Emission_Landfill'!E31</f>
        <v>-59.43834317922591</v>
      </c>
      <c r="F48" s="1945">
        <f>'Total Emission_Landfill'!F31</f>
        <v>-45.480178542001376</v>
      </c>
      <c r="G48" s="1945">
        <f>'Total Emission_Landfill'!G31</f>
        <v>-253.38497454684352</v>
      </c>
      <c r="H48" s="1945">
        <f>'Total Emission_Landfill'!H31</f>
        <v>-370.80411272092442</v>
      </c>
      <c r="I48" s="1945">
        <f>'Total Emission_Landfill'!I31</f>
        <v>-965129.30539621902</v>
      </c>
      <c r="J48" s="1945">
        <f>'Total Emission_Landfill'!J31</f>
        <v>-46.415501800290649</v>
      </c>
      <c r="K48" s="1945" t="s">
        <v>897</v>
      </c>
      <c r="L48" s="1965">
        <f>'Emission-Vehicle to be refueled'!$AB$442</f>
        <v>-6218566.9144114358</v>
      </c>
    </row>
    <row r="49" spans="1:12" x14ac:dyDescent="0.25">
      <c r="A49" s="1554" t="s">
        <v>1842</v>
      </c>
      <c r="B49" s="1946">
        <f>'Total Emission_Landfill'!B32</f>
        <v>-260.7954174908084</v>
      </c>
      <c r="C49" s="1946">
        <f>'Total Emission_Landfill'!C32</f>
        <v>293.39484467715903</v>
      </c>
      <c r="D49" s="1946">
        <f>'Total Emission_Landfill'!D32</f>
        <v>65.198854372702172</v>
      </c>
      <c r="E49" s="1946">
        <f>'Total Emission_Landfill'!E32</f>
        <v>-42.379255342256378</v>
      </c>
      <c r="F49" s="1946">
        <f>'Total Emission_Landfill'!F32</f>
        <v>-31.556245516387818</v>
      </c>
      <c r="G49" s="1946">
        <f>'Total Emission_Landfill'!G32</f>
        <v>-99.591250054302449</v>
      </c>
      <c r="H49" s="1946">
        <f>'Total Emission_Landfill'!H32</f>
        <v>2738.351883653489</v>
      </c>
      <c r="I49" s="1946">
        <f>'Total Emission_Landfill'!I32</f>
        <v>-130397.70874540422</v>
      </c>
      <c r="J49" s="1946">
        <f>'Total Emission_Landfill'!J32</f>
        <v>-10.464416126818692</v>
      </c>
      <c r="K49" s="1946" t="s">
        <v>897</v>
      </c>
      <c r="L49" s="1887">
        <f>'Emission-Vehicle to be refueled'!$AB$697</f>
        <v>-428484.69456219446</v>
      </c>
    </row>
    <row r="50" spans="1:12" x14ac:dyDescent="0.25">
      <c r="A50" s="1554" t="s">
        <v>1520</v>
      </c>
      <c r="B50" s="1946">
        <f>'Total Emission_Landfill'!B33</f>
        <v>16.7442162220322</v>
      </c>
      <c r="C50" s="1946">
        <f>'Total Emission_Landfill'!C33</f>
        <v>3209.308109222839</v>
      </c>
      <c r="D50" s="1946">
        <f>'Total Emission_Landfill'!D33</f>
        <v>19.534918925704222</v>
      </c>
      <c r="E50" s="1946">
        <f>'Total Emission_Landfill'!E33</f>
        <v>-3.2665175146481169</v>
      </c>
      <c r="F50" s="1946">
        <f>'Total Emission_Landfill'!F33</f>
        <v>-3.0348891902433364</v>
      </c>
      <c r="G50" s="1946">
        <f>'Total Emission_Landfill'!G33</f>
        <v>16.744216222032204</v>
      </c>
      <c r="H50" s="1946">
        <f>'Total Emission_Landfill'!H33</f>
        <v>2049.7711358471092</v>
      </c>
      <c r="I50" s="1946">
        <f>'Total Emission_Landfill'!I33</f>
        <v>-48837.297314260592</v>
      </c>
      <c r="J50" s="1946">
        <f>'Total Emission_Landfill'!J33</f>
        <v>5.0065206503876283</v>
      </c>
      <c r="K50" s="1946" t="s">
        <v>897</v>
      </c>
      <c r="L50" s="1887">
        <f>'Emission-Vehicle to be refueled'!$AB$493</f>
        <v>74498.379561132388</v>
      </c>
    </row>
    <row r="51" spans="1:12" x14ac:dyDescent="0.25">
      <c r="A51" s="1554" t="s">
        <v>1840</v>
      </c>
      <c r="B51" s="1946">
        <f>'Total Emission_Landfill'!B34</f>
        <v>-0.96889162262337902</v>
      </c>
      <c r="C51" s="1946">
        <f>'Total Emission_Landfill'!C34</f>
        <v>-53.266840116978294</v>
      </c>
      <c r="D51" s="1946">
        <f>'Total Emission_Landfill'!D34</f>
        <v>-191.98670873727326</v>
      </c>
      <c r="E51" s="1946">
        <f>'Total Emission_Landfill'!E34</f>
        <v>-10.314280191487157</v>
      </c>
      <c r="F51" s="1946">
        <f>'Total Emission_Landfill'!F34</f>
        <v>-8.6230043200824689</v>
      </c>
      <c r="G51" s="1946">
        <f>'Total Emission_Landfill'!G34</f>
        <v>-8.7088835129789128</v>
      </c>
      <c r="H51" s="1946">
        <f>'Total Emission_Landfill'!H34</f>
        <v>385.00358369984076</v>
      </c>
      <c r="I51" s="1946">
        <f>'Total Emission_Landfill'!I34</f>
        <v>-344423.32708090043</v>
      </c>
      <c r="J51" s="1946">
        <f>'Total Emission_Landfill'!J34</f>
        <v>2.1396996255327512</v>
      </c>
      <c r="K51" s="1946" t="s">
        <v>897</v>
      </c>
      <c r="L51" s="1887">
        <f>'Emission-Vehicle to be refueled'!$AB$646</f>
        <v>-1997287.2491923613</v>
      </c>
    </row>
    <row r="52" spans="1:12" x14ac:dyDescent="0.25">
      <c r="A52" s="1554" t="s">
        <v>1521</v>
      </c>
      <c r="B52" s="1946">
        <f>'Total Emission_Landfill'!B35</f>
        <v>-397.02238411416403</v>
      </c>
      <c r="C52" s="1946">
        <f>'Total Emission_Landfill'!C35</f>
        <v>-10622.89379033667</v>
      </c>
      <c r="D52" s="1946">
        <f>'Total Emission_Landfill'!D35</f>
        <v>-714.30095603445739</v>
      </c>
      <c r="E52" s="1946">
        <f>'Total Emission_Landfill'!E35</f>
        <v>-20.360122262264817</v>
      </c>
      <c r="F52" s="1946">
        <f>'Total Emission_Landfill'!F35</f>
        <v>-16.966768551887348</v>
      </c>
      <c r="G52" s="1946">
        <f>'Total Emission_Landfill'!G35</f>
        <v>-5.090030565566205</v>
      </c>
      <c r="H52" s="1946">
        <f>'Total Emission_Landfill'!H35</f>
        <v>-28.843506538208498</v>
      </c>
      <c r="I52" s="1946">
        <f>'Total Emission_Landfill'!I35</f>
        <v>-889058.6721188972</v>
      </c>
      <c r="J52" s="1946">
        <f>'Total Emission_Landfill'!J35</f>
        <v>-69.563751062738135</v>
      </c>
      <c r="K52" s="1946" t="s">
        <v>897</v>
      </c>
      <c r="L52" s="1887">
        <f>'Emission-Vehicle to be refueled'!$AB$544</f>
        <v>-5585712.2683912627</v>
      </c>
    </row>
    <row r="53" spans="1:12" x14ac:dyDescent="0.25">
      <c r="A53" s="1554" t="s">
        <v>1841</v>
      </c>
      <c r="B53" s="1946">
        <f>'Total Emission_Landfill'!B36</f>
        <v>-245.08485017208505</v>
      </c>
      <c r="C53" s="1946">
        <f>'Total Emission_Landfill'!C36</f>
        <v>-1872.8567300650161</v>
      </c>
      <c r="D53" s="1946">
        <f>'Total Emission_Landfill'!D36</f>
        <v>-126.6271725889106</v>
      </c>
      <c r="E53" s="1946">
        <f>'Total Emission_Landfill'!E36</f>
        <v>-6.1271212543021241</v>
      </c>
      <c r="F53" s="1946">
        <f>'Total Emission_Landfill'!F36</f>
        <v>-6.1271212543021241</v>
      </c>
      <c r="G53" s="1946">
        <f>'Total Emission_Landfill'!G36</f>
        <v>-4.0847475028680842</v>
      </c>
      <c r="H53" s="1946">
        <f>'Total Emission_Landfill'!H36</f>
        <v>312.48318396940846</v>
      </c>
      <c r="I53" s="1946">
        <f>'Total Emission_Landfill'!I36</f>
        <v>-200152.62764053611</v>
      </c>
      <c r="J53" s="1946">
        <f>'Total Emission_Landfill'!J36</f>
        <v>0</v>
      </c>
      <c r="K53" s="1946" t="s">
        <v>897</v>
      </c>
      <c r="L53" s="1887">
        <f>'Emission-Vehicle to be refueled'!$AB$748</f>
        <v>-1174121.4836206255</v>
      </c>
    </row>
    <row r="54" spans="1:12" x14ac:dyDescent="0.25">
      <c r="A54" s="1554" t="s">
        <v>1522</v>
      </c>
      <c r="B54" s="1946">
        <f>'Total Emission_Landfill'!B37</f>
        <v>-238.77950008293837</v>
      </c>
      <c r="C54" s="1946">
        <f>'Total Emission_Landfill'!C37</f>
        <v>-3386.7968011763805</v>
      </c>
      <c r="D54" s="1946">
        <f>'Total Emission_Landfill'!D37</f>
        <v>-183.2794000636608</v>
      </c>
      <c r="E54" s="1946">
        <f>'Total Emission_Landfill'!E37</f>
        <v>-11.616300004034839</v>
      </c>
      <c r="F54" s="1946">
        <f>'Total Emission_Landfill'!F37</f>
        <v>-7.7442000026898929</v>
      </c>
      <c r="G54" s="1946">
        <f>'Total Emission_Landfill'!G37</f>
        <v>-2.5814000008966316</v>
      </c>
      <c r="H54" s="1946">
        <f>'Total Emission_Landfill'!H37</f>
        <v>-15.488400005379788</v>
      </c>
      <c r="I54" s="1946">
        <f>'Total Emission_Landfill'!I37</f>
        <v>-553710.30019232736</v>
      </c>
      <c r="J54" s="1946">
        <f>'Total Emission_Landfill'!J37</f>
        <v>-12.907000004483155</v>
      </c>
      <c r="K54" s="1946" t="s">
        <v>897</v>
      </c>
      <c r="L54" s="1887">
        <f>'Emission-Vehicle to be refueled'!$AB$595</f>
        <v>-3261176.6266421778</v>
      </c>
    </row>
    <row r="55" spans="1:12" s="230" customFormat="1" ht="15.75" thickBot="1" x14ac:dyDescent="0.3">
      <c r="A55" s="1986" t="s">
        <v>1843</v>
      </c>
      <c r="B55" s="1947">
        <f>'Total Emission_Landfill'!B38</f>
        <v>-170.69531391792975</v>
      </c>
      <c r="C55" s="1947">
        <f>'Total Emission_Landfill'!C38</f>
        <v>-618.36792966495295</v>
      </c>
      <c r="D55" s="1947">
        <f>'Total Emission_Landfill'!D38</f>
        <v>-33.816996153552104</v>
      </c>
      <c r="E55" s="1947">
        <f>'Total Emission_Landfill'!E38</f>
        <v>-6.4413326006765947</v>
      </c>
      <c r="F55" s="1947">
        <f>'Total Emission_Landfill'!F38</f>
        <v>-1.6103331501691474</v>
      </c>
      <c r="G55" s="1947">
        <f>'Total Emission_Landfill'!G38</f>
        <v>-1.6103331501691487</v>
      </c>
      <c r="H55" s="1947">
        <f>'Total Emission_Landfill'!H38</f>
        <v>172.30564706809889</v>
      </c>
      <c r="I55" s="1947">
        <f>'Total Emission_Landfill'!I38</f>
        <v>-127216.31886336274</v>
      </c>
      <c r="J55" s="1947">
        <f>'Total Emission_Landfill'!J38</f>
        <v>0</v>
      </c>
      <c r="K55" s="1947" t="s">
        <v>897</v>
      </c>
      <c r="L55" s="1888">
        <f>'Emission-Vehicle to be refueled'!$AB$799</f>
        <v>-721135.02565436868</v>
      </c>
    </row>
    <row r="56" spans="1:12" ht="15.75" thickBot="1" x14ac:dyDescent="0.3">
      <c r="A56" s="1989" t="s">
        <v>94</v>
      </c>
      <c r="B56" s="2004">
        <v>0</v>
      </c>
      <c r="C56" s="2004">
        <v>0</v>
      </c>
      <c r="D56" s="2004">
        <v>0</v>
      </c>
      <c r="E56" s="2004">
        <v>0</v>
      </c>
      <c r="F56" s="2004">
        <v>0</v>
      </c>
      <c r="G56" s="2004">
        <v>0</v>
      </c>
      <c r="H56" s="2004">
        <v>0</v>
      </c>
      <c r="I56" s="2004">
        <v>0</v>
      </c>
      <c r="J56" s="2004">
        <v>0</v>
      </c>
      <c r="K56" s="2004">
        <v>0</v>
      </c>
      <c r="L56" s="1991"/>
    </row>
    <row r="57" spans="1:12" ht="15.75" thickBot="1" x14ac:dyDescent="0.3">
      <c r="A57" s="1993" t="s">
        <v>1524</v>
      </c>
      <c r="B57" s="2006">
        <f>'Total Emission_Landfill'!B40</f>
        <v>3.1629722452113631</v>
      </c>
      <c r="C57" s="2006" t="str">
        <f>'Total Emission_Landfill'!C40</f>
        <v>NA</v>
      </c>
      <c r="D57" s="2006">
        <f>'Total Emission_Landfill'!D40</f>
        <v>54.585725510703057</v>
      </c>
      <c r="E57" s="2006">
        <f>'Total Emission_Landfill'!E40</f>
        <v>4.3669318500693848</v>
      </c>
      <c r="F57" s="2006">
        <f>'Total Emission_Landfill'!F40</f>
        <v>0</v>
      </c>
      <c r="G57" s="2006">
        <f>'Total Emission_Landfill'!G40</f>
        <v>-0.19710688300087648</v>
      </c>
      <c r="H57" s="2006" t="str">
        <f>'Total Emission_Landfill'!H40</f>
        <v>NA</v>
      </c>
      <c r="I57" s="2006">
        <f>'Total Emission_Landfill'!I40</f>
        <v>68961.207501437384</v>
      </c>
      <c r="J57" s="2006" t="str">
        <f>'Total Emission_Landfill'!J40</f>
        <v>NA</v>
      </c>
      <c r="K57" s="2006" t="s">
        <v>897</v>
      </c>
      <c r="L57" s="2009">
        <f>'Emission-Combustion Pipeline NG'!$R$69</f>
        <v>421140.74944871815</v>
      </c>
    </row>
    <row r="58" spans="1:12" ht="15.75" thickBot="1" x14ac:dyDescent="0.3">
      <c r="A58" s="3204" t="s">
        <v>1135</v>
      </c>
      <c r="B58" s="3205"/>
      <c r="C58" s="3205"/>
      <c r="D58" s="3205"/>
      <c r="E58" s="3205"/>
      <c r="F58" s="3205"/>
      <c r="G58" s="3205"/>
      <c r="H58" s="3205"/>
      <c r="I58" s="3205"/>
      <c r="J58" s="3205"/>
      <c r="K58" s="3205"/>
      <c r="L58" s="3206"/>
    </row>
    <row r="59" spans="1:12" ht="18.75" thickBot="1" x14ac:dyDescent="0.3">
      <c r="A59" s="1982" t="s">
        <v>1137</v>
      </c>
      <c r="B59" s="1983" t="s">
        <v>1878</v>
      </c>
      <c r="C59" s="1983" t="s">
        <v>1879</v>
      </c>
      <c r="D59" s="1983" t="s">
        <v>1877</v>
      </c>
      <c r="E59" s="1983" t="s">
        <v>1880</v>
      </c>
      <c r="F59" s="1983" t="s">
        <v>1881</v>
      </c>
      <c r="G59" s="1983" t="s">
        <v>1882</v>
      </c>
      <c r="H59" s="1983" t="s">
        <v>1883</v>
      </c>
      <c r="I59" s="1983" t="s">
        <v>1884</v>
      </c>
      <c r="J59" s="1983" t="s">
        <v>1885</v>
      </c>
      <c r="K59" s="1980" t="s">
        <v>1886</v>
      </c>
      <c r="L59" s="2007" t="s">
        <v>1887</v>
      </c>
    </row>
    <row r="60" spans="1:12" x14ac:dyDescent="0.25">
      <c r="A60" s="2005" t="s">
        <v>1120</v>
      </c>
      <c r="B60" s="1945" t="str">
        <f>'Total Emission_Composting'!B4</f>
        <v>NA</v>
      </c>
      <c r="C60" s="1945" t="str">
        <f>'Total Emission_Composting'!C4</f>
        <v>NA</v>
      </c>
      <c r="D60" s="1945" t="str">
        <f>'Total Emission_Composting'!D4</f>
        <v>NA</v>
      </c>
      <c r="E60" s="1945" t="str">
        <f>'Total Emission_Composting'!E4</f>
        <v>NA</v>
      </c>
      <c r="F60" s="1945" t="str">
        <f>'Total Emission_Composting'!F4</f>
        <v>NA</v>
      </c>
      <c r="G60" s="1945" t="str">
        <f>'Total Emission_Composting'!G4</f>
        <v>NA</v>
      </c>
      <c r="H60" s="1945" t="str">
        <f>'Total Emission_Composting'!H4</f>
        <v>NA</v>
      </c>
      <c r="I60" s="1945">
        <f>'Total Emission_Composting'!I4</f>
        <v>1156696.8774999999</v>
      </c>
      <c r="J60" s="1945" t="str">
        <f>'Total Emission_Composting'!J4</f>
        <v>NA</v>
      </c>
      <c r="K60" s="1945" t="s">
        <v>897</v>
      </c>
      <c r="L60" s="1965">
        <f>'Emission-Composting'!$G$15</f>
        <v>6447126.4972999748</v>
      </c>
    </row>
    <row r="61" spans="1:12" ht="15.75" thickBot="1" x14ac:dyDescent="0.3">
      <c r="A61" s="2177" t="s">
        <v>1525</v>
      </c>
      <c r="B61" s="2061" t="s">
        <v>897</v>
      </c>
      <c r="C61" s="2061" t="s">
        <v>897</v>
      </c>
      <c r="D61" s="2061" t="s">
        <v>897</v>
      </c>
      <c r="E61" s="2061" t="s">
        <v>897</v>
      </c>
      <c r="F61" s="2061" t="s">
        <v>897</v>
      </c>
      <c r="G61" s="2061" t="s">
        <v>897</v>
      </c>
      <c r="H61" s="2061" t="s">
        <v>897</v>
      </c>
      <c r="I61" s="2061" t="s">
        <v>897</v>
      </c>
      <c r="J61" s="2061" t="s">
        <v>897</v>
      </c>
      <c r="K61" s="2061">
        <f>'Total Emission_Composting'!B6</f>
        <v>-880627.23</v>
      </c>
      <c r="L61" s="1970">
        <f>'Emission-Composting'!$G$69</f>
        <v>-4908386.3363129711</v>
      </c>
    </row>
    <row r="62" spans="1:12" x14ac:dyDescent="0.25">
      <c r="A62" s="1984" t="s">
        <v>1506</v>
      </c>
      <c r="B62" s="2057">
        <f>'Total Emission_Composting'!B8</f>
        <v>0</v>
      </c>
      <c r="C62" s="2057">
        <f>'Total Emission_Composting'!C8</f>
        <v>0</v>
      </c>
      <c r="D62" s="2057">
        <f>'Total Emission_Composting'!D8</f>
        <v>0</v>
      </c>
      <c r="E62" s="2057">
        <f>'Total Emission_Composting'!E8</f>
        <v>0</v>
      </c>
      <c r="F62" s="2057">
        <f>'Total Emission_Composting'!F8</f>
        <v>0</v>
      </c>
      <c r="G62" s="2057">
        <f>'Total Emission_Composting'!G8</f>
        <v>0</v>
      </c>
      <c r="H62" s="2057">
        <f>'Total Emission_Composting'!H8</f>
        <v>0</v>
      </c>
      <c r="I62" s="2057">
        <f>'Total Emission_Composting'!I8</f>
        <v>0</v>
      </c>
      <c r="J62" s="2057">
        <f>'Total Emission_Composting'!J8</f>
        <v>0</v>
      </c>
      <c r="K62" s="2057" t="s">
        <v>897</v>
      </c>
      <c r="L62" s="1965">
        <f>'Emission-Waste Transport Vehicl'!$AA$549</f>
        <v>0</v>
      </c>
    </row>
    <row r="63" spans="1:12" x14ac:dyDescent="0.25">
      <c r="A63" s="1554" t="s">
        <v>1507</v>
      </c>
      <c r="B63" s="2058">
        <f>'Total Emission_Composting'!B9</f>
        <v>0</v>
      </c>
      <c r="C63" s="2058">
        <f>'Total Emission_Composting'!C9</f>
        <v>0</v>
      </c>
      <c r="D63" s="2058">
        <f>'Total Emission_Composting'!D9</f>
        <v>0</v>
      </c>
      <c r="E63" s="2058">
        <f>'Total Emission_Composting'!E9</f>
        <v>0</v>
      </c>
      <c r="F63" s="2058">
        <f>'Total Emission_Composting'!F9</f>
        <v>0</v>
      </c>
      <c r="G63" s="2058">
        <f>'Total Emission_Composting'!G9</f>
        <v>0</v>
      </c>
      <c r="H63" s="2058">
        <f>'Total Emission_Composting'!H9</f>
        <v>0</v>
      </c>
      <c r="I63" s="2058">
        <f>'Total Emission_Composting'!I9</f>
        <v>0</v>
      </c>
      <c r="J63" s="2058">
        <f>'Total Emission_Composting'!J9</f>
        <v>0</v>
      </c>
      <c r="K63" s="2058" t="s">
        <v>897</v>
      </c>
      <c r="L63" s="1887">
        <f>'Emission-Waste Transport Vehicl'!$AA$600</f>
        <v>0</v>
      </c>
    </row>
    <row r="64" spans="1:12" x14ac:dyDescent="0.25">
      <c r="A64" s="1554" t="s">
        <v>1508</v>
      </c>
      <c r="B64" s="2058">
        <f>'Total Emission_Composting'!B10</f>
        <v>0</v>
      </c>
      <c r="C64" s="2058">
        <f>'Total Emission_Composting'!C10</f>
        <v>0</v>
      </c>
      <c r="D64" s="2058">
        <f>'Total Emission_Composting'!D10</f>
        <v>0</v>
      </c>
      <c r="E64" s="2058">
        <f>'Total Emission_Composting'!E10</f>
        <v>0</v>
      </c>
      <c r="F64" s="2058">
        <f>'Total Emission_Composting'!F10</f>
        <v>0</v>
      </c>
      <c r="G64" s="2058">
        <f>'Total Emission_Composting'!G10</f>
        <v>0</v>
      </c>
      <c r="H64" s="2058">
        <f>'Total Emission_Composting'!H10</f>
        <v>0</v>
      </c>
      <c r="I64" s="2058">
        <f>'Total Emission_Composting'!I10</f>
        <v>0</v>
      </c>
      <c r="J64" s="2058">
        <f>'Total Emission_Composting'!J10</f>
        <v>0</v>
      </c>
      <c r="K64" s="2058" t="s">
        <v>897</v>
      </c>
      <c r="L64" s="1887">
        <f>'Emission-Waste Transport Vehicl'!$AA$651</f>
        <v>0</v>
      </c>
    </row>
    <row r="65" spans="1:12" x14ac:dyDescent="0.25">
      <c r="A65" s="1554" t="s">
        <v>1509</v>
      </c>
      <c r="B65" s="2058">
        <f>'Total Emission_Composting'!B11</f>
        <v>0</v>
      </c>
      <c r="C65" s="2058">
        <f>'Total Emission_Composting'!C11</f>
        <v>0</v>
      </c>
      <c r="D65" s="2058">
        <f>'Total Emission_Composting'!D11</f>
        <v>0</v>
      </c>
      <c r="E65" s="2058">
        <f>'Total Emission_Composting'!E11</f>
        <v>0</v>
      </c>
      <c r="F65" s="2058">
        <f>'Total Emission_Composting'!F11</f>
        <v>0</v>
      </c>
      <c r="G65" s="2058">
        <f>'Total Emission_Composting'!G11</f>
        <v>0</v>
      </c>
      <c r="H65" s="2058">
        <f>'Total Emission_Composting'!H11</f>
        <v>0</v>
      </c>
      <c r="I65" s="2058">
        <f>'Total Emission_Composting'!I11</f>
        <v>0</v>
      </c>
      <c r="J65" s="2058">
        <f>'Total Emission_Composting'!J11</f>
        <v>0</v>
      </c>
      <c r="K65" s="2058" t="s">
        <v>897</v>
      </c>
      <c r="L65" s="1887">
        <f>'Emission-Waste Transport Vehicl'!$AA$702</f>
        <v>0</v>
      </c>
    </row>
    <row r="66" spans="1:12" x14ac:dyDescent="0.25">
      <c r="A66" s="1554" t="s">
        <v>1510</v>
      </c>
      <c r="B66" s="2058">
        <f>'Total Emission_Composting'!B12</f>
        <v>0</v>
      </c>
      <c r="C66" s="2058">
        <f>'Total Emission_Composting'!C12</f>
        <v>0</v>
      </c>
      <c r="D66" s="2058">
        <f>'Total Emission_Composting'!D12</f>
        <v>0</v>
      </c>
      <c r="E66" s="2058">
        <f>'Total Emission_Composting'!E12</f>
        <v>0</v>
      </c>
      <c r="F66" s="2058">
        <f>'Total Emission_Composting'!F12</f>
        <v>0</v>
      </c>
      <c r="G66" s="2058">
        <f>'Total Emission_Composting'!G12</f>
        <v>0</v>
      </c>
      <c r="H66" s="2058">
        <f>'Total Emission_Composting'!H12</f>
        <v>0</v>
      </c>
      <c r="I66" s="2058">
        <f>'Total Emission_Composting'!I12</f>
        <v>0</v>
      </c>
      <c r="J66" s="2058">
        <f>'Total Emission_Composting'!J12</f>
        <v>0</v>
      </c>
      <c r="K66" s="2058" t="s">
        <v>897</v>
      </c>
      <c r="L66" s="1887">
        <f>'Emission-Waste Transport Vehicl'!$AA$753</f>
        <v>0</v>
      </c>
    </row>
    <row r="67" spans="1:12" s="230" customFormat="1" ht="15.75" thickBot="1" x14ac:dyDescent="0.3">
      <c r="A67" s="1986" t="s">
        <v>94</v>
      </c>
      <c r="B67" s="2059">
        <v>0</v>
      </c>
      <c r="C67" s="2059">
        <v>0</v>
      </c>
      <c r="D67" s="2059">
        <v>0</v>
      </c>
      <c r="E67" s="2059">
        <v>0</v>
      </c>
      <c r="F67" s="2059">
        <v>0</v>
      </c>
      <c r="G67" s="2059">
        <v>0</v>
      </c>
      <c r="H67" s="2059">
        <v>0</v>
      </c>
      <c r="I67" s="2059">
        <v>0</v>
      </c>
      <c r="J67" s="2059">
        <v>0</v>
      </c>
      <c r="K67" s="2059">
        <v>0</v>
      </c>
      <c r="L67" s="1888"/>
    </row>
    <row r="68" spans="1:12" ht="15.75" thickBot="1" x14ac:dyDescent="0.3">
      <c r="A68" s="2178" t="s">
        <v>1526</v>
      </c>
      <c r="B68" s="2006">
        <f>'Total Emission_Composting'!B14</f>
        <v>0</v>
      </c>
      <c r="C68" s="2006" t="str">
        <f>'Total Emission_Composting'!C14</f>
        <v>NA</v>
      </c>
      <c r="D68" s="2006">
        <f>'Total Emission_Composting'!D14</f>
        <v>0</v>
      </c>
      <c r="E68" s="2006">
        <f>'Total Emission_Composting'!E14</f>
        <v>0</v>
      </c>
      <c r="F68" s="2006">
        <f>'Total Emission_Composting'!F14</f>
        <v>0</v>
      </c>
      <c r="G68" s="2006">
        <f>'Total Emission_Composting'!G14</f>
        <v>0</v>
      </c>
      <c r="H68" s="2006" t="str">
        <f>'Total Emission_Composting'!H14</f>
        <v>NA</v>
      </c>
      <c r="I68" s="2006">
        <f>'Total Emission_Composting'!I14</f>
        <v>0</v>
      </c>
      <c r="J68" s="2006" t="str">
        <f>'Total Emission_Composting'!J14</f>
        <v>NA</v>
      </c>
      <c r="K68" s="2006" t="s">
        <v>897</v>
      </c>
      <c r="L68" s="2009">
        <f>'Emission-Preprocessing'!$R$25</f>
        <v>0</v>
      </c>
    </row>
    <row r="69" spans="1:12" x14ac:dyDescent="0.25">
      <c r="B69" s="1552"/>
      <c r="C69" s="1552"/>
      <c r="D69" s="1552"/>
      <c r="E69" s="1552"/>
      <c r="F69" s="1552"/>
      <c r="G69" s="1552"/>
      <c r="H69" s="1552"/>
      <c r="I69" s="1552"/>
      <c r="J69" s="1552"/>
      <c r="K69" s="1552"/>
    </row>
    <row r="70" spans="1:12" x14ac:dyDescent="0.25">
      <c r="B70" s="1552"/>
      <c r="C70" s="1552"/>
      <c r="D70" s="1552"/>
      <c r="E70" s="1552"/>
      <c r="F70" s="1552"/>
      <c r="G70" s="1552"/>
      <c r="H70" s="1552"/>
      <c r="I70" s="1552"/>
      <c r="J70" s="1552"/>
      <c r="K70" s="1552"/>
    </row>
  </sheetData>
  <mergeCells count="19">
    <mergeCell ref="A4:L4"/>
    <mergeCell ref="A5:L5"/>
    <mergeCell ref="A1:L2"/>
    <mergeCell ref="E38:F38"/>
    <mergeCell ref="E46:F46"/>
    <mergeCell ref="E41:F41"/>
    <mergeCell ref="E42:F42"/>
    <mergeCell ref="E43:F43"/>
    <mergeCell ref="E44:F44"/>
    <mergeCell ref="E45:F45"/>
    <mergeCell ref="A27:L27"/>
    <mergeCell ref="A58:L58"/>
    <mergeCell ref="E13:F13"/>
    <mergeCell ref="E15:F15"/>
    <mergeCell ref="E16:F16"/>
    <mergeCell ref="E17:F17"/>
    <mergeCell ref="E18:F18"/>
    <mergeCell ref="E20:F20"/>
    <mergeCell ref="E26:F26"/>
  </mergeCells>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13785C-B4B4-49E6-8DF7-9ABE4680F5E6}">
  <sheetPr codeName="Sheet3"/>
  <dimension ref="A1:I27"/>
  <sheetViews>
    <sheetView zoomScale="84" zoomScaleNormal="84" workbookViewId="0">
      <selection activeCell="A2" sqref="A2:I19"/>
    </sheetView>
  </sheetViews>
  <sheetFormatPr defaultRowHeight="15" x14ac:dyDescent="0.25"/>
  <cols>
    <col min="9" max="9" width="26.7109375" customWidth="1"/>
  </cols>
  <sheetData>
    <row r="1" spans="1:9" ht="27" customHeight="1" x14ac:dyDescent="0.25">
      <c r="A1" s="2242" t="s">
        <v>307</v>
      </c>
      <c r="B1" s="2243"/>
      <c r="C1" s="2243"/>
      <c r="D1" s="2243"/>
      <c r="E1" s="2243"/>
      <c r="F1" s="2243"/>
      <c r="G1" s="2243"/>
      <c r="H1" s="2243"/>
      <c r="I1" s="2244"/>
    </row>
    <row r="2" spans="1:9" ht="42.75" customHeight="1" x14ac:dyDescent="0.25">
      <c r="A2" s="2239" t="s">
        <v>325</v>
      </c>
      <c r="B2" s="2228"/>
      <c r="C2" s="2228"/>
      <c r="D2" s="2228"/>
      <c r="E2" s="2228"/>
      <c r="F2" s="2228"/>
      <c r="G2" s="2228"/>
      <c r="H2" s="2228"/>
      <c r="I2" s="2228"/>
    </row>
    <row r="3" spans="1:9" s="230" customFormat="1" ht="18.75" customHeight="1" x14ac:dyDescent="0.25">
      <c r="A3" s="2245" t="s">
        <v>1158</v>
      </c>
      <c r="B3" s="2246"/>
      <c r="C3" s="2246"/>
      <c r="D3" s="2246"/>
      <c r="E3" s="2246"/>
      <c r="F3" s="2246"/>
      <c r="G3" s="2246"/>
      <c r="H3" s="2246"/>
      <c r="I3" s="2247"/>
    </row>
    <row r="4" spans="1:9" x14ac:dyDescent="0.25">
      <c r="A4" s="2228" t="s">
        <v>313</v>
      </c>
      <c r="B4" s="2228"/>
      <c r="C4" s="2228"/>
      <c r="D4" s="2228"/>
      <c r="E4" s="2228"/>
      <c r="F4" s="2228"/>
      <c r="G4" s="2228"/>
      <c r="H4" s="2228"/>
      <c r="I4" s="2228"/>
    </row>
    <row r="5" spans="1:9" x14ac:dyDescent="0.25">
      <c r="A5" s="2228" t="s">
        <v>312</v>
      </c>
      <c r="B5" s="2228"/>
      <c r="C5" s="2228"/>
      <c r="D5" s="2228"/>
      <c r="E5" s="2228"/>
      <c r="F5" s="2228"/>
      <c r="G5" s="2228"/>
      <c r="H5" s="2228"/>
      <c r="I5" s="2228"/>
    </row>
    <row r="6" spans="1:9" x14ac:dyDescent="0.25">
      <c r="A6" s="2239" t="s">
        <v>308</v>
      </c>
      <c r="B6" s="2228"/>
      <c r="C6" s="2228"/>
      <c r="D6" s="2228"/>
      <c r="E6" s="2228"/>
      <c r="F6" s="2228"/>
      <c r="G6" s="2228"/>
      <c r="H6" s="2228"/>
      <c r="I6" s="2228"/>
    </row>
    <row r="7" spans="1:9" s="230" customFormat="1" ht="15.75" x14ac:dyDescent="0.25">
      <c r="A7" s="2236" t="s">
        <v>953</v>
      </c>
      <c r="B7" s="2237"/>
      <c r="C7" s="2237"/>
      <c r="D7" s="2237"/>
      <c r="E7" s="2237"/>
      <c r="F7" s="2237"/>
      <c r="G7" s="2237"/>
      <c r="H7" s="2237"/>
      <c r="I7" s="2238"/>
    </row>
    <row r="8" spans="1:9" s="230" customFormat="1" x14ac:dyDescent="0.25">
      <c r="A8" s="2239" t="s">
        <v>1149</v>
      </c>
      <c r="B8" s="2239"/>
      <c r="C8" s="2239"/>
      <c r="D8" s="2239"/>
      <c r="E8" s="2239"/>
      <c r="F8" s="2239"/>
      <c r="G8" s="2239"/>
      <c r="H8" s="2239"/>
      <c r="I8" s="2239"/>
    </row>
    <row r="9" spans="1:9" s="230" customFormat="1" x14ac:dyDescent="0.25">
      <c r="A9" s="2239" t="s">
        <v>1150</v>
      </c>
      <c r="B9" s="2239"/>
      <c r="C9" s="2239"/>
      <c r="D9" s="2239"/>
      <c r="E9" s="2239"/>
      <c r="F9" s="2239"/>
      <c r="G9" s="2239"/>
      <c r="H9" s="2239"/>
      <c r="I9" s="2239"/>
    </row>
    <row r="10" spans="1:9" s="230" customFormat="1" x14ac:dyDescent="0.25">
      <c r="A10" s="2239" t="s">
        <v>1720</v>
      </c>
      <c r="B10" s="2239"/>
      <c r="C10" s="2239"/>
      <c r="D10" s="2239"/>
      <c r="E10" s="2239"/>
      <c r="F10" s="2239"/>
      <c r="G10" s="2239"/>
      <c r="H10" s="2239"/>
      <c r="I10" s="2239"/>
    </row>
    <row r="11" spans="1:9" s="230" customFormat="1" x14ac:dyDescent="0.25">
      <c r="A11" s="2239" t="s">
        <v>1721</v>
      </c>
      <c r="B11" s="2239"/>
      <c r="C11" s="2239"/>
      <c r="D11" s="2239"/>
      <c r="E11" s="2239"/>
      <c r="F11" s="2239"/>
      <c r="G11" s="2239"/>
      <c r="H11" s="2239"/>
      <c r="I11" s="2239"/>
    </row>
    <row r="12" spans="1:9" s="230" customFormat="1" ht="15.75" x14ac:dyDescent="0.25">
      <c r="A12" s="2236" t="s">
        <v>776</v>
      </c>
      <c r="B12" s="2237"/>
      <c r="C12" s="2237"/>
      <c r="D12" s="2237"/>
      <c r="E12" s="2237"/>
      <c r="F12" s="2237"/>
      <c r="G12" s="2237"/>
      <c r="H12" s="2237"/>
      <c r="I12" s="2238"/>
    </row>
    <row r="13" spans="1:9" s="230" customFormat="1" x14ac:dyDescent="0.25">
      <c r="A13" s="2240" t="s">
        <v>1151</v>
      </c>
      <c r="B13" s="2240"/>
      <c r="C13" s="2240"/>
      <c r="D13" s="2240"/>
      <c r="E13" s="2240"/>
      <c r="F13" s="2240"/>
      <c r="G13" s="2240"/>
      <c r="H13" s="2240"/>
      <c r="I13" s="2240"/>
    </row>
    <row r="14" spans="1:9" s="230" customFormat="1" x14ac:dyDescent="0.25">
      <c r="A14" s="2241" t="s">
        <v>1152</v>
      </c>
      <c r="B14" s="2241"/>
      <c r="C14" s="2241"/>
      <c r="D14" s="2241"/>
      <c r="E14" s="2241"/>
      <c r="F14" s="2241"/>
      <c r="G14" s="2241"/>
      <c r="H14" s="2241"/>
      <c r="I14" s="2241"/>
    </row>
    <row r="15" spans="1:9" ht="18.75" customHeight="1" x14ac:dyDescent="0.25">
      <c r="A15" s="2241" t="s">
        <v>1153</v>
      </c>
      <c r="B15" s="2241"/>
      <c r="C15" s="2241"/>
      <c r="D15" s="2241"/>
      <c r="E15" s="2241"/>
      <c r="F15" s="2241"/>
      <c r="G15" s="2241"/>
      <c r="H15" s="2241"/>
      <c r="I15" s="2241"/>
    </row>
    <row r="16" spans="1:9" ht="14.25" customHeight="1" x14ac:dyDescent="0.25">
      <c r="A16" s="2240" t="s">
        <v>1160</v>
      </c>
      <c r="B16" s="2240"/>
      <c r="C16" s="2240"/>
      <c r="D16" s="2240"/>
      <c r="E16" s="2240"/>
      <c r="F16" s="2240"/>
      <c r="G16" s="2240"/>
      <c r="H16" s="2240"/>
      <c r="I16" s="2240"/>
    </row>
    <row r="17" spans="1:9" s="230" customFormat="1" ht="14.25" customHeight="1" x14ac:dyDescent="0.25">
      <c r="A17" s="2233" t="s">
        <v>777</v>
      </c>
      <c r="B17" s="2234"/>
      <c r="C17" s="2234"/>
      <c r="D17" s="2234"/>
      <c r="E17" s="2234"/>
      <c r="F17" s="2234"/>
      <c r="G17" s="2234"/>
      <c r="H17" s="2234"/>
      <c r="I17" s="2235"/>
    </row>
    <row r="18" spans="1:9" ht="18" customHeight="1" x14ac:dyDescent="0.25">
      <c r="A18" s="2241" t="s">
        <v>1154</v>
      </c>
      <c r="B18" s="2241"/>
      <c r="C18" s="2241"/>
      <c r="D18" s="2241"/>
      <c r="E18" s="2241"/>
      <c r="F18" s="2241"/>
      <c r="G18" s="2241"/>
      <c r="H18" s="2241"/>
      <c r="I18" s="2241"/>
    </row>
    <row r="19" spans="1:9" x14ac:dyDescent="0.25">
      <c r="A19" s="2241" t="s">
        <v>1155</v>
      </c>
      <c r="B19" s="2241"/>
      <c r="C19" s="2241"/>
      <c r="D19" s="2241"/>
      <c r="E19" s="2241"/>
      <c r="F19" s="2241"/>
      <c r="G19" s="2241"/>
      <c r="H19" s="2241"/>
      <c r="I19" s="2241"/>
    </row>
    <row r="20" spans="1:9" x14ac:dyDescent="0.25">
      <c r="A20" s="2241" t="s">
        <v>1156</v>
      </c>
      <c r="B20" s="2241"/>
      <c r="C20" s="2241"/>
      <c r="D20" s="2241"/>
      <c r="E20" s="2241"/>
      <c r="F20" s="2241"/>
      <c r="G20" s="2241"/>
      <c r="H20" s="2241"/>
      <c r="I20" s="2241"/>
    </row>
    <row r="21" spans="1:9" x14ac:dyDescent="0.25">
      <c r="A21" s="2241" t="s">
        <v>1157</v>
      </c>
      <c r="B21" s="2241"/>
      <c r="C21" s="2241"/>
      <c r="D21" s="2241"/>
      <c r="E21" s="2241"/>
      <c r="F21" s="2241"/>
      <c r="G21" s="2241"/>
      <c r="H21" s="2241"/>
      <c r="I21" s="2241"/>
    </row>
    <row r="22" spans="1:9" s="230" customFormat="1" ht="15.75" x14ac:dyDescent="0.25">
      <c r="A22" s="2233" t="s">
        <v>1629</v>
      </c>
      <c r="B22" s="2234"/>
      <c r="C22" s="2234"/>
      <c r="D22" s="2234"/>
      <c r="E22" s="2234"/>
      <c r="F22" s="2234"/>
      <c r="G22" s="2234"/>
      <c r="H22" s="2234"/>
      <c r="I22" s="2235"/>
    </row>
    <row r="23" spans="1:9" ht="17.25" customHeight="1" x14ac:dyDescent="0.25">
      <c r="A23" s="2248" t="s">
        <v>1630</v>
      </c>
      <c r="B23" s="2249"/>
      <c r="C23" s="2249"/>
      <c r="D23" s="2249"/>
      <c r="E23" s="2249"/>
      <c r="F23" s="2249"/>
      <c r="G23" s="2249"/>
      <c r="H23" s="2249"/>
      <c r="I23" s="2250"/>
    </row>
    <row r="24" spans="1:9" s="230" customFormat="1" ht="17.25" customHeight="1" x14ac:dyDescent="0.25">
      <c r="A24" s="2233" t="s">
        <v>1159</v>
      </c>
      <c r="B24" s="2234"/>
      <c r="C24" s="2234"/>
      <c r="D24" s="2234"/>
      <c r="E24" s="2234"/>
      <c r="F24" s="2234"/>
      <c r="G24" s="2234"/>
      <c r="H24" s="2234"/>
      <c r="I24" s="2235"/>
    </row>
    <row r="25" spans="1:9" s="230" customFormat="1" ht="17.25" customHeight="1" x14ac:dyDescent="0.25">
      <c r="A25" s="2230" t="s">
        <v>1631</v>
      </c>
      <c r="B25" s="2231"/>
      <c r="C25" s="2231"/>
      <c r="D25" s="2231"/>
      <c r="E25" s="2231"/>
      <c r="F25" s="2231"/>
      <c r="G25" s="2231"/>
      <c r="H25" s="2231"/>
      <c r="I25" s="2232"/>
    </row>
    <row r="26" spans="1:9" s="230" customFormat="1" ht="17.25" customHeight="1" x14ac:dyDescent="0.25">
      <c r="A26" s="2230" t="s">
        <v>1632</v>
      </c>
      <c r="B26" s="2231"/>
      <c r="C26" s="2231"/>
      <c r="D26" s="2231"/>
      <c r="E26" s="2231"/>
      <c r="F26" s="2231"/>
      <c r="G26" s="2231"/>
      <c r="H26" s="2231"/>
      <c r="I26" s="2232"/>
    </row>
    <row r="27" spans="1:9" ht="15" customHeight="1" x14ac:dyDescent="0.25">
      <c r="A27" s="2230" t="s">
        <v>1633</v>
      </c>
      <c r="B27" s="2231"/>
      <c r="C27" s="2231"/>
      <c r="D27" s="2231"/>
      <c r="E27" s="2231"/>
      <c r="F27" s="2231"/>
      <c r="G27" s="2231"/>
      <c r="H27" s="2231"/>
      <c r="I27" s="2232"/>
    </row>
  </sheetData>
  <mergeCells count="27">
    <mergeCell ref="A19:I19"/>
    <mergeCell ref="A20:I20"/>
    <mergeCell ref="A21:I21"/>
    <mergeCell ref="A24:I24"/>
    <mergeCell ref="A23:I23"/>
    <mergeCell ref="A1:I1"/>
    <mergeCell ref="A2:I2"/>
    <mergeCell ref="A4:I4"/>
    <mergeCell ref="A5:I5"/>
    <mergeCell ref="A6:I6"/>
    <mergeCell ref="A3:I3"/>
    <mergeCell ref="A26:I26"/>
    <mergeCell ref="A27:I27"/>
    <mergeCell ref="A22:I22"/>
    <mergeCell ref="A7:I7"/>
    <mergeCell ref="A12:I12"/>
    <mergeCell ref="A17:I17"/>
    <mergeCell ref="A8:I8"/>
    <mergeCell ref="A9:I9"/>
    <mergeCell ref="A10:I10"/>
    <mergeCell ref="A11:I11"/>
    <mergeCell ref="A25:I25"/>
    <mergeCell ref="A13:I13"/>
    <mergeCell ref="A14:I14"/>
    <mergeCell ref="A15:I15"/>
    <mergeCell ref="A16:I16"/>
    <mergeCell ref="A18:I18"/>
  </mergeCells>
  <pageMargins left="0.7" right="0.7" top="0.75" bottom="0.75" header="0.3" footer="0.3"/>
  <pageSetup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637C1C-8E07-467A-AA59-8E84D6F53001}">
  <sheetPr codeName="Sheet20"/>
  <dimension ref="A1:D84"/>
  <sheetViews>
    <sheetView workbookViewId="0">
      <selection sqref="A1:D1"/>
    </sheetView>
  </sheetViews>
  <sheetFormatPr defaultRowHeight="15" x14ac:dyDescent="0.25"/>
  <cols>
    <col min="1" max="1" width="75.5703125" customWidth="1"/>
    <col min="2" max="2" width="21.28515625" customWidth="1"/>
    <col min="3" max="3" width="19.5703125" customWidth="1"/>
    <col min="4" max="4" width="116.5703125" customWidth="1"/>
  </cols>
  <sheetData>
    <row r="1" spans="1:4" ht="15.75" x14ac:dyDescent="0.25">
      <c r="A1" s="3239" t="s">
        <v>549</v>
      </c>
      <c r="B1" s="3239"/>
      <c r="C1" s="3239"/>
      <c r="D1" s="3239"/>
    </row>
    <row r="2" spans="1:4" ht="15.75" x14ac:dyDescent="0.25">
      <c r="A2" s="1805" t="s">
        <v>550</v>
      </c>
      <c r="B2" s="1805"/>
      <c r="C2" s="1805"/>
      <c r="D2" s="1805"/>
    </row>
    <row r="3" spans="1:4" ht="15.75" x14ac:dyDescent="0.25">
      <c r="A3" s="301" t="s">
        <v>551</v>
      </c>
      <c r="B3" s="301" t="s">
        <v>552</v>
      </c>
      <c r="C3" s="301" t="s">
        <v>553</v>
      </c>
      <c r="D3" s="301" t="s">
        <v>554</v>
      </c>
    </row>
    <row r="4" spans="1:4" ht="15.75" x14ac:dyDescent="0.25">
      <c r="A4" s="302" t="s">
        <v>555</v>
      </c>
      <c r="B4" s="302" t="s">
        <v>556</v>
      </c>
      <c r="C4" s="302" t="s">
        <v>557</v>
      </c>
      <c r="D4" s="3240" t="s">
        <v>689</v>
      </c>
    </row>
    <row r="5" spans="1:4" ht="15.75" x14ac:dyDescent="0.25">
      <c r="A5" s="298" t="s">
        <v>558</v>
      </c>
      <c r="B5" s="298" t="s">
        <v>559</v>
      </c>
      <c r="C5" s="298" t="s">
        <v>560</v>
      </c>
      <c r="D5" s="3241"/>
    </row>
    <row r="6" spans="1:4" ht="15.75" x14ac:dyDescent="0.25">
      <c r="A6" s="302" t="s">
        <v>561</v>
      </c>
      <c r="B6" s="302">
        <v>4.9000000000000004</v>
      </c>
      <c r="C6" s="302">
        <v>47</v>
      </c>
      <c r="D6" s="3241"/>
    </row>
    <row r="7" spans="1:4" ht="15.75" x14ac:dyDescent="0.25">
      <c r="A7" s="298" t="s">
        <v>562</v>
      </c>
      <c r="B7" s="298">
        <v>28</v>
      </c>
      <c r="C7" s="298">
        <v>10</v>
      </c>
      <c r="D7" s="3241"/>
    </row>
    <row r="8" spans="1:4" ht="15.75" x14ac:dyDescent="0.25">
      <c r="A8" s="302" t="s">
        <v>563</v>
      </c>
      <c r="B8" s="302">
        <v>5.2</v>
      </c>
      <c r="C8" s="302">
        <v>94</v>
      </c>
      <c r="D8" s="3241"/>
    </row>
    <row r="9" spans="1:4" ht="15.75" x14ac:dyDescent="0.25">
      <c r="A9" s="298" t="s">
        <v>564</v>
      </c>
      <c r="B9" s="298" t="s">
        <v>565</v>
      </c>
      <c r="C9" s="298" t="s">
        <v>566</v>
      </c>
      <c r="D9" s="3241"/>
    </row>
    <row r="10" spans="1:4" ht="15.75" x14ac:dyDescent="0.25">
      <c r="A10" s="302" t="s">
        <v>567</v>
      </c>
      <c r="B10" s="302">
        <v>3.6</v>
      </c>
      <c r="C10" s="302">
        <v>76</v>
      </c>
      <c r="D10" s="3241"/>
    </row>
    <row r="11" spans="1:4" ht="15.75" x14ac:dyDescent="0.25">
      <c r="A11" s="298" t="s">
        <v>568</v>
      </c>
      <c r="B11" s="298" t="s">
        <v>569</v>
      </c>
      <c r="C11" s="298"/>
      <c r="D11" s="3241"/>
    </row>
    <row r="12" spans="1:4" ht="15.75" x14ac:dyDescent="0.25">
      <c r="A12" s="302" t="s">
        <v>570</v>
      </c>
      <c r="B12" s="302">
        <v>2.2000000000000002</v>
      </c>
      <c r="C12" s="302">
        <v>63</v>
      </c>
      <c r="D12" s="3241"/>
    </row>
    <row r="13" spans="1:4" ht="15.75" x14ac:dyDescent="0.25">
      <c r="A13" s="298" t="s">
        <v>571</v>
      </c>
      <c r="B13" s="298">
        <v>5</v>
      </c>
      <c r="C13" s="298">
        <v>65</v>
      </c>
      <c r="D13" s="3241"/>
    </row>
    <row r="14" spans="1:4" ht="15.75" x14ac:dyDescent="0.25">
      <c r="A14" s="302" t="s">
        <v>572</v>
      </c>
      <c r="B14" s="302" t="s">
        <v>573</v>
      </c>
      <c r="C14" s="302" t="s">
        <v>574</v>
      </c>
      <c r="D14" s="3241"/>
    </row>
    <row r="15" spans="1:4" ht="15.75" x14ac:dyDescent="0.25">
      <c r="A15" s="298" t="s">
        <v>575</v>
      </c>
      <c r="B15" s="298">
        <v>3.4</v>
      </c>
      <c r="C15" s="298">
        <v>78</v>
      </c>
      <c r="D15" s="3241"/>
    </row>
    <row r="16" spans="1:4" ht="15.75" x14ac:dyDescent="0.25">
      <c r="A16" s="302" t="s">
        <v>576</v>
      </c>
      <c r="B16" s="302" t="s">
        <v>577</v>
      </c>
      <c r="C16" s="302"/>
      <c r="D16" s="3241"/>
    </row>
    <row r="17" spans="1:4" ht="15.75" x14ac:dyDescent="0.25">
      <c r="A17" s="298" t="s">
        <v>578</v>
      </c>
      <c r="B17" s="298" t="s">
        <v>579</v>
      </c>
      <c r="C17" s="298" t="s">
        <v>580</v>
      </c>
      <c r="D17" s="3241"/>
    </row>
    <row r="18" spans="1:4" ht="15.75" x14ac:dyDescent="0.25">
      <c r="A18" s="302" t="s">
        <v>581</v>
      </c>
      <c r="B18" s="302" t="s">
        <v>582</v>
      </c>
      <c r="C18" s="302"/>
      <c r="D18" s="3241"/>
    </row>
    <row r="19" spans="1:4" ht="15.75" x14ac:dyDescent="0.25">
      <c r="A19" s="298" t="s">
        <v>583</v>
      </c>
      <c r="B19" s="298">
        <v>13</v>
      </c>
      <c r="C19" s="298">
        <v>83</v>
      </c>
      <c r="D19" s="3241"/>
    </row>
    <row r="20" spans="1:4" ht="15.75" x14ac:dyDescent="0.25">
      <c r="A20" s="302" t="s">
        <v>584</v>
      </c>
      <c r="B20" s="302" t="s">
        <v>585</v>
      </c>
      <c r="C20" s="302" t="s">
        <v>586</v>
      </c>
      <c r="D20" s="3241"/>
    </row>
    <row r="21" spans="1:4" ht="15.75" x14ac:dyDescent="0.25">
      <c r="A21" s="298" t="s">
        <v>587</v>
      </c>
      <c r="B21" s="298">
        <v>40</v>
      </c>
      <c r="C21" s="298"/>
      <c r="D21" s="3241"/>
    </row>
    <row r="22" spans="1:4" ht="15.75" x14ac:dyDescent="0.25">
      <c r="A22" s="302" t="s">
        <v>588</v>
      </c>
      <c r="B22" s="302">
        <v>18</v>
      </c>
      <c r="C22" s="302">
        <v>79</v>
      </c>
      <c r="D22" s="3241"/>
    </row>
    <row r="23" spans="1:4" ht="15.75" x14ac:dyDescent="0.25">
      <c r="A23" s="298" t="s">
        <v>589</v>
      </c>
      <c r="B23" s="298" t="s">
        <v>590</v>
      </c>
      <c r="C23" s="298" t="s">
        <v>75</v>
      </c>
      <c r="D23" s="3241"/>
    </row>
    <row r="24" spans="1:4" ht="15.75" x14ac:dyDescent="0.25">
      <c r="A24" s="302" t="s">
        <v>591</v>
      </c>
      <c r="B24" s="302">
        <v>19</v>
      </c>
      <c r="C24" s="302">
        <v>87</v>
      </c>
      <c r="D24" s="3241"/>
    </row>
    <row r="25" spans="1:4" ht="15.75" x14ac:dyDescent="0.25">
      <c r="A25" s="298" t="s">
        <v>592</v>
      </c>
      <c r="B25" s="298" t="s">
        <v>593</v>
      </c>
      <c r="C25" s="298" t="s">
        <v>594</v>
      </c>
      <c r="D25" s="3241"/>
    </row>
    <row r="26" spans="1:4" ht="15.75" x14ac:dyDescent="0.25">
      <c r="A26" s="302" t="s">
        <v>595</v>
      </c>
      <c r="B26" s="302">
        <v>98</v>
      </c>
      <c r="C26" s="302">
        <v>15</v>
      </c>
      <c r="D26" s="3241"/>
    </row>
    <row r="27" spans="1:4" ht="15.75" x14ac:dyDescent="0.25">
      <c r="A27" s="298" t="s">
        <v>596</v>
      </c>
      <c r="B27" s="298" t="s">
        <v>597</v>
      </c>
      <c r="C27" s="298">
        <v>12</v>
      </c>
      <c r="D27" s="3241"/>
    </row>
    <row r="28" spans="1:4" ht="15.75" x14ac:dyDescent="0.25">
      <c r="A28" s="303" t="s">
        <v>598</v>
      </c>
      <c r="B28" s="303">
        <v>7</v>
      </c>
      <c r="C28" s="303"/>
      <c r="D28" s="3241"/>
    </row>
    <row r="29" spans="1:4" ht="15.75" x14ac:dyDescent="0.25">
      <c r="A29" s="298" t="s">
        <v>599</v>
      </c>
      <c r="B29" s="298" t="s">
        <v>600</v>
      </c>
      <c r="C29" s="298" t="s">
        <v>601</v>
      </c>
      <c r="D29" s="3241"/>
    </row>
    <row r="30" spans="1:4" ht="15.75" x14ac:dyDescent="0.25">
      <c r="A30" s="303" t="s">
        <v>602</v>
      </c>
      <c r="B30" s="303">
        <v>6</v>
      </c>
      <c r="C30" s="303"/>
      <c r="D30" s="3241"/>
    </row>
    <row r="31" spans="1:4" ht="15.75" x14ac:dyDescent="0.25">
      <c r="A31" s="298" t="s">
        <v>603</v>
      </c>
      <c r="B31" s="298">
        <v>16</v>
      </c>
      <c r="C31" s="298"/>
      <c r="D31" s="3241"/>
    </row>
    <row r="32" spans="1:4" ht="15.75" x14ac:dyDescent="0.25">
      <c r="A32" s="303" t="s">
        <v>604</v>
      </c>
      <c r="B32" s="303" t="s">
        <v>605</v>
      </c>
      <c r="C32" s="303"/>
      <c r="D32" s="3241"/>
    </row>
    <row r="33" spans="1:4" ht="15.75" x14ac:dyDescent="0.25">
      <c r="A33" s="298" t="s">
        <v>606</v>
      </c>
      <c r="B33" s="298">
        <v>54</v>
      </c>
      <c r="C33" s="298">
        <v>82</v>
      </c>
      <c r="D33" s="3241"/>
    </row>
    <row r="34" spans="1:4" ht="15.75" x14ac:dyDescent="0.25">
      <c r="A34" s="303" t="s">
        <v>607</v>
      </c>
      <c r="B34" s="303" t="s">
        <v>608</v>
      </c>
      <c r="C34" s="303"/>
      <c r="D34" s="3241"/>
    </row>
    <row r="35" spans="1:4" ht="15.75" x14ac:dyDescent="0.25">
      <c r="A35" s="298" t="s">
        <v>609</v>
      </c>
      <c r="B35" s="298">
        <v>17</v>
      </c>
      <c r="C35" s="298">
        <v>82</v>
      </c>
      <c r="D35" s="3241"/>
    </row>
    <row r="36" spans="1:4" ht="15.75" x14ac:dyDescent="0.25">
      <c r="A36" s="303" t="s">
        <v>610</v>
      </c>
      <c r="B36" s="303" t="s">
        <v>611</v>
      </c>
      <c r="C36" s="303" t="s">
        <v>612</v>
      </c>
      <c r="D36" s="3241"/>
    </row>
    <row r="37" spans="1:4" ht="15.75" x14ac:dyDescent="0.25">
      <c r="A37" s="298" t="s">
        <v>613</v>
      </c>
      <c r="B37" s="298">
        <v>90</v>
      </c>
      <c r="C37" s="298">
        <v>82</v>
      </c>
      <c r="D37" s="3241"/>
    </row>
    <row r="38" spans="1:4" ht="15.75" x14ac:dyDescent="0.25">
      <c r="A38" s="302" t="s">
        <v>614</v>
      </c>
      <c r="B38" s="302">
        <v>563</v>
      </c>
      <c r="C38" s="302">
        <v>8</v>
      </c>
      <c r="D38" s="3241"/>
    </row>
    <row r="39" spans="1:4" ht="15.75" x14ac:dyDescent="0.25">
      <c r="A39" s="298" t="s">
        <v>615</v>
      </c>
      <c r="B39" s="298">
        <v>772</v>
      </c>
      <c r="C39" s="298">
        <v>6</v>
      </c>
      <c r="D39" s="3242"/>
    </row>
    <row r="40" spans="1:4" ht="15.75" x14ac:dyDescent="0.25">
      <c r="A40" s="303" t="s">
        <v>616</v>
      </c>
      <c r="B40" s="303">
        <v>35</v>
      </c>
      <c r="C40" s="303"/>
      <c r="D40" s="3243" t="s">
        <v>690</v>
      </c>
    </row>
    <row r="41" spans="1:4" ht="15.75" x14ac:dyDescent="0.25">
      <c r="A41" s="298" t="s">
        <v>617</v>
      </c>
      <c r="B41" s="298">
        <v>25</v>
      </c>
      <c r="C41" s="298"/>
      <c r="D41" s="3244"/>
    </row>
    <row r="42" spans="1:4" ht="15.75" x14ac:dyDescent="0.25">
      <c r="A42" s="303" t="s">
        <v>596</v>
      </c>
      <c r="B42" s="303" t="s">
        <v>597</v>
      </c>
      <c r="C42" s="303"/>
      <c r="D42" s="3244"/>
    </row>
    <row r="43" spans="1:4" ht="15.75" x14ac:dyDescent="0.25">
      <c r="A43" s="298" t="s">
        <v>618</v>
      </c>
      <c r="B43" s="298">
        <v>60</v>
      </c>
      <c r="C43" s="298"/>
      <c r="D43" s="3244"/>
    </row>
    <row r="44" spans="1:4" ht="15.75" x14ac:dyDescent="0.25">
      <c r="A44" s="303" t="s">
        <v>606</v>
      </c>
      <c r="B44" s="303">
        <v>60</v>
      </c>
      <c r="C44" s="303" t="s">
        <v>75</v>
      </c>
      <c r="D44" s="3244"/>
    </row>
    <row r="45" spans="1:4" ht="15.75" x14ac:dyDescent="0.25">
      <c r="A45" s="298" t="s">
        <v>619</v>
      </c>
      <c r="B45" s="298">
        <v>30</v>
      </c>
      <c r="C45" s="298"/>
      <c r="D45" s="3244"/>
    </row>
    <row r="46" spans="1:4" ht="15.75" x14ac:dyDescent="0.25">
      <c r="A46" s="303" t="s">
        <v>620</v>
      </c>
      <c r="B46" s="303">
        <v>175</v>
      </c>
      <c r="C46" s="303" t="s">
        <v>612</v>
      </c>
      <c r="D46" s="3244"/>
    </row>
    <row r="47" spans="1:4" ht="15.75" x14ac:dyDescent="0.25">
      <c r="A47" s="298" t="s">
        <v>621</v>
      </c>
      <c r="B47" s="298">
        <v>325</v>
      </c>
      <c r="C47" s="298"/>
      <c r="D47" s="3244"/>
    </row>
    <row r="48" spans="1:4" ht="15.75" x14ac:dyDescent="0.25">
      <c r="A48" s="303" t="s">
        <v>622</v>
      </c>
      <c r="B48" s="303">
        <v>350</v>
      </c>
      <c r="C48" s="303"/>
      <c r="D48" s="3245"/>
    </row>
    <row r="49" spans="1:4" ht="15.75" x14ac:dyDescent="0.25">
      <c r="A49" s="298" t="s">
        <v>623</v>
      </c>
      <c r="B49" s="298" t="s">
        <v>624</v>
      </c>
      <c r="C49" s="298"/>
      <c r="D49" s="3236" t="s">
        <v>691</v>
      </c>
    </row>
    <row r="50" spans="1:4" ht="15.75" x14ac:dyDescent="0.25">
      <c r="A50" s="302" t="s">
        <v>625</v>
      </c>
      <c r="B50" s="302">
        <v>11</v>
      </c>
      <c r="C50" s="302"/>
      <c r="D50" s="3237"/>
    </row>
    <row r="51" spans="1:4" ht="15.75" x14ac:dyDescent="0.25">
      <c r="A51" s="298" t="s">
        <v>626</v>
      </c>
      <c r="B51" s="298" t="s">
        <v>627</v>
      </c>
      <c r="C51" s="298"/>
      <c r="D51" s="3237"/>
    </row>
    <row r="52" spans="1:4" ht="15.75" x14ac:dyDescent="0.25">
      <c r="A52" s="302" t="s">
        <v>628</v>
      </c>
      <c r="B52" s="302" t="s">
        <v>629</v>
      </c>
      <c r="C52" s="302"/>
      <c r="D52" s="3237"/>
    </row>
    <row r="53" spans="1:4" ht="15.75" x14ac:dyDescent="0.25">
      <c r="A53" s="298" t="s">
        <v>630</v>
      </c>
      <c r="B53" s="298" t="s">
        <v>631</v>
      </c>
      <c r="C53" s="298"/>
      <c r="D53" s="3237"/>
    </row>
    <row r="54" spans="1:4" ht="15.75" x14ac:dyDescent="0.25">
      <c r="A54" s="302" t="s">
        <v>632</v>
      </c>
      <c r="B54" s="302" t="s">
        <v>633</v>
      </c>
      <c r="C54" s="303"/>
      <c r="D54" s="3237"/>
    </row>
    <row r="55" spans="1:4" ht="15.75" x14ac:dyDescent="0.25">
      <c r="A55" s="298" t="s">
        <v>634</v>
      </c>
      <c r="B55" s="298" t="s">
        <v>635</v>
      </c>
      <c r="C55" s="298"/>
      <c r="D55" s="3237"/>
    </row>
    <row r="56" spans="1:4" ht="15.75" x14ac:dyDescent="0.25">
      <c r="A56" s="302" t="s">
        <v>636</v>
      </c>
      <c r="B56" s="302" t="s">
        <v>637</v>
      </c>
      <c r="C56" s="303"/>
      <c r="D56" s="3237"/>
    </row>
    <row r="57" spans="1:4" ht="15.75" x14ac:dyDescent="0.25">
      <c r="A57" s="298" t="s">
        <v>638</v>
      </c>
      <c r="B57" s="298">
        <v>28</v>
      </c>
      <c r="C57" s="298"/>
      <c r="D57" s="3237"/>
    </row>
    <row r="58" spans="1:4" ht="15.75" x14ac:dyDescent="0.25">
      <c r="A58" s="302" t="s">
        <v>639</v>
      </c>
      <c r="B58" s="303" t="s">
        <v>640</v>
      </c>
      <c r="C58" s="303"/>
      <c r="D58" s="3237"/>
    </row>
    <row r="59" spans="1:4" ht="15.75" x14ac:dyDescent="0.25">
      <c r="A59" s="298" t="s">
        <v>641</v>
      </c>
      <c r="B59" s="298" t="s">
        <v>642</v>
      </c>
      <c r="C59" s="298"/>
      <c r="D59" s="3237"/>
    </row>
    <row r="60" spans="1:4" ht="15.75" x14ac:dyDescent="0.25">
      <c r="A60" s="303" t="s">
        <v>643</v>
      </c>
      <c r="B60" s="303" t="s">
        <v>644</v>
      </c>
      <c r="C60" s="303"/>
      <c r="D60" s="3237"/>
    </row>
    <row r="61" spans="1:4" ht="15.75" x14ac:dyDescent="0.25">
      <c r="A61" s="298" t="s">
        <v>645</v>
      </c>
      <c r="B61" s="298" t="s">
        <v>646</v>
      </c>
      <c r="C61" s="298"/>
      <c r="D61" s="3237"/>
    </row>
    <row r="62" spans="1:4" ht="15.75" x14ac:dyDescent="0.25">
      <c r="A62" s="303" t="s">
        <v>647</v>
      </c>
      <c r="B62" s="303" t="s">
        <v>648</v>
      </c>
      <c r="C62" s="303"/>
      <c r="D62" s="3237"/>
    </row>
    <row r="63" spans="1:4" ht="15.75" x14ac:dyDescent="0.25">
      <c r="A63" s="298" t="s">
        <v>649</v>
      </c>
      <c r="B63" s="298" t="s">
        <v>650</v>
      </c>
      <c r="C63" s="298"/>
      <c r="D63" s="3237"/>
    </row>
    <row r="64" spans="1:4" ht="15.75" x14ac:dyDescent="0.25">
      <c r="A64" s="303" t="s">
        <v>651</v>
      </c>
      <c r="B64" s="303" t="s">
        <v>652</v>
      </c>
      <c r="C64" s="303"/>
      <c r="D64" s="3237"/>
    </row>
    <row r="65" spans="1:4" ht="15.75" x14ac:dyDescent="0.25">
      <c r="A65" s="298" t="s">
        <v>653</v>
      </c>
      <c r="B65" s="298" t="s">
        <v>654</v>
      </c>
      <c r="C65" s="298"/>
      <c r="D65" s="3237"/>
    </row>
    <row r="66" spans="1:4" ht="15.75" x14ac:dyDescent="0.25">
      <c r="A66" s="303" t="s">
        <v>655</v>
      </c>
      <c r="B66" s="303" t="s">
        <v>656</v>
      </c>
      <c r="C66" s="303"/>
      <c r="D66" s="3237"/>
    </row>
    <row r="67" spans="1:4" ht="15.75" x14ac:dyDescent="0.25">
      <c r="A67" s="298" t="s">
        <v>657</v>
      </c>
      <c r="B67" s="298" t="s">
        <v>658</v>
      </c>
      <c r="C67" s="298"/>
      <c r="D67" s="3237"/>
    </row>
    <row r="68" spans="1:4" ht="15.75" x14ac:dyDescent="0.25">
      <c r="A68" s="303" t="s">
        <v>659</v>
      </c>
      <c r="B68" s="303" t="s">
        <v>660</v>
      </c>
      <c r="C68" s="303"/>
      <c r="D68" s="3237"/>
    </row>
    <row r="69" spans="1:4" ht="15.75" x14ac:dyDescent="0.25">
      <c r="A69" s="298" t="s">
        <v>661</v>
      </c>
      <c r="B69" s="298" t="s">
        <v>662</v>
      </c>
      <c r="C69" s="298"/>
      <c r="D69" s="3237"/>
    </row>
    <row r="70" spans="1:4" ht="15.75" x14ac:dyDescent="0.25">
      <c r="A70" s="303" t="s">
        <v>663</v>
      </c>
      <c r="B70" s="303" t="s">
        <v>664</v>
      </c>
      <c r="C70" s="303"/>
      <c r="D70" s="3237"/>
    </row>
    <row r="71" spans="1:4" ht="15.75" x14ac:dyDescent="0.25">
      <c r="A71" s="298" t="s">
        <v>665</v>
      </c>
      <c r="B71" s="298" t="s">
        <v>666</v>
      </c>
      <c r="C71" s="298"/>
      <c r="D71" s="3237"/>
    </row>
    <row r="72" spans="1:4" ht="15.75" x14ac:dyDescent="0.25">
      <c r="A72" s="303" t="s">
        <v>667</v>
      </c>
      <c r="B72" s="303" t="s">
        <v>668</v>
      </c>
      <c r="C72" s="303"/>
      <c r="D72" s="3237"/>
    </row>
    <row r="73" spans="1:4" ht="15.75" x14ac:dyDescent="0.25">
      <c r="A73" s="298" t="s">
        <v>669</v>
      </c>
      <c r="B73" s="298" t="s">
        <v>670</v>
      </c>
      <c r="C73" s="298"/>
      <c r="D73" s="3237"/>
    </row>
    <row r="74" spans="1:4" ht="15.75" x14ac:dyDescent="0.25">
      <c r="A74" s="303" t="s">
        <v>621</v>
      </c>
      <c r="B74" s="303" t="s">
        <v>671</v>
      </c>
      <c r="C74" s="303"/>
      <c r="D74" s="3238"/>
    </row>
    <row r="75" spans="1:4" ht="15.75" x14ac:dyDescent="0.25">
      <c r="A75" s="304" t="s">
        <v>672</v>
      </c>
      <c r="B75" s="304" t="s">
        <v>673</v>
      </c>
      <c r="C75" s="304"/>
      <c r="D75" s="3246" t="s">
        <v>692</v>
      </c>
    </row>
    <row r="76" spans="1:4" ht="15.75" x14ac:dyDescent="0.25">
      <c r="A76" s="303" t="s">
        <v>674</v>
      </c>
      <c r="B76" s="303">
        <v>10</v>
      </c>
      <c r="C76" s="303"/>
      <c r="D76" s="3247"/>
    </row>
    <row r="77" spans="1:4" ht="15.75" x14ac:dyDescent="0.25">
      <c r="A77" s="298" t="s">
        <v>675</v>
      </c>
      <c r="B77" s="298" t="s">
        <v>676</v>
      </c>
      <c r="C77" s="298"/>
      <c r="D77" s="3247"/>
    </row>
    <row r="78" spans="1:4" ht="15.75" x14ac:dyDescent="0.25">
      <c r="A78" s="303" t="s">
        <v>677</v>
      </c>
      <c r="B78" s="303" t="s">
        <v>678</v>
      </c>
      <c r="C78" s="303"/>
      <c r="D78" s="3247"/>
    </row>
    <row r="79" spans="1:4" ht="15.75" x14ac:dyDescent="0.25">
      <c r="A79" s="298" t="s">
        <v>679</v>
      </c>
      <c r="B79" s="298">
        <v>68</v>
      </c>
      <c r="C79" s="298"/>
      <c r="D79" s="3247"/>
    </row>
    <row r="80" spans="1:4" ht="15.75" x14ac:dyDescent="0.25">
      <c r="A80" s="304" t="s">
        <v>680</v>
      </c>
      <c r="B80" s="304">
        <v>22</v>
      </c>
      <c r="C80" s="304"/>
      <c r="D80" s="3248"/>
    </row>
    <row r="81" spans="1:4" ht="15.75" x14ac:dyDescent="0.25">
      <c r="A81" s="305" t="s">
        <v>681</v>
      </c>
      <c r="B81" s="305" t="s">
        <v>682</v>
      </c>
      <c r="C81" s="305"/>
      <c r="D81" s="3236" t="s">
        <v>693</v>
      </c>
    </row>
    <row r="82" spans="1:4" ht="15.75" x14ac:dyDescent="0.25">
      <c r="A82" s="306" t="s">
        <v>683</v>
      </c>
      <c r="B82" s="306" t="s">
        <v>684</v>
      </c>
      <c r="C82" s="306"/>
      <c r="D82" s="3237"/>
    </row>
    <row r="83" spans="1:4" ht="15.75" x14ac:dyDescent="0.25">
      <c r="A83" s="305" t="s">
        <v>685</v>
      </c>
      <c r="B83" s="305" t="s">
        <v>686</v>
      </c>
      <c r="C83" s="305"/>
      <c r="D83" s="3237"/>
    </row>
    <row r="84" spans="1:4" ht="15.75" x14ac:dyDescent="0.25">
      <c r="A84" s="306" t="s">
        <v>687</v>
      </c>
      <c r="B84" s="306" t="s">
        <v>688</v>
      </c>
      <c r="C84" s="306"/>
      <c r="D84" s="3238"/>
    </row>
  </sheetData>
  <mergeCells count="6">
    <mergeCell ref="D81:D84"/>
    <mergeCell ref="A1:D1"/>
    <mergeCell ref="D4:D39"/>
    <mergeCell ref="D40:D48"/>
    <mergeCell ref="D49:D74"/>
    <mergeCell ref="D75:D80"/>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3"/>
  <dimension ref="A1:M15"/>
  <sheetViews>
    <sheetView workbookViewId="0">
      <selection activeCell="E14" sqref="E14"/>
    </sheetView>
  </sheetViews>
  <sheetFormatPr defaultRowHeight="15" x14ac:dyDescent="0.25"/>
  <cols>
    <col min="1" max="1" width="32.85546875" customWidth="1"/>
    <col min="2" max="2" width="20" customWidth="1"/>
    <col min="3" max="3" width="25.28515625" customWidth="1"/>
  </cols>
  <sheetData>
    <row r="1" spans="1:13" ht="35.25" customHeight="1" x14ac:dyDescent="0.25">
      <c r="A1" s="2645" t="s">
        <v>53</v>
      </c>
      <c r="B1" s="2646"/>
      <c r="C1" s="2647"/>
      <c r="D1" s="12"/>
    </row>
    <row r="2" spans="1:13" x14ac:dyDescent="0.25">
      <c r="A2" s="64"/>
      <c r="B2" s="63"/>
      <c r="C2" s="65"/>
      <c r="D2" s="11"/>
    </row>
    <row r="3" spans="1:13" x14ac:dyDescent="0.25">
      <c r="A3" s="60" t="s">
        <v>2</v>
      </c>
      <c r="B3" s="61" t="s">
        <v>3</v>
      </c>
      <c r="C3" s="62" t="s">
        <v>4</v>
      </c>
      <c r="D3" s="11"/>
    </row>
    <row r="4" spans="1:13" x14ac:dyDescent="0.25">
      <c r="A4" s="64" t="s">
        <v>366</v>
      </c>
      <c r="B4" s="63">
        <v>0.30470000000000003</v>
      </c>
      <c r="C4" s="65" t="s">
        <v>54</v>
      </c>
      <c r="D4" s="11"/>
      <c r="F4" s="67"/>
    </row>
    <row r="5" spans="1:13" x14ac:dyDescent="0.25">
      <c r="A5" s="64" t="s">
        <v>365</v>
      </c>
      <c r="B5" s="63">
        <v>3412</v>
      </c>
      <c r="C5" s="65" t="s">
        <v>55</v>
      </c>
      <c r="D5" s="11"/>
    </row>
    <row r="6" spans="1:13" x14ac:dyDescent="0.25">
      <c r="A6" s="64" t="s">
        <v>367</v>
      </c>
      <c r="B6" s="63">
        <v>31</v>
      </c>
      <c r="C6" s="65" t="s">
        <v>56</v>
      </c>
      <c r="D6" s="11"/>
    </row>
    <row r="7" spans="1:13" x14ac:dyDescent="0.25">
      <c r="A7" s="64" t="s">
        <v>57</v>
      </c>
      <c r="B7" s="169">
        <v>124000</v>
      </c>
      <c r="C7" s="65" t="s">
        <v>55</v>
      </c>
      <c r="D7" s="11"/>
    </row>
    <row r="8" spans="1:13" ht="17.25" x14ac:dyDescent="0.25">
      <c r="A8" s="64" t="s">
        <v>58</v>
      </c>
      <c r="B8" s="157">
        <v>4951.13</v>
      </c>
      <c r="C8" s="65" t="s">
        <v>368</v>
      </c>
      <c r="D8" s="11"/>
    </row>
    <row r="9" spans="1:13" ht="17.25" x14ac:dyDescent="0.25">
      <c r="A9" s="64" t="s">
        <v>58</v>
      </c>
      <c r="B9" s="157">
        <v>3785.4117799999999</v>
      </c>
      <c r="C9" s="65" t="s">
        <v>369</v>
      </c>
      <c r="D9" s="11"/>
    </row>
    <row r="10" spans="1:13" ht="17.25" x14ac:dyDescent="0.25">
      <c r="A10" s="64" t="s">
        <v>59</v>
      </c>
      <c r="B10" s="169">
        <v>133680.55555555999</v>
      </c>
      <c r="C10" s="65" t="s">
        <v>370</v>
      </c>
      <c r="D10" s="11"/>
    </row>
    <row r="11" spans="1:13" x14ac:dyDescent="0.25">
      <c r="A11" s="64" t="s">
        <v>60</v>
      </c>
      <c r="B11" s="63">
        <f xml:space="preserve"> 8.35</f>
        <v>8.35</v>
      </c>
      <c r="C11" s="65" t="s">
        <v>5</v>
      </c>
      <c r="D11" s="11"/>
      <c r="E11" s="72"/>
      <c r="F11" s="18"/>
      <c r="G11" s="18"/>
      <c r="H11" s="18"/>
      <c r="I11" s="18"/>
      <c r="J11" s="18"/>
      <c r="K11" s="18"/>
      <c r="L11" s="18"/>
      <c r="M11" s="18"/>
    </row>
    <row r="12" spans="1:13" x14ac:dyDescent="0.25">
      <c r="A12" s="64" t="s">
        <v>61</v>
      </c>
      <c r="B12" s="63">
        <v>2000</v>
      </c>
      <c r="C12" s="65" t="s">
        <v>62</v>
      </c>
      <c r="D12" s="11"/>
      <c r="E12" s="18"/>
      <c r="F12" s="18"/>
      <c r="G12" s="18"/>
      <c r="H12" s="18"/>
      <c r="I12" s="18"/>
      <c r="J12" s="18"/>
      <c r="K12" s="18"/>
      <c r="L12" s="18"/>
      <c r="M12" s="18"/>
    </row>
    <row r="13" spans="1:13" x14ac:dyDescent="0.25">
      <c r="A13" s="73" t="s">
        <v>213</v>
      </c>
      <c r="B13" s="71">
        <v>115000</v>
      </c>
      <c r="C13" s="74" t="s">
        <v>214</v>
      </c>
    </row>
    <row r="14" spans="1:13" x14ac:dyDescent="0.25">
      <c r="A14" s="73" t="s">
        <v>215</v>
      </c>
      <c r="B14" s="71">
        <v>139000</v>
      </c>
      <c r="C14" s="74" t="s">
        <v>214</v>
      </c>
    </row>
    <row r="15" spans="1:13" ht="15.75" thickBot="1" x14ac:dyDescent="0.3">
      <c r="A15" s="75" t="s">
        <v>216</v>
      </c>
      <c r="B15" s="50">
        <v>2.9300000000000002E-4</v>
      </c>
      <c r="C15" s="76" t="s">
        <v>371</v>
      </c>
    </row>
  </sheetData>
  <mergeCells count="1">
    <mergeCell ref="A1:C1"/>
  </mergeCells>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4"/>
  <dimension ref="A1:AD74"/>
  <sheetViews>
    <sheetView topLeftCell="A28" zoomScale="98" zoomScaleNormal="98" workbookViewId="0">
      <selection activeCell="D31" sqref="D31:I31"/>
    </sheetView>
  </sheetViews>
  <sheetFormatPr defaultRowHeight="15" x14ac:dyDescent="0.25"/>
  <cols>
    <col min="3" max="3" width="41" customWidth="1"/>
    <col min="9" max="9" width="60.28515625" customWidth="1"/>
    <col min="17" max="17" width="4.140625" customWidth="1"/>
    <col min="18" max="18" width="18" customWidth="1"/>
    <col min="23" max="23" width="70.140625" customWidth="1"/>
    <col min="30" max="30" width="26.5703125" customWidth="1"/>
  </cols>
  <sheetData>
    <row r="1" spans="1:30" ht="18.75" x14ac:dyDescent="0.25">
      <c r="A1" s="3279" t="s">
        <v>63</v>
      </c>
      <c r="B1" s="2648"/>
      <c r="C1" s="2648"/>
      <c r="D1" s="2648"/>
      <c r="E1" s="2648"/>
      <c r="F1" s="2648"/>
      <c r="G1" s="2648"/>
      <c r="H1" s="2648"/>
      <c r="I1" s="2648"/>
      <c r="J1" s="2648"/>
      <c r="K1" s="2648"/>
      <c r="L1" s="2648"/>
      <c r="M1" s="2648"/>
      <c r="N1" s="2648"/>
      <c r="O1" s="11"/>
      <c r="P1" s="11"/>
      <c r="Q1" s="11"/>
      <c r="R1" s="11"/>
      <c r="S1" s="11"/>
      <c r="T1" s="11"/>
      <c r="U1" s="11"/>
      <c r="V1" s="11"/>
      <c r="W1" s="11"/>
      <c r="X1" s="11"/>
      <c r="Y1" s="11"/>
      <c r="Z1" s="11"/>
      <c r="AA1" s="11"/>
      <c r="AB1" s="11"/>
      <c r="AC1" s="11"/>
      <c r="AD1" s="11"/>
    </row>
    <row r="2" spans="1:30" ht="40.5" customHeight="1" x14ac:dyDescent="0.25">
      <c r="A2" s="3280" t="s">
        <v>88</v>
      </c>
      <c r="B2" s="3280"/>
      <c r="C2" s="3280"/>
      <c r="D2" s="3280"/>
      <c r="E2" s="3280"/>
      <c r="F2" s="3280"/>
      <c r="G2" s="3280"/>
      <c r="H2" s="3280"/>
      <c r="I2" s="3280"/>
      <c r="J2" s="3280"/>
      <c r="K2" s="3280"/>
      <c r="L2" s="3280"/>
      <c r="M2" s="3280"/>
      <c r="N2" s="3280"/>
      <c r="O2" s="3280"/>
      <c r="P2" s="3280"/>
      <c r="Q2" s="3280"/>
      <c r="R2" s="3280"/>
      <c r="S2" s="3280"/>
      <c r="T2" s="3280"/>
      <c r="U2" s="3280"/>
      <c r="V2" s="3280"/>
      <c r="W2" s="3280"/>
      <c r="X2" s="3280"/>
      <c r="Y2" s="3280"/>
      <c r="Z2" s="3280"/>
      <c r="AA2" s="3280"/>
      <c r="AB2" s="3280"/>
      <c r="AC2" s="3280"/>
      <c r="AD2" s="3280"/>
    </row>
    <row r="3" spans="1:30" ht="18.75" x14ac:dyDescent="0.25">
      <c r="A3" s="3274" t="s">
        <v>30</v>
      </c>
      <c r="B3" s="3274"/>
      <c r="C3" s="3274"/>
      <c r="D3" s="3274" t="s">
        <v>29</v>
      </c>
      <c r="E3" s="3274"/>
      <c r="F3" s="3274"/>
      <c r="G3" s="3274"/>
      <c r="H3" s="3274"/>
      <c r="I3" s="3274"/>
      <c r="J3" s="3274" t="s">
        <v>530</v>
      </c>
      <c r="K3" s="3274"/>
      <c r="L3" s="3274"/>
      <c r="M3" s="3274"/>
      <c r="N3" s="3274"/>
      <c r="O3" s="3274"/>
      <c r="P3" s="3274"/>
      <c r="Q3" s="3274"/>
      <c r="R3" s="3274"/>
      <c r="S3" s="3274" t="s">
        <v>86</v>
      </c>
      <c r="T3" s="3274"/>
      <c r="U3" s="3274"/>
      <c r="V3" s="3274"/>
      <c r="W3" s="3274"/>
      <c r="X3" s="3274" t="s">
        <v>87</v>
      </c>
      <c r="Y3" s="3274"/>
      <c r="Z3" s="3274"/>
      <c r="AA3" s="3274"/>
      <c r="AB3" s="3274"/>
      <c r="AC3" s="3274"/>
      <c r="AD3" s="3274"/>
    </row>
    <row r="4" spans="1:30" x14ac:dyDescent="0.25">
      <c r="A4" s="2545" t="s">
        <v>32</v>
      </c>
      <c r="B4" s="2545"/>
      <c r="C4" s="2545"/>
      <c r="D4" s="2545" t="s">
        <v>31</v>
      </c>
      <c r="E4" s="2545"/>
      <c r="F4" s="2545"/>
      <c r="G4" s="2545"/>
      <c r="H4" s="2545"/>
      <c r="I4" s="2545"/>
      <c r="J4" s="2545" t="s">
        <v>85</v>
      </c>
      <c r="K4" s="2545"/>
      <c r="L4" s="2545"/>
      <c r="M4" s="2545"/>
      <c r="N4" s="2545"/>
      <c r="O4" s="2545"/>
      <c r="P4" s="2545"/>
      <c r="Q4" s="2545"/>
      <c r="R4" s="2545"/>
      <c r="S4" s="2545"/>
      <c r="T4" s="2545"/>
      <c r="U4" s="2545"/>
      <c r="V4" s="2545"/>
      <c r="W4" s="2545"/>
      <c r="X4" s="2545"/>
      <c r="Y4" s="2545"/>
      <c r="Z4" s="2545"/>
      <c r="AA4" s="2545"/>
      <c r="AB4" s="2545"/>
      <c r="AC4" s="2545"/>
      <c r="AD4" s="2545"/>
    </row>
    <row r="5" spans="1:30" ht="92.25" customHeight="1" x14ac:dyDescent="0.25">
      <c r="A5" s="2545" t="s">
        <v>33</v>
      </c>
      <c r="B5" s="2545"/>
      <c r="C5" s="2545"/>
      <c r="D5" s="3252" t="s">
        <v>34</v>
      </c>
      <c r="E5" s="2545"/>
      <c r="F5" s="2545"/>
      <c r="G5" s="2545"/>
      <c r="H5" s="2545"/>
      <c r="I5" s="2545"/>
      <c r="J5" s="3252" t="s">
        <v>742</v>
      </c>
      <c r="K5" s="2545"/>
      <c r="L5" s="2545"/>
      <c r="M5" s="2545"/>
      <c r="N5" s="2545"/>
      <c r="O5" s="2545"/>
      <c r="P5" s="2545"/>
      <c r="Q5" s="2545"/>
      <c r="R5" s="2545"/>
      <c r="S5" s="2545"/>
      <c r="T5" s="2545"/>
      <c r="U5" s="2545"/>
      <c r="V5" s="2545"/>
      <c r="W5" s="2545"/>
      <c r="X5" s="3252" t="s">
        <v>106</v>
      </c>
      <c r="Y5" s="3252"/>
      <c r="Z5" s="3252"/>
      <c r="AA5" s="3252"/>
      <c r="AB5" s="3252"/>
      <c r="AC5" s="3252"/>
      <c r="AD5" s="3252"/>
    </row>
    <row r="6" spans="1:30" ht="76.5" customHeight="1" x14ac:dyDescent="0.25">
      <c r="A6" s="2545" t="s">
        <v>35</v>
      </c>
      <c r="B6" s="2545"/>
      <c r="C6" s="2545"/>
      <c r="D6" s="3252" t="s">
        <v>301</v>
      </c>
      <c r="E6" s="2545"/>
      <c r="F6" s="2545"/>
      <c r="G6" s="2545"/>
      <c r="H6" s="2545"/>
      <c r="I6" s="2545"/>
      <c r="J6" s="3252" t="s">
        <v>303</v>
      </c>
      <c r="K6" s="2545"/>
      <c r="L6" s="2545"/>
      <c r="M6" s="2545"/>
      <c r="N6" s="2545"/>
      <c r="O6" s="2545"/>
      <c r="P6" s="2545"/>
      <c r="Q6" s="2545"/>
      <c r="R6" s="2545"/>
      <c r="S6" s="3253" t="s">
        <v>302</v>
      </c>
      <c r="T6" s="2545"/>
      <c r="U6" s="2545"/>
      <c r="V6" s="2545"/>
      <c r="W6" s="2545"/>
      <c r="X6" s="3277" t="s">
        <v>304</v>
      </c>
      <c r="Y6" s="3278"/>
      <c r="Z6" s="3278"/>
      <c r="AA6" s="3278"/>
      <c r="AB6" s="3278"/>
      <c r="AC6" s="3278"/>
      <c r="AD6" s="3278"/>
    </row>
    <row r="7" spans="1:30" ht="51.75" customHeight="1" x14ac:dyDescent="0.25">
      <c r="A7" s="2545" t="s">
        <v>37</v>
      </c>
      <c r="B7" s="2545"/>
      <c r="C7" s="2545"/>
      <c r="D7" s="2545" t="s">
        <v>36</v>
      </c>
      <c r="E7" s="2545"/>
      <c r="F7" s="2545"/>
      <c r="G7" s="2545"/>
      <c r="H7" s="2545"/>
      <c r="I7" s="2545"/>
      <c r="J7" s="2545" t="s">
        <v>108</v>
      </c>
      <c r="K7" s="2545"/>
      <c r="L7" s="2545"/>
      <c r="M7" s="2545"/>
      <c r="N7" s="2545"/>
      <c r="O7" s="2545"/>
      <c r="P7" s="2545"/>
      <c r="Q7" s="2545"/>
      <c r="R7" s="2545"/>
      <c r="S7" s="3253" t="s">
        <v>109</v>
      </c>
      <c r="T7" s="3252"/>
      <c r="U7" s="3252"/>
      <c r="V7" s="3252"/>
      <c r="W7" s="3252"/>
      <c r="X7" s="3252" t="s">
        <v>113</v>
      </c>
      <c r="Y7" s="3252"/>
      <c r="Z7" s="3252"/>
      <c r="AA7" s="3252"/>
      <c r="AB7" s="3252"/>
      <c r="AC7" s="3252"/>
      <c r="AD7" s="3252"/>
    </row>
    <row r="8" spans="1:30" x14ac:dyDescent="0.25">
      <c r="A8" s="2545" t="s">
        <v>39</v>
      </c>
      <c r="B8" s="2545"/>
      <c r="C8" s="2545"/>
      <c r="D8" s="2545" t="s">
        <v>38</v>
      </c>
      <c r="E8" s="2545"/>
      <c r="F8" s="2545"/>
      <c r="G8" s="2545"/>
      <c r="H8" s="2545"/>
      <c r="I8" s="2545"/>
      <c r="J8" s="2545" t="s">
        <v>110</v>
      </c>
      <c r="K8" s="2545"/>
      <c r="L8" s="2545"/>
      <c r="M8" s="2545"/>
      <c r="N8" s="2545"/>
      <c r="O8" s="2545"/>
      <c r="P8" s="2545"/>
      <c r="Q8" s="2545"/>
      <c r="R8" s="2545"/>
      <c r="S8" s="3253" t="s">
        <v>109</v>
      </c>
      <c r="T8" s="3252"/>
      <c r="U8" s="3252"/>
      <c r="V8" s="3252"/>
      <c r="W8" s="3252"/>
      <c r="X8" s="3252" t="s">
        <v>113</v>
      </c>
      <c r="Y8" s="3252"/>
      <c r="Z8" s="3252"/>
      <c r="AA8" s="3252"/>
      <c r="AB8" s="3252"/>
      <c r="AC8" s="3252"/>
      <c r="AD8" s="3252"/>
    </row>
    <row r="9" spans="1:30" ht="30.75" customHeight="1" x14ac:dyDescent="0.25">
      <c r="A9" s="2545" t="s">
        <v>42</v>
      </c>
      <c r="B9" s="2545"/>
      <c r="C9" s="2545"/>
      <c r="D9" s="3252" t="s">
        <v>40</v>
      </c>
      <c r="E9" s="2545"/>
      <c r="F9" s="2545"/>
      <c r="G9" s="2545"/>
      <c r="H9" s="2545"/>
      <c r="I9" s="2545"/>
      <c r="J9" s="2545"/>
      <c r="K9" s="2545"/>
      <c r="L9" s="2545"/>
      <c r="M9" s="2545"/>
      <c r="N9" s="2545"/>
      <c r="O9" s="2545"/>
      <c r="P9" s="2545"/>
      <c r="Q9" s="2545"/>
      <c r="R9" s="2545"/>
      <c r="S9" s="2545"/>
      <c r="T9" s="2545"/>
      <c r="U9" s="2545"/>
      <c r="V9" s="2545"/>
      <c r="W9" s="2545"/>
      <c r="X9" s="2545"/>
      <c r="Y9" s="2545"/>
      <c r="Z9" s="2545"/>
      <c r="AA9" s="2545"/>
      <c r="AB9" s="2545"/>
      <c r="AC9" s="2545"/>
      <c r="AD9" s="2545"/>
    </row>
    <row r="10" spans="1:30" x14ac:dyDescent="0.25">
      <c r="A10" s="2545" t="s">
        <v>43</v>
      </c>
      <c r="B10" s="2545"/>
      <c r="C10" s="2545"/>
      <c r="D10" s="2545" t="s">
        <v>41</v>
      </c>
      <c r="E10" s="2545"/>
      <c r="F10" s="2545"/>
      <c r="G10" s="2545"/>
      <c r="H10" s="2545"/>
      <c r="I10" s="2545"/>
      <c r="J10" s="2545" t="s">
        <v>110</v>
      </c>
      <c r="K10" s="2545"/>
      <c r="L10" s="2545"/>
      <c r="M10" s="2545"/>
      <c r="N10" s="2545"/>
      <c r="O10" s="2545"/>
      <c r="P10" s="2545"/>
      <c r="Q10" s="2545"/>
      <c r="R10" s="2545"/>
      <c r="S10" s="3253" t="s">
        <v>109</v>
      </c>
      <c r="T10" s="3252"/>
      <c r="U10" s="3252"/>
      <c r="V10" s="3252"/>
      <c r="W10" s="3252"/>
      <c r="X10" s="3252" t="s">
        <v>113</v>
      </c>
      <c r="Y10" s="3252"/>
      <c r="Z10" s="3252"/>
      <c r="AA10" s="3252"/>
      <c r="AB10" s="3252"/>
      <c r="AC10" s="3252"/>
      <c r="AD10" s="3252"/>
    </row>
    <row r="11" spans="1:30" ht="44.25" customHeight="1" x14ac:dyDescent="0.25">
      <c r="A11" s="2545" t="s">
        <v>46</v>
      </c>
      <c r="B11" s="2545"/>
      <c r="C11" s="2545"/>
      <c r="D11" s="2545" t="s">
        <v>44</v>
      </c>
      <c r="E11" s="2545"/>
      <c r="F11" s="2545"/>
      <c r="G11" s="2545"/>
      <c r="H11" s="2545"/>
      <c r="I11" s="2545"/>
      <c r="J11" s="2545" t="s">
        <v>110</v>
      </c>
      <c r="K11" s="2545"/>
      <c r="L11" s="2545"/>
      <c r="M11" s="2545"/>
      <c r="N11" s="2545"/>
      <c r="O11" s="2545"/>
      <c r="P11" s="2545"/>
      <c r="Q11" s="2545"/>
      <c r="R11" s="2545"/>
      <c r="S11" s="3253" t="s">
        <v>109</v>
      </c>
      <c r="T11" s="3252"/>
      <c r="U11" s="3252"/>
      <c r="V11" s="3252"/>
      <c r="W11" s="3252"/>
      <c r="X11" s="3252" t="s">
        <v>113</v>
      </c>
      <c r="Y11" s="3252"/>
      <c r="Z11" s="3252"/>
      <c r="AA11" s="3252"/>
      <c r="AB11" s="3252"/>
      <c r="AC11" s="3252"/>
      <c r="AD11" s="3252"/>
    </row>
    <row r="12" spans="1:30" ht="46.5" customHeight="1" x14ac:dyDescent="0.25">
      <c r="A12" s="2545" t="s">
        <v>47</v>
      </c>
      <c r="B12" s="2545"/>
      <c r="C12" s="2545"/>
      <c r="D12" s="2545" t="s">
        <v>45</v>
      </c>
      <c r="E12" s="2545"/>
      <c r="F12" s="2545"/>
      <c r="G12" s="2545"/>
      <c r="H12" s="2545"/>
      <c r="I12" s="2545"/>
      <c r="J12" s="2545" t="s">
        <v>111</v>
      </c>
      <c r="K12" s="2545"/>
      <c r="L12" s="2545"/>
      <c r="M12" s="2545"/>
      <c r="N12" s="2545"/>
      <c r="O12" s="2545"/>
      <c r="P12" s="2545"/>
      <c r="Q12" s="2545"/>
      <c r="R12" s="2545"/>
      <c r="S12" s="2545"/>
      <c r="T12" s="2545"/>
      <c r="U12" s="2545"/>
      <c r="V12" s="2545"/>
      <c r="W12" s="2545"/>
      <c r="X12" s="3252" t="s">
        <v>112</v>
      </c>
      <c r="Y12" s="3252"/>
      <c r="Z12" s="3252"/>
      <c r="AA12" s="3252"/>
      <c r="AB12" s="3252"/>
      <c r="AC12" s="3252"/>
      <c r="AD12" s="3252"/>
    </row>
    <row r="13" spans="1:30" ht="39.75" customHeight="1" x14ac:dyDescent="0.25">
      <c r="A13" s="2545" t="s">
        <v>49</v>
      </c>
      <c r="B13" s="2545"/>
      <c r="C13" s="2545"/>
      <c r="D13" s="2545" t="s">
        <v>103</v>
      </c>
      <c r="E13" s="2545"/>
      <c r="F13" s="2545"/>
      <c r="G13" s="2545"/>
      <c r="H13" s="2545"/>
      <c r="I13" s="2545"/>
      <c r="J13" s="2545" t="s">
        <v>48</v>
      </c>
      <c r="K13" s="2545"/>
      <c r="L13" s="2545"/>
      <c r="M13" s="2545"/>
      <c r="N13" s="2545"/>
      <c r="O13" s="2545"/>
      <c r="P13" s="2545"/>
      <c r="Q13" s="2545"/>
      <c r="R13" s="2545"/>
      <c r="S13" s="3253" t="s">
        <v>115</v>
      </c>
      <c r="T13" s="3252"/>
      <c r="U13" s="3252"/>
      <c r="V13" s="3252"/>
      <c r="W13" s="3252"/>
      <c r="X13" s="3252" t="s">
        <v>114</v>
      </c>
      <c r="Y13" s="3252"/>
      <c r="Z13" s="3252"/>
      <c r="AA13" s="3252"/>
      <c r="AB13" s="3252"/>
      <c r="AC13" s="3252"/>
      <c r="AD13" s="3252"/>
    </row>
    <row r="14" spans="1:30" x14ac:dyDescent="0.25">
      <c r="A14" s="2545" t="s">
        <v>52</v>
      </c>
      <c r="B14" s="2545"/>
      <c r="C14" s="2545"/>
      <c r="D14" s="2545" t="s">
        <v>50</v>
      </c>
      <c r="E14" s="2545"/>
      <c r="F14" s="2545"/>
      <c r="G14" s="2545"/>
      <c r="H14" s="2545"/>
      <c r="I14" s="2545"/>
      <c r="J14" s="2545" t="s">
        <v>51</v>
      </c>
      <c r="K14" s="2545"/>
      <c r="L14" s="2545"/>
      <c r="M14" s="2545"/>
      <c r="N14" s="2545"/>
      <c r="O14" s="2545"/>
      <c r="P14" s="2545"/>
      <c r="Q14" s="2545"/>
      <c r="R14" s="2545"/>
      <c r="S14" s="2545"/>
      <c r="T14" s="2545"/>
      <c r="U14" s="2545"/>
      <c r="V14" s="2545"/>
      <c r="W14" s="2545"/>
      <c r="X14" s="2545"/>
      <c r="Y14" s="2545"/>
      <c r="Z14" s="2545"/>
      <c r="AA14" s="2545"/>
      <c r="AB14" s="2545"/>
      <c r="AC14" s="2545"/>
      <c r="AD14" s="2545"/>
    </row>
    <row r="15" spans="1:30" ht="48" customHeight="1" x14ac:dyDescent="0.25">
      <c r="A15" s="2545" t="s">
        <v>97</v>
      </c>
      <c r="B15" s="2545"/>
      <c r="C15" s="2545"/>
      <c r="D15" s="3276" t="s">
        <v>95</v>
      </c>
      <c r="E15" s="3276"/>
      <c r="F15" s="3276"/>
      <c r="G15" s="3276"/>
      <c r="H15" s="3276"/>
      <c r="I15" s="3276"/>
      <c r="J15" s="2545"/>
      <c r="K15" s="2545"/>
      <c r="L15" s="2545"/>
      <c r="M15" s="2545"/>
      <c r="N15" s="2545"/>
      <c r="O15" s="2545"/>
      <c r="P15" s="2545"/>
      <c r="Q15" s="2545"/>
      <c r="R15" s="2545"/>
      <c r="S15" s="2545"/>
      <c r="T15" s="2545"/>
      <c r="U15" s="2545"/>
      <c r="V15" s="2545"/>
      <c r="W15" s="2545"/>
      <c r="X15" s="3275" t="s">
        <v>96</v>
      </c>
      <c r="Y15" s="3276"/>
      <c r="Z15" s="3276"/>
      <c r="AA15" s="3276"/>
      <c r="AB15" s="3276"/>
      <c r="AC15" s="3276"/>
      <c r="AD15" s="3276"/>
    </row>
    <row r="16" spans="1:30" ht="69.75" customHeight="1" x14ac:dyDescent="0.25">
      <c r="A16" s="2545" t="s">
        <v>98</v>
      </c>
      <c r="B16" s="2545"/>
      <c r="C16" s="2545"/>
      <c r="D16" s="3252" t="s">
        <v>104</v>
      </c>
      <c r="E16" s="2545"/>
      <c r="F16" s="2545"/>
      <c r="G16" s="2545"/>
      <c r="H16" s="2545"/>
      <c r="I16" s="2545"/>
      <c r="J16" s="2545" t="s">
        <v>105</v>
      </c>
      <c r="K16" s="2545"/>
      <c r="L16" s="2545"/>
      <c r="M16" s="2545"/>
      <c r="N16" s="2545"/>
      <c r="O16" s="2545"/>
      <c r="P16" s="2545"/>
      <c r="Q16" s="2545"/>
      <c r="R16" s="2545"/>
      <c r="S16" s="3249" t="s">
        <v>99</v>
      </c>
      <c r="T16" s="3249"/>
      <c r="U16" s="3249"/>
      <c r="V16" s="3249"/>
      <c r="W16" s="3249"/>
      <c r="X16" s="3044" t="s">
        <v>107</v>
      </c>
      <c r="Y16" s="3045"/>
      <c r="Z16" s="3045"/>
      <c r="AA16" s="3045"/>
      <c r="AB16" s="3045"/>
      <c r="AC16" s="3045"/>
      <c r="AD16" s="3045"/>
    </row>
    <row r="17" spans="1:30" x14ac:dyDescent="0.25">
      <c r="A17" s="2545" t="s">
        <v>118</v>
      </c>
      <c r="B17" s="2545"/>
      <c r="C17" s="2545"/>
      <c r="D17" s="2545" t="s">
        <v>119</v>
      </c>
      <c r="E17" s="2545"/>
      <c r="F17" s="2545"/>
      <c r="G17" s="2545"/>
      <c r="H17" s="2545"/>
      <c r="I17" s="2545"/>
      <c r="J17" s="2545"/>
      <c r="K17" s="2545"/>
      <c r="L17" s="2545"/>
      <c r="M17" s="2545"/>
      <c r="N17" s="2545"/>
      <c r="O17" s="2545"/>
      <c r="P17" s="2545"/>
      <c r="Q17" s="2545"/>
      <c r="R17" s="2545"/>
      <c r="S17" s="2545"/>
      <c r="T17" s="2545"/>
      <c r="U17" s="2545"/>
      <c r="V17" s="2545"/>
      <c r="W17" s="2545"/>
      <c r="X17" s="3281" t="s">
        <v>117</v>
      </c>
      <c r="Y17" s="3281"/>
      <c r="Z17" s="3281"/>
      <c r="AA17" s="3281"/>
      <c r="AB17" s="3281"/>
      <c r="AC17" s="3281"/>
      <c r="AD17" s="3281"/>
    </row>
    <row r="18" spans="1:30" ht="101.25" customHeight="1" x14ac:dyDescent="0.25">
      <c r="A18" s="2545" t="s">
        <v>234</v>
      </c>
      <c r="B18" s="2545"/>
      <c r="C18" s="2545"/>
      <c r="D18" s="2545" t="s">
        <v>126</v>
      </c>
      <c r="E18" s="2545"/>
      <c r="F18" s="2545"/>
      <c r="G18" s="2545"/>
      <c r="H18" s="2545"/>
      <c r="I18" s="2545"/>
      <c r="J18" s="3252" t="s">
        <v>297</v>
      </c>
      <c r="K18" s="2545"/>
      <c r="L18" s="2545"/>
      <c r="M18" s="2545"/>
      <c r="N18" s="2545"/>
      <c r="O18" s="2545"/>
      <c r="P18" s="2545"/>
      <c r="Q18" s="2545"/>
      <c r="R18" s="2545"/>
      <c r="S18" s="2545"/>
      <c r="T18" s="2545"/>
      <c r="U18" s="2545"/>
      <c r="V18" s="2545"/>
      <c r="W18" s="2545"/>
      <c r="X18" s="3252"/>
      <c r="Y18" s="2545"/>
      <c r="Z18" s="2545"/>
      <c r="AA18" s="2545"/>
      <c r="AB18" s="2545"/>
      <c r="AC18" s="2545"/>
      <c r="AD18" s="2545"/>
    </row>
    <row r="19" spans="1:30" ht="30" customHeight="1" x14ac:dyDescent="0.25">
      <c r="A19" s="2545" t="s">
        <v>128</v>
      </c>
      <c r="B19" s="2545"/>
      <c r="C19" s="2545"/>
      <c r="D19" s="3252" t="s">
        <v>129</v>
      </c>
      <c r="E19" s="2545"/>
      <c r="F19" s="2545"/>
      <c r="G19" s="2545"/>
      <c r="H19" s="2545"/>
      <c r="I19" s="2545"/>
      <c r="J19" s="2545"/>
      <c r="K19" s="2545"/>
      <c r="L19" s="2545"/>
      <c r="M19" s="2545"/>
      <c r="N19" s="2545"/>
      <c r="O19" s="2545"/>
      <c r="P19" s="2545"/>
      <c r="Q19" s="2545"/>
      <c r="R19" s="2545"/>
      <c r="S19" s="3253" t="s">
        <v>127</v>
      </c>
      <c r="T19" s="2545"/>
      <c r="U19" s="2545"/>
      <c r="V19" s="2545"/>
      <c r="W19" s="2545"/>
      <c r="X19" s="2545"/>
      <c r="Y19" s="2545"/>
      <c r="Z19" s="2545"/>
      <c r="AA19" s="2545"/>
      <c r="AB19" s="2545"/>
      <c r="AC19" s="2545"/>
      <c r="AD19" s="2545"/>
    </row>
    <row r="20" spans="1:30" ht="28.5" customHeight="1" x14ac:dyDescent="0.25">
      <c r="A20" s="2545" t="s">
        <v>130</v>
      </c>
      <c r="B20" s="2545"/>
      <c r="C20" s="2545"/>
      <c r="D20" s="3252" t="s">
        <v>132</v>
      </c>
      <c r="E20" s="2545"/>
      <c r="F20" s="2545"/>
      <c r="G20" s="2545"/>
      <c r="H20" s="2545"/>
      <c r="I20" s="2545"/>
      <c r="J20" s="2545"/>
      <c r="K20" s="2545"/>
      <c r="L20" s="2545"/>
      <c r="M20" s="2545"/>
      <c r="N20" s="2545"/>
      <c r="O20" s="2545"/>
      <c r="P20" s="2545"/>
      <c r="Q20" s="2545"/>
      <c r="R20" s="2545"/>
      <c r="S20" s="1359" t="s">
        <v>131</v>
      </c>
      <c r="T20" s="1355"/>
      <c r="U20" s="1355"/>
      <c r="V20" s="1355"/>
      <c r="W20" s="1355"/>
      <c r="X20" s="2545"/>
      <c r="Y20" s="2545"/>
      <c r="Z20" s="2545"/>
      <c r="AA20" s="2545"/>
      <c r="AB20" s="2545"/>
      <c r="AC20" s="2545"/>
      <c r="AD20" s="2545"/>
    </row>
    <row r="21" spans="1:30" ht="92.25" customHeight="1" x14ac:dyDescent="0.25">
      <c r="A21" s="2545" t="s">
        <v>134</v>
      </c>
      <c r="B21" s="2545"/>
      <c r="C21" s="2545"/>
      <c r="D21" s="2545" t="s">
        <v>135</v>
      </c>
      <c r="E21" s="2545"/>
      <c r="F21" s="2545"/>
      <c r="G21" s="2545"/>
      <c r="H21" s="2545"/>
      <c r="I21" s="2545"/>
      <c r="J21" s="3252" t="s">
        <v>136</v>
      </c>
      <c r="K21" s="2545"/>
      <c r="L21" s="2545"/>
      <c r="M21" s="2545"/>
      <c r="N21" s="2545"/>
      <c r="O21" s="2545"/>
      <c r="P21" s="2545"/>
      <c r="Q21" s="2545"/>
      <c r="R21" s="2545"/>
      <c r="S21" s="2545"/>
      <c r="T21" s="2545"/>
      <c r="U21" s="2545"/>
      <c r="V21" s="2545"/>
      <c r="W21" s="2545"/>
      <c r="X21" s="2545" t="s">
        <v>280</v>
      </c>
      <c r="Y21" s="2545"/>
      <c r="Z21" s="2545"/>
      <c r="AA21" s="2545"/>
      <c r="AB21" s="2545"/>
      <c r="AC21" s="2545"/>
      <c r="AD21" s="2545"/>
    </row>
    <row r="22" spans="1:30" ht="48.75" customHeight="1" x14ac:dyDescent="0.25">
      <c r="A22" s="2545" t="s">
        <v>1570</v>
      </c>
      <c r="B22" s="2545"/>
      <c r="C22" s="2545"/>
      <c r="D22" s="2545" t="s">
        <v>1569</v>
      </c>
      <c r="E22" s="2545"/>
      <c r="F22" s="2545"/>
      <c r="G22" s="2545"/>
      <c r="H22" s="2545"/>
      <c r="I22" s="2545"/>
      <c r="J22" s="3252" t="s">
        <v>1568</v>
      </c>
      <c r="K22" s="2545"/>
      <c r="L22" s="2545"/>
      <c r="M22" s="2545"/>
      <c r="N22" s="2545"/>
      <c r="O22" s="2545"/>
      <c r="P22" s="2545"/>
      <c r="Q22" s="2545"/>
      <c r="R22" s="2545"/>
      <c r="S22" s="2545"/>
      <c r="T22" s="2545"/>
      <c r="U22" s="2545"/>
      <c r="V22" s="2545"/>
      <c r="W22" s="2545"/>
      <c r="X22" s="3252" t="s">
        <v>1567</v>
      </c>
      <c r="Y22" s="2545"/>
      <c r="Z22" s="2545"/>
      <c r="AA22" s="2545"/>
      <c r="AB22" s="2545"/>
      <c r="AC22" s="2545"/>
      <c r="AD22" s="2545"/>
    </row>
    <row r="23" spans="1:30" x14ac:dyDescent="0.25">
      <c r="A23" s="2545" t="s">
        <v>156</v>
      </c>
      <c r="B23" s="2545"/>
      <c r="C23" s="2545"/>
      <c r="D23" s="2545" t="s">
        <v>157</v>
      </c>
      <c r="E23" s="2545"/>
      <c r="F23" s="2545"/>
      <c r="G23" s="2545"/>
      <c r="H23" s="2545"/>
      <c r="I23" s="2545"/>
      <c r="J23" s="2545"/>
      <c r="K23" s="2545"/>
      <c r="L23" s="2545"/>
      <c r="M23" s="2545"/>
      <c r="N23" s="2545"/>
      <c r="O23" s="2545"/>
      <c r="P23" s="2545"/>
      <c r="Q23" s="2545"/>
      <c r="R23" s="2545"/>
      <c r="S23" s="3249" t="s">
        <v>158</v>
      </c>
      <c r="T23" s="2545"/>
      <c r="U23" s="2545"/>
      <c r="V23" s="2545"/>
      <c r="W23" s="2545"/>
      <c r="X23" s="2545" t="s">
        <v>159</v>
      </c>
      <c r="Y23" s="2545"/>
      <c r="Z23" s="2545"/>
      <c r="AA23" s="2545"/>
      <c r="AB23" s="2545"/>
      <c r="AC23" s="2545"/>
      <c r="AD23" s="2545"/>
    </row>
    <row r="24" spans="1:30" ht="66" customHeight="1" x14ac:dyDescent="0.25">
      <c r="A24" s="2545" t="s">
        <v>338</v>
      </c>
      <c r="B24" s="2545"/>
      <c r="C24" s="2545"/>
      <c r="D24" s="2545" t="s">
        <v>339</v>
      </c>
      <c r="E24" s="2545"/>
      <c r="F24" s="2545"/>
      <c r="G24" s="2545"/>
      <c r="H24" s="2545"/>
      <c r="I24" s="2545"/>
      <c r="J24" s="2545" t="s">
        <v>340</v>
      </c>
      <c r="K24" s="2545"/>
      <c r="L24" s="2545"/>
      <c r="M24" s="2545"/>
      <c r="N24" s="2545"/>
      <c r="O24" s="2545"/>
      <c r="P24" s="2545"/>
      <c r="Q24" s="2545"/>
      <c r="R24" s="2545"/>
      <c r="S24" s="3249" t="s">
        <v>341</v>
      </c>
      <c r="T24" s="3249"/>
      <c r="U24" s="3249"/>
      <c r="V24" s="3249"/>
      <c r="W24" s="3249"/>
      <c r="X24" s="2545" t="s">
        <v>342</v>
      </c>
      <c r="Y24" s="2545"/>
      <c r="Z24" s="2545"/>
      <c r="AA24" s="2545"/>
      <c r="AB24" s="2545"/>
      <c r="AC24" s="2545"/>
      <c r="AD24" s="2545"/>
    </row>
    <row r="25" spans="1:30" x14ac:dyDescent="0.25">
      <c r="A25" s="2545" t="s">
        <v>185</v>
      </c>
      <c r="B25" s="2545"/>
      <c r="C25" s="2545"/>
      <c r="D25" s="2545" t="s">
        <v>186</v>
      </c>
      <c r="E25" s="2545"/>
      <c r="F25" s="2545"/>
      <c r="G25" s="2545"/>
      <c r="H25" s="2545"/>
      <c r="I25" s="2545"/>
      <c r="J25" s="2545" t="s">
        <v>187</v>
      </c>
      <c r="K25" s="2545"/>
      <c r="L25" s="2545"/>
      <c r="M25" s="2545"/>
      <c r="N25" s="2545"/>
      <c r="O25" s="2545"/>
      <c r="P25" s="2545"/>
      <c r="Q25" s="2545"/>
      <c r="R25" s="2545"/>
      <c r="S25" s="3249" t="s">
        <v>188</v>
      </c>
      <c r="T25" s="2545"/>
      <c r="U25" s="2545"/>
      <c r="V25" s="2545"/>
      <c r="W25" s="2545"/>
      <c r="X25" s="2545" t="s">
        <v>189</v>
      </c>
      <c r="Y25" s="2545"/>
      <c r="Z25" s="2545"/>
      <c r="AA25" s="2545"/>
      <c r="AB25" s="2545"/>
      <c r="AC25" s="2545"/>
      <c r="AD25" s="2545"/>
    </row>
    <row r="26" spans="1:30" ht="59.25" customHeight="1" x14ac:dyDescent="0.25">
      <c r="A26" s="2545" t="s">
        <v>190</v>
      </c>
      <c r="B26" s="2545"/>
      <c r="C26" s="2545"/>
      <c r="D26" s="2545" t="s">
        <v>191</v>
      </c>
      <c r="E26" s="2545"/>
      <c r="F26" s="2545"/>
      <c r="G26" s="2545"/>
      <c r="H26" s="2545"/>
      <c r="I26" s="2545"/>
      <c r="J26" s="2545"/>
      <c r="K26" s="2545"/>
      <c r="L26" s="2545"/>
      <c r="M26" s="2545"/>
      <c r="N26" s="2545"/>
      <c r="O26" s="2545"/>
      <c r="P26" s="2545"/>
      <c r="Q26" s="2545"/>
      <c r="R26" s="2545"/>
      <c r="S26" s="3249" t="s">
        <v>957</v>
      </c>
      <c r="T26" s="2545"/>
      <c r="U26" s="2545"/>
      <c r="V26" s="2545"/>
      <c r="W26" s="2545"/>
      <c r="X26" s="3252"/>
      <c r="Y26" s="2545"/>
      <c r="Z26" s="2545"/>
      <c r="AA26" s="2545"/>
      <c r="AB26" s="2545"/>
      <c r="AC26" s="2545"/>
      <c r="AD26" s="2545"/>
    </row>
    <row r="27" spans="1:30" ht="127.5" customHeight="1" x14ac:dyDescent="0.25">
      <c r="A27" s="2545" t="s">
        <v>192</v>
      </c>
      <c r="B27" s="2545"/>
      <c r="C27" s="2545"/>
      <c r="D27" s="2545" t="s">
        <v>193</v>
      </c>
      <c r="E27" s="2545"/>
      <c r="F27" s="2545"/>
      <c r="G27" s="2545"/>
      <c r="H27" s="2545"/>
      <c r="I27" s="2545"/>
      <c r="J27" s="3252" t="s">
        <v>194</v>
      </c>
      <c r="K27" s="2545"/>
      <c r="L27" s="2545"/>
      <c r="M27" s="2545"/>
      <c r="N27" s="2545"/>
      <c r="O27" s="2545"/>
      <c r="P27" s="2545"/>
      <c r="Q27" s="2545"/>
      <c r="R27" s="2545"/>
      <c r="S27" s="3253" t="s">
        <v>195</v>
      </c>
      <c r="T27" s="2545"/>
      <c r="U27" s="2545"/>
      <c r="V27" s="2545"/>
      <c r="W27" s="2545"/>
      <c r="X27" s="3273" t="s">
        <v>204</v>
      </c>
      <c r="Y27" s="3273"/>
      <c r="Z27" s="3273"/>
      <c r="AA27" s="3273"/>
      <c r="AB27" s="3273"/>
      <c r="AC27" s="3273"/>
      <c r="AD27" s="3273"/>
    </row>
    <row r="28" spans="1:30" ht="58.5" customHeight="1" x14ac:dyDescent="0.25">
      <c r="A28" s="3252" t="s">
        <v>205</v>
      </c>
      <c r="B28" s="2545"/>
      <c r="C28" s="2545"/>
      <c r="D28" s="3252" t="s">
        <v>1789</v>
      </c>
      <c r="E28" s="3252"/>
      <c r="F28" s="3252"/>
      <c r="G28" s="3252"/>
      <c r="H28" s="3252"/>
      <c r="I28" s="3252"/>
      <c r="J28" s="2545"/>
      <c r="K28" s="2545"/>
      <c r="L28" s="2545"/>
      <c r="M28" s="2545"/>
      <c r="N28" s="2545"/>
      <c r="O28" s="2545"/>
      <c r="P28" s="2545"/>
      <c r="Q28" s="2545"/>
      <c r="R28" s="2545"/>
      <c r="S28" s="1359" t="s">
        <v>207</v>
      </c>
      <c r="T28" s="1359"/>
      <c r="U28" s="1359"/>
      <c r="V28" s="1359"/>
      <c r="W28" s="1359"/>
      <c r="X28" s="3252" t="s">
        <v>206</v>
      </c>
      <c r="Y28" s="2545"/>
      <c r="Z28" s="2545"/>
      <c r="AA28" s="2545"/>
      <c r="AB28" s="2545"/>
      <c r="AC28" s="2545"/>
      <c r="AD28" s="2545"/>
    </row>
    <row r="29" spans="1:30" x14ac:dyDescent="0.25">
      <c r="A29" s="2545" t="s">
        <v>218</v>
      </c>
      <c r="B29" s="2545"/>
      <c r="C29" s="2545"/>
      <c r="D29" s="3252" t="s">
        <v>217</v>
      </c>
      <c r="E29" s="2545"/>
      <c r="F29" s="2545"/>
      <c r="G29" s="2545"/>
      <c r="H29" s="2545"/>
      <c r="I29" s="2545"/>
      <c r="J29" s="2545"/>
      <c r="K29" s="2545"/>
      <c r="L29" s="2545"/>
      <c r="M29" s="2545"/>
      <c r="N29" s="2545"/>
      <c r="O29" s="2545"/>
      <c r="P29" s="2545"/>
      <c r="Q29" s="2545"/>
      <c r="R29" s="2545"/>
      <c r="S29" s="3249" t="s">
        <v>219</v>
      </c>
      <c r="T29" s="2545"/>
      <c r="U29" s="2545"/>
      <c r="V29" s="2545"/>
      <c r="W29" s="2545"/>
      <c r="X29" s="2545"/>
      <c r="Y29" s="2545"/>
      <c r="Z29" s="2545"/>
      <c r="AA29" s="2545"/>
      <c r="AB29" s="2545"/>
      <c r="AC29" s="2545"/>
      <c r="AD29" s="2545"/>
    </row>
    <row r="30" spans="1:30" x14ac:dyDescent="0.25">
      <c r="A30" s="2545"/>
      <c r="B30" s="2545"/>
      <c r="C30" s="2545"/>
      <c r="D30" s="2545"/>
      <c r="E30" s="2545"/>
      <c r="F30" s="2545"/>
      <c r="G30" s="2545"/>
      <c r="H30" s="2545"/>
      <c r="I30" s="2545"/>
      <c r="J30" s="2545"/>
      <c r="K30" s="2545"/>
      <c r="L30" s="2545"/>
      <c r="M30" s="2545"/>
      <c r="N30" s="2545"/>
      <c r="O30" s="2545"/>
      <c r="P30" s="2545"/>
      <c r="Q30" s="2545"/>
      <c r="R30" s="2545"/>
      <c r="S30" s="3249" t="s">
        <v>220</v>
      </c>
      <c r="T30" s="2545"/>
      <c r="U30" s="2545"/>
      <c r="V30" s="2545"/>
      <c r="W30" s="2545"/>
      <c r="X30" s="2545"/>
      <c r="Y30" s="2545"/>
      <c r="Z30" s="2545"/>
      <c r="AA30" s="2545"/>
      <c r="AB30" s="2545"/>
      <c r="AC30" s="2545"/>
      <c r="AD30" s="2545"/>
    </row>
    <row r="31" spans="1:30" ht="48" customHeight="1" x14ac:dyDescent="0.25">
      <c r="A31" s="2545" t="s">
        <v>1788</v>
      </c>
      <c r="B31" s="2545"/>
      <c r="C31" s="2545"/>
      <c r="D31" s="2545"/>
      <c r="E31" s="2545"/>
      <c r="F31" s="2545"/>
      <c r="G31" s="2545"/>
      <c r="H31" s="2545"/>
      <c r="I31" s="2545"/>
      <c r="J31" s="2545"/>
      <c r="K31" s="2545"/>
      <c r="L31" s="2545"/>
      <c r="M31" s="2545"/>
      <c r="N31" s="2545"/>
      <c r="O31" s="2545"/>
      <c r="P31" s="2545"/>
      <c r="Q31" s="2545"/>
      <c r="R31" s="2545"/>
      <c r="S31" s="3253" t="s">
        <v>321</v>
      </c>
      <c r="T31" s="2545"/>
      <c r="U31" s="2545"/>
      <c r="V31" s="2545"/>
      <c r="W31" s="2545"/>
      <c r="X31" s="2545"/>
      <c r="Y31" s="2545"/>
      <c r="Z31" s="2545"/>
      <c r="AA31" s="2545"/>
      <c r="AB31" s="2545"/>
      <c r="AC31" s="2545"/>
      <c r="AD31" s="2545"/>
    </row>
    <row r="32" spans="1:30" x14ac:dyDescent="0.25">
      <c r="A32" s="2545" t="s">
        <v>323</v>
      </c>
      <c r="B32" s="2545"/>
      <c r="C32" s="2545"/>
      <c r="D32" s="2545"/>
      <c r="E32" s="2545"/>
      <c r="F32" s="2545"/>
      <c r="G32" s="2545"/>
      <c r="H32" s="2545"/>
      <c r="I32" s="2545"/>
      <c r="J32" s="2545"/>
      <c r="K32" s="2545"/>
      <c r="L32" s="2545"/>
      <c r="M32" s="2545"/>
      <c r="N32" s="2545"/>
      <c r="O32" s="2545"/>
      <c r="P32" s="2545"/>
      <c r="Q32" s="2545"/>
      <c r="R32" s="2545"/>
      <c r="S32" s="3249" t="s">
        <v>324</v>
      </c>
      <c r="T32" s="3249"/>
      <c r="U32" s="3249"/>
      <c r="V32" s="3249"/>
      <c r="W32" s="3249"/>
      <c r="X32" s="2545"/>
      <c r="Y32" s="2545"/>
      <c r="Z32" s="2545"/>
      <c r="AA32" s="2545"/>
      <c r="AB32" s="2545"/>
      <c r="AC32" s="2545"/>
      <c r="AD32" s="2545"/>
    </row>
    <row r="33" spans="1:30" x14ac:dyDescent="0.25">
      <c r="A33" s="2545"/>
      <c r="B33" s="2545"/>
      <c r="C33" s="2545"/>
      <c r="D33" s="2545"/>
      <c r="E33" s="2545"/>
      <c r="F33" s="2545"/>
      <c r="G33" s="2545"/>
      <c r="H33" s="2545"/>
      <c r="I33" s="2545"/>
      <c r="J33" s="2545"/>
      <c r="K33" s="2545"/>
      <c r="L33" s="2545"/>
      <c r="M33" s="2545"/>
      <c r="N33" s="2545"/>
      <c r="O33" s="2545"/>
      <c r="P33" s="2545"/>
      <c r="Q33" s="2545"/>
      <c r="R33" s="2545"/>
      <c r="S33" s="3249"/>
      <c r="T33" s="3249"/>
      <c r="U33" s="3249"/>
      <c r="V33" s="3249"/>
      <c r="W33" s="3249"/>
      <c r="X33" s="2545"/>
      <c r="Y33" s="2545"/>
      <c r="Z33" s="2545"/>
      <c r="AA33" s="2545"/>
      <c r="AB33" s="2545"/>
      <c r="AC33" s="2545"/>
      <c r="AD33" s="2545"/>
    </row>
    <row r="34" spans="1:30" x14ac:dyDescent="0.25">
      <c r="A34" s="2545"/>
      <c r="B34" s="2545"/>
      <c r="C34" s="2545"/>
      <c r="D34" s="2545"/>
      <c r="E34" s="2545"/>
      <c r="F34" s="2545"/>
      <c r="G34" s="2545"/>
      <c r="H34" s="2545"/>
      <c r="I34" s="2545"/>
      <c r="J34" s="2545"/>
      <c r="K34" s="2545"/>
      <c r="L34" s="2545"/>
      <c r="M34" s="2545"/>
      <c r="N34" s="2545"/>
      <c r="O34" s="2545"/>
      <c r="P34" s="2545"/>
      <c r="Q34" s="2545"/>
      <c r="R34" s="2545"/>
      <c r="S34" s="3249"/>
      <c r="T34" s="3249"/>
      <c r="U34" s="3249"/>
      <c r="V34" s="3249"/>
      <c r="W34" s="3249"/>
      <c r="X34" s="2545"/>
      <c r="Y34" s="2545"/>
      <c r="Z34" s="2545"/>
      <c r="AA34" s="2545"/>
      <c r="AB34" s="2545"/>
      <c r="AC34" s="2545"/>
      <c r="AD34" s="2545"/>
    </row>
    <row r="35" spans="1:30" x14ac:dyDescent="0.25">
      <c r="A35" s="2545"/>
      <c r="B35" s="2545"/>
      <c r="C35" s="2545"/>
      <c r="D35" s="2545"/>
      <c r="E35" s="2545"/>
      <c r="F35" s="2545"/>
      <c r="G35" s="2545"/>
      <c r="H35" s="2545"/>
      <c r="I35" s="2545"/>
      <c r="J35" s="2545"/>
      <c r="K35" s="2545"/>
      <c r="L35" s="2545"/>
      <c r="M35" s="2545"/>
      <c r="N35" s="2545"/>
      <c r="O35" s="2545"/>
      <c r="P35" s="2545"/>
      <c r="Q35" s="2545"/>
      <c r="R35" s="2545"/>
      <c r="S35" s="3249"/>
      <c r="T35" s="3249"/>
      <c r="U35" s="3249"/>
      <c r="V35" s="3249"/>
      <c r="W35" s="3249"/>
      <c r="X35" s="2545"/>
      <c r="Y35" s="2545"/>
      <c r="Z35" s="2545"/>
      <c r="AA35" s="2545"/>
      <c r="AB35" s="2545"/>
      <c r="AC35" s="2545"/>
      <c r="AD35" s="2545"/>
    </row>
    <row r="36" spans="1:30" x14ac:dyDescent="0.25">
      <c r="A36" s="2553" t="s">
        <v>335</v>
      </c>
      <c r="B36" s="2553"/>
      <c r="C36" s="2553"/>
      <c r="D36" s="2545" t="s">
        <v>332</v>
      </c>
      <c r="E36" s="2545"/>
      <c r="F36" s="2545"/>
      <c r="G36" s="2545"/>
      <c r="H36" s="2545"/>
      <c r="I36" s="2545"/>
      <c r="J36" s="2545"/>
      <c r="K36" s="2545"/>
      <c r="L36" s="2545"/>
      <c r="M36" s="2545"/>
      <c r="N36" s="2545"/>
      <c r="O36" s="2545"/>
      <c r="P36" s="2545"/>
      <c r="Q36" s="2545"/>
      <c r="R36" s="2545"/>
      <c r="S36" s="2545"/>
      <c r="T36" s="2545"/>
      <c r="U36" s="2545"/>
      <c r="V36" s="2545"/>
      <c r="W36" s="2545"/>
      <c r="X36" s="2545" t="s">
        <v>333</v>
      </c>
      <c r="Y36" s="2545"/>
      <c r="Z36" s="2545"/>
      <c r="AA36" s="2545"/>
      <c r="AB36" s="2545"/>
      <c r="AC36" s="2545"/>
      <c r="AD36" s="2545"/>
    </row>
    <row r="37" spans="1:30" x14ac:dyDescent="0.25">
      <c r="A37" s="2553" t="s">
        <v>334</v>
      </c>
      <c r="B37" s="2553"/>
      <c r="C37" s="2553"/>
      <c r="D37" s="2545" t="s">
        <v>336</v>
      </c>
      <c r="E37" s="2545"/>
      <c r="F37" s="2545"/>
      <c r="G37" s="2545"/>
      <c r="H37" s="2545"/>
      <c r="I37" s="2545"/>
      <c r="J37" s="2545"/>
      <c r="K37" s="2545"/>
      <c r="L37" s="2545"/>
      <c r="M37" s="2545"/>
      <c r="N37" s="2545"/>
      <c r="O37" s="2545"/>
      <c r="P37" s="2545"/>
      <c r="Q37" s="2545"/>
      <c r="R37" s="2545"/>
      <c r="S37" s="3267" t="s">
        <v>337</v>
      </c>
      <c r="T37" s="3268"/>
      <c r="U37" s="3268"/>
      <c r="V37" s="3268"/>
      <c r="W37" s="3269"/>
      <c r="X37" s="2545"/>
      <c r="Y37" s="2545"/>
      <c r="Z37" s="2545"/>
      <c r="AA37" s="2545"/>
      <c r="AB37" s="2545"/>
      <c r="AC37" s="2545"/>
      <c r="AD37" s="2545"/>
    </row>
    <row r="38" spans="1:30" x14ac:dyDescent="0.25">
      <c r="A38" s="2553" t="s">
        <v>347</v>
      </c>
      <c r="B38" s="2553"/>
      <c r="C38" s="2553"/>
      <c r="D38" s="2545" t="s">
        <v>348</v>
      </c>
      <c r="E38" s="2545"/>
      <c r="F38" s="2545"/>
      <c r="G38" s="2545"/>
      <c r="H38" s="2545"/>
      <c r="I38" s="2545"/>
      <c r="J38" s="2545" t="s">
        <v>1456</v>
      </c>
      <c r="K38" s="2545"/>
      <c r="L38" s="2545"/>
      <c r="M38" s="2545"/>
      <c r="N38" s="2545"/>
      <c r="O38" s="2545"/>
      <c r="P38" s="2545"/>
      <c r="Q38" s="2545"/>
      <c r="R38" s="2545"/>
      <c r="S38" s="3267" t="s">
        <v>1457</v>
      </c>
      <c r="T38" s="3268"/>
      <c r="U38" s="3268"/>
      <c r="V38" s="3268"/>
      <c r="W38" s="3269"/>
      <c r="X38" s="2251"/>
      <c r="Y38" s="2252"/>
      <c r="Z38" s="2252"/>
      <c r="AA38" s="2252"/>
      <c r="AB38" s="2252"/>
      <c r="AC38" s="2252"/>
      <c r="AD38" s="2253"/>
    </row>
    <row r="39" spans="1:30" s="100" customFormat="1" x14ac:dyDescent="0.25">
      <c r="A39" s="2553" t="s">
        <v>351</v>
      </c>
      <c r="B39" s="2553"/>
      <c r="C39" s="2553"/>
      <c r="D39" s="2553" t="s">
        <v>352</v>
      </c>
      <c r="E39" s="2553"/>
      <c r="F39" s="2553"/>
      <c r="G39" s="2553"/>
      <c r="H39" s="2553"/>
      <c r="I39" s="2553"/>
      <c r="J39" s="2553" t="s">
        <v>1459</v>
      </c>
      <c r="K39" s="2553"/>
      <c r="L39" s="2553"/>
      <c r="M39" s="2553"/>
      <c r="N39" s="2553"/>
      <c r="O39" s="2553"/>
      <c r="P39" s="2553"/>
      <c r="Q39" s="2553"/>
      <c r="R39" s="2553"/>
      <c r="S39" s="3270" t="s">
        <v>1458</v>
      </c>
      <c r="T39" s="3271"/>
      <c r="U39" s="3271"/>
      <c r="V39" s="3271"/>
      <c r="W39" s="3272"/>
      <c r="X39" s="3264"/>
      <c r="Y39" s="3265"/>
      <c r="Z39" s="3265"/>
      <c r="AA39" s="3265"/>
      <c r="AB39" s="3265"/>
      <c r="AC39" s="3265"/>
      <c r="AD39" s="3266"/>
    </row>
    <row r="40" spans="1:30" ht="38.25" customHeight="1" x14ac:dyDescent="0.25">
      <c r="A40" s="2545" t="s">
        <v>544</v>
      </c>
      <c r="B40" s="2545"/>
      <c r="C40" s="2545"/>
      <c r="D40" s="3252" t="s">
        <v>529</v>
      </c>
      <c r="E40" s="2545"/>
      <c r="F40" s="2545"/>
      <c r="G40" s="2545"/>
      <c r="H40" s="2545"/>
      <c r="I40" s="2545"/>
      <c r="J40" s="2545"/>
      <c r="K40" s="2545"/>
      <c r="L40" s="2545"/>
      <c r="M40" s="2545"/>
      <c r="N40" s="2545"/>
      <c r="O40" s="2545"/>
      <c r="P40" s="2545"/>
      <c r="Q40" s="2545"/>
      <c r="R40" s="2545"/>
      <c r="S40" s="3249" t="s">
        <v>531</v>
      </c>
      <c r="T40" s="2545"/>
      <c r="U40" s="2545"/>
      <c r="V40" s="2545"/>
      <c r="W40" s="2545"/>
      <c r="X40" s="3252" t="s">
        <v>532</v>
      </c>
      <c r="Y40" s="2545"/>
      <c r="Z40" s="2545"/>
      <c r="AA40" s="2545"/>
      <c r="AB40" s="2545"/>
      <c r="AC40" s="2545"/>
      <c r="AD40" s="2545"/>
    </row>
    <row r="41" spans="1:30" x14ac:dyDescent="0.25">
      <c r="A41" s="2545" t="s">
        <v>545</v>
      </c>
      <c r="B41" s="2545"/>
      <c r="C41" s="2545"/>
      <c r="D41" s="3252" t="s">
        <v>546</v>
      </c>
      <c r="E41" s="2545"/>
      <c r="F41" s="2545"/>
      <c r="G41" s="2545"/>
      <c r="H41" s="2545"/>
      <c r="I41" s="2545"/>
      <c r="J41" s="3254"/>
      <c r="K41" s="3255"/>
      <c r="L41" s="3255"/>
      <c r="M41" s="3255"/>
      <c r="N41" s="3255"/>
      <c r="O41" s="3255"/>
      <c r="P41" s="3255"/>
      <c r="Q41" s="3255"/>
      <c r="R41" s="3256"/>
      <c r="S41" s="3263" t="s">
        <v>548</v>
      </c>
      <c r="T41" s="3255"/>
      <c r="U41" s="3255"/>
      <c r="V41" s="3255"/>
      <c r="W41" s="3256"/>
      <c r="X41" s="3263" t="s">
        <v>547</v>
      </c>
      <c r="Y41" s="3255"/>
      <c r="Z41" s="3255"/>
      <c r="AA41" s="3255"/>
      <c r="AB41" s="3255"/>
      <c r="AC41" s="3255"/>
      <c r="AD41" s="3256"/>
    </row>
    <row r="42" spans="1:30" x14ac:dyDescent="0.25">
      <c r="A42" s="2545"/>
      <c r="B42" s="2545"/>
      <c r="C42" s="2545"/>
      <c r="D42" s="2545"/>
      <c r="E42" s="2545"/>
      <c r="F42" s="2545"/>
      <c r="G42" s="2545"/>
      <c r="H42" s="2545"/>
      <c r="I42" s="2545"/>
      <c r="J42" s="3257"/>
      <c r="K42" s="2374"/>
      <c r="L42" s="2374"/>
      <c r="M42" s="2374"/>
      <c r="N42" s="2374"/>
      <c r="O42" s="2374"/>
      <c r="P42" s="2374"/>
      <c r="Q42" s="2374"/>
      <c r="R42" s="3258"/>
      <c r="S42" s="3257"/>
      <c r="T42" s="2374"/>
      <c r="U42" s="2374"/>
      <c r="V42" s="2374"/>
      <c r="W42" s="3258"/>
      <c r="X42" s="3257"/>
      <c r="Y42" s="2374"/>
      <c r="Z42" s="2374"/>
      <c r="AA42" s="2374"/>
      <c r="AB42" s="2374"/>
      <c r="AC42" s="2374"/>
      <c r="AD42" s="3258"/>
    </row>
    <row r="43" spans="1:30" ht="45" customHeight="1" x14ac:dyDescent="0.25">
      <c r="A43" s="2545"/>
      <c r="B43" s="2545"/>
      <c r="C43" s="2545"/>
      <c r="D43" s="2545"/>
      <c r="E43" s="2545"/>
      <c r="F43" s="2545"/>
      <c r="G43" s="2545"/>
      <c r="H43" s="2545"/>
      <c r="I43" s="2545"/>
      <c r="J43" s="3259"/>
      <c r="K43" s="3260"/>
      <c r="L43" s="3260"/>
      <c r="M43" s="3260"/>
      <c r="N43" s="3260"/>
      <c r="O43" s="3260"/>
      <c r="P43" s="3260"/>
      <c r="Q43" s="3260"/>
      <c r="R43" s="3261"/>
      <c r="S43" s="3259"/>
      <c r="T43" s="3260"/>
      <c r="U43" s="3260"/>
      <c r="V43" s="3260"/>
      <c r="W43" s="3261"/>
      <c r="X43" s="3259"/>
      <c r="Y43" s="3260"/>
      <c r="Z43" s="3260"/>
      <c r="AA43" s="3260"/>
      <c r="AB43" s="3260"/>
      <c r="AC43" s="3260"/>
      <c r="AD43" s="3261"/>
    </row>
    <row r="44" spans="1:30" x14ac:dyDescent="0.25">
      <c r="A44" s="2545" t="s">
        <v>707</v>
      </c>
      <c r="B44" s="2545"/>
      <c r="C44" s="2545"/>
      <c r="D44" s="3252" t="s">
        <v>708</v>
      </c>
      <c r="E44" s="2545"/>
      <c r="F44" s="2545"/>
      <c r="G44" s="2545"/>
      <c r="H44" s="2545"/>
      <c r="I44" s="2545"/>
      <c r="J44" s="3254"/>
      <c r="K44" s="3255"/>
      <c r="L44" s="3255"/>
      <c r="M44" s="3255"/>
      <c r="N44" s="3255"/>
      <c r="O44" s="3255"/>
      <c r="P44" s="3255"/>
      <c r="Q44" s="3255"/>
      <c r="R44" s="3256"/>
      <c r="S44" s="3262" t="s">
        <v>709</v>
      </c>
      <c r="T44" s="3255"/>
      <c r="U44" s="3255"/>
      <c r="V44" s="3255"/>
      <c r="W44" s="3256"/>
      <c r="X44" s="3263" t="s">
        <v>710</v>
      </c>
      <c r="Y44" s="3255"/>
      <c r="Z44" s="3255"/>
      <c r="AA44" s="3255"/>
      <c r="AB44" s="3255"/>
      <c r="AC44" s="3255"/>
      <c r="AD44" s="3256"/>
    </row>
    <row r="45" spans="1:30" x14ac:dyDescent="0.25">
      <c r="A45" s="2545"/>
      <c r="B45" s="2545"/>
      <c r="C45" s="2545"/>
      <c r="D45" s="2545"/>
      <c r="E45" s="2545"/>
      <c r="F45" s="2545"/>
      <c r="G45" s="2545"/>
      <c r="H45" s="2545"/>
      <c r="I45" s="2545"/>
      <c r="J45" s="3257"/>
      <c r="K45" s="2374"/>
      <c r="L45" s="2374"/>
      <c r="M45" s="2374"/>
      <c r="N45" s="2374"/>
      <c r="O45" s="2374"/>
      <c r="P45" s="2374"/>
      <c r="Q45" s="2374"/>
      <c r="R45" s="3258"/>
      <c r="S45" s="3257"/>
      <c r="T45" s="2374"/>
      <c r="U45" s="2374"/>
      <c r="V45" s="2374"/>
      <c r="W45" s="3258"/>
      <c r="X45" s="3257"/>
      <c r="Y45" s="2374"/>
      <c r="Z45" s="2374"/>
      <c r="AA45" s="2374"/>
      <c r="AB45" s="2374"/>
      <c r="AC45" s="2374"/>
      <c r="AD45" s="3258"/>
    </row>
    <row r="46" spans="1:30" ht="5.25" customHeight="1" x14ac:dyDescent="0.25">
      <c r="A46" s="2545"/>
      <c r="B46" s="2545"/>
      <c r="C46" s="2545"/>
      <c r="D46" s="2545"/>
      <c r="E46" s="2545"/>
      <c r="F46" s="2545"/>
      <c r="G46" s="2545"/>
      <c r="H46" s="2545"/>
      <c r="I46" s="2545"/>
      <c r="J46" s="3259"/>
      <c r="K46" s="3260"/>
      <c r="L46" s="3260"/>
      <c r="M46" s="3260"/>
      <c r="N46" s="3260"/>
      <c r="O46" s="3260"/>
      <c r="P46" s="3260"/>
      <c r="Q46" s="3260"/>
      <c r="R46" s="3261"/>
      <c r="S46" s="3259"/>
      <c r="T46" s="3260"/>
      <c r="U46" s="3260"/>
      <c r="V46" s="3260"/>
      <c r="W46" s="3261"/>
      <c r="X46" s="3259"/>
      <c r="Y46" s="3260"/>
      <c r="Z46" s="3260"/>
      <c r="AA46" s="3260"/>
      <c r="AB46" s="3260"/>
      <c r="AC46" s="3260"/>
      <c r="AD46" s="3261"/>
    </row>
    <row r="47" spans="1:30" ht="43.5" customHeight="1" x14ac:dyDescent="0.25">
      <c r="A47" s="2545" t="s">
        <v>836</v>
      </c>
      <c r="B47" s="2545"/>
      <c r="C47" s="2545"/>
      <c r="D47" s="3252" t="s">
        <v>837</v>
      </c>
      <c r="E47" s="2545"/>
      <c r="F47" s="2545"/>
      <c r="G47" s="2545"/>
      <c r="H47" s="2545"/>
      <c r="I47" s="2545"/>
      <c r="J47" s="2545"/>
      <c r="K47" s="2545"/>
      <c r="L47" s="2545"/>
      <c r="M47" s="2545"/>
      <c r="N47" s="2545"/>
      <c r="O47" s="2545"/>
      <c r="P47" s="2545"/>
      <c r="Q47" s="2545"/>
      <c r="R47" s="2545"/>
      <c r="S47" s="3249" t="s">
        <v>839</v>
      </c>
      <c r="T47" s="2545"/>
      <c r="U47" s="2545"/>
      <c r="V47" s="2545"/>
      <c r="W47" s="2545"/>
      <c r="X47" s="3252" t="s">
        <v>838</v>
      </c>
      <c r="Y47" s="2545"/>
      <c r="Z47" s="2545"/>
      <c r="AA47" s="2545"/>
      <c r="AB47" s="2545"/>
      <c r="AC47" s="2545"/>
      <c r="AD47" s="2545"/>
    </row>
    <row r="48" spans="1:30" ht="28.5" customHeight="1" x14ac:dyDescent="0.25">
      <c r="A48" s="2545" t="s">
        <v>846</v>
      </c>
      <c r="B48" s="2545"/>
      <c r="C48" s="2545"/>
      <c r="D48" s="2545" t="s">
        <v>851</v>
      </c>
      <c r="E48" s="2545"/>
      <c r="F48" s="2545"/>
      <c r="G48" s="2545"/>
      <c r="H48" s="2545"/>
      <c r="I48" s="2545"/>
      <c r="J48" s="2545"/>
      <c r="K48" s="2545"/>
      <c r="L48" s="2545"/>
      <c r="M48" s="2545"/>
      <c r="N48" s="2545"/>
      <c r="O48" s="2545"/>
      <c r="P48" s="2545"/>
      <c r="Q48" s="2545"/>
      <c r="R48" s="2545"/>
      <c r="S48" s="3252" t="s">
        <v>860</v>
      </c>
      <c r="T48" s="2545"/>
      <c r="U48" s="2545"/>
      <c r="V48" s="2545"/>
      <c r="W48" s="2545"/>
      <c r="X48" s="3252" t="s">
        <v>859</v>
      </c>
      <c r="Y48" s="2545"/>
      <c r="Z48" s="2545"/>
      <c r="AA48" s="2545"/>
      <c r="AB48" s="2545"/>
      <c r="AC48" s="2545"/>
      <c r="AD48" s="2545"/>
    </row>
    <row r="49" spans="1:30" ht="26.25" customHeight="1" x14ac:dyDescent="0.25">
      <c r="A49" s="2545" t="s">
        <v>845</v>
      </c>
      <c r="B49" s="2545"/>
      <c r="C49" s="2545"/>
      <c r="D49" s="3283" t="s">
        <v>850</v>
      </c>
      <c r="E49" s="3283"/>
      <c r="F49" s="3283"/>
      <c r="G49" s="3283"/>
      <c r="H49" s="3283"/>
      <c r="I49" s="3283"/>
      <c r="J49" s="2545"/>
      <c r="K49" s="2545"/>
      <c r="L49" s="2545"/>
      <c r="M49" s="2545"/>
      <c r="N49" s="2545"/>
      <c r="O49" s="2545"/>
      <c r="P49" s="2545"/>
      <c r="Q49" s="2545"/>
      <c r="R49" s="2545"/>
      <c r="S49" s="3267" t="s">
        <v>858</v>
      </c>
      <c r="T49" s="2252"/>
      <c r="U49" s="2252"/>
      <c r="V49" s="2252"/>
      <c r="W49" s="2253"/>
      <c r="X49" s="3252" t="s">
        <v>849</v>
      </c>
      <c r="Y49" s="2545"/>
      <c r="Z49" s="2545"/>
      <c r="AA49" s="2545"/>
      <c r="AB49" s="2545"/>
      <c r="AC49" s="2545"/>
      <c r="AD49" s="2545"/>
    </row>
    <row r="50" spans="1:30" ht="50.25" customHeight="1" x14ac:dyDescent="0.25">
      <c r="A50" s="2545" t="s">
        <v>847</v>
      </c>
      <c r="B50" s="2545"/>
      <c r="C50" s="2545"/>
      <c r="D50" s="3282" t="s">
        <v>852</v>
      </c>
      <c r="E50" s="2252"/>
      <c r="F50" s="2252"/>
      <c r="G50" s="2252"/>
      <c r="H50" s="2252"/>
      <c r="I50" s="2253"/>
      <c r="J50" s="2251"/>
      <c r="K50" s="2252"/>
      <c r="L50" s="2252"/>
      <c r="M50" s="2252"/>
      <c r="N50" s="2252"/>
      <c r="O50" s="2252"/>
      <c r="P50" s="2252"/>
      <c r="Q50" s="2252"/>
      <c r="R50" s="2253"/>
      <c r="S50" s="3267" t="s">
        <v>857</v>
      </c>
      <c r="T50" s="2252"/>
      <c r="U50" s="2252"/>
      <c r="V50" s="2252"/>
      <c r="W50" s="2253"/>
      <c r="X50" s="3252" t="s">
        <v>861</v>
      </c>
      <c r="Y50" s="3252"/>
      <c r="Z50" s="3252"/>
      <c r="AA50" s="3252"/>
      <c r="AB50" s="3252"/>
      <c r="AC50" s="3252"/>
      <c r="AD50" s="3252"/>
    </row>
    <row r="51" spans="1:30" ht="29.25" customHeight="1" x14ac:dyDescent="0.25">
      <c r="A51" s="2545" t="s">
        <v>848</v>
      </c>
      <c r="B51" s="2545"/>
      <c r="C51" s="2545"/>
      <c r="D51" s="2545" t="s">
        <v>1361</v>
      </c>
      <c r="E51" s="2545"/>
      <c r="F51" s="2545"/>
      <c r="G51" s="2545"/>
      <c r="H51" s="2545"/>
      <c r="I51" s="2545"/>
      <c r="J51" s="2251"/>
      <c r="K51" s="2252"/>
      <c r="L51" s="2252"/>
      <c r="M51" s="2252"/>
      <c r="N51" s="2252"/>
      <c r="O51" s="2252"/>
      <c r="P51" s="2252"/>
      <c r="Q51" s="2252"/>
      <c r="R51" s="2253"/>
      <c r="S51" s="3267" t="s">
        <v>856</v>
      </c>
      <c r="T51" s="2252"/>
      <c r="U51" s="2252"/>
      <c r="V51" s="2252"/>
      <c r="W51" s="2253"/>
      <c r="X51" s="3282" t="s">
        <v>855</v>
      </c>
      <c r="Y51" s="2252"/>
      <c r="Z51" s="2252"/>
      <c r="AA51" s="2252"/>
      <c r="AB51" s="2252"/>
      <c r="AC51" s="2252"/>
      <c r="AD51" s="2253"/>
    </row>
    <row r="52" spans="1:30" x14ac:dyDescent="0.25">
      <c r="A52" s="2545" t="s">
        <v>1348</v>
      </c>
      <c r="B52" s="2545"/>
      <c r="C52" s="2545"/>
      <c r="D52" s="2545" t="s">
        <v>1349</v>
      </c>
      <c r="E52" s="2545"/>
      <c r="F52" s="2545"/>
      <c r="G52" s="2545"/>
      <c r="H52" s="2545"/>
      <c r="I52" s="2545"/>
      <c r="J52" s="2545"/>
      <c r="K52" s="2545"/>
      <c r="L52" s="2545"/>
      <c r="M52" s="2545"/>
      <c r="N52" s="2545"/>
      <c r="O52" s="2545"/>
      <c r="P52" s="2545"/>
      <c r="Q52" s="2545"/>
      <c r="R52" s="2545"/>
      <c r="S52" s="3249" t="s">
        <v>1351</v>
      </c>
      <c r="T52" s="2545"/>
      <c r="U52" s="2545"/>
      <c r="V52" s="2545"/>
      <c r="W52" s="2545"/>
      <c r="X52" s="2545" t="s">
        <v>1350</v>
      </c>
      <c r="Y52" s="2545"/>
      <c r="Z52" s="2545"/>
      <c r="AA52" s="2545"/>
      <c r="AB52" s="2545"/>
      <c r="AC52" s="2545"/>
      <c r="AD52" s="2545"/>
    </row>
    <row r="53" spans="1:30" ht="32.25" customHeight="1" x14ac:dyDescent="0.25">
      <c r="A53" s="3252" t="s">
        <v>1353</v>
      </c>
      <c r="B53" s="2545"/>
      <c r="C53" s="2545"/>
      <c r="D53" s="3252" t="s">
        <v>1354</v>
      </c>
      <c r="E53" s="2545"/>
      <c r="F53" s="2545"/>
      <c r="G53" s="2545"/>
      <c r="H53" s="2545"/>
      <c r="I53" s="2545"/>
      <c r="J53" s="2545"/>
      <c r="K53" s="2545"/>
      <c r="L53" s="2545"/>
      <c r="M53" s="2545"/>
      <c r="N53" s="2545"/>
      <c r="O53" s="2545"/>
      <c r="P53" s="2545"/>
      <c r="Q53" s="2545"/>
      <c r="R53" s="2545"/>
      <c r="S53" s="3249" t="s">
        <v>1111</v>
      </c>
      <c r="T53" s="2545"/>
      <c r="U53" s="2545"/>
      <c r="V53" s="2545"/>
      <c r="W53" s="2545"/>
      <c r="X53" s="2545" t="s">
        <v>1352</v>
      </c>
      <c r="Y53" s="2545"/>
      <c r="Z53" s="2545"/>
      <c r="AA53" s="2545"/>
      <c r="AB53" s="2545"/>
      <c r="AC53" s="2545"/>
      <c r="AD53" s="2545"/>
    </row>
    <row r="54" spans="1:30" ht="14.25" customHeight="1" x14ac:dyDescent="0.25">
      <c r="A54" s="2545" t="s">
        <v>1355</v>
      </c>
      <c r="B54" s="2545"/>
      <c r="C54" s="2545"/>
      <c r="D54" s="3252" t="s">
        <v>1357</v>
      </c>
      <c r="E54" s="2545"/>
      <c r="F54" s="2545"/>
      <c r="G54" s="2545"/>
      <c r="H54" s="2545"/>
      <c r="I54" s="2545"/>
      <c r="J54" s="2545"/>
      <c r="K54" s="2545"/>
      <c r="L54" s="2545"/>
      <c r="M54" s="2545"/>
      <c r="N54" s="2545"/>
      <c r="O54" s="2545"/>
      <c r="P54" s="2545"/>
      <c r="Q54" s="2545"/>
      <c r="R54" s="2545"/>
      <c r="S54" s="3253" t="s">
        <v>1359</v>
      </c>
      <c r="T54" s="3252"/>
      <c r="U54" s="3252"/>
      <c r="V54" s="3252"/>
      <c r="W54" s="3252"/>
      <c r="X54" s="2545" t="s">
        <v>1356</v>
      </c>
      <c r="Y54" s="2545"/>
      <c r="Z54" s="2545"/>
      <c r="AA54" s="2545"/>
      <c r="AB54" s="2545"/>
      <c r="AC54" s="2545"/>
      <c r="AD54" s="2545"/>
    </row>
    <row r="55" spans="1:30" x14ac:dyDescent="0.25">
      <c r="A55" s="2545" t="s">
        <v>1358</v>
      </c>
      <c r="B55" s="2545"/>
      <c r="C55" s="2545"/>
      <c r="D55" s="3252" t="s">
        <v>1360</v>
      </c>
      <c r="E55" s="2545"/>
      <c r="F55" s="2545"/>
      <c r="G55" s="2545"/>
      <c r="H55" s="2545"/>
      <c r="I55" s="2545"/>
      <c r="J55" s="2545"/>
      <c r="K55" s="2545"/>
      <c r="L55" s="2545"/>
      <c r="M55" s="2545"/>
      <c r="N55" s="2545"/>
      <c r="O55" s="2545"/>
      <c r="P55" s="2545"/>
      <c r="Q55" s="2545"/>
      <c r="R55" s="2545"/>
      <c r="S55" s="2545"/>
      <c r="T55" s="2545"/>
      <c r="U55" s="2545"/>
      <c r="V55" s="2545"/>
      <c r="W55" s="2545"/>
      <c r="X55" s="2545" t="s">
        <v>1364</v>
      </c>
      <c r="Y55" s="2545"/>
      <c r="Z55" s="2545"/>
      <c r="AA55" s="2545"/>
      <c r="AB55" s="2545"/>
      <c r="AC55" s="2545"/>
      <c r="AD55" s="2545"/>
    </row>
    <row r="56" spans="1:30" x14ac:dyDescent="0.25">
      <c r="A56" s="2545" t="s">
        <v>1362</v>
      </c>
      <c r="B56" s="2545"/>
      <c r="C56" s="2545"/>
      <c r="D56" s="3252" t="s">
        <v>1365</v>
      </c>
      <c r="E56" s="2545"/>
      <c r="F56" s="2545"/>
      <c r="G56" s="2545"/>
      <c r="H56" s="2545"/>
      <c r="I56" s="2545"/>
      <c r="J56" s="2545"/>
      <c r="K56" s="2545"/>
      <c r="L56" s="2545"/>
      <c r="M56" s="2545"/>
      <c r="N56" s="2545"/>
      <c r="O56" s="2545"/>
      <c r="P56" s="2545"/>
      <c r="Q56" s="2545"/>
      <c r="R56" s="2545"/>
      <c r="S56" s="3249" t="s">
        <v>337</v>
      </c>
      <c r="T56" s="2545"/>
      <c r="U56" s="2545"/>
      <c r="V56" s="2545"/>
      <c r="W56" s="2545"/>
      <c r="X56" s="2545" t="s">
        <v>1363</v>
      </c>
      <c r="Y56" s="2545"/>
      <c r="Z56" s="2545"/>
      <c r="AA56" s="2545"/>
      <c r="AB56" s="2545"/>
      <c r="AC56" s="2545"/>
      <c r="AD56" s="2545"/>
    </row>
    <row r="57" spans="1:30" x14ac:dyDescent="0.25">
      <c r="A57" s="2545" t="s">
        <v>1367</v>
      </c>
      <c r="B57" s="2545"/>
      <c r="C57" s="2545"/>
      <c r="D57" s="3252" t="s">
        <v>1368</v>
      </c>
      <c r="E57" s="2545"/>
      <c r="F57" s="2545"/>
      <c r="G57" s="2545"/>
      <c r="H57" s="2545"/>
      <c r="I57" s="2545"/>
      <c r="J57" s="2545"/>
      <c r="K57" s="2545"/>
      <c r="L57" s="2545"/>
      <c r="M57" s="2545"/>
      <c r="N57" s="2545"/>
      <c r="O57" s="2545"/>
      <c r="P57" s="2545"/>
      <c r="Q57" s="2545"/>
      <c r="R57" s="2545"/>
      <c r="S57" s="3249" t="s">
        <v>1370</v>
      </c>
      <c r="T57" s="2545"/>
      <c r="U57" s="2545"/>
      <c r="V57" s="2545"/>
      <c r="W57" s="2545"/>
      <c r="X57" s="2545" t="s">
        <v>1369</v>
      </c>
      <c r="Y57" s="2545"/>
      <c r="Z57" s="2545"/>
      <c r="AA57" s="2545"/>
      <c r="AB57" s="2545"/>
      <c r="AC57" s="2545"/>
      <c r="AD57" s="2545"/>
    </row>
    <row r="58" spans="1:30" x14ac:dyDescent="0.25">
      <c r="A58" s="2545" t="s">
        <v>1426</v>
      </c>
      <c r="B58" s="2545"/>
      <c r="C58" s="2545"/>
      <c r="D58" s="2545" t="s">
        <v>1427</v>
      </c>
      <c r="E58" s="2545"/>
      <c r="F58" s="2545"/>
      <c r="G58" s="2545"/>
      <c r="H58" s="2545"/>
      <c r="I58" s="2545"/>
      <c r="J58" s="2545"/>
      <c r="K58" s="2545"/>
      <c r="L58" s="2545"/>
      <c r="M58" s="2545"/>
      <c r="N58" s="2545"/>
      <c r="O58" s="2545"/>
      <c r="P58" s="2545"/>
      <c r="Q58" s="2545"/>
      <c r="R58" s="2545"/>
      <c r="S58" s="2545"/>
      <c r="T58" s="2545"/>
      <c r="U58" s="2545"/>
      <c r="V58" s="2545"/>
      <c r="W58" s="2545"/>
      <c r="X58" s="2545" t="s">
        <v>1425</v>
      </c>
      <c r="Y58" s="2545"/>
      <c r="Z58" s="2545"/>
      <c r="AA58" s="2545"/>
      <c r="AB58" s="2545"/>
      <c r="AC58" s="2545"/>
      <c r="AD58" s="2545"/>
    </row>
    <row r="59" spans="1:30" x14ac:dyDescent="0.25">
      <c r="A59" s="2545" t="s">
        <v>1429</v>
      </c>
      <c r="B59" s="2545"/>
      <c r="C59" s="2545"/>
      <c r="D59" s="2545" t="s">
        <v>1430</v>
      </c>
      <c r="E59" s="2545"/>
      <c r="F59" s="2545"/>
      <c r="G59" s="2545"/>
      <c r="H59" s="2545"/>
      <c r="I59" s="2545"/>
      <c r="J59" s="2251"/>
      <c r="K59" s="2252"/>
      <c r="L59" s="2252"/>
      <c r="M59" s="2252"/>
      <c r="N59" s="2252"/>
      <c r="O59" s="2252"/>
      <c r="P59" s="2252"/>
      <c r="Q59" s="2252"/>
      <c r="R59" s="2253"/>
      <c r="S59" s="3249" t="s">
        <v>1428</v>
      </c>
      <c r="T59" s="2545"/>
      <c r="U59" s="2545"/>
      <c r="V59" s="2545"/>
      <c r="W59" s="2545"/>
      <c r="X59" s="2251"/>
      <c r="Y59" s="2252"/>
      <c r="Z59" s="2252"/>
      <c r="AA59" s="2252"/>
      <c r="AB59" s="2252"/>
      <c r="AC59" s="2252"/>
      <c r="AD59" s="2253"/>
    </row>
    <row r="60" spans="1:30" x14ac:dyDescent="0.25">
      <c r="A60" s="2545" t="s">
        <v>1431</v>
      </c>
      <c r="B60" s="2545"/>
      <c r="C60" s="2545"/>
      <c r="D60" s="2545" t="s">
        <v>1433</v>
      </c>
      <c r="E60" s="2545"/>
      <c r="F60" s="2545"/>
      <c r="G60" s="2545"/>
      <c r="H60" s="2545"/>
      <c r="I60" s="2545"/>
      <c r="J60" s="2545"/>
      <c r="K60" s="2545"/>
      <c r="L60" s="2545"/>
      <c r="M60" s="2545"/>
      <c r="N60" s="2545"/>
      <c r="O60" s="2545"/>
      <c r="P60" s="2545"/>
      <c r="Q60" s="2545"/>
      <c r="R60" s="2545"/>
      <c r="S60" s="3251" t="s">
        <v>1051</v>
      </c>
      <c r="T60" s="3251"/>
      <c r="U60" s="3251"/>
      <c r="V60" s="3251"/>
      <c r="W60" s="3251"/>
      <c r="X60" s="3251"/>
      <c r="Y60" s="3251"/>
      <c r="Z60" s="3251"/>
      <c r="AA60" s="3251"/>
      <c r="AB60" s="3251"/>
      <c r="AC60" s="3251"/>
      <c r="AD60" s="3251"/>
    </row>
    <row r="61" spans="1:30" x14ac:dyDescent="0.25">
      <c r="A61" s="2545"/>
      <c r="B61" s="2545"/>
      <c r="C61" s="2545"/>
      <c r="D61" s="2545"/>
      <c r="E61" s="2545"/>
      <c r="F61" s="2545"/>
      <c r="G61" s="2545"/>
      <c r="H61" s="2545"/>
      <c r="I61" s="2545"/>
      <c r="J61" s="2545"/>
      <c r="K61" s="2545"/>
      <c r="L61" s="2545"/>
      <c r="M61" s="2545"/>
      <c r="N61" s="2545"/>
      <c r="O61" s="2545"/>
      <c r="P61" s="2545"/>
      <c r="Q61" s="2545"/>
      <c r="R61" s="2545"/>
      <c r="S61" s="3251" t="s">
        <v>1058</v>
      </c>
      <c r="T61" s="3251"/>
      <c r="U61" s="3251"/>
      <c r="V61" s="3251"/>
      <c r="W61" s="3251"/>
      <c r="X61" s="3251"/>
      <c r="Y61" s="3251"/>
      <c r="Z61" s="3251"/>
      <c r="AA61" s="3251"/>
      <c r="AB61" s="3251"/>
      <c r="AC61" s="3251"/>
      <c r="AD61" s="3251"/>
    </row>
    <row r="62" spans="1:30" x14ac:dyDescent="0.25">
      <c r="A62" s="2545" t="s">
        <v>1432</v>
      </c>
      <c r="B62" s="2545"/>
      <c r="C62" s="2545"/>
      <c r="D62" s="2545" t="s">
        <v>1434</v>
      </c>
      <c r="E62" s="2545"/>
      <c r="F62" s="2545"/>
      <c r="G62" s="2545"/>
      <c r="H62" s="2545"/>
      <c r="I62" s="2545"/>
      <c r="J62" s="2545"/>
      <c r="K62" s="2545"/>
      <c r="L62" s="2545"/>
      <c r="M62" s="2545"/>
      <c r="N62" s="2545"/>
      <c r="O62" s="2545"/>
      <c r="P62" s="2545"/>
      <c r="Q62" s="2545"/>
      <c r="R62" s="2545"/>
      <c r="S62" s="3251" t="s">
        <v>1056</v>
      </c>
      <c r="T62" s="3251"/>
      <c r="U62" s="3251"/>
      <c r="V62" s="3251"/>
      <c r="W62" s="3251"/>
      <c r="X62" s="3251"/>
      <c r="Y62" s="3251"/>
      <c r="Z62" s="3251"/>
      <c r="AA62" s="3251"/>
      <c r="AB62" s="3251"/>
      <c r="AC62" s="3251"/>
      <c r="AD62" s="3251"/>
    </row>
    <row r="63" spans="1:30" x14ac:dyDescent="0.25">
      <c r="A63" s="2545"/>
      <c r="B63" s="2545"/>
      <c r="C63" s="2545"/>
      <c r="D63" s="2545"/>
      <c r="E63" s="2545"/>
      <c r="F63" s="2545"/>
      <c r="G63" s="2545"/>
      <c r="H63" s="2545"/>
      <c r="I63" s="2545"/>
      <c r="J63" s="2545"/>
      <c r="K63" s="2545"/>
      <c r="L63" s="2545"/>
      <c r="M63" s="2545"/>
      <c r="N63" s="2545"/>
      <c r="O63" s="2545"/>
      <c r="P63" s="2545"/>
      <c r="Q63" s="2545"/>
      <c r="R63" s="2545"/>
      <c r="S63" s="3251" t="s">
        <v>1073</v>
      </c>
      <c r="T63" s="3251"/>
      <c r="U63" s="3251"/>
      <c r="V63" s="3251"/>
      <c r="W63" s="3251"/>
      <c r="X63" s="3251"/>
      <c r="Y63" s="3251"/>
      <c r="Z63" s="3251"/>
      <c r="AA63" s="3251"/>
      <c r="AB63" s="3251"/>
      <c r="AC63" s="3251"/>
      <c r="AD63" s="3251"/>
    </row>
    <row r="64" spans="1:30" x14ac:dyDescent="0.25">
      <c r="A64" s="2545" t="s">
        <v>1436</v>
      </c>
      <c r="B64" s="2545"/>
      <c r="C64" s="2545"/>
      <c r="D64" s="2545" t="s">
        <v>1438</v>
      </c>
      <c r="E64" s="2545"/>
      <c r="F64" s="2545"/>
      <c r="G64" s="2545"/>
      <c r="H64" s="2545"/>
      <c r="I64" s="2545"/>
      <c r="J64" s="2545"/>
      <c r="K64" s="2545"/>
      <c r="L64" s="2545"/>
      <c r="M64" s="2545"/>
      <c r="N64" s="2545"/>
      <c r="O64" s="2545"/>
      <c r="P64" s="2545"/>
      <c r="Q64" s="2545"/>
      <c r="R64" s="2545"/>
      <c r="S64" s="2545"/>
      <c r="T64" s="2545"/>
      <c r="U64" s="2545"/>
      <c r="V64" s="2545"/>
      <c r="W64" s="2545"/>
      <c r="X64" s="2545" t="s">
        <v>1435</v>
      </c>
      <c r="Y64" s="2545"/>
      <c r="Z64" s="2545"/>
      <c r="AA64" s="2545"/>
      <c r="AB64" s="2545"/>
      <c r="AC64" s="2545"/>
      <c r="AD64" s="2545"/>
    </row>
    <row r="65" spans="1:30" x14ac:dyDescent="0.25">
      <c r="A65" s="2545"/>
      <c r="B65" s="2545"/>
      <c r="C65" s="2545"/>
      <c r="D65" s="2545" t="s">
        <v>1439</v>
      </c>
      <c r="E65" s="2545"/>
      <c r="F65" s="2545"/>
      <c r="G65" s="2545"/>
      <c r="H65" s="2545"/>
      <c r="I65" s="2545"/>
      <c r="J65" s="2545"/>
      <c r="K65" s="2545"/>
      <c r="L65" s="2545"/>
      <c r="M65" s="2545"/>
      <c r="N65" s="2545"/>
      <c r="O65" s="2545"/>
      <c r="P65" s="2545"/>
      <c r="Q65" s="2545"/>
      <c r="R65" s="2545"/>
      <c r="S65" s="2545"/>
      <c r="T65" s="2545"/>
      <c r="U65" s="2545"/>
      <c r="V65" s="2545"/>
      <c r="W65" s="2545"/>
      <c r="X65" s="2545" t="s">
        <v>1440</v>
      </c>
      <c r="Y65" s="2545"/>
      <c r="Z65" s="2545"/>
      <c r="AA65" s="2545"/>
      <c r="AB65" s="2545"/>
      <c r="AC65" s="2545"/>
      <c r="AD65" s="2545"/>
    </row>
    <row r="66" spans="1:30" x14ac:dyDescent="0.25">
      <c r="A66" s="2545" t="s">
        <v>1443</v>
      </c>
      <c r="B66" s="2545"/>
      <c r="C66" s="2545"/>
      <c r="D66" s="2545" t="s">
        <v>1442</v>
      </c>
      <c r="E66" s="2545"/>
      <c r="F66" s="2545"/>
      <c r="G66" s="2545"/>
      <c r="H66" s="2545"/>
      <c r="I66" s="2545"/>
      <c r="J66" s="2251"/>
      <c r="K66" s="2252"/>
      <c r="L66" s="2252"/>
      <c r="M66" s="2252"/>
      <c r="N66" s="2252"/>
      <c r="O66" s="2252"/>
      <c r="P66" s="2252"/>
      <c r="Q66" s="2252"/>
      <c r="R66" s="2253"/>
      <c r="S66" s="3249" t="s">
        <v>1441</v>
      </c>
      <c r="T66" s="3249"/>
      <c r="U66" s="3249"/>
      <c r="V66" s="3249"/>
      <c r="W66" s="3249"/>
      <c r="X66" s="2545"/>
      <c r="Y66" s="2545"/>
      <c r="Z66" s="2545"/>
      <c r="AA66" s="2545"/>
      <c r="AB66" s="2545"/>
      <c r="AC66" s="2545"/>
      <c r="AD66" s="2545"/>
    </row>
    <row r="67" spans="1:30" x14ac:dyDescent="0.25">
      <c r="A67" s="2545" t="s">
        <v>1444</v>
      </c>
      <c r="B67" s="2545"/>
      <c r="C67" s="2545"/>
      <c r="D67" s="2545" t="s">
        <v>1445</v>
      </c>
      <c r="E67" s="2545"/>
      <c r="F67" s="2545"/>
      <c r="G67" s="2545"/>
      <c r="H67" s="2545"/>
      <c r="I67" s="2545"/>
      <c r="J67" s="2545"/>
      <c r="K67" s="2545"/>
      <c r="L67" s="2545"/>
      <c r="M67" s="2545"/>
      <c r="N67" s="2545"/>
      <c r="O67" s="2545"/>
      <c r="P67" s="2545"/>
      <c r="Q67" s="2545"/>
      <c r="R67" s="2545"/>
      <c r="S67" s="3250" t="s">
        <v>1091</v>
      </c>
      <c r="T67" s="3250"/>
      <c r="U67" s="3250"/>
      <c r="V67" s="3250"/>
      <c r="W67" s="3250"/>
      <c r="X67" s="2545"/>
      <c r="Y67" s="2545"/>
      <c r="Z67" s="2545"/>
      <c r="AA67" s="2545"/>
      <c r="AB67" s="2545"/>
      <c r="AC67" s="2545"/>
      <c r="AD67" s="2545"/>
    </row>
    <row r="68" spans="1:30" x14ac:dyDescent="0.25">
      <c r="A68" s="2545"/>
      <c r="B68" s="2545"/>
      <c r="C68" s="2545"/>
      <c r="D68" s="2545"/>
      <c r="E68" s="2545"/>
      <c r="F68" s="2545"/>
      <c r="G68" s="2545"/>
      <c r="H68" s="2545"/>
      <c r="I68" s="2545"/>
      <c r="J68" s="2545"/>
      <c r="K68" s="2545"/>
      <c r="L68" s="2545"/>
      <c r="M68" s="2545"/>
      <c r="N68" s="2545"/>
      <c r="O68" s="2545"/>
      <c r="P68" s="2545"/>
      <c r="Q68" s="2545"/>
      <c r="R68" s="2545"/>
      <c r="S68" s="3250" t="s">
        <v>1092</v>
      </c>
      <c r="T68" s="3250"/>
      <c r="U68" s="3250"/>
      <c r="V68" s="3250"/>
      <c r="W68" s="3250"/>
      <c r="X68" s="2545"/>
      <c r="Y68" s="2545"/>
      <c r="Z68" s="2545"/>
      <c r="AA68" s="2545"/>
      <c r="AB68" s="2545"/>
      <c r="AC68" s="2545"/>
      <c r="AD68" s="2545"/>
    </row>
    <row r="69" spans="1:30" x14ac:dyDescent="0.25">
      <c r="A69" s="2545"/>
      <c r="B69" s="2545"/>
      <c r="C69" s="2545"/>
      <c r="D69" s="2545" t="s">
        <v>1446</v>
      </c>
      <c r="E69" s="2545"/>
      <c r="F69" s="2545"/>
      <c r="G69" s="2545"/>
      <c r="H69" s="2545"/>
      <c r="I69" s="2545"/>
      <c r="J69" s="2251"/>
      <c r="K69" s="2252"/>
      <c r="L69" s="2252"/>
      <c r="M69" s="2252"/>
      <c r="N69" s="2252"/>
      <c r="O69" s="2252"/>
      <c r="P69" s="2252"/>
      <c r="Q69" s="2252"/>
      <c r="R69" s="2253"/>
      <c r="S69" s="3250" t="s">
        <v>1118</v>
      </c>
      <c r="T69" s="3250"/>
      <c r="U69" s="3250"/>
      <c r="V69" s="3250"/>
      <c r="W69" s="3250"/>
      <c r="X69" s="2545"/>
      <c r="Y69" s="2545"/>
      <c r="Z69" s="2545"/>
      <c r="AA69" s="2545"/>
      <c r="AB69" s="2545"/>
      <c r="AC69" s="2545"/>
      <c r="AD69" s="2545"/>
    </row>
    <row r="70" spans="1:30" x14ac:dyDescent="0.25">
      <c r="A70" s="2545" t="s">
        <v>1449</v>
      </c>
      <c r="B70" s="2545"/>
      <c r="C70" s="2545"/>
      <c r="D70" s="2545" t="s">
        <v>1450</v>
      </c>
      <c r="E70" s="2545"/>
      <c r="F70" s="2545"/>
      <c r="G70" s="2545"/>
      <c r="H70" s="2545"/>
      <c r="I70" s="2545"/>
      <c r="J70" s="2545"/>
      <c r="K70" s="2545"/>
      <c r="L70" s="2545"/>
      <c r="M70" s="2545"/>
      <c r="N70" s="2545"/>
      <c r="O70" s="2545"/>
      <c r="P70" s="2545"/>
      <c r="Q70" s="2545"/>
      <c r="R70" s="2545"/>
      <c r="S70" s="3249" t="s">
        <v>1448</v>
      </c>
      <c r="T70" s="2545"/>
      <c r="U70" s="2545"/>
      <c r="V70" s="2545"/>
      <c r="W70" s="2545"/>
      <c r="X70" s="2545" t="s">
        <v>1447</v>
      </c>
      <c r="Y70" s="2545"/>
      <c r="Z70" s="2545"/>
      <c r="AA70" s="2545"/>
      <c r="AB70" s="2545"/>
      <c r="AC70" s="2545"/>
      <c r="AD70" s="2545"/>
    </row>
    <row r="71" spans="1:30" x14ac:dyDescent="0.25">
      <c r="A71" s="2545"/>
      <c r="B71" s="2545"/>
      <c r="C71" s="2545"/>
      <c r="D71" s="2545" t="s">
        <v>1451</v>
      </c>
      <c r="E71" s="2545"/>
      <c r="F71" s="2545"/>
      <c r="G71" s="2545"/>
      <c r="H71" s="2545"/>
      <c r="I71" s="2545"/>
      <c r="J71" s="2545"/>
      <c r="K71" s="2545"/>
      <c r="L71" s="2545"/>
      <c r="M71" s="2545"/>
      <c r="N71" s="2545"/>
      <c r="O71" s="2545"/>
      <c r="P71" s="2545"/>
      <c r="Q71" s="2545"/>
      <c r="R71" s="2545"/>
      <c r="S71" s="3249" t="s">
        <v>1448</v>
      </c>
      <c r="T71" s="3249"/>
      <c r="U71" s="3249"/>
      <c r="V71" s="3249"/>
      <c r="W71" s="3249"/>
      <c r="X71" s="2545"/>
      <c r="Y71" s="2545"/>
      <c r="Z71" s="2545"/>
      <c r="AA71" s="2545"/>
      <c r="AB71" s="2545"/>
      <c r="AC71" s="2545"/>
      <c r="AD71" s="2545"/>
    </row>
    <row r="72" spans="1:30" x14ac:dyDescent="0.25">
      <c r="A72" s="2545"/>
      <c r="B72" s="2545"/>
      <c r="C72" s="2545"/>
      <c r="D72" s="2545" t="s">
        <v>1452</v>
      </c>
      <c r="E72" s="2545"/>
      <c r="F72" s="2545"/>
      <c r="G72" s="2545"/>
      <c r="H72" s="2545"/>
      <c r="I72" s="2545"/>
      <c r="J72" s="2545"/>
      <c r="K72" s="2545"/>
      <c r="L72" s="2545"/>
      <c r="M72" s="2545"/>
      <c r="N72" s="2545"/>
      <c r="O72" s="2545"/>
      <c r="P72" s="2545"/>
      <c r="Q72" s="2545"/>
      <c r="R72" s="2545"/>
      <c r="S72" s="3249"/>
      <c r="T72" s="3249"/>
      <c r="U72" s="3249"/>
      <c r="V72" s="3249"/>
      <c r="W72" s="3249"/>
      <c r="X72" s="2545"/>
      <c r="Y72" s="2545"/>
      <c r="Z72" s="2545"/>
      <c r="AA72" s="2545"/>
      <c r="AB72" s="2545"/>
      <c r="AC72" s="2545"/>
      <c r="AD72" s="2545"/>
    </row>
    <row r="73" spans="1:30" x14ac:dyDescent="0.25">
      <c r="A73" s="2545"/>
      <c r="B73" s="2545"/>
      <c r="C73" s="2545"/>
      <c r="D73" s="2545" t="s">
        <v>1453</v>
      </c>
      <c r="E73" s="2545"/>
      <c r="F73" s="2545"/>
      <c r="G73" s="2545"/>
      <c r="H73" s="2545"/>
      <c r="I73" s="2545"/>
      <c r="J73" s="2545"/>
      <c r="K73" s="2545"/>
      <c r="L73" s="2545"/>
      <c r="M73" s="2545"/>
      <c r="N73" s="2545"/>
      <c r="O73" s="2545"/>
      <c r="P73" s="2545"/>
      <c r="Q73" s="2545"/>
      <c r="R73" s="2545"/>
      <c r="S73" s="2545"/>
      <c r="T73" s="2545"/>
      <c r="U73" s="2545"/>
      <c r="V73" s="2545"/>
      <c r="W73" s="2545"/>
      <c r="X73" s="2545" t="s">
        <v>1440</v>
      </c>
      <c r="Y73" s="2545"/>
      <c r="Z73" s="2545"/>
      <c r="AA73" s="2545"/>
      <c r="AB73" s="2545"/>
      <c r="AC73" s="2545"/>
      <c r="AD73" s="2545"/>
    </row>
    <row r="74" spans="1:30" x14ac:dyDescent="0.25">
      <c r="A74" s="3284"/>
      <c r="B74" s="3284"/>
      <c r="C74" s="3284"/>
    </row>
  </sheetData>
  <mergeCells count="300">
    <mergeCell ref="A74:C74"/>
    <mergeCell ref="X50:AD50"/>
    <mergeCell ref="J50:R50"/>
    <mergeCell ref="S50:W50"/>
    <mergeCell ref="S51:W51"/>
    <mergeCell ref="X51:AD51"/>
    <mergeCell ref="J51:R51"/>
    <mergeCell ref="A50:C50"/>
    <mergeCell ref="A51:C51"/>
    <mergeCell ref="X54:AD54"/>
    <mergeCell ref="D54:I54"/>
    <mergeCell ref="A55:C55"/>
    <mergeCell ref="D55:I55"/>
    <mergeCell ref="X55:AD55"/>
    <mergeCell ref="S55:W55"/>
    <mergeCell ref="J54:R54"/>
    <mergeCell ref="J53:R53"/>
    <mergeCell ref="S59:W59"/>
    <mergeCell ref="A59:C59"/>
    <mergeCell ref="D59:I59"/>
    <mergeCell ref="J59:R59"/>
    <mergeCell ref="X59:AD59"/>
    <mergeCell ref="J52:R52"/>
    <mergeCell ref="A56:C56"/>
    <mergeCell ref="D48:I48"/>
    <mergeCell ref="D50:I50"/>
    <mergeCell ref="D51:I51"/>
    <mergeCell ref="J49:R49"/>
    <mergeCell ref="J48:R48"/>
    <mergeCell ref="S47:W47"/>
    <mergeCell ref="X47:AD47"/>
    <mergeCell ref="A48:C48"/>
    <mergeCell ref="A49:C49"/>
    <mergeCell ref="D49:I49"/>
    <mergeCell ref="X49:AD49"/>
    <mergeCell ref="S48:W48"/>
    <mergeCell ref="X48:AD48"/>
    <mergeCell ref="S49:W49"/>
    <mergeCell ref="A47:C47"/>
    <mergeCell ref="D47:I47"/>
    <mergeCell ref="J47:R47"/>
    <mergeCell ref="D24:I24"/>
    <mergeCell ref="A24:C24"/>
    <mergeCell ref="S24:W24"/>
    <mergeCell ref="X32:AD35"/>
    <mergeCell ref="X31:AD31"/>
    <mergeCell ref="A31:C31"/>
    <mergeCell ref="D31:I31"/>
    <mergeCell ref="S31:W31"/>
    <mergeCell ref="A32:C35"/>
    <mergeCell ref="D32:I35"/>
    <mergeCell ref="J31:R31"/>
    <mergeCell ref="J32:R35"/>
    <mergeCell ref="S32:W35"/>
    <mergeCell ref="A25:C25"/>
    <mergeCell ref="D25:I25"/>
    <mergeCell ref="J25:R25"/>
    <mergeCell ref="S25:W25"/>
    <mergeCell ref="X25:AD25"/>
    <mergeCell ref="A26:C26"/>
    <mergeCell ref="D26:I26"/>
    <mergeCell ref="J26:R26"/>
    <mergeCell ref="S26:W26"/>
    <mergeCell ref="X26:AD26"/>
    <mergeCell ref="A16:C16"/>
    <mergeCell ref="D16:I16"/>
    <mergeCell ref="J16:R16"/>
    <mergeCell ref="A17:C17"/>
    <mergeCell ref="D17:I17"/>
    <mergeCell ref="J17:R17"/>
    <mergeCell ref="X17:AD17"/>
    <mergeCell ref="S17:W17"/>
    <mergeCell ref="A21:C21"/>
    <mergeCell ref="D21:I21"/>
    <mergeCell ref="J21:R21"/>
    <mergeCell ref="S21:W21"/>
    <mergeCell ref="X21:AD21"/>
    <mergeCell ref="A18:C18"/>
    <mergeCell ref="D18:I18"/>
    <mergeCell ref="J18:R18"/>
    <mergeCell ref="S18:W18"/>
    <mergeCell ref="X18:AD18"/>
    <mergeCell ref="X16:AD16"/>
    <mergeCell ref="S16:W16"/>
    <mergeCell ref="A1:N1"/>
    <mergeCell ref="A6:C6"/>
    <mergeCell ref="A7:C7"/>
    <mergeCell ref="A8:C8"/>
    <mergeCell ref="A9:C9"/>
    <mergeCell ref="A10:C10"/>
    <mergeCell ref="A5:C5"/>
    <mergeCell ref="A3:C3"/>
    <mergeCell ref="A4:C4"/>
    <mergeCell ref="J10:R10"/>
    <mergeCell ref="J9:R9"/>
    <mergeCell ref="D3:I3"/>
    <mergeCell ref="D4:I4"/>
    <mergeCell ref="J5:R5"/>
    <mergeCell ref="J6:R6"/>
    <mergeCell ref="A2:AD2"/>
    <mergeCell ref="S3:W3"/>
    <mergeCell ref="S4:W4"/>
    <mergeCell ref="D5:I5"/>
    <mergeCell ref="D6:I6"/>
    <mergeCell ref="J3:R3"/>
    <mergeCell ref="J4:R4"/>
    <mergeCell ref="X4:AD4"/>
    <mergeCell ref="S6:W6"/>
    <mergeCell ref="A14:C14"/>
    <mergeCell ref="J15:R15"/>
    <mergeCell ref="J7:R7"/>
    <mergeCell ref="J8:R8"/>
    <mergeCell ref="J11:R11"/>
    <mergeCell ref="J12:R12"/>
    <mergeCell ref="D11:I11"/>
    <mergeCell ref="D14:I14"/>
    <mergeCell ref="J14:R14"/>
    <mergeCell ref="A11:C11"/>
    <mergeCell ref="A12:C12"/>
    <mergeCell ref="A13:C13"/>
    <mergeCell ref="D12:I12"/>
    <mergeCell ref="D13:I13"/>
    <mergeCell ref="D7:I7"/>
    <mergeCell ref="D8:I8"/>
    <mergeCell ref="D9:I9"/>
    <mergeCell ref="D10:I10"/>
    <mergeCell ref="A15:C15"/>
    <mergeCell ref="J13:R13"/>
    <mergeCell ref="D15:I15"/>
    <mergeCell ref="S7:W7"/>
    <mergeCell ref="S8:W8"/>
    <mergeCell ref="X3:AD3"/>
    <mergeCell ref="S9:W9"/>
    <mergeCell ref="S5:W5"/>
    <mergeCell ref="X10:AD10"/>
    <mergeCell ref="X15:AD15"/>
    <mergeCell ref="X5:AD5"/>
    <mergeCell ref="S15:W15"/>
    <mergeCell ref="S10:W10"/>
    <mergeCell ref="S11:W11"/>
    <mergeCell ref="S12:W12"/>
    <mergeCell ref="S13:W13"/>
    <mergeCell ref="X14:AD14"/>
    <mergeCell ref="X6:AD6"/>
    <mergeCell ref="X8:AD8"/>
    <mergeCell ref="X9:AD9"/>
    <mergeCell ref="X7:AD7"/>
    <mergeCell ref="S14:W14"/>
    <mergeCell ref="X11:AD11"/>
    <mergeCell ref="X12:AD12"/>
    <mergeCell ref="X13:AD13"/>
    <mergeCell ref="J22:R22"/>
    <mergeCell ref="S22:W22"/>
    <mergeCell ref="X22:AD22"/>
    <mergeCell ref="X19:AD19"/>
    <mergeCell ref="X20:AD20"/>
    <mergeCell ref="S19:W19"/>
    <mergeCell ref="A19:C19"/>
    <mergeCell ref="D19:I19"/>
    <mergeCell ref="J19:R19"/>
    <mergeCell ref="A20:C20"/>
    <mergeCell ref="D20:I20"/>
    <mergeCell ref="J20:R20"/>
    <mergeCell ref="A22:C22"/>
    <mergeCell ref="D22:I22"/>
    <mergeCell ref="A23:C23"/>
    <mergeCell ref="D23:I23"/>
    <mergeCell ref="J23:R23"/>
    <mergeCell ref="S23:W23"/>
    <mergeCell ref="X23:AD23"/>
    <mergeCell ref="D29:I30"/>
    <mergeCell ref="A29:C30"/>
    <mergeCell ref="S29:W29"/>
    <mergeCell ref="S30:W30"/>
    <mergeCell ref="A27:C27"/>
    <mergeCell ref="D27:I27"/>
    <mergeCell ref="J27:R27"/>
    <mergeCell ref="S27:W27"/>
    <mergeCell ref="X27:AD27"/>
    <mergeCell ref="A28:C28"/>
    <mergeCell ref="D28:I28"/>
    <mergeCell ref="X28:AD28"/>
    <mergeCell ref="J28:R28"/>
    <mergeCell ref="J29:R29"/>
    <mergeCell ref="J30:R30"/>
    <mergeCell ref="X29:AD29"/>
    <mergeCell ref="X30:AD30"/>
    <mergeCell ref="X24:AD24"/>
    <mergeCell ref="J24:R24"/>
    <mergeCell ref="A36:C36"/>
    <mergeCell ref="D36:I36"/>
    <mergeCell ref="X36:AD36"/>
    <mergeCell ref="A37:C37"/>
    <mergeCell ref="D37:I37"/>
    <mergeCell ref="X37:AD37"/>
    <mergeCell ref="S36:W36"/>
    <mergeCell ref="J36:R36"/>
    <mergeCell ref="J37:R37"/>
    <mergeCell ref="S37:W37"/>
    <mergeCell ref="X38:AD38"/>
    <mergeCell ref="X39:AD39"/>
    <mergeCell ref="A38:C38"/>
    <mergeCell ref="D38:I38"/>
    <mergeCell ref="J38:R38"/>
    <mergeCell ref="A39:C39"/>
    <mergeCell ref="J39:R39"/>
    <mergeCell ref="D39:I39"/>
    <mergeCell ref="S38:W38"/>
    <mergeCell ref="S39:W39"/>
    <mergeCell ref="A40:C40"/>
    <mergeCell ref="D40:I40"/>
    <mergeCell ref="J40:R40"/>
    <mergeCell ref="S40:W40"/>
    <mergeCell ref="X40:AD40"/>
    <mergeCell ref="A44:C46"/>
    <mergeCell ref="D44:I46"/>
    <mergeCell ref="J44:R46"/>
    <mergeCell ref="S44:W46"/>
    <mergeCell ref="X44:AD46"/>
    <mergeCell ref="A41:C43"/>
    <mergeCell ref="D41:I43"/>
    <mergeCell ref="J41:R43"/>
    <mergeCell ref="S41:W43"/>
    <mergeCell ref="X41:AD43"/>
    <mergeCell ref="D56:I56"/>
    <mergeCell ref="J55:R55"/>
    <mergeCell ref="J56:R56"/>
    <mergeCell ref="S56:W56"/>
    <mergeCell ref="X56:AD56"/>
    <mergeCell ref="A52:C52"/>
    <mergeCell ref="D52:I52"/>
    <mergeCell ref="X52:AD52"/>
    <mergeCell ref="S52:W52"/>
    <mergeCell ref="A53:C53"/>
    <mergeCell ref="X53:AD53"/>
    <mergeCell ref="S53:W53"/>
    <mergeCell ref="D53:I53"/>
    <mergeCell ref="A54:C54"/>
    <mergeCell ref="S54:W54"/>
    <mergeCell ref="A57:C57"/>
    <mergeCell ref="D57:I57"/>
    <mergeCell ref="S57:W57"/>
    <mergeCell ref="X57:AD57"/>
    <mergeCell ref="S58:W58"/>
    <mergeCell ref="J57:R57"/>
    <mergeCell ref="J58:R58"/>
    <mergeCell ref="X58:AD58"/>
    <mergeCell ref="A58:C58"/>
    <mergeCell ref="D58:I58"/>
    <mergeCell ref="S62:W62"/>
    <mergeCell ref="S63:W63"/>
    <mergeCell ref="A62:C63"/>
    <mergeCell ref="D60:I61"/>
    <mergeCell ref="D62:I63"/>
    <mergeCell ref="J60:R61"/>
    <mergeCell ref="J62:R63"/>
    <mergeCell ref="X60:AD61"/>
    <mergeCell ref="X62:AD63"/>
    <mergeCell ref="S60:W60"/>
    <mergeCell ref="S61:W61"/>
    <mergeCell ref="A60:C61"/>
    <mergeCell ref="X64:AD64"/>
    <mergeCell ref="D64:I64"/>
    <mergeCell ref="D65:I65"/>
    <mergeCell ref="X65:AD65"/>
    <mergeCell ref="A64:C65"/>
    <mergeCell ref="S66:W66"/>
    <mergeCell ref="S64:W64"/>
    <mergeCell ref="S65:W65"/>
    <mergeCell ref="A66:C66"/>
    <mergeCell ref="D66:I66"/>
    <mergeCell ref="J65:R65"/>
    <mergeCell ref="J64:R64"/>
    <mergeCell ref="X66:AD66"/>
    <mergeCell ref="J66:R66"/>
    <mergeCell ref="S67:W67"/>
    <mergeCell ref="S68:W68"/>
    <mergeCell ref="D67:I68"/>
    <mergeCell ref="J67:R68"/>
    <mergeCell ref="X67:AD67"/>
    <mergeCell ref="X68:AD68"/>
    <mergeCell ref="S69:W69"/>
    <mergeCell ref="D69:I69"/>
    <mergeCell ref="A67:C69"/>
    <mergeCell ref="X69:AD69"/>
    <mergeCell ref="J69:R69"/>
    <mergeCell ref="S70:W70"/>
    <mergeCell ref="X70:AD70"/>
    <mergeCell ref="D70:I70"/>
    <mergeCell ref="D71:I71"/>
    <mergeCell ref="D72:I72"/>
    <mergeCell ref="J71:R72"/>
    <mergeCell ref="J70:R70"/>
    <mergeCell ref="S71:W72"/>
    <mergeCell ref="A70:C73"/>
    <mergeCell ref="D73:I73"/>
    <mergeCell ref="J73:R73"/>
    <mergeCell ref="S73:W73"/>
    <mergeCell ref="X73:AD73"/>
    <mergeCell ref="X71:AD72"/>
  </mergeCells>
  <hyperlinks>
    <hyperlink ref="S16" r:id="rId1" tooltip="Original URL: https://cleanleap.com/6-biogas/61-capital-costs-biogas. Click or tap if you trust this link." display="https://nam05.safelinks.protection.outlook.com/?url=https%3A%2F%2Fcleanleap.com%2F6-biogas%2F61-capital-costs-biogas&amp;data=02%7C01%7Cmithila.chakraborty%40mavs.uta.edu%7C03d31582c4674abf6b9108d73ad402c6%7C5cdc5b43d7be4caa8173729e3b0a62d9%7C0%7C0%7C637042554556821798&amp;sdata=EbwDjKZaD0XHTnxFtboKlqTCWrfhk5EXPjJlXG5ZLEY%3D&amp;reserved=0" xr:uid="{00000000-0004-0000-0D00-000000000000}"/>
    <hyperlink ref="S7" r:id="rId2" xr:uid="{00000000-0004-0000-0D00-000001000000}"/>
    <hyperlink ref="S11" r:id="rId3" xr:uid="{00000000-0004-0000-0D00-000002000000}"/>
    <hyperlink ref="S13" r:id="rId4" xr:uid="{00000000-0004-0000-0D00-000003000000}"/>
    <hyperlink ref="S10" r:id="rId5" xr:uid="{00000000-0004-0000-0D00-000004000000}"/>
    <hyperlink ref="S8" r:id="rId6" xr:uid="{00000000-0004-0000-0D00-000005000000}"/>
    <hyperlink ref="S19" r:id="rId7" xr:uid="{00000000-0004-0000-0D00-000006000000}"/>
    <hyperlink ref="S20" r:id="rId8" xr:uid="{00000000-0004-0000-0D00-000007000000}"/>
    <hyperlink ref="S23" r:id="rId9" xr:uid="{00000000-0004-0000-0D00-000008000000}"/>
    <hyperlink ref="S25" r:id="rId10" location="gf_3" xr:uid="{00000000-0004-0000-0D00-00000A000000}"/>
    <hyperlink ref="S27" r:id="rId11" display="https://www.energy.gov/eere/vehicles/articles/_x000a_fotw-1095-august-19-2019-average-age-light-duty-vehicles-has-increased-118" xr:uid="{00000000-0004-0000-0D00-00000B000000}"/>
    <hyperlink ref="S28" r:id="rId12" xr:uid="{00000000-0004-0000-0D00-00000C000000}"/>
    <hyperlink ref="S29" r:id="rId13" xr:uid="{00000000-0004-0000-0D00-00000D000000}"/>
    <hyperlink ref="S30" r:id="rId14" display="https://www.google.com/search?rlz=1C1CHBF_enUS862US862&amp;sxsrf=ACYBGNQnGRcgfjtgJGUtlQOkxQgr7Sfzyw%3A1575410989478&amp;ei=Ld3mXYnXHMaQsAW5wZbYCQ&amp;q=btu+to+kwh&amp;oq=btu+to+kwh&amp;gs_l=psy-ab.3..0i131i273j0l2j0i333l2.359309.362717..363111...1.1..0.93.566.10......0....1..gws-wiz.....10..0i71j35i362i39j35i39j0i273j0i131j0i67j0i131i67.Mveey-bMxjI&amp;ved=0ahUKEwjJoZyjv5rmAhVGCKwKHbmgBZsQ4dUDCAs&amp;uact=5" xr:uid="{00000000-0004-0000-0D00-00000E000000}"/>
    <hyperlink ref="S6" r:id="rId15" xr:uid="{A9947D6B-6B3A-4B33-8100-26228163152A}"/>
    <hyperlink ref="S31" r:id="rId16" xr:uid="{ECE928AB-CC2B-4287-8F44-9BFA14CDAA29}"/>
    <hyperlink ref="S32" r:id="rId17" xr:uid="{8383FE0E-F329-4595-A8FC-DFF54AF17531}"/>
    <hyperlink ref="S37" r:id="rId18" xr:uid="{CEDF35D9-E6C3-4580-BB62-BE4D1EB6AF63}"/>
    <hyperlink ref="S24" r:id="rId19" xr:uid="{A9245069-2C40-4508-9E2E-3087785FFA9F}"/>
    <hyperlink ref="S39" r:id="rId20" xr:uid="{52F56D56-6288-48C3-BA71-96BDAC815D23}"/>
    <hyperlink ref="S40" r:id="rId21" xr:uid="{76DEEDA4-2011-4734-AAB3-3277BC019F4E}"/>
    <hyperlink ref="S44" r:id="rId22" xr:uid="{3DD4E20F-6A6F-4F37-8E50-7E43AD5E0AC3}"/>
    <hyperlink ref="S47" r:id="rId23" xr:uid="{235C4CA0-75C5-4713-81EE-89AA75C25F80}"/>
    <hyperlink ref="S51" r:id="rId24" xr:uid="{1147D212-ECBB-4D35-9FDA-179449AD7A14}"/>
    <hyperlink ref="S50" r:id="rId25" xr:uid="{2A7E11DC-BBDA-4BC2-A85A-6E79E5C021A1}"/>
    <hyperlink ref="S49" r:id="rId26" xr:uid="{09447A01-CE94-4C05-9024-37DE42A62321}"/>
    <hyperlink ref="S26" r:id="rId27" xr:uid="{5DE17B76-DECA-4616-9945-C566D3B63CFB}"/>
    <hyperlink ref="S52" r:id="rId28" xr:uid="{37AF1D70-6D91-448A-BE35-D11F8E122D0F}"/>
    <hyperlink ref="S53" r:id="rId29" xr:uid="{F97E1E98-4720-4EA7-8913-AFEEDB301C36}"/>
    <hyperlink ref="S54" r:id="rId30" xr:uid="{86075F8E-8A09-44B9-A68F-F3E5B2936DD6}"/>
    <hyperlink ref="S56" r:id="rId31" xr:uid="{3F8DE449-5E7F-477B-B8DE-2B3A07B7DDAD}"/>
    <hyperlink ref="S57" r:id="rId32" xr:uid="{EA6ECBD6-8DC6-4D3E-86B1-B247976848A4}"/>
    <hyperlink ref="S59" r:id="rId33" xr:uid="{1A4B806F-0E8A-4078-A3BB-23BA115A0C5A}"/>
    <hyperlink ref="S60" r:id="rId34" xr:uid="{B6183039-50B8-432D-B902-7FF52F29BDC7}"/>
    <hyperlink ref="S61" r:id="rId35" xr:uid="{67C8D907-552A-44C3-9A90-84BBEE705E67}"/>
    <hyperlink ref="S62" r:id="rId36" xr:uid="{863189CE-4C8D-4558-B691-5DF466A0EBDB}"/>
    <hyperlink ref="S63" r:id="rId37" xr:uid="{BDA11581-C03A-404C-B50F-77E74CA71032}"/>
    <hyperlink ref="S66" r:id="rId38" xr:uid="{A5C404B4-3206-4D04-952F-D5F7AEFC4BD9}"/>
    <hyperlink ref="S67" r:id="rId39" xr:uid="{2E893058-B5FF-4B0F-8D33-8532DC72B4E0}"/>
    <hyperlink ref="S68" r:id="rId40" xr:uid="{231B9C4E-C711-4477-9997-E8DD493D6B2C}"/>
    <hyperlink ref="S69" r:id="rId41" xr:uid="{B1537A16-FC47-47D5-83D2-9F2529C59921}"/>
    <hyperlink ref="S70" r:id="rId42" xr:uid="{CEE85FF7-C25D-42FD-B58B-B83D53ABC2D5}"/>
    <hyperlink ref="S71" r:id="rId43" xr:uid="{FEA9DB4B-B7B4-418E-842C-3BDB293C6DD4}"/>
    <hyperlink ref="S38" r:id="rId44" xr:uid="{6370A553-C9F6-46F2-AA6A-00F124A4CF24}"/>
  </hyperlinks>
  <pageMargins left="0.7" right="0.7" top="0.75" bottom="0.75" header="0.3" footer="0.3"/>
  <pageSetup orientation="portrait" r:id="rId45"/>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5"/>
  <dimension ref="A1:AC40"/>
  <sheetViews>
    <sheetView zoomScale="66" zoomScaleNormal="66" workbookViewId="0">
      <selection activeCell="AE18" sqref="AE18"/>
    </sheetView>
  </sheetViews>
  <sheetFormatPr defaultRowHeight="15" x14ac:dyDescent="0.25"/>
  <sheetData>
    <row r="1" spans="1:29" s="230" customFormat="1" x14ac:dyDescent="0.25"/>
    <row r="2" spans="1:29" s="230" customFormat="1" x14ac:dyDescent="0.25"/>
    <row r="3" spans="1:29" s="230" customFormat="1" x14ac:dyDescent="0.25"/>
    <row r="4" spans="1:29" s="230" customFormat="1" x14ac:dyDescent="0.25"/>
    <row r="8" spans="1:29" s="230" customFormat="1" x14ac:dyDescent="0.25"/>
    <row r="9" spans="1:29" s="230" customFormat="1" x14ac:dyDescent="0.25"/>
    <row r="10" spans="1:29" s="230" customFormat="1" x14ac:dyDescent="0.25"/>
    <row r="11" spans="1:29" s="230" customFormat="1" x14ac:dyDescent="0.25"/>
    <row r="12" spans="1:29" x14ac:dyDescent="0.25">
      <c r="A12" s="3285"/>
      <c r="B12" s="3285"/>
      <c r="C12" s="3285"/>
      <c r="D12" s="3285"/>
      <c r="E12" s="3285"/>
      <c r="F12" s="3285"/>
      <c r="G12" s="3285"/>
      <c r="H12" s="3285"/>
      <c r="I12" s="3285"/>
      <c r="J12" s="3285"/>
      <c r="K12" s="3285"/>
      <c r="L12" s="3285"/>
      <c r="M12" s="3285"/>
      <c r="N12" s="3285"/>
      <c r="O12" s="3285"/>
      <c r="P12" s="3285"/>
      <c r="Q12" s="3285"/>
      <c r="R12" s="3285"/>
      <c r="S12" s="3285"/>
      <c r="T12" s="3285"/>
      <c r="U12" s="3285"/>
      <c r="V12" s="3285"/>
      <c r="W12" s="3285"/>
      <c r="X12" s="3285"/>
      <c r="Y12" s="3285"/>
      <c r="Z12" s="3285"/>
      <c r="AA12" s="3285"/>
      <c r="AB12" s="3285"/>
      <c r="AC12" s="3285"/>
    </row>
    <row r="13" spans="1:29" ht="18.75" customHeight="1" x14ac:dyDescent="0.25">
      <c r="A13" s="3285"/>
      <c r="B13" s="3285"/>
      <c r="C13" s="3285"/>
      <c r="D13" s="3285"/>
      <c r="E13" s="3285"/>
      <c r="F13" s="3285"/>
      <c r="G13" s="3285"/>
      <c r="H13" s="3285"/>
      <c r="I13" s="3285"/>
      <c r="J13" s="3285"/>
      <c r="K13" s="3285"/>
      <c r="L13" s="3285"/>
      <c r="M13" s="3285"/>
      <c r="N13" s="3285"/>
      <c r="O13" s="3285"/>
      <c r="P13" s="3285"/>
      <c r="Q13" s="3285"/>
      <c r="R13" s="3285"/>
      <c r="S13" s="3285"/>
      <c r="T13" s="3285"/>
      <c r="U13" s="3285"/>
      <c r="V13" s="3285"/>
      <c r="W13" s="3285"/>
      <c r="X13" s="3285"/>
      <c r="Y13" s="3285"/>
      <c r="Z13" s="3285"/>
      <c r="AA13" s="3285"/>
      <c r="AB13" s="3285"/>
      <c r="AC13" s="3285"/>
    </row>
    <row r="14" spans="1:29" x14ac:dyDescent="0.25">
      <c r="A14" s="3285"/>
      <c r="B14" s="3285"/>
      <c r="C14" s="3285"/>
      <c r="D14" s="3285"/>
      <c r="E14" s="3285"/>
      <c r="F14" s="3285"/>
      <c r="G14" s="3285"/>
      <c r="H14" s="3285"/>
      <c r="I14" s="3285"/>
      <c r="J14" s="3285"/>
      <c r="K14" s="3285"/>
      <c r="L14" s="3285"/>
      <c r="M14" s="3285"/>
      <c r="N14" s="3285"/>
      <c r="O14" s="3285"/>
      <c r="P14" s="3285"/>
      <c r="Q14" s="3285"/>
      <c r="R14" s="3285"/>
      <c r="S14" s="3285"/>
      <c r="T14" s="3285"/>
      <c r="U14" s="3285"/>
      <c r="V14" s="3285"/>
      <c r="W14" s="3285"/>
      <c r="X14" s="3285"/>
      <c r="Y14" s="3285"/>
      <c r="Z14" s="3285"/>
      <c r="AA14" s="3285"/>
      <c r="AB14" s="3285"/>
      <c r="AC14" s="3285"/>
    </row>
    <row r="15" spans="1:29" x14ac:dyDescent="0.25">
      <c r="A15" s="3285"/>
      <c r="B15" s="3285"/>
      <c r="C15" s="3285"/>
      <c r="D15" s="3285"/>
      <c r="E15" s="3285"/>
      <c r="F15" s="3285"/>
      <c r="G15" s="3285"/>
      <c r="H15" s="3285"/>
      <c r="I15" s="3285"/>
      <c r="J15" s="3285"/>
      <c r="K15" s="3285"/>
      <c r="L15" s="3285"/>
      <c r="M15" s="3285"/>
      <c r="N15" s="3285"/>
      <c r="O15" s="3285"/>
      <c r="P15" s="3285"/>
      <c r="Q15" s="3285"/>
      <c r="R15" s="3285"/>
      <c r="S15" s="3285"/>
      <c r="T15" s="3285"/>
      <c r="U15" s="3285"/>
      <c r="V15" s="3285"/>
      <c r="W15" s="3285"/>
      <c r="X15" s="3285"/>
      <c r="Y15" s="3285"/>
      <c r="Z15" s="3285"/>
      <c r="AA15" s="3285"/>
      <c r="AB15" s="3285"/>
      <c r="AC15" s="3285"/>
    </row>
    <row r="16" spans="1:29" x14ac:dyDescent="0.25">
      <c r="A16" s="3285"/>
      <c r="B16" s="3285"/>
      <c r="C16" s="3285"/>
      <c r="D16" s="3285"/>
      <c r="E16" s="3285"/>
      <c r="F16" s="3285"/>
      <c r="G16" s="3285"/>
      <c r="H16" s="3285"/>
      <c r="I16" s="3285"/>
      <c r="J16" s="3285"/>
      <c r="K16" s="3285"/>
      <c r="L16" s="3285"/>
      <c r="M16" s="3285"/>
      <c r="N16" s="3285"/>
      <c r="O16" s="3285"/>
      <c r="P16" s="3285"/>
      <c r="Q16" s="3285"/>
      <c r="R16" s="3285"/>
      <c r="S16" s="3285"/>
      <c r="T16" s="3285"/>
      <c r="U16" s="3285"/>
      <c r="V16" s="3285"/>
      <c r="W16" s="3285"/>
      <c r="X16" s="3285"/>
      <c r="Y16" s="3285"/>
      <c r="Z16" s="3285"/>
      <c r="AA16" s="3285"/>
      <c r="AB16" s="3285"/>
      <c r="AC16" s="3285"/>
    </row>
    <row r="17" spans="1:29" x14ac:dyDescent="0.25">
      <c r="A17" s="3285"/>
      <c r="B17" s="3285"/>
      <c r="C17" s="3285"/>
      <c r="D17" s="3285"/>
      <c r="E17" s="3285"/>
      <c r="F17" s="3285"/>
      <c r="G17" s="3285"/>
      <c r="H17" s="3285"/>
      <c r="I17" s="3285"/>
      <c r="J17" s="3285"/>
      <c r="K17" s="3285"/>
      <c r="L17" s="3285"/>
      <c r="M17" s="3285"/>
      <c r="N17" s="3285"/>
      <c r="O17" s="3285"/>
      <c r="P17" s="3285"/>
      <c r="Q17" s="3285"/>
      <c r="R17" s="3285"/>
      <c r="S17" s="3285"/>
      <c r="T17" s="3285"/>
      <c r="U17" s="3285"/>
      <c r="V17" s="3285"/>
      <c r="W17" s="3285"/>
      <c r="X17" s="3285"/>
      <c r="Y17" s="3285"/>
      <c r="Z17" s="3285"/>
      <c r="AA17" s="3285"/>
      <c r="AB17" s="3285"/>
      <c r="AC17" s="3285"/>
    </row>
    <row r="18" spans="1:29" x14ac:dyDescent="0.25">
      <c r="A18" s="3285"/>
      <c r="B18" s="3285"/>
      <c r="C18" s="3285"/>
      <c r="D18" s="3285"/>
      <c r="E18" s="3285"/>
      <c r="F18" s="3285"/>
      <c r="G18" s="3285"/>
      <c r="H18" s="3285"/>
      <c r="I18" s="3285"/>
      <c r="J18" s="3285"/>
      <c r="K18" s="3285"/>
      <c r="L18" s="3285"/>
      <c r="M18" s="3285"/>
      <c r="N18" s="3285"/>
      <c r="O18" s="3285"/>
      <c r="P18" s="3285"/>
      <c r="Q18" s="3285"/>
      <c r="R18" s="3285"/>
      <c r="S18" s="3285"/>
      <c r="T18" s="3285"/>
      <c r="U18" s="3285"/>
      <c r="V18" s="3285"/>
      <c r="W18" s="3285"/>
      <c r="X18" s="3285"/>
      <c r="Y18" s="3285"/>
      <c r="Z18" s="3285"/>
      <c r="AA18" s="3285"/>
      <c r="AB18" s="3285"/>
      <c r="AC18" s="3285"/>
    </row>
    <row r="19" spans="1:29" x14ac:dyDescent="0.25">
      <c r="A19" s="3285"/>
      <c r="B19" s="3285"/>
      <c r="C19" s="3285"/>
      <c r="D19" s="3285"/>
      <c r="E19" s="3285"/>
      <c r="F19" s="3285"/>
      <c r="G19" s="3285"/>
      <c r="H19" s="3285"/>
      <c r="I19" s="3285"/>
      <c r="J19" s="3285"/>
      <c r="K19" s="3285"/>
      <c r="L19" s="3285"/>
      <c r="M19" s="3285"/>
      <c r="N19" s="3285"/>
      <c r="O19" s="3285"/>
      <c r="P19" s="3285"/>
      <c r="Q19" s="3285"/>
      <c r="R19" s="3285"/>
      <c r="S19" s="3285"/>
      <c r="T19" s="3285"/>
      <c r="U19" s="3285"/>
      <c r="V19" s="3285"/>
      <c r="W19" s="3285"/>
      <c r="X19" s="3285"/>
      <c r="Y19" s="3285"/>
      <c r="Z19" s="3285"/>
      <c r="AA19" s="3285"/>
      <c r="AB19" s="3285"/>
      <c r="AC19" s="3285"/>
    </row>
    <row r="20" spans="1:29" x14ac:dyDescent="0.25">
      <c r="A20" s="3285"/>
      <c r="B20" s="3285"/>
      <c r="C20" s="3285"/>
      <c r="D20" s="3285"/>
      <c r="E20" s="3285"/>
      <c r="F20" s="3285"/>
      <c r="G20" s="3285"/>
      <c r="H20" s="3285"/>
      <c r="I20" s="3285"/>
      <c r="J20" s="3285"/>
      <c r="K20" s="3285"/>
      <c r="L20" s="3285"/>
      <c r="M20" s="3285"/>
      <c r="N20" s="3285"/>
      <c r="O20" s="3285"/>
      <c r="P20" s="3285"/>
      <c r="Q20" s="3285"/>
      <c r="R20" s="3285"/>
      <c r="S20" s="3285"/>
      <c r="T20" s="3285"/>
      <c r="U20" s="3285"/>
      <c r="V20" s="3285"/>
      <c r="W20" s="3285"/>
      <c r="X20" s="3285"/>
      <c r="Y20" s="3285"/>
      <c r="Z20" s="3285"/>
      <c r="AA20" s="3285"/>
      <c r="AB20" s="3285"/>
      <c r="AC20" s="3285"/>
    </row>
    <row r="21" spans="1:29" x14ac:dyDescent="0.25">
      <c r="A21" s="3285"/>
      <c r="B21" s="3285"/>
      <c r="C21" s="3285"/>
      <c r="D21" s="3285"/>
      <c r="E21" s="3285"/>
      <c r="F21" s="3285"/>
      <c r="G21" s="3285"/>
      <c r="H21" s="3285"/>
      <c r="I21" s="3285"/>
      <c r="J21" s="3285"/>
      <c r="K21" s="3285"/>
      <c r="L21" s="3285"/>
      <c r="M21" s="3285"/>
      <c r="N21" s="3285"/>
      <c r="O21" s="3285"/>
      <c r="P21" s="3285"/>
      <c r="Q21" s="3285"/>
      <c r="R21" s="3285"/>
      <c r="S21" s="3285"/>
      <c r="T21" s="3285"/>
      <c r="U21" s="3285"/>
      <c r="V21" s="3285"/>
      <c r="W21" s="3285"/>
      <c r="X21" s="3285"/>
      <c r="Y21" s="3285"/>
      <c r="Z21" s="3285"/>
      <c r="AA21" s="3285"/>
      <c r="AB21" s="3285"/>
      <c r="AC21" s="3285"/>
    </row>
    <row r="22" spans="1:29" x14ac:dyDescent="0.25">
      <c r="A22" s="3285"/>
      <c r="B22" s="3285"/>
      <c r="C22" s="3285"/>
      <c r="D22" s="3285"/>
      <c r="E22" s="3285"/>
      <c r="F22" s="3285"/>
      <c r="G22" s="3285"/>
      <c r="H22" s="3285"/>
      <c r="I22" s="3285"/>
      <c r="J22" s="3285"/>
      <c r="K22" s="3285"/>
      <c r="L22" s="3285"/>
      <c r="M22" s="3285"/>
      <c r="N22" s="3285"/>
      <c r="O22" s="3285"/>
      <c r="P22" s="3285"/>
      <c r="Q22" s="3285"/>
      <c r="R22" s="3285"/>
      <c r="S22" s="3285"/>
      <c r="T22" s="3285"/>
      <c r="U22" s="3285"/>
      <c r="V22" s="3285"/>
      <c r="W22" s="3285"/>
      <c r="X22" s="3285"/>
      <c r="Y22" s="3285"/>
      <c r="Z22" s="3285"/>
      <c r="AA22" s="3285"/>
      <c r="AB22" s="3285"/>
      <c r="AC22" s="3285"/>
    </row>
    <row r="23" spans="1:29" x14ac:dyDescent="0.25">
      <c r="A23" s="3285"/>
      <c r="B23" s="3285"/>
      <c r="C23" s="3285"/>
      <c r="D23" s="3285"/>
      <c r="E23" s="3285"/>
      <c r="F23" s="3285"/>
      <c r="G23" s="3285"/>
      <c r="H23" s="3285"/>
      <c r="I23" s="3285"/>
      <c r="J23" s="3285"/>
      <c r="K23" s="3285"/>
      <c r="L23" s="3285"/>
      <c r="M23" s="3285"/>
      <c r="N23" s="3285"/>
      <c r="O23" s="3285"/>
      <c r="P23" s="3285"/>
      <c r="Q23" s="3285"/>
      <c r="R23" s="3285"/>
      <c r="S23" s="3285"/>
      <c r="T23" s="3285"/>
      <c r="U23" s="3285"/>
      <c r="V23" s="3285"/>
      <c r="W23" s="3285"/>
      <c r="X23" s="3285"/>
      <c r="Y23" s="3285"/>
      <c r="Z23" s="3285"/>
      <c r="AA23" s="3285"/>
      <c r="AB23" s="3285"/>
      <c r="AC23" s="3285"/>
    </row>
    <row r="24" spans="1:29" x14ac:dyDescent="0.25">
      <c r="A24" s="3285"/>
      <c r="B24" s="3285"/>
      <c r="C24" s="3285"/>
      <c r="D24" s="3285"/>
      <c r="E24" s="3285"/>
      <c r="F24" s="3285"/>
      <c r="G24" s="3285"/>
      <c r="H24" s="3285"/>
      <c r="I24" s="3285"/>
      <c r="J24" s="3285"/>
      <c r="K24" s="3285"/>
      <c r="L24" s="3285"/>
      <c r="M24" s="3285"/>
      <c r="N24" s="3285"/>
      <c r="O24" s="3285"/>
      <c r="P24" s="3285"/>
      <c r="Q24" s="3285"/>
      <c r="R24" s="3285"/>
      <c r="S24" s="3285"/>
      <c r="T24" s="3285"/>
      <c r="U24" s="3285"/>
      <c r="V24" s="3285"/>
      <c r="W24" s="3285"/>
      <c r="X24" s="3285"/>
      <c r="Y24" s="3285"/>
      <c r="Z24" s="3285"/>
      <c r="AA24" s="3285"/>
      <c r="AB24" s="3285"/>
      <c r="AC24" s="3285"/>
    </row>
    <row r="25" spans="1:29" x14ac:dyDescent="0.25">
      <c r="A25" s="3285"/>
      <c r="B25" s="3285"/>
      <c r="C25" s="3285"/>
      <c r="D25" s="3285"/>
      <c r="E25" s="3285"/>
      <c r="F25" s="3285"/>
      <c r="G25" s="3285"/>
      <c r="H25" s="3285"/>
      <c r="I25" s="3285"/>
      <c r="J25" s="3285"/>
      <c r="K25" s="3285"/>
      <c r="L25" s="3285"/>
      <c r="M25" s="3285"/>
      <c r="N25" s="3285"/>
      <c r="O25" s="3285"/>
      <c r="P25" s="3285"/>
      <c r="Q25" s="3285"/>
      <c r="R25" s="3285"/>
      <c r="S25" s="3285"/>
      <c r="T25" s="3285"/>
      <c r="U25" s="3285"/>
      <c r="V25" s="3285"/>
      <c r="W25" s="3285"/>
      <c r="X25" s="3285"/>
      <c r="Y25" s="3285"/>
      <c r="Z25" s="3285"/>
      <c r="AA25" s="3285"/>
      <c r="AB25" s="3285"/>
      <c r="AC25" s="3285"/>
    </row>
    <row r="26" spans="1:29" x14ac:dyDescent="0.25">
      <c r="A26" s="3285"/>
      <c r="B26" s="3285"/>
      <c r="C26" s="3285"/>
      <c r="D26" s="3285"/>
      <c r="E26" s="3285"/>
      <c r="F26" s="3285"/>
      <c r="G26" s="3285"/>
      <c r="H26" s="3285"/>
      <c r="I26" s="3285"/>
      <c r="J26" s="3285"/>
      <c r="K26" s="3285"/>
      <c r="L26" s="3285"/>
      <c r="M26" s="3285"/>
      <c r="N26" s="3285"/>
      <c r="O26" s="3285"/>
      <c r="P26" s="3285"/>
      <c r="Q26" s="3285"/>
      <c r="R26" s="3285"/>
      <c r="S26" s="3285"/>
      <c r="T26" s="3285"/>
      <c r="U26" s="3285"/>
      <c r="V26" s="3285"/>
      <c r="W26" s="3285"/>
      <c r="X26" s="3285"/>
      <c r="Y26" s="3285"/>
      <c r="Z26" s="3285"/>
      <c r="AA26" s="3285"/>
      <c r="AB26" s="3285"/>
      <c r="AC26" s="3285"/>
    </row>
    <row r="27" spans="1:29" x14ac:dyDescent="0.25">
      <c r="A27" s="3285"/>
      <c r="B27" s="3285"/>
      <c r="C27" s="3285"/>
      <c r="D27" s="3285"/>
      <c r="E27" s="3285"/>
      <c r="F27" s="3285"/>
      <c r="G27" s="3285"/>
      <c r="H27" s="3285"/>
      <c r="I27" s="3285"/>
      <c r="J27" s="3285"/>
      <c r="K27" s="3285"/>
      <c r="L27" s="3285"/>
      <c r="M27" s="3285"/>
      <c r="N27" s="3285"/>
      <c r="O27" s="3285"/>
      <c r="P27" s="3285"/>
      <c r="Q27" s="3285"/>
      <c r="R27" s="3285"/>
      <c r="S27" s="3285"/>
      <c r="T27" s="3285"/>
      <c r="U27" s="3285"/>
      <c r="V27" s="3285"/>
      <c r="W27" s="3285"/>
      <c r="X27" s="3285"/>
      <c r="Y27" s="3285"/>
      <c r="Z27" s="3285"/>
      <c r="AA27" s="3285"/>
      <c r="AB27" s="3285"/>
      <c r="AC27" s="3285"/>
    </row>
    <row r="28" spans="1:29" x14ac:dyDescent="0.25">
      <c r="A28" s="3285"/>
      <c r="B28" s="3285"/>
      <c r="C28" s="3285"/>
      <c r="D28" s="3285"/>
      <c r="E28" s="3285"/>
      <c r="F28" s="3285"/>
      <c r="G28" s="3285"/>
      <c r="H28" s="3285"/>
      <c r="I28" s="3285"/>
      <c r="J28" s="3285"/>
      <c r="K28" s="3285"/>
      <c r="L28" s="3285"/>
      <c r="M28" s="3285"/>
      <c r="N28" s="3285"/>
      <c r="O28" s="3285"/>
      <c r="P28" s="3285"/>
      <c r="Q28" s="3285"/>
      <c r="R28" s="3285"/>
      <c r="S28" s="3285"/>
      <c r="T28" s="3285"/>
      <c r="U28" s="3285"/>
      <c r="V28" s="3285"/>
      <c r="W28" s="3285"/>
      <c r="X28" s="3285"/>
      <c r="Y28" s="3285"/>
      <c r="Z28" s="3285"/>
      <c r="AA28" s="3285"/>
      <c r="AB28" s="3285"/>
      <c r="AC28" s="3285"/>
    </row>
    <row r="29" spans="1:29" x14ac:dyDescent="0.25">
      <c r="A29" s="3285"/>
      <c r="B29" s="3285"/>
      <c r="C29" s="3285"/>
      <c r="D29" s="3285"/>
      <c r="E29" s="3285"/>
      <c r="F29" s="3285"/>
      <c r="G29" s="3285"/>
      <c r="H29" s="3285"/>
      <c r="I29" s="3285"/>
      <c r="J29" s="3285"/>
      <c r="K29" s="3285"/>
      <c r="L29" s="3285"/>
      <c r="M29" s="3285"/>
      <c r="N29" s="3285"/>
      <c r="O29" s="3285"/>
      <c r="P29" s="3285"/>
      <c r="Q29" s="3285"/>
      <c r="R29" s="3285"/>
      <c r="S29" s="3285"/>
      <c r="T29" s="3285"/>
      <c r="U29" s="3285"/>
      <c r="V29" s="3285"/>
      <c r="W29" s="3285"/>
      <c r="X29" s="3285"/>
      <c r="Y29" s="3285"/>
      <c r="Z29" s="3285"/>
      <c r="AA29" s="3285"/>
      <c r="AB29" s="3285"/>
      <c r="AC29" s="3285"/>
    </row>
    <row r="30" spans="1:29" x14ac:dyDescent="0.25">
      <c r="A30" s="3285"/>
      <c r="B30" s="3285"/>
      <c r="C30" s="3285"/>
      <c r="D30" s="3285"/>
      <c r="E30" s="3285"/>
      <c r="F30" s="3285"/>
      <c r="G30" s="3285"/>
      <c r="H30" s="3285"/>
      <c r="I30" s="3285"/>
      <c r="J30" s="3285"/>
      <c r="K30" s="3285"/>
      <c r="L30" s="3285"/>
      <c r="M30" s="3285"/>
      <c r="N30" s="3285"/>
      <c r="O30" s="3285"/>
      <c r="P30" s="3285"/>
      <c r="Q30" s="3285"/>
      <c r="R30" s="3285"/>
      <c r="S30" s="3285"/>
      <c r="T30" s="3285"/>
      <c r="U30" s="3285"/>
      <c r="V30" s="3285"/>
      <c r="W30" s="3285"/>
      <c r="X30" s="3285"/>
      <c r="Y30" s="3285"/>
      <c r="Z30" s="3285"/>
      <c r="AA30" s="3285"/>
      <c r="AB30" s="3285"/>
      <c r="AC30" s="3285"/>
    </row>
    <row r="31" spans="1:29" x14ac:dyDescent="0.25">
      <c r="A31" s="3285"/>
      <c r="B31" s="3285"/>
      <c r="C31" s="3285"/>
      <c r="D31" s="3285"/>
      <c r="E31" s="3285"/>
      <c r="F31" s="3285"/>
      <c r="G31" s="3285"/>
      <c r="H31" s="3285"/>
      <c r="I31" s="3285"/>
      <c r="J31" s="3285"/>
      <c r="K31" s="3285"/>
      <c r="L31" s="3285"/>
      <c r="M31" s="3285"/>
      <c r="N31" s="3285"/>
      <c r="O31" s="3285"/>
      <c r="P31" s="3285"/>
      <c r="Q31" s="3285"/>
      <c r="R31" s="3285"/>
      <c r="S31" s="3285"/>
      <c r="T31" s="3285"/>
      <c r="U31" s="3285"/>
      <c r="V31" s="3285"/>
      <c r="W31" s="3285"/>
      <c r="X31" s="3285"/>
      <c r="Y31" s="3285"/>
      <c r="Z31" s="3285"/>
      <c r="AA31" s="3285"/>
      <c r="AB31" s="3285"/>
      <c r="AC31" s="3285"/>
    </row>
    <row r="32" spans="1:29" x14ac:dyDescent="0.25">
      <c r="A32" s="3285"/>
      <c r="B32" s="3285"/>
      <c r="C32" s="3285"/>
      <c r="D32" s="3285"/>
      <c r="E32" s="3285"/>
      <c r="F32" s="3285"/>
      <c r="G32" s="3285"/>
      <c r="H32" s="3285"/>
      <c r="I32" s="3285"/>
      <c r="J32" s="3285"/>
      <c r="K32" s="3285"/>
      <c r="L32" s="3285"/>
      <c r="M32" s="3285"/>
      <c r="N32" s="3285"/>
      <c r="O32" s="3285"/>
      <c r="P32" s="3285"/>
      <c r="Q32" s="3285"/>
      <c r="R32" s="3285"/>
      <c r="S32" s="3285"/>
      <c r="T32" s="3285"/>
      <c r="U32" s="3285"/>
      <c r="V32" s="3285"/>
      <c r="W32" s="3285"/>
      <c r="X32" s="3285"/>
      <c r="Y32" s="3285"/>
      <c r="Z32" s="3285"/>
      <c r="AA32" s="3285"/>
      <c r="AB32" s="3285"/>
      <c r="AC32" s="3285"/>
    </row>
    <row r="33" spans="1:29" x14ac:dyDescent="0.25">
      <c r="A33" s="3285"/>
      <c r="B33" s="3285"/>
      <c r="C33" s="3285"/>
      <c r="D33" s="3285"/>
      <c r="E33" s="3285"/>
      <c r="F33" s="3285"/>
      <c r="G33" s="3285"/>
      <c r="H33" s="3285"/>
      <c r="I33" s="3285"/>
      <c r="J33" s="3285"/>
      <c r="K33" s="3285"/>
      <c r="L33" s="3285"/>
      <c r="M33" s="3285"/>
      <c r="N33" s="3285"/>
      <c r="O33" s="3285"/>
      <c r="P33" s="3285"/>
      <c r="Q33" s="3285"/>
      <c r="R33" s="3285"/>
      <c r="S33" s="3285"/>
      <c r="T33" s="3285"/>
      <c r="U33" s="3285"/>
      <c r="V33" s="3285"/>
      <c r="W33" s="3285"/>
      <c r="X33" s="3285"/>
      <c r="Y33" s="3285"/>
      <c r="Z33" s="3285"/>
      <c r="AA33" s="3285"/>
      <c r="AB33" s="3285"/>
      <c r="AC33" s="3285"/>
    </row>
    <row r="34" spans="1:29" x14ac:dyDescent="0.25">
      <c r="A34" s="3285"/>
      <c r="B34" s="3285"/>
      <c r="C34" s="3285"/>
      <c r="D34" s="3285"/>
      <c r="E34" s="3285"/>
      <c r="F34" s="3285"/>
      <c r="G34" s="3285"/>
      <c r="H34" s="3285"/>
      <c r="I34" s="3285"/>
      <c r="J34" s="3285"/>
      <c r="K34" s="3285"/>
      <c r="L34" s="3285"/>
      <c r="M34" s="3285"/>
      <c r="N34" s="3285"/>
      <c r="O34" s="3285"/>
      <c r="P34" s="3285"/>
      <c r="Q34" s="3285"/>
      <c r="R34" s="3285"/>
      <c r="S34" s="3285"/>
      <c r="T34" s="3285"/>
      <c r="U34" s="3285"/>
      <c r="V34" s="3285"/>
      <c r="W34" s="3285"/>
      <c r="X34" s="3285"/>
      <c r="Y34" s="3285"/>
      <c r="Z34" s="3285"/>
      <c r="AA34" s="3285"/>
      <c r="AB34" s="3285"/>
      <c r="AC34" s="3285"/>
    </row>
    <row r="35" spans="1:29" x14ac:dyDescent="0.25">
      <c r="A35" s="3285"/>
      <c r="B35" s="3285"/>
      <c r="C35" s="3285"/>
      <c r="D35" s="3285"/>
      <c r="E35" s="3285"/>
      <c r="F35" s="3285"/>
      <c r="G35" s="3285"/>
      <c r="H35" s="3285"/>
      <c r="I35" s="3285"/>
      <c r="J35" s="3285"/>
      <c r="K35" s="3285"/>
      <c r="L35" s="3285"/>
      <c r="M35" s="3285"/>
      <c r="N35" s="3285"/>
      <c r="O35" s="3285"/>
      <c r="P35" s="3285"/>
      <c r="Q35" s="3285"/>
      <c r="R35" s="3285"/>
      <c r="S35" s="3285"/>
      <c r="T35" s="3285"/>
      <c r="U35" s="3285"/>
      <c r="V35" s="3285"/>
      <c r="W35" s="3285"/>
      <c r="X35" s="3285"/>
      <c r="Y35" s="3285"/>
      <c r="Z35" s="3285"/>
      <c r="AA35" s="3285"/>
      <c r="AB35" s="3285"/>
      <c r="AC35" s="3285"/>
    </row>
    <row r="36" spans="1:29" x14ac:dyDescent="0.25">
      <c r="A36" s="3285"/>
      <c r="B36" s="3285"/>
      <c r="C36" s="3285"/>
      <c r="D36" s="3285"/>
      <c r="E36" s="3285"/>
      <c r="F36" s="3285"/>
      <c r="G36" s="3285"/>
      <c r="H36" s="3285"/>
      <c r="I36" s="3285"/>
      <c r="J36" s="3285"/>
      <c r="K36" s="3285"/>
      <c r="L36" s="3285"/>
      <c r="M36" s="3285"/>
      <c r="N36" s="3285"/>
      <c r="O36" s="3285"/>
      <c r="P36" s="3285"/>
      <c r="Q36" s="3285"/>
      <c r="R36" s="3285"/>
      <c r="S36" s="3285"/>
      <c r="T36" s="3285"/>
      <c r="U36" s="3285"/>
      <c r="V36" s="3285"/>
      <c r="W36" s="3285"/>
      <c r="X36" s="3285"/>
      <c r="Y36" s="3285"/>
      <c r="Z36" s="3285"/>
      <c r="AA36" s="3285"/>
      <c r="AB36" s="3285"/>
      <c r="AC36" s="3285"/>
    </row>
    <row r="37" spans="1:29" x14ac:dyDescent="0.25">
      <c r="A37" s="3285"/>
      <c r="B37" s="3285"/>
      <c r="C37" s="3285"/>
      <c r="D37" s="3285"/>
      <c r="E37" s="3285"/>
      <c r="F37" s="3285"/>
      <c r="G37" s="3285"/>
      <c r="H37" s="3285"/>
      <c r="I37" s="3285"/>
      <c r="J37" s="3285"/>
      <c r="K37" s="3285"/>
      <c r="L37" s="3285"/>
      <c r="M37" s="3285"/>
      <c r="N37" s="3285"/>
      <c r="O37" s="3285"/>
      <c r="P37" s="3285"/>
      <c r="Q37" s="3285"/>
      <c r="R37" s="3285"/>
      <c r="S37" s="3285"/>
      <c r="T37" s="3285"/>
      <c r="U37" s="3285"/>
      <c r="V37" s="3285"/>
      <c r="W37" s="3285"/>
      <c r="X37" s="3285"/>
      <c r="Y37" s="3285"/>
      <c r="Z37" s="3285"/>
      <c r="AA37" s="3285"/>
      <c r="AB37" s="3285"/>
      <c r="AC37" s="3285"/>
    </row>
    <row r="38" spans="1:29" x14ac:dyDescent="0.25">
      <c r="A38" s="3285"/>
      <c r="B38" s="3285"/>
      <c r="C38" s="3285"/>
      <c r="D38" s="3285"/>
      <c r="E38" s="3285"/>
      <c r="F38" s="3285"/>
      <c r="G38" s="3285"/>
      <c r="H38" s="3285"/>
      <c r="I38" s="3285"/>
      <c r="J38" s="3285"/>
      <c r="K38" s="3285"/>
      <c r="L38" s="3285"/>
      <c r="M38" s="3285"/>
      <c r="N38" s="3285"/>
      <c r="O38" s="3285"/>
      <c r="P38" s="3285"/>
      <c r="Q38" s="3285"/>
      <c r="R38" s="3285"/>
      <c r="S38" s="3285"/>
      <c r="T38" s="3285"/>
      <c r="U38" s="3285"/>
      <c r="V38" s="3285"/>
      <c r="W38" s="3285"/>
      <c r="X38" s="3285"/>
      <c r="Y38" s="3285"/>
      <c r="Z38" s="3285"/>
      <c r="AA38" s="3285"/>
      <c r="AB38" s="3285"/>
      <c r="AC38" s="3285"/>
    </row>
    <row r="39" spans="1:29" x14ac:dyDescent="0.25">
      <c r="A39" s="3285"/>
      <c r="B39" s="3285"/>
      <c r="C39" s="3285"/>
      <c r="D39" s="3285"/>
      <c r="E39" s="3285"/>
      <c r="F39" s="3285"/>
      <c r="G39" s="3285"/>
      <c r="H39" s="3285"/>
      <c r="I39" s="3285"/>
      <c r="J39" s="3285"/>
      <c r="K39" s="3285"/>
      <c r="L39" s="3285"/>
      <c r="M39" s="3285"/>
      <c r="N39" s="3285"/>
      <c r="O39" s="3285"/>
      <c r="P39" s="3285"/>
      <c r="Q39" s="3285"/>
      <c r="R39" s="3285"/>
      <c r="S39" s="3285"/>
      <c r="T39" s="3285"/>
      <c r="U39" s="3285"/>
      <c r="V39" s="3285"/>
      <c r="W39" s="3285"/>
      <c r="X39" s="3285"/>
      <c r="Y39" s="3285"/>
      <c r="Z39" s="3285"/>
      <c r="AA39" s="3285"/>
      <c r="AB39" s="3285"/>
      <c r="AC39" s="3285"/>
    </row>
    <row r="40" spans="1:29" x14ac:dyDescent="0.25">
      <c r="A40" s="3285"/>
      <c r="B40" s="3285"/>
      <c r="C40" s="3285"/>
      <c r="D40" s="3285"/>
      <c r="E40" s="3285"/>
      <c r="F40" s="3285"/>
      <c r="G40" s="3285"/>
      <c r="H40" s="3285"/>
      <c r="I40" s="3285"/>
      <c r="J40" s="3285"/>
      <c r="K40" s="3285"/>
      <c r="L40" s="3285"/>
      <c r="M40" s="3285"/>
      <c r="N40" s="3285"/>
      <c r="O40" s="3285"/>
      <c r="P40" s="3285"/>
      <c r="Q40" s="3285"/>
      <c r="R40" s="3285"/>
      <c r="S40" s="3285"/>
      <c r="T40" s="3285"/>
      <c r="U40" s="3285"/>
      <c r="V40" s="3285"/>
      <c r="W40" s="3285"/>
      <c r="X40" s="3285"/>
      <c r="Y40" s="3285"/>
      <c r="Z40" s="3285"/>
      <c r="AA40" s="3285"/>
      <c r="AB40" s="3285"/>
      <c r="AC40" s="3285"/>
    </row>
  </sheetData>
  <mergeCells count="1">
    <mergeCell ref="A12:AC40"/>
  </mergeCells>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88BFC6-7D3A-4C8D-9598-F1F898D10520}">
  <sheetPr codeName="Sheet4"/>
  <dimension ref="A1:K37"/>
  <sheetViews>
    <sheetView workbookViewId="0">
      <selection activeCell="K7" sqref="K7"/>
    </sheetView>
  </sheetViews>
  <sheetFormatPr defaultRowHeight="15" x14ac:dyDescent="0.25"/>
  <cols>
    <col min="1" max="1" width="16.140625" customWidth="1"/>
  </cols>
  <sheetData>
    <row r="1" spans="1:11" ht="15" customHeight="1" x14ac:dyDescent="0.25">
      <c r="A1" s="2242" t="s">
        <v>1161</v>
      </c>
      <c r="B1" s="2243"/>
      <c r="C1" s="2243"/>
      <c r="D1" s="2243"/>
      <c r="E1" s="2243"/>
      <c r="F1" s="2243"/>
      <c r="G1" s="2243"/>
      <c r="H1" s="2243"/>
      <c r="I1" s="2244"/>
    </row>
    <row r="2" spans="1:11" ht="15.75" customHeight="1" x14ac:dyDescent="0.25">
      <c r="A2" s="2254"/>
      <c r="B2" s="2255"/>
      <c r="C2" s="2255"/>
      <c r="D2" s="2255"/>
      <c r="E2" s="2255"/>
      <c r="F2" s="2255"/>
      <c r="G2" s="2255"/>
      <c r="H2" s="2255"/>
      <c r="I2" s="2256"/>
    </row>
    <row r="3" spans="1:11" x14ac:dyDescent="0.25">
      <c r="A3" s="748" t="s">
        <v>387</v>
      </c>
      <c r="B3" s="2257" t="s">
        <v>388</v>
      </c>
      <c r="C3" s="2257"/>
      <c r="D3" s="2257"/>
      <c r="E3" s="2257"/>
      <c r="F3" s="2257"/>
      <c r="G3" s="2257"/>
      <c r="H3" s="2257"/>
      <c r="I3" s="2257"/>
    </row>
    <row r="4" spans="1:11" x14ac:dyDescent="0.25">
      <c r="A4" s="935" t="s">
        <v>389</v>
      </c>
      <c r="B4" s="2251" t="s">
        <v>390</v>
      </c>
      <c r="C4" s="2252"/>
      <c r="D4" s="2252"/>
      <c r="E4" s="2252"/>
      <c r="F4" s="2252"/>
      <c r="G4" s="2252"/>
      <c r="H4" s="2252"/>
      <c r="I4" s="2253"/>
    </row>
    <row r="5" spans="1:11" x14ac:dyDescent="0.25">
      <c r="A5" s="934" t="s">
        <v>448</v>
      </c>
      <c r="B5" s="2251" t="s">
        <v>449</v>
      </c>
      <c r="C5" s="2252"/>
      <c r="D5" s="2252"/>
      <c r="E5" s="2252"/>
      <c r="F5" s="2252"/>
      <c r="G5" s="2252"/>
      <c r="H5" s="2252"/>
      <c r="I5" s="2253"/>
    </row>
    <row r="6" spans="1:11" x14ac:dyDescent="0.25">
      <c r="A6" s="934" t="s">
        <v>414</v>
      </c>
      <c r="B6" s="2251" t="s">
        <v>415</v>
      </c>
      <c r="C6" s="2252"/>
      <c r="D6" s="2252"/>
      <c r="E6" s="2252"/>
      <c r="F6" s="2252"/>
      <c r="G6" s="2252"/>
      <c r="H6" s="2252"/>
      <c r="I6" s="2253"/>
    </row>
    <row r="7" spans="1:11" x14ac:dyDescent="0.25">
      <c r="A7" s="934" t="s">
        <v>424</v>
      </c>
      <c r="B7" s="2251" t="s">
        <v>425</v>
      </c>
      <c r="C7" s="2252"/>
      <c r="D7" s="2252"/>
      <c r="E7" s="2252"/>
      <c r="F7" s="2252"/>
      <c r="G7" s="2252"/>
      <c r="H7" s="2252"/>
      <c r="I7" s="2253"/>
      <c r="K7" s="230"/>
    </row>
    <row r="8" spans="1:11" ht="18" x14ac:dyDescent="0.25">
      <c r="A8" s="935" t="s">
        <v>400</v>
      </c>
      <c r="B8" s="2251" t="s">
        <v>409</v>
      </c>
      <c r="C8" s="2252"/>
      <c r="D8" s="2252"/>
      <c r="E8" s="2252"/>
      <c r="F8" s="2252"/>
      <c r="G8" s="2252"/>
      <c r="H8" s="2252"/>
      <c r="I8" s="2253"/>
    </row>
    <row r="9" spans="1:11" x14ac:dyDescent="0.25">
      <c r="A9" s="934" t="s">
        <v>422</v>
      </c>
      <c r="B9" s="2251" t="s">
        <v>423</v>
      </c>
      <c r="C9" s="2252"/>
      <c r="D9" s="2252"/>
      <c r="E9" s="2252"/>
      <c r="F9" s="2252"/>
      <c r="G9" s="2252"/>
      <c r="H9" s="2252"/>
      <c r="I9" s="2253"/>
    </row>
    <row r="10" spans="1:11" x14ac:dyDescent="0.25">
      <c r="A10" s="935" t="s">
        <v>1722</v>
      </c>
      <c r="B10" s="2251" t="s">
        <v>1909</v>
      </c>
      <c r="C10" s="2252"/>
      <c r="D10" s="2252"/>
      <c r="E10" s="2252"/>
      <c r="F10" s="2252"/>
      <c r="G10" s="2252"/>
      <c r="H10" s="2252"/>
      <c r="I10" s="2253"/>
    </row>
    <row r="11" spans="1:11" x14ac:dyDescent="0.25">
      <c r="A11" s="935" t="s">
        <v>394</v>
      </c>
      <c r="B11" s="2251" t="s">
        <v>404</v>
      </c>
      <c r="C11" s="2252"/>
      <c r="D11" s="2252"/>
      <c r="E11" s="2252"/>
      <c r="F11" s="2252"/>
      <c r="G11" s="2252"/>
      <c r="H11" s="2252"/>
      <c r="I11" s="2253"/>
    </row>
    <row r="12" spans="1:11" ht="18" x14ac:dyDescent="0.25">
      <c r="A12" s="935" t="s">
        <v>411</v>
      </c>
      <c r="B12" s="2251" t="s">
        <v>412</v>
      </c>
      <c r="C12" s="2252"/>
      <c r="D12" s="2252"/>
      <c r="E12" s="2252"/>
      <c r="F12" s="2252"/>
      <c r="G12" s="2252"/>
      <c r="H12" s="2252"/>
      <c r="I12" s="2253"/>
    </row>
    <row r="13" spans="1:11" ht="18" x14ac:dyDescent="0.25">
      <c r="A13" s="935" t="s">
        <v>402</v>
      </c>
      <c r="B13" s="2251" t="s">
        <v>413</v>
      </c>
      <c r="C13" s="2252"/>
      <c r="D13" s="2252"/>
      <c r="E13" s="2252"/>
      <c r="F13" s="2252"/>
      <c r="G13" s="2252"/>
      <c r="H13" s="2252"/>
      <c r="I13" s="2253"/>
    </row>
    <row r="14" spans="1:11" x14ac:dyDescent="0.25">
      <c r="A14" s="934" t="s">
        <v>452</v>
      </c>
      <c r="B14" s="2251" t="s">
        <v>453</v>
      </c>
      <c r="C14" s="2252"/>
      <c r="D14" s="2252"/>
      <c r="E14" s="2252"/>
      <c r="F14" s="2252"/>
      <c r="G14" s="2252"/>
      <c r="H14" s="2252"/>
      <c r="I14" s="2253"/>
    </row>
    <row r="15" spans="1:11" x14ac:dyDescent="0.25">
      <c r="A15" s="935" t="s">
        <v>150</v>
      </c>
      <c r="B15" s="2251" t="s">
        <v>391</v>
      </c>
      <c r="C15" s="2252"/>
      <c r="D15" s="2252"/>
      <c r="E15" s="2252"/>
      <c r="F15" s="2252"/>
      <c r="G15" s="2252"/>
      <c r="H15" s="2252"/>
      <c r="I15" s="2253"/>
    </row>
    <row r="16" spans="1:11" ht="17.25" x14ac:dyDescent="0.25">
      <c r="A16" s="935" t="s">
        <v>435</v>
      </c>
      <c r="B16" s="2251" t="s">
        <v>433</v>
      </c>
      <c r="C16" s="2252"/>
      <c r="D16" s="2252"/>
      <c r="E16" s="2252"/>
      <c r="F16" s="2252"/>
      <c r="G16" s="2252"/>
      <c r="H16" s="2252"/>
      <c r="I16" s="2253"/>
    </row>
    <row r="17" spans="1:9" x14ac:dyDescent="0.25">
      <c r="A17" s="934" t="s">
        <v>164</v>
      </c>
      <c r="B17" s="2251" t="s">
        <v>426</v>
      </c>
      <c r="C17" s="2252"/>
      <c r="D17" s="2252"/>
      <c r="E17" s="2252"/>
      <c r="F17" s="2252"/>
      <c r="G17" s="2252"/>
      <c r="H17" s="2252"/>
      <c r="I17" s="2253"/>
    </row>
    <row r="18" spans="1:9" x14ac:dyDescent="0.25">
      <c r="A18" s="935" t="s">
        <v>392</v>
      </c>
      <c r="B18" s="2251" t="s">
        <v>393</v>
      </c>
      <c r="C18" s="2252"/>
      <c r="D18" s="2252"/>
      <c r="E18" s="2252"/>
      <c r="F18" s="2252"/>
      <c r="G18" s="2252"/>
      <c r="H18" s="2252"/>
      <c r="I18" s="2253"/>
    </row>
    <row r="19" spans="1:9" x14ac:dyDescent="0.25">
      <c r="A19" s="934" t="s">
        <v>436</v>
      </c>
      <c r="B19" s="2251" t="s">
        <v>437</v>
      </c>
      <c r="C19" s="2252"/>
      <c r="D19" s="2252"/>
      <c r="E19" s="2252"/>
      <c r="F19" s="2252"/>
      <c r="G19" s="2252"/>
      <c r="H19" s="2252"/>
      <c r="I19" s="2253"/>
    </row>
    <row r="20" spans="1:9" x14ac:dyDescent="0.25">
      <c r="A20" s="934" t="s">
        <v>442</v>
      </c>
      <c r="B20" s="2251" t="s">
        <v>443</v>
      </c>
      <c r="C20" s="2252"/>
      <c r="D20" s="2252"/>
      <c r="E20" s="2252"/>
      <c r="F20" s="2252"/>
      <c r="G20" s="2252"/>
      <c r="H20" s="2252"/>
      <c r="I20" s="2253"/>
    </row>
    <row r="21" spans="1:9" x14ac:dyDescent="0.25">
      <c r="A21" s="934" t="s">
        <v>163</v>
      </c>
      <c r="B21" s="2251" t="s">
        <v>427</v>
      </c>
      <c r="C21" s="2252"/>
      <c r="D21" s="2252"/>
      <c r="E21" s="2252"/>
      <c r="F21" s="2252"/>
      <c r="G21" s="2252"/>
      <c r="H21" s="2252"/>
      <c r="I21" s="2253"/>
    </row>
    <row r="22" spans="1:9" x14ac:dyDescent="0.25">
      <c r="A22" s="934" t="s">
        <v>416</v>
      </c>
      <c r="B22" s="2251" t="s">
        <v>417</v>
      </c>
      <c r="C22" s="2252"/>
      <c r="D22" s="2252"/>
      <c r="E22" s="2252"/>
      <c r="F22" s="2252"/>
      <c r="G22" s="2252"/>
      <c r="H22" s="2252"/>
      <c r="I22" s="2253"/>
    </row>
    <row r="23" spans="1:9" x14ac:dyDescent="0.25">
      <c r="A23" s="934" t="s">
        <v>444</v>
      </c>
      <c r="B23" s="2251" t="s">
        <v>445</v>
      </c>
      <c r="C23" s="2252"/>
      <c r="D23" s="2252"/>
      <c r="E23" s="2252"/>
      <c r="F23" s="2252"/>
      <c r="G23" s="2252"/>
      <c r="H23" s="2252"/>
      <c r="I23" s="2253"/>
    </row>
    <row r="24" spans="1:9" ht="17.25" x14ac:dyDescent="0.25">
      <c r="A24" s="934" t="s">
        <v>434</v>
      </c>
      <c r="B24" s="2251" t="s">
        <v>432</v>
      </c>
      <c r="C24" s="2252"/>
      <c r="D24" s="2252"/>
      <c r="E24" s="2252"/>
      <c r="F24" s="2252"/>
      <c r="G24" s="2252"/>
      <c r="H24" s="2252"/>
      <c r="I24" s="2253"/>
    </row>
    <row r="25" spans="1:9" x14ac:dyDescent="0.25">
      <c r="A25" s="934" t="s">
        <v>428</v>
      </c>
      <c r="B25" s="2251" t="s">
        <v>429</v>
      </c>
      <c r="C25" s="2252"/>
      <c r="D25" s="2252"/>
      <c r="E25" s="2252"/>
      <c r="F25" s="2252"/>
      <c r="G25" s="2252"/>
      <c r="H25" s="2252"/>
      <c r="I25" s="2253"/>
    </row>
    <row r="26" spans="1:9" x14ac:dyDescent="0.25">
      <c r="A26" s="934" t="s">
        <v>430</v>
      </c>
      <c r="B26" s="2251" t="s">
        <v>431</v>
      </c>
      <c r="C26" s="2252"/>
      <c r="D26" s="2252"/>
      <c r="E26" s="2252"/>
      <c r="F26" s="2252"/>
      <c r="G26" s="2252"/>
      <c r="H26" s="2252"/>
      <c r="I26" s="2253"/>
    </row>
    <row r="27" spans="1:9" x14ac:dyDescent="0.25">
      <c r="A27" s="934" t="s">
        <v>446</v>
      </c>
      <c r="B27" s="2251" t="s">
        <v>447</v>
      </c>
      <c r="C27" s="2252"/>
      <c r="D27" s="2252"/>
      <c r="E27" s="2252"/>
      <c r="F27" s="2252"/>
      <c r="G27" s="2252"/>
      <c r="H27" s="2252"/>
      <c r="I27" s="2253"/>
    </row>
    <row r="28" spans="1:9" ht="18" x14ac:dyDescent="0.25">
      <c r="A28" s="935" t="s">
        <v>401</v>
      </c>
      <c r="B28" s="2251" t="s">
        <v>410</v>
      </c>
      <c r="C28" s="2252"/>
      <c r="D28" s="2252"/>
      <c r="E28" s="2252"/>
      <c r="F28" s="2252"/>
      <c r="G28" s="2252"/>
      <c r="H28" s="2252"/>
      <c r="I28" s="2253"/>
    </row>
    <row r="29" spans="1:9" ht="18" x14ac:dyDescent="0.25">
      <c r="A29" s="935" t="s">
        <v>399</v>
      </c>
      <c r="B29" s="2251" t="s">
        <v>405</v>
      </c>
      <c r="C29" s="2252"/>
      <c r="D29" s="2252"/>
      <c r="E29" s="2252"/>
      <c r="F29" s="2252"/>
      <c r="G29" s="2252"/>
      <c r="H29" s="2252"/>
      <c r="I29" s="2253"/>
    </row>
    <row r="30" spans="1:9" x14ac:dyDescent="0.25">
      <c r="A30" s="934" t="s">
        <v>450</v>
      </c>
      <c r="B30" s="2251" t="s">
        <v>451</v>
      </c>
      <c r="C30" s="2252"/>
      <c r="D30" s="2252"/>
      <c r="E30" s="2252"/>
      <c r="F30" s="2252"/>
      <c r="G30" s="2252"/>
      <c r="H30" s="2252"/>
      <c r="I30" s="2253"/>
    </row>
    <row r="31" spans="1:9" ht="18" x14ac:dyDescent="0.25">
      <c r="A31" s="935" t="s">
        <v>396</v>
      </c>
      <c r="B31" s="2251" t="s">
        <v>406</v>
      </c>
      <c r="C31" s="2252"/>
      <c r="D31" s="2252"/>
      <c r="E31" s="2252"/>
      <c r="F31" s="2252"/>
      <c r="G31" s="2252"/>
      <c r="H31" s="2252"/>
      <c r="I31" s="2253"/>
    </row>
    <row r="32" spans="1:9" ht="18" x14ac:dyDescent="0.25">
      <c r="A32" s="935" t="s">
        <v>397</v>
      </c>
      <c r="B32" s="2251" t="s">
        <v>407</v>
      </c>
      <c r="C32" s="2252"/>
      <c r="D32" s="2252"/>
      <c r="E32" s="2252"/>
      <c r="F32" s="2252"/>
      <c r="G32" s="2252"/>
      <c r="H32" s="2252"/>
      <c r="I32" s="2253"/>
    </row>
    <row r="33" spans="1:9" s="230" customFormat="1" ht="18" customHeight="1" x14ac:dyDescent="0.25">
      <c r="A33" s="935" t="s">
        <v>1277</v>
      </c>
      <c r="B33" s="2251" t="s">
        <v>1278</v>
      </c>
      <c r="C33" s="2252"/>
      <c r="D33" s="2252"/>
      <c r="E33" s="2252"/>
      <c r="F33" s="2252"/>
      <c r="G33" s="2252"/>
      <c r="H33" s="2252"/>
      <c r="I33" s="2253"/>
    </row>
    <row r="34" spans="1:9" x14ac:dyDescent="0.25">
      <c r="A34" s="934" t="s">
        <v>418</v>
      </c>
      <c r="B34" s="2251" t="s">
        <v>419</v>
      </c>
      <c r="C34" s="2252"/>
      <c r="D34" s="2252"/>
      <c r="E34" s="2252"/>
      <c r="F34" s="2252"/>
      <c r="G34" s="2252"/>
      <c r="H34" s="2252"/>
      <c r="I34" s="2253"/>
    </row>
    <row r="35" spans="1:9" x14ac:dyDescent="0.25">
      <c r="A35" s="934" t="s">
        <v>420</v>
      </c>
      <c r="B35" s="2251" t="s">
        <v>421</v>
      </c>
      <c r="C35" s="2252"/>
      <c r="D35" s="2252"/>
      <c r="E35" s="2252"/>
      <c r="F35" s="2252"/>
      <c r="G35" s="2252"/>
      <c r="H35" s="2252"/>
      <c r="I35" s="2253"/>
    </row>
    <row r="36" spans="1:9" ht="18" x14ac:dyDescent="0.25">
      <c r="A36" s="935" t="s">
        <v>398</v>
      </c>
      <c r="B36" s="2251" t="s">
        <v>408</v>
      </c>
      <c r="C36" s="2252"/>
      <c r="D36" s="2252"/>
      <c r="E36" s="2252"/>
      <c r="F36" s="2252"/>
      <c r="G36" s="2252"/>
      <c r="H36" s="2252"/>
      <c r="I36" s="2253"/>
    </row>
    <row r="37" spans="1:9" x14ac:dyDescent="0.25">
      <c r="A37" s="935" t="s">
        <v>395</v>
      </c>
      <c r="B37" s="2251" t="s">
        <v>403</v>
      </c>
      <c r="C37" s="2252"/>
      <c r="D37" s="2252"/>
      <c r="E37" s="2252"/>
      <c r="F37" s="2252"/>
      <c r="G37" s="2252"/>
      <c r="H37" s="2252"/>
      <c r="I37" s="2253"/>
    </row>
  </sheetData>
  <sortState xmlns:xlrd2="http://schemas.microsoft.com/office/spreadsheetml/2017/richdata2" ref="A4:I37">
    <sortCondition ref="A4"/>
  </sortState>
  <mergeCells count="36">
    <mergeCell ref="A1:I2"/>
    <mergeCell ref="B3:I3"/>
    <mergeCell ref="B4:I4"/>
    <mergeCell ref="B5:I5"/>
    <mergeCell ref="B6:I6"/>
    <mergeCell ref="B17:I17"/>
    <mergeCell ref="B7:I7"/>
    <mergeCell ref="B8:I8"/>
    <mergeCell ref="B9:I9"/>
    <mergeCell ref="B10:I10"/>
    <mergeCell ref="B11:I11"/>
    <mergeCell ref="B12:I12"/>
    <mergeCell ref="B13:I13"/>
    <mergeCell ref="B14:I14"/>
    <mergeCell ref="B15:I15"/>
    <mergeCell ref="B16:I16"/>
    <mergeCell ref="B29:I29"/>
    <mergeCell ref="B18:I18"/>
    <mergeCell ref="B19:I19"/>
    <mergeCell ref="B20:I20"/>
    <mergeCell ref="B21:I21"/>
    <mergeCell ref="B22:I22"/>
    <mergeCell ref="B23:I23"/>
    <mergeCell ref="B24:I24"/>
    <mergeCell ref="B25:I25"/>
    <mergeCell ref="B26:I26"/>
    <mergeCell ref="B27:I27"/>
    <mergeCell ref="B28:I28"/>
    <mergeCell ref="B37:I37"/>
    <mergeCell ref="B30:I30"/>
    <mergeCell ref="B31:I31"/>
    <mergeCell ref="B32:I32"/>
    <mergeCell ref="B34:I34"/>
    <mergeCell ref="B35:I35"/>
    <mergeCell ref="B36:I36"/>
    <mergeCell ref="B33:I33"/>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dimension ref="A1:BA121"/>
  <sheetViews>
    <sheetView topLeftCell="A30" zoomScale="59" zoomScaleNormal="59" workbookViewId="0">
      <selection activeCell="C45" sqref="C45"/>
    </sheetView>
  </sheetViews>
  <sheetFormatPr defaultRowHeight="15" x14ac:dyDescent="0.25"/>
  <cols>
    <col min="1" max="1" width="54.7109375" customWidth="1"/>
    <col min="2" max="2" width="74.42578125" customWidth="1"/>
    <col min="3" max="3" width="31.140625" customWidth="1"/>
    <col min="4" max="4" width="3.85546875" customWidth="1"/>
    <col min="5" max="5" width="151.28515625" customWidth="1"/>
    <col min="6" max="6" width="100.42578125" customWidth="1"/>
    <col min="7" max="7" width="83" customWidth="1"/>
    <col min="8" max="8" width="66.85546875" customWidth="1"/>
    <col min="9" max="9" width="55.85546875" customWidth="1"/>
    <col min="10" max="10" width="64.7109375" customWidth="1"/>
    <col min="11" max="11" width="51.85546875" customWidth="1"/>
    <col min="12" max="12" width="93.140625" customWidth="1"/>
    <col min="13" max="13" width="61.7109375" customWidth="1"/>
    <col min="14" max="14" width="64.28515625" customWidth="1"/>
    <col min="15" max="15" width="47.7109375" customWidth="1"/>
    <col min="16" max="16" width="60" customWidth="1"/>
    <col min="17" max="17" width="58.5703125" customWidth="1"/>
    <col min="18" max="18" width="50.7109375" style="230" customWidth="1"/>
    <col min="19" max="19" width="32.85546875" style="230" customWidth="1"/>
    <col min="20" max="20" width="54.42578125" style="230" customWidth="1"/>
    <col min="21" max="21" width="49.42578125" customWidth="1"/>
    <col min="22" max="22" width="49.85546875" customWidth="1"/>
    <col min="23" max="23" width="50.42578125" customWidth="1"/>
    <col min="24" max="24" width="73.28515625" customWidth="1"/>
    <col min="25" max="25" width="43.28515625" customWidth="1"/>
    <col min="27" max="27" width="34.85546875" customWidth="1"/>
    <col min="30" max="30" width="22.140625" customWidth="1"/>
    <col min="39" max="39" width="21.140625" customWidth="1"/>
  </cols>
  <sheetData>
    <row r="1" spans="1:25" ht="15" customHeight="1" x14ac:dyDescent="0.25">
      <c r="A1" s="2339" t="s">
        <v>1162</v>
      </c>
      <c r="B1" s="2340"/>
      <c r="C1" s="2340"/>
      <c r="D1" s="2340"/>
      <c r="E1" s="2340"/>
      <c r="F1" s="2340"/>
      <c r="G1" s="2340"/>
      <c r="H1" s="2340"/>
      <c r="I1" s="2340"/>
      <c r="J1" s="2340"/>
      <c r="K1" s="2340"/>
      <c r="L1" s="2340"/>
      <c r="M1" s="2340"/>
      <c r="N1" s="2340"/>
      <c r="O1" s="2340"/>
      <c r="P1" s="2340"/>
      <c r="Q1" s="2340"/>
      <c r="R1" s="2340"/>
      <c r="S1" s="2341"/>
    </row>
    <row r="2" spans="1:25" ht="15" customHeight="1" x14ac:dyDescent="0.25">
      <c r="A2" s="2342"/>
      <c r="B2" s="2343"/>
      <c r="C2" s="2343"/>
      <c r="D2" s="2343"/>
      <c r="E2" s="2343"/>
      <c r="F2" s="2343"/>
      <c r="G2" s="2343"/>
      <c r="H2" s="2343"/>
      <c r="I2" s="2343"/>
      <c r="J2" s="2343"/>
      <c r="K2" s="2343"/>
      <c r="L2" s="2343"/>
      <c r="M2" s="2343"/>
      <c r="N2" s="2343"/>
      <c r="O2" s="2343"/>
      <c r="P2" s="2343"/>
      <c r="Q2" s="2343"/>
      <c r="R2" s="2343"/>
      <c r="S2" s="2344"/>
    </row>
    <row r="3" spans="1:25" ht="15.75" customHeight="1" thickBot="1" x14ac:dyDescent="0.3">
      <c r="A3" s="2345"/>
      <c r="B3" s="2346"/>
      <c r="C3" s="2346"/>
      <c r="D3" s="2346"/>
      <c r="E3" s="2346"/>
      <c r="F3" s="2346"/>
      <c r="G3" s="2346"/>
      <c r="H3" s="2346"/>
      <c r="I3" s="2346"/>
      <c r="J3" s="2346"/>
      <c r="K3" s="2346"/>
      <c r="L3" s="2346"/>
      <c r="M3" s="2346"/>
      <c r="N3" s="2346"/>
      <c r="O3" s="2346"/>
      <c r="P3" s="2346"/>
      <c r="Q3" s="2346"/>
      <c r="R3" s="2346"/>
      <c r="S3" s="2347"/>
    </row>
    <row r="5" spans="1:25" ht="15.75" thickBot="1" x14ac:dyDescent="0.3"/>
    <row r="6" spans="1:25" ht="96.75" customHeight="1" thickBot="1" x14ac:dyDescent="0.3">
      <c r="A6" s="2348" t="s">
        <v>1588</v>
      </c>
      <c r="B6" s="2349"/>
      <c r="C6" s="2350"/>
      <c r="D6" s="98"/>
      <c r="E6" s="2261" t="s">
        <v>1889</v>
      </c>
      <c r="F6" s="2262"/>
      <c r="G6" s="2262"/>
      <c r="H6" s="2262"/>
      <c r="I6" s="2262"/>
      <c r="J6" s="2262"/>
      <c r="K6" s="2262"/>
      <c r="L6" s="2262"/>
      <c r="M6" s="2262"/>
      <c r="N6" s="2262"/>
      <c r="O6" s="2262"/>
      <c r="P6" s="2262"/>
      <c r="Q6" s="2262"/>
      <c r="R6" s="2262"/>
      <c r="S6" s="2262"/>
      <c r="T6" s="2262"/>
      <c r="U6" s="2262"/>
      <c r="V6" s="2262"/>
      <c r="W6" s="2262"/>
      <c r="X6" s="2262"/>
      <c r="Y6" s="2263"/>
    </row>
    <row r="7" spans="1:25" ht="36.75" customHeight="1" thickBot="1" x14ac:dyDescent="0.35">
      <c r="A7" s="2351" t="s">
        <v>714</v>
      </c>
      <c r="B7" s="2360" t="s">
        <v>715</v>
      </c>
      <c r="C7" s="2362" t="s">
        <v>716</v>
      </c>
      <c r="D7" s="98"/>
      <c r="E7" s="2169" t="s">
        <v>75</v>
      </c>
      <c r="F7" s="2083"/>
      <c r="G7" s="2297" t="s">
        <v>866</v>
      </c>
      <c r="H7" s="2297"/>
      <c r="I7" s="2297"/>
      <c r="J7" s="1421">
        <f>'AD Calculations'!$D$16</f>
        <v>-6.4551914323287676</v>
      </c>
      <c r="K7" s="2264"/>
      <c r="L7" s="2265"/>
      <c r="M7" s="2265"/>
      <c r="N7" s="2265"/>
      <c r="O7" s="2265"/>
      <c r="P7" s="2265"/>
      <c r="Q7" s="2265"/>
      <c r="R7" s="2265"/>
      <c r="S7" s="2265"/>
      <c r="T7" s="2265"/>
      <c r="U7" s="2265"/>
      <c r="V7" s="2265"/>
      <c r="W7" s="2265"/>
      <c r="X7" s="2265"/>
      <c r="Y7" s="2266"/>
    </row>
    <row r="8" spans="1:25" ht="21.75" customHeight="1" thickBot="1" x14ac:dyDescent="0.3">
      <c r="A8" s="2352"/>
      <c r="B8" s="2361"/>
      <c r="C8" s="2363"/>
      <c r="D8" s="57"/>
      <c r="E8" s="2267" t="s">
        <v>717</v>
      </c>
      <c r="F8" s="2268"/>
      <c r="G8" s="2268"/>
      <c r="H8" s="2268"/>
      <c r="I8" s="2268"/>
      <c r="J8" s="2268"/>
      <c r="K8" s="2268"/>
      <c r="L8" s="2268"/>
      <c r="M8" s="2268"/>
      <c r="N8" s="2268"/>
      <c r="O8" s="2268"/>
      <c r="P8" s="2268"/>
      <c r="Q8" s="2268"/>
      <c r="R8" s="2268"/>
      <c r="S8" s="2268"/>
      <c r="T8" s="2268"/>
      <c r="U8" s="2268"/>
      <c r="V8" s="2268"/>
      <c r="W8" s="2268"/>
      <c r="X8" s="2268"/>
      <c r="Y8" s="2269"/>
    </row>
    <row r="9" spans="1:25" ht="39" customHeight="1" thickBot="1" x14ac:dyDescent="0.35">
      <c r="A9" s="470" t="s">
        <v>282</v>
      </c>
      <c r="B9" s="470" t="s">
        <v>283</v>
      </c>
      <c r="C9" s="471">
        <v>1.34</v>
      </c>
      <c r="D9" s="123"/>
      <c r="E9" s="2378" t="s">
        <v>784</v>
      </c>
      <c r="F9" s="2381" t="s">
        <v>75</v>
      </c>
      <c r="G9" s="2051" t="s">
        <v>782</v>
      </c>
      <c r="H9" s="2084" t="s">
        <v>736</v>
      </c>
      <c r="I9" s="2085" t="s">
        <v>1412</v>
      </c>
      <c r="J9" s="2086" t="s">
        <v>1413</v>
      </c>
      <c r="K9" s="2051" t="s">
        <v>781</v>
      </c>
      <c r="L9" s="2084" t="s">
        <v>737</v>
      </c>
      <c r="M9" s="2085" t="s">
        <v>1412</v>
      </c>
      <c r="N9" s="2086" t="s">
        <v>1415</v>
      </c>
      <c r="O9" s="2087" t="s">
        <v>786</v>
      </c>
      <c r="P9" s="2088" t="s">
        <v>785</v>
      </c>
      <c r="Q9" s="2089" t="s">
        <v>1412</v>
      </c>
      <c r="R9" s="2090" t="s">
        <v>1415</v>
      </c>
      <c r="S9" s="2051" t="s">
        <v>783</v>
      </c>
      <c r="T9" s="2052" t="s">
        <v>1123</v>
      </c>
      <c r="U9" s="2085" t="s">
        <v>1412</v>
      </c>
      <c r="V9" s="2086" t="s">
        <v>1416</v>
      </c>
      <c r="W9" s="2085" t="s">
        <v>1417</v>
      </c>
      <c r="X9" s="2086" t="s">
        <v>1418</v>
      </c>
      <c r="Y9" s="2170"/>
    </row>
    <row r="10" spans="1:25" ht="34.5" customHeight="1" thickBot="1" x14ac:dyDescent="0.35">
      <c r="A10" s="2366" t="s">
        <v>1895</v>
      </c>
      <c r="B10" s="2368" t="s">
        <v>926</v>
      </c>
      <c r="C10" s="2369"/>
      <c r="D10" s="123"/>
      <c r="E10" s="2379"/>
      <c r="F10" s="2382"/>
      <c r="G10" s="2353" t="s">
        <v>1590</v>
      </c>
      <c r="H10" s="2355">
        <f>VLOOKUP(G10,'Cost-Benefit Tab_Digester'!A159:E168,2,FALSE)</f>
        <v>0</v>
      </c>
      <c r="I10" s="1809">
        <f>VLOOKUP(G10,'Cost-Benefit Tab_Digester'!A159:H168,3,FALSE)</f>
        <v>0</v>
      </c>
      <c r="J10" s="1810">
        <f>VLOOKUP(G10,'Cost-Benefit Tab_Digester'!A159:H168,6,FALSE)</f>
        <v>0</v>
      </c>
      <c r="K10" s="2353" t="s">
        <v>541</v>
      </c>
      <c r="L10" s="2357">
        <f>VLOOKUP(K10,'Cost-Benefit Tab_Digester'!A170:E178,2,FALSE)</f>
        <v>13978.21</v>
      </c>
      <c r="M10" s="1809">
        <f>VLOOKUP(K10,'Cost-Benefit Tab_Digester'!A170:H178,3,FALSE)</f>
        <v>3783.6908164383563</v>
      </c>
      <c r="N10" s="2091">
        <f>VLOOKUP(K10,'Cost-Benefit Tab_Digester'!A170:H178,6,FALSE)</f>
        <v>19148.232876712329</v>
      </c>
      <c r="O10" s="2353" t="s">
        <v>509</v>
      </c>
      <c r="P10" s="2303">
        <f>VLOOKUP(O10,'Cost-Benefit Tab_Digester'!A180:E182,2,FALSE)</f>
        <v>0</v>
      </c>
      <c r="Q10" s="1813">
        <f>VLOOKUP(O10,'Cost-Benefit Tab_Digester'!A180:H182,3,FALSE)</f>
        <v>0</v>
      </c>
      <c r="R10" s="1816">
        <f>VLOOKUP(O10,'Cost-Benefit Tab_Digester'!A180:H182,6,FALSE)</f>
        <v>0</v>
      </c>
      <c r="S10" s="2353" t="s">
        <v>509</v>
      </c>
      <c r="T10" s="2376">
        <f>VLOOKUP(S10,'Cost-Benefit Tab_Digester'!A184:E185,2,FALSE)</f>
        <v>0</v>
      </c>
      <c r="U10" s="1809">
        <f>VLOOKUP(S10,'Cost-Benefit Tab_Digester'!A184:H185,3,FALSE)</f>
        <v>0</v>
      </c>
      <c r="V10" s="2092">
        <f>VLOOKUP(S10,'Cost-Benefit Tab_Digester'!A184:H185,6,FALSE)</f>
        <v>0</v>
      </c>
      <c r="W10" s="1416">
        <f>I10+M10+Q10+U10</f>
        <v>3783.6908164383563</v>
      </c>
      <c r="X10" s="1420">
        <f>J10+N10+R10+V10</f>
        <v>19148.232876712329</v>
      </c>
      <c r="Y10" s="2170"/>
    </row>
    <row r="11" spans="1:25" s="230" customFormat="1" ht="30" customHeight="1" x14ac:dyDescent="0.3">
      <c r="A11" s="2367"/>
      <c r="B11" s="1455" t="s">
        <v>775</v>
      </c>
      <c r="C11" s="2167">
        <v>6.96</v>
      </c>
      <c r="D11" s="123"/>
      <c r="E11" s="2379"/>
      <c r="F11" s="2382"/>
      <c r="G11" s="2353"/>
      <c r="H11" s="2355"/>
      <c r="I11" s="2093" t="s">
        <v>1410</v>
      </c>
      <c r="J11" s="2094" t="s">
        <v>1411</v>
      </c>
      <c r="K11" s="2353"/>
      <c r="L11" s="2357"/>
      <c r="M11" s="2093" t="s">
        <v>1410</v>
      </c>
      <c r="N11" s="2094" t="s">
        <v>1414</v>
      </c>
      <c r="O11" s="2353"/>
      <c r="P11" s="2303"/>
      <c r="Q11" s="2095" t="s">
        <v>1410</v>
      </c>
      <c r="R11" s="2096" t="s">
        <v>1414</v>
      </c>
      <c r="S11" s="2353"/>
      <c r="T11" s="2376"/>
      <c r="U11" s="2093" t="s">
        <v>1410</v>
      </c>
      <c r="V11" s="2094" t="s">
        <v>1414</v>
      </c>
      <c r="W11" s="2093" t="s">
        <v>1408</v>
      </c>
      <c r="X11" s="2094" t="s">
        <v>1409</v>
      </c>
      <c r="Y11" s="2170"/>
    </row>
    <row r="12" spans="1:25" ht="32.25" customHeight="1" x14ac:dyDescent="0.3">
      <c r="A12" s="2367"/>
      <c r="B12" s="248" t="s">
        <v>903</v>
      </c>
      <c r="C12" s="172">
        <v>1</v>
      </c>
      <c r="D12" s="123"/>
      <c r="E12" s="2379"/>
      <c r="F12" s="2382"/>
      <c r="G12" s="2353"/>
      <c r="H12" s="2355"/>
      <c r="I12" s="1808">
        <f>VLOOKUP(G10,'Cost-Benefit Tab_Digester'!A159:H168,4,FALSE)</f>
        <v>0</v>
      </c>
      <c r="J12" s="1811">
        <f>VLOOKUP(G10,'Cost-Benefit Tab_Digester'!A159:H168,7,FALSE)</f>
        <v>0</v>
      </c>
      <c r="K12" s="2353"/>
      <c r="L12" s="2357"/>
      <c r="M12" s="1808">
        <f>VLOOKUP(K10,'Cost-Benefit Tab_Digester'!A170:H178,4,FALSE)</f>
        <v>30111920694.219849</v>
      </c>
      <c r="N12" s="1811">
        <f>VLOOKUP(K10,'Cost-Benefit Tab_Digester'!A170:H178,7,FALSE)</f>
        <v>152388262622.57007</v>
      </c>
      <c r="O12" s="2353"/>
      <c r="P12" s="2303"/>
      <c r="Q12" s="1814">
        <f>VLOOKUP(O10,'Cost-Benefit Tab_Digester'!A180:H182,4,FALSE)</f>
        <v>0</v>
      </c>
      <c r="R12" s="1817">
        <f>VLOOKUP(O10,'Cost-Benefit Tab_Digester'!A180:H182,7,FALSE)</f>
        <v>0</v>
      </c>
      <c r="S12" s="2353"/>
      <c r="T12" s="2376"/>
      <c r="U12" s="1819">
        <f>VLOOKUP(S10,'Cost-Benefit Tab_Digester'!A184:H185,4,FALSE)</f>
        <v>0</v>
      </c>
      <c r="V12" s="1811">
        <f>VLOOKUP(S10,'Cost-Benefit Tab_Digester'!A184:H185,7,FALSE)</f>
        <v>0</v>
      </c>
      <c r="W12" s="1417">
        <f>U12+Q12+M12+I12</f>
        <v>30111920694.219849</v>
      </c>
      <c r="X12" s="1418">
        <f>J12+N12+R12+V12</f>
        <v>152388262622.57007</v>
      </c>
      <c r="Y12" s="2170"/>
    </row>
    <row r="13" spans="1:25" s="230" customFormat="1" ht="38.25" customHeight="1" thickBot="1" x14ac:dyDescent="0.35">
      <c r="A13" s="2367"/>
      <c r="B13" s="248" t="s">
        <v>460</v>
      </c>
      <c r="C13" s="172">
        <v>66</v>
      </c>
      <c r="D13" s="123"/>
      <c r="E13" s="2379"/>
      <c r="F13" s="2382"/>
      <c r="G13" s="2353"/>
      <c r="H13" s="2355"/>
      <c r="I13" s="2093" t="s">
        <v>1704</v>
      </c>
      <c r="J13" s="2094" t="s">
        <v>1705</v>
      </c>
      <c r="K13" s="2353"/>
      <c r="L13" s="2357"/>
      <c r="M13" s="2093" t="s">
        <v>1704</v>
      </c>
      <c r="N13" s="2094" t="s">
        <v>1705</v>
      </c>
      <c r="O13" s="2353"/>
      <c r="P13" s="2303"/>
      <c r="Q13" s="2095" t="s">
        <v>1704</v>
      </c>
      <c r="R13" s="2096" t="s">
        <v>1705</v>
      </c>
      <c r="S13" s="2353"/>
      <c r="T13" s="2376"/>
      <c r="U13" s="2093" t="s">
        <v>1704</v>
      </c>
      <c r="V13" s="2094" t="s">
        <v>1705</v>
      </c>
      <c r="W13" s="2093" t="s">
        <v>1706</v>
      </c>
      <c r="X13" s="2094" t="s">
        <v>1707</v>
      </c>
      <c r="Y13" s="2170"/>
    </row>
    <row r="14" spans="1:25" s="230" customFormat="1" ht="33" customHeight="1" thickBot="1" x14ac:dyDescent="0.35">
      <c r="A14" s="2367"/>
      <c r="B14" s="2364" t="s">
        <v>1307</v>
      </c>
      <c r="C14" s="2365"/>
      <c r="D14" s="123"/>
      <c r="E14" s="2380"/>
      <c r="F14" s="2383"/>
      <c r="G14" s="2354"/>
      <c r="H14" s="2356"/>
      <c r="I14" s="1821">
        <f>VLOOKUP(G10,'Cost-Benefit Tab_Digester'!A159:H168,5,FALSE)</f>
        <v>0</v>
      </c>
      <c r="J14" s="1811">
        <f>VLOOKUP(G10,'Cost-Benefit Tab_Digester'!A159:H168,8,FALSE)</f>
        <v>0</v>
      </c>
      <c r="K14" s="2354"/>
      <c r="L14" s="2358"/>
      <c r="M14" s="1821">
        <f>VLOOKUP(K10,'Cost-Benefit Tab_Digester'!A170:H178,5,FALSE)</f>
        <v>2581400.0008966313</v>
      </c>
      <c r="N14" s="1811">
        <f>VLOOKUP(K10,'Cost-Benefit Tab_Digester'!A170:H178,8,FALSE)</f>
        <v>13063765.186723841</v>
      </c>
      <c r="O14" s="2359"/>
      <c r="P14" s="2304"/>
      <c r="Q14" s="1815">
        <f>VLOOKUP(O10,'Cost-Benefit Tab_Digester'!A180:H182,5,FALSE)</f>
        <v>0</v>
      </c>
      <c r="R14" s="1818">
        <f>VLOOKUP(O10,'Cost-Benefit Tab_Digester'!A180:H182,8,FALSE)</f>
        <v>0</v>
      </c>
      <c r="S14" s="2359"/>
      <c r="T14" s="2377"/>
      <c r="U14" s="1820">
        <f>VLOOKUP(S10,'Cost-Benefit Tab_Digester'!A184:H185,5,FALSE)</f>
        <v>0</v>
      </c>
      <c r="V14" s="1812">
        <f>VLOOKUP(S10,'Cost-Benefit Tab_Digester'!A184:H185,8,FALSE)</f>
        <v>0</v>
      </c>
      <c r="W14" s="1419">
        <f>U14+Q14+M14+I14</f>
        <v>2581400.0008966313</v>
      </c>
      <c r="X14" s="1415">
        <f>J14+N14+R14+V14</f>
        <v>13063765.186723841</v>
      </c>
      <c r="Y14" s="2170"/>
    </row>
    <row r="15" spans="1:25" s="230" customFormat="1" ht="66" customHeight="1" thickBot="1" x14ac:dyDescent="0.3">
      <c r="A15" s="2367"/>
      <c r="B15" s="1455" t="s">
        <v>1697</v>
      </c>
      <c r="C15" s="2168"/>
      <c r="D15" s="123"/>
      <c r="E15" s="2391" t="s">
        <v>862</v>
      </c>
      <c r="F15" s="2097" t="s">
        <v>835</v>
      </c>
      <c r="G15" s="2097" t="s">
        <v>1723</v>
      </c>
      <c r="H15" s="2098" t="s">
        <v>765</v>
      </c>
      <c r="I15" s="2099" t="s">
        <v>725</v>
      </c>
      <c r="J15" s="1683" t="s">
        <v>1713</v>
      </c>
      <c r="K15" s="1682" t="s">
        <v>772</v>
      </c>
      <c r="L15" s="1683" t="s">
        <v>1712</v>
      </c>
      <c r="M15" s="1683" t="s">
        <v>1714</v>
      </c>
      <c r="N15" s="1686" t="s">
        <v>1896</v>
      </c>
      <c r="O15" s="2100" t="s">
        <v>1897</v>
      </c>
      <c r="P15" s="2101" t="s">
        <v>1898</v>
      </c>
      <c r="Q15" s="2101" t="s">
        <v>1899</v>
      </c>
      <c r="R15" s="2101" t="s">
        <v>1900</v>
      </c>
      <c r="S15" s="2101" t="s">
        <v>1901</v>
      </c>
      <c r="T15" s="2101" t="s">
        <v>1717</v>
      </c>
      <c r="U15" s="2101" t="s">
        <v>1902</v>
      </c>
      <c r="V15" s="2101" t="s">
        <v>1903</v>
      </c>
      <c r="W15" s="2101" t="s">
        <v>1904</v>
      </c>
      <c r="X15" s="2102" t="s">
        <v>1718</v>
      </c>
      <c r="Y15" s="2103" t="s">
        <v>1828</v>
      </c>
    </row>
    <row r="16" spans="1:25" s="230" customFormat="1" ht="38.25" customHeight="1" thickBot="1" x14ac:dyDescent="0.3">
      <c r="A16" s="2367"/>
      <c r="B16" s="248" t="s">
        <v>1910</v>
      </c>
      <c r="C16" s="355"/>
      <c r="D16" s="123"/>
      <c r="E16" s="2392"/>
      <c r="F16" s="2104" t="s">
        <v>798</v>
      </c>
      <c r="G16" s="2105" t="s">
        <v>807</v>
      </c>
      <c r="H16" s="2105" t="s">
        <v>818</v>
      </c>
      <c r="I16" s="2106" t="s">
        <v>834</v>
      </c>
      <c r="J16" s="1999">
        <f>(VLOOKUP(F16,'Multichoice Vehicle'!B66:AC85,2,FALSE))+(VLOOKUP(G16,'Multichoice Vehicle'!B88:AC107,2,FALSE))+(VLOOKUP(H16,'Multichoice Vehicle'!B110:AC129,2,FALSE))+(VLOOKUP(I16,'Multichoice Vehicle'!B132:AC136,2,FALSE))</f>
        <v>1233912.7004737866</v>
      </c>
      <c r="K16" s="2000">
        <f>(VLOOKUP(F16,'Multichoice Vehicle'!B66:AC85,3,FALSE))+(VLOOKUP(G16,'Multichoice Vehicle'!B88:AC107,3,FALSE))+(VLOOKUP(H16,'Multichoice Vehicle'!B110:AC129,3,FALSE))+(VLOOKUP(I16,'Multichoice Vehicle'!B132:AC136,3,FALSE))</f>
        <v>51.440980936244237</v>
      </c>
      <c r="L16" s="1999">
        <f>(VLOOKUP(F16,'Multichoice Vehicle'!B66:AC85,4,FALSE))+(VLOOKUP(G16,'Multichoice Vehicle'!B88:AC107,4,FALSE))+(VLOOKUP(H16,'Multichoice Vehicle'!B110:AC129,4,FALSE))+(VLOOKUP(I16,'Multichoice Vehicle'!B132:AC136,4,FALSE))</f>
        <v>645350.00022415782</v>
      </c>
      <c r="M16" s="1999">
        <f>(VLOOKUP(F16,'Multichoice Vehicle'!B66:AC85,5,FALSE))+(VLOOKUP(G16,'Multichoice Vehicle'!B88:AC107,5,FALSE))+(VLOOKUP(H16,'Multichoice Vehicle'!B110:AC129,5,FALSE))+(VLOOKUP(I16,'Multichoice Vehicle'!B132:AC136,5,FALSE))</f>
        <v>0</v>
      </c>
      <c r="N16" s="2001">
        <f>(VLOOKUP(F16,'Multichoice Vehicle'!B66:AC85,6,FALSE))+(VLOOKUP(G16,'Multichoice Vehicle'!B88:AC107,6,FALSE))+(VLOOKUP(H16,'Multichoice Vehicle'!B110:AC129,6,FALSE))+(VLOOKUP(I16,'Multichoice Vehicle'!B132:AC136,6,FALSE))</f>
        <v>15387705.035757281</v>
      </c>
      <c r="O16" s="2107">
        <f>(VLOOKUP(H16,'Multichoice Vehicle'!B110:AC129,18,FALSE))+(VLOOKUP(F16,'Multichoice Vehicle'!B66:AC85,18,FALSE))+VLOOKUP(G16,'Multichoice Vehicle'!B88:AC107,18,FALSE)+(VLOOKUP(I16,'Multichoice Vehicle'!B132:AC136,18,FALSE))</f>
        <v>-138.19106821161716</v>
      </c>
      <c r="P16" s="2108">
        <f>(VLOOKUP(H16,'Multichoice Vehicle'!B110:AC129,19,FALSE))+(VLOOKUP(F16,'Multichoice Vehicle'!B66:AC85,19,FALSE))+VLOOKUP(G16,'Multichoice Vehicle'!B88:AC107,19,FALSE)+(VLOOKUP(I16,'Multichoice Vehicle'!B132:AC136,19,FALSE))</f>
        <v>1274.6596253997006</v>
      </c>
      <c r="Q16" s="2108">
        <f>(VLOOKUP(H16,'Multichoice Vehicle'!B110:AC129,20,FALSE))+(VLOOKUP(F16,'Multichoice Vehicle'!B66:AC85,20,FALSE))+VLOOKUP(G16,'Multichoice Vehicle'!B88:AC107,20,FALSE)+(VLOOKUP(I16,'Multichoice Vehicle'!B132:AC136,20,FALSE))</f>
        <v>175.08305304268626</v>
      </c>
      <c r="R16" s="2107">
        <f>(VLOOKUP(H16,'Multichoice Vehicle'!B110:AC129,21,FALSE))+(VLOOKUP(F16,'Multichoice Vehicle'!B66:AC85,21,FALSE))+VLOOKUP(G16,'Multichoice Vehicle'!B88:AC107,21,FALSE)+(VLOOKUP(I16,'Multichoice Vehicle'!B132:AC136,21,FALSE))</f>
        <v>72.442263965160336</v>
      </c>
      <c r="S16" s="2107">
        <f>(VLOOKUP(H16,'Multichoice Vehicle'!B110:AC129,22,FALSE))+(VLOOKUP(F16,'Multichoice Vehicle'!B66:AC85,22,FALSE))+VLOOKUP(G16,'Multichoice Vehicle'!B88:AC107,22,FALSE)+(VLOOKUP(I16,'Multichoice Vehicle'!B132:AC136,22,FALSE))</f>
        <v>-3.3772421657247635</v>
      </c>
      <c r="T16" s="2108">
        <f>(VLOOKUP(H16,'Multichoice Vehicle'!B110:AC129,23,FALSE))+(VLOOKUP(F16,'Multichoice Vehicle'!B66:AC85,23,FALSE))+VLOOKUP(G16,'Multichoice Vehicle'!B88:AC107,23,FALSE)+(VLOOKUP(I16,'Multichoice Vehicle'!B132:AC136,23,FALSE))</f>
        <v>-59.538019800306195</v>
      </c>
      <c r="U16" s="2108">
        <f>(VLOOKUP(H16,'Multichoice Vehicle'!B110:AC129,24,FALSE))+(VLOOKUP(F16,'Multichoice Vehicle'!B66:AC85,24,FALSE))+VLOOKUP(G16,'Multichoice Vehicle'!B88:AC107,24,FALSE)+(VLOOKUP(I16,'Multichoice Vehicle'!B132:AC136,24,FALSE))</f>
        <v>1365.6800580341683</v>
      </c>
      <c r="V16" s="2108">
        <f>(VLOOKUP(H16,'Multichoice Vehicle'!B110:AC129,25,FALSE))+(VLOOKUP(F16,'Multichoice Vehicle'!B66:AC85,25,FALSE))+VLOOKUP(G16,'Multichoice Vehicle'!B88:AC107,25,FALSE)+(VLOOKUP(I16,'Multichoice Vehicle'!B132:AC136,25,FALSE))</f>
        <v>-155649.3375044876</v>
      </c>
      <c r="W16" s="2107">
        <f>(VLOOKUP(H16,'Multichoice Vehicle'!B110:AC129,26,FALSE))+(VLOOKUP(F16,'Multichoice Vehicle'!B66:AC85,26,FALSE))+VLOOKUP(G16,'Multichoice Vehicle'!B88:AC107,26,FALSE)+(VLOOKUP(I16,'Multichoice Vehicle'!B132:AC136,26,FALSE))</f>
        <v>2.9147905966958851</v>
      </c>
      <c r="X16" s="2107">
        <f>(VLOOKUP(H16,'Multichoice Vehicle'!B110:AC129,27,FALSE))+(VLOOKUP(F16,'Multichoice Vehicle'!B66:AC85,27,FALSE))+VLOOKUP(G16,'Multichoice Vehicle'!B88:AC107,27,FALSE)+(VLOOKUP(I16,'Multichoice Vehicle'!B132:AC136,27,FALSE))</f>
        <v>2117274.6015312541</v>
      </c>
      <c r="Y16" s="2109">
        <f>(VLOOKUP(H16,'Multichoice Vehicle'!B110:AC129,28,FALSE))+(VLOOKUP(F16,'Multichoice Vehicle'!B66:AC85,28,FALSE))+VLOOKUP(G16,'Multichoice Vehicle'!B88:AC107,28,FALSE)+(VLOOKUP(I16,'Multichoice Vehicle'!B132:AC136,28,FALSE))</f>
        <v>11630832.817849593</v>
      </c>
    </row>
    <row r="17" spans="1:53" s="230" customFormat="1" ht="30.75" customHeight="1" thickBot="1" x14ac:dyDescent="0.35">
      <c r="A17" s="2367"/>
      <c r="B17" s="342" t="s">
        <v>1724</v>
      </c>
      <c r="C17" s="355"/>
      <c r="D17" s="123"/>
      <c r="E17" s="2273" t="s">
        <v>1806</v>
      </c>
      <c r="F17" s="2384"/>
      <c r="G17" s="2056"/>
      <c r="H17" s="96"/>
      <c r="I17" s="2082"/>
      <c r="J17" s="97"/>
      <c r="K17" s="2110"/>
      <c r="L17" s="2111"/>
      <c r="M17" s="2055"/>
      <c r="N17" s="2082"/>
      <c r="O17" s="2082"/>
      <c r="P17" s="2082"/>
      <c r="Q17" s="2082"/>
      <c r="R17" s="2082"/>
      <c r="S17" s="2082"/>
      <c r="T17" s="2082"/>
      <c r="U17" s="2082"/>
      <c r="V17" s="2082"/>
      <c r="W17" s="2082"/>
      <c r="X17" s="2082"/>
      <c r="Y17" s="2082"/>
    </row>
    <row r="18" spans="1:53" s="230" customFormat="1" ht="29.25" customHeight="1" thickBot="1" x14ac:dyDescent="0.35">
      <c r="A18" s="2367"/>
      <c r="B18" s="430" t="s">
        <v>1725</v>
      </c>
      <c r="C18" s="380"/>
      <c r="D18" s="123"/>
      <c r="E18" s="2319" t="s">
        <v>1306</v>
      </c>
      <c r="F18" s="2320"/>
      <c r="G18" s="2082"/>
      <c r="H18" s="2082"/>
      <c r="I18" s="2082"/>
      <c r="J18" s="2082"/>
      <c r="K18" s="2082"/>
      <c r="L18" s="2082"/>
      <c r="M18" s="2082"/>
      <c r="N18" s="2082"/>
      <c r="O18" s="2112"/>
      <c r="P18" s="2055"/>
      <c r="Q18" s="2113"/>
      <c r="R18" s="2112"/>
      <c r="S18" s="2114"/>
      <c r="T18" s="2082"/>
      <c r="U18" s="2082"/>
      <c r="V18" s="2082"/>
      <c r="W18" s="2082"/>
      <c r="X18" s="2082"/>
      <c r="Y18" s="2082"/>
    </row>
    <row r="19" spans="1:53" s="230" customFormat="1" ht="27" customHeight="1" thickBot="1" x14ac:dyDescent="0.35">
      <c r="A19" s="2367"/>
      <c r="B19" s="2364" t="s">
        <v>776</v>
      </c>
      <c r="C19" s="2365"/>
      <c r="D19" s="123"/>
      <c r="E19" s="2389" t="s">
        <v>1017</v>
      </c>
      <c r="F19" s="2115" t="s">
        <v>326</v>
      </c>
      <c r="G19" s="2082"/>
      <c r="H19" s="2082"/>
      <c r="I19" s="2082"/>
      <c r="J19" s="2082"/>
      <c r="K19" s="2082"/>
      <c r="L19" s="2082"/>
      <c r="M19" s="2082"/>
      <c r="N19" s="2082"/>
      <c r="O19" s="2112"/>
      <c r="P19" s="2055"/>
      <c r="Q19" s="2113"/>
      <c r="R19" s="2112"/>
      <c r="S19" s="2114"/>
      <c r="T19" s="2082"/>
      <c r="U19" s="2082"/>
      <c r="V19" s="2082"/>
      <c r="W19" s="2082"/>
      <c r="X19" s="2082"/>
      <c r="Y19" s="2082"/>
    </row>
    <row r="20" spans="1:53" s="230" customFormat="1" ht="25.5" customHeight="1" thickBot="1" x14ac:dyDescent="0.35">
      <c r="A20" s="2367"/>
      <c r="B20" s="1455" t="s">
        <v>775</v>
      </c>
      <c r="C20" s="2167"/>
      <c r="D20" s="123"/>
      <c r="E20" s="2390"/>
      <c r="F20" s="2116">
        <f>VLOOKUP(E19,'Cost-Benefit Tab_Digester'!B91:I103,4,FALSE)</f>
        <v>4828240.7518706666</v>
      </c>
      <c r="G20" s="2082"/>
      <c r="H20" s="2082"/>
      <c r="I20" s="2082"/>
      <c r="J20" s="2082"/>
      <c r="K20" s="2082"/>
      <c r="L20" s="2082"/>
      <c r="M20" s="2082"/>
      <c r="N20" s="2082"/>
      <c r="O20" s="2112"/>
      <c r="P20" s="2055"/>
      <c r="Q20" s="2113"/>
      <c r="R20" s="2112"/>
      <c r="S20" s="2114"/>
      <c r="T20" s="2082"/>
      <c r="U20" s="2082"/>
      <c r="V20" s="2082"/>
      <c r="W20" s="2082"/>
      <c r="X20" s="2082"/>
      <c r="Y20" s="2082"/>
    </row>
    <row r="21" spans="1:53" s="230" customFormat="1" ht="27.75" customHeight="1" thickBot="1" x14ac:dyDescent="0.35">
      <c r="A21" s="2367"/>
      <c r="B21" s="438" t="s">
        <v>779</v>
      </c>
      <c r="C21" s="317"/>
      <c r="D21" s="123"/>
      <c r="E21" s="2267" t="s">
        <v>1617</v>
      </c>
      <c r="F21" s="2268"/>
      <c r="G21" s="2268"/>
      <c r="H21" s="2268"/>
      <c r="I21" s="2268"/>
      <c r="J21" s="2268"/>
      <c r="K21" s="2268"/>
      <c r="L21" s="2268"/>
      <c r="M21" s="2269"/>
      <c r="N21" s="2113"/>
      <c r="O21" s="2112"/>
      <c r="P21" s="2055"/>
      <c r="Q21" s="2113"/>
      <c r="R21" s="2112"/>
      <c r="S21" s="2114"/>
      <c r="T21" s="2082"/>
      <c r="U21" s="2082"/>
      <c r="V21" s="2082"/>
      <c r="W21" s="2082"/>
      <c r="X21" s="2082"/>
      <c r="Y21" s="2082"/>
    </row>
    <row r="22" spans="1:53" s="230" customFormat="1" ht="140.25" customHeight="1" thickBot="1" x14ac:dyDescent="0.35">
      <c r="A22" s="2367"/>
      <c r="B22" s="438" t="s">
        <v>780</v>
      </c>
      <c r="C22" s="317"/>
      <c r="D22" s="123"/>
      <c r="E22" s="1720" t="s">
        <v>1622</v>
      </c>
      <c r="F22" s="1720" t="s">
        <v>1623</v>
      </c>
      <c r="G22" s="2054" t="s">
        <v>1726</v>
      </c>
      <c r="H22" s="1720" t="s">
        <v>1619</v>
      </c>
      <c r="I22" s="1720" t="s">
        <v>1862</v>
      </c>
      <c r="J22" s="1720" t="s">
        <v>1620</v>
      </c>
      <c r="K22" s="1720" t="s">
        <v>1861</v>
      </c>
      <c r="L22" s="1720" t="s">
        <v>1621</v>
      </c>
      <c r="M22" s="1720" t="s">
        <v>1860</v>
      </c>
      <c r="N22" s="2082"/>
      <c r="O22" s="2082"/>
      <c r="P22" s="2082"/>
      <c r="Q22" s="2113"/>
      <c r="R22" s="2112"/>
      <c r="S22" s="2114"/>
      <c r="T22" s="2082"/>
      <c r="U22" s="2082"/>
      <c r="V22" s="2082"/>
      <c r="W22" s="2082"/>
      <c r="X22" s="2082"/>
      <c r="Y22" s="2082"/>
    </row>
    <row r="23" spans="1:53" s="230" customFormat="1" ht="36" customHeight="1" thickBot="1" x14ac:dyDescent="0.35">
      <c r="A23" s="2367"/>
      <c r="B23" s="342" t="s">
        <v>868</v>
      </c>
      <c r="C23" s="355"/>
      <c r="D23" s="600"/>
      <c r="E23" s="2117">
        <f>(VLOOKUP(F16,'Multichoice Vehicle'!B66:AC85,7,FALSE))+(VLOOKUP(G16,'Multichoice Vehicle'!B88:AC107,7,FALSE))+(VLOOKUP(' QUICK OVERVIEW- Inputs&amp;Outputs'!H16,'Multichoice Vehicle'!B110:AC129,7,FALSE))+(VLOOKUP(' QUICK OVERVIEW- Inputs&amp;Outputs'!I16,'Multichoice Vehicle'!B132:AC136,7,FALSE))</f>
        <v>263629.86347156996</v>
      </c>
      <c r="F23" s="2001">
        <f>(VLOOKUP(F16,'Multichoice Vehicle'!B66:AC85,8,FALSE))+(VLOOKUP(G16,'Multichoice Vehicle'!B88:AC107,8,FALSE))+(VLOOKUP(' QUICK OVERVIEW- Inputs&amp;Outputs'!H16,'Multichoice Vehicle'!B110:AC129,8,FALSE))+(VLOOKUP(' QUICK OVERVIEW- Inputs&amp;Outputs'!I16,'Multichoice Vehicle'!B132:AC136,8,FALSE))</f>
        <v>202792.20267043845</v>
      </c>
      <c r="G23" s="2001">
        <f>(VLOOKUP(F16,'Multichoice Vehicle'!B66:AC85,9,FALSE))+(VLOOKUP(G16,'Multichoice Vehicle'!B88:AC107,9,FALSE))+(VLOOKUP(' QUICK OVERVIEW- Inputs&amp;Outputs'!H16,'Multichoice Vehicle'!B110:AC129,9,FALSE))+(VLOOKUP(' QUICK OVERVIEW- Inputs&amp;Outputs'!I16,'Multichoice Vehicle'!B132:AC136,9,FALSE))</f>
        <v>2886890320.5811076</v>
      </c>
      <c r="H23" s="2001">
        <f>(VLOOKUP(F16,'Multichoice Vehicle'!B66:AC85,10,FALSE))+(VLOOKUP(G16,'Multichoice Vehicle'!B88:AC107,10,FALSE))+(VLOOKUP(' QUICK OVERVIEW- Inputs&amp;Outputs'!H16,'Multichoice Vehicle'!B110:AC129,10,FALSE))+(VLOOKUP(' QUICK OVERVIEW- Inputs&amp;Outputs'!I16,'Multichoice Vehicle'!B132:AC136,10,FALSE))</f>
        <v>114423374.91871426</v>
      </c>
      <c r="I23" s="2001">
        <f>(VLOOKUP(F16,'Multichoice Vehicle'!B66:AC85,11,FALSE))+(VLOOKUP(G16,'Multichoice Vehicle'!B88:AC107,11,FALSE))+(VLOOKUP(' QUICK OVERVIEW- Inputs&amp;Outputs'!H16,'Multichoice Vehicle'!B110:AC129,11,FALSE))+(VLOOKUP(' QUICK OVERVIEW- Inputs&amp;Outputs'!I16,'Multichoice Vehicle'!B132:AC136,11,FALSE))</f>
        <v>0</v>
      </c>
      <c r="J23" s="2001">
        <f>(VLOOKUP(F16,'Multichoice Vehicle'!B66:AC85,12,FALSE))+(VLOOKUP(G16,'Multichoice Vehicle'!B88:AC107,12,FALSE))+(VLOOKUP(' QUICK OVERVIEW- Inputs&amp;Outputs'!H16,'Multichoice Vehicle'!B110:AC129,12,FALSE))+(VLOOKUP(' QUICK OVERVIEW- Inputs&amp;Outputs'!I16,'Multichoice Vehicle'!B132:AC136,12,FALSE))</f>
        <v>83373815.895545557</v>
      </c>
      <c r="K23" s="2001">
        <f>(VLOOKUP(F16,'Multichoice Vehicle'!B66:AC85,13,FALSE))+(VLOOKUP(G16,'Multichoice Vehicle'!B88:AC107,13,FALSE))+(VLOOKUP(' QUICK OVERVIEW- Inputs&amp;Outputs'!H16,'Multichoice Vehicle'!B110:AC129,13,FALSE))+(VLOOKUP(' QUICK OVERVIEW- Inputs&amp;Outputs'!I16,'Multichoice Vehicle'!B132:AC136,13,FALSE))</f>
        <v>0</v>
      </c>
      <c r="L23" s="2001">
        <f>(VLOOKUP(F16,'Multichoice Vehicle'!B66:AC85,14,FALSE))+(VLOOKUP(G16,'Multichoice Vehicle'!B88:AC107,14,FALSE))+(VLOOKUP(' QUICK OVERVIEW- Inputs&amp;Outputs'!H16,'Multichoice Vehicle'!B110:AC129,14,FALSE))+(VLOOKUP(' QUICK OVERVIEW- Inputs&amp;Outputs'!I16,'Multichoice Vehicle'!B132:AC136,14,FALSE))</f>
        <v>10625849.087928841</v>
      </c>
      <c r="M23" s="2118">
        <f>(VLOOKUP(F16,'Multichoice Vehicle'!B66:AC85,15,FALSE))+(VLOOKUP(G16,'Multichoice Vehicle'!B88:AC107,15,FALSE))+(VLOOKUP(' QUICK OVERVIEW- Inputs&amp;Outputs'!H16,'Multichoice Vehicle'!B110:AC129,15,FALSE))+(VLOOKUP(' QUICK OVERVIEW- Inputs&amp;Outputs'!I16,'Multichoice Vehicle'!B132:AC136,15,FALSE))</f>
        <v>0</v>
      </c>
      <c r="N23" s="2082"/>
      <c r="O23" s="2082"/>
      <c r="P23" s="2082"/>
      <c r="Q23" s="2082"/>
      <c r="R23" s="2082"/>
      <c r="S23" s="2082"/>
      <c r="T23" s="2082"/>
      <c r="U23" s="2082"/>
      <c r="V23" s="2082"/>
      <c r="W23" s="2082"/>
      <c r="X23" s="2082"/>
      <c r="Y23" s="2082"/>
    </row>
    <row r="24" spans="1:53" s="230" customFormat="1" ht="40.5" customHeight="1" thickBot="1" x14ac:dyDescent="0.35">
      <c r="A24" s="2367"/>
      <c r="B24" s="2319" t="s">
        <v>777</v>
      </c>
      <c r="C24" s="2320"/>
      <c r="D24" s="600"/>
      <c r="E24" s="2261" t="s">
        <v>327</v>
      </c>
      <c r="F24" s="2262"/>
      <c r="G24" s="2262"/>
      <c r="H24" s="2262"/>
      <c r="I24" s="2263"/>
      <c r="J24" s="96"/>
      <c r="K24" s="2110"/>
      <c r="L24" s="2111"/>
      <c r="M24" s="2055"/>
      <c r="N24" s="2113"/>
      <c r="O24" s="2112"/>
      <c r="P24" s="2055"/>
      <c r="Q24" s="2082"/>
      <c r="R24" s="2082"/>
      <c r="S24" s="2082"/>
      <c r="T24" s="2082"/>
      <c r="U24" s="2082"/>
      <c r="V24" s="2082"/>
      <c r="W24" s="2082"/>
      <c r="X24" s="2082"/>
      <c r="Y24" s="2082"/>
    </row>
    <row r="25" spans="1:53" s="230" customFormat="1" ht="58.5" customHeight="1" x14ac:dyDescent="0.3">
      <c r="A25" s="2367"/>
      <c r="B25" s="428" t="s">
        <v>778</v>
      </c>
      <c r="C25" s="429"/>
      <c r="D25" s="600"/>
      <c r="E25" s="2119" t="s">
        <v>1628</v>
      </c>
      <c r="F25" s="2119" t="s">
        <v>1627</v>
      </c>
      <c r="G25" s="2049" t="s">
        <v>959</v>
      </c>
      <c r="H25" s="2119" t="s">
        <v>1264</v>
      </c>
      <c r="I25" s="2120" t="s">
        <v>359</v>
      </c>
      <c r="J25" s="2082"/>
      <c r="K25" s="2110"/>
      <c r="L25" s="2111"/>
      <c r="M25" s="2055"/>
      <c r="N25" s="2113"/>
      <c r="O25" s="2112"/>
      <c r="P25" s="2055"/>
      <c r="Q25" s="2082"/>
      <c r="R25" s="2082"/>
      <c r="S25" s="2082"/>
      <c r="T25" s="2082"/>
      <c r="U25" s="2082"/>
      <c r="V25" s="2082"/>
      <c r="W25" s="2082"/>
      <c r="X25" s="2082"/>
      <c r="Y25" s="2082"/>
    </row>
    <row r="26" spans="1:53" s="230" customFormat="1" ht="28.5" customHeight="1" thickBot="1" x14ac:dyDescent="0.35">
      <c r="A26" s="2367"/>
      <c r="B26" s="414" t="s">
        <v>881</v>
      </c>
      <c r="C26" s="439"/>
      <c r="D26" s="123"/>
      <c r="E26" s="2081">
        <f>(VLOOKUP(F16,'Multichoice Vehicle'!B66:AC85,17,FALSE))+(VLOOKUP(G16,'Multichoice Vehicle'!B88:AC107,17,FALSE))+(VLOOKUP(' QUICK OVERVIEW- Inputs&amp;Outputs'!H16,'Multichoice Vehicle'!B110:AC129,17,FALSE))+(VLOOKUP(' QUICK OVERVIEW- Inputs&amp;Outputs'!I16,'Multichoice Vehicle'!B132:AC136,17,FALSE))</f>
        <v>1520422.882618038</v>
      </c>
      <c r="F26" s="943">
        <f>(VLOOKUP(F16,'Multichoice Vehicle'!B66:AC85,16,FALSE))+(VLOOKUP(G16,'Multichoice Vehicle'!B88:AC107,16,FALSE))+(VLOOKUP(' QUICK OVERVIEW- Inputs&amp;Outputs'!H16,'Multichoice Vehicle'!B110:AC129,16,FALSE))+(VLOOKUP(' QUICK OVERVIEW- Inputs&amp;Outputs'!I16,'Multichoice Vehicle'!B132:AC136,16,FALSE))</f>
        <v>4614840.9497964075</v>
      </c>
      <c r="G26" s="415" t="s">
        <v>1265</v>
      </c>
      <c r="H26" s="944" t="e">
        <f>VLOOKUP(G26,'Cost-Benefit Tab_Digester'!A226:B244,2,FALSE)</f>
        <v>#DIV/0!</v>
      </c>
      <c r="I26" s="2121" t="e">
        <f>H26+F26+E26</f>
        <v>#DIV/0!</v>
      </c>
      <c r="J26" s="2082"/>
      <c r="K26" s="2055"/>
      <c r="L26" s="2112"/>
      <c r="M26" s="2055"/>
      <c r="N26" s="2113"/>
      <c r="O26" s="2112"/>
      <c r="P26" s="2055"/>
      <c r="Q26" s="2113"/>
      <c r="R26" s="2082"/>
      <c r="S26" s="2082"/>
      <c r="T26" s="2082"/>
      <c r="U26" s="2082"/>
      <c r="V26" s="2082"/>
      <c r="W26" s="2082"/>
      <c r="X26" s="2082"/>
      <c r="Y26" s="2082"/>
    </row>
    <row r="27" spans="1:53" s="230" customFormat="1" ht="27" customHeight="1" thickBot="1" x14ac:dyDescent="0.35">
      <c r="A27" s="2367"/>
      <c r="B27" s="414" t="s">
        <v>882</v>
      </c>
      <c r="C27" s="439"/>
      <c r="D27" s="123"/>
      <c r="E27" s="2267" t="s">
        <v>260</v>
      </c>
      <c r="F27" s="2268"/>
      <c r="G27" s="2268"/>
      <c r="H27" s="2268"/>
      <c r="I27" s="2268"/>
      <c r="J27" s="2268"/>
      <c r="K27" s="2268"/>
      <c r="L27" s="2268"/>
      <c r="M27" s="2269"/>
      <c r="N27" s="2082"/>
      <c r="O27" s="2082"/>
      <c r="P27" s="2082"/>
      <c r="Q27" s="2113"/>
      <c r="R27" s="2082"/>
      <c r="S27" s="2082"/>
      <c r="T27" s="2082"/>
      <c r="U27" s="2082"/>
      <c r="V27" s="2082"/>
      <c r="W27" s="2082"/>
      <c r="X27" s="2082"/>
      <c r="Y27" s="2082"/>
    </row>
    <row r="28" spans="1:53" s="230" customFormat="1" ht="35.25" customHeight="1" thickBot="1" x14ac:dyDescent="0.35">
      <c r="A28" s="2367"/>
      <c r="B28" s="414" t="s">
        <v>883</v>
      </c>
      <c r="C28" s="439"/>
      <c r="D28" s="123"/>
      <c r="E28" s="2272" t="s">
        <v>1618</v>
      </c>
      <c r="F28" s="2393"/>
      <c r="G28" s="2393"/>
      <c r="H28" s="2393"/>
      <c r="I28" s="2393"/>
      <c r="J28" s="2393"/>
      <c r="K28" s="2393"/>
      <c r="L28" s="2393"/>
      <c r="M28" s="2394"/>
      <c r="N28" s="2082"/>
      <c r="O28" s="2082"/>
      <c r="P28" s="2082"/>
      <c r="Q28" s="2113"/>
      <c r="R28" s="2082"/>
      <c r="S28" s="2082"/>
      <c r="T28" s="2122"/>
      <c r="U28" s="2122"/>
      <c r="V28" s="2122"/>
      <c r="W28" s="2122"/>
      <c r="X28" s="2122"/>
      <c r="Y28" s="2122"/>
      <c r="Z28" s="100"/>
      <c r="AA28" s="100"/>
    </row>
    <row r="29" spans="1:53" ht="30" customHeight="1" x14ac:dyDescent="0.3">
      <c r="A29" s="2367"/>
      <c r="B29" s="2321" t="s">
        <v>923</v>
      </c>
      <c r="C29" s="2322"/>
      <c r="D29" s="41"/>
      <c r="E29" s="2385" t="s">
        <v>1888</v>
      </c>
      <c r="F29" s="2049" t="s">
        <v>958</v>
      </c>
      <c r="G29" s="2329" t="s">
        <v>867</v>
      </c>
      <c r="H29" s="2330"/>
      <c r="I29" s="2331"/>
      <c r="J29" s="2123" t="s">
        <v>960</v>
      </c>
      <c r="K29" s="2123" t="s">
        <v>961</v>
      </c>
      <c r="L29" s="2123" t="s">
        <v>962</v>
      </c>
      <c r="M29" s="2124" t="s">
        <v>0</v>
      </c>
      <c r="N29" s="2082"/>
      <c r="O29" s="2082"/>
      <c r="P29" s="2082"/>
      <c r="Q29" s="2082"/>
      <c r="R29" s="2082"/>
      <c r="S29" s="2082"/>
      <c r="T29" s="2082"/>
      <c r="U29" s="2082"/>
      <c r="V29" s="2082"/>
      <c r="W29" s="2082"/>
      <c r="X29" s="2082"/>
      <c r="Y29" s="2082"/>
      <c r="AK29" s="250"/>
      <c r="AL29" s="250"/>
      <c r="AM29" s="250"/>
      <c r="AN29" s="2375"/>
      <c r="AO29" s="2375"/>
      <c r="AP29" s="2375"/>
      <c r="AQ29" s="2375"/>
      <c r="AR29" s="2375"/>
      <c r="AS29" s="2375"/>
      <c r="AT29" s="2375"/>
    </row>
    <row r="30" spans="1:53" ht="28.5" customHeight="1" thickBot="1" x14ac:dyDescent="0.35">
      <c r="A30" s="2367"/>
      <c r="B30" s="2334" t="s">
        <v>924</v>
      </c>
      <c r="C30" s="2335"/>
      <c r="D30" s="41"/>
      <c r="E30" s="2386"/>
      <c r="F30" s="2048" t="s">
        <v>1792</v>
      </c>
      <c r="G30" s="2388" t="s">
        <v>1793</v>
      </c>
      <c r="H30" s="2388"/>
      <c r="I30" s="2388"/>
      <c r="J30" s="211">
        <f>'Cost-Benefit Tab_Digester'!$B$49</f>
        <v>0</v>
      </c>
      <c r="K30" s="211">
        <f>'Cost-Benefit Tab_Digester'!$C$49</f>
        <v>5080864.3348337095</v>
      </c>
      <c r="L30" s="1885">
        <f>'Cost-Benefit Tab_Digester'!$D$49</f>
        <v>5080853.5308799716</v>
      </c>
      <c r="M30" s="21" t="s">
        <v>1794</v>
      </c>
      <c r="N30" s="2082"/>
      <c r="O30" s="2082"/>
      <c r="P30" s="2082"/>
      <c r="Q30" s="2082"/>
      <c r="R30" s="2082"/>
      <c r="S30" s="2082"/>
      <c r="T30" s="2082"/>
      <c r="U30" s="2082"/>
      <c r="V30" s="2082"/>
      <c r="W30" s="2082"/>
      <c r="X30" s="2082"/>
      <c r="Y30" s="2082"/>
      <c r="AK30" s="251"/>
      <c r="AL30" s="251"/>
      <c r="AM30" s="251"/>
      <c r="AN30" s="2371"/>
      <c r="AO30" s="2371"/>
      <c r="AP30" s="2371"/>
      <c r="AQ30" s="2371"/>
      <c r="AR30" s="2372"/>
      <c r="AS30" s="2372"/>
      <c r="AT30" s="2372"/>
      <c r="AU30" s="2374"/>
      <c r="AV30" s="2374"/>
      <c r="AW30" s="2374"/>
      <c r="AX30" s="2374"/>
      <c r="AY30" s="2372"/>
      <c r="AZ30" s="2372"/>
      <c r="BA30" s="2372"/>
    </row>
    <row r="31" spans="1:53" ht="57.75" customHeight="1" thickBot="1" x14ac:dyDescent="0.35">
      <c r="A31" s="782" t="s">
        <v>741</v>
      </c>
      <c r="B31" s="795" t="s">
        <v>1455</v>
      </c>
      <c r="C31" s="796">
        <v>0.1419</v>
      </c>
      <c r="E31" s="2386"/>
      <c r="F31" s="2125" t="s">
        <v>1001</v>
      </c>
      <c r="G31" s="2388" t="s">
        <v>993</v>
      </c>
      <c r="H31" s="2388"/>
      <c r="I31" s="2388"/>
      <c r="J31" s="2075">
        <f>VLOOKUP(F31,'Cost-Benefit Tab_Digester'!A209:C220,2,FALSE)</f>
        <v>6135646.6631199988</v>
      </c>
      <c r="K31" s="2075">
        <f>VLOOKUP(F31,'Cost-Benefit Tab_Digester'!A209:C220,3,FALSE)</f>
        <v>2179694.138422667</v>
      </c>
      <c r="L31" s="1874">
        <f>J31+K31</f>
        <v>8315340.8015426658</v>
      </c>
      <c r="M31" s="21" t="s">
        <v>1719</v>
      </c>
      <c r="N31" s="2082"/>
      <c r="O31" s="2082"/>
      <c r="P31" s="2082"/>
      <c r="Q31" s="2082"/>
      <c r="R31" s="2082"/>
      <c r="S31" s="2082"/>
      <c r="T31" s="2082"/>
      <c r="U31" s="2082"/>
      <c r="V31" s="2082"/>
      <c r="W31" s="2082"/>
      <c r="X31" s="2082"/>
      <c r="Y31" s="2082"/>
      <c r="AK31" s="252"/>
      <c r="AL31" s="252"/>
      <c r="AM31" s="252"/>
      <c r="AN31" s="2371"/>
      <c r="AO31" s="2371"/>
      <c r="AP31" s="2371"/>
      <c r="AQ31" s="2371"/>
      <c r="AR31" s="2373"/>
      <c r="AS31" s="2373"/>
      <c r="AT31" s="2373"/>
      <c r="AU31" s="2374"/>
      <c r="AV31" s="2374"/>
      <c r="AW31" s="2374"/>
      <c r="AX31" s="2374"/>
      <c r="AY31" s="2370"/>
      <c r="AZ31" s="2370"/>
      <c r="BA31" s="2370"/>
    </row>
    <row r="32" spans="1:53" s="230" customFormat="1" ht="23.25" customHeight="1" thickBot="1" x14ac:dyDescent="0.35">
      <c r="A32" s="2399" t="s">
        <v>1041</v>
      </c>
      <c r="B32" s="2074" t="s">
        <v>1917</v>
      </c>
      <c r="C32" s="429"/>
      <c r="E32" s="2387"/>
      <c r="F32" s="2126" t="s">
        <v>757</v>
      </c>
      <c r="G32" s="2328" t="s">
        <v>1812</v>
      </c>
      <c r="H32" s="2328"/>
      <c r="I32" s="2328"/>
      <c r="J32" s="2127"/>
      <c r="K32" s="2127"/>
      <c r="L32" s="943">
        <f>VLOOKUP(F32,'Cost-Benefit Tab_Digester'!A128:E131,5,FALSE)</f>
        <v>12298879.033168001</v>
      </c>
      <c r="M32" s="2128" t="s">
        <v>963</v>
      </c>
      <c r="N32" s="2082"/>
      <c r="O32" s="2082"/>
      <c r="P32" s="2082"/>
      <c r="Q32" s="2082"/>
      <c r="R32" s="2082"/>
      <c r="S32" s="2082"/>
      <c r="T32" s="2082"/>
      <c r="U32" s="2082"/>
      <c r="V32" s="2082"/>
      <c r="W32" s="2050"/>
      <c r="X32" s="2113"/>
      <c r="Y32" s="2113"/>
      <c r="Z32" s="278"/>
      <c r="AA32" s="279"/>
      <c r="AB32" s="279"/>
      <c r="AC32" s="279"/>
      <c r="AD32" s="278"/>
      <c r="AE32" s="278"/>
      <c r="AF32" s="278"/>
      <c r="AG32" s="278"/>
      <c r="AH32" s="279"/>
      <c r="AI32" s="279"/>
      <c r="AJ32" s="279"/>
      <c r="AK32" s="252"/>
      <c r="AL32" s="252"/>
      <c r="AM32" s="252"/>
      <c r="AN32" s="278"/>
      <c r="AO32" s="278"/>
      <c r="AP32" s="278"/>
      <c r="AQ32" s="278"/>
      <c r="AR32" s="279"/>
      <c r="AS32" s="279"/>
      <c r="AT32" s="279"/>
      <c r="AU32" s="276"/>
      <c r="AV32" s="276"/>
      <c r="AW32" s="276"/>
      <c r="AX32" s="276"/>
      <c r="AY32" s="277"/>
      <c r="AZ32" s="277"/>
      <c r="BA32" s="277"/>
    </row>
    <row r="33" spans="1:53" s="230" customFormat="1" ht="37.5" customHeight="1" thickBot="1" x14ac:dyDescent="0.35">
      <c r="A33" s="2400"/>
      <c r="B33" s="809" t="s">
        <v>1918</v>
      </c>
      <c r="C33" s="355"/>
      <c r="E33" s="2325" t="s">
        <v>1589</v>
      </c>
      <c r="F33" s="2326"/>
      <c r="G33" s="2326"/>
      <c r="H33" s="2326"/>
      <c r="I33" s="2326"/>
      <c r="J33" s="2326"/>
      <c r="K33" s="2326"/>
      <c r="L33" s="2326"/>
      <c r="M33" s="2327"/>
      <c r="N33" s="2082"/>
      <c r="O33" s="2082"/>
      <c r="P33" s="2082"/>
      <c r="Q33" s="2082"/>
      <c r="R33" s="2082"/>
      <c r="S33" s="2082"/>
      <c r="T33" s="2082"/>
      <c r="U33" s="2082"/>
      <c r="V33" s="2082"/>
      <c r="W33" s="2050"/>
      <c r="X33" s="2113"/>
      <c r="Y33" s="2113"/>
      <c r="Z33" s="278"/>
      <c r="AA33" s="279"/>
      <c r="AB33" s="279"/>
      <c r="AC33" s="279"/>
      <c r="AD33" s="278"/>
      <c r="AE33" s="278"/>
      <c r="AF33" s="278"/>
      <c r="AG33" s="278"/>
      <c r="AH33" s="279"/>
      <c r="AI33" s="279"/>
      <c r="AJ33" s="279"/>
      <c r="AK33" s="252"/>
      <c r="AL33" s="252"/>
      <c r="AM33" s="252"/>
      <c r="AN33" s="278"/>
      <c r="AO33" s="278"/>
      <c r="AP33" s="278"/>
      <c r="AQ33" s="278"/>
      <c r="AR33" s="279"/>
      <c r="AS33" s="279"/>
      <c r="AT33" s="279"/>
      <c r="AU33" s="276"/>
      <c r="AV33" s="276"/>
      <c r="AW33" s="276"/>
      <c r="AX33" s="276"/>
      <c r="AY33" s="277"/>
      <c r="AZ33" s="277"/>
      <c r="BA33" s="277"/>
    </row>
    <row r="34" spans="1:53" s="230" customFormat="1" ht="31.5" customHeight="1" x14ac:dyDescent="0.3">
      <c r="A34" s="2400"/>
      <c r="B34" s="809" t="s">
        <v>1919</v>
      </c>
      <c r="C34" s="355"/>
      <c r="E34" s="2332" t="s">
        <v>1807</v>
      </c>
      <c r="F34" s="2323" t="s">
        <v>1564</v>
      </c>
      <c r="G34" s="2313"/>
      <c r="H34" s="2336" t="s">
        <v>1811</v>
      </c>
      <c r="I34" s="2337"/>
      <c r="J34" s="2337"/>
      <c r="K34" s="2337"/>
      <c r="L34" s="2309">
        <f>VLOOKUP(F34,'Cost-Benefit Tab_Landfill'!A52:H60,8,FALSE)</f>
        <v>0</v>
      </c>
      <c r="M34" s="2311" t="s">
        <v>1876</v>
      </c>
      <c r="N34" s="2082"/>
      <c r="O34" s="2082"/>
      <c r="P34" s="2082"/>
      <c r="Q34" s="2082"/>
      <c r="R34" s="2082"/>
      <c r="S34" s="2082"/>
      <c r="T34" s="2082"/>
      <c r="U34" s="2082"/>
      <c r="V34" s="2082"/>
      <c r="W34" s="2050"/>
      <c r="X34" s="2113"/>
      <c r="Y34" s="2113"/>
      <c r="Z34" s="278"/>
      <c r="AA34" s="279"/>
      <c r="AB34" s="279"/>
      <c r="AC34" s="279"/>
      <c r="AD34" s="278"/>
      <c r="AE34" s="278"/>
      <c r="AF34" s="278"/>
      <c r="AG34" s="278"/>
      <c r="AH34" s="279"/>
      <c r="AI34" s="279"/>
      <c r="AJ34" s="279"/>
      <c r="AK34" s="252"/>
      <c r="AL34" s="252"/>
      <c r="AM34" s="252"/>
      <c r="AN34" s="278"/>
      <c r="AO34" s="278"/>
      <c r="AP34" s="278"/>
      <c r="AQ34" s="278"/>
      <c r="AR34" s="279"/>
      <c r="AS34" s="279"/>
      <c r="AT34" s="279"/>
      <c r="AU34" s="276"/>
      <c r="AV34" s="276"/>
      <c r="AW34" s="276"/>
      <c r="AX34" s="276"/>
      <c r="AY34" s="277"/>
      <c r="AZ34" s="277"/>
      <c r="BA34" s="277"/>
    </row>
    <row r="35" spans="1:53" ht="30.75" customHeight="1" thickBot="1" x14ac:dyDescent="0.35">
      <c r="A35" s="2400"/>
      <c r="B35" s="2183" t="s">
        <v>1924</v>
      </c>
      <c r="C35" s="2164"/>
      <c r="D35" s="115"/>
      <c r="E35" s="2333"/>
      <c r="F35" s="2324"/>
      <c r="G35" s="2304"/>
      <c r="H35" s="2328"/>
      <c r="I35" s="2338"/>
      <c r="J35" s="2338"/>
      <c r="K35" s="2338"/>
      <c r="L35" s="2310"/>
      <c r="M35" s="2312"/>
      <c r="N35" s="2082"/>
      <c r="O35" s="2082"/>
      <c r="P35" s="2082"/>
      <c r="Q35" s="2082"/>
      <c r="R35" s="2082"/>
      <c r="S35" s="2082"/>
      <c r="T35" s="2082"/>
      <c r="U35" s="2082"/>
      <c r="V35" s="2082"/>
      <c r="W35" s="2082"/>
      <c r="X35" s="2082"/>
      <c r="Y35" s="2082"/>
    </row>
    <row r="36" spans="1:53" ht="31.5" customHeight="1" x14ac:dyDescent="0.3">
      <c r="A36" s="2400"/>
      <c r="B36" s="2183" t="s">
        <v>1925</v>
      </c>
      <c r="C36" s="355"/>
      <c r="D36" s="115"/>
      <c r="E36" s="2397" t="s">
        <v>1808</v>
      </c>
      <c r="F36" s="2323" t="s">
        <v>1565</v>
      </c>
      <c r="G36" s="2296"/>
      <c r="H36" s="2395" t="s">
        <v>1813</v>
      </c>
      <c r="I36" s="2317"/>
      <c r="J36" s="2317"/>
      <c r="K36" s="2317"/>
      <c r="L36" s="2309">
        <f>VLOOKUP(F36,'Cost-Benefit Tab_Composting'!A23:F27,6,FALSE)</f>
        <v>-287266674.56042397</v>
      </c>
      <c r="M36" s="2311" t="s">
        <v>964</v>
      </c>
      <c r="N36" s="2082"/>
      <c r="O36" s="2082"/>
      <c r="P36" s="2082"/>
      <c r="Q36" s="2082"/>
      <c r="R36" s="2082"/>
      <c r="S36" s="2082"/>
      <c r="T36" s="2082"/>
      <c r="U36" s="2082"/>
      <c r="V36" s="2082"/>
      <c r="W36" s="2082"/>
      <c r="X36" s="2082"/>
      <c r="Y36" s="2082"/>
    </row>
    <row r="37" spans="1:53" ht="30" customHeight="1" thickBot="1" x14ac:dyDescent="0.35">
      <c r="A37" s="2401"/>
      <c r="B37" s="2184" t="s">
        <v>1926</v>
      </c>
      <c r="C37" s="380"/>
      <c r="D37" s="115"/>
      <c r="E37" s="2398"/>
      <c r="F37" s="2324"/>
      <c r="G37" s="2298"/>
      <c r="H37" s="2396"/>
      <c r="I37" s="2318"/>
      <c r="J37" s="2318"/>
      <c r="K37" s="2318"/>
      <c r="L37" s="2310"/>
      <c r="M37" s="2312"/>
      <c r="N37" s="2082"/>
      <c r="O37" s="2082"/>
      <c r="P37" s="2082"/>
      <c r="Q37" s="2082"/>
      <c r="R37" s="2082"/>
      <c r="S37" s="2082"/>
      <c r="T37" s="2082"/>
      <c r="U37" s="2082"/>
      <c r="V37" s="2082"/>
      <c r="W37" s="2082"/>
      <c r="X37" s="2082"/>
      <c r="Y37" s="2082"/>
    </row>
    <row r="38" spans="1:53" s="230" customFormat="1" ht="30.75" customHeight="1" thickBot="1" x14ac:dyDescent="0.35">
      <c r="A38" s="2258" t="s">
        <v>1702</v>
      </c>
      <c r="B38" s="2162" t="s">
        <v>1699</v>
      </c>
      <c r="C38" s="2163"/>
      <c r="D38" s="115"/>
      <c r="E38" s="2043" t="s">
        <v>1530</v>
      </c>
      <c r="F38" s="2129" t="s">
        <v>1531</v>
      </c>
      <c r="G38" s="1995" t="s">
        <v>1854</v>
      </c>
      <c r="H38" s="2130" t="s">
        <v>1855</v>
      </c>
      <c r="I38" s="2130" t="s">
        <v>1856</v>
      </c>
      <c r="J38" s="2130" t="s">
        <v>1857</v>
      </c>
      <c r="K38" s="2130" t="s">
        <v>1858</v>
      </c>
      <c r="L38" s="1995" t="s">
        <v>1859</v>
      </c>
      <c r="M38" s="1995" t="s">
        <v>1890</v>
      </c>
      <c r="N38" s="1995" t="s">
        <v>1891</v>
      </c>
      <c r="O38" s="1995" t="s">
        <v>1892</v>
      </c>
      <c r="P38" s="1995" t="s">
        <v>1893</v>
      </c>
      <c r="Q38" s="2131" t="s">
        <v>1815</v>
      </c>
      <c r="R38" s="2082"/>
      <c r="S38" s="2082"/>
      <c r="T38" s="2082"/>
      <c r="U38" s="2082"/>
      <c r="V38" s="2082"/>
      <c r="W38" s="2082"/>
      <c r="X38" s="2082"/>
      <c r="Y38" s="2082"/>
    </row>
    <row r="39" spans="1:53" s="230" customFormat="1" ht="30.75" customHeight="1" x14ac:dyDescent="0.3">
      <c r="A39" s="2259"/>
      <c r="B39" s="414" t="s">
        <v>1700</v>
      </c>
      <c r="C39" s="2164"/>
      <c r="D39" s="115"/>
      <c r="E39" s="2275" t="s">
        <v>1851</v>
      </c>
      <c r="F39" s="2132" t="s">
        <v>1508</v>
      </c>
      <c r="G39" s="2044">
        <f>VLOOKUP(F39,'Comparison Emission'!A7:L11,2,FALSE)</f>
        <v>0</v>
      </c>
      <c r="H39" s="2133">
        <f>VLOOKUP(F39,'Comparison Emission'!A7:L11,3,FALSE)</f>
        <v>0</v>
      </c>
      <c r="I39" s="2133">
        <f>VLOOKUP(F39,'Comparison Emission'!A7:L11,4,FALSE)</f>
        <v>0</v>
      </c>
      <c r="J39" s="2133">
        <f>VLOOKUP(F39,'Comparison Emission'!A7:L11,5,FALSE)</f>
        <v>0</v>
      </c>
      <c r="K39" s="2133">
        <f>VLOOKUP(F39,'Comparison Emission'!A7:L11,6,FALSE)</f>
        <v>0</v>
      </c>
      <c r="L39" s="2044">
        <f>VLOOKUP(F39,'Comparison Emission'!A7:L11,7,FALSE)</f>
        <v>0</v>
      </c>
      <c r="M39" s="2044">
        <f>VLOOKUP(F39,'Comparison Emission'!A7:L11,8,FALSE)</f>
        <v>0</v>
      </c>
      <c r="N39" s="2044">
        <f>VLOOKUP(F39,'Comparison Emission'!A7:L11,9,FALSE)</f>
        <v>0</v>
      </c>
      <c r="O39" s="2044">
        <f>VLOOKUP(F39,'Comparison Emission'!A7:L11,10,FALSE)</f>
        <v>0</v>
      </c>
      <c r="P39" s="2044" t="str">
        <f>VLOOKUP(F39,'Comparison Emission'!A7:L11,11,FALSE)</f>
        <v>NA</v>
      </c>
      <c r="Q39" s="2134">
        <f>VLOOKUP(F39,'Comparison Emission'!A7:L11,12,FALSE)</f>
        <v>0</v>
      </c>
      <c r="R39" s="2082"/>
      <c r="S39" s="2082"/>
      <c r="T39" s="2082"/>
      <c r="U39" s="2082"/>
      <c r="V39" s="2082"/>
      <c r="W39" s="2082"/>
      <c r="X39" s="2082"/>
      <c r="Y39" s="2082"/>
    </row>
    <row r="40" spans="1:53" s="230" customFormat="1" ht="25.5" customHeight="1" thickBot="1" x14ac:dyDescent="0.35">
      <c r="A40" s="2260"/>
      <c r="B40" s="2165" t="s">
        <v>1701</v>
      </c>
      <c r="C40" s="2166"/>
      <c r="D40" s="115"/>
      <c r="E40" s="2276"/>
      <c r="F40" s="2125" t="s">
        <v>1512</v>
      </c>
      <c r="G40" s="2135">
        <f>VLOOKUP(F40,'Comparison Emission'!A12:L14,2,FALSE)</f>
        <v>94.562695094906573</v>
      </c>
      <c r="H40" s="2135">
        <f>VLOOKUP(F40,'Comparison Emission'!A12:L14,3,FALSE)</f>
        <v>826.11826880458273</v>
      </c>
      <c r="I40" s="2135">
        <f>VLOOKUP(F40,'Comparison Emission'!A12:L14,4,FALSE)</f>
        <v>666.57997953403481</v>
      </c>
      <c r="J40" s="2135">
        <f>VLOOKUP(F40,'Comparison Emission'!A12:L14,5,FALSE)</f>
        <v>129.9511883512827</v>
      </c>
      <c r="K40" s="2066">
        <f>VLOOKUP(F40,'Comparison Emission'!A12:L14,6,FALSE)</f>
        <v>0</v>
      </c>
      <c r="L40" s="2135">
        <f>VLOOKUP(F40,'Comparison Emission'!A12:L14,7,FALSE)</f>
        <v>90.501720458929015</v>
      </c>
      <c r="M40" s="2066" t="str">
        <f>VLOOKUP(F40,'Comparison Emission'!A12:L14,8,FALSE)</f>
        <v>NA</v>
      </c>
      <c r="N40" s="2066" t="str">
        <f>VLOOKUP(F40,'Comparison Emission'!A12:L14,9,FALSE)</f>
        <v>NA</v>
      </c>
      <c r="O40" s="2066" t="str">
        <f>VLOOKUP(F40,'Comparison Emission'!A12:L14,10,FALSE)</f>
        <v>NA</v>
      </c>
      <c r="P40" s="2066" t="str">
        <f>VLOOKUP(F40,'Comparison Emission'!A12:L14,11,FALSE)</f>
        <v>NA</v>
      </c>
      <c r="Q40" s="2136">
        <f>VLOOKUP(F40,'Comparison Emission'!A12:L14,12,FALSE)</f>
        <v>574893.38480307162</v>
      </c>
      <c r="R40" s="2082"/>
      <c r="S40" s="2082"/>
      <c r="T40" s="2082"/>
      <c r="U40" s="2082"/>
      <c r="V40" s="2082"/>
      <c r="W40" s="2082"/>
      <c r="X40" s="2082"/>
      <c r="Y40" s="2082"/>
    </row>
    <row r="41" spans="1:53" s="230" customFormat="1" ht="24" customHeight="1" thickBot="1" x14ac:dyDescent="0.35">
      <c r="A41" s="347" t="s">
        <v>1872</v>
      </c>
      <c r="B41" s="2078" t="s">
        <v>1873</v>
      </c>
      <c r="C41" s="2079"/>
      <c r="D41" s="115"/>
      <c r="E41" s="2276"/>
      <c r="F41" s="2137" t="s">
        <v>1514</v>
      </c>
      <c r="G41" s="2138" t="str">
        <f>'Comparison Emission'!B15</f>
        <v>NA</v>
      </c>
      <c r="H41" s="2138" t="str">
        <f>'Comparison Emission'!C15</f>
        <v>NA</v>
      </c>
      <c r="I41" s="2138" t="str">
        <f>'Comparison Emission'!D15</f>
        <v>NA</v>
      </c>
      <c r="J41" s="2316" t="str">
        <f>'Comparison Emission'!E15</f>
        <v>NA</v>
      </c>
      <c r="K41" s="2316"/>
      <c r="L41" s="2138" t="str">
        <f>'Comparison Emission'!G15</f>
        <v>NA</v>
      </c>
      <c r="M41" s="2138" t="str">
        <f>'Comparison Emission'!H15</f>
        <v>NA</v>
      </c>
      <c r="N41" s="2138" t="str">
        <f>'Comparison Emission'!I15</f>
        <v>NA</v>
      </c>
      <c r="O41" s="2138" t="str">
        <f>'Comparison Emission'!J15</f>
        <v>NA</v>
      </c>
      <c r="P41" s="2138" t="str">
        <f>'Comparison Emission'!K15</f>
        <v>NA</v>
      </c>
      <c r="Q41" s="2062">
        <f>'Comparison Emission'!L15</f>
        <v>542097.49268919672</v>
      </c>
      <c r="R41" s="2082"/>
      <c r="S41" s="2082"/>
      <c r="T41" s="2082"/>
      <c r="U41" s="2082"/>
      <c r="V41" s="2082"/>
      <c r="W41" s="2082"/>
      <c r="X41" s="2082"/>
      <c r="Y41" s="2082"/>
    </row>
    <row r="42" spans="1:53" s="230" customFormat="1" ht="23.25" customHeight="1" thickBot="1" x14ac:dyDescent="0.35">
      <c r="A42" s="2080" t="s">
        <v>1874</v>
      </c>
      <c r="B42" s="2078" t="s">
        <v>1875</v>
      </c>
      <c r="C42" s="2079"/>
      <c r="D42" s="115"/>
      <c r="E42" s="2276"/>
      <c r="F42" s="2125" t="s">
        <v>1516</v>
      </c>
      <c r="G42" s="2066" t="str">
        <f>VLOOKUP(F42,'Comparison Emission'!A16:L18,2,FALSE)</f>
        <v>NA</v>
      </c>
      <c r="H42" s="2066" t="str">
        <f>VLOOKUP(F42,'Comparison Emission'!A16:L18,3,FALSE)</f>
        <v>NA</v>
      </c>
      <c r="I42" s="2066" t="str">
        <f>VLOOKUP(F42,'Comparison Emission'!A16:L18,4,FALSE)</f>
        <v>NA</v>
      </c>
      <c r="J42" s="2066" t="str">
        <f>VLOOKUP(F42,'Comparison Emission'!A16:L18,5,FALSE)</f>
        <v>NA</v>
      </c>
      <c r="K42" s="2066">
        <f>VLOOKUP(F42,'Comparison Emission'!A16:L18,6,FALSE)</f>
        <v>0</v>
      </c>
      <c r="L42" s="2066" t="str">
        <f>VLOOKUP(F42,'Comparison Emission'!A16:L18,7,FALSE)</f>
        <v>NA</v>
      </c>
      <c r="M42" s="2066" t="str">
        <f>VLOOKUP(F42,'Comparison Emission'!A16:L18,8,FALSE)</f>
        <v>NA</v>
      </c>
      <c r="N42" s="2066" t="str">
        <f>VLOOKUP(F42,'Comparison Emission'!A16:L18,9,FALSE)</f>
        <v>NA</v>
      </c>
      <c r="O42" s="2066" t="str">
        <f>VLOOKUP(F42,'Comparison Emission'!A16:L18,10,FALSE)</f>
        <v>NA</v>
      </c>
      <c r="P42" s="2066" t="str">
        <f>VLOOKUP(F42,'Comparison Emission'!A16:L18,11,FALSE)</f>
        <v>NA</v>
      </c>
      <c r="Q42" s="2136">
        <f>VLOOKUP(F42,'Comparison Emission'!A16:L18,12,FALSE)</f>
        <v>23562564.221256316</v>
      </c>
      <c r="R42" s="2082"/>
      <c r="S42" s="2082"/>
      <c r="T42" s="2082"/>
      <c r="U42" s="2082"/>
      <c r="V42" s="2082"/>
      <c r="W42" s="2082"/>
      <c r="X42" s="2082"/>
      <c r="Y42" s="2082"/>
    </row>
    <row r="43" spans="1:53" s="230" customFormat="1" ht="24" customHeight="1" x14ac:dyDescent="0.3">
      <c r="D43" s="115"/>
      <c r="E43" s="2276"/>
      <c r="F43" s="2137" t="str">
        <f>'Comparison Emission'!A25</f>
        <v>Total for Solid-liquid resudal -AD</v>
      </c>
      <c r="G43" s="2138">
        <f>'Comparison Emission'!B25</f>
        <v>1.2760401730699888</v>
      </c>
      <c r="H43" s="2138">
        <f>'Comparison Emission'!C25</f>
        <v>0</v>
      </c>
      <c r="I43" s="2138">
        <f>'Comparison Emission'!D25</f>
        <v>4.7693716576250331</v>
      </c>
      <c r="J43" s="2138">
        <f>'Comparison Emission'!E25</f>
        <v>0.34302155190053463</v>
      </c>
      <c r="K43" s="2138">
        <f>'Comparison Emission'!F25</f>
        <v>0</v>
      </c>
      <c r="L43" s="2138">
        <f>'Comparison Emission'!G25</f>
        <v>21.582916045581637</v>
      </c>
      <c r="M43" s="2138">
        <f>'Comparison Emission'!H25</f>
        <v>0</v>
      </c>
      <c r="N43" s="2138">
        <f>'Comparison Emission'!I25</f>
        <v>553713.16586443852</v>
      </c>
      <c r="O43" s="2138">
        <f>'Comparison Emission'!J25</f>
        <v>0</v>
      </c>
      <c r="P43" s="2138">
        <f>'Comparison Emission'!K25</f>
        <v>739764.26619781414</v>
      </c>
      <c r="Q43" s="2062">
        <f>'Comparison Emission'!L25</f>
        <v>6350600.3780515799</v>
      </c>
      <c r="R43" s="2082"/>
      <c r="S43" s="2082"/>
      <c r="T43" s="2082"/>
      <c r="U43" s="2082"/>
      <c r="V43" s="2082"/>
      <c r="W43" s="2082"/>
      <c r="X43" s="2082"/>
      <c r="Y43" s="2082"/>
    </row>
    <row r="44" spans="1:53" s="230" customFormat="1" ht="27" customHeight="1" thickBot="1" x14ac:dyDescent="0.35">
      <c r="D44" s="115"/>
      <c r="E44" s="2276"/>
      <c r="F44" s="2139" t="str">
        <f>'Comparison Emission'!A26</f>
        <v>Indirect Emission from Impurities</v>
      </c>
      <c r="G44" s="2140">
        <f>'Comparison Emission'!B26</f>
        <v>17.720059732015535</v>
      </c>
      <c r="H44" s="2140">
        <f>'Comparison Emission'!C26</f>
        <v>0</v>
      </c>
      <c r="I44" s="2140">
        <f>'Comparison Emission'!D26</f>
        <v>66.231104976866661</v>
      </c>
      <c r="J44" s="2140">
        <f>'Comparison Emission'!E26</f>
        <v>4.7634569172084777</v>
      </c>
      <c r="K44" s="2140">
        <f>'Comparison Emission'!F26</f>
        <v>0</v>
      </c>
      <c r="L44" s="2140">
        <f>'Comparison Emission'!G26</f>
        <v>299.71670923075737</v>
      </c>
      <c r="M44" s="2140" t="str">
        <f>'Comparison Emission'!H26</f>
        <v>NA</v>
      </c>
      <c r="N44" s="2140">
        <f>'Comparison Emission'!I26</f>
        <v>3181.9892206952627</v>
      </c>
      <c r="O44" s="2140" t="str">
        <f>'Comparison Emission'!J26</f>
        <v>NA</v>
      </c>
      <c r="P44" s="2140" t="str">
        <f>'Comparison Emission'!K26</f>
        <v>NA</v>
      </c>
      <c r="Q44" s="2062">
        <f>'Comparison Emission'!L26</f>
        <v>199426.58242799796</v>
      </c>
      <c r="R44" s="2082"/>
      <c r="S44" s="2082"/>
      <c r="T44" s="2082"/>
      <c r="U44" s="2082"/>
      <c r="V44" s="2082"/>
      <c r="W44" s="2082"/>
      <c r="X44" s="2082"/>
      <c r="Y44" s="2082"/>
    </row>
    <row r="45" spans="1:53" s="230" customFormat="1" ht="27" customHeight="1" thickBot="1" x14ac:dyDescent="0.35">
      <c r="D45" s="115"/>
      <c r="E45" s="2277"/>
      <c r="F45" s="2141" t="s">
        <v>1850</v>
      </c>
      <c r="G45" s="2142">
        <f>SUM(G39:G44)+O16</f>
        <v>-24.632273211625062</v>
      </c>
      <c r="H45" s="2142">
        <f>SUM(H39:H44)+P16</f>
        <v>2100.7778942042833</v>
      </c>
      <c r="I45" s="2142">
        <f>SUM(I39:I44)+Q16</f>
        <v>912.66350921121273</v>
      </c>
      <c r="J45" s="2142">
        <f>SUM(J39:J40)+SUM(J41)+SUM(J42:J44)+R16</f>
        <v>207.49993078555207</v>
      </c>
      <c r="K45" s="2142">
        <f t="shared" ref="K45:P45" si="0">SUM(K39:K44)+S16</f>
        <v>-3.3772421657247635</v>
      </c>
      <c r="L45" s="2142">
        <f t="shared" si="0"/>
        <v>352.26332593496181</v>
      </c>
      <c r="M45" s="2142">
        <f t="shared" si="0"/>
        <v>1365.6800580341683</v>
      </c>
      <c r="N45" s="2142">
        <f t="shared" si="0"/>
        <v>401245.81758064614</v>
      </c>
      <c r="O45" s="2142">
        <f t="shared" si="0"/>
        <v>2.9147905966958851</v>
      </c>
      <c r="P45" s="2143">
        <f t="shared" si="0"/>
        <v>2857038.8677290683</v>
      </c>
      <c r="Q45" s="2144"/>
      <c r="R45" s="2082"/>
      <c r="S45" s="2082"/>
      <c r="T45" s="2082"/>
      <c r="U45" s="2082"/>
      <c r="V45" s="2082"/>
      <c r="W45" s="2082"/>
      <c r="X45" s="2082"/>
      <c r="Y45" s="2082"/>
    </row>
    <row r="46" spans="1:53" s="230" customFormat="1" ht="24" customHeight="1" x14ac:dyDescent="0.3">
      <c r="D46" s="115"/>
      <c r="E46" s="2278" t="s">
        <v>1852</v>
      </c>
      <c r="F46" s="2145" t="s">
        <v>1120</v>
      </c>
      <c r="G46" s="2044" t="str">
        <f>'Comparison Emission'!B29</f>
        <v>NA</v>
      </c>
      <c r="H46" s="2044" t="str">
        <f>'Comparison Emission'!C29</f>
        <v>NA</v>
      </c>
      <c r="I46" s="2044" t="str">
        <f>'Comparison Emission'!D29</f>
        <v>NA</v>
      </c>
      <c r="J46" s="2044" t="str">
        <f>'Comparison Emission'!E29</f>
        <v>NA</v>
      </c>
      <c r="K46" s="2044" t="str">
        <f>'Comparison Emission'!F29</f>
        <v>NA</v>
      </c>
      <c r="L46" s="2044" t="str">
        <f>'Comparison Emission'!G29</f>
        <v>NA</v>
      </c>
      <c r="M46" s="2044">
        <f>'Comparison Emission'!H29</f>
        <v>9070050.0205338802</v>
      </c>
      <c r="N46" s="2044">
        <f>'Comparison Emission'!I29</f>
        <v>5238240.9137577005</v>
      </c>
      <c r="O46" s="2044">
        <f>'Comparison Emission'!J29</f>
        <v>28702.689938398358</v>
      </c>
      <c r="P46" s="2044" t="str">
        <f>'Comparison Emission'!K29</f>
        <v>NA</v>
      </c>
      <c r="Q46" s="2064">
        <f>'Comparison Emission'!L29</f>
        <v>79910660.506121904</v>
      </c>
      <c r="R46" s="2082"/>
      <c r="S46" s="2082"/>
      <c r="T46" s="2082"/>
      <c r="U46" s="2082"/>
      <c r="V46" s="2082"/>
      <c r="W46" s="2082"/>
      <c r="X46" s="2082"/>
      <c r="Y46" s="2082"/>
    </row>
    <row r="47" spans="1:53" s="230" customFormat="1" ht="28.5" customHeight="1" x14ac:dyDescent="0.3">
      <c r="D47" s="115"/>
      <c r="E47" s="2279"/>
      <c r="F47" s="2137" t="str">
        <f>'Comparison Emission'!A40</f>
        <v>Total Emission from Leachate Pumping, Leachate Treatment and Impurities</v>
      </c>
      <c r="G47" s="2138">
        <f>'Comparison Emission'!B40</f>
        <v>128.19884537743226</v>
      </c>
      <c r="H47" s="2138">
        <f>'Comparison Emission'!C40</f>
        <v>195.50409578961674</v>
      </c>
      <c r="I47" s="2138">
        <f>'Comparison Emission'!D40</f>
        <v>764.25969538601657</v>
      </c>
      <c r="J47" s="2138">
        <f>'Comparison Emission'!E40</f>
        <v>19.516379345197546</v>
      </c>
      <c r="K47" s="2138">
        <f>'Comparison Emission'!F40</f>
        <v>19.053827668833911</v>
      </c>
      <c r="L47" s="2138">
        <f>'Comparison Emission'!G40</f>
        <v>2.6034889734471234</v>
      </c>
      <c r="M47" s="2138">
        <f>'Comparison Emission'!H40</f>
        <v>0</v>
      </c>
      <c r="N47" s="2138">
        <f>'Comparison Emission'!I40</f>
        <v>136629.76735286898</v>
      </c>
      <c r="O47" s="2138">
        <f>'Comparison Emission'!J40</f>
        <v>0</v>
      </c>
      <c r="P47" s="2138">
        <f>'Comparison Emission'!K40</f>
        <v>0</v>
      </c>
      <c r="Q47" s="2062">
        <f>'Comparison Emission'!L40</f>
        <v>691592.59664843883</v>
      </c>
      <c r="R47" s="2082"/>
      <c r="S47" s="2082"/>
      <c r="T47" s="2082"/>
      <c r="U47" s="2082"/>
      <c r="V47" s="2082"/>
      <c r="W47" s="2082"/>
      <c r="X47" s="2082"/>
      <c r="Y47" s="2082"/>
    </row>
    <row r="48" spans="1:53" s="230" customFormat="1" ht="29.25" customHeight="1" x14ac:dyDescent="0.3">
      <c r="A48" s="499"/>
      <c r="B48" s="3"/>
      <c r="C48" s="3"/>
      <c r="D48" s="500"/>
      <c r="E48" s="2279"/>
      <c r="F48" s="2137" t="str">
        <f>'Comparison Emission'!A57</f>
        <v>Combustion of Pipeline Natural gas</v>
      </c>
      <c r="G48" s="2138">
        <f>'Comparison Emission'!B57</f>
        <v>3.1629722452113631</v>
      </c>
      <c r="H48" s="2138" t="str">
        <f>'Comparison Emission'!C57</f>
        <v>NA</v>
      </c>
      <c r="I48" s="2138">
        <f>'Comparison Emission'!D57</f>
        <v>54.585725510703057</v>
      </c>
      <c r="J48" s="2138">
        <f>'Comparison Emission'!E57</f>
        <v>4.3669318500693848</v>
      </c>
      <c r="K48" s="2138">
        <f>'Comparison Emission'!F57</f>
        <v>0</v>
      </c>
      <c r="L48" s="2138">
        <f>'Comparison Emission'!G57</f>
        <v>-0.19710688300087648</v>
      </c>
      <c r="M48" s="2138" t="str">
        <f>'Comparison Emission'!H57</f>
        <v>NA</v>
      </c>
      <c r="N48" s="2138">
        <f>'Comparison Emission'!I57</f>
        <v>68961.207501437384</v>
      </c>
      <c r="O48" s="2138" t="str">
        <f>'Comparison Emission'!J57</f>
        <v>NA</v>
      </c>
      <c r="P48" s="2138" t="str">
        <f>'Comparison Emission'!K57</f>
        <v>NA</v>
      </c>
      <c r="Q48" s="2062">
        <f>'Comparison Emission'!L57</f>
        <v>421140.74944871815</v>
      </c>
      <c r="R48" s="2082"/>
      <c r="S48" s="2082"/>
      <c r="T48" s="2082"/>
      <c r="U48" s="2082"/>
      <c r="V48" s="2082"/>
      <c r="W48" s="2082"/>
      <c r="X48" s="2082"/>
      <c r="Y48" s="2082"/>
    </row>
    <row r="49" spans="1:25" s="230" customFormat="1" ht="30" customHeight="1" x14ac:dyDescent="0.3">
      <c r="A49" s="1873"/>
      <c r="B49" s="3"/>
      <c r="C49" s="3"/>
      <c r="D49" s="1876"/>
      <c r="E49" s="2279"/>
      <c r="F49" s="2125" t="s">
        <v>1507</v>
      </c>
      <c r="G49" s="2066">
        <f>VLOOKUP(F49,'Comparison Emission'!A30:L35,2,FALSE)</f>
        <v>0</v>
      </c>
      <c r="H49" s="2066">
        <f>VLOOKUP(F49,'Comparison Emission'!A30:L35,3,FALSE)</f>
        <v>0</v>
      </c>
      <c r="I49" s="2066">
        <f>VLOOKUP(F49,'Comparison Emission'!A30:L35,4,FALSE)</f>
        <v>0</v>
      </c>
      <c r="J49" s="2066">
        <f>VLOOKUP(F49,'Comparison Emission'!A30:L35,5,FALSE)</f>
        <v>0</v>
      </c>
      <c r="K49" s="2066">
        <f>VLOOKUP(F49,'Comparison Emission'!A30:L35,6,FALSE)</f>
        <v>0</v>
      </c>
      <c r="L49" s="2066">
        <f>VLOOKUP(F49,'Comparison Emission'!A30:L35,7,FALSE)</f>
        <v>0</v>
      </c>
      <c r="M49" s="2066">
        <f>VLOOKUP(F49,'Comparison Emission'!A30:L35,8,FALSE)</f>
        <v>0</v>
      </c>
      <c r="N49" s="2066">
        <f>VLOOKUP(F49,'Comparison Emission'!A30:L35,9,FALSE)</f>
        <v>0</v>
      </c>
      <c r="O49" s="2066">
        <f>VLOOKUP(F49,'Comparison Emission'!A30:L35,10,FALSE)</f>
        <v>0</v>
      </c>
      <c r="P49" s="2066">
        <f>VLOOKUP(F49,'Comparison Emission'!A30:L35,11,FALSE)</f>
        <v>0</v>
      </c>
      <c r="Q49" s="2062">
        <f>VLOOKUP(F49,'Comparison Emission'!A30:L35,12,FALSE)</f>
        <v>0</v>
      </c>
      <c r="R49" s="2082"/>
      <c r="S49" s="2082"/>
      <c r="T49" s="2082"/>
      <c r="U49" s="2082"/>
      <c r="V49" s="2082"/>
      <c r="W49" s="2082"/>
      <c r="X49" s="2082"/>
      <c r="Y49" s="2082"/>
    </row>
    <row r="50" spans="1:25" s="230" customFormat="1" ht="27.75" customHeight="1" x14ac:dyDescent="0.3">
      <c r="A50" s="1873"/>
      <c r="B50" s="3"/>
      <c r="C50" s="3"/>
      <c r="D50" s="1876"/>
      <c r="E50" s="2279"/>
      <c r="F50" s="2125" t="s">
        <v>94</v>
      </c>
      <c r="G50" s="764">
        <f>VLOOKUP(F50,'Comparison Emission'!A41:L47,2,FALSE)</f>
        <v>0</v>
      </c>
      <c r="H50" s="764">
        <f>VLOOKUP(F50,'Comparison Emission'!A41:L47,3,FALSE)</f>
        <v>0</v>
      </c>
      <c r="I50" s="764">
        <f>VLOOKUP(F50,'Comparison Emission'!A41:L47,4,FALSE)</f>
        <v>0</v>
      </c>
      <c r="J50" s="764">
        <f>VLOOKUP(F50,'Comparison Emission'!A41:L47,5,FALSE)</f>
        <v>0</v>
      </c>
      <c r="K50" s="764">
        <f>VLOOKUP(F50,'Comparison Emission'!A41:L47,6,FALSE)</f>
        <v>0</v>
      </c>
      <c r="L50" s="764">
        <f>VLOOKUP(F50,'Comparison Emission'!A41:L47,7,FALSE)</f>
        <v>0</v>
      </c>
      <c r="M50" s="2066">
        <f>VLOOKUP(F50,'Comparison Emission'!A41:L47,8,FALSE)</f>
        <v>0</v>
      </c>
      <c r="N50" s="764">
        <f>VLOOKUP(F50,'Comparison Emission'!A41:L47,9,FALSE)</f>
        <v>0</v>
      </c>
      <c r="O50" s="2066">
        <f>VLOOKUP(F50,'Comparison Emission'!A41:L47,10,FALSE)</f>
        <v>0</v>
      </c>
      <c r="P50" s="764">
        <f>VLOOKUP(F50,'Comparison Emission'!A41:L47,11,FALSE)</f>
        <v>0</v>
      </c>
      <c r="Q50" s="2062">
        <f>VLOOKUP(F50,'Comparison Emission'!A41:L47,12,FALSE)</f>
        <v>0</v>
      </c>
      <c r="R50" s="2082"/>
      <c r="S50" s="2082"/>
      <c r="T50" s="2082"/>
      <c r="U50" s="2082"/>
      <c r="V50" s="2082"/>
      <c r="W50" s="2082"/>
      <c r="X50" s="2082"/>
      <c r="Y50" s="2082"/>
    </row>
    <row r="51" spans="1:25" s="230" customFormat="1" ht="27" customHeight="1" thickBot="1" x14ac:dyDescent="0.35">
      <c r="A51" s="1691"/>
      <c r="B51" s="3"/>
      <c r="C51" s="3"/>
      <c r="D51" s="1693"/>
      <c r="E51" s="2279"/>
      <c r="F51" s="2126" t="s">
        <v>1841</v>
      </c>
      <c r="G51" s="759">
        <f>VLOOKUP(F51,'Comparison Emission'!A48:L56,2,FALSE)</f>
        <v>-245.08485017208505</v>
      </c>
      <c r="H51" s="759">
        <f>VLOOKUP(F51,'Comparison Emission'!A48:L56,3,FALSE)</f>
        <v>-1872.8567300650161</v>
      </c>
      <c r="I51" s="759">
        <f>VLOOKUP(F51,'Comparison Emission'!A48:L56,4,FALSE)</f>
        <v>-126.6271725889106</v>
      </c>
      <c r="J51" s="759">
        <f>VLOOKUP(F51,'Comparison Emission'!A48:L56,5,FALSE)</f>
        <v>-6.1271212543021241</v>
      </c>
      <c r="K51" s="759">
        <f>VLOOKUP(F51,'Comparison Emission'!A48:L56,6,FALSE)</f>
        <v>-6.1271212543021241</v>
      </c>
      <c r="L51" s="2146">
        <f>VLOOKUP(F51,'Comparison Emission'!A48:L56,7,FALSE)</f>
        <v>-4.0847475028680842</v>
      </c>
      <c r="M51" s="2147">
        <f>VLOOKUP(F51,'Comparison Emission'!A48:L56,8,FALSE)</f>
        <v>312.48318396940846</v>
      </c>
      <c r="N51" s="759">
        <f>VLOOKUP(F51,'Comparison Emission'!A48:L56,9,FALSE)</f>
        <v>-200152.62764053611</v>
      </c>
      <c r="O51" s="2148">
        <f>VLOOKUP(F51,'Comparison Emission'!A48:L56,10,FALSE)</f>
        <v>0</v>
      </c>
      <c r="P51" s="2067" t="str">
        <f>VLOOKUP(F51,'Comparison Emission'!A48:L56,11,FALSE)</f>
        <v>NA</v>
      </c>
      <c r="Q51" s="2065">
        <f>VLOOKUP(F51,'Comparison Emission'!A48:L56,12,FALSE)</f>
        <v>-1174121.4836206255</v>
      </c>
      <c r="R51" s="2082"/>
      <c r="S51" s="2082"/>
      <c r="T51" s="2082"/>
      <c r="U51" s="2082"/>
      <c r="V51" s="2082"/>
      <c r="W51" s="2082"/>
      <c r="X51" s="2082"/>
      <c r="Y51" s="2082"/>
    </row>
    <row r="52" spans="1:25" s="230" customFormat="1" ht="27" customHeight="1" thickBot="1" x14ac:dyDescent="0.35">
      <c r="A52" s="1943"/>
      <c r="B52" s="3"/>
      <c r="C52" s="3"/>
      <c r="D52" s="1944"/>
      <c r="E52" s="2280"/>
      <c r="F52" s="2149" t="s">
        <v>1850</v>
      </c>
      <c r="G52" s="2150">
        <f>SUM(G46:G51)</f>
        <v>-113.72303254944143</v>
      </c>
      <c r="H52" s="2150">
        <f>SUM(H46:H51)</f>
        <v>-1677.3526342753994</v>
      </c>
      <c r="I52" s="2150">
        <f>SUM(I46:I51)</f>
        <v>692.21824830780895</v>
      </c>
      <c r="J52" s="2150">
        <f>SUM(J46:J47)+SUM(J48)+SUM(J49:J51)</f>
        <v>17.756189940964806</v>
      </c>
      <c r="K52" s="2150">
        <f t="shared" ref="K52:P52" si="1">SUM(K46:K51)</f>
        <v>12.926706414531786</v>
      </c>
      <c r="L52" s="2150">
        <f t="shared" si="1"/>
        <v>-1.6783654124218375</v>
      </c>
      <c r="M52" s="2150">
        <f t="shared" si="1"/>
        <v>9070362.503717849</v>
      </c>
      <c r="N52" s="2150">
        <f t="shared" si="1"/>
        <v>5243679.2609714707</v>
      </c>
      <c r="O52" s="2150">
        <f t="shared" si="1"/>
        <v>28702.689938398358</v>
      </c>
      <c r="P52" s="2151">
        <f t="shared" si="1"/>
        <v>0</v>
      </c>
      <c r="Q52" s="2152"/>
      <c r="R52" s="2082"/>
      <c r="S52" s="2082"/>
      <c r="T52" s="2082"/>
      <c r="U52" s="2082"/>
      <c r="V52" s="2082"/>
      <c r="W52" s="2082"/>
      <c r="X52" s="2082"/>
      <c r="Y52" s="2082"/>
    </row>
    <row r="53" spans="1:25" s="230" customFormat="1" ht="23.25" customHeight="1" x14ac:dyDescent="0.3">
      <c r="A53" s="596"/>
      <c r="B53" s="3"/>
      <c r="C53" s="3"/>
      <c r="D53" s="599"/>
      <c r="E53" s="2281" t="s">
        <v>1853</v>
      </c>
      <c r="F53" s="2153" t="str">
        <f>'Comparison Emission'!A60</f>
        <v>Direct Emission</v>
      </c>
      <c r="G53" s="2044" t="str">
        <f>'Comparison Emission'!B60</f>
        <v>NA</v>
      </c>
      <c r="H53" s="2133" t="str">
        <f>'Comparison Emission'!C60</f>
        <v>NA</v>
      </c>
      <c r="I53" s="2133" t="str">
        <f>'Comparison Emission'!D60</f>
        <v>NA</v>
      </c>
      <c r="J53" s="2133" t="str">
        <f>'Comparison Emission'!E60</f>
        <v>NA</v>
      </c>
      <c r="K53" s="2133" t="str">
        <f>'Comparison Emission'!F60</f>
        <v>NA</v>
      </c>
      <c r="L53" s="2044" t="str">
        <f>'Comparison Emission'!G60</f>
        <v>NA</v>
      </c>
      <c r="M53" s="2044" t="str">
        <f>'Comparison Emission'!H60</f>
        <v>NA</v>
      </c>
      <c r="N53" s="2044">
        <f>'Comparison Emission'!I60</f>
        <v>1156696.8774999999</v>
      </c>
      <c r="O53" s="2044" t="str">
        <f>'Comparison Emission'!J60</f>
        <v>NA</v>
      </c>
      <c r="P53" s="2044" t="str">
        <f>'Comparison Emission'!K60</f>
        <v>NA</v>
      </c>
      <c r="Q53" s="2064">
        <f>'Comparison Emission'!L60</f>
        <v>6447126.4972999748</v>
      </c>
      <c r="R53" s="2082"/>
      <c r="S53" s="2082"/>
      <c r="T53" s="2082"/>
      <c r="U53" s="2082"/>
      <c r="V53" s="2082"/>
      <c r="W53" s="2082"/>
      <c r="X53" s="2082"/>
      <c r="Y53" s="2082"/>
    </row>
    <row r="54" spans="1:25" s="230" customFormat="1" ht="26.25" customHeight="1" x14ac:dyDescent="0.3">
      <c r="A54" s="1691"/>
      <c r="B54" s="3"/>
      <c r="C54" s="3"/>
      <c r="D54" s="1693"/>
      <c r="E54" s="2282"/>
      <c r="F54" s="2154" t="str">
        <f>'Comparison Emission'!A61</f>
        <v>Indirect Emission (Downstream)</v>
      </c>
      <c r="G54" s="2138" t="str">
        <f>'Comparison Emission'!B61</f>
        <v>NA</v>
      </c>
      <c r="H54" s="2138" t="str">
        <f>'Comparison Emission'!C61</f>
        <v>NA</v>
      </c>
      <c r="I54" s="2138" t="str">
        <f>'Comparison Emission'!D61</f>
        <v>NA</v>
      </c>
      <c r="J54" s="2138" t="str">
        <f>'Comparison Emission'!E61</f>
        <v>NA</v>
      </c>
      <c r="K54" s="2138" t="str">
        <f>'Comparison Emission'!F61</f>
        <v>NA</v>
      </c>
      <c r="L54" s="2138" t="str">
        <f>'Comparison Emission'!G61</f>
        <v>NA</v>
      </c>
      <c r="M54" s="2138" t="str">
        <f>'Comparison Emission'!H61</f>
        <v>NA</v>
      </c>
      <c r="N54" s="2138" t="str">
        <f>'Comparison Emission'!I61</f>
        <v>NA</v>
      </c>
      <c r="O54" s="2138" t="str">
        <f>'Comparison Emission'!J61</f>
        <v>NA</v>
      </c>
      <c r="P54" s="2138">
        <f>'Comparison Emission'!K61</f>
        <v>-880627.23</v>
      </c>
      <c r="Q54" s="2062">
        <f>'Comparison Emission'!L61</f>
        <v>-4908386.3363129711</v>
      </c>
      <c r="R54" s="2082"/>
      <c r="S54" s="2082"/>
      <c r="T54" s="2082"/>
      <c r="U54" s="2082"/>
      <c r="V54" s="2082"/>
      <c r="W54" s="2082"/>
      <c r="X54" s="2082"/>
      <c r="Y54" s="2082"/>
    </row>
    <row r="55" spans="1:25" ht="26.25" customHeight="1" x14ac:dyDescent="0.3">
      <c r="D55" s="124"/>
      <c r="E55" s="2282"/>
      <c r="F55" s="2154" t="str">
        <f>'Comparison Emission'!A68</f>
        <v xml:space="preserve">Direct Emission-Depackaging </v>
      </c>
      <c r="G55" s="2138">
        <f>'Comparison Emission'!B68</f>
        <v>0</v>
      </c>
      <c r="H55" s="2138" t="str">
        <f>'Comparison Emission'!C68</f>
        <v>NA</v>
      </c>
      <c r="I55" s="2138">
        <f>'Comparison Emission'!D68</f>
        <v>0</v>
      </c>
      <c r="J55" s="2138">
        <f>'Comparison Emission'!E68</f>
        <v>0</v>
      </c>
      <c r="K55" s="2138">
        <f>'Comparison Emission'!F68</f>
        <v>0</v>
      </c>
      <c r="L55" s="2138">
        <f>'Comparison Emission'!G68</f>
        <v>0</v>
      </c>
      <c r="M55" s="2138" t="str">
        <f>'Comparison Emission'!H68</f>
        <v>NA</v>
      </c>
      <c r="N55" s="2138">
        <f>'Comparison Emission'!I68</f>
        <v>0</v>
      </c>
      <c r="O55" s="2138" t="str">
        <f>'Comparison Emission'!J68</f>
        <v>NA</v>
      </c>
      <c r="P55" s="2138" t="str">
        <f>'Comparison Emission'!K68</f>
        <v>NA</v>
      </c>
      <c r="Q55" s="2062">
        <f>'Comparison Emission'!L68</f>
        <v>0</v>
      </c>
      <c r="R55" s="2082"/>
      <c r="S55" s="2082"/>
      <c r="T55" s="2082"/>
      <c r="U55" s="2082"/>
      <c r="V55" s="2082"/>
      <c r="W55" s="2082"/>
      <c r="X55" s="2082"/>
      <c r="Y55" s="2082"/>
    </row>
    <row r="56" spans="1:25" s="230" customFormat="1" ht="36.75" customHeight="1" thickBot="1" x14ac:dyDescent="0.35">
      <c r="D56" s="124"/>
      <c r="E56" s="2282"/>
      <c r="F56" s="2155" t="s">
        <v>1508</v>
      </c>
      <c r="G56" s="2068">
        <f>VLOOKUP(F56,'Comparison Emission'!A62:L67,2,FALSE)</f>
        <v>0</v>
      </c>
      <c r="H56" s="2068">
        <f>VLOOKUP(F56,'Comparison Emission'!A62:L67,3,FALSE)</f>
        <v>0</v>
      </c>
      <c r="I56" s="2068">
        <f>VLOOKUP(F56,'Comparison Emission'!A62:L67,4,FALSE)</f>
        <v>0</v>
      </c>
      <c r="J56" s="2068">
        <f>VLOOKUP(F56,'Comparison Emission'!A62:L67,5,FALSE)</f>
        <v>0</v>
      </c>
      <c r="K56" s="2068">
        <f>VLOOKUP(F56,'Comparison Emission'!A62:L67,6,FALSE)</f>
        <v>0</v>
      </c>
      <c r="L56" s="2068">
        <f>VLOOKUP(F56,'Comparison Emission'!A62:L67,7,FALSE)</f>
        <v>0</v>
      </c>
      <c r="M56" s="2068">
        <f>VLOOKUP(F56,'Comparison Emission'!A62:L67,8,FALSE)</f>
        <v>0</v>
      </c>
      <c r="N56" s="2068">
        <f>VLOOKUP(F56,'Comparison Emission'!A62:L67,9,FALSE)</f>
        <v>0</v>
      </c>
      <c r="O56" s="2068">
        <f>VLOOKUP(F56,'Comparison Emission'!A62:L67,10,FALSE)</f>
        <v>0</v>
      </c>
      <c r="P56" s="2068" t="str">
        <f>VLOOKUP(F56,'Comparison Emission'!A62:L67,11,FALSE)</f>
        <v>NA</v>
      </c>
      <c r="Q56" s="2063">
        <f>VLOOKUP(F56,'Comparison Emission'!A62:L67,12,FALSE)</f>
        <v>0</v>
      </c>
      <c r="R56" s="2082"/>
      <c r="S56" s="2082"/>
      <c r="T56" s="2082"/>
      <c r="U56" s="2082"/>
      <c r="V56" s="2082"/>
      <c r="W56" s="2082"/>
      <c r="X56" s="2082"/>
      <c r="Y56" s="2082"/>
    </row>
    <row r="57" spans="1:25" s="230" customFormat="1" ht="36.75" customHeight="1" thickBot="1" x14ac:dyDescent="0.35">
      <c r="D57" s="124"/>
      <c r="E57" s="2283"/>
      <c r="F57" s="2141" t="s">
        <v>1850</v>
      </c>
      <c r="G57" s="2142">
        <f>SUM(G53:G56)</f>
        <v>0</v>
      </c>
      <c r="H57" s="2142">
        <f t="shared" ref="H57:O57" si="2">SUM(H53:H56)</f>
        <v>0</v>
      </c>
      <c r="I57" s="2142">
        <f t="shared" si="2"/>
        <v>0</v>
      </c>
      <c r="J57" s="2142">
        <f t="shared" si="2"/>
        <v>0</v>
      </c>
      <c r="K57" s="2142">
        <f t="shared" si="2"/>
        <v>0</v>
      </c>
      <c r="L57" s="2142">
        <f t="shared" si="2"/>
        <v>0</v>
      </c>
      <c r="M57" s="2142">
        <f t="shared" si="2"/>
        <v>0</v>
      </c>
      <c r="N57" s="2142">
        <f t="shared" si="2"/>
        <v>1156696.8774999999</v>
      </c>
      <c r="O57" s="2142">
        <f t="shared" si="2"/>
        <v>0</v>
      </c>
      <c r="P57" s="2142">
        <f>SUM(P53:P56)</f>
        <v>-880627.23</v>
      </c>
      <c r="Q57" s="2156"/>
      <c r="R57" s="2082"/>
      <c r="S57" s="2082"/>
      <c r="T57" s="2082"/>
      <c r="U57" s="2082"/>
      <c r="V57" s="2082"/>
      <c r="W57" s="2082"/>
      <c r="X57" s="2082"/>
      <c r="Y57" s="2082"/>
    </row>
    <row r="58" spans="1:25" s="230" customFormat="1" ht="36" customHeight="1" thickBot="1" x14ac:dyDescent="0.35">
      <c r="D58" s="378"/>
      <c r="E58" s="2157"/>
      <c r="F58" s="2053" t="s">
        <v>1282</v>
      </c>
      <c r="G58" s="2047" t="s">
        <v>1810</v>
      </c>
      <c r="H58" s="2073" t="s">
        <v>1814</v>
      </c>
      <c r="I58" s="2013" t="s">
        <v>1137</v>
      </c>
      <c r="J58" s="2014" t="s">
        <v>1815</v>
      </c>
      <c r="K58" s="2015" t="s">
        <v>1816</v>
      </c>
      <c r="L58" s="2045" t="s">
        <v>1846</v>
      </c>
      <c r="M58" s="2082"/>
      <c r="N58" s="2082"/>
      <c r="O58" s="2082"/>
      <c r="P58" s="2082"/>
      <c r="Q58" s="2082"/>
      <c r="R58" s="2082"/>
      <c r="S58" s="2082"/>
      <c r="T58" s="2082"/>
      <c r="U58" s="2082"/>
      <c r="V58" s="2082"/>
      <c r="W58" s="2082"/>
      <c r="X58" s="2082"/>
      <c r="Y58" s="2082"/>
    </row>
    <row r="59" spans="1:25" s="230" customFormat="1" ht="59.25" customHeight="1" x14ac:dyDescent="0.3">
      <c r="D59" s="950"/>
      <c r="E59" s="2272" t="s">
        <v>1809</v>
      </c>
      <c r="F59" s="2171" t="s">
        <v>1905</v>
      </c>
      <c r="G59" s="644" t="e">
        <f>L30+L31+F20+I26-N16-E23-F23-G23-H23-J23-L23-I23-K23</f>
        <v>#DIV/0!</v>
      </c>
      <c r="H59" s="2293"/>
      <c r="I59" s="2069" t="s">
        <v>1829</v>
      </c>
      <c r="J59" s="644">
        <f>Q41+Y16+Q39+Q40+Q43+Q44</f>
        <v>19297850.655821439</v>
      </c>
      <c r="K59" s="2313"/>
      <c r="L59" s="2158" t="s">
        <v>1863</v>
      </c>
      <c r="M59" s="2082"/>
      <c r="N59" s="2082"/>
      <c r="O59" s="2082"/>
      <c r="P59" s="2082"/>
      <c r="Q59" s="2082"/>
      <c r="R59" s="2082"/>
      <c r="S59" s="2082"/>
      <c r="T59" s="2082"/>
      <c r="U59" s="2082"/>
      <c r="V59" s="2082"/>
      <c r="W59" s="2082"/>
      <c r="X59" s="2082"/>
      <c r="Y59" s="2082"/>
    </row>
    <row r="60" spans="1:25" ht="64.5" customHeight="1" x14ac:dyDescent="0.3">
      <c r="E60" s="2273"/>
      <c r="F60" s="2172" t="s">
        <v>1906</v>
      </c>
      <c r="G60" s="2075" t="e">
        <f>L30+L31+F20+I26-N16-E23-F23-G23-I23-K23-M23-H23-J23</f>
        <v>#DIV/0!</v>
      </c>
      <c r="H60" s="2294"/>
      <c r="I60" s="2303" t="s">
        <v>1830</v>
      </c>
      <c r="J60" s="2305">
        <f>Y16+Q39+Q40+Q43+Q44+Q42</f>
        <v>42318317.384388559</v>
      </c>
      <c r="K60" s="2303"/>
      <c r="L60" s="2159" t="s">
        <v>1894</v>
      </c>
      <c r="M60" s="2082"/>
      <c r="N60" s="2082"/>
      <c r="O60" s="2082"/>
      <c r="P60" s="2082"/>
      <c r="Q60" s="2082"/>
      <c r="R60" s="2082"/>
      <c r="S60" s="2082"/>
      <c r="T60" s="2082"/>
      <c r="U60" s="2082"/>
      <c r="V60" s="2082"/>
      <c r="W60" s="2082"/>
      <c r="X60" s="2082"/>
      <c r="Y60" s="2082"/>
    </row>
    <row r="61" spans="1:25" ht="47.25" customHeight="1" thickBot="1" x14ac:dyDescent="0.35">
      <c r="E61" s="2273"/>
      <c r="F61" s="2076" t="s">
        <v>1791</v>
      </c>
      <c r="G61" s="2077" t="e">
        <f>L32+I26</f>
        <v>#DIV/0!</v>
      </c>
      <c r="H61" s="2295"/>
      <c r="I61" s="2304"/>
      <c r="J61" s="2306"/>
      <c r="K61" s="2304"/>
      <c r="L61" s="1464" t="s">
        <v>1864</v>
      </c>
      <c r="M61" s="2082"/>
      <c r="N61" s="2082"/>
      <c r="O61" s="2082"/>
      <c r="P61" s="2082"/>
      <c r="Q61" s="2082"/>
      <c r="R61" s="2082"/>
      <c r="S61" s="2082"/>
      <c r="T61" s="2082"/>
      <c r="U61" s="2082"/>
      <c r="V61" s="2082"/>
      <c r="W61" s="2082"/>
      <c r="X61" s="2082"/>
      <c r="Y61" s="2082"/>
    </row>
    <row r="62" spans="1:25" s="230" customFormat="1" ht="17.25" customHeight="1" x14ac:dyDescent="0.3">
      <c r="E62" s="2274"/>
      <c r="F62" s="2284" t="s">
        <v>1260</v>
      </c>
      <c r="G62" s="2290" t="e">
        <f>I26+L34</f>
        <v>#DIV/0!</v>
      </c>
      <c r="H62" s="1622" t="e">
        <f>G59-G62</f>
        <v>#DIV/0!</v>
      </c>
      <c r="I62" s="2296" t="s">
        <v>1260</v>
      </c>
      <c r="J62" s="2290">
        <f>SUM(Q46:Q51)</f>
        <v>79849272.368598431</v>
      </c>
      <c r="K62" s="2307">
        <f>J59-J62</f>
        <v>-60551421.712776989</v>
      </c>
      <c r="L62" s="2314" t="s">
        <v>1865</v>
      </c>
      <c r="M62" s="2082"/>
      <c r="N62" s="2082"/>
      <c r="O62" s="2082"/>
      <c r="P62" s="2082"/>
      <c r="Q62" s="2082"/>
      <c r="R62" s="2082"/>
      <c r="S62" s="2082"/>
      <c r="T62" s="2082"/>
      <c r="U62" s="2082"/>
      <c r="V62" s="2082"/>
      <c r="W62" s="2082"/>
      <c r="X62" s="2082"/>
      <c r="Y62" s="2082"/>
    </row>
    <row r="63" spans="1:25" ht="17.25" customHeight="1" x14ac:dyDescent="0.3">
      <c r="E63" s="2274"/>
      <c r="F63" s="2285"/>
      <c r="G63" s="2291"/>
      <c r="H63" s="1874" t="e">
        <f>G60-G62</f>
        <v>#DIV/0!</v>
      </c>
      <c r="I63" s="2297"/>
      <c r="J63" s="2291"/>
      <c r="K63" s="2308"/>
      <c r="L63" s="2315"/>
      <c r="M63" s="2082"/>
      <c r="N63" s="2082"/>
      <c r="O63" s="2082"/>
      <c r="P63" s="2082"/>
      <c r="Q63" s="2082"/>
      <c r="R63" s="2082"/>
      <c r="S63" s="2082"/>
      <c r="T63" s="2082"/>
      <c r="U63" s="2082"/>
      <c r="V63" s="2082"/>
      <c r="W63" s="2082"/>
      <c r="X63" s="2082"/>
      <c r="Y63" s="2082"/>
    </row>
    <row r="64" spans="1:25" ht="25.5" customHeight="1" thickBot="1" x14ac:dyDescent="0.35">
      <c r="E64" s="2274"/>
      <c r="F64" s="2286"/>
      <c r="G64" s="2292"/>
      <c r="H64" s="943" t="e">
        <f>G61-G62</f>
        <v>#DIV/0!</v>
      </c>
      <c r="I64" s="2298"/>
      <c r="J64" s="2292"/>
      <c r="K64" s="2016">
        <f>J60-J62</f>
        <v>-37530954.984209873</v>
      </c>
      <c r="L64" s="1464" t="s">
        <v>1866</v>
      </c>
      <c r="M64" s="2082"/>
      <c r="N64" s="2082"/>
      <c r="O64" s="2082"/>
      <c r="P64" s="2082"/>
      <c r="Q64" s="2082"/>
      <c r="R64" s="2082"/>
      <c r="S64" s="2082"/>
      <c r="T64" s="2082"/>
      <c r="U64" s="2082"/>
      <c r="V64" s="2082"/>
      <c r="W64" s="2082"/>
      <c r="X64" s="2082"/>
      <c r="Y64" s="2082"/>
    </row>
    <row r="65" spans="1:25" ht="21" customHeight="1" x14ac:dyDescent="0.3">
      <c r="E65" s="2274"/>
      <c r="F65" s="2287" t="s">
        <v>1261</v>
      </c>
      <c r="G65" s="2290" t="e">
        <f>I26+L36</f>
        <v>#DIV/0!</v>
      </c>
      <c r="H65" s="1622" t="e">
        <f>G59-G65</f>
        <v>#DIV/0!</v>
      </c>
      <c r="I65" s="2296" t="s">
        <v>1261</v>
      </c>
      <c r="J65" s="2290">
        <f>Q53+Q54+Q55+Q56</f>
        <v>1538740.1609870037</v>
      </c>
      <c r="K65" s="1622">
        <f>J59-J65</f>
        <v>17759110.494834434</v>
      </c>
      <c r="L65" s="1467" t="s">
        <v>1867</v>
      </c>
      <c r="M65" s="2082"/>
      <c r="N65" s="2082"/>
      <c r="O65" s="2082"/>
      <c r="P65" s="2082"/>
      <c r="Q65" s="2082"/>
      <c r="R65" s="2082"/>
      <c r="S65" s="2082"/>
      <c r="T65" s="2082"/>
      <c r="U65" s="2082"/>
      <c r="V65" s="2082"/>
      <c r="W65" s="2082"/>
      <c r="X65" s="2082"/>
      <c r="Y65" s="2082"/>
    </row>
    <row r="66" spans="1:25" ht="20.25" customHeight="1" x14ac:dyDescent="0.3">
      <c r="E66" s="2274"/>
      <c r="F66" s="2288"/>
      <c r="G66" s="2291"/>
      <c r="H66" s="1875" t="e">
        <f>G60-G65</f>
        <v>#DIV/0!</v>
      </c>
      <c r="I66" s="2297"/>
      <c r="J66" s="2291"/>
      <c r="K66" s="2299">
        <f>J60-J65</f>
        <v>40779577.223401554</v>
      </c>
      <c r="L66" s="2301" t="s">
        <v>1907</v>
      </c>
      <c r="M66" s="2082"/>
      <c r="N66" s="2082"/>
      <c r="O66" s="2082"/>
      <c r="P66" s="2082"/>
      <c r="Q66" s="2082"/>
      <c r="R66" s="2082"/>
      <c r="S66" s="2082"/>
      <c r="T66" s="2082"/>
      <c r="U66" s="2082"/>
      <c r="V66" s="2082"/>
      <c r="W66" s="2082"/>
      <c r="X66" s="2082"/>
      <c r="Y66" s="2082"/>
    </row>
    <row r="67" spans="1:25" ht="18.75" customHeight="1" thickBot="1" x14ac:dyDescent="0.35">
      <c r="A67" s="122"/>
      <c r="B67" s="911"/>
      <c r="C67" s="911"/>
      <c r="D67" s="911"/>
      <c r="E67" s="2271"/>
      <c r="F67" s="2289"/>
      <c r="G67" s="2292"/>
      <c r="H67" s="943" t="e">
        <f>G61-G65</f>
        <v>#DIV/0!</v>
      </c>
      <c r="I67" s="2298"/>
      <c r="J67" s="2292"/>
      <c r="K67" s="2300"/>
      <c r="L67" s="2302"/>
      <c r="M67" s="2082"/>
      <c r="N67" s="2082"/>
      <c r="O67" s="2082"/>
      <c r="P67" s="2082"/>
      <c r="Q67" s="2082"/>
      <c r="R67" s="2082"/>
      <c r="S67" s="2082"/>
      <c r="T67" s="2082"/>
      <c r="U67" s="2082"/>
      <c r="V67" s="2082"/>
      <c r="W67" s="2082"/>
      <c r="X67" s="2082"/>
      <c r="Y67" s="2082"/>
    </row>
    <row r="68" spans="1:25" ht="38.25" customHeight="1" thickBot="1" x14ac:dyDescent="0.35">
      <c r="A68" s="122"/>
      <c r="B68" s="911"/>
      <c r="C68" s="911"/>
      <c r="D68" s="911"/>
      <c r="E68" s="2270" t="s">
        <v>1796</v>
      </c>
      <c r="F68" s="2046" t="s">
        <v>1849</v>
      </c>
      <c r="G68" s="2046" t="s">
        <v>1848</v>
      </c>
      <c r="H68" s="2055"/>
      <c r="I68" s="2055"/>
      <c r="J68" s="97"/>
      <c r="K68" s="97"/>
      <c r="L68" s="2161"/>
      <c r="M68" s="37"/>
      <c r="N68" s="2082"/>
      <c r="O68" s="2082"/>
      <c r="P68" s="2082"/>
      <c r="Q68" s="2082"/>
      <c r="R68" s="2082"/>
      <c r="S68" s="2082"/>
      <c r="T68" s="2082"/>
      <c r="U68" s="2082"/>
      <c r="V68" s="2082"/>
      <c r="W68" s="2082"/>
      <c r="X68" s="2082"/>
      <c r="Y68" s="2082"/>
    </row>
    <row r="69" spans="1:25" ht="39.75" customHeight="1" thickBot="1" x14ac:dyDescent="0.35">
      <c r="A69" s="122"/>
      <c r="B69" s="911"/>
      <c r="C69" s="911"/>
      <c r="D69" s="911"/>
      <c r="E69" s="2271"/>
      <c r="F69" s="1723" t="s">
        <v>1870</v>
      </c>
      <c r="G69" s="2160" t="e">
        <f>VLOOKUP(F69,'Cost-Benefit Tab_Digester'!A266:B271,2,FALSE)</f>
        <v>#DIV/0!</v>
      </c>
      <c r="H69" s="2161"/>
      <c r="I69" s="2055"/>
      <c r="J69" s="2161"/>
      <c r="K69" s="2161"/>
      <c r="L69" s="2161"/>
      <c r="M69" s="37"/>
      <c r="N69" s="2082"/>
      <c r="O69" s="2082"/>
      <c r="P69" s="2082"/>
      <c r="Q69" s="2082"/>
      <c r="R69" s="2082"/>
      <c r="S69" s="2082"/>
      <c r="T69" s="2082"/>
      <c r="U69" s="2082"/>
      <c r="V69" s="2082"/>
      <c r="W69" s="2082"/>
      <c r="X69" s="2082"/>
      <c r="Y69" s="2082"/>
    </row>
    <row r="70" spans="1:25" x14ac:dyDescent="0.25">
      <c r="H70" s="56"/>
      <c r="I70" s="56"/>
      <c r="J70" s="56"/>
      <c r="K70" s="56"/>
      <c r="L70" s="56"/>
      <c r="M70" s="3"/>
      <c r="N70" s="230"/>
      <c r="O70" s="230"/>
      <c r="P70" s="230"/>
      <c r="Q70" s="230"/>
      <c r="U70" s="230"/>
    </row>
    <row r="71" spans="1:25" x14ac:dyDescent="0.25">
      <c r="L71" s="230"/>
      <c r="M71" s="230"/>
      <c r="N71" s="230"/>
      <c r="O71" s="230"/>
      <c r="P71" s="230"/>
      <c r="Q71" s="230"/>
      <c r="U71" s="230"/>
    </row>
    <row r="72" spans="1:25" x14ac:dyDescent="0.25">
      <c r="L72" s="230"/>
      <c r="M72" s="230"/>
      <c r="N72" s="230"/>
      <c r="O72" s="230"/>
      <c r="P72" s="230"/>
      <c r="Q72" s="230"/>
      <c r="U72" s="230"/>
    </row>
    <row r="73" spans="1:25" x14ac:dyDescent="0.25">
      <c r="L73" s="230"/>
      <c r="M73" s="230"/>
      <c r="N73" s="230"/>
      <c r="O73" s="230"/>
      <c r="P73" s="230"/>
      <c r="Q73" s="230"/>
    </row>
    <row r="74" spans="1:25" x14ac:dyDescent="0.25">
      <c r="L74" s="230"/>
      <c r="M74" s="230"/>
      <c r="N74" s="230"/>
      <c r="O74" s="230"/>
      <c r="P74" s="230"/>
      <c r="Q74" s="230"/>
    </row>
    <row r="75" spans="1:25" x14ac:dyDescent="0.25">
      <c r="L75" s="230"/>
      <c r="M75" s="230"/>
      <c r="N75" s="230"/>
      <c r="O75" s="230"/>
      <c r="P75" s="230"/>
      <c r="Q75" s="230"/>
    </row>
    <row r="76" spans="1:25" x14ac:dyDescent="0.25">
      <c r="L76" s="230"/>
      <c r="M76" s="230"/>
      <c r="N76" s="230"/>
      <c r="O76" s="230"/>
      <c r="P76" s="230"/>
      <c r="Q76" s="230"/>
    </row>
    <row r="77" spans="1:25" x14ac:dyDescent="0.25">
      <c r="L77" s="230"/>
      <c r="M77" s="230"/>
      <c r="N77" s="230"/>
      <c r="O77" s="230"/>
      <c r="P77" s="230"/>
      <c r="Q77" s="230"/>
    </row>
    <row r="78" spans="1:25" x14ac:dyDescent="0.25">
      <c r="L78" s="230"/>
      <c r="M78" s="230"/>
      <c r="N78" s="230"/>
      <c r="O78" s="230"/>
      <c r="P78" s="230"/>
      <c r="Q78" s="230"/>
    </row>
    <row r="79" spans="1:25" x14ac:dyDescent="0.25">
      <c r="E79" s="230"/>
      <c r="F79" s="230"/>
      <c r="G79" s="230"/>
      <c r="H79" s="230"/>
      <c r="I79" s="230"/>
      <c r="J79" s="230"/>
      <c r="K79" s="230"/>
      <c r="L79" s="230"/>
      <c r="M79" s="230"/>
      <c r="N79" s="230"/>
      <c r="O79" s="230"/>
      <c r="P79" s="230"/>
      <c r="Q79" s="230"/>
    </row>
    <row r="80" spans="1:25" x14ac:dyDescent="0.25">
      <c r="L80" s="230"/>
      <c r="M80" s="230"/>
      <c r="N80" s="230"/>
      <c r="O80" s="230"/>
      <c r="P80" s="230"/>
      <c r="Q80" s="230"/>
    </row>
    <row r="94" spans="5:21" x14ac:dyDescent="0.25">
      <c r="E94" s="230"/>
      <c r="G94" s="230"/>
      <c r="H94" s="230"/>
      <c r="I94" s="230"/>
      <c r="J94" s="230"/>
      <c r="K94" s="230"/>
      <c r="L94" s="230"/>
      <c r="M94" s="230"/>
      <c r="N94" s="230"/>
      <c r="O94" s="230"/>
      <c r="P94" s="230"/>
      <c r="Q94" s="230"/>
      <c r="U94" s="230"/>
    </row>
    <row r="95" spans="5:21" x14ac:dyDescent="0.25">
      <c r="E95" s="230"/>
      <c r="F95" s="230"/>
      <c r="G95" s="230"/>
      <c r="H95" s="230"/>
      <c r="I95" s="230"/>
      <c r="J95" s="230"/>
      <c r="K95" s="230"/>
      <c r="L95" s="230"/>
      <c r="M95" s="230"/>
      <c r="N95" s="230"/>
      <c r="O95" s="230"/>
      <c r="P95" s="230"/>
      <c r="Q95" s="230"/>
    </row>
    <row r="96" spans="5:21" x14ac:dyDescent="0.25">
      <c r="E96" s="230"/>
      <c r="F96" s="230"/>
      <c r="G96" s="230"/>
      <c r="H96" s="230"/>
      <c r="I96" s="230"/>
      <c r="J96" s="230"/>
      <c r="K96" s="230"/>
      <c r="L96" s="230"/>
      <c r="M96" s="230"/>
      <c r="N96" s="230"/>
      <c r="O96" s="230"/>
      <c r="P96" s="230"/>
      <c r="Q96" s="230"/>
    </row>
    <row r="97" spans="5:21" x14ac:dyDescent="0.25">
      <c r="E97" s="230"/>
      <c r="F97" s="230"/>
      <c r="G97" s="230"/>
      <c r="H97" s="230"/>
      <c r="I97" s="230"/>
      <c r="J97" s="230"/>
      <c r="K97" s="230"/>
      <c r="L97" s="230"/>
      <c r="M97" s="230"/>
      <c r="N97" s="230"/>
      <c r="O97" s="230"/>
      <c r="P97" s="230"/>
      <c r="Q97" s="230"/>
      <c r="U97" s="230"/>
    </row>
    <row r="98" spans="5:21" x14ac:dyDescent="0.25">
      <c r="E98" s="230"/>
      <c r="F98" s="230"/>
      <c r="G98" s="230"/>
      <c r="H98" s="230"/>
      <c r="I98" s="230"/>
      <c r="J98" s="230"/>
      <c r="K98" s="230"/>
      <c r="L98" s="230"/>
      <c r="M98" s="230"/>
      <c r="N98" s="230"/>
      <c r="O98" s="230"/>
      <c r="P98" s="230"/>
      <c r="Q98" s="230"/>
    </row>
    <row r="99" spans="5:21" x14ac:dyDescent="0.25">
      <c r="E99" s="230"/>
      <c r="F99" s="230"/>
      <c r="G99" s="230"/>
      <c r="H99" s="230"/>
      <c r="I99" s="230"/>
      <c r="J99" s="230"/>
      <c r="K99" s="230"/>
      <c r="L99" s="230"/>
      <c r="M99" s="230"/>
      <c r="N99" s="230"/>
      <c r="O99" s="230"/>
      <c r="P99" s="230"/>
      <c r="Q99" s="230"/>
    </row>
    <row r="100" spans="5:21" x14ac:dyDescent="0.25">
      <c r="E100" s="230"/>
      <c r="F100" s="230"/>
      <c r="G100" s="230"/>
      <c r="H100" s="230"/>
      <c r="I100" s="230"/>
      <c r="J100" s="230"/>
      <c r="K100" s="230"/>
      <c r="L100" s="230"/>
      <c r="M100" s="230"/>
      <c r="N100" s="230"/>
      <c r="O100" s="230"/>
      <c r="P100" s="230"/>
      <c r="Q100" s="230"/>
    </row>
    <row r="101" spans="5:21" x14ac:dyDescent="0.25">
      <c r="E101" s="230"/>
      <c r="F101" s="230"/>
      <c r="G101" s="230"/>
      <c r="H101" s="230"/>
      <c r="I101" s="230"/>
      <c r="J101" s="230"/>
      <c r="K101" s="230"/>
      <c r="L101" s="230"/>
      <c r="M101" s="230"/>
      <c r="N101" s="230"/>
      <c r="O101" s="230"/>
      <c r="P101" s="230"/>
      <c r="Q101" s="230"/>
    </row>
    <row r="102" spans="5:21" ht="18.75" x14ac:dyDescent="0.25">
      <c r="E102" s="230"/>
      <c r="F102" s="230"/>
      <c r="G102" s="230"/>
      <c r="H102" s="230"/>
      <c r="I102" s="230"/>
      <c r="J102" s="230"/>
      <c r="K102" s="230"/>
      <c r="L102" s="230"/>
      <c r="M102" s="230"/>
      <c r="N102" s="230"/>
      <c r="O102" s="230"/>
      <c r="P102" s="230"/>
      <c r="Q102" s="230"/>
      <c r="T102" s="285"/>
      <c r="U102" s="279"/>
    </row>
    <row r="103" spans="5:21" x14ac:dyDescent="0.25">
      <c r="E103" s="230"/>
      <c r="F103" s="230"/>
      <c r="G103" s="230"/>
      <c r="H103" s="230"/>
      <c r="I103" s="230"/>
      <c r="J103" s="230"/>
      <c r="K103" s="230"/>
      <c r="L103" s="230"/>
      <c r="M103" s="230"/>
      <c r="N103" s="230"/>
      <c r="O103" s="230"/>
      <c r="P103" s="230"/>
      <c r="Q103" s="230"/>
    </row>
    <row r="104" spans="5:21" x14ac:dyDescent="0.25">
      <c r="E104" s="230"/>
      <c r="F104" s="230"/>
      <c r="G104" s="230"/>
      <c r="H104" s="230"/>
      <c r="I104" s="230"/>
      <c r="J104" s="230"/>
      <c r="K104" s="230"/>
      <c r="L104" s="230"/>
      <c r="M104" s="230"/>
      <c r="N104" s="230"/>
      <c r="O104" s="230"/>
      <c r="P104" s="230"/>
      <c r="Q104" s="230"/>
    </row>
    <row r="105" spans="5:21" x14ac:dyDescent="0.25">
      <c r="E105" s="230"/>
      <c r="F105" s="230"/>
      <c r="G105" s="230"/>
      <c r="H105" s="230"/>
      <c r="I105" s="230"/>
      <c r="J105" s="230"/>
      <c r="K105" s="230"/>
      <c r="L105" s="230"/>
      <c r="M105" s="230"/>
      <c r="N105" s="230"/>
      <c r="O105" s="230"/>
      <c r="P105" s="230"/>
      <c r="Q105" s="230"/>
    </row>
    <row r="106" spans="5:21" x14ac:dyDescent="0.25">
      <c r="F106" s="230"/>
    </row>
    <row r="116" spans="12:14" ht="18.75" x14ac:dyDescent="0.25">
      <c r="L116" s="949"/>
      <c r="M116" s="10"/>
    </row>
    <row r="117" spans="12:14" ht="18.75" x14ac:dyDescent="0.25">
      <c r="L117" s="949"/>
      <c r="M117" s="10"/>
      <c r="N117" s="230"/>
    </row>
    <row r="118" spans="12:14" ht="18.75" x14ac:dyDescent="0.25">
      <c r="L118" s="949"/>
      <c r="M118" s="10"/>
      <c r="N118" s="230"/>
    </row>
    <row r="119" spans="12:14" ht="18.75" x14ac:dyDescent="0.25">
      <c r="L119" s="949"/>
      <c r="M119" s="10"/>
    </row>
    <row r="120" spans="12:14" x14ac:dyDescent="0.25">
      <c r="L120" s="230"/>
      <c r="M120" s="230"/>
      <c r="N120" s="230"/>
    </row>
    <row r="121" spans="12:14" x14ac:dyDescent="0.25">
      <c r="L121" s="230"/>
      <c r="M121" s="230"/>
      <c r="N121" s="230"/>
    </row>
  </sheetData>
  <mergeCells count="89">
    <mergeCell ref="A32:A37"/>
    <mergeCell ref="H36:H37"/>
    <mergeCell ref="I36:I37"/>
    <mergeCell ref="E36:E37"/>
    <mergeCell ref="F36:F37"/>
    <mergeCell ref="G36:G37"/>
    <mergeCell ref="AN29:AT29"/>
    <mergeCell ref="T10:T14"/>
    <mergeCell ref="E9:E14"/>
    <mergeCell ref="F9:F14"/>
    <mergeCell ref="E17:F17"/>
    <mergeCell ref="E29:E32"/>
    <mergeCell ref="G30:I30"/>
    <mergeCell ref="O10:O14"/>
    <mergeCell ref="E19:E20"/>
    <mergeCell ref="E15:E16"/>
    <mergeCell ref="E18:F18"/>
    <mergeCell ref="E27:M27"/>
    <mergeCell ref="G31:I31"/>
    <mergeCell ref="E21:M21"/>
    <mergeCell ref="E24:I24"/>
    <mergeCell ref="E28:M28"/>
    <mergeCell ref="AY31:BA31"/>
    <mergeCell ref="AN30:AQ31"/>
    <mergeCell ref="AR30:AT30"/>
    <mergeCell ref="AR31:AT31"/>
    <mergeCell ref="AY30:BA30"/>
    <mergeCell ref="AU30:AX31"/>
    <mergeCell ref="A1:S3"/>
    <mergeCell ref="A6:C6"/>
    <mergeCell ref="A7:A8"/>
    <mergeCell ref="G10:G14"/>
    <mergeCell ref="H10:H14"/>
    <mergeCell ref="K10:K14"/>
    <mergeCell ref="L10:L14"/>
    <mergeCell ref="P10:P14"/>
    <mergeCell ref="S10:S14"/>
    <mergeCell ref="B7:B8"/>
    <mergeCell ref="C7:C8"/>
    <mergeCell ref="B14:C14"/>
    <mergeCell ref="G7:I7"/>
    <mergeCell ref="A10:A30"/>
    <mergeCell ref="B10:C10"/>
    <mergeCell ref="B19:C19"/>
    <mergeCell ref="B24:C24"/>
    <mergeCell ref="B29:C29"/>
    <mergeCell ref="G34:G35"/>
    <mergeCell ref="F34:F35"/>
    <mergeCell ref="E33:M33"/>
    <mergeCell ref="G32:I32"/>
    <mergeCell ref="G29:I29"/>
    <mergeCell ref="E34:E35"/>
    <mergeCell ref="B30:C30"/>
    <mergeCell ref="H34:H35"/>
    <mergeCell ref="I34:I35"/>
    <mergeCell ref="L34:L35"/>
    <mergeCell ref="M34:M35"/>
    <mergeCell ref="J34:J35"/>
    <mergeCell ref="K34:K35"/>
    <mergeCell ref="L36:L37"/>
    <mergeCell ref="M36:M37"/>
    <mergeCell ref="K59:K61"/>
    <mergeCell ref="L62:L63"/>
    <mergeCell ref="J41:K41"/>
    <mergeCell ref="J36:J37"/>
    <mergeCell ref="K36:K37"/>
    <mergeCell ref="K66:K67"/>
    <mergeCell ref="L66:L67"/>
    <mergeCell ref="I60:I61"/>
    <mergeCell ref="J60:J61"/>
    <mergeCell ref="I62:I64"/>
    <mergeCell ref="J62:J64"/>
    <mergeCell ref="K62:K63"/>
    <mergeCell ref="A38:A40"/>
    <mergeCell ref="E6:Y6"/>
    <mergeCell ref="K7:Y7"/>
    <mergeCell ref="E8:Y8"/>
    <mergeCell ref="E68:E69"/>
    <mergeCell ref="E59:E67"/>
    <mergeCell ref="E39:E45"/>
    <mergeCell ref="E46:E52"/>
    <mergeCell ref="E53:E57"/>
    <mergeCell ref="F62:F64"/>
    <mergeCell ref="F65:F67"/>
    <mergeCell ref="G62:G64"/>
    <mergeCell ref="G65:G67"/>
    <mergeCell ref="H59:H61"/>
    <mergeCell ref="I65:I67"/>
    <mergeCell ref="J65:J67"/>
  </mergeCells>
  <dataValidations xWindow="626" yWindow="444" count="58">
    <dataValidation allowBlank="1" showInputMessage="1" showErrorMessage="1" promptTitle="INPUT Total Poplution per Area" prompt="Please INPUT total popilation per area" sqref="C9" xr:uid="{00000000-0002-0000-0200-00000A000000}"/>
    <dataValidation allowBlank="1" showInputMessage="1" showErrorMessage="1" promptTitle="Capacity of Existing Digester" prompt="Please INPUT total capacity of existing digesters" sqref="C20 C11" xr:uid="{00000000-0002-0000-0200-00000B000000}"/>
    <dataValidation allowBlank="1" showInputMessage="1" showErrorMessage="1" promptTitle="Sludge amount currently treating" prompt="Please INPUT amount of total sludge currently being treated by existing digesters" sqref="C12" xr:uid="{00000000-0002-0000-0200-00000C000000}"/>
    <dataValidation allowBlank="1" showInputMessage="1" showErrorMessage="1" promptTitle="Average Outdoor Temperature" prompt="Please Input average outdoor temperature (°F)" sqref="C13" xr:uid="{0CDDB19A-E5A9-4524-9169-6C9DC55E4D0A}"/>
    <dataValidation type="list" allowBlank="1" showInputMessage="1" showErrorMessage="1" sqref="S10" xr:uid="{15D8CE6D-C256-49F7-A4A0-0F653B146E9C}">
      <formula1>FOGD</formula1>
    </dataValidation>
    <dataValidation type="list" allowBlank="1" showInputMessage="1" showErrorMessage="1" promptTitle="If you choose User Input" prompt="In case of User Input (Corporate Campus): user need to input value in 'Waste Mass Calculations' tab (yellow highlight) for food waste" sqref="G10" xr:uid="{BFC7209B-6545-499F-B448-82C09BE2B514}">
      <formula1>FF</formula1>
    </dataValidation>
    <dataValidation allowBlank="1" showInputMessage="1" showErrorMessage="1" promptTitle="Optimal Ratio for Codigestion" prompt="1. Food: Sludge= 40:60 (Chow et al, 2020)_x000a_2. Sludge:FOG= 52:48 (Chow et al, 2020)" sqref="F9" xr:uid="{6C0C7436-D57C-466F-8982-998ECA1FC810}"/>
    <dataValidation type="list" errorStyle="information" allowBlank="1" showInputMessage="1" showErrorMessage="1" error="Choose AD, Landfill or Composting based on with which baseline you want to compare" sqref="G26" xr:uid="{82D79227-70CF-4FB8-8712-C9CC6545093B}">
      <formula1>CTTF</formula1>
    </dataValidation>
    <dataValidation allowBlank="1" showInputMessage="1" showErrorMessage="1" promptTitle="Amount of Cow Manure" prompt="Please INPUT amount of total manure" sqref="C21" xr:uid="{53063039-5EEC-44D5-914E-C41E6B6CBAC1}"/>
    <dataValidation allowBlank="1" showInputMessage="1" showErrorMessage="1" promptTitle="Amount of Crop Residue" prompt="Please INPUT amount of total Crop residue" sqref="C22:C24" xr:uid="{251CA827-54D5-4524-BCC2-2A91CA4D0FD4}"/>
    <dataValidation allowBlank="1" showInputMessage="1" showErrorMessage="1" promptTitle="To see market availability" prompt="To check type of vehicles available in market:_x000a_https://afdc.energy.gov/vehicles/search/" sqref="E15" xr:uid="{B83811FE-D4E5-4EAC-B231-696C01927802}"/>
    <dataValidation type="list" allowBlank="1" showInputMessage="1" showErrorMessage="1" promptTitle="Applies to all type digester" prompt="This option is applied regardless of the type of digester" sqref="F31" xr:uid="{B7552AEF-39FA-4D17-9279-3B946ADB293B}">
      <formula1>STOO</formula1>
    </dataValidation>
    <dataValidation type="list" allowBlank="1" showInputMessage="1" showErrorMessage="1" promptTitle="In case you choose User Input" prompt="In case of User Input (Corporate Campus): user need to input value in 'Waste Mass Calculations' tab (yellow highlight) for Yard waste" sqref="K10" xr:uid="{6578727E-3A99-4866-AD1B-414E38A87790}">
      <formula1>YY</formula1>
    </dataValidation>
    <dataValidation type="list" allowBlank="1" showInputMessage="1" showErrorMessage="1" sqref="O10 K26" xr:uid="{FFC39D8A-94F4-4668-8995-3E14DF9C05BA}">
      <formula1>AO</formula1>
    </dataValidation>
    <dataValidation allowBlank="1" showInputMessage="1" showErrorMessage="1" promptTitle="Cost of Electricity" prompt="Optional INPUT: Please INPUT cost of electricity in $/Kwh if you want." sqref="C31" xr:uid="{12CD7DF0-77B4-4DF5-9D62-83529F04394B}"/>
    <dataValidation type="list" allowBlank="1" showInputMessage="1" showErrorMessage="1" sqref="F32" xr:uid="{0D1768FF-841E-4FDC-ABBD-DAE4C230C3D5}">
      <formula1>DT</formula1>
    </dataValidation>
    <dataValidation type="list" allowBlank="1" showInputMessage="1" showErrorMessage="1" promptTitle="Type and % of EV" prompt="Choose the % of EV vehicles you want to refuel by generated biogas.Please take care that the total % of choices (EV+RNG+Electricity+NG)  should not exceed 100%. " sqref="F16" xr:uid="{80D85B55-ECCB-445E-9E29-851477194E2C}">
      <formula1>VEV</formula1>
    </dataValidation>
    <dataValidation type="list" allowBlank="1" showInputMessage="1" showErrorMessage="1" promptTitle="Type and % of RNG " prompt="Choose the type and % of RNG vehicle you want to refuel. Please take care that the total % of choices (EV+RNG+Electricity+NG) should not exceed 100%. " sqref="G16" xr:uid="{BE375DF4-5F3C-4E84-8AFE-CC631C51BF0B}">
      <formula1>VCNG</formula1>
    </dataValidation>
    <dataValidation type="list" allowBlank="1" showInputMessage="1" showErrorMessage="1" promptTitle="Type and % of Electricity" prompt="Choose the conversion way you want to generate electricity. Please take care that the total % of all choices (EV+RNG+Electricity+NG) should not exceed 100%. " sqref="H16" xr:uid="{88CB2425-43A8-4E1D-A621-8B4121827EE3}">
      <formula1>EVE</formula1>
    </dataValidation>
    <dataValidation type="list" allowBlank="1" showInputMessage="1" showErrorMessage="1" promptTitle="Type and % of Pipeline NG" prompt="Choose a way of Pipeline Natural Gas generation. Please take care that the total % of choices (EV+RNG+Electricity+NG) doesn't exceeds 100%." sqref="I16" xr:uid="{A45C8934-FB31-4823-AC7D-7F0E417EB8F2}">
      <formula1>PVE</formula1>
    </dataValidation>
    <dataValidation allowBlank="1" showInputMessage="1" showErrorMessage="1" promptTitle="Put numbers of COWs only" prompt="If no cow, then put '0'" sqref="C26" xr:uid="{41325790-A42D-4910-96E7-964C2FD61B05}"/>
    <dataValidation allowBlank="1" showInputMessage="1" showErrorMessage="1" promptTitle="Put numbers of PIGs only" prompt="If no Pig, then put '0'" sqref="C27" xr:uid="{E6608E27-FD2F-4898-91CC-088394BFC318}"/>
    <dataValidation allowBlank="1" showInputMessage="1" showErrorMessage="1" promptTitle="Put numbers of CHICKENs only" prompt="If no chicken, then put '0'" sqref="C28" xr:uid="{0B9DABED-56D0-40B6-9AF3-C0735924329E}"/>
    <dataValidation allowBlank="1" showInputMessage="1" showErrorMessage="1" promptTitle="Put Acres of Crop " prompt="Acres of crop to measure Crop Residue" sqref="C25" xr:uid="{3D5CC971-81A3-41E9-B901-F9CB65CE6D25}"/>
    <dataValidation allowBlank="1" showInputMessage="1" showErrorMessage="1" promptTitle="Total Gas conversion Capacity" prompt="Please INPUT total existing gas conversion capacity, in kWh. If no gas conversion to electricity exists, then put '0'._x000a_" sqref="C15" xr:uid="{1BEE7E82-2EBE-4AE4-880B-712B8751AC3D}"/>
    <dataValidation allowBlank="1" showInputMessage="1" showErrorMessage="1" promptTitle="INPUT used capacity in Kwh" prompt="Please put zero if not electricity or if nothing used " sqref="C16" xr:uid="{CE1750EF-C57B-4EC8-9F07-8F1C56608D48}"/>
    <dataValidation allowBlank="1" showInputMessage="1" showErrorMessage="1" promptTitle="Total Gas conversion Capacity" prompt="Please INPUT total gas conversion capacity to CNG, in m3. If no gas conversion to CNG exists then put '0'._x000a_" sqref="C17" xr:uid="{7CF71944-B620-4E5A-91B2-A0F940D236A9}"/>
    <dataValidation allowBlank="1" showInputMessage="1" showErrorMessage="1" promptTitle="INPUT used capacity in m3" prompt="Please put zero if not CNG conversion exists " sqref="C18" xr:uid="{85BDBF67-890A-489A-B3FD-ACB04D3BAFEE}"/>
    <dataValidation allowBlank="1" showInputMessage="1" showErrorMessage="1" promptTitle="Food waste info." prompt="food waste addition should be limited to 10-12% " sqref="H10:H14" xr:uid="{2C17382D-349B-4EC6-94D9-317F6232E251}"/>
    <dataValidation type="list" allowBlank="1" showInputMessage="1" showErrorMessage="1" promptTitle="Biogas Conversion AD" prompt="Choose a type of cost for Biogas conversion for AD. If already refueling station is there then choose without refueling station. _x000a_For Mid-range values of MW (1-5 MW): Engines-Cheaper-less effective;Turbine-Costly-more effective; Fuel cells-in between" sqref="E19:E20" xr:uid="{262E2BCE-1825-4E4A-80F6-B04960659DCF}">
      <formula1>TSS</formula1>
    </dataValidation>
    <dataValidation allowBlank="1" showInputMessage="1" showErrorMessage="1" promptTitle="INPUT Distance" prompt="Please INPUT the distance between waste and digester in miles" sqref="C32" xr:uid="{2C1AF4DC-B668-45C9-A6A7-88DF330FFA70}"/>
    <dataValidation allowBlank="1" showInputMessage="1" showErrorMessage="1" promptTitle="INPUT Distance" prompt="Please INPUT the distance from waste to landfill in Miles." sqref="C33" xr:uid="{2D626D4E-210F-443A-B4B9-81B06192744F}"/>
    <dataValidation allowBlank="1" showInputMessage="1" showErrorMessage="1" promptTitle="INPUT distance" prompt="Please input distance from Waste to Compost facility" sqref="C34" xr:uid="{D8D80A51-A168-4902-B29E-8B07BF911D13}"/>
    <dataValidation type="list" allowBlank="1" showInputMessage="1" showErrorMessage="1" promptTitle="Choose the type of vehicle" prompt="Choose the type of vehicle you have choosen before that is used to carry waste._x000a_" sqref="F39" xr:uid="{94BCF2F4-C13C-41AA-8EC8-34993EA107E4}">
      <formula1>WV</formula1>
    </dataValidation>
    <dataValidation allowBlank="1" showInputMessage="1" showErrorMessage="1" promptTitle="Eligibility for Credits" prompt="LCFS: Sold in California, Washington only_x000a_CFS: Sold in Oregon only_x000a_Carbon Credit: Sold in California, Connecticut, Delaware, Maine, Maryland, Massachusetts, New Hampshire, New Jersey, New York, Rhode Island, Vermont, and Virginia" sqref="G59" xr:uid="{1FB826A8-C113-49DB-B388-FBEFB95F409B}"/>
    <dataValidation type="list" allowBlank="1" showInputMessage="1" showErrorMessage="1" promptTitle="Baseline (landfill/Composting)" prompt="Choose the baseline landfill or Composting based on type of Anaerobic Digestion.There are three comparison option available per baseline, WWTP AD with credit, WWTP AD without credit and farm/industrial AD. " sqref="F69" xr:uid="{D662B2E1-364E-4C0D-8DBA-1A4932E88E47}">
      <formula1>FCFE</formula1>
    </dataValidation>
    <dataValidation allowBlank="1" showInputMessage="1" showErrorMessage="1" promptTitle="Annual Evapotranspiration" prompt="For Annual evapotranspiration value, visit:_x000a_https://www.cocorahs.org/ViewData/StationWaterBalanceChart.aspx_x000a_Select date range (Jan 1st-Dec 31st) for multiple years for better result, volume will appear, divide it by number of total year to get annual inch" sqref="C40" xr:uid="{8AEAEA72-1ED4-4848-BDEF-03939E676887}"/>
    <dataValidation allowBlank="1" showInputMessage="1" showErrorMessage="1" promptTitle="Landfill Area" prompt="Please input total landfill area in Acres." sqref="C38" xr:uid="{3BAC5842-637B-4B2E-9081-10DA934B3364}"/>
    <dataValidation allowBlank="1" showInputMessage="1" showErrorMessage="1" promptTitle="Annual Precipitation" prompt="Please input annual precipitation in inches. " sqref="C39" xr:uid="{E66C8BFD-CD47-4041-88C0-3FE86B304E2F}"/>
    <dataValidation type="list" allowBlank="1" showInputMessage="1" showErrorMessage="1" promptTitle="Choose Preprocessing" prompt="Choose the same preprocessing you added before for adding emissions and their cost/benefit._x000a_" sqref="F40" xr:uid="{E3974019-B09C-4ED1-B1CC-B92D4FF498F8}">
      <formula1>PRO</formula1>
    </dataValidation>
    <dataValidation type="list" allowBlank="1" showInputMessage="1" showErrorMessage="1" promptTitle="Choose type of AD" prompt="Choose Farm or Industrial type of AD for emission cost same as you made choice before." sqref="F42" xr:uid="{474036F0-5AB7-4185-A462-9B5A4D94E8AA}">
      <formula1>AOPN</formula1>
    </dataValidation>
    <dataValidation type="list" allowBlank="1" showInputMessage="1" showErrorMessage="1" promptTitle="Choose Vehicle-Landfill Baseline" prompt="Choose the type of waste carrying vehicle for landfill baseline, which will be compared to AD for emission cost/benefit. " sqref="F49" xr:uid="{009B146F-55A8-4450-A075-D22C0B76340C}">
      <formula1>LVOE</formula1>
    </dataValidation>
    <dataValidation type="list" allowBlank="1" showInputMessage="1" showErrorMessage="1" promptTitle="Choose Biogas Conversion" prompt="Choose the biogas conversion technique for Landfill Baseline, which will be compared with AD for Emission Cost/Benefit. If not electricity, then N/A." sqref="F50" xr:uid="{256FC7AA-72B5-455B-98B1-897AEAE7F4C3}">
      <formula1>BIOCLE</formula1>
    </dataValidation>
    <dataValidation type="list" allowBlank="1" showInputMessage="1" showErrorMessage="1" promptTitle="Choose Refueling Vehicle" prompt="Choose the vehicle type for Landfill baseline, which will be refueled by biogas, generated from Landfill to compare it with AD. If not vehicle fuel, then N/A." sqref="F51" xr:uid="{BE8B4EB2-4AA1-46E2-AA29-F4D84C644482}">
      <formula1>NEN</formula1>
    </dataValidation>
    <dataValidation type="list" allowBlank="1" showInputMessage="1" showErrorMessage="1" promptTitle="Choose Vehicle-Composting " prompt="Choose the type of waste carrying vehicle for composting baseline, which will be compared to AD for emission cost/benefit. " sqref="F56" xr:uid="{A58011BF-62EF-4F00-891E-F61687B56E4C}">
      <formula1>LOCE</formula1>
    </dataValidation>
    <dataValidation type="list" allowBlank="1" showInputMessage="1" showErrorMessage="1" promptTitle="Cost saved as Landfill Space" prompt="Choose your landfill location:_x000a_*National Avg. for USA_x000a_*Pacific part of USA_x000a_*Northeast part of USA_x000a_*Midwest part of USA_x000a_*Mountains/Plains of USA _x000a_*Southeast part of USA_x000a_*South Central part of USA_x000a_*If you input you value already then choose user input" sqref="F34:F35" xr:uid="{D0FED769-7C98-4FF0-AFCC-ED58546572FD}">
      <formula1>TIPE</formula1>
    </dataValidation>
    <dataValidation allowBlank="1" showInputMessage="1" showErrorMessage="1" promptTitle="Input Landfill Tipping Fee" prompt="For custom value of tipping fee, input the dollar/ton ($/ton of waste) value. Or put zero if you want to use available tipping fee values." sqref="C41" xr:uid="{76CED587-975B-4466-8C9D-5CEC75E79BDC}"/>
    <dataValidation allowBlank="1" showInputMessage="1" showErrorMessage="1" promptTitle="Input Compost Tipping Fee" prompt="For custom value of tipping fee, input the dollar/Ib trailer carries ($/trailer size in Ib) value. If not available then put 0 and use available values. " sqref="C42" xr:uid="{911474E3-2A57-464F-888E-333F9AEB9AC3}"/>
    <dataValidation type="list" allowBlank="1" showInputMessage="1" showErrorMessage="1" promptTitle="Choose Trailer Size" prompt="Choose the trailer size:_x000a_*10'_x000a_*12'-16'_x000a_*18'_x000a_*If already input your value then select user input value" sqref="F36:F37" xr:uid="{C7BA8989-3D0A-48C8-918B-2E3349F0AB7B}">
      <formula1>TCTFE</formula1>
    </dataValidation>
    <dataValidation allowBlank="1" showInputMessage="1" showErrorMessage="1" promptTitle="INPUT specific velocity-AD" prompt="Please input specific velocity for waste transport to Anaerobic Digester. If not available then put 30." sqref="C35" xr:uid="{C2362DC6-0208-4DC9-B21D-F8319FCB43DD}"/>
    <dataValidation allowBlank="1" showInputMessage="1" showErrorMessage="1" promptTitle="Total Cost Choice of AD-Landfill" prompt="This cell represents total cost/benefit of WWTP AD (eligible for credits and current vehicle type is Diesel)-Landfill Baseline." sqref="H62" xr:uid="{7FE3F2E4-7677-4EE3-8CFC-846378A84C10}"/>
    <dataValidation allowBlank="1" showInputMessage="1" showErrorMessage="1" promptTitle="Total Cost Choice of AD-Landfill" prompt="This cell represents total cost/benefit of WWTP AD (non-eligible for credits and current vehicle is gasoline)-Landfill Baseline." sqref="H63" xr:uid="{A2CC2828-8D8D-4840-96E9-FE2DC021B65A}"/>
    <dataValidation allowBlank="1" showInputMessage="1" showErrorMessage="1" promptTitle="Total Cost Choice of AD-Landfill" prompt="This cell represents total cost/benefit of Farm/Industrial AD-Landfill Baseline." sqref="H64" xr:uid="{60843A6B-5232-4E12-A99C-B763E3C07953}"/>
    <dataValidation allowBlank="1" showInputMessage="1" showErrorMessage="1" promptTitle="Total Cost Choice of AD-Compost" prompt="This cell represents total cost/benefit of WWTP AD (eligible for credits and current vehicle is diesel)-Composting Baseline." sqref="H65" xr:uid="{D7C724C2-51E4-4ED4-957E-42D0A7558F4B}"/>
    <dataValidation allowBlank="1" showInputMessage="1" showErrorMessage="1" promptTitle="Total Cost Choice of AD-Compost" prompt="This cell represents total cost/benefit of WWTP AD (non-eligible for credits and current vehicle is Gasoline)-Composting Baseline." sqref="H66" xr:uid="{35EA15D1-B271-4402-8977-E860E94D37C8}"/>
    <dataValidation allowBlank="1" showInputMessage="1" showErrorMessage="1" promptTitle="Total Cost Choice of AD-Compost" prompt="This cell represents total cost/benefit of Farm/Industrial AD-Composting Baseline." sqref="H67" xr:uid="{FD12DA03-8313-4DA1-9229-FE4E9AD7A673}"/>
    <dataValidation allowBlank="1" showInputMessage="1" showErrorMessage="1" promptTitle="INPUT-specific velocity-Landfill" prompt="Please input specific velocity for waste transport to landfill. If not available then put 30." sqref="C36" xr:uid="{4A423315-7559-4539-B37B-CF8CA3EBCCAA}"/>
    <dataValidation allowBlank="1" showInputMessage="1" showErrorMessage="1" promptTitle="INPUT-specific velocity-Compost" prompt="Please input specific velocity for waste transport to Composting. If not available then put 30." sqref="C37" xr:uid="{E6691BD5-6C63-4794-B52B-1BD1F152CC71}"/>
  </dataValidations>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dimension ref="A1:Z70"/>
  <sheetViews>
    <sheetView zoomScale="73" zoomScaleNormal="73" workbookViewId="0">
      <selection activeCell="F41" sqref="F41"/>
    </sheetView>
  </sheetViews>
  <sheetFormatPr defaultRowHeight="15" x14ac:dyDescent="0.25"/>
  <cols>
    <col min="1" max="1" width="23.42578125" customWidth="1"/>
    <col min="2" max="2" width="26.140625" customWidth="1"/>
    <col min="3" max="3" width="17" customWidth="1"/>
    <col min="4" max="4" width="56.42578125" customWidth="1"/>
    <col min="5" max="5" width="31.5703125" customWidth="1"/>
    <col min="6" max="6" width="21" customWidth="1"/>
    <col min="7" max="7" width="21.5703125" customWidth="1"/>
    <col min="8" max="8" width="21" customWidth="1"/>
    <col min="9" max="9" width="21.5703125" customWidth="1"/>
    <col min="10" max="10" width="22.140625" customWidth="1"/>
    <col min="11" max="11" width="21.140625" customWidth="1"/>
    <col min="12" max="12" width="21.140625" style="230" customWidth="1"/>
    <col min="13" max="13" width="32.5703125" style="230" customWidth="1"/>
    <col min="14" max="14" width="21.140625" style="230" customWidth="1"/>
    <col min="15" max="15" width="32.140625" style="230" customWidth="1"/>
    <col min="16" max="16" width="21.140625" style="230" customWidth="1"/>
    <col min="17" max="17" width="46" customWidth="1"/>
    <col min="18" max="18" width="27.28515625" customWidth="1"/>
    <col min="19" max="19" width="48.28515625" customWidth="1"/>
    <col min="20" max="20" width="35.85546875" customWidth="1"/>
    <col min="21" max="21" width="25" customWidth="1"/>
    <col min="22" max="22" width="24.28515625" customWidth="1"/>
    <col min="23" max="23" width="14" customWidth="1"/>
    <col min="24" max="24" width="13.85546875" customWidth="1"/>
    <col min="25" max="25" width="19.7109375" customWidth="1"/>
    <col min="26" max="26" width="22" customWidth="1"/>
  </cols>
  <sheetData>
    <row r="1" spans="1:22" ht="58.5" customHeight="1" thickBot="1" x14ac:dyDescent="0.4">
      <c r="A1" s="2403" t="s">
        <v>1610</v>
      </c>
      <c r="B1" s="2404"/>
      <c r="C1" s="2404"/>
      <c r="D1" s="2404"/>
      <c r="E1" s="2404"/>
      <c r="F1" s="2404"/>
      <c r="G1" s="2405"/>
      <c r="V1" s="282"/>
    </row>
    <row r="2" spans="1:22" ht="3.75" customHeight="1" thickBot="1" x14ac:dyDescent="0.3">
      <c r="V2" s="3"/>
    </row>
    <row r="3" spans="1:22" ht="72" customHeight="1" x14ac:dyDescent="0.25">
      <c r="A3" s="2422" t="s">
        <v>1609</v>
      </c>
      <c r="B3" s="2423"/>
      <c r="C3" s="2423"/>
      <c r="D3" s="2423"/>
      <c r="E3" s="2423"/>
      <c r="F3" s="2423"/>
      <c r="G3" s="2423"/>
      <c r="H3" s="2423"/>
      <c r="I3" s="2423"/>
      <c r="J3" s="2423"/>
      <c r="K3" s="2424"/>
      <c r="L3" s="3"/>
      <c r="M3" s="2413" t="s">
        <v>1915</v>
      </c>
      <c r="N3" s="2414"/>
      <c r="O3" s="2414"/>
      <c r="P3" s="2414"/>
      <c r="Q3" s="2415"/>
      <c r="V3" s="3"/>
    </row>
    <row r="4" spans="1:22" ht="31.5" customHeight="1" x14ac:dyDescent="0.25">
      <c r="A4" s="2425"/>
      <c r="B4" s="2426"/>
      <c r="C4" s="2426"/>
      <c r="D4" s="2426"/>
      <c r="E4" s="2426"/>
      <c r="F4" s="2426"/>
      <c r="G4" s="2426"/>
      <c r="H4" s="2426"/>
      <c r="I4" s="2426"/>
      <c r="J4" s="2426"/>
      <c r="K4" s="2427"/>
      <c r="L4" s="3"/>
      <c r="M4" s="1713" t="s">
        <v>13</v>
      </c>
      <c r="N4" s="261" t="s">
        <v>534</v>
      </c>
      <c r="O4" s="1719" t="s">
        <v>533</v>
      </c>
      <c r="P4" s="261" t="s">
        <v>1634</v>
      </c>
      <c r="Q4" s="21" t="s">
        <v>536</v>
      </c>
      <c r="V4" s="3"/>
    </row>
    <row r="5" spans="1:22" ht="15" customHeight="1" x14ac:dyDescent="0.25">
      <c r="A5" s="2425"/>
      <c r="B5" s="2426"/>
      <c r="C5" s="2426"/>
      <c r="D5" s="2426"/>
      <c r="E5" s="2426"/>
      <c r="F5" s="2426"/>
      <c r="G5" s="2426"/>
      <c r="H5" s="2426"/>
      <c r="I5" s="2426"/>
      <c r="J5" s="2426"/>
      <c r="K5" s="2427"/>
      <c r="L5" s="3"/>
      <c r="M5" s="1716" t="s">
        <v>245</v>
      </c>
      <c r="N5" s="296">
        <f>' QUICK OVERVIEW- Inputs&amp;Outputs'!$H$10</f>
        <v>0</v>
      </c>
      <c r="O5" s="1717">
        <v>20</v>
      </c>
      <c r="P5" s="1717">
        <f>N5/N9</f>
        <v>0</v>
      </c>
      <c r="Q5" s="2435">
        <f>(O5*P5)+(O6*P6)+(O7*P7)+(O8*P8)</f>
        <v>0</v>
      </c>
      <c r="V5" s="3"/>
    </row>
    <row r="6" spans="1:22" ht="15.75" customHeight="1" thickBot="1" x14ac:dyDescent="0.3">
      <c r="A6" s="2428"/>
      <c r="B6" s="2429"/>
      <c r="C6" s="2429"/>
      <c r="D6" s="2429"/>
      <c r="E6" s="2429"/>
      <c r="F6" s="2429"/>
      <c r="G6" s="2429"/>
      <c r="H6" s="2429"/>
      <c r="I6" s="2429"/>
      <c r="J6" s="2429"/>
      <c r="K6" s="2430"/>
      <c r="L6" s="3"/>
      <c r="M6" s="1716" t="s">
        <v>42</v>
      </c>
      <c r="N6" s="1734">
        <f>' QUICK OVERVIEW- Inputs&amp;Outputs'!$L$10</f>
        <v>13978.21</v>
      </c>
      <c r="O6" s="1717"/>
      <c r="P6" s="1717">
        <f>N6/N9</f>
        <v>1</v>
      </c>
      <c r="Q6" s="2436"/>
      <c r="V6" s="3"/>
    </row>
    <row r="7" spans="1:22" ht="92.25" customHeight="1" x14ac:dyDescent="0.25">
      <c r="A7" s="287" t="s">
        <v>291</v>
      </c>
      <c r="B7" s="280" t="s">
        <v>292</v>
      </c>
      <c r="C7" s="280" t="s">
        <v>71</v>
      </c>
      <c r="D7" s="280" t="s">
        <v>293</v>
      </c>
      <c r="E7" s="280" t="s">
        <v>68</v>
      </c>
      <c r="F7" s="280" t="s">
        <v>137</v>
      </c>
      <c r="G7" s="280" t="s">
        <v>69</v>
      </c>
      <c r="H7" s="280" t="s">
        <v>70</v>
      </c>
      <c r="I7" s="280" t="s">
        <v>542</v>
      </c>
      <c r="J7" s="280" t="s">
        <v>184</v>
      </c>
      <c r="K7" s="288" t="s">
        <v>80</v>
      </c>
      <c r="L7" s="275"/>
      <c r="M7" s="1716" t="s">
        <v>955</v>
      </c>
      <c r="N7" s="296">
        <f>' QUICK OVERVIEW- Inputs&amp;Outputs'!$P$10</f>
        <v>0</v>
      </c>
      <c r="O7" s="1717">
        <f>(6+10)/2</f>
        <v>8</v>
      </c>
      <c r="P7" s="1717">
        <f>N7/N9</f>
        <v>0</v>
      </c>
      <c r="Q7" s="2436"/>
    </row>
    <row r="8" spans="1:22" ht="45" customHeight="1" thickBot="1" x14ac:dyDescent="0.3">
      <c r="A8" s="176">
        <v>248</v>
      </c>
      <c r="B8" s="290">
        <f>' QUICK OVERVIEW- Inputs&amp;Outputs'!$C$9</f>
        <v>1.34</v>
      </c>
      <c r="C8" s="178">
        <f>A8*B8*1000000</f>
        <v>332320000</v>
      </c>
      <c r="D8" s="292">
        <v>0.66666666666666663</v>
      </c>
      <c r="E8" s="233">
        <f>C8*D8</f>
        <v>221546666.66666666</v>
      </c>
      <c r="F8" s="232">
        <f>1-D8</f>
        <v>0.33333333333333337</v>
      </c>
      <c r="G8" s="233">
        <f>C8*F8</f>
        <v>110773333.33333334</v>
      </c>
      <c r="H8" s="233">
        <f>G8/365</f>
        <v>303488.58447488589</v>
      </c>
      <c r="I8" s="1699">
        <f>G8/2000</f>
        <v>55386.666666666672</v>
      </c>
      <c r="J8" s="188">
        <f>(H8)/1513.51</f>
        <v>200.51970880594504</v>
      </c>
      <c r="K8" s="177">
        <f>J8/4951.1316872428</f>
        <v>4.0499772874676057E-2</v>
      </c>
      <c r="L8" s="291"/>
      <c r="M8" s="283" t="s">
        <v>490</v>
      </c>
      <c r="N8" s="296">
        <f>' QUICK OVERVIEW- Inputs&amp;Outputs'!$T$10</f>
        <v>0</v>
      </c>
      <c r="O8" s="1717">
        <v>22</v>
      </c>
      <c r="P8" s="1736">
        <f>N8/N9</f>
        <v>0</v>
      </c>
      <c r="Q8" s="2437"/>
      <c r="R8" s="230"/>
      <c r="S8" s="230"/>
      <c r="T8" s="230"/>
      <c r="U8" s="230"/>
    </row>
    <row r="9" spans="1:22" ht="19.5" thickBot="1" x14ac:dyDescent="0.3">
      <c r="M9" s="236" t="s">
        <v>535</v>
      </c>
      <c r="N9" s="353">
        <f>SUM(N5:N8)</f>
        <v>13978.21</v>
      </c>
      <c r="O9" s="564"/>
      <c r="P9" s="1735"/>
      <c r="Q9" s="1718"/>
      <c r="R9" s="1714"/>
      <c r="S9" s="1714"/>
      <c r="T9" s="1714"/>
      <c r="U9" s="230"/>
    </row>
    <row r="10" spans="1:22" s="230" customFormat="1" ht="21.75" thickBot="1" x14ac:dyDescent="0.3">
      <c r="A10" s="2406" t="s">
        <v>464</v>
      </c>
      <c r="B10" s="2407"/>
      <c r="C10" s="2407"/>
      <c r="D10" s="2408"/>
      <c r="E10" s="270"/>
      <c r="Q10" s="2402"/>
      <c r="R10" s="2402"/>
      <c r="S10" s="2402"/>
      <c r="T10" s="2402"/>
    </row>
    <row r="11" spans="1:22" s="230" customFormat="1" ht="94.5" x14ac:dyDescent="0.25">
      <c r="A11" s="287" t="s">
        <v>465</v>
      </c>
      <c r="B11" s="807" t="s">
        <v>466</v>
      </c>
      <c r="C11" s="240" t="s">
        <v>1920</v>
      </c>
      <c r="D11" s="808" t="s">
        <v>485</v>
      </c>
      <c r="E11" s="257"/>
      <c r="Q11" s="148"/>
      <c r="R11" s="148"/>
      <c r="S11" s="148"/>
      <c r="T11" s="148"/>
    </row>
    <row r="12" spans="1:22" s="230" customFormat="1" ht="18.75" x14ac:dyDescent="0.25">
      <c r="A12" s="241">
        <v>5</v>
      </c>
      <c r="B12" s="231">
        <f>A12/7</f>
        <v>0.7142857142857143</v>
      </c>
      <c r="C12" s="296"/>
      <c r="D12" s="239">
        <f>A12*C12*(52/1)*(1/2000)</f>
        <v>0</v>
      </c>
      <c r="E12" s="2412"/>
      <c r="Q12" s="519"/>
      <c r="R12" s="504"/>
      <c r="S12" s="504"/>
      <c r="T12" s="504"/>
    </row>
    <row r="13" spans="1:22" s="230" customFormat="1" ht="94.5" x14ac:dyDescent="0.25">
      <c r="A13" s="234" t="s">
        <v>468</v>
      </c>
      <c r="B13" s="806" t="s">
        <v>469</v>
      </c>
      <c r="C13" s="242" t="s">
        <v>1921</v>
      </c>
      <c r="D13" s="432" t="s">
        <v>486</v>
      </c>
      <c r="E13" s="2412"/>
      <c r="Q13" s="148"/>
      <c r="R13" s="148"/>
      <c r="S13" s="3"/>
      <c r="T13" s="3"/>
    </row>
    <row r="14" spans="1:22" s="230" customFormat="1" ht="18.75" x14ac:dyDescent="0.25">
      <c r="A14" s="241">
        <v>1</v>
      </c>
      <c r="B14" s="231">
        <f>A14/7</f>
        <v>0.14285714285714285</v>
      </c>
      <c r="C14" s="296"/>
      <c r="D14" s="289">
        <f>A14*C14*(52/1)*(1/2000)</f>
        <v>0</v>
      </c>
      <c r="E14" s="2412"/>
      <c r="Q14" s="504"/>
      <c r="R14" s="504"/>
      <c r="S14" s="3"/>
      <c r="T14" s="3"/>
    </row>
    <row r="15" spans="1:22" s="230" customFormat="1" ht="78.75" x14ac:dyDescent="0.25">
      <c r="A15" s="234" t="s">
        <v>470</v>
      </c>
      <c r="B15" s="806" t="s">
        <v>467</v>
      </c>
      <c r="C15" s="242" t="s">
        <v>1922</v>
      </c>
      <c r="D15" s="432" t="s">
        <v>487</v>
      </c>
      <c r="E15" s="2412"/>
      <c r="Q15" s="504"/>
      <c r="R15" s="504"/>
      <c r="S15" s="3"/>
      <c r="T15" s="3"/>
    </row>
    <row r="16" spans="1:22" s="230" customFormat="1" ht="19.5" thickBot="1" x14ac:dyDescent="0.3">
      <c r="A16" s="1602">
        <v>0.39</v>
      </c>
      <c r="B16" s="719">
        <f>A16*C16* (365/1)*(1/2000)</f>
        <v>0</v>
      </c>
      <c r="C16" s="294"/>
      <c r="D16" s="295">
        <f>$B$16*C16</f>
        <v>0</v>
      </c>
      <c r="E16" s="2412"/>
      <c r="Q16" s="3"/>
      <c r="R16" s="3"/>
      <c r="S16" s="3"/>
      <c r="T16" s="3"/>
    </row>
    <row r="17" spans="1:26" s="230" customFormat="1" ht="19.5" thickBot="1" x14ac:dyDescent="0.3">
      <c r="A17" s="1632" t="s">
        <v>929</v>
      </c>
      <c r="B17" s="1634"/>
      <c r="C17" s="1633"/>
      <c r="D17" s="1636">
        <f>D12+D14+D16</f>
        <v>0</v>
      </c>
      <c r="E17" s="1600"/>
      <c r="Q17" s="3"/>
      <c r="R17" s="3"/>
      <c r="S17" s="3"/>
      <c r="T17" s="3"/>
    </row>
    <row r="18" spans="1:26" s="230" customFormat="1" ht="19.5" thickBot="1" x14ac:dyDescent="0.3">
      <c r="A18" s="1628"/>
      <c r="B18" s="1626"/>
      <c r="C18" s="1627"/>
      <c r="D18" s="1629"/>
      <c r="E18" s="1600"/>
      <c r="Q18" s="3"/>
      <c r="R18" s="3"/>
      <c r="S18" s="3"/>
      <c r="T18" s="3"/>
    </row>
    <row r="19" spans="1:26" s="230" customFormat="1" ht="52.5" customHeight="1" x14ac:dyDescent="0.25">
      <c r="A19" s="2409" t="s">
        <v>471</v>
      </c>
      <c r="B19" s="2410"/>
      <c r="C19" s="2410"/>
      <c r="D19" s="2411"/>
      <c r="E19" s="270"/>
      <c r="Q19" s="148"/>
      <c r="R19" s="520"/>
      <c r="S19" s="148"/>
      <c r="T19" s="520"/>
      <c r="U19" s="520"/>
      <c r="V19" s="520"/>
      <c r="W19" s="520"/>
      <c r="X19" s="520"/>
      <c r="Y19" s="520"/>
      <c r="Z19" s="520"/>
    </row>
    <row r="20" spans="1:26" s="230" customFormat="1" ht="45.75" customHeight="1" x14ac:dyDescent="0.3">
      <c r="A20" s="234" t="s">
        <v>526</v>
      </c>
      <c r="B20" s="1610"/>
      <c r="C20" s="1599"/>
      <c r="D20" s="432" t="s">
        <v>527</v>
      </c>
      <c r="E20" s="2431"/>
      <c r="Q20" s="504"/>
      <c r="R20" s="272"/>
      <c r="S20" s="501"/>
      <c r="T20" s="398"/>
      <c r="U20" s="521"/>
      <c r="V20" s="396"/>
      <c r="W20" s="273"/>
      <c r="X20" s="273"/>
      <c r="Y20" s="273"/>
      <c r="Z20" s="396"/>
    </row>
    <row r="21" spans="1:26" s="230" customFormat="1" ht="18.75" x14ac:dyDescent="0.3">
      <c r="A21" s="293"/>
      <c r="B21" s="1610"/>
      <c r="C21" s="1610"/>
      <c r="D21" s="289">
        <f>$A$21</f>
        <v>0</v>
      </c>
      <c r="E21" s="2431"/>
      <c r="Q21" s="501"/>
      <c r="R21" s="247"/>
      <c r="S21" s="501"/>
      <c r="T21" s="396"/>
      <c r="U21" s="501"/>
      <c r="V21" s="396"/>
      <c r="W21" s="273"/>
      <c r="X21" s="273"/>
      <c r="Y21" s="273"/>
      <c r="Z21" s="396"/>
    </row>
    <row r="22" spans="1:26" s="230" customFormat="1" ht="78.75" x14ac:dyDescent="0.3">
      <c r="A22" s="234" t="s">
        <v>472</v>
      </c>
      <c r="B22" s="242" t="s">
        <v>473</v>
      </c>
      <c r="C22" s="806" t="s">
        <v>474</v>
      </c>
      <c r="D22" s="432" t="s">
        <v>488</v>
      </c>
      <c r="E22" s="2431"/>
      <c r="Q22" s="395"/>
      <c r="R22" s="247"/>
      <c r="S22" s="396"/>
      <c r="T22" s="395"/>
      <c r="U22" s="396"/>
      <c r="V22" s="273"/>
      <c r="W22" s="273"/>
      <c r="X22" s="273"/>
      <c r="Y22" s="396"/>
    </row>
    <row r="23" spans="1:26" s="230" customFormat="1" ht="19.5" thickBot="1" x14ac:dyDescent="0.35">
      <c r="A23" s="1630">
        <f>(150+4200)/2</f>
        <v>2175</v>
      </c>
      <c r="B23" s="294"/>
      <c r="C23" s="719">
        <f>A23*B23*(1/2000)</f>
        <v>0</v>
      </c>
      <c r="D23" s="1631">
        <f>$C$23</f>
        <v>0</v>
      </c>
      <c r="E23" s="2431"/>
      <c r="Q23" s="3"/>
      <c r="R23" s="395"/>
      <c r="S23" s="395"/>
      <c r="T23" s="395"/>
      <c r="U23" s="395"/>
      <c r="V23" s="3"/>
      <c r="W23" s="3"/>
      <c r="X23" s="3"/>
      <c r="Y23" s="397"/>
    </row>
    <row r="24" spans="1:26" s="230" customFormat="1" ht="19.5" thickBot="1" x14ac:dyDescent="0.35">
      <c r="A24" s="1632" t="s">
        <v>929</v>
      </c>
      <c r="B24" s="1633"/>
      <c r="C24" s="1634"/>
      <c r="D24" s="1635">
        <f>D21+D23</f>
        <v>0</v>
      </c>
      <c r="E24" s="1601"/>
      <c r="Q24" s="3"/>
      <c r="R24" s="1603"/>
      <c r="S24" s="1603"/>
      <c r="T24" s="1603"/>
      <c r="U24" s="1603"/>
      <c r="V24" s="3"/>
      <c r="W24" s="3"/>
      <c r="X24" s="3"/>
      <c r="Y24" s="397"/>
    </row>
    <row r="25" spans="1:26" s="230" customFormat="1" ht="19.5" thickBot="1" x14ac:dyDescent="0.35">
      <c r="Q25" s="395"/>
      <c r="R25" s="123"/>
      <c r="S25" s="395"/>
      <c r="T25" s="3"/>
      <c r="U25" s="3"/>
      <c r="V25" s="3"/>
      <c r="W25" s="3"/>
      <c r="X25" s="396"/>
      <c r="Y25" s="398"/>
    </row>
    <row r="26" spans="1:26" s="230" customFormat="1" ht="21" x14ac:dyDescent="0.35">
      <c r="A26" s="2432" t="s">
        <v>521</v>
      </c>
      <c r="B26" s="2433"/>
      <c r="C26" s="2433"/>
      <c r="D26" s="2434"/>
    </row>
    <row r="27" spans="1:26" s="230" customFormat="1" ht="28.5" customHeight="1" x14ac:dyDescent="0.25">
      <c r="A27" s="2416" t="s">
        <v>787</v>
      </c>
      <c r="B27" s="2417"/>
      <c r="C27" s="2417"/>
      <c r="D27" s="2418"/>
    </row>
    <row r="28" spans="1:26" s="230" customFormat="1" ht="47.25" customHeight="1" thickBot="1" x14ac:dyDescent="0.3">
      <c r="A28" s="2419"/>
      <c r="B28" s="2420"/>
      <c r="C28" s="2420"/>
      <c r="D28" s="2421"/>
    </row>
    <row r="29" spans="1:26" s="230" customFormat="1" ht="15.75" thickBot="1" x14ac:dyDescent="0.3"/>
    <row r="30" spans="1:26" ht="15" customHeight="1" x14ac:dyDescent="0.25">
      <c r="A30" s="2275" t="s">
        <v>1454</v>
      </c>
      <c r="B30" s="2438"/>
      <c r="C30" s="2438"/>
      <c r="D30" s="2438"/>
      <c r="E30" s="2438"/>
      <c r="F30" s="2438"/>
      <c r="G30" s="2438"/>
      <c r="H30" s="2439"/>
    </row>
    <row r="31" spans="1:26" ht="15" customHeight="1" x14ac:dyDescent="0.25">
      <c r="A31" s="2276"/>
      <c r="B31" s="2440"/>
      <c r="C31" s="2440"/>
      <c r="D31" s="2440"/>
      <c r="E31" s="2440"/>
      <c r="F31" s="2440"/>
      <c r="G31" s="2440"/>
      <c r="H31" s="2441"/>
    </row>
    <row r="32" spans="1:26" ht="15" customHeight="1" x14ac:dyDescent="0.25">
      <c r="A32" s="2276"/>
      <c r="B32" s="2440"/>
      <c r="C32" s="2440"/>
      <c r="D32" s="2440"/>
      <c r="E32" s="2440"/>
      <c r="F32" s="2440"/>
      <c r="G32" s="2440"/>
      <c r="H32" s="2441"/>
      <c r="I32" s="3"/>
      <c r="J32" s="3"/>
    </row>
    <row r="33" spans="1:10" ht="15.75" customHeight="1" thickBot="1" x14ac:dyDescent="0.3">
      <c r="A33" s="2277"/>
      <c r="B33" s="2442"/>
      <c r="C33" s="2442"/>
      <c r="D33" s="2442"/>
      <c r="E33" s="2442"/>
      <c r="F33" s="2442"/>
      <c r="G33" s="2442"/>
      <c r="H33" s="2443"/>
      <c r="I33" s="3"/>
      <c r="J33" s="3"/>
    </row>
    <row r="34" spans="1:10" ht="81" customHeight="1" x14ac:dyDescent="0.25">
      <c r="A34" s="287" t="s">
        <v>294</v>
      </c>
      <c r="B34" s="280" t="s">
        <v>292</v>
      </c>
      <c r="C34" s="280" t="s">
        <v>72</v>
      </c>
      <c r="D34" s="280" t="s">
        <v>295</v>
      </c>
      <c r="E34" s="129" t="s">
        <v>83</v>
      </c>
      <c r="F34" s="280" t="s">
        <v>543</v>
      </c>
      <c r="G34" s="280" t="s">
        <v>82</v>
      </c>
      <c r="H34" s="130" t="s">
        <v>81</v>
      </c>
    </row>
    <row r="35" spans="1:10" ht="37.5" customHeight="1" thickBot="1" x14ac:dyDescent="0.3">
      <c r="A35" s="176">
        <v>67.3</v>
      </c>
      <c r="B35" s="290">
        <f>' QUICK OVERVIEW- Inputs&amp;Outputs'!$C$9</f>
        <v>1.34</v>
      </c>
      <c r="C35" s="178">
        <f>A35*B35*1000000</f>
        <v>90182000</v>
      </c>
      <c r="D35" s="179">
        <v>0.31</v>
      </c>
      <c r="E35" s="233">
        <f>(C35*D35)/365</f>
        <v>76592.931506849316</v>
      </c>
      <c r="F35" s="1700">
        <f>(E35/2000)*365</f>
        <v>13978.21</v>
      </c>
      <c r="G35" s="233">
        <f>(E35)/1567.57</f>
        <v>48.860932211543549</v>
      </c>
      <c r="H35" s="177">
        <f>G35/4951.1316872428</f>
        <v>9.8686391916094161E-3</v>
      </c>
    </row>
    <row r="36" spans="1:10" ht="15.75" thickBot="1" x14ac:dyDescent="0.3"/>
    <row r="37" spans="1:10" ht="21" x14ac:dyDescent="0.25">
      <c r="A37" s="2409" t="s">
        <v>475</v>
      </c>
      <c r="B37" s="2410"/>
      <c r="C37" s="2410"/>
      <c r="D37" s="2411"/>
      <c r="E37" s="270"/>
    </row>
    <row r="38" spans="1:10" ht="94.5" x14ac:dyDescent="0.25">
      <c r="A38" s="234" t="s">
        <v>476</v>
      </c>
      <c r="B38" s="806" t="s">
        <v>477</v>
      </c>
      <c r="C38" s="242" t="s">
        <v>1920</v>
      </c>
      <c r="D38" s="432" t="s">
        <v>496</v>
      </c>
      <c r="E38" s="257"/>
    </row>
    <row r="39" spans="1:10" ht="19.5" thickBot="1" x14ac:dyDescent="0.3">
      <c r="A39" s="1630">
        <v>16</v>
      </c>
      <c r="B39" s="1647">
        <f>A39/7</f>
        <v>2.2857142857142856</v>
      </c>
      <c r="C39" s="294"/>
      <c r="D39" s="1648">
        <f>A39*C39*(52/1)*(1/2000)</f>
        <v>0</v>
      </c>
      <c r="E39" s="271"/>
    </row>
    <row r="40" spans="1:10" s="230" customFormat="1" ht="19.5" thickBot="1" x14ac:dyDescent="0.3">
      <c r="A40" s="1632" t="s">
        <v>929</v>
      </c>
      <c r="B40" s="1649"/>
      <c r="C40" s="1614"/>
      <c r="D40" s="1636">
        <f>D39</f>
        <v>0</v>
      </c>
      <c r="E40" s="1600"/>
    </row>
    <row r="41" spans="1:10" s="230" customFormat="1" ht="19.5" thickBot="1" x14ac:dyDescent="0.3">
      <c r="A41" s="1637"/>
      <c r="B41" s="1638"/>
      <c r="C41" s="1639"/>
      <c r="D41" s="1640"/>
      <c r="E41" s="1600"/>
    </row>
    <row r="42" spans="1:10" ht="21.75" thickBot="1" x14ac:dyDescent="0.3">
      <c r="A42" s="2452" t="s">
        <v>478</v>
      </c>
      <c r="B42" s="2453"/>
      <c r="C42" s="2453"/>
      <c r="D42" s="2454"/>
      <c r="E42" s="270"/>
    </row>
    <row r="43" spans="1:10" ht="31.5" x14ac:dyDescent="0.25">
      <c r="A43" s="238" t="s">
        <v>479</v>
      </c>
      <c r="B43" s="254" t="s">
        <v>718</v>
      </c>
      <c r="C43" s="240" t="s">
        <v>1923</v>
      </c>
      <c r="D43" s="255" t="s">
        <v>740</v>
      </c>
      <c r="E43" s="2431"/>
    </row>
    <row r="44" spans="1:10" ht="19.5" thickBot="1" x14ac:dyDescent="0.3">
      <c r="A44" s="241">
        <v>269</v>
      </c>
      <c r="B44" s="231">
        <f>A44/7</f>
        <v>38.428571428571431</v>
      </c>
      <c r="C44" s="296"/>
      <c r="D44" s="258">
        <f>A44*C44*(52/1)*(1/2000)</f>
        <v>0</v>
      </c>
      <c r="E44" s="2431"/>
    </row>
    <row r="45" spans="1:10" ht="31.5" x14ac:dyDescent="0.25">
      <c r="A45" s="234" t="s">
        <v>480</v>
      </c>
      <c r="B45" s="242" t="s">
        <v>481</v>
      </c>
      <c r="C45" s="256" t="s">
        <v>482</v>
      </c>
      <c r="D45" s="255" t="s">
        <v>739</v>
      </c>
      <c r="E45" s="2431"/>
    </row>
    <row r="46" spans="1:10" ht="19.5" thickBot="1" x14ac:dyDescent="0.3">
      <c r="A46" s="241">
        <v>538</v>
      </c>
      <c r="B46" s="296"/>
      <c r="C46" s="259">
        <f>A46*B46* (52/1)*(1/2000)</f>
        <v>0</v>
      </c>
      <c r="D46" s="289">
        <f>$C$46</f>
        <v>0</v>
      </c>
      <c r="E46" s="2431"/>
    </row>
    <row r="47" spans="1:10" ht="47.25" x14ac:dyDescent="0.25">
      <c r="A47" s="234" t="s">
        <v>483</v>
      </c>
      <c r="B47" s="242" t="s">
        <v>481</v>
      </c>
      <c r="C47" s="256" t="s">
        <v>484</v>
      </c>
      <c r="D47" s="255" t="s">
        <v>738</v>
      </c>
      <c r="E47" s="2431"/>
    </row>
    <row r="48" spans="1:10" ht="19.5" thickBot="1" x14ac:dyDescent="0.35">
      <c r="A48" s="1641">
        <v>538</v>
      </c>
      <c r="B48" s="1642"/>
      <c r="C48" s="1643">
        <f>A48*B48* (52/1)*(1/2000)</f>
        <v>0</v>
      </c>
      <c r="D48" s="1631">
        <f>$C$48</f>
        <v>0</v>
      </c>
      <c r="E48" s="2431"/>
    </row>
    <row r="49" spans="1:6" s="230" customFormat="1" ht="19.5" thickBot="1" x14ac:dyDescent="0.35">
      <c r="A49" s="1644" t="s">
        <v>929</v>
      </c>
      <c r="B49" s="1645"/>
      <c r="C49" s="1646"/>
      <c r="D49" s="1650">
        <f>D48+D46+D44</f>
        <v>0</v>
      </c>
      <c r="E49" s="1601"/>
    </row>
    <row r="50" spans="1:6" ht="15.75" thickBot="1" x14ac:dyDescent="0.3"/>
    <row r="51" spans="1:6" ht="21" x14ac:dyDescent="0.35">
      <c r="A51" s="2432" t="s">
        <v>522</v>
      </c>
      <c r="B51" s="2433"/>
      <c r="C51" s="2433"/>
      <c r="D51" s="2434"/>
    </row>
    <row r="52" spans="1:6" ht="31.5" customHeight="1" x14ac:dyDescent="0.25">
      <c r="A52" s="2416" t="s">
        <v>523</v>
      </c>
      <c r="B52" s="2417"/>
      <c r="C52" s="2417"/>
      <c r="D52" s="2418"/>
    </row>
    <row r="53" spans="1:6" ht="48.75" customHeight="1" thickBot="1" x14ac:dyDescent="0.3">
      <c r="A53" s="2419"/>
      <c r="B53" s="2420"/>
      <c r="C53" s="2420"/>
      <c r="D53" s="2421"/>
    </row>
    <row r="54" spans="1:6" ht="15.75" thickBot="1" x14ac:dyDescent="0.3"/>
    <row r="55" spans="1:6" ht="15" customHeight="1" x14ac:dyDescent="0.25">
      <c r="A55" s="2413" t="s">
        <v>840</v>
      </c>
      <c r="B55" s="2414"/>
      <c r="C55" s="2414"/>
      <c r="D55" s="2415"/>
      <c r="E55" s="121"/>
      <c r="F55" s="100"/>
    </row>
    <row r="56" spans="1:6" ht="67.5" customHeight="1" x14ac:dyDescent="0.25">
      <c r="A56" s="2444"/>
      <c r="B56" s="2445"/>
      <c r="C56" s="2445"/>
      <c r="D56" s="2446"/>
      <c r="E56" s="121"/>
      <c r="F56" s="100"/>
    </row>
    <row r="57" spans="1:6" ht="42" customHeight="1" x14ac:dyDescent="0.25">
      <c r="A57" s="445" t="s">
        <v>789</v>
      </c>
      <c r="B57" s="150" t="s">
        <v>902</v>
      </c>
      <c r="C57" s="23" t="s">
        <v>871</v>
      </c>
      <c r="D57" s="463" t="s">
        <v>872</v>
      </c>
      <c r="E57" s="98"/>
      <c r="F57" s="100"/>
    </row>
    <row r="58" spans="1:6" ht="15.75" thickBot="1" x14ac:dyDescent="0.3">
      <c r="A58" s="422">
        <v>35.200000000000003</v>
      </c>
      <c r="B58" s="448"/>
      <c r="C58" s="446">
        <v>0.91225000000000001</v>
      </c>
      <c r="D58" s="1704">
        <f>(A58*B58*C58*52*3785*1.1*10^-6)</f>
        <v>0</v>
      </c>
      <c r="E58" s="462"/>
      <c r="F58" s="100"/>
    </row>
    <row r="59" spans="1:6" ht="15.75" thickBot="1" x14ac:dyDescent="0.3">
      <c r="A59" s="2450"/>
      <c r="B59" s="2451"/>
      <c r="C59" s="2451"/>
      <c r="D59" s="2451"/>
      <c r="E59" s="2451"/>
      <c r="F59" s="100"/>
    </row>
    <row r="60" spans="1:6" ht="15" customHeight="1" x14ac:dyDescent="0.25">
      <c r="A60" s="2422" t="s">
        <v>874</v>
      </c>
      <c r="B60" s="2423"/>
      <c r="C60" s="2423"/>
      <c r="D60" s="2423"/>
      <c r="E60" s="2424"/>
      <c r="F60" s="121"/>
    </row>
    <row r="61" spans="1:6" ht="73.5" customHeight="1" x14ac:dyDescent="0.25">
      <c r="A61" s="2447"/>
      <c r="B61" s="2448"/>
      <c r="C61" s="2448"/>
      <c r="D61" s="2448"/>
      <c r="E61" s="2449"/>
      <c r="F61" s="121"/>
    </row>
    <row r="62" spans="1:6" ht="39" customHeight="1" x14ac:dyDescent="0.25">
      <c r="A62" s="445" t="s">
        <v>788</v>
      </c>
      <c r="B62" s="23" t="s">
        <v>865</v>
      </c>
      <c r="C62" s="463" t="s">
        <v>873</v>
      </c>
      <c r="D62" s="23" t="s">
        <v>869</v>
      </c>
      <c r="E62" s="463" t="s">
        <v>870</v>
      </c>
    </row>
    <row r="63" spans="1:6" ht="15.75" thickBot="1" x14ac:dyDescent="0.3">
      <c r="A63" s="422">
        <v>10</v>
      </c>
      <c r="B63" s="446">
        <f>A63*1000</f>
        <v>10000</v>
      </c>
      <c r="C63" s="447">
        <v>0.7</v>
      </c>
      <c r="D63" s="446">
        <f>((B63)*' QUICK OVERVIEW- Inputs&amp;Outputs'!C25)/(2.47)</f>
        <v>0</v>
      </c>
      <c r="E63" s="1703">
        <f>(D63*0.0011)</f>
        <v>0</v>
      </c>
    </row>
    <row r="64" spans="1:6" ht="15.75" thickBot="1" x14ac:dyDescent="0.3">
      <c r="A64" s="100"/>
      <c r="B64" s="100"/>
      <c r="C64" s="100"/>
      <c r="D64" s="100"/>
      <c r="E64" s="100"/>
      <c r="F64" s="100"/>
    </row>
    <row r="65" spans="1:6" ht="15" customHeight="1" x14ac:dyDescent="0.25">
      <c r="A65" s="2422" t="s">
        <v>854</v>
      </c>
      <c r="B65" s="2423"/>
      <c r="C65" s="2423"/>
      <c r="D65" s="2423"/>
      <c r="E65" s="2424"/>
      <c r="F65" s="121"/>
    </row>
    <row r="66" spans="1:6" ht="83.25" customHeight="1" x14ac:dyDescent="0.25">
      <c r="A66" s="2447"/>
      <c r="B66" s="2448"/>
      <c r="C66" s="2448"/>
      <c r="D66" s="2448"/>
      <c r="E66" s="2449"/>
      <c r="F66" s="121"/>
    </row>
    <row r="67" spans="1:6" ht="30" x14ac:dyDescent="0.25">
      <c r="A67" s="321" t="s">
        <v>841</v>
      </c>
      <c r="B67" s="23" t="s">
        <v>880</v>
      </c>
      <c r="C67" s="23" t="s">
        <v>875</v>
      </c>
      <c r="D67" s="23" t="s">
        <v>876</v>
      </c>
      <c r="E67" s="434" t="s">
        <v>872</v>
      </c>
      <c r="F67" s="98"/>
    </row>
    <row r="68" spans="1:6" x14ac:dyDescent="0.25">
      <c r="A68" s="329" t="s">
        <v>842</v>
      </c>
      <c r="B68" s="25">
        <v>150</v>
      </c>
      <c r="C68" s="25">
        <v>63</v>
      </c>
      <c r="D68" s="25">
        <v>8.4</v>
      </c>
      <c r="E68" s="1701">
        <f>B68*' QUICK OVERVIEW- Inputs&amp;Outputs'!C26*0.0005*365</f>
        <v>0</v>
      </c>
      <c r="F68" s="464"/>
    </row>
    <row r="69" spans="1:6" x14ac:dyDescent="0.25">
      <c r="A69" s="329" t="s">
        <v>843</v>
      </c>
      <c r="B69" s="25">
        <v>10</v>
      </c>
      <c r="C69" s="25">
        <v>63</v>
      </c>
      <c r="D69" s="25">
        <v>8.4</v>
      </c>
      <c r="E69" s="1701">
        <f>B69*' QUICK OVERVIEW- Inputs&amp;Outputs'!C27*0.0005*365</f>
        <v>0</v>
      </c>
      <c r="F69" s="464"/>
    </row>
    <row r="70" spans="1:6" ht="15.75" thickBot="1" x14ac:dyDescent="0.3">
      <c r="A70" s="422" t="s">
        <v>844</v>
      </c>
      <c r="B70" s="446">
        <v>0.22900000000000001</v>
      </c>
      <c r="C70" s="446">
        <v>63</v>
      </c>
      <c r="D70" s="446">
        <v>8.4</v>
      </c>
      <c r="E70" s="1702">
        <f>B70*' QUICK OVERVIEW- Inputs&amp;Outputs'!C28*0.0005*365</f>
        <v>0</v>
      </c>
      <c r="F70" s="464"/>
    </row>
  </sheetData>
  <mergeCells count="24">
    <mergeCell ref="A51:D51"/>
    <mergeCell ref="A30:H33"/>
    <mergeCell ref="A55:D56"/>
    <mergeCell ref="A60:E61"/>
    <mergeCell ref="A65:E66"/>
    <mergeCell ref="A59:E59"/>
    <mergeCell ref="A52:D52"/>
    <mergeCell ref="A53:D53"/>
    <mergeCell ref="E43:E48"/>
    <mergeCell ref="A37:D37"/>
    <mergeCell ref="A42:D42"/>
    <mergeCell ref="A27:D27"/>
    <mergeCell ref="A28:D28"/>
    <mergeCell ref="A3:K6"/>
    <mergeCell ref="Q10:R10"/>
    <mergeCell ref="E20:E23"/>
    <mergeCell ref="A26:D26"/>
    <mergeCell ref="Q5:Q8"/>
    <mergeCell ref="S10:T10"/>
    <mergeCell ref="A1:G1"/>
    <mergeCell ref="A10:D10"/>
    <mergeCell ref="A19:D19"/>
    <mergeCell ref="E12:E16"/>
    <mergeCell ref="M3:Q3"/>
  </mergeCells>
  <dataValidations disablePrompts="1" count="3">
    <dataValidation allowBlank="1" showInputMessage="1" showErrorMessage="1" promptTitle="Food Waste value in Tons/Year" prompt="Please INPUT total Food Waste generating from corporate campus in Tons/Year unit_x000a_" sqref="A28:D28" xr:uid="{EB03FE7C-1B9D-46A9-A0B2-189B77D083FD}"/>
    <dataValidation allowBlank="1" showInputMessage="1" showErrorMessage="1" promptTitle="Yard Waste in Tons/Year" prompt="Please INPUT total Yard Waste generating from corporate campus in Tons/Year unit" sqref="A53:D53" xr:uid="{018A50F6-79E2-4D45-A4A1-695AD3B3AF8F}"/>
    <dataValidation allowBlank="1" showInputMessage="1" showErrorMessage="1" promptTitle="Overall C:N Ratio" prompt="Overall C:N Ratio Should be Close to 30. Otherwise user might need to adjust the individual waste quantity." sqref="Q5" xr:uid="{009EBAC9-FBE8-45E7-B226-7BE95DDD2486}"/>
  </dataValidations>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H22"/>
  <sheetViews>
    <sheetView workbookViewId="0">
      <selection activeCell="C17" sqref="C17"/>
    </sheetView>
  </sheetViews>
  <sheetFormatPr defaultRowHeight="15" x14ac:dyDescent="0.25"/>
  <cols>
    <col min="1" max="1" width="15.5703125" customWidth="1"/>
    <col min="2" max="2" width="25.7109375" customWidth="1"/>
    <col min="3" max="3" width="17.85546875" customWidth="1"/>
    <col min="4" max="4" width="32.7109375" customWidth="1"/>
    <col min="5" max="5" width="16.28515625" customWidth="1"/>
    <col min="6" max="6" width="15.7109375" customWidth="1"/>
    <col min="7" max="7" width="15" customWidth="1"/>
    <col min="8" max="8" width="18" customWidth="1"/>
  </cols>
  <sheetData>
    <row r="1" spans="1:8" ht="42.75" customHeight="1" thickBot="1" x14ac:dyDescent="0.3">
      <c r="A1" s="2469" t="s">
        <v>361</v>
      </c>
      <c r="B1" s="2470"/>
      <c r="C1" s="2470"/>
      <c r="D1" s="2470"/>
      <c r="E1" s="2470"/>
      <c r="F1" s="2470"/>
      <c r="G1" s="2470"/>
      <c r="H1" s="2471"/>
    </row>
    <row r="2" spans="1:8" ht="60" customHeight="1" x14ac:dyDescent="0.25">
      <c r="A2" s="44" t="s">
        <v>28</v>
      </c>
      <c r="B2" s="43" t="s">
        <v>16</v>
      </c>
      <c r="C2" s="43" t="s">
        <v>160</v>
      </c>
      <c r="D2" s="45" t="s">
        <v>149</v>
      </c>
      <c r="E2" s="45" t="s">
        <v>161</v>
      </c>
      <c r="F2" s="45" t="s">
        <v>151</v>
      </c>
      <c r="G2" s="47" t="s">
        <v>197</v>
      </c>
      <c r="H2" s="23" t="s">
        <v>196</v>
      </c>
    </row>
    <row r="3" spans="1:8" ht="18.75" x14ac:dyDescent="0.3">
      <c r="A3" s="2455">
        <v>1</v>
      </c>
      <c r="B3" s="2459" t="s">
        <v>153</v>
      </c>
      <c r="C3" s="28" t="s">
        <v>154</v>
      </c>
      <c r="D3" s="180">
        <v>26.2</v>
      </c>
      <c r="E3" s="22" t="s">
        <v>162</v>
      </c>
      <c r="F3" s="183">
        <v>2.68</v>
      </c>
      <c r="G3" s="2462">
        <v>12400</v>
      </c>
      <c r="H3" s="2303">
        <v>11.8</v>
      </c>
    </row>
    <row r="4" spans="1:8" ht="18.75" x14ac:dyDescent="0.3">
      <c r="A4" s="2456"/>
      <c r="B4" s="2460"/>
      <c r="C4" s="28" t="s">
        <v>92</v>
      </c>
      <c r="D4" s="180">
        <v>31.4</v>
      </c>
      <c r="E4" s="22" t="s">
        <v>162</v>
      </c>
      <c r="F4" s="183">
        <v>2.92</v>
      </c>
      <c r="G4" s="2463"/>
      <c r="H4" s="2303"/>
    </row>
    <row r="5" spans="1:8" ht="18.75" x14ac:dyDescent="0.3">
      <c r="A5" s="2456"/>
      <c r="B5" s="2460"/>
      <c r="C5" s="28" t="s">
        <v>93</v>
      </c>
      <c r="D5" s="180">
        <v>72</v>
      </c>
      <c r="E5" s="22" t="s">
        <v>163</v>
      </c>
      <c r="F5" s="183">
        <v>0.11</v>
      </c>
      <c r="G5" s="2463"/>
      <c r="H5" s="2303"/>
    </row>
    <row r="6" spans="1:8" ht="18.75" x14ac:dyDescent="0.3">
      <c r="A6" s="2458"/>
      <c r="B6" s="2461"/>
      <c r="C6" s="28" t="s">
        <v>1722</v>
      </c>
      <c r="D6" s="180">
        <v>24.9</v>
      </c>
      <c r="E6" s="22" t="s">
        <v>164</v>
      </c>
      <c r="F6" s="183">
        <v>1.82</v>
      </c>
      <c r="G6" s="2465"/>
      <c r="H6" s="2303"/>
    </row>
    <row r="7" spans="1:8" ht="18.75" x14ac:dyDescent="0.3">
      <c r="A7" s="2455">
        <v>2</v>
      </c>
      <c r="B7" s="2472" t="s">
        <v>73</v>
      </c>
      <c r="C7" s="28" t="s">
        <v>92</v>
      </c>
      <c r="D7" s="180">
        <v>1.7</v>
      </c>
      <c r="E7" s="22" t="s">
        <v>162</v>
      </c>
      <c r="F7" s="183">
        <v>2.92</v>
      </c>
      <c r="G7" s="2462">
        <v>23400</v>
      </c>
      <c r="H7" s="2303">
        <v>12</v>
      </c>
    </row>
    <row r="8" spans="1:8" ht="18.75" x14ac:dyDescent="0.3">
      <c r="A8" s="2456"/>
      <c r="B8" s="2473"/>
      <c r="C8" s="28" t="s">
        <v>93</v>
      </c>
      <c r="D8" s="180">
        <v>4.4000000000000004</v>
      </c>
      <c r="E8" s="22" t="s">
        <v>163</v>
      </c>
      <c r="F8" s="183">
        <v>0.11</v>
      </c>
      <c r="G8" s="2463"/>
      <c r="H8" s="2303"/>
    </row>
    <row r="9" spans="1:8" ht="18.75" x14ac:dyDescent="0.3">
      <c r="A9" s="2458"/>
      <c r="B9" s="2474"/>
      <c r="C9" s="28" t="s">
        <v>1722</v>
      </c>
      <c r="D9" s="180">
        <v>1.5</v>
      </c>
      <c r="E9" s="22" t="s">
        <v>164</v>
      </c>
      <c r="F9" s="183">
        <v>1.82</v>
      </c>
      <c r="G9" s="2465"/>
      <c r="H9" s="2303"/>
    </row>
    <row r="10" spans="1:8" ht="18.75" x14ac:dyDescent="0.3">
      <c r="A10" s="2455">
        <v>3</v>
      </c>
      <c r="B10" s="2459" t="s">
        <v>155</v>
      </c>
      <c r="C10" s="28" t="s">
        <v>154</v>
      </c>
      <c r="D10" s="180">
        <v>16.399999999999999</v>
      </c>
      <c r="E10" s="22" t="s">
        <v>162</v>
      </c>
      <c r="F10" s="183">
        <v>2.68</v>
      </c>
      <c r="G10" s="2462">
        <v>11400</v>
      </c>
      <c r="H10" s="2303">
        <v>11.8</v>
      </c>
    </row>
    <row r="11" spans="1:8" ht="18.75" x14ac:dyDescent="0.3">
      <c r="A11" s="2456"/>
      <c r="B11" s="2460"/>
      <c r="C11" s="28" t="s">
        <v>92</v>
      </c>
      <c r="D11" s="180">
        <v>19.7</v>
      </c>
      <c r="E11" s="22" t="s">
        <v>162</v>
      </c>
      <c r="F11" s="183">
        <v>2.92</v>
      </c>
      <c r="G11" s="2463"/>
      <c r="H11" s="2303"/>
    </row>
    <row r="12" spans="1:8" ht="18.75" x14ac:dyDescent="0.3">
      <c r="A12" s="2456"/>
      <c r="B12" s="2460"/>
      <c r="C12" s="28" t="s">
        <v>93</v>
      </c>
      <c r="D12" s="180">
        <v>44.3</v>
      </c>
      <c r="E12" s="22" t="s">
        <v>163</v>
      </c>
      <c r="F12" s="183">
        <v>0.11</v>
      </c>
      <c r="G12" s="2463"/>
      <c r="H12" s="2303"/>
    </row>
    <row r="13" spans="1:8" ht="18.75" x14ac:dyDescent="0.3">
      <c r="A13" s="2458"/>
      <c r="B13" s="2461"/>
      <c r="C13" s="28" t="s">
        <v>1722</v>
      </c>
      <c r="D13" s="180">
        <v>15.6</v>
      </c>
      <c r="E13" s="22" t="s">
        <v>164</v>
      </c>
      <c r="F13" s="183">
        <v>1.82</v>
      </c>
      <c r="G13" s="2465"/>
      <c r="H13" s="2303"/>
    </row>
    <row r="14" spans="1:8" ht="18.75" x14ac:dyDescent="0.3">
      <c r="A14" s="2455">
        <v>4</v>
      </c>
      <c r="B14" s="2466" t="s">
        <v>152</v>
      </c>
      <c r="C14" s="28" t="s">
        <v>154</v>
      </c>
      <c r="D14" s="180">
        <v>13</v>
      </c>
      <c r="E14" s="22" t="s">
        <v>162</v>
      </c>
      <c r="F14" s="183">
        <v>2.68</v>
      </c>
      <c r="G14" s="2462">
        <v>24000</v>
      </c>
      <c r="H14" s="2303">
        <v>11.8</v>
      </c>
    </row>
    <row r="15" spans="1:8" ht="18.75" x14ac:dyDescent="0.3">
      <c r="A15" s="2456"/>
      <c r="B15" s="2467"/>
      <c r="C15" s="31" t="s">
        <v>92</v>
      </c>
      <c r="D15" s="181">
        <v>15.6</v>
      </c>
      <c r="E15" s="22" t="s">
        <v>162</v>
      </c>
      <c r="F15" s="184">
        <v>2.92</v>
      </c>
      <c r="G15" s="2463"/>
      <c r="H15" s="2303"/>
    </row>
    <row r="16" spans="1:8" ht="18.75" x14ac:dyDescent="0.3">
      <c r="A16" s="2456"/>
      <c r="B16" s="2467"/>
      <c r="C16" s="31" t="s">
        <v>93</v>
      </c>
      <c r="D16" s="181">
        <v>33.700000000000003</v>
      </c>
      <c r="E16" s="31" t="s">
        <v>163</v>
      </c>
      <c r="F16" s="184">
        <v>0.11</v>
      </c>
      <c r="G16" s="2463"/>
      <c r="H16" s="2303"/>
    </row>
    <row r="17" spans="1:8" ht="19.5" thickBot="1" x14ac:dyDescent="0.35">
      <c r="A17" s="2457"/>
      <c r="B17" s="2468"/>
      <c r="C17" s="32" t="s">
        <v>1722</v>
      </c>
      <c r="D17" s="182">
        <v>12.3</v>
      </c>
      <c r="E17" s="32" t="s">
        <v>164</v>
      </c>
      <c r="F17" s="185">
        <v>1.82</v>
      </c>
      <c r="G17" s="2464"/>
      <c r="H17" s="2303"/>
    </row>
    <row r="18" spans="1:8" ht="15.75" x14ac:dyDescent="0.25">
      <c r="A18" s="6"/>
      <c r="B18" s="8"/>
      <c r="C18" s="8"/>
      <c r="D18" s="8"/>
      <c r="E18" s="8"/>
      <c r="F18" s="8"/>
    </row>
    <row r="19" spans="1:8" ht="15.75" x14ac:dyDescent="0.25">
      <c r="A19" s="6"/>
      <c r="B19" s="7"/>
      <c r="C19" s="7"/>
      <c r="D19" s="7"/>
      <c r="E19" s="7"/>
      <c r="F19" s="7"/>
    </row>
    <row r="20" spans="1:8" ht="15.75" x14ac:dyDescent="0.25">
      <c r="A20" s="6"/>
      <c r="B20" s="7"/>
      <c r="C20" s="7"/>
      <c r="D20" s="7"/>
      <c r="E20" s="7"/>
      <c r="F20" s="7"/>
    </row>
    <row r="21" spans="1:8" ht="15.75" x14ac:dyDescent="0.25">
      <c r="A21" s="6"/>
      <c r="B21" s="9"/>
      <c r="C21" s="9"/>
      <c r="D21" s="9"/>
      <c r="E21" s="9"/>
      <c r="F21" s="9"/>
    </row>
    <row r="22" spans="1:8" ht="15.75" x14ac:dyDescent="0.25">
      <c r="A22" s="10"/>
      <c r="B22" s="7"/>
      <c r="C22" s="7"/>
      <c r="D22" s="7"/>
      <c r="E22" s="7"/>
      <c r="F22" s="7"/>
    </row>
  </sheetData>
  <mergeCells count="17">
    <mergeCell ref="A1:H1"/>
    <mergeCell ref="H3:H6"/>
    <mergeCell ref="H7:H9"/>
    <mergeCell ref="G3:G6"/>
    <mergeCell ref="B3:B6"/>
    <mergeCell ref="B7:B9"/>
    <mergeCell ref="A3:A6"/>
    <mergeCell ref="G7:G9"/>
    <mergeCell ref="A7:A9"/>
    <mergeCell ref="A14:A17"/>
    <mergeCell ref="A10:A13"/>
    <mergeCell ref="B10:B13"/>
    <mergeCell ref="H10:H13"/>
    <mergeCell ref="H14:H17"/>
    <mergeCell ref="G14:G17"/>
    <mergeCell ref="G10:G13"/>
    <mergeCell ref="B14:B17"/>
  </mergeCell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B1:W46"/>
  <sheetViews>
    <sheetView zoomScale="93" zoomScaleNormal="93" workbookViewId="0">
      <selection activeCell="D13" sqref="D13"/>
    </sheetView>
  </sheetViews>
  <sheetFormatPr defaultRowHeight="15" x14ac:dyDescent="0.25"/>
  <cols>
    <col min="2" max="2" width="67.7109375" customWidth="1"/>
    <col min="3" max="3" width="15.42578125" customWidth="1"/>
    <col min="4" max="4" width="27.42578125" customWidth="1"/>
    <col min="5" max="5" width="38.140625" customWidth="1"/>
    <col min="6" max="6" width="49.85546875" customWidth="1"/>
    <col min="7" max="7" width="41" customWidth="1"/>
    <col min="8" max="8" width="48.42578125" customWidth="1"/>
    <col min="9" max="9" width="41.5703125" customWidth="1"/>
    <col min="11" max="11" width="28" customWidth="1"/>
    <col min="15" max="15" width="18.7109375" customWidth="1"/>
    <col min="19" max="19" width="26.42578125" customWidth="1"/>
    <col min="23" max="23" width="21.28515625" customWidth="1"/>
  </cols>
  <sheetData>
    <row r="1" spans="2:23" ht="40.5" customHeight="1" thickBot="1" x14ac:dyDescent="0.3">
      <c r="B1" s="2403" t="s">
        <v>1179</v>
      </c>
      <c r="C1" s="2407"/>
      <c r="D1" s="2407"/>
      <c r="E1" s="2408"/>
    </row>
    <row r="2" spans="2:23" ht="15.75" thickBot="1" x14ac:dyDescent="0.3"/>
    <row r="3" spans="2:23" ht="40.5" customHeight="1" thickBot="1" x14ac:dyDescent="0.3">
      <c r="B3" s="2275" t="s">
        <v>8</v>
      </c>
      <c r="C3" s="2438"/>
      <c r="D3" s="2439"/>
      <c r="E3" s="12"/>
    </row>
    <row r="4" spans="2:23" ht="42.75" customHeight="1" thickBot="1" x14ac:dyDescent="0.3">
      <c r="B4" s="781" t="s">
        <v>6</v>
      </c>
      <c r="C4" s="932" t="s">
        <v>0</v>
      </c>
      <c r="D4" s="933" t="s">
        <v>7</v>
      </c>
      <c r="E4" s="13"/>
      <c r="G4" s="1"/>
      <c r="H4" s="1"/>
      <c r="J4" s="1"/>
      <c r="L4" s="1"/>
      <c r="M4" s="1"/>
      <c r="N4" s="1"/>
      <c r="O4" s="1"/>
      <c r="P4" s="1"/>
      <c r="Q4" s="1"/>
      <c r="R4" s="1"/>
      <c r="S4" s="2"/>
      <c r="W4" s="2"/>
    </row>
    <row r="5" spans="2:23" ht="18.75" x14ac:dyDescent="0.3">
      <c r="B5" s="936" t="s">
        <v>362</v>
      </c>
      <c r="C5" s="937" t="s">
        <v>1185</v>
      </c>
      <c r="D5" s="938">
        <f>(' QUICK OVERVIEW- Inputs&amp;Outputs'!$H$10)*(2.67 * 10^-4 )</f>
        <v>0</v>
      </c>
      <c r="E5" s="2475"/>
    </row>
    <row r="6" spans="2:23" ht="18.75" x14ac:dyDescent="0.3">
      <c r="B6" s="329" t="s">
        <v>363</v>
      </c>
      <c r="C6" s="784" t="s">
        <v>1185</v>
      </c>
      <c r="D6" s="330">
        <f>(' QUICK OVERVIEW- Inputs&amp;Outputs'!$L$10)*(2.58 * 10^-4)</f>
        <v>3.6063781800000001</v>
      </c>
      <c r="E6" s="2374"/>
    </row>
    <row r="7" spans="2:23" ht="18.75" x14ac:dyDescent="0.3">
      <c r="B7" s="329" t="s">
        <v>364</v>
      </c>
      <c r="C7" s="784" t="s">
        <v>1185</v>
      </c>
      <c r="D7" s="330">
        <f>' QUICK OVERVIEW- Inputs&amp;Outputs'!C12</f>
        <v>1</v>
      </c>
      <c r="E7" s="2374"/>
    </row>
    <row r="8" spans="2:23" ht="18.75" x14ac:dyDescent="0.25">
      <c r="B8" s="249" t="s">
        <v>904</v>
      </c>
      <c r="C8" s="784" t="s">
        <v>1185</v>
      </c>
      <c r="D8" s="453">
        <f>((' QUICK OVERVIEW- Inputs&amp;Outputs'!$C$21)*(4.34*10^-5))</f>
        <v>0</v>
      </c>
      <c r="E8" s="14"/>
    </row>
    <row r="9" spans="2:23" s="230" customFormat="1" ht="18.75" x14ac:dyDescent="0.25">
      <c r="B9" s="249" t="s">
        <v>905</v>
      </c>
      <c r="C9" s="784" t="s">
        <v>1185</v>
      </c>
      <c r="D9" s="453">
        <f>((' QUICK OVERVIEW- Inputs&amp;Outputs'!$C$22)*(6.19*10^-5))</f>
        <v>0</v>
      </c>
      <c r="E9" s="326"/>
      <c r="F9" s="352"/>
      <c r="G9" s="352"/>
      <c r="H9" s="352"/>
    </row>
    <row r="10" spans="2:23" s="230" customFormat="1" ht="18.75" x14ac:dyDescent="0.25">
      <c r="B10" s="249" t="s">
        <v>906</v>
      </c>
      <c r="C10" s="784" t="s">
        <v>1185</v>
      </c>
      <c r="D10" s="453">
        <f>(('Waste Mass Calculations'!D58)*(2.63*10^-4))</f>
        <v>0</v>
      </c>
      <c r="E10" s="442"/>
      <c r="F10" s="441"/>
      <c r="G10" s="441"/>
      <c r="H10" s="441"/>
    </row>
    <row r="11" spans="2:23" ht="18.75" x14ac:dyDescent="0.25">
      <c r="B11" s="319" t="s">
        <v>920</v>
      </c>
      <c r="C11" s="451" t="s">
        <v>1</v>
      </c>
      <c r="D11" s="324">
        <f>' QUICK OVERVIEW- Inputs&amp;Outputs'!C11</f>
        <v>6.96</v>
      </c>
      <c r="E11" s="66"/>
    </row>
    <row r="12" spans="2:23" s="230" customFormat="1" ht="18.75" x14ac:dyDescent="0.25">
      <c r="B12" s="319" t="s">
        <v>921</v>
      </c>
      <c r="C12" s="459" t="s">
        <v>1</v>
      </c>
      <c r="D12" s="324">
        <f>' QUICK OVERVIEW- Inputs&amp;Outputs'!$C$20</f>
        <v>0</v>
      </c>
      <c r="E12" s="460"/>
    </row>
    <row r="13" spans="2:23" s="230" customFormat="1" ht="18.75" x14ac:dyDescent="0.25">
      <c r="B13" s="319" t="s">
        <v>907</v>
      </c>
      <c r="C13" s="451" t="s">
        <v>212</v>
      </c>
      <c r="D13" s="331">
        <v>40</v>
      </c>
      <c r="E13" s="326"/>
    </row>
    <row r="14" spans="2:23" s="230" customFormat="1" ht="18.75" x14ac:dyDescent="0.25">
      <c r="B14" s="319" t="s">
        <v>908</v>
      </c>
      <c r="C14" s="451" t="s">
        <v>212</v>
      </c>
      <c r="D14" s="331">
        <v>17.5</v>
      </c>
      <c r="E14" s="450"/>
    </row>
    <row r="15" spans="2:23" s="230" customFormat="1" ht="18.75" x14ac:dyDescent="0.25">
      <c r="B15" s="319" t="s">
        <v>909</v>
      </c>
      <c r="C15" s="451" t="s">
        <v>212</v>
      </c>
      <c r="D15" s="331">
        <v>17</v>
      </c>
      <c r="E15" s="450"/>
    </row>
    <row r="16" spans="2:23" ht="18.75" x14ac:dyDescent="0.25">
      <c r="B16" s="319" t="s">
        <v>910</v>
      </c>
      <c r="C16" s="451" t="s">
        <v>1</v>
      </c>
      <c r="D16" s="324">
        <f>((SUM(D5:D10))/365)*(D13)-D11</f>
        <v>-6.4551914323287676</v>
      </c>
      <c r="E16" s="5"/>
    </row>
    <row r="17" spans="2:6" s="230" customFormat="1" ht="18.75" x14ac:dyDescent="0.25">
      <c r="B17" s="319" t="s">
        <v>911</v>
      </c>
      <c r="C17" s="451" t="s">
        <v>1</v>
      </c>
      <c r="D17" s="324">
        <f>((SUM(D5:D10)/365)*(D14))-D12</f>
        <v>0.22085374835616436</v>
      </c>
      <c r="E17" s="449"/>
    </row>
    <row r="18" spans="2:6" s="230" customFormat="1" ht="19.5" thickBot="1" x14ac:dyDescent="0.3">
      <c r="B18" s="146" t="s">
        <v>912</v>
      </c>
      <c r="C18" s="458" t="s">
        <v>1</v>
      </c>
      <c r="D18" s="177">
        <f>((SUM(D5:D10))/365)*(D15)</f>
        <v>0.21454364126027398</v>
      </c>
      <c r="E18" s="449"/>
    </row>
    <row r="19" spans="2:6" x14ac:dyDescent="0.25">
      <c r="B19" s="3"/>
      <c r="C19" s="3"/>
      <c r="E19" s="36"/>
    </row>
    <row r="20" spans="2:6" x14ac:dyDescent="0.25">
      <c r="B20" s="3"/>
      <c r="C20" s="3"/>
      <c r="D20" s="36"/>
      <c r="E20" s="36"/>
    </row>
    <row r="21" spans="2:6" x14ac:dyDescent="0.25">
      <c r="B21" s="3"/>
      <c r="C21" s="3"/>
      <c r="D21" s="36"/>
      <c r="E21" s="36"/>
    </row>
    <row r="22" spans="2:6" x14ac:dyDescent="0.25">
      <c r="B22" s="3"/>
      <c r="C22" s="3"/>
      <c r="D22" s="5"/>
      <c r="E22" s="4"/>
      <c r="F22" s="4"/>
    </row>
    <row r="23" spans="2:6" ht="15" customHeight="1" x14ac:dyDescent="0.25">
      <c r="B23" s="39"/>
      <c r="C23" s="39"/>
      <c r="D23" s="39"/>
      <c r="E23" s="39"/>
      <c r="F23" s="4"/>
    </row>
    <row r="24" spans="2:6" ht="18.75" customHeight="1" x14ac:dyDescent="0.25">
      <c r="B24" s="39"/>
      <c r="C24" s="39"/>
      <c r="D24" s="39"/>
      <c r="E24" s="39"/>
      <c r="F24" s="4"/>
    </row>
    <row r="25" spans="2:6" ht="18.75" x14ac:dyDescent="0.3">
      <c r="B25" s="15"/>
      <c r="C25" s="37"/>
      <c r="D25" s="40"/>
      <c r="E25" s="40"/>
    </row>
    <row r="26" spans="2:6" x14ac:dyDescent="0.25">
      <c r="B26" s="38"/>
      <c r="C26" s="3"/>
      <c r="D26" s="41"/>
      <c r="E26" s="41"/>
    </row>
    <row r="27" spans="2:6" x14ac:dyDescent="0.25">
      <c r="B27" s="38"/>
      <c r="C27" s="3"/>
      <c r="D27" s="41"/>
      <c r="E27" s="41"/>
    </row>
    <row r="28" spans="2:6" x14ac:dyDescent="0.25">
      <c r="B28" s="38"/>
      <c r="C28" s="3"/>
      <c r="D28" s="41"/>
      <c r="E28" s="41"/>
    </row>
    <row r="29" spans="2:6" x14ac:dyDescent="0.25">
      <c r="B29" s="38"/>
      <c r="C29" s="3"/>
      <c r="D29" s="41"/>
      <c r="E29" s="41"/>
    </row>
    <row r="30" spans="2:6" x14ac:dyDescent="0.25">
      <c r="B30" s="38"/>
      <c r="C30" s="3"/>
      <c r="D30" s="41"/>
      <c r="E30" s="41"/>
    </row>
    <row r="31" spans="2:6" x14ac:dyDescent="0.25">
      <c r="B31" s="38"/>
      <c r="C31" s="3"/>
      <c r="D31" s="41"/>
      <c r="E31" s="41"/>
    </row>
    <row r="32" spans="2:6" x14ac:dyDescent="0.25">
      <c r="B32" s="38"/>
      <c r="C32" s="3"/>
      <c r="D32" s="41"/>
      <c r="E32" s="41"/>
    </row>
    <row r="33" spans="2:6" x14ac:dyDescent="0.25">
      <c r="B33" s="38"/>
      <c r="C33" s="3"/>
      <c r="D33" s="41"/>
      <c r="E33" s="41"/>
    </row>
    <row r="34" spans="2:6" x14ac:dyDescent="0.25">
      <c r="B34" s="38"/>
      <c r="C34" s="3"/>
      <c r="D34" s="41"/>
      <c r="E34" s="41"/>
    </row>
    <row r="35" spans="2:6" x14ac:dyDescent="0.25">
      <c r="B35" s="38"/>
      <c r="C35" s="3"/>
      <c r="D35" s="41"/>
      <c r="E35" s="41"/>
    </row>
    <row r="36" spans="2:6" x14ac:dyDescent="0.25">
      <c r="B36" s="38"/>
      <c r="C36" s="3"/>
      <c r="D36" s="41"/>
      <c r="E36" s="41"/>
    </row>
    <row r="37" spans="2:6" x14ac:dyDescent="0.25">
      <c r="B37" s="38"/>
      <c r="C37" s="3"/>
      <c r="D37" s="41"/>
      <c r="E37" s="41"/>
    </row>
    <row r="39" spans="2:6" x14ac:dyDescent="0.25">
      <c r="B39" s="2477"/>
      <c r="C39" s="2477"/>
      <c r="D39" s="3"/>
      <c r="E39" s="3"/>
      <c r="F39" s="3"/>
    </row>
    <row r="40" spans="2:6" x14ac:dyDescent="0.25">
      <c r="B40" s="3"/>
      <c r="C40" s="3"/>
      <c r="D40" s="3"/>
      <c r="E40" s="3"/>
    </row>
    <row r="41" spans="2:6" x14ac:dyDescent="0.25">
      <c r="B41" s="3"/>
      <c r="C41" s="3"/>
      <c r="D41" s="3"/>
      <c r="E41" s="3"/>
    </row>
    <row r="42" spans="2:6" x14ac:dyDescent="0.25">
      <c r="B42" s="3"/>
      <c r="C42" s="3"/>
      <c r="D42" s="3"/>
      <c r="E42" s="3"/>
    </row>
    <row r="43" spans="2:6" x14ac:dyDescent="0.25">
      <c r="B43" s="3"/>
      <c r="C43" s="3"/>
      <c r="D43" s="3"/>
      <c r="E43" s="3"/>
    </row>
    <row r="44" spans="2:6" x14ac:dyDescent="0.25">
      <c r="B44" s="3"/>
      <c r="C44" s="3"/>
      <c r="D44" s="3"/>
      <c r="E44" s="3"/>
    </row>
    <row r="45" spans="2:6" x14ac:dyDescent="0.25">
      <c r="B45" s="3"/>
      <c r="C45" s="3"/>
      <c r="D45" s="3"/>
      <c r="E45" s="3"/>
    </row>
    <row r="46" spans="2:6" ht="15" customHeight="1" x14ac:dyDescent="0.35">
      <c r="B46" s="2476"/>
      <c r="C46" s="2476"/>
      <c r="D46" s="2476"/>
      <c r="E46" s="2476"/>
    </row>
  </sheetData>
  <mergeCells count="5">
    <mergeCell ref="B1:E1"/>
    <mergeCell ref="E5:E7"/>
    <mergeCell ref="B46:E46"/>
    <mergeCell ref="B39:C39"/>
    <mergeCell ref="B3:D3"/>
  </mergeCells>
  <phoneticPr fontId="3" type="noConversion"/>
  <pageMargins left="0.7" right="0.7" top="0.75" bottom="0.75" header="0.3" footer="0.3"/>
  <pageSetup orientation="portrait"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F2A1F3-3096-4229-B100-4AF09B7D0170}">
  <sheetPr codeName="Sheet9"/>
  <dimension ref="A1:Z98"/>
  <sheetViews>
    <sheetView topLeftCell="B1" zoomScale="87" zoomScaleNormal="87" workbookViewId="0">
      <selection activeCell="B2" sqref="B2:G2"/>
    </sheetView>
  </sheetViews>
  <sheetFormatPr defaultColWidth="9.140625" defaultRowHeight="15" x14ac:dyDescent="0.25"/>
  <cols>
    <col min="1" max="1" width="11.85546875" style="230" customWidth="1"/>
    <col min="2" max="2" width="77.28515625" style="230" customWidth="1"/>
    <col min="3" max="3" width="25.5703125" style="230" customWidth="1"/>
    <col min="4" max="4" width="27.140625" style="230" customWidth="1"/>
    <col min="5" max="5" width="30.85546875" style="230" customWidth="1"/>
    <col min="6" max="7" width="47.5703125" style="230" customWidth="1"/>
    <col min="8" max="8" width="33" style="230" customWidth="1"/>
    <col min="9" max="9" width="18.5703125" style="230" customWidth="1"/>
    <col min="10" max="11" width="22" style="230" customWidth="1"/>
    <col min="12" max="13" width="25" style="230" customWidth="1"/>
    <col min="14" max="14" width="19" style="230" customWidth="1"/>
    <col min="15" max="16" width="18.42578125" style="230" customWidth="1"/>
    <col min="17" max="18" width="20" style="230" customWidth="1"/>
    <col min="19" max="19" width="23.7109375" style="230" customWidth="1"/>
    <col min="20" max="20" width="26.42578125" style="230" customWidth="1"/>
    <col min="21" max="21" width="30" style="230" customWidth="1"/>
    <col min="22" max="22" width="14.42578125" style="230" customWidth="1"/>
    <col min="23" max="23" width="19" style="230" customWidth="1"/>
    <col min="24" max="24" width="19.140625" style="230" customWidth="1"/>
    <col min="25" max="25" width="23.140625" style="230" customWidth="1"/>
    <col min="26" max="26" width="19.7109375" style="230" customWidth="1"/>
    <col min="27" max="16384" width="9.140625" style="230"/>
  </cols>
  <sheetData>
    <row r="1" spans="2:9" ht="15.75" thickBot="1" x14ac:dyDescent="0.3"/>
    <row r="2" spans="2:9" ht="53.25" customHeight="1" thickBot="1" x14ac:dyDescent="0.3">
      <c r="B2" s="2403" t="s">
        <v>1178</v>
      </c>
      <c r="C2" s="2404"/>
      <c r="D2" s="2404"/>
      <c r="E2" s="2404"/>
      <c r="F2" s="2404"/>
      <c r="G2" s="2405"/>
    </row>
    <row r="3" spans="2:9" ht="15.75" thickBot="1" x14ac:dyDescent="0.3"/>
    <row r="4" spans="2:9" ht="85.5" customHeight="1" thickBot="1" x14ac:dyDescent="0.3">
      <c r="B4" s="2505" t="s">
        <v>1138</v>
      </c>
      <c r="C4" s="2506"/>
      <c r="D4" s="2506"/>
      <c r="E4" s="2507"/>
      <c r="F4" s="942" t="s">
        <v>1139</v>
      </c>
      <c r="G4" s="1406" t="s">
        <v>1405</v>
      </c>
      <c r="H4" s="246"/>
    </row>
    <row r="5" spans="2:9" ht="21.75" thickBot="1" x14ac:dyDescent="0.3">
      <c r="B5" s="939" t="s">
        <v>13</v>
      </c>
      <c r="C5" s="940" t="s">
        <v>0</v>
      </c>
      <c r="D5" s="940" t="s">
        <v>10</v>
      </c>
      <c r="E5" s="941" t="s">
        <v>1292</v>
      </c>
      <c r="F5" s="487" t="s">
        <v>14</v>
      </c>
      <c r="G5" s="1407" t="s">
        <v>934</v>
      </c>
      <c r="H5" s="474"/>
      <c r="I5" s="3"/>
    </row>
    <row r="6" spans="2:9" ht="18.75" x14ac:dyDescent="0.3">
      <c r="B6" s="477" t="s">
        <v>729</v>
      </c>
      <c r="C6" s="475"/>
      <c r="D6" s="475"/>
      <c r="E6" s="476"/>
      <c r="F6" s="423"/>
      <c r="G6" s="476"/>
      <c r="H6" s="473"/>
      <c r="I6" s="3"/>
    </row>
    <row r="7" spans="2:9" ht="18.75" x14ac:dyDescent="0.3">
      <c r="B7" s="319" t="s">
        <v>1534</v>
      </c>
      <c r="C7" s="472" t="s">
        <v>74</v>
      </c>
      <c r="D7" s="466">
        <v>4.1099999999999998E-2</v>
      </c>
      <c r="E7" s="2357">
        <f>D7*D8</f>
        <v>12473.38082191781</v>
      </c>
      <c r="F7" s="2500">
        <f>(D8*365*D7*911)/(0.3047*0.3047*0.3047)</f>
        <v>146614883847.92999</v>
      </c>
      <c r="G7" s="2490">
        <f>(F7*0.2925)/3412</f>
        <v>12568831.63116047</v>
      </c>
      <c r="H7" s="496"/>
      <c r="I7" s="3"/>
    </row>
    <row r="8" spans="2:9" ht="19.5" thickBot="1" x14ac:dyDescent="0.35">
      <c r="B8" s="146" t="s">
        <v>9</v>
      </c>
      <c r="C8" s="480" t="s">
        <v>11</v>
      </c>
      <c r="D8" s="468">
        <f>('Waste Mass Calculations'!I8*2000)/(365)</f>
        <v>303488.58447488589</v>
      </c>
      <c r="E8" s="2508"/>
      <c r="F8" s="2501"/>
      <c r="G8" s="2491"/>
      <c r="H8" s="348"/>
      <c r="I8" s="3"/>
    </row>
    <row r="9" spans="2:9" ht="37.5" x14ac:dyDescent="0.3">
      <c r="B9" s="478" t="s">
        <v>493</v>
      </c>
      <c r="C9" s="475"/>
      <c r="D9" s="467"/>
      <c r="E9" s="484"/>
      <c r="F9" s="413"/>
      <c r="G9" s="489"/>
      <c r="H9" s="486"/>
      <c r="I9" s="3"/>
    </row>
    <row r="10" spans="2:9" ht="18.75" x14ac:dyDescent="0.3">
      <c r="B10" s="319" t="s">
        <v>1534</v>
      </c>
      <c r="C10" s="472" t="s">
        <v>74</v>
      </c>
      <c r="D10" s="466">
        <v>4.1099999999999998E-2</v>
      </c>
      <c r="E10" s="2479">
        <f>D10*D11</f>
        <v>0</v>
      </c>
      <c r="F10" s="2502">
        <f>(D11*365*911*D10)/(0.3047*0.3047*0.3047)</f>
        <v>0</v>
      </c>
      <c r="G10" s="2490">
        <f>(F10*0.2925)/3412</f>
        <v>0</v>
      </c>
      <c r="H10" s="496"/>
      <c r="I10" s="3"/>
    </row>
    <row r="11" spans="2:9" ht="19.5" thickBot="1" x14ac:dyDescent="0.35">
      <c r="B11" s="146" t="s">
        <v>9</v>
      </c>
      <c r="C11" s="480" t="s">
        <v>11</v>
      </c>
      <c r="D11" s="468">
        <f>'Waste Mass Calculations'!D12*(2000/1)*(1/365)</f>
        <v>0</v>
      </c>
      <c r="E11" s="2480"/>
      <c r="F11" s="2503"/>
      <c r="G11" s="2491"/>
      <c r="H11" s="348"/>
      <c r="I11" s="3"/>
    </row>
    <row r="12" spans="2:9" ht="37.5" x14ac:dyDescent="0.3">
      <c r="B12" s="478" t="s">
        <v>494</v>
      </c>
      <c r="C12" s="475"/>
      <c r="D12" s="467"/>
      <c r="E12" s="189"/>
      <c r="F12" s="413"/>
      <c r="G12" s="489"/>
      <c r="H12" s="490"/>
      <c r="I12" s="3"/>
    </row>
    <row r="13" spans="2:9" ht="18.75" x14ac:dyDescent="0.3">
      <c r="B13" s="319" t="s">
        <v>1534</v>
      </c>
      <c r="C13" s="472" t="s">
        <v>74</v>
      </c>
      <c r="D13" s="466">
        <v>4.1099999999999998E-2</v>
      </c>
      <c r="E13" s="2498">
        <f>D13*D14</f>
        <v>0</v>
      </c>
      <c r="F13" s="2504">
        <f>(D14*D13*365*911)/(0.3047*0.3047*0.3047)</f>
        <v>0</v>
      </c>
      <c r="G13" s="2490">
        <f>(F13*0.2925)/3412</f>
        <v>0</v>
      </c>
      <c r="H13" s="496"/>
      <c r="I13" s="3"/>
    </row>
    <row r="14" spans="2:9" ht="19.5" thickBot="1" x14ac:dyDescent="0.35">
      <c r="B14" s="146" t="s">
        <v>9</v>
      </c>
      <c r="C14" s="480" t="s">
        <v>11</v>
      </c>
      <c r="D14" s="468">
        <f>'Waste Mass Calculations'!D14*(2000/1)*(1/365)</f>
        <v>0</v>
      </c>
      <c r="E14" s="2499"/>
      <c r="F14" s="2487"/>
      <c r="G14" s="2491"/>
      <c r="H14" s="348"/>
      <c r="I14" s="3"/>
    </row>
    <row r="15" spans="2:9" ht="18.75" x14ac:dyDescent="0.3">
      <c r="B15" s="478" t="s">
        <v>495</v>
      </c>
      <c r="C15" s="475"/>
      <c r="D15" s="467"/>
      <c r="E15" s="485"/>
      <c r="F15" s="488"/>
      <c r="G15" s="489"/>
      <c r="H15" s="490"/>
      <c r="I15" s="3"/>
    </row>
    <row r="16" spans="2:9" ht="18.75" x14ac:dyDescent="0.3">
      <c r="B16" s="319" t="s">
        <v>1534</v>
      </c>
      <c r="C16" s="472" t="s">
        <v>74</v>
      </c>
      <c r="D16" s="466">
        <v>4.1099999999999998E-2</v>
      </c>
      <c r="E16" s="2498">
        <f>D16*D17</f>
        <v>0</v>
      </c>
      <c r="F16" s="2504">
        <f>(E16*365*D16*911)/(0.3047*0.3047*0.3047)</f>
        <v>0</v>
      </c>
      <c r="G16" s="2490">
        <f>(F16*0.2925)/3412</f>
        <v>0</v>
      </c>
      <c r="H16" s="490"/>
      <c r="I16" s="3"/>
    </row>
    <row r="17" spans="2:9" ht="19.5" thickBot="1" x14ac:dyDescent="0.35">
      <c r="B17" s="146" t="s">
        <v>9</v>
      </c>
      <c r="C17" s="480" t="s">
        <v>11</v>
      </c>
      <c r="D17" s="468">
        <f>'Waste Mass Calculations'!D16*(2000/1)*(1/365)</f>
        <v>0</v>
      </c>
      <c r="E17" s="2499"/>
      <c r="F17" s="2487"/>
      <c r="G17" s="2491"/>
      <c r="H17" s="486"/>
      <c r="I17" s="3"/>
    </row>
    <row r="18" spans="2:9" ht="18.75" x14ac:dyDescent="0.3">
      <c r="B18" s="1652" t="s">
        <v>1594</v>
      </c>
      <c r="C18" s="1653"/>
      <c r="D18" s="1654"/>
      <c r="E18" s="1607"/>
      <c r="F18" s="1605"/>
      <c r="G18" s="1604"/>
      <c r="H18" s="486"/>
      <c r="I18" s="3"/>
    </row>
    <row r="19" spans="2:9" ht="18.75" x14ac:dyDescent="0.3">
      <c r="B19" s="319" t="s">
        <v>1534</v>
      </c>
      <c r="C19" s="1598" t="s">
        <v>74</v>
      </c>
      <c r="D19" s="466">
        <v>4.1099999999999998E-2</v>
      </c>
      <c r="E19" s="2479">
        <f>D19*D20</f>
        <v>0</v>
      </c>
      <c r="F19" s="2481">
        <f>(E19*365*D19*911)/(0.3047*0.3047*0.3047)</f>
        <v>0</v>
      </c>
      <c r="G19" s="2483">
        <f>(F19*0.2925)/3412</f>
        <v>0</v>
      </c>
      <c r="H19" s="486"/>
      <c r="I19" s="3"/>
    </row>
    <row r="20" spans="2:9" ht="19.5" thickBot="1" x14ac:dyDescent="0.35">
      <c r="B20" s="960" t="s">
        <v>9</v>
      </c>
      <c r="C20" s="1002" t="s">
        <v>11</v>
      </c>
      <c r="D20" s="468">
        <f>'Waste Mass Calculations'!$D$17*(2000/1)*(1/365)</f>
        <v>0</v>
      </c>
      <c r="E20" s="2480"/>
      <c r="F20" s="2482"/>
      <c r="G20" s="2484"/>
      <c r="H20" s="486"/>
      <c r="I20" s="3"/>
    </row>
    <row r="21" spans="2:9" ht="37.5" x14ac:dyDescent="0.3">
      <c r="B21" s="1348" t="s">
        <v>1595</v>
      </c>
      <c r="C21" s="307"/>
      <c r="D21" s="469"/>
      <c r="E21" s="1408"/>
      <c r="F21" s="1409"/>
      <c r="G21" s="1411"/>
      <c r="H21" s="490"/>
      <c r="I21" s="3"/>
    </row>
    <row r="22" spans="2:9" ht="18.75" x14ac:dyDescent="0.3">
      <c r="B22" s="319" t="s">
        <v>1535</v>
      </c>
      <c r="C22" s="472" t="s">
        <v>74</v>
      </c>
      <c r="D22" s="466">
        <v>4.1099999999999998E-2</v>
      </c>
      <c r="E22" s="2498">
        <f>D22*D23</f>
        <v>0</v>
      </c>
      <c r="F22" s="2504">
        <f>(D23*365*911*D22)/(0.3047*0.3047*0.3047)</f>
        <v>0</v>
      </c>
      <c r="G22" s="2490">
        <f>(F22*0.2925)/3412</f>
        <v>0</v>
      </c>
      <c r="H22" s="490"/>
      <c r="I22" s="3"/>
    </row>
    <row r="23" spans="2:9" ht="19.5" thickBot="1" x14ac:dyDescent="0.35">
      <c r="B23" s="146" t="s">
        <v>9</v>
      </c>
      <c r="C23" s="480" t="s">
        <v>11</v>
      </c>
      <c r="D23" s="468">
        <f>'Waste Mass Calculations'!D21*(2000/1)*(1/365)</f>
        <v>0</v>
      </c>
      <c r="E23" s="2499"/>
      <c r="F23" s="2487"/>
      <c r="G23" s="2491"/>
      <c r="H23" s="486"/>
      <c r="I23" s="3"/>
    </row>
    <row r="24" spans="2:9" ht="37.5" x14ac:dyDescent="0.3">
      <c r="B24" s="478" t="s">
        <v>1596</v>
      </c>
      <c r="C24" s="475"/>
      <c r="D24" s="467"/>
      <c r="E24" s="485"/>
      <c r="F24" s="488"/>
      <c r="G24" s="489"/>
      <c r="H24" s="490"/>
      <c r="I24" s="3"/>
    </row>
    <row r="25" spans="2:9" ht="18.75" x14ac:dyDescent="0.3">
      <c r="B25" s="319" t="s">
        <v>1534</v>
      </c>
      <c r="C25" s="472" t="s">
        <v>74</v>
      </c>
      <c r="D25" s="466">
        <v>4.1099999999999998E-2</v>
      </c>
      <c r="E25" s="2498">
        <f>D25*D26</f>
        <v>0</v>
      </c>
      <c r="F25" s="2504">
        <f>(D26*365*911*D25)/(0.3047*0.3047*0.3047)</f>
        <v>0</v>
      </c>
      <c r="G25" s="2490">
        <f>(F25*0.2925)/3412</f>
        <v>0</v>
      </c>
      <c r="H25" s="348"/>
      <c r="I25" s="3"/>
    </row>
    <row r="26" spans="2:9" ht="19.5" thickBot="1" x14ac:dyDescent="0.35">
      <c r="B26" s="146" t="s">
        <v>9</v>
      </c>
      <c r="C26" s="480" t="s">
        <v>11</v>
      </c>
      <c r="D26" s="468">
        <f>'Waste Mass Calculations'!D23*(2000/1)*(1/365)</f>
        <v>0</v>
      </c>
      <c r="E26" s="2499"/>
      <c r="F26" s="2487"/>
      <c r="G26" s="2491"/>
      <c r="H26" s="348"/>
      <c r="I26" s="3"/>
    </row>
    <row r="27" spans="2:9" ht="18.75" x14ac:dyDescent="0.3">
      <c r="B27" s="1652" t="s">
        <v>1598</v>
      </c>
      <c r="C27" s="1653"/>
      <c r="D27" s="1654"/>
      <c r="E27" s="1607"/>
      <c r="F27" s="1605"/>
      <c r="G27" s="1604"/>
      <c r="H27" s="348"/>
      <c r="I27" s="3"/>
    </row>
    <row r="28" spans="2:9" ht="18.75" x14ac:dyDescent="0.3">
      <c r="B28" s="319" t="s">
        <v>1534</v>
      </c>
      <c r="C28" s="1598" t="s">
        <v>74</v>
      </c>
      <c r="D28" s="466">
        <v>4.1099999999999998E-2</v>
      </c>
      <c r="E28" s="2479">
        <f>D28*D29</f>
        <v>0</v>
      </c>
      <c r="F28" s="2481">
        <f>(E28*365*D28*911)/(0.3047*0.3047*0.3047)</f>
        <v>0</v>
      </c>
      <c r="G28" s="2483">
        <f>(F28*0.2925)/3412</f>
        <v>0</v>
      </c>
      <c r="H28" s="348"/>
      <c r="I28" s="3"/>
    </row>
    <row r="29" spans="2:9" ht="19.5" thickBot="1" x14ac:dyDescent="0.35">
      <c r="B29" s="960" t="s">
        <v>9</v>
      </c>
      <c r="C29" s="1002" t="s">
        <v>11</v>
      </c>
      <c r="D29" s="468">
        <f>'Waste Mass Calculations'!D24*(2000/1)*(1/365)</f>
        <v>0</v>
      </c>
      <c r="E29" s="2480"/>
      <c r="F29" s="2482"/>
      <c r="G29" s="2484"/>
      <c r="H29" s="348"/>
      <c r="I29" s="3"/>
    </row>
    <row r="30" spans="2:9" ht="18.75" x14ac:dyDescent="0.3">
      <c r="B30" s="478" t="s">
        <v>1597</v>
      </c>
      <c r="C30" s="475"/>
      <c r="D30" s="467"/>
      <c r="E30" s="485"/>
      <c r="F30" s="488"/>
      <c r="G30" s="489"/>
      <c r="H30" s="486"/>
      <c r="I30" s="3"/>
    </row>
    <row r="31" spans="2:9" ht="18.75" x14ac:dyDescent="0.3">
      <c r="B31" s="319" t="s">
        <v>1534</v>
      </c>
      <c r="C31" s="472" t="s">
        <v>74</v>
      </c>
      <c r="D31" s="466">
        <v>4.1099999999999998E-2</v>
      </c>
      <c r="E31" s="2498">
        <f>D31*D32</f>
        <v>0</v>
      </c>
      <c r="F31" s="2504">
        <f>(D32*365*911*D31)/(0.3047*0.3047*0.3047)</f>
        <v>0</v>
      </c>
      <c r="G31" s="2490">
        <f>(F31*0.2925)/3412</f>
        <v>0</v>
      </c>
      <c r="H31" s="348"/>
      <c r="I31" s="3"/>
    </row>
    <row r="32" spans="2:9" ht="19.5" thickBot="1" x14ac:dyDescent="0.35">
      <c r="B32" s="146" t="s">
        <v>9</v>
      </c>
      <c r="C32" s="480" t="s">
        <v>11</v>
      </c>
      <c r="D32" s="468">
        <f>'Waste Mass Calculations'!A28*(2000/1)*(1/365)</f>
        <v>0</v>
      </c>
      <c r="E32" s="2499"/>
      <c r="F32" s="2487"/>
      <c r="G32" s="2491"/>
      <c r="H32" s="348"/>
      <c r="I32" s="3"/>
    </row>
    <row r="33" spans="2:9" ht="18.75" x14ac:dyDescent="0.3">
      <c r="B33" s="477" t="s">
        <v>730</v>
      </c>
      <c r="C33" s="475"/>
      <c r="D33" s="467"/>
      <c r="E33" s="475"/>
      <c r="F33" s="425"/>
      <c r="G33" s="237"/>
      <c r="H33" s="247"/>
      <c r="I33" s="3"/>
    </row>
    <row r="34" spans="2:9" ht="18.75" x14ac:dyDescent="0.3">
      <c r="B34" s="319" t="s">
        <v>1536</v>
      </c>
      <c r="C34" s="472" t="s">
        <v>74</v>
      </c>
      <c r="D34" s="466">
        <v>4.9399999999999999E-2</v>
      </c>
      <c r="E34" s="2479">
        <f>D34*D35</f>
        <v>3783.6908164383563</v>
      </c>
      <c r="F34" s="2500">
        <f>(D35*365*911*D34)/(0.347*0.347*0.347)</f>
        <v>30111920694.219849</v>
      </c>
      <c r="G34" s="2490">
        <f>(F34*0.2925)/(3412)</f>
        <v>2581400.0008966313</v>
      </c>
      <c r="H34" s="348"/>
      <c r="I34" s="3"/>
    </row>
    <row r="35" spans="2:9" ht="19.5" thickBot="1" x14ac:dyDescent="0.35">
      <c r="B35" s="146" t="s">
        <v>9</v>
      </c>
      <c r="C35" s="480" t="s">
        <v>11</v>
      </c>
      <c r="D35" s="468">
        <f>('Waste Mass Calculations'!F35*2000)/(365)</f>
        <v>76592.931506849316</v>
      </c>
      <c r="E35" s="2480"/>
      <c r="F35" s="2501"/>
      <c r="G35" s="2491"/>
      <c r="H35" s="348"/>
      <c r="I35" s="3"/>
    </row>
    <row r="36" spans="2:9" ht="37.5" x14ac:dyDescent="0.3">
      <c r="B36" s="478" t="s">
        <v>497</v>
      </c>
      <c r="C36" s="475"/>
      <c r="D36" s="467"/>
      <c r="E36" s="411"/>
      <c r="F36" s="488"/>
      <c r="G36" s="489"/>
      <c r="H36" s="486"/>
      <c r="I36" s="3"/>
    </row>
    <row r="37" spans="2:9" ht="18.75" x14ac:dyDescent="0.3">
      <c r="B37" s="319" t="s">
        <v>1536</v>
      </c>
      <c r="C37" s="472" t="s">
        <v>74</v>
      </c>
      <c r="D37" s="466">
        <v>4.9399999999999999E-2</v>
      </c>
      <c r="E37" s="2498">
        <f>D37*D38</f>
        <v>0</v>
      </c>
      <c r="F37" s="2504">
        <f>(D38*365*D37*911)/(0.3047*0.3047*0.3047)</f>
        <v>0</v>
      </c>
      <c r="G37" s="2490">
        <f>(F37*0.2925)/(3412)</f>
        <v>0</v>
      </c>
      <c r="H37" s="486"/>
      <c r="I37" s="3"/>
    </row>
    <row r="38" spans="2:9" ht="19.5" thickBot="1" x14ac:dyDescent="0.35">
      <c r="B38" s="146" t="s">
        <v>9</v>
      </c>
      <c r="C38" s="480" t="s">
        <v>11</v>
      </c>
      <c r="D38" s="468">
        <f>'Waste Mass Calculations'!D39*(2000/1)*(1/365)</f>
        <v>0</v>
      </c>
      <c r="E38" s="2499"/>
      <c r="F38" s="2487"/>
      <c r="G38" s="2491"/>
      <c r="H38" s="486"/>
      <c r="I38" s="3"/>
    </row>
    <row r="39" spans="2:9" ht="18.75" x14ac:dyDescent="0.3">
      <c r="B39" s="1652" t="s">
        <v>1599</v>
      </c>
      <c r="C39" s="1653"/>
      <c r="D39" s="1654"/>
      <c r="E39" s="1607"/>
      <c r="F39" s="1605"/>
      <c r="G39" s="1604"/>
      <c r="H39" s="486"/>
      <c r="I39" s="3"/>
    </row>
    <row r="40" spans="2:9" ht="18.75" x14ac:dyDescent="0.3">
      <c r="B40" s="319" t="s">
        <v>1536</v>
      </c>
      <c r="C40" s="1598" t="s">
        <v>74</v>
      </c>
      <c r="D40" s="466">
        <v>4.9399999999999999E-2</v>
      </c>
      <c r="E40" s="2479">
        <f>D40*D41</f>
        <v>0</v>
      </c>
      <c r="F40" s="2481">
        <f>(E40*365*D40*911)/(0.3047*0.3047*0.3047)</f>
        <v>0</v>
      </c>
      <c r="G40" s="2483">
        <f>(F40*0.2925)/3412</f>
        <v>0</v>
      </c>
      <c r="H40" s="486"/>
      <c r="I40" s="3"/>
    </row>
    <row r="41" spans="2:9" ht="19.5" thickBot="1" x14ac:dyDescent="0.35">
      <c r="B41" s="960" t="s">
        <v>9</v>
      </c>
      <c r="C41" s="1002" t="s">
        <v>11</v>
      </c>
      <c r="D41" s="468">
        <f>'Waste Mass Calculations'!D40*(2000/1)*(1/365)</f>
        <v>0</v>
      </c>
      <c r="E41" s="2480"/>
      <c r="F41" s="2482"/>
      <c r="G41" s="2484"/>
      <c r="H41" s="486"/>
      <c r="I41" s="3"/>
    </row>
    <row r="42" spans="2:9" ht="18.75" x14ac:dyDescent="0.3">
      <c r="B42" s="478" t="s">
        <v>1600</v>
      </c>
      <c r="C42" s="475"/>
      <c r="D42" s="467"/>
      <c r="E42" s="485"/>
      <c r="F42" s="488"/>
      <c r="G42" s="489"/>
      <c r="H42" s="486"/>
      <c r="I42" s="3"/>
    </row>
    <row r="43" spans="2:9" ht="18.75" x14ac:dyDescent="0.3">
      <c r="B43" s="319" t="s">
        <v>1536</v>
      </c>
      <c r="C43" s="472" t="s">
        <v>74</v>
      </c>
      <c r="D43" s="466">
        <v>4.9399999999999999E-2</v>
      </c>
      <c r="E43" s="2498">
        <f>D43*D44</f>
        <v>0</v>
      </c>
      <c r="F43" s="2504">
        <f>(D44*365*D43*911)/(0.3047*0.3047*0.3047)</f>
        <v>0</v>
      </c>
      <c r="G43" s="2481">
        <f>(F43*0.2925)/(3412)</f>
        <v>0</v>
      </c>
      <c r="H43" s="348"/>
      <c r="I43" s="3"/>
    </row>
    <row r="44" spans="2:9" ht="19.5" thickBot="1" x14ac:dyDescent="0.35">
      <c r="B44" s="146" t="s">
        <v>9</v>
      </c>
      <c r="C44" s="480" t="s">
        <v>11</v>
      </c>
      <c r="D44" s="468">
        <f>'Waste Mass Calculations'!D44*(2000/1)*(1/365)</f>
        <v>0</v>
      </c>
      <c r="E44" s="2499"/>
      <c r="F44" s="2487"/>
      <c r="G44" s="2481"/>
      <c r="H44" s="348"/>
      <c r="I44" s="3"/>
    </row>
    <row r="45" spans="2:9" ht="18.75" x14ac:dyDescent="0.3">
      <c r="B45" s="478" t="s">
        <v>1601</v>
      </c>
      <c r="C45" s="475"/>
      <c r="D45" s="467"/>
      <c r="E45" s="485"/>
      <c r="F45" s="488"/>
      <c r="G45" s="1341"/>
      <c r="H45" s="486"/>
      <c r="I45" s="3"/>
    </row>
    <row r="46" spans="2:9" ht="18.75" x14ac:dyDescent="0.3">
      <c r="B46" s="319" t="s">
        <v>1536</v>
      </c>
      <c r="C46" s="472" t="s">
        <v>74</v>
      </c>
      <c r="D46" s="466">
        <v>4.9399999999999999E-2</v>
      </c>
      <c r="E46" s="2498">
        <f>D46*D47</f>
        <v>0</v>
      </c>
      <c r="F46" s="2488">
        <f>(D47*365*911*D46)/(0.3047*0.3047*0.3047)</f>
        <v>0</v>
      </c>
      <c r="G46" s="2493">
        <f>(F46*0.2925)/(3412)</f>
        <v>0</v>
      </c>
      <c r="H46" s="486"/>
      <c r="I46" s="3"/>
    </row>
    <row r="47" spans="2:9" ht="19.5" thickBot="1" x14ac:dyDescent="0.35">
      <c r="B47" s="146" t="s">
        <v>9</v>
      </c>
      <c r="C47" s="480" t="s">
        <v>11</v>
      </c>
      <c r="D47" s="468">
        <f>'Waste Mass Calculations'!D46*(2000/1)*(1/365)</f>
        <v>0</v>
      </c>
      <c r="E47" s="2499"/>
      <c r="F47" s="2489"/>
      <c r="G47" s="2491"/>
      <c r="H47" s="486"/>
      <c r="I47" s="3"/>
    </row>
    <row r="48" spans="2:9" ht="37.5" x14ac:dyDescent="0.3">
      <c r="B48" s="478" t="s">
        <v>1602</v>
      </c>
      <c r="C48" s="161"/>
      <c r="D48" s="467"/>
      <c r="E48" s="485"/>
      <c r="F48" s="423"/>
      <c r="G48" s="495"/>
      <c r="H48" s="486"/>
      <c r="I48" s="3"/>
    </row>
    <row r="49" spans="2:9" ht="18.75" x14ac:dyDescent="0.3">
      <c r="B49" s="319" t="s">
        <v>1536</v>
      </c>
      <c r="C49" s="472" t="s">
        <v>74</v>
      </c>
      <c r="D49" s="466">
        <v>4.9399999999999999E-2</v>
      </c>
      <c r="E49" s="2498">
        <f>D49*D50</f>
        <v>0</v>
      </c>
      <c r="F49" s="2488">
        <f>(D50*365*911*D49)/(0.3047*0.3047*0.3047)</f>
        <v>0</v>
      </c>
      <c r="G49" s="2493">
        <f>(F49*0.2925)/(3412)</f>
        <v>0</v>
      </c>
      <c r="H49" s="348"/>
      <c r="I49" s="3"/>
    </row>
    <row r="50" spans="2:9" ht="19.5" thickBot="1" x14ac:dyDescent="0.35">
      <c r="B50" s="146" t="s">
        <v>9</v>
      </c>
      <c r="C50" s="480" t="s">
        <v>11</v>
      </c>
      <c r="D50" s="468">
        <f>'Waste Mass Calculations'!D48*(2000/1)*(1/365)</f>
        <v>0</v>
      </c>
      <c r="E50" s="2499"/>
      <c r="F50" s="2489"/>
      <c r="G50" s="2491"/>
      <c r="H50" s="348"/>
      <c r="I50" s="3"/>
    </row>
    <row r="51" spans="2:9" ht="18.75" x14ac:dyDescent="0.3">
      <c r="B51" s="1652" t="s">
        <v>1603</v>
      </c>
      <c r="C51" s="1653"/>
      <c r="D51" s="1654"/>
      <c r="E51" s="1607"/>
      <c r="F51" s="1605"/>
      <c r="G51" s="1604"/>
      <c r="H51" s="348"/>
      <c r="I51" s="3"/>
    </row>
    <row r="52" spans="2:9" ht="18.75" x14ac:dyDescent="0.3">
      <c r="B52" s="319" t="s">
        <v>1536</v>
      </c>
      <c r="C52" s="1598" t="s">
        <v>74</v>
      </c>
      <c r="D52" s="466">
        <v>4.9399999999999999E-2</v>
      </c>
      <c r="E52" s="2479">
        <f>D52*D53</f>
        <v>0</v>
      </c>
      <c r="F52" s="2481">
        <f>(E52*365*D52*911)/(0.3047*0.3047*0.3047)</f>
        <v>0</v>
      </c>
      <c r="G52" s="2483">
        <f>(F52*0.2925)/3412</f>
        <v>0</v>
      </c>
      <c r="H52" s="348"/>
      <c r="I52" s="3"/>
    </row>
    <row r="53" spans="2:9" ht="19.5" thickBot="1" x14ac:dyDescent="0.35">
      <c r="B53" s="960" t="s">
        <v>9</v>
      </c>
      <c r="C53" s="1002" t="s">
        <v>11</v>
      </c>
      <c r="D53" s="468">
        <f>'Waste Mass Calculations'!D49*(2000/1)*(1/365)</f>
        <v>0</v>
      </c>
      <c r="E53" s="2480"/>
      <c r="F53" s="2482"/>
      <c r="G53" s="2484"/>
      <c r="H53" s="348"/>
      <c r="I53" s="3"/>
    </row>
    <row r="54" spans="2:9" ht="18.75" x14ac:dyDescent="0.3">
      <c r="B54" s="478" t="s">
        <v>1604</v>
      </c>
      <c r="C54" s="475"/>
      <c r="D54" s="467"/>
      <c r="E54" s="485"/>
      <c r="F54" s="423"/>
      <c r="G54" s="489"/>
      <c r="H54" s="486"/>
      <c r="I54" s="3"/>
    </row>
    <row r="55" spans="2:9" ht="18.75" x14ac:dyDescent="0.3">
      <c r="B55" s="319" t="s">
        <v>1536</v>
      </c>
      <c r="C55" s="472" t="s">
        <v>74</v>
      </c>
      <c r="D55" s="466">
        <v>4.9399999999999999E-2</v>
      </c>
      <c r="E55" s="2498">
        <f>D55*D56</f>
        <v>0</v>
      </c>
      <c r="F55" s="2488">
        <f>(D56*365*911*D55)/(0.3047*0.3047*0.3047)</f>
        <v>0</v>
      </c>
      <c r="G55" s="2490">
        <f>(F55*0.2925)/3412</f>
        <v>0</v>
      </c>
      <c r="H55" s="348"/>
      <c r="I55" s="3"/>
    </row>
    <row r="56" spans="2:9" ht="19.5" thickBot="1" x14ac:dyDescent="0.35">
      <c r="B56" s="146" t="s">
        <v>9</v>
      </c>
      <c r="C56" s="480" t="s">
        <v>11</v>
      </c>
      <c r="D56" s="468">
        <f>'Waste Mass Calculations'!A53*(2000/1)*(1/365)</f>
        <v>0</v>
      </c>
      <c r="E56" s="2499"/>
      <c r="F56" s="2489"/>
      <c r="G56" s="2491"/>
      <c r="H56" s="348"/>
      <c r="I56" s="3"/>
    </row>
    <row r="57" spans="2:9" ht="18.75" x14ac:dyDescent="0.3">
      <c r="B57" s="477" t="s">
        <v>498</v>
      </c>
      <c r="C57" s="475"/>
      <c r="D57" s="467"/>
      <c r="E57" s="2497">
        <f>D58*D60</f>
        <v>75150</v>
      </c>
      <c r="F57" s="2485">
        <f>(D60*365*911*D58)/(0.3047*0.3047*0.3047)</f>
        <v>883329762674.3894</v>
      </c>
      <c r="G57" s="2492">
        <f>(F57*0.2925)/(3412)</f>
        <v>75725074.906875402</v>
      </c>
      <c r="H57" s="348"/>
      <c r="I57" s="3"/>
    </row>
    <row r="58" spans="2:9" ht="18.75" x14ac:dyDescent="0.3">
      <c r="B58" s="319" t="s">
        <v>1537</v>
      </c>
      <c r="C58" s="472" t="s">
        <v>74</v>
      </c>
      <c r="D58" s="466">
        <v>8.9999999999999993E-3</v>
      </c>
      <c r="E58" s="2498"/>
      <c r="F58" s="2486"/>
      <c r="G58" s="2493"/>
      <c r="H58" s="348"/>
      <c r="I58" s="3"/>
    </row>
    <row r="59" spans="2:9" ht="18.75" x14ac:dyDescent="0.3">
      <c r="B59" s="319" t="s">
        <v>22</v>
      </c>
      <c r="C59" s="472" t="s">
        <v>15</v>
      </c>
      <c r="D59" s="466">
        <v>1</v>
      </c>
      <c r="E59" s="2498"/>
      <c r="F59" s="2486"/>
      <c r="G59" s="2493"/>
      <c r="H59" s="486"/>
      <c r="I59" s="3"/>
    </row>
    <row r="60" spans="2:9" ht="18.75" x14ac:dyDescent="0.3">
      <c r="B60" s="319" t="s">
        <v>23</v>
      </c>
      <c r="C60" s="472" t="s">
        <v>11</v>
      </c>
      <c r="D60" s="466">
        <f>D59*1000000*8.35</f>
        <v>8350000</v>
      </c>
      <c r="E60" s="2498"/>
      <c r="F60" s="2486"/>
      <c r="G60" s="2493"/>
      <c r="H60" s="486"/>
    </row>
    <row r="61" spans="2:9" ht="18.75" x14ac:dyDescent="0.3">
      <c r="B61" s="319" t="s">
        <v>731</v>
      </c>
      <c r="C61" s="472"/>
      <c r="D61" s="466">
        <v>0.05</v>
      </c>
      <c r="E61" s="2498"/>
      <c r="F61" s="2486"/>
      <c r="G61" s="2493"/>
      <c r="H61" s="486"/>
    </row>
    <row r="62" spans="2:9" ht="19.5" thickBot="1" x14ac:dyDescent="0.35">
      <c r="B62" s="146" t="s">
        <v>732</v>
      </c>
      <c r="C62" s="480"/>
      <c r="D62" s="468">
        <v>0.68</v>
      </c>
      <c r="E62" s="2499"/>
      <c r="F62" s="2487"/>
      <c r="G62" s="2491"/>
      <c r="H62" s="486"/>
    </row>
    <row r="63" spans="2:9" ht="18.75" x14ac:dyDescent="0.3">
      <c r="B63" s="477" t="s">
        <v>733</v>
      </c>
      <c r="C63" s="475"/>
      <c r="D63" s="467"/>
      <c r="E63" s="2494">
        <f>((D64*D67)+(D65*D68)+(D66*D69))</f>
        <v>0</v>
      </c>
      <c r="F63" s="2485">
        <f>(E63*365*911)/(0.3047*0.3047*0.3047)</f>
        <v>0</v>
      </c>
      <c r="G63" s="2492">
        <f>(F63*0.2925)/(3412)</f>
        <v>0</v>
      </c>
      <c r="H63" s="348"/>
    </row>
    <row r="64" spans="2:9" ht="18.75" x14ac:dyDescent="0.3">
      <c r="B64" s="319" t="s">
        <v>1538</v>
      </c>
      <c r="C64" s="472" t="s">
        <v>74</v>
      </c>
      <c r="D64" s="469">
        <v>0.01</v>
      </c>
      <c r="E64" s="2495"/>
      <c r="F64" s="2486"/>
      <c r="G64" s="2493"/>
      <c r="H64" s="348"/>
      <c r="I64" s="3"/>
    </row>
    <row r="65" spans="1:26" ht="18.75" x14ac:dyDescent="0.3">
      <c r="B65" s="319" t="s">
        <v>1539</v>
      </c>
      <c r="C65" s="472" t="s">
        <v>74</v>
      </c>
      <c r="D65" s="466">
        <v>1.5599999999999999E-2</v>
      </c>
      <c r="E65" s="2495"/>
      <c r="F65" s="2486"/>
      <c r="G65" s="2493"/>
      <c r="H65" s="486"/>
    </row>
    <row r="66" spans="1:26" ht="18.75" x14ac:dyDescent="0.3">
      <c r="B66" s="319" t="s">
        <v>1540</v>
      </c>
      <c r="C66" s="472" t="s">
        <v>74</v>
      </c>
      <c r="D66" s="466">
        <v>3.4200000000000001E-2</v>
      </c>
      <c r="E66" s="2495"/>
      <c r="F66" s="2486"/>
      <c r="G66" s="2493"/>
      <c r="H66" s="486"/>
    </row>
    <row r="67" spans="1:26" ht="18.75" x14ac:dyDescent="0.3">
      <c r="B67" s="319" t="s">
        <v>877</v>
      </c>
      <c r="C67" s="472" t="s">
        <v>11</v>
      </c>
      <c r="D67" s="466">
        <f>'Waste Mass Calculations'!E68*(2000/1)*(1/365)</f>
        <v>0</v>
      </c>
      <c r="E67" s="2495"/>
      <c r="F67" s="2486"/>
      <c r="G67" s="2493"/>
      <c r="H67" s="486"/>
    </row>
    <row r="68" spans="1:26" ht="18.75" x14ac:dyDescent="0.3">
      <c r="B68" s="319" t="s">
        <v>878</v>
      </c>
      <c r="C68" s="472" t="s">
        <v>11</v>
      </c>
      <c r="D68" s="466">
        <f>'Waste Mass Calculations'!E69*(2000/1)*(1/365)</f>
        <v>0</v>
      </c>
      <c r="E68" s="2495"/>
      <c r="F68" s="2486"/>
      <c r="G68" s="2493"/>
      <c r="H68" s="486"/>
    </row>
    <row r="69" spans="1:26" ht="19.5" thickBot="1" x14ac:dyDescent="0.35">
      <c r="B69" s="146" t="s">
        <v>879</v>
      </c>
      <c r="C69" s="480" t="s">
        <v>11</v>
      </c>
      <c r="D69" s="468">
        <f>'Waste Mass Calculations'!E70*(2000/1)*(1/365)</f>
        <v>0</v>
      </c>
      <c r="E69" s="2496"/>
      <c r="F69" s="2487"/>
      <c r="G69" s="2491"/>
      <c r="H69" s="486"/>
    </row>
    <row r="70" spans="1:26" ht="18.75" x14ac:dyDescent="0.3">
      <c r="B70" s="477" t="s">
        <v>695</v>
      </c>
      <c r="C70" s="475"/>
      <c r="D70" s="467"/>
      <c r="E70" s="2494">
        <f>D71*D72</f>
        <v>0</v>
      </c>
      <c r="F70" s="2485">
        <f>(D72*365*D71*911)/(0.3047*0.3047*0.3047)</f>
        <v>0</v>
      </c>
      <c r="G70" s="2492">
        <f>(F70*0.2925)/(3412)</f>
        <v>0</v>
      </c>
      <c r="H70" s="348"/>
      <c r="I70" s="3"/>
    </row>
    <row r="71" spans="1:26" ht="18.75" x14ac:dyDescent="0.3">
      <c r="B71" s="319" t="s">
        <v>1541</v>
      </c>
      <c r="C71" s="472" t="s">
        <v>74</v>
      </c>
      <c r="D71" s="466">
        <v>9.4399999999999998E-2</v>
      </c>
      <c r="E71" s="2495"/>
      <c r="F71" s="2486"/>
      <c r="G71" s="2493"/>
      <c r="H71" s="348"/>
      <c r="I71" s="3"/>
    </row>
    <row r="72" spans="1:26" ht="19.5" thickBot="1" x14ac:dyDescent="0.35">
      <c r="B72" s="146" t="s">
        <v>696</v>
      </c>
      <c r="C72" s="480" t="s">
        <v>11</v>
      </c>
      <c r="D72" s="468">
        <f>'Waste Mass Calculations'!E63*(2000/1)*(1/365)</f>
        <v>0</v>
      </c>
      <c r="E72" s="2496"/>
      <c r="F72" s="2487"/>
      <c r="G72" s="2491"/>
      <c r="H72" s="486"/>
    </row>
    <row r="73" spans="1:26" ht="18.75" x14ac:dyDescent="0.3">
      <c r="B73" s="477" t="s">
        <v>694</v>
      </c>
      <c r="C73" s="475"/>
      <c r="D73" s="467"/>
      <c r="E73" s="2497">
        <f>D75*D74</f>
        <v>0</v>
      </c>
      <c r="F73" s="2485">
        <f>(D75*365*D74*911)/(0.3047*0.3047*0.3047)</f>
        <v>0</v>
      </c>
      <c r="G73" s="2492">
        <f>(F73*0.2925)/3412</f>
        <v>0</v>
      </c>
      <c r="H73" s="348"/>
      <c r="I73" s="3"/>
    </row>
    <row r="74" spans="1:26" ht="18.75" x14ac:dyDescent="0.3">
      <c r="B74" s="319" t="s">
        <v>1542</v>
      </c>
      <c r="C74" s="472" t="s">
        <v>74</v>
      </c>
      <c r="D74" s="466">
        <v>0.34899999999999998</v>
      </c>
      <c r="E74" s="2498"/>
      <c r="F74" s="2486"/>
      <c r="G74" s="2493"/>
      <c r="H74" s="348"/>
      <c r="I74" s="3"/>
    </row>
    <row r="75" spans="1:26" ht="19.5" thickBot="1" x14ac:dyDescent="0.35">
      <c r="B75" s="146" t="s">
        <v>492</v>
      </c>
      <c r="C75" s="480" t="s">
        <v>11</v>
      </c>
      <c r="D75" s="468">
        <f>'Waste Mass Calculations'!D58*(2000/1)*(1/365)</f>
        <v>0</v>
      </c>
      <c r="E75" s="2499"/>
      <c r="F75" s="2487"/>
      <c r="G75" s="2491"/>
      <c r="H75" s="486"/>
    </row>
    <row r="76" spans="1:26" ht="19.5" thickBot="1" x14ac:dyDescent="0.3">
      <c r="B76" s="350" t="s">
        <v>935</v>
      </c>
      <c r="C76" s="491"/>
      <c r="D76" s="492"/>
      <c r="E76" s="351">
        <f>' QUICK OVERVIEW- Inputs&amp;Outputs'!W10</f>
        <v>3783.6908164383563</v>
      </c>
      <c r="F76" s="493">
        <f>' QUICK OVERVIEW- Inputs&amp;Outputs'!W12</f>
        <v>30111920694.219849</v>
      </c>
      <c r="G76" s="494">
        <f>' QUICK OVERVIEW- Inputs&amp;Outputs'!$W$14</f>
        <v>2581400.0008966313</v>
      </c>
      <c r="H76" s="348"/>
      <c r="I76" s="3"/>
    </row>
    <row r="77" spans="1:26" ht="15.75" thickBot="1" x14ac:dyDescent="0.3"/>
    <row r="78" spans="1:26" ht="38.25" customHeight="1" thickBot="1" x14ac:dyDescent="0.3">
      <c r="A78" s="2319" t="s">
        <v>491</v>
      </c>
      <c r="B78" s="2478"/>
      <c r="C78" s="2478"/>
      <c r="D78" s="2478"/>
      <c r="E78" s="2478"/>
      <c r="F78" s="2478"/>
      <c r="G78" s="2478"/>
      <c r="H78" s="2478"/>
      <c r="I78" s="2478"/>
      <c r="J78" s="2478"/>
      <c r="K78" s="2478"/>
      <c r="L78" s="2478"/>
      <c r="M78" s="2478"/>
      <c r="N78" s="2478"/>
      <c r="O78" s="2478"/>
      <c r="P78" s="2478"/>
      <c r="Q78" s="2478"/>
      <c r="R78" s="2478"/>
      <c r="S78" s="2478"/>
      <c r="T78" s="2478"/>
      <c r="U78" s="2478"/>
      <c r="V78" s="2478"/>
      <c r="W78" s="2478"/>
      <c r="X78" s="2478"/>
      <c r="Y78" s="2320"/>
      <c r="Z78" s="97"/>
    </row>
    <row r="79" spans="1:26" ht="113.25" thickBot="1" x14ac:dyDescent="0.3">
      <c r="A79" s="1679" t="s">
        <v>28</v>
      </c>
      <c r="B79" s="1680" t="s">
        <v>247</v>
      </c>
      <c r="C79" s="1680" t="s">
        <v>245</v>
      </c>
      <c r="D79" s="1681" t="s">
        <v>499</v>
      </c>
      <c r="E79" s="1681" t="s">
        <v>500</v>
      </c>
      <c r="F79" s="1681" t="s">
        <v>1605</v>
      </c>
      <c r="G79" s="1682" t="s">
        <v>1590</v>
      </c>
      <c r="H79" s="1681" t="s">
        <v>517</v>
      </c>
      <c r="I79" s="1681" t="s">
        <v>503</v>
      </c>
      <c r="J79" s="1683" t="s">
        <v>1591</v>
      </c>
      <c r="K79" s="1683" t="s">
        <v>520</v>
      </c>
      <c r="L79" s="1680" t="s">
        <v>42</v>
      </c>
      <c r="M79" s="1681" t="s">
        <v>504</v>
      </c>
      <c r="N79" s="1683" t="s">
        <v>1607</v>
      </c>
      <c r="O79" s="1681" t="s">
        <v>525</v>
      </c>
      <c r="P79" s="1681" t="s">
        <v>511</v>
      </c>
      <c r="Q79" s="1681" t="s">
        <v>524</v>
      </c>
      <c r="R79" s="1683" t="s">
        <v>1593</v>
      </c>
      <c r="S79" s="1683" t="s">
        <v>520</v>
      </c>
      <c r="T79" s="1684" t="s">
        <v>246</v>
      </c>
      <c r="U79" s="1685" t="s">
        <v>697</v>
      </c>
      <c r="V79" s="1686" t="s">
        <v>698</v>
      </c>
      <c r="W79" s="1687" t="s">
        <v>490</v>
      </c>
      <c r="X79" s="1688" t="s">
        <v>1141</v>
      </c>
      <c r="Y79" s="1689" t="s">
        <v>489</v>
      </c>
    </row>
    <row r="80" spans="1:26" ht="18.75" x14ac:dyDescent="0.3">
      <c r="A80" s="1356" t="s">
        <v>167</v>
      </c>
      <c r="B80" s="1666" t="s">
        <v>165</v>
      </c>
      <c r="C80" s="1667">
        <f>(G7*'Fleet Information'!D5)/33.7</f>
        <v>26853290.131856192</v>
      </c>
      <c r="D80" s="1667">
        <f>(G10*'Fleet Information'!D5)/33.7</f>
        <v>0</v>
      </c>
      <c r="E80" s="1667">
        <f>(G13*'Fleet Information'!D5)/33.7</f>
        <v>0</v>
      </c>
      <c r="F80" s="1667">
        <f>(G16*'Fleet Information'!D5)/33.7</f>
        <v>0</v>
      </c>
      <c r="G80" s="1668">
        <f>(G19*'Fleet Information'!D5)/33.7</f>
        <v>0</v>
      </c>
      <c r="H80" s="1667">
        <f>(G22*'Fleet Information'!D5)/33.7</f>
        <v>0</v>
      </c>
      <c r="I80" s="1667">
        <f>(G25*'Fleet Information'!D5)/33.7</f>
        <v>0</v>
      </c>
      <c r="J80" s="1668">
        <f>(G28*'Fleet Information'!D5)/33.7</f>
        <v>0</v>
      </c>
      <c r="K80" s="1667">
        <f>(G31*'Fleet Information'!D5)/33.7</f>
        <v>0</v>
      </c>
      <c r="L80" s="1667">
        <f>(G34*'Fleet Information'!D5)/33.7</f>
        <v>5515157.2719453247</v>
      </c>
      <c r="M80" s="1667">
        <f>(G37*'Fleet Information'!D5)/33.7</f>
        <v>0</v>
      </c>
      <c r="N80" s="1668">
        <f>(G40*'Fleet Information'!D5)/33.7</f>
        <v>0</v>
      </c>
      <c r="O80" s="1667">
        <f>(G43*'Fleet Information'!D5)/33.7</f>
        <v>0</v>
      </c>
      <c r="P80" s="1667">
        <f>(G46*'Fleet Information'!D5)/33.7</f>
        <v>0</v>
      </c>
      <c r="Q80" s="1667">
        <f>(G49*'Fleet Information'!D5)/33.7</f>
        <v>0</v>
      </c>
      <c r="R80" s="1668">
        <f>(G52*'Fleet Information'!D5)/33.7</f>
        <v>0</v>
      </c>
      <c r="S80" s="1667">
        <f>(G55*'Fleet Information'!D5)/33.7</f>
        <v>0</v>
      </c>
      <c r="T80" s="1667">
        <f>(G57*'Fleet Information'!D5)/33.7</f>
        <v>161786510.1867961</v>
      </c>
      <c r="U80" s="1667">
        <f>(G63*'Fleet Information'!D5)/33.7</f>
        <v>0</v>
      </c>
      <c r="V80" s="1667">
        <f>(G70*'Fleet Information'!D5)/33.7</f>
        <v>0</v>
      </c>
      <c r="W80" s="1667">
        <f>(G73*'Fleet Information'!D5)/33.7</f>
        <v>0</v>
      </c>
      <c r="X80" s="1667">
        <f>(G76*'Fleet Information'!D5)/33.7</f>
        <v>5515157.2719453247</v>
      </c>
      <c r="Y80" s="1669">
        <f t="shared" ref="Y80:Y87" si="0">C80+G80+J80+K80+L80+N80+R80+S80+T80+U80+V80+W80</f>
        <v>194154957.59059763</v>
      </c>
    </row>
    <row r="81" spans="1:25" ht="18.75" x14ac:dyDescent="0.3">
      <c r="A81" s="1612" t="s">
        <v>168</v>
      </c>
      <c r="B81" s="1615" t="s">
        <v>1727</v>
      </c>
      <c r="C81" s="1606">
        <f>(F7*'Fleet Information'!D6)/115000</f>
        <v>31745309.633160491</v>
      </c>
      <c r="D81" s="1606">
        <f>(F10*'Fleet Information'!D6)/115000</f>
        <v>0</v>
      </c>
      <c r="E81" s="1606">
        <f>(F13*'Fleet Information'!D6)/115000</f>
        <v>0</v>
      </c>
      <c r="F81" s="1606">
        <f>(F16*'Fleet Information'!D6)/115000</f>
        <v>0</v>
      </c>
      <c r="G81" s="1655">
        <f>(F19*'Fleet Information'!D6)/115000</f>
        <v>0</v>
      </c>
      <c r="H81" s="1606">
        <f>(F22*'Fleet Information'!D6)/115000</f>
        <v>0</v>
      </c>
      <c r="I81" s="1606">
        <f>(F25*'Fleet Information'!D6)/115000</f>
        <v>0</v>
      </c>
      <c r="J81" s="1655">
        <f>(F28*'Fleet Information'!D6)/115000</f>
        <v>0</v>
      </c>
      <c r="K81" s="1606">
        <f>(F31*'Fleet Information'!D6)/115000</f>
        <v>0</v>
      </c>
      <c r="L81" s="1606">
        <f>(F34*'Fleet Information'!D6)/115000</f>
        <v>6519885.4372702111</v>
      </c>
      <c r="M81" s="1606">
        <f>(F37*'Fleet Information'!D6)/115000</f>
        <v>0</v>
      </c>
      <c r="N81" s="1655">
        <f>(F40*'Fleet Information'!D6)/115000</f>
        <v>0</v>
      </c>
      <c r="O81" s="1606">
        <f>(F43*'Fleet Information'!D6)/115000</f>
        <v>0</v>
      </c>
      <c r="P81" s="1606">
        <f>(F46*'Fleet Information'!D6)/115000</f>
        <v>0</v>
      </c>
      <c r="Q81" s="1606">
        <f>(F49*'Fleet Information'!D6)/115000</f>
        <v>0</v>
      </c>
      <c r="R81" s="1655">
        <f>(F52*'Fleet Information'!D6)/115000</f>
        <v>0</v>
      </c>
      <c r="S81" s="1606">
        <f>(F55*'Fleet Information'!D6)/115000</f>
        <v>0</v>
      </c>
      <c r="T81" s="1606">
        <f>(F57*'Fleet Information'!D6)/115000</f>
        <v>191260096.43993297</v>
      </c>
      <c r="U81" s="1606">
        <f>(F63*'Fleet Information'!D6)/115000</f>
        <v>0</v>
      </c>
      <c r="V81" s="1606">
        <f>(F70*'Fleet Information'!D6)/115000</f>
        <v>0</v>
      </c>
      <c r="W81" s="1606">
        <f>(F73*'Fleet Information'!D6)/115000</f>
        <v>0</v>
      </c>
      <c r="X81" s="1606">
        <f>(F76*'Fleet Information'!D6)/115000</f>
        <v>6519885.4372702111</v>
      </c>
      <c r="Y81" s="260">
        <f t="shared" si="0"/>
        <v>229525291.51036367</v>
      </c>
    </row>
    <row r="82" spans="1:25" ht="18.75" x14ac:dyDescent="0.3">
      <c r="A82" s="1612" t="s">
        <v>169</v>
      </c>
      <c r="B82" s="1615" t="s">
        <v>243</v>
      </c>
      <c r="C82" s="1606">
        <f>(G7*'Fleet Information'!D8)/40.7</f>
        <v>1358792.6087741049</v>
      </c>
      <c r="D82" s="1606">
        <f>(G10*'Fleet Information'!D8)/40.7</f>
        <v>0</v>
      </c>
      <c r="E82" s="1606">
        <f>(G13*'Fleet Information'!D8)/40.7</f>
        <v>0</v>
      </c>
      <c r="F82" s="1606">
        <f>(G16*'Fleet Information'!D8)/40.7</f>
        <v>0</v>
      </c>
      <c r="G82" s="1655">
        <f>(G19*'Fleet Information'!D8)/40.7</f>
        <v>0</v>
      </c>
      <c r="H82" s="1606">
        <f>(G22*'Fleet Information'!D8)/40.7</f>
        <v>0</v>
      </c>
      <c r="I82" s="1606">
        <f>(G25*'Fleet Information'!D8)/40.7</f>
        <v>0</v>
      </c>
      <c r="J82" s="1655">
        <f>(G28*'Fleet Information'!D8)/40.7</f>
        <v>0</v>
      </c>
      <c r="K82" s="1606">
        <f>(G31*'Fleet Information'!D8)/40.7</f>
        <v>0</v>
      </c>
      <c r="L82" s="1606">
        <f>(G34*'Fleet Information'!D8)/40.7</f>
        <v>279070.2703672034</v>
      </c>
      <c r="M82" s="1606">
        <f>(G37*'Fleet Information'!D8)/40.7</f>
        <v>0</v>
      </c>
      <c r="N82" s="1655">
        <f>(G40*'Fleet Information'!D8)/40.7</f>
        <v>0</v>
      </c>
      <c r="O82" s="1606">
        <f>(G43*'Fleet Information'!D8)/40.7</f>
        <v>0</v>
      </c>
      <c r="P82" s="1606">
        <f>(G46*'Fleet Information'!D8)/40.7</f>
        <v>0</v>
      </c>
      <c r="Q82" s="1606">
        <f>(G49*'Fleet Information'!D8)/40.7</f>
        <v>0</v>
      </c>
      <c r="R82" s="1655">
        <f>(G52*'Fleet Information'!D8)/40.7</f>
        <v>0</v>
      </c>
      <c r="S82" s="1606">
        <f>(G55*'Fleet Information'!D8)/40.7</f>
        <v>0</v>
      </c>
      <c r="T82" s="1606">
        <f>(G57*'Fleet Information'!D8)/40.7</f>
        <v>8186494.5845270706</v>
      </c>
      <c r="U82" s="1606">
        <f>(G63*'Fleet Information'!D8)/40.7</f>
        <v>0</v>
      </c>
      <c r="V82" s="1606">
        <f>(G70*'Fleet Information'!D8)/40.7</f>
        <v>0</v>
      </c>
      <c r="W82" s="1606">
        <f>(G73*'Fleet Information'!D8)/40.7</f>
        <v>0</v>
      </c>
      <c r="X82" s="1606">
        <f>(G76*'Fleet Information'!D8)/40.7</f>
        <v>279070.2703672034</v>
      </c>
      <c r="Y82" s="260">
        <f t="shared" si="0"/>
        <v>9824357.4636683799</v>
      </c>
    </row>
    <row r="83" spans="1:25" ht="18.75" x14ac:dyDescent="0.3">
      <c r="A83" s="1612" t="s">
        <v>251</v>
      </c>
      <c r="B83" s="1615" t="s">
        <v>1728</v>
      </c>
      <c r="C83" s="1606">
        <f>(F7*'Fleet Information'!D9)/139000</f>
        <v>1582175.0055532013</v>
      </c>
      <c r="D83" s="1606">
        <f>(F10*'Fleet Information'!D9)/139000</f>
        <v>0</v>
      </c>
      <c r="E83" s="1606">
        <f>(F13*'Fleet Information'!D9)/139000</f>
        <v>0</v>
      </c>
      <c r="F83" s="1606">
        <f>(F16*'Fleet Information'!D9)/139000</f>
        <v>0</v>
      </c>
      <c r="G83" s="1655">
        <f>(F19*'Fleet Information'!D9)/139000</f>
        <v>0</v>
      </c>
      <c r="H83" s="1606">
        <f>(F22*'Fleet Information'!D9)/139000</f>
        <v>0</v>
      </c>
      <c r="I83" s="1606">
        <f>(F25*'Fleet Information'!D9)/139000</f>
        <v>0</v>
      </c>
      <c r="J83" s="1655">
        <f>(F28*'Fleet Information'!D9)/139000</f>
        <v>0</v>
      </c>
      <c r="K83" s="1606">
        <f>(F31*'Fleet Information'!D9)/139000</f>
        <v>0</v>
      </c>
      <c r="L83" s="1606">
        <f>(F34*'Fleet Information'!D9)/139000</f>
        <v>324948.78446999838</v>
      </c>
      <c r="M83" s="1606">
        <f>(F37*'Fleet Information'!D9)/139000</f>
        <v>0</v>
      </c>
      <c r="N83" s="1655">
        <f>(F40*'Fleet Information'!D9)/139000</f>
        <v>0</v>
      </c>
      <c r="O83" s="1606">
        <f>(F43*'Fleet Information'!F9)/139000</f>
        <v>0</v>
      </c>
      <c r="P83" s="1606">
        <f>(F46*'Fleet Information'!D9)/139000</f>
        <v>0</v>
      </c>
      <c r="Q83" s="1606">
        <f>(F49*'Fleet Information'!D9)/139000</f>
        <v>0</v>
      </c>
      <c r="R83" s="1655">
        <f>(F52*'Fleet Information'!D9)/139000</f>
        <v>0</v>
      </c>
      <c r="S83" s="1606">
        <f>(F55*'Fleet Information'!D9)/139000</f>
        <v>0</v>
      </c>
      <c r="T83" s="1606">
        <f>(F57*'Fleet Information'!D9)/139000</f>
        <v>9532335.5684286617</v>
      </c>
      <c r="U83" s="1606">
        <f>(F63*'Fleet Information'!D9)/139000</f>
        <v>0</v>
      </c>
      <c r="V83" s="1606">
        <f>(F70*'Fleet Information'!D9)/139000</f>
        <v>0</v>
      </c>
      <c r="W83" s="1606">
        <f>(F73*'Fleet Information'!D9)/139000</f>
        <v>0</v>
      </c>
      <c r="X83" s="1606">
        <f>(F76*'Fleet Information'!D9)/139000</f>
        <v>324948.78446999838</v>
      </c>
      <c r="Y83" s="260">
        <f t="shared" si="0"/>
        <v>11439459.358451862</v>
      </c>
    </row>
    <row r="84" spans="1:25" ht="18.75" x14ac:dyDescent="0.3">
      <c r="A84" s="1612" t="s">
        <v>252</v>
      </c>
      <c r="B84" s="1615" t="s">
        <v>244</v>
      </c>
      <c r="C84" s="1606">
        <f>(G7*'Fleet Information'!D12)/33.7</f>
        <v>16522232.678350408</v>
      </c>
      <c r="D84" s="1606">
        <f>(G10*'Fleet Information'!D12)/33.7</f>
        <v>0</v>
      </c>
      <c r="E84" s="1606">
        <f>(G13*'Fleet Information'!D12)/33.7</f>
        <v>0</v>
      </c>
      <c r="F84" s="1606">
        <f>(G16*'Fleet Information'!D12)/33.7</f>
        <v>0</v>
      </c>
      <c r="G84" s="1655">
        <f>(G19*'Fleet Information'!D12)/33.7</f>
        <v>0</v>
      </c>
      <c r="H84" s="1606">
        <f>(G22*'Fleet Information'!D12)/33.7</f>
        <v>0</v>
      </c>
      <c r="I84" s="1606">
        <f>(G25*'Fleet Information'!D12)/33.7</f>
        <v>0</v>
      </c>
      <c r="J84" s="1655">
        <f>(G28*'Fleet Information'!D12)/33.7</f>
        <v>0</v>
      </c>
      <c r="K84" s="1606">
        <f>(G31*'Fleet Information'!D12)/33.7</f>
        <v>0</v>
      </c>
      <c r="L84" s="1606">
        <f>(G34*'Fleet Information'!D12)/33.7</f>
        <v>3393353.7103774701</v>
      </c>
      <c r="M84" s="1606">
        <f>(G37*'Fleet Information'!D12)/33.7</f>
        <v>0</v>
      </c>
      <c r="N84" s="1655">
        <f>(G40*'Fleet Information'!D12)/33.7</f>
        <v>0</v>
      </c>
      <c r="O84" s="1606">
        <f>(G43*'Fleet Information'!D12)/33.7</f>
        <v>0</v>
      </c>
      <c r="P84" s="1606">
        <f>(G46*'Fleet Information'!D12)/33.7</f>
        <v>0</v>
      </c>
      <c r="Q84" s="1606">
        <f>(G49*'Fleet Information'!D12)/33.7</f>
        <v>0</v>
      </c>
      <c r="R84" s="1655">
        <f>(G52*'Fleet Information'!D12)/33.7</f>
        <v>0</v>
      </c>
      <c r="S84" s="1606">
        <f>(G55*'Fleet Information'!D12)/33.7</f>
        <v>0</v>
      </c>
      <c r="T84" s="1606">
        <f>(G57*'Fleet Information'!D12)/33.7</f>
        <v>99543644.462153703</v>
      </c>
      <c r="U84" s="1606">
        <f>(G63*'Fleet Information'!D12)/33.7</f>
        <v>0</v>
      </c>
      <c r="V84" s="1606">
        <f>(G70*'Fleet Information'!D12)/33.7</f>
        <v>0</v>
      </c>
      <c r="W84" s="1606">
        <f>(G73*'Fleet Information'!D12)/33.7</f>
        <v>0</v>
      </c>
      <c r="X84" s="1606">
        <f>(G76*'Fleet Information'!D12)/33.7</f>
        <v>3393353.7103774701</v>
      </c>
      <c r="Y84" s="260">
        <f t="shared" si="0"/>
        <v>119459230.85088158</v>
      </c>
    </row>
    <row r="85" spans="1:25" ht="18.75" x14ac:dyDescent="0.3">
      <c r="A85" s="1612" t="s">
        <v>253</v>
      </c>
      <c r="B85" s="1615" t="s">
        <v>1729</v>
      </c>
      <c r="C85" s="245">
        <f>(F7*'Fleet Information'!D13)/115000</f>
        <v>19888627.721980069</v>
      </c>
      <c r="D85" s="245">
        <f>(F10*'Fleet Information'!D13)/115000</f>
        <v>0</v>
      </c>
      <c r="E85" s="245">
        <f>(F13*'Fleet Information'!D13)/115000</f>
        <v>0</v>
      </c>
      <c r="F85" s="245">
        <f>(F16*'Fleet Information'!D13)/115000</f>
        <v>0</v>
      </c>
      <c r="G85" s="1606">
        <f>(F19*'Fleet Information'!D13)/115000</f>
        <v>0</v>
      </c>
      <c r="H85" s="245">
        <f>(F22*'Fleet Information'!D13)/115000</f>
        <v>0</v>
      </c>
      <c r="I85" s="1606">
        <f>(F25*'Fleet Information'!D13)/115000</f>
        <v>0</v>
      </c>
      <c r="J85" s="1655">
        <f>(F28*'Fleet Information'!D13)/115000</f>
        <v>0</v>
      </c>
      <c r="K85" s="245">
        <f>(F31*'Fleet Information'!D13)/115000</f>
        <v>0</v>
      </c>
      <c r="L85" s="1606">
        <f>(F34*'Fleet Information'!D13)/115000</f>
        <v>4084747.5028680838</v>
      </c>
      <c r="M85" s="1606">
        <f>(F37*'Fleet Information'!D13)/115000</f>
        <v>0</v>
      </c>
      <c r="N85" s="1606">
        <f>(F40*'Fleet Information'!D13)/115000</f>
        <v>0</v>
      </c>
      <c r="O85" s="1606">
        <f>(F43*'Fleet Information'!F13)/115000</f>
        <v>0</v>
      </c>
      <c r="P85" s="1606">
        <f>(F46*'Fleet Information'!D13)/115000</f>
        <v>0</v>
      </c>
      <c r="Q85" s="1606">
        <f>(F49*'Fleet Information'!D13)/115000</f>
        <v>0</v>
      </c>
      <c r="R85" s="1655">
        <f>(F52*'Fleet Information'!D13)/115000</f>
        <v>0</v>
      </c>
      <c r="S85" s="1606">
        <f>(F55*'Fleet Information'!D13)/115000</f>
        <v>0</v>
      </c>
      <c r="T85" s="1606">
        <f>(F57*'Fleet Information'!D13)/115000</f>
        <v>119825602.5888737</v>
      </c>
      <c r="U85" s="1606">
        <f>(F63*'Fleet Information'!D13)/115000</f>
        <v>0</v>
      </c>
      <c r="V85" s="1606">
        <f>(F70*'Fleet Information'!D13)/115000</f>
        <v>0</v>
      </c>
      <c r="W85" s="1606">
        <f>(F73*'Fleet Information'!D13)/115000</f>
        <v>0</v>
      </c>
      <c r="X85" s="1606">
        <f>(F76*'Fleet Information'!D13)/115000</f>
        <v>4084747.5028680838</v>
      </c>
      <c r="Y85" s="260">
        <f t="shared" si="0"/>
        <v>143798977.81372184</v>
      </c>
    </row>
    <row r="86" spans="1:25" ht="18.75" x14ac:dyDescent="0.3">
      <c r="A86" s="1612" t="s">
        <v>254</v>
      </c>
      <c r="B86" s="1615" t="s">
        <v>166</v>
      </c>
      <c r="C86" s="1606">
        <f>(G7*'Fleet Information'!D16)/33.7</f>
        <v>12568831.63116047</v>
      </c>
      <c r="D86" s="1606">
        <f>(G10*'Fleet Information'!D16)/33.7</f>
        <v>0</v>
      </c>
      <c r="E86" s="1606">
        <f>(G13*'Fleet Information'!D16)/33.7</f>
        <v>0</v>
      </c>
      <c r="F86" s="1606">
        <f>(G16*'Fleet Information'!D16)/33.7</f>
        <v>0</v>
      </c>
      <c r="G86" s="1655">
        <f>(G19*'Fleet Information'!D16)/33.7</f>
        <v>0</v>
      </c>
      <c r="H86" s="1606">
        <f>(G22*'Fleet Information'!D16)/33.7</f>
        <v>0</v>
      </c>
      <c r="I86" s="1606">
        <f>(G25*'Fleet Information'!D16)/33.7</f>
        <v>0</v>
      </c>
      <c r="J86" s="1655">
        <f>(G28*'Fleet Information'!D16)/33.7</f>
        <v>0</v>
      </c>
      <c r="K86" s="1606">
        <f>(G31*'Fleet Information'!D16)/33.7</f>
        <v>0</v>
      </c>
      <c r="L86" s="1606">
        <f>(G34*'Fleet Information'!D16)/33.7</f>
        <v>2581400.0008966313</v>
      </c>
      <c r="M86" s="1606">
        <f>(G37*'Fleet Information'!D16)/33.7</f>
        <v>0</v>
      </c>
      <c r="N86" s="1655">
        <f>(G40*'Fleet Information'!D16)/33.7</f>
        <v>0</v>
      </c>
      <c r="O86" s="1606">
        <f>(G43*'Fleet Information'!D16)/33.7</f>
        <v>0</v>
      </c>
      <c r="P86" s="1606">
        <f>(G46*'Fleet Information'!D16)/33.7</f>
        <v>0</v>
      </c>
      <c r="Q86" s="1606">
        <f>(G49*'Fleet Information'!D16)/33.7</f>
        <v>0</v>
      </c>
      <c r="R86" s="1655">
        <f>(G52*'Fleet Information'!D16)/33.7</f>
        <v>0</v>
      </c>
      <c r="S86" s="1606">
        <f>(G49*'Fleet Information'!D16)/33.7</f>
        <v>0</v>
      </c>
      <c r="T86" s="1606">
        <f>(G57*'Fleet Information'!D16)/33.7</f>
        <v>75725074.906875402</v>
      </c>
      <c r="U86" s="1606">
        <f>(G63*'Fleet Information'!D16)/33.7</f>
        <v>0</v>
      </c>
      <c r="V86" s="1606">
        <f>(G70*'Fleet Information'!D16)/33.7</f>
        <v>0</v>
      </c>
      <c r="W86" s="1606">
        <f>(G73*'Fleet Information'!D16)/33.7</f>
        <v>0</v>
      </c>
      <c r="X86" s="1606">
        <f>(G76*'Fleet Information'!D16)/33.7</f>
        <v>2581400.0008966313</v>
      </c>
      <c r="Y86" s="260">
        <f t="shared" si="0"/>
        <v>90875306.538932502</v>
      </c>
    </row>
    <row r="87" spans="1:25" ht="19.5" thickBot="1" x14ac:dyDescent="0.35">
      <c r="A87" s="1613" t="s">
        <v>255</v>
      </c>
      <c r="B87" s="95" t="s">
        <v>1730</v>
      </c>
      <c r="C87" s="1662">
        <f>(F7*'Fleet Information'!D17)/115000</f>
        <v>15681418.011561209</v>
      </c>
      <c r="D87" s="1662">
        <f>(F10*'Fleet Information'!D17)/115000</f>
        <v>0</v>
      </c>
      <c r="E87" s="1662">
        <f>(F13*'Fleet Information'!D17)/115000</f>
        <v>0</v>
      </c>
      <c r="F87" s="1662">
        <f>(F16*'Fleet Information'!D17)/115000</f>
        <v>0</v>
      </c>
      <c r="G87" s="1670">
        <f>(F19*'Fleet Information'!D17)/115000</f>
        <v>0</v>
      </c>
      <c r="H87" s="1662">
        <f>(F22*'Fleet Information'!D17)/115000</f>
        <v>0</v>
      </c>
      <c r="I87" s="1662">
        <f>(F25*'Fleet Information'!D17)/115000</f>
        <v>0</v>
      </c>
      <c r="J87" s="1670">
        <f>(F28*'Fleet Information'!D17)/115000</f>
        <v>0</v>
      </c>
      <c r="K87" s="1662">
        <f>(F31*'Fleet Information'!D17)/115000</f>
        <v>0</v>
      </c>
      <c r="L87" s="1662">
        <f>(F34*'Fleet Information'!D17)/115000</f>
        <v>3220666.3003382972</v>
      </c>
      <c r="M87" s="1662">
        <f>(F37*'Fleet Information'!D17)/115000</f>
        <v>0</v>
      </c>
      <c r="N87" s="1670">
        <f>(F40*'Fleet Information'!D17)/115000</f>
        <v>0</v>
      </c>
      <c r="O87" s="1662">
        <f>(F43*'Fleet Information'!F17)/115000</f>
        <v>0</v>
      </c>
      <c r="P87" s="1662">
        <f>(F46*'Fleet Information'!D17)/115000</f>
        <v>0</v>
      </c>
      <c r="Q87" s="1662">
        <f>(F49*'Fleet Information'!D17)/115000</f>
        <v>0</v>
      </c>
      <c r="R87" s="1670">
        <f>(F52*'Fleet Information'!D17)/115000</f>
        <v>0</v>
      </c>
      <c r="S87" s="1662">
        <f>(F55*'Fleet Information'!D17)/115000</f>
        <v>0</v>
      </c>
      <c r="T87" s="1662">
        <f>(F57*'Fleet Information'!D17)/115000</f>
        <v>94477878.964304268</v>
      </c>
      <c r="U87" s="1662">
        <f>(F63*'Fleet Information'!D17)/115000</f>
        <v>0</v>
      </c>
      <c r="V87" s="1662">
        <f>(F70*'Fleet Information'!D17)/115000</f>
        <v>0</v>
      </c>
      <c r="W87" s="1662">
        <f>(F73*'Fleet Information'!D17)/115000</f>
        <v>0</v>
      </c>
      <c r="X87" s="1662">
        <f>(F76*'Fleet Information'!D17)/115000</f>
        <v>3220666.3003382972</v>
      </c>
      <c r="Y87" s="1671">
        <f t="shared" si="0"/>
        <v>113379963.27620378</v>
      </c>
    </row>
    <row r="88" spans="1:25" ht="91.5" customHeight="1" thickBot="1" x14ac:dyDescent="0.3">
      <c r="A88" s="939" t="s">
        <v>28</v>
      </c>
      <c r="B88" s="1664" t="s">
        <v>250</v>
      </c>
      <c r="C88" s="940" t="s">
        <v>245</v>
      </c>
      <c r="D88" s="1664" t="s">
        <v>499</v>
      </c>
      <c r="E88" s="1664" t="s">
        <v>500</v>
      </c>
      <c r="F88" s="1664" t="s">
        <v>501</v>
      </c>
      <c r="G88" s="1690" t="s">
        <v>1590</v>
      </c>
      <c r="H88" s="1664" t="s">
        <v>502</v>
      </c>
      <c r="I88" s="1664" t="s">
        <v>503</v>
      </c>
      <c r="J88" s="1665" t="s">
        <v>1591</v>
      </c>
      <c r="K88" s="1665" t="s">
        <v>1606</v>
      </c>
      <c r="L88" s="940" t="s">
        <v>42</v>
      </c>
      <c r="M88" s="1664" t="s">
        <v>504</v>
      </c>
      <c r="N88" s="1665" t="s">
        <v>1607</v>
      </c>
      <c r="O88" s="1664" t="s">
        <v>510</v>
      </c>
      <c r="P88" s="1664" t="s">
        <v>511</v>
      </c>
      <c r="Q88" s="1664" t="s">
        <v>512</v>
      </c>
      <c r="R88" s="1665" t="s">
        <v>1593</v>
      </c>
      <c r="S88" s="1665" t="s">
        <v>520</v>
      </c>
      <c r="T88" s="940" t="s">
        <v>246</v>
      </c>
      <c r="U88" s="1665" t="s">
        <v>697</v>
      </c>
      <c r="V88" s="1665" t="s">
        <v>698</v>
      </c>
      <c r="W88" s="940" t="s">
        <v>490</v>
      </c>
      <c r="X88" s="940" t="s">
        <v>459</v>
      </c>
      <c r="Y88" s="941" t="s">
        <v>489</v>
      </c>
    </row>
    <row r="89" spans="1:25" ht="20.25" customHeight="1" x14ac:dyDescent="0.3">
      <c r="A89" s="1611" t="s">
        <v>179</v>
      </c>
      <c r="B89" s="1410" t="s">
        <v>248</v>
      </c>
      <c r="C89" s="1450">
        <f>C80/'Fleet Information'!G3</f>
        <v>2165.5879138593705</v>
      </c>
      <c r="D89" s="1450">
        <f>D80/'Fleet Information'!G3</f>
        <v>0</v>
      </c>
      <c r="E89" s="1450">
        <f>E80/'Fleet Information'!G3</f>
        <v>0</v>
      </c>
      <c r="F89" s="1450">
        <f>F80/'Fleet Information'!G3</f>
        <v>0</v>
      </c>
      <c r="G89" s="1658">
        <f>G80/'Fleet Information'!G3</f>
        <v>0</v>
      </c>
      <c r="H89" s="1450">
        <f>H80/'Fleet Information'!G3</f>
        <v>0</v>
      </c>
      <c r="I89" s="1450">
        <f>I80/'Fleet Information'!G3</f>
        <v>0</v>
      </c>
      <c r="J89" s="1658">
        <f>J80/'Fleet Information'!G3</f>
        <v>0</v>
      </c>
      <c r="K89" s="1450">
        <f>K80/'Fleet Information'!G3</f>
        <v>0</v>
      </c>
      <c r="L89" s="1450">
        <f>L80/'Fleet Information'!G3</f>
        <v>444.77074773752616</v>
      </c>
      <c r="M89" s="1450">
        <f>M80/'Fleet Information'!G3</f>
        <v>0</v>
      </c>
      <c r="N89" s="1658">
        <f>N80/'Fleet Information'!G3</f>
        <v>0</v>
      </c>
      <c r="O89" s="1450">
        <f>O80/'Fleet Information'!G3</f>
        <v>0</v>
      </c>
      <c r="P89" s="1450">
        <f>P80/'Fleet Information'!G3</f>
        <v>0</v>
      </c>
      <c r="Q89" s="1450">
        <f>Q80/'Fleet Information'!G3</f>
        <v>0</v>
      </c>
      <c r="R89" s="1659">
        <f>R80/'Fleet Information'!G3</f>
        <v>0</v>
      </c>
      <c r="S89" s="1450">
        <f>S80/'Fleet Information'!G3</f>
        <v>0</v>
      </c>
      <c r="T89" s="1450">
        <f>T80/'Fleet Information'!G3</f>
        <v>13047.299208612589</v>
      </c>
      <c r="U89" s="1450">
        <f>U80/'Fleet Information'!G3</f>
        <v>0</v>
      </c>
      <c r="V89" s="1450">
        <f>V80/'Fleet Information'!G3</f>
        <v>0</v>
      </c>
      <c r="W89" s="1450">
        <f>W80/'Fleet Information'!G3</f>
        <v>0</v>
      </c>
      <c r="X89" s="1450">
        <f>X80/'Fleet Information'!G3</f>
        <v>444.77074773752616</v>
      </c>
      <c r="Y89" s="1660">
        <f t="shared" ref="Y89:Y96" si="1">C89+G89+J89+K89+L89+N89+R89+S89+T89+U89+V89+W89</f>
        <v>15657.657870209485</v>
      </c>
    </row>
    <row r="90" spans="1:25" ht="18.75" x14ac:dyDescent="0.3">
      <c r="A90" s="1612" t="s">
        <v>180</v>
      </c>
      <c r="B90" s="1615" t="s">
        <v>1731</v>
      </c>
      <c r="C90" s="1608">
        <f>C81/'Fleet Information'!G3</f>
        <v>2560.105615577459</v>
      </c>
      <c r="D90" s="1608">
        <f>D81/'Fleet Information'!G3</f>
        <v>0</v>
      </c>
      <c r="E90" s="1608">
        <f>E81/'Fleet Information'!G3</f>
        <v>0</v>
      </c>
      <c r="F90" s="1608">
        <f>F81/'Fleet Information'!G3</f>
        <v>0</v>
      </c>
      <c r="G90" s="1656">
        <f>G81/'Fleet Information'!G3</f>
        <v>0</v>
      </c>
      <c r="H90" s="1608">
        <f>H81/'Fleet Information'!G3</f>
        <v>0</v>
      </c>
      <c r="I90" s="1608">
        <f>I81/'Fleet Information'!G3</f>
        <v>0</v>
      </c>
      <c r="J90" s="1656">
        <f>J81/'Fleet Information'!G3</f>
        <v>0</v>
      </c>
      <c r="K90" s="1608">
        <f>K81/'Fleet Information'!G3</f>
        <v>0</v>
      </c>
      <c r="L90" s="1608">
        <f>L81/'Fleet Information'!G3</f>
        <v>525.79721268308151</v>
      </c>
      <c r="M90" s="1608">
        <f>M81/'Fleet Information'!G3</f>
        <v>0</v>
      </c>
      <c r="N90" s="1656">
        <f>N81/'Fleet Information'!G3</f>
        <v>0</v>
      </c>
      <c r="O90" s="1608">
        <f>O81/'Fleet Information'!G3</f>
        <v>0</v>
      </c>
      <c r="P90" s="1608">
        <f>P81/'Fleet Information'!G3</f>
        <v>0</v>
      </c>
      <c r="Q90" s="1608">
        <f>Q81/'Fleet Information'!G3</f>
        <v>0</v>
      </c>
      <c r="R90" s="862">
        <f>R81/'Fleet Information'!G3</f>
        <v>0</v>
      </c>
      <c r="S90" s="1608">
        <f>S81/'Fleet Information'!G3</f>
        <v>0</v>
      </c>
      <c r="T90" s="1608">
        <f>T81/'Fleet Information'!G3</f>
        <v>15424.201325801047</v>
      </c>
      <c r="U90" s="1608">
        <f>U81/'Fleet Information'!G3</f>
        <v>0</v>
      </c>
      <c r="V90" s="1608">
        <f>V81/'Fleet Information'!G3</f>
        <v>0</v>
      </c>
      <c r="W90" s="1608">
        <f>W81/'Fleet Information'!G3</f>
        <v>0</v>
      </c>
      <c r="X90" s="1608">
        <f>X81/'Fleet Information'!G3</f>
        <v>525.79721268308151</v>
      </c>
      <c r="Y90" s="1660">
        <f t="shared" si="1"/>
        <v>18510.104154061588</v>
      </c>
    </row>
    <row r="91" spans="1:25" ht="18.75" x14ac:dyDescent="0.3">
      <c r="A91" s="1612" t="s">
        <v>181</v>
      </c>
      <c r="B91" s="1615" t="s">
        <v>84</v>
      </c>
      <c r="C91" s="1608">
        <f>C82/'Fleet Information'!G7</f>
        <v>58.068060204021577</v>
      </c>
      <c r="D91" s="1608">
        <f>D82/'Fleet Information'!G7</f>
        <v>0</v>
      </c>
      <c r="E91" s="1608">
        <f>E82/'Fleet Information'!G7</f>
        <v>0</v>
      </c>
      <c r="F91" s="1608">
        <f>F82/'Fleet Information'!G7</f>
        <v>0</v>
      </c>
      <c r="G91" s="1656">
        <f>G82/'Fleet Information'!G7</f>
        <v>0</v>
      </c>
      <c r="H91" s="1608">
        <f>H82/'Fleet Information'!G7</f>
        <v>0</v>
      </c>
      <c r="I91" s="1608">
        <f>I82/'Fleet Information'!G7</f>
        <v>0</v>
      </c>
      <c r="J91" s="1656">
        <f>J82/'Fleet Information'!G7</f>
        <v>0</v>
      </c>
      <c r="K91" s="1608">
        <f>K82/'Fleet Information'!G7</f>
        <v>0</v>
      </c>
      <c r="L91" s="1608">
        <f>L82/'Fleet Information'!G7</f>
        <v>11.926079930222368</v>
      </c>
      <c r="M91" s="1608">
        <f>M82/'Fleet Information'!G7</f>
        <v>0</v>
      </c>
      <c r="N91" s="1656">
        <f>N82/'Fleet Information'!G7</f>
        <v>0</v>
      </c>
      <c r="O91" s="1608">
        <f>O82/'Fleet Information'!G7</f>
        <v>0</v>
      </c>
      <c r="P91" s="1608">
        <f>P82/'Fleet Information'!G7</f>
        <v>0</v>
      </c>
      <c r="Q91" s="1608">
        <f>Q82/'Fleet Information'!G7</f>
        <v>0</v>
      </c>
      <c r="R91" s="862">
        <f>R82/'Fleet Information'!G7</f>
        <v>0</v>
      </c>
      <c r="S91" s="1608">
        <f>S82/'Fleet Information'!G7</f>
        <v>0</v>
      </c>
      <c r="T91" s="1608">
        <f>T82/'Fleet Information'!G7</f>
        <v>349.8501959199603</v>
      </c>
      <c r="U91" s="1608">
        <f>U82/'Fleet Information'!G7</f>
        <v>0</v>
      </c>
      <c r="V91" s="1608">
        <f>V82/'Fleet Information'!G7</f>
        <v>0</v>
      </c>
      <c r="W91" s="1608">
        <f>W82/'Fleet Information'!G7</f>
        <v>0</v>
      </c>
      <c r="X91" s="1608">
        <f>X82/'Fleet Information'!G7</f>
        <v>11.926079930222368</v>
      </c>
      <c r="Y91" s="1660">
        <f t="shared" si="1"/>
        <v>419.84433605420423</v>
      </c>
    </row>
    <row r="92" spans="1:25" ht="18.75" x14ac:dyDescent="0.3">
      <c r="A92" s="1612" t="s">
        <v>221</v>
      </c>
      <c r="B92" s="1615" t="s">
        <v>1732</v>
      </c>
      <c r="C92" s="1608">
        <f>C83/'Fleet Information'!G7</f>
        <v>67.614316476632538</v>
      </c>
      <c r="D92" s="1608">
        <f>D83/'Fleet Information'!G7</f>
        <v>0</v>
      </c>
      <c r="E92" s="1608">
        <f>E83/'Fleet Information'!G7</f>
        <v>0</v>
      </c>
      <c r="F92" s="1608">
        <f>F83/'Fleet Information'!G7</f>
        <v>0</v>
      </c>
      <c r="G92" s="1656">
        <f>G83/'Fleet Information'!G7</f>
        <v>0</v>
      </c>
      <c r="H92" s="1608">
        <f>H83/'Fleet Information'!G7</f>
        <v>0</v>
      </c>
      <c r="I92" s="1608">
        <f>I83/'Fleet Information'!G7</f>
        <v>0</v>
      </c>
      <c r="J92" s="1656">
        <f>J83/'Fleet Information'!G7</f>
        <v>0</v>
      </c>
      <c r="K92" s="1608">
        <f>K83/'Fleet Information'!G7</f>
        <v>0</v>
      </c>
      <c r="L92" s="1608">
        <f>L83/'Fleet Information'!G7</f>
        <v>13.886700191025572</v>
      </c>
      <c r="M92" s="1608">
        <f>M83/'Fleet Information'!G7</f>
        <v>0</v>
      </c>
      <c r="N92" s="1656">
        <f>N83/'Fleet Information'!G7</f>
        <v>0</v>
      </c>
      <c r="O92" s="1608">
        <f>O83/'Fleet Information'!G7</f>
        <v>0</v>
      </c>
      <c r="P92" s="1608">
        <f>P83/'Fleet Information'!G7</f>
        <v>0</v>
      </c>
      <c r="Q92" s="1608">
        <f>Q83/'Fleet Information'!G7</f>
        <v>0</v>
      </c>
      <c r="R92" s="862">
        <f>R83/'Fleet Information'!G7</f>
        <v>0</v>
      </c>
      <c r="S92" s="1608">
        <f>S83/'Fleet Information'!G7</f>
        <v>0</v>
      </c>
      <c r="T92" s="1608">
        <f>T83/'Fleet Information'!G7</f>
        <v>407.36476788156676</v>
      </c>
      <c r="U92" s="1608">
        <f>U83/'Fleet Information'!G7</f>
        <v>0</v>
      </c>
      <c r="V92" s="1608">
        <f>V83/'Fleet Information'!G7</f>
        <v>0</v>
      </c>
      <c r="W92" s="1608">
        <f>W83/'Fleet Information'!G7</f>
        <v>0</v>
      </c>
      <c r="X92" s="1608">
        <f>X83/'Fleet Information'!G7</f>
        <v>13.886700191025572</v>
      </c>
      <c r="Y92" s="1660">
        <f t="shared" si="1"/>
        <v>488.86578454922488</v>
      </c>
    </row>
    <row r="93" spans="1:25" ht="18.75" x14ac:dyDescent="0.3">
      <c r="A93" s="1612" t="s">
        <v>256</v>
      </c>
      <c r="B93" s="1615" t="s">
        <v>249</v>
      </c>
      <c r="C93" s="1608">
        <f>C84/'Fleet Information'!G10</f>
        <v>1449.3186559956498</v>
      </c>
      <c r="D93" s="1608">
        <f>D84/'Fleet Information'!G10</f>
        <v>0</v>
      </c>
      <c r="E93" s="1608">
        <f>E84/'Fleet Information'!G10</f>
        <v>0</v>
      </c>
      <c r="F93" s="1608">
        <f>F84/'Fleet Information'!G10</f>
        <v>0</v>
      </c>
      <c r="G93" s="1656">
        <f>G84/'Fleet Information'!G10</f>
        <v>0</v>
      </c>
      <c r="H93" s="1608">
        <f>H84/'Fleet Information'!G10</f>
        <v>0</v>
      </c>
      <c r="I93" s="1608">
        <f>I84/'Fleet Information'!G10</f>
        <v>0</v>
      </c>
      <c r="J93" s="1656">
        <f>J84/'Fleet Information'!G10</f>
        <v>0</v>
      </c>
      <c r="K93" s="1608">
        <f>K84/'Fleet Information'!G10</f>
        <v>0</v>
      </c>
      <c r="L93" s="1608">
        <f>L84/'Fleet Information'!G10</f>
        <v>297.66260617346228</v>
      </c>
      <c r="M93" s="1608">
        <f>M84/'Fleet Information'!G10</f>
        <v>0</v>
      </c>
      <c r="N93" s="1656">
        <f>N84/'Fleet Information'!G10</f>
        <v>0</v>
      </c>
      <c r="O93" s="1608">
        <f>O84/'Fleet Information'!G10</f>
        <v>0</v>
      </c>
      <c r="P93" s="1608">
        <f>P84/'Fleet Information'!G10</f>
        <v>0</v>
      </c>
      <c r="Q93" s="1608">
        <f>Q84/'Fleet Information'!G10</f>
        <v>0</v>
      </c>
      <c r="R93" s="862">
        <f>R84/'Fleet Information'!G10</f>
        <v>0</v>
      </c>
      <c r="S93" s="1608">
        <f>S84/'Fleet Information'!G10</f>
        <v>0</v>
      </c>
      <c r="T93" s="1608">
        <f>T84/'Fleet Information'!G10</f>
        <v>8731.8986370310267</v>
      </c>
      <c r="U93" s="1608">
        <f>U84/'Fleet Information'!G10</f>
        <v>0</v>
      </c>
      <c r="V93" s="1608">
        <f>V84/'Fleet Information'!G10</f>
        <v>0</v>
      </c>
      <c r="W93" s="1608">
        <f>W84/'Fleet Information'!G10</f>
        <v>0</v>
      </c>
      <c r="X93" s="1608">
        <f>X84/'Fleet Information'!G10</f>
        <v>297.66260617346228</v>
      </c>
      <c r="Y93" s="1660">
        <f t="shared" si="1"/>
        <v>10478.879899200139</v>
      </c>
    </row>
    <row r="94" spans="1:25" ht="18.75" x14ac:dyDescent="0.3">
      <c r="A94" s="1612" t="s">
        <v>257</v>
      </c>
      <c r="B94" s="1615" t="s">
        <v>1733</v>
      </c>
      <c r="C94" s="1608">
        <f>C85/'Fleet Information'!G10</f>
        <v>1744.6164668403569</v>
      </c>
      <c r="D94" s="1608">
        <f>D85/'Fleet Information'!G10</f>
        <v>0</v>
      </c>
      <c r="E94" s="1608">
        <f>E85/'Fleet Information'!G10</f>
        <v>0</v>
      </c>
      <c r="F94" s="1608">
        <f>F85/'Fleet Information'!G10</f>
        <v>0</v>
      </c>
      <c r="G94" s="1656">
        <f>G85/'Fleet Information'!G10</f>
        <v>0</v>
      </c>
      <c r="H94" s="1608">
        <f>H85/'Fleet Information'!G10</f>
        <v>0</v>
      </c>
      <c r="I94" s="1608">
        <f>I85/'Fleet Information'!G10</f>
        <v>0</v>
      </c>
      <c r="J94" s="1656">
        <f>J85/'Fleet Information'!G10</f>
        <v>0</v>
      </c>
      <c r="K94" s="1608">
        <f>K85/'Fleet Information'!G10</f>
        <v>0</v>
      </c>
      <c r="L94" s="1608">
        <f>L85/'Fleet Information'!G10</f>
        <v>358.31118446211264</v>
      </c>
      <c r="M94" s="1608">
        <f>M85/'Fleet Information'!G10</f>
        <v>0</v>
      </c>
      <c r="N94" s="1656">
        <f>N85/'Fleet Information'!G10</f>
        <v>0</v>
      </c>
      <c r="O94" s="1608">
        <f>O85/'Fleet Information'!G10</f>
        <v>0</v>
      </c>
      <c r="P94" s="1608">
        <f>P85/'Fleet Information'!G10</f>
        <v>0</v>
      </c>
      <c r="Q94" s="1608">
        <f>Q85/'Fleet Information'!G10</f>
        <v>0</v>
      </c>
      <c r="R94" s="862">
        <f>R85/'Fleet Information'!G10</f>
        <v>0</v>
      </c>
      <c r="S94" s="1608">
        <f>S85/'Fleet Information'!G10</f>
        <v>0</v>
      </c>
      <c r="T94" s="1608">
        <f>T85/'Fleet Information'!G10</f>
        <v>10511.017770953833</v>
      </c>
      <c r="U94" s="1608">
        <f>U85/'Fleet Information'!G10</f>
        <v>0</v>
      </c>
      <c r="V94" s="1608">
        <f>V85/'Fleet Information'!G10</f>
        <v>0</v>
      </c>
      <c r="W94" s="1608">
        <f>W85/'Fleet Information'!G10</f>
        <v>0</v>
      </c>
      <c r="X94" s="1608">
        <f>X85/'Fleet Information'!G10</f>
        <v>358.31118446211264</v>
      </c>
      <c r="Y94" s="1660">
        <f t="shared" si="1"/>
        <v>12613.945422256304</v>
      </c>
    </row>
    <row r="95" spans="1:25" ht="18.75" x14ac:dyDescent="0.3">
      <c r="A95" s="1612" t="s">
        <v>258</v>
      </c>
      <c r="B95" s="1615" t="s">
        <v>225</v>
      </c>
      <c r="C95" s="1608">
        <f>C86/'Fleet Information'!G14</f>
        <v>523.7013179650196</v>
      </c>
      <c r="D95" s="1608">
        <f>D86/'Fleet Information'!G14</f>
        <v>0</v>
      </c>
      <c r="E95" s="1608">
        <f>E86/'Fleet Information'!G14</f>
        <v>0</v>
      </c>
      <c r="F95" s="1608">
        <f>F86/'Fleet Information'!G14</f>
        <v>0</v>
      </c>
      <c r="G95" s="1656">
        <f>G86/'Fleet Information'!G14</f>
        <v>0</v>
      </c>
      <c r="H95" s="1608">
        <f>H86/'Fleet Information'!G14</f>
        <v>0</v>
      </c>
      <c r="I95" s="1608">
        <f>I86/'Fleet Information'!G14</f>
        <v>0</v>
      </c>
      <c r="J95" s="1656">
        <f>J86/'Fleet Information'!G14</f>
        <v>0</v>
      </c>
      <c r="K95" s="1608">
        <f>K86/'Fleet Information'!G14</f>
        <v>0</v>
      </c>
      <c r="L95" s="1608">
        <f>L86/'Fleet Information'!G14</f>
        <v>107.55833337069296</v>
      </c>
      <c r="M95" s="1608">
        <f>M86/'Fleet Information'!G14</f>
        <v>0</v>
      </c>
      <c r="N95" s="1656">
        <f>N86/'Fleet Information'!G14</f>
        <v>0</v>
      </c>
      <c r="O95" s="1608">
        <f>O86/'Fleet Information'!G14</f>
        <v>0</v>
      </c>
      <c r="P95" s="1608">
        <f>P86/'Fleet Information'!G14</f>
        <v>0</v>
      </c>
      <c r="Q95" s="1608">
        <f>Q86/'Fleet Information'!G14</f>
        <v>0</v>
      </c>
      <c r="R95" s="862">
        <f>R86/'Fleet Information'!G14</f>
        <v>0</v>
      </c>
      <c r="S95" s="1608">
        <f>S86/'Fleet Information'!G14</f>
        <v>0</v>
      </c>
      <c r="T95" s="1608">
        <f>T86/'Fleet Information'!G14</f>
        <v>3155.2114544531419</v>
      </c>
      <c r="U95" s="1608">
        <f>U86/'Fleet Information'!G14</f>
        <v>0</v>
      </c>
      <c r="V95" s="1608">
        <f>V86/'Fleet Information'!G14</f>
        <v>0</v>
      </c>
      <c r="W95" s="1608">
        <f>W86/'Fleet Information'!G14</f>
        <v>0</v>
      </c>
      <c r="X95" s="1608">
        <f>X86/'Fleet Information'!G14</f>
        <v>107.55833337069296</v>
      </c>
      <c r="Y95" s="1660">
        <f t="shared" si="1"/>
        <v>3786.4711057888544</v>
      </c>
    </row>
    <row r="96" spans="1:25" ht="19.5" thickBot="1" x14ac:dyDescent="0.35">
      <c r="A96" s="1613" t="s">
        <v>259</v>
      </c>
      <c r="B96" s="95" t="s">
        <v>1734</v>
      </c>
      <c r="C96" s="1609">
        <f>C87/'Fleet Information'!G14</f>
        <v>653.39241714838374</v>
      </c>
      <c r="D96" s="1609">
        <f>D87/'Fleet Information'!G14</f>
        <v>0</v>
      </c>
      <c r="E96" s="1609">
        <f>E87/'Fleet Information'!G14</f>
        <v>0</v>
      </c>
      <c r="F96" s="1609">
        <f>F87/'Fleet Information'!G14</f>
        <v>0</v>
      </c>
      <c r="G96" s="1661">
        <f>G87/'Fleet Information'!G14</f>
        <v>0</v>
      </c>
      <c r="H96" s="1609">
        <f>H87/'Fleet Information'!G14</f>
        <v>0</v>
      </c>
      <c r="I96" s="1609">
        <f>I87/'Fleet Information'!G14</f>
        <v>0</v>
      </c>
      <c r="J96" s="1661">
        <f>J87/'Fleet Information'!G14</f>
        <v>0</v>
      </c>
      <c r="K96" s="1609">
        <f>K87/'Fleet Information'!G14</f>
        <v>0</v>
      </c>
      <c r="L96" s="1609">
        <f>L87/'Fleet Information'!G14</f>
        <v>134.19442918076237</v>
      </c>
      <c r="M96" s="1609">
        <f>M87/'Fleet Information'!G14</f>
        <v>0</v>
      </c>
      <c r="N96" s="1661">
        <f>N87/'Fleet Information'!G14</f>
        <v>0</v>
      </c>
      <c r="O96" s="1609">
        <f>O87/'Fleet Information'!G14</f>
        <v>0</v>
      </c>
      <c r="P96" s="1609">
        <f>P87/'Fleet Information'!G14</f>
        <v>0</v>
      </c>
      <c r="Q96" s="1609">
        <f>Q87/'Fleet Information'!G14</f>
        <v>0</v>
      </c>
      <c r="R96" s="524">
        <f>R87/'Fleet Information'!G14</f>
        <v>0</v>
      </c>
      <c r="S96" s="1609">
        <f>S87/'Fleet Information'!G14</f>
        <v>0</v>
      </c>
      <c r="T96" s="1609">
        <f>T87/'Fleet Information'!G14</f>
        <v>3936.5782901793445</v>
      </c>
      <c r="U96" s="1609">
        <f>U87/'Fleet Information'!G14</f>
        <v>0</v>
      </c>
      <c r="V96" s="1609">
        <f>V87/'Fleet Information'!G14</f>
        <v>0</v>
      </c>
      <c r="W96" s="1609">
        <f>W87/'Fleet Information'!G14</f>
        <v>0</v>
      </c>
      <c r="X96" s="1609">
        <f>X87/'Fleet Information'!G14</f>
        <v>134.19442918076237</v>
      </c>
      <c r="Y96" s="1660">
        <f t="shared" si="1"/>
        <v>4724.1651365084908</v>
      </c>
    </row>
    <row r="97" spans="3:5" x14ac:dyDescent="0.25">
      <c r="C97" s="244"/>
      <c r="D97" s="244"/>
      <c r="E97" s="243"/>
    </row>
    <row r="98" spans="3:5" x14ac:dyDescent="0.25">
      <c r="D98" s="244"/>
      <c r="E98" s="243"/>
    </row>
  </sheetData>
  <mergeCells count="66">
    <mergeCell ref="E73:E75"/>
    <mergeCell ref="E7:E8"/>
    <mergeCell ref="E10:E11"/>
    <mergeCell ref="E34:E35"/>
    <mergeCell ref="E46:E47"/>
    <mergeCell ref="E55:E56"/>
    <mergeCell ref="E70:E72"/>
    <mergeCell ref="B4:E4"/>
    <mergeCell ref="E25:E26"/>
    <mergeCell ref="E43:E44"/>
    <mergeCell ref="E13:E14"/>
    <mergeCell ref="E16:E17"/>
    <mergeCell ref="E22:E23"/>
    <mergeCell ref="E31:E32"/>
    <mergeCell ref="G40:G41"/>
    <mergeCell ref="E52:E53"/>
    <mergeCell ref="G52:G53"/>
    <mergeCell ref="F7:F8"/>
    <mergeCell ref="F10:F11"/>
    <mergeCell ref="F13:F14"/>
    <mergeCell ref="F16:F17"/>
    <mergeCell ref="F22:F23"/>
    <mergeCell ref="E37:E38"/>
    <mergeCell ref="E49:E50"/>
    <mergeCell ref="F25:F26"/>
    <mergeCell ref="F31:F32"/>
    <mergeCell ref="F34:F35"/>
    <mergeCell ref="F37:F38"/>
    <mergeCell ref="F43:F44"/>
    <mergeCell ref="F70:F72"/>
    <mergeCell ref="E40:E41"/>
    <mergeCell ref="F40:F41"/>
    <mergeCell ref="E63:E69"/>
    <mergeCell ref="E57:E62"/>
    <mergeCell ref="B2:G2"/>
    <mergeCell ref="G70:G72"/>
    <mergeCell ref="G73:G75"/>
    <mergeCell ref="G46:G47"/>
    <mergeCell ref="G49:G50"/>
    <mergeCell ref="G55:G56"/>
    <mergeCell ref="G57:G62"/>
    <mergeCell ref="G63:G69"/>
    <mergeCell ref="G25:G26"/>
    <mergeCell ref="G31:G32"/>
    <mergeCell ref="G34:G35"/>
    <mergeCell ref="G37:G38"/>
    <mergeCell ref="G7:G8"/>
    <mergeCell ref="G10:G11"/>
    <mergeCell ref="G13:G14"/>
    <mergeCell ref="G16:G17"/>
    <mergeCell ref="A78:Y78"/>
    <mergeCell ref="E19:E20"/>
    <mergeCell ref="F19:F20"/>
    <mergeCell ref="G19:G20"/>
    <mergeCell ref="E28:E29"/>
    <mergeCell ref="F28:F29"/>
    <mergeCell ref="G28:G29"/>
    <mergeCell ref="F73:F75"/>
    <mergeCell ref="F46:F47"/>
    <mergeCell ref="F49:F50"/>
    <mergeCell ref="F55:F56"/>
    <mergeCell ref="F57:F62"/>
    <mergeCell ref="F63:F69"/>
    <mergeCell ref="F52:F53"/>
    <mergeCell ref="G22:G23"/>
    <mergeCell ref="G43:G44"/>
  </mergeCells>
  <pageMargins left="0.7" right="0.7"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99</vt:i4>
      </vt:variant>
    </vt:vector>
  </HeadingPairs>
  <TitlesOfParts>
    <vt:vector size="132" baseType="lpstr">
      <vt:lpstr>USER GUIDE</vt:lpstr>
      <vt:lpstr>Read Me</vt:lpstr>
      <vt:lpstr>Necessary Information</vt:lpstr>
      <vt:lpstr>Acronyms Used</vt:lpstr>
      <vt:lpstr> QUICK OVERVIEW- Inputs&amp;Outputs</vt:lpstr>
      <vt:lpstr>Waste Mass Calculations</vt:lpstr>
      <vt:lpstr>Fleet Information</vt:lpstr>
      <vt:lpstr>AD Calculations</vt:lpstr>
      <vt:lpstr>Digester Methane Calculation</vt:lpstr>
      <vt:lpstr>Landfill Methane Calculation</vt:lpstr>
      <vt:lpstr>Cost-Benefit Tab_Digester</vt:lpstr>
      <vt:lpstr>Cost-Benefit Tab_Landfill</vt:lpstr>
      <vt:lpstr>Cost-Benefit Tab_Composting</vt:lpstr>
      <vt:lpstr>Multichoice Vehicle</vt:lpstr>
      <vt:lpstr>Emission-Waste Transport Vehicl</vt:lpstr>
      <vt:lpstr>Emission-Preprocessing</vt:lpstr>
      <vt:lpstr>Emission-AD </vt:lpstr>
      <vt:lpstr>Emission-Solid-liquid Residual</vt:lpstr>
      <vt:lpstr>Emission-Impurities</vt:lpstr>
      <vt:lpstr>Emission-Biogas Conversion</vt:lpstr>
      <vt:lpstr>Emission-GHG from Biogas Conver</vt:lpstr>
      <vt:lpstr>Emission-Vehicle to be refueled</vt:lpstr>
      <vt:lpstr>Emission-Combustion Pipeline NG</vt:lpstr>
      <vt:lpstr>Total AD Emission</vt:lpstr>
      <vt:lpstr>Emission-Landfilling</vt:lpstr>
      <vt:lpstr>Total Emission_Landfill</vt:lpstr>
      <vt:lpstr>Emission-Composting</vt:lpstr>
      <vt:lpstr>Total Emission_Composting</vt:lpstr>
      <vt:lpstr>Comparison Emission</vt:lpstr>
      <vt:lpstr>CN Table</vt:lpstr>
      <vt:lpstr>Unit Conversion</vt:lpstr>
      <vt:lpstr>Bibliography</vt:lpstr>
      <vt:lpstr>Help</vt:lpstr>
      <vt:lpstr>ADC</vt:lpstr>
      <vt:lpstr>ADCC</vt:lpstr>
      <vt:lpstr>ADEMISSION</vt:lpstr>
      <vt:lpstr>ANV</vt:lpstr>
      <vt:lpstr>ANVC</vt:lpstr>
      <vt:lpstr>AO</vt:lpstr>
      <vt:lpstr>AOP</vt:lpstr>
      <vt:lpstr>AOPN</vt:lpstr>
      <vt:lpstr>BIOCL</vt:lpstr>
      <vt:lpstr>BIOCLE</vt:lpstr>
      <vt:lpstr>Cali</vt:lpstr>
      <vt:lpstr>Carbon</vt:lpstr>
      <vt:lpstr>Category</vt:lpstr>
      <vt:lpstr>CC</vt:lpstr>
      <vt:lpstr>CEV</vt:lpstr>
      <vt:lpstr>CNGR</vt:lpstr>
      <vt:lpstr>CO</vt:lpstr>
      <vt:lpstr>COMPOSTINGEMISSION</vt:lpstr>
      <vt:lpstr>COSTBASE</vt:lpstr>
      <vt:lpstr>CP</vt:lpstr>
      <vt:lpstr>CSC</vt:lpstr>
      <vt:lpstr>CSP</vt:lpstr>
      <vt:lpstr>CTF</vt:lpstr>
      <vt:lpstr>CTTF</vt:lpstr>
      <vt:lpstr>data</vt:lpstr>
      <vt:lpstr>DD</vt:lpstr>
      <vt:lpstr>DDC</vt:lpstr>
      <vt:lpstr>DDCC</vt:lpstr>
      <vt:lpstr>Digestercredit</vt:lpstr>
      <vt:lpstr>Digestercredits</vt:lpstr>
      <vt:lpstr>Digestercreditss</vt:lpstr>
      <vt:lpstr>DT</vt:lpstr>
      <vt:lpstr>EAD</vt:lpstr>
      <vt:lpstr>EADD</vt:lpstr>
      <vt:lpstr>EE</vt:lpstr>
      <vt:lpstr>ESC</vt:lpstr>
      <vt:lpstr>EVC</vt:lpstr>
      <vt:lpstr>EVE</vt:lpstr>
      <vt:lpstr>EVO</vt:lpstr>
      <vt:lpstr>EVR</vt:lpstr>
      <vt:lpstr>FC</vt:lpstr>
      <vt:lpstr>FCF</vt:lpstr>
      <vt:lpstr>FCFE</vt:lpstr>
      <vt:lpstr>Fd</vt:lpstr>
      <vt:lpstr>FF</vt:lpstr>
      <vt:lpstr>'Digester Methane Calculation'!FFF</vt:lpstr>
      <vt:lpstr>FOG</vt:lpstr>
      <vt:lpstr>FOGD</vt:lpstr>
      <vt:lpstr>Food</vt:lpstr>
      <vt:lpstr>GRE</vt:lpstr>
      <vt:lpstr>INS</vt:lpstr>
      <vt:lpstr>KH</vt:lpstr>
      <vt:lpstr>LANDFILLEMISSION</vt:lpstr>
      <vt:lpstr>LOC</vt:lpstr>
      <vt:lpstr>LOCE</vt:lpstr>
      <vt:lpstr>LSU</vt:lpstr>
      <vt:lpstr>LVO</vt:lpstr>
      <vt:lpstr>LVOE</vt:lpstr>
      <vt:lpstr>LVR</vt:lpstr>
      <vt:lpstr>LVRE</vt:lpstr>
      <vt:lpstr>MO</vt:lpstr>
      <vt:lpstr>NAD</vt:lpstr>
      <vt:lpstr>NCC</vt:lpstr>
      <vt:lpstr>NCO</vt:lpstr>
      <vt:lpstr>NEN</vt:lpstr>
      <vt:lpstr>NNN</vt:lpstr>
      <vt:lpstr>NW</vt:lpstr>
      <vt:lpstr>OEV</vt:lpstr>
      <vt:lpstr>'Digester Methane Calculation'!OOO</vt:lpstr>
      <vt:lpstr>Oregon</vt:lpstr>
      <vt:lpstr>OTHERAD</vt:lpstr>
      <vt:lpstr>OV</vt:lpstr>
      <vt:lpstr>PRO</vt:lpstr>
      <vt:lpstr>PVE</vt:lpstr>
      <vt:lpstr>SC</vt:lpstr>
      <vt:lpstr>Sewage</vt:lpstr>
      <vt:lpstr>SSd</vt:lpstr>
      <vt:lpstr>STO</vt:lpstr>
      <vt:lpstr>STOO</vt:lpstr>
      <vt:lpstr>TAE</vt:lpstr>
      <vt:lpstr>TCE</vt:lpstr>
      <vt:lpstr>TCTF</vt:lpstr>
      <vt:lpstr>TCTFE</vt:lpstr>
      <vt:lpstr>TIPE</vt:lpstr>
      <vt:lpstr>TLE</vt:lpstr>
      <vt:lpstr>TS</vt:lpstr>
      <vt:lpstr>TSS</vt:lpstr>
      <vt:lpstr>TT</vt:lpstr>
      <vt:lpstr>TTT</vt:lpstr>
      <vt:lpstr>UUU</vt:lpstr>
      <vt:lpstr>VCNG</vt:lpstr>
      <vt:lpstr>VEH</vt:lpstr>
      <vt:lpstr>VEV</vt:lpstr>
      <vt:lpstr>VF</vt:lpstr>
      <vt:lpstr>VFF</vt:lpstr>
      <vt:lpstr>WV</vt:lpstr>
      <vt:lpstr>Yard</vt:lpstr>
      <vt:lpstr>Yd</vt:lpstr>
      <vt:lpstr>YY</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Mithila Chakraborty</dc:creator>
  <cp:lastModifiedBy>Mithila Chakraborty</cp:lastModifiedBy>
  <dcterms:created xsi:type="dcterms:W3CDTF">2019-07-29T15:57:48Z</dcterms:created>
  <dcterms:modified xsi:type="dcterms:W3CDTF">2022-04-21T18:47:36Z</dcterms:modified>
</cp:coreProperties>
</file>